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18195" windowHeight="11055" tabRatio="834" activeTab="5"/>
  </bookViews>
  <sheets>
    <sheet name="CONTROL" sheetId="1" r:id="rId1"/>
    <sheet name="RAP-LIGHT OIL" sheetId="2" r:id="rId2"/>
    <sheet name="RAP-HEAVY OIL&amp;WTI" sheetId="3" r:id="rId3"/>
    <sheet name="RAP-NATURAL GAS PRICES" sheetId="4" r:id="rId4"/>
    <sheet name="RAP TEMPLATE-GAS AVAILABILITY" sheetId="5" r:id="rId5"/>
    <sheet name="RAP-SOLID FUEL PRICES" sheetId="6" r:id="rId6"/>
  </sheets>
  <externalReferences>
    <externalReference r:id="rId7"/>
    <externalReference r:id="rId8"/>
    <externalReference r:id="rId9"/>
    <externalReference r:id="rId10"/>
  </externalReferences>
  <definedNames>
    <definedName name="__123Graph_A" hidden="1">'[1]FPL MOST LIKELY GAS BACKUP 1'!#REF!</definedName>
    <definedName name="__123Graph_B" hidden="1">'[1]FPL MOST LIKELY GAS BACKUP 1'!#REF!</definedName>
    <definedName name="__123Graph_X" hidden="1">'[1]FPL MOST LIKELY GAS BACKUP 1'!#REF!</definedName>
    <definedName name="_1">#REF!</definedName>
    <definedName name="_1A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394GAS">#REF!</definedName>
    <definedName name="_9394OIL">#REF!</definedName>
    <definedName name="_C1">#REF!</definedName>
    <definedName name="_GIP1">#REF!</definedName>
    <definedName name="_SYP1">#REF!</definedName>
    <definedName name="C_">#REF!</definedName>
    <definedName name="CC1_">#REF!</definedName>
    <definedName name="COMPET">#REF!</definedName>
    <definedName name="CopyXC">#REF!</definedName>
    <definedName name="DatabaseNameCopy">#REF!</definedName>
    <definedName name="DatabaseNameDG">#REF!</definedName>
    <definedName name="DateColumn">[2]_Setup_!#REF!</definedName>
    <definedName name="DestColRowXC">#REF!</definedName>
    <definedName name="DestDBname">#REF!</definedName>
    <definedName name="DestHdrRowColXC">#REF!</definedName>
    <definedName name="DestLayoutXC">#REF!</definedName>
    <definedName name="DestRowColXC">#REF!</definedName>
    <definedName name="DestStudyName">#REF!</definedName>
    <definedName name="DestStudyNameCopy">#REF!</definedName>
    <definedName name="DestUserName">#REF!</definedName>
    <definedName name="DestWorksheetXC">#REF!</definedName>
    <definedName name="EffectiveDate">[2]_Setup_!#REF!</definedName>
    <definedName name="FIRM">#REF!</definedName>
    <definedName name="FIRM1">#REF!</definedName>
    <definedName name="GAS">#REF!</definedName>
    <definedName name="GASAVAIL">#REF!</definedName>
    <definedName name="GIP">#REF!</definedName>
    <definedName name="HeaderXC">#REF!</definedName>
    <definedName name="I5_">#REF!</definedName>
    <definedName name="I6_">#REF!</definedName>
    <definedName name="I7_">#REF!</definedName>
    <definedName name="ImportListDG">#REF!</definedName>
    <definedName name="INDEXDATA">'[3]Index-Data'!$A$2:$CG$68</definedName>
    <definedName name="INFLAT">#REF!</definedName>
    <definedName name="LayoutXC">#REF!</definedName>
    <definedName name="Messages">[4]_UnregulatedCurves_!#REF!</definedName>
    <definedName name="MessagesDG">#REF!</definedName>
    <definedName name="MessagesDW">[4]_UnregulatedCurves_!#REF!</definedName>
    <definedName name="MONTH">#REF!</definedName>
    <definedName name="MONTH1">#REF!</definedName>
    <definedName name="MONTHID">'[3]Misc-Data'!$A$2:$F$85</definedName>
    <definedName name="MONTHS2">#REF!</definedName>
    <definedName name="MONTHS3">#REF!</definedName>
    <definedName name="MONTHS4">#REF!</definedName>
    <definedName name="MONTHS5">#REF!</definedName>
    <definedName name="MONTHS6">#REF!</definedName>
    <definedName name="MONTHS7">#REF!</definedName>
    <definedName name="OIPBBL">#REF!</definedName>
    <definedName name="OIPBBL1">#REF!</definedName>
    <definedName name="PasswordCopy">#REF!</definedName>
    <definedName name="PasswordDG">#REF!</definedName>
    <definedName name="PHASEII">#REF!</definedName>
    <definedName name="PHASEII1">#REF!</definedName>
    <definedName name="PHASEIII">#REF!</definedName>
    <definedName name="PHASEIII1">#REF!</definedName>
    <definedName name="pipedes">'[3]Misc-Data'!$D$2:$F$69</definedName>
    <definedName name="_xlnm.Print_Area" localSheetId="4">'RAP TEMPLATE-GAS AVAILABILITY'!$A$12:$T$1144</definedName>
    <definedName name="_xlnm.Print_Area" localSheetId="2">'RAP-HEAVY OIL&amp;WTI'!$A$12:$J$1144</definedName>
    <definedName name="_xlnm.Print_Area" localSheetId="1">'RAP-LIGHT OIL'!$A$12:$K$1144</definedName>
    <definedName name="_xlnm.Print_Area" localSheetId="3">'RAP-NATURAL GAS PRICES'!$A$13:$AD$1144</definedName>
    <definedName name="_xlnm.Print_Area" localSheetId="5">'RAP-SOLID FUEL PRICES'!$A$14:$O$1147</definedName>
    <definedName name="_xlnm.Print_Titles" localSheetId="4">'RAP TEMPLATE-GAS AVAILABILITY'!$1:$11</definedName>
    <definedName name="_xlnm.Print_Titles" localSheetId="2">'RAP-HEAVY OIL&amp;WTI'!$1:$11</definedName>
    <definedName name="_xlnm.Print_Titles" localSheetId="1">'RAP-LIGHT OIL'!$1:$11</definedName>
    <definedName name="_xlnm.Print_Titles" localSheetId="3">'RAP-NATURAL GAS PRICES'!$1:$12</definedName>
    <definedName name="_xlnm.Print_Titles" localSheetId="5">'RAP-SOLID FUEL PRICES'!$1:$13</definedName>
    <definedName name="RESULTS">#REF!</definedName>
    <definedName name="RESULTS1">#REF!</definedName>
    <definedName name="RESULTS2">#REF!</definedName>
    <definedName name="RESULTS3">#REF!</definedName>
    <definedName name="RESULTS4">#REF!</definedName>
    <definedName name="RESULTSA">#REF!</definedName>
    <definedName name="RowStart">[2]_Setup_!#REF!</definedName>
    <definedName name="SelectListCopy">#REF!</definedName>
    <definedName name="SFOR">#REF!</definedName>
    <definedName name="SFOR1">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rcColRowXC">#REF!</definedName>
    <definedName name="SrcFileXC">#REF!</definedName>
    <definedName name="SrcStartRowColXC">#REF!</definedName>
    <definedName name="SrcWorksheetXC">#REF!</definedName>
    <definedName name="StatusCopy">#REF!</definedName>
    <definedName name="StatusDG">#REF!</definedName>
    <definedName name="StatusXC">#REF!</definedName>
    <definedName name="StudyNameDG">#REF!</definedName>
    <definedName name="SYP">#REF!</definedName>
    <definedName name="SYSGAS">#REF!</definedName>
    <definedName name="TITLES">#REF!</definedName>
    <definedName name="TOBBL">#REF!</definedName>
    <definedName name="TotalRowColXC">#REF!</definedName>
    <definedName name="TransferListDG">#REF!</definedName>
    <definedName name="TTG">#REF!</definedName>
    <definedName name="UserNameCopy">#REF!</definedName>
    <definedName name="UserNameDG">#REF!</definedName>
    <definedName name="VOLUMES">#REF!</definedName>
    <definedName name="VOLUMES1">#REF!</definedName>
    <definedName name="YEAR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9" i="6" l="1"/>
  <c r="E9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B188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B189" i="6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B190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B191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B192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B193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B194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B195" i="6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B196" i="6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B197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B199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B200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B201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B203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B204" i="6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B205" i="6"/>
  <c r="C205" i="6"/>
  <c r="D205" i="6"/>
  <c r="E205" i="6"/>
  <c r="F205" i="6"/>
  <c r="G205" i="6"/>
  <c r="H205" i="6"/>
  <c r="I205" i="6"/>
  <c r="J205" i="6"/>
  <c r="K205" i="6"/>
  <c r="L205" i="6"/>
  <c r="M205" i="6"/>
  <c r="N205" i="6"/>
  <c r="O205" i="6"/>
  <c r="B206" i="6"/>
  <c r="C206" i="6"/>
  <c r="D206" i="6"/>
  <c r="E206" i="6"/>
  <c r="F206" i="6"/>
  <c r="G206" i="6"/>
  <c r="H206" i="6"/>
  <c r="I206" i="6"/>
  <c r="J206" i="6"/>
  <c r="K206" i="6"/>
  <c r="L206" i="6"/>
  <c r="M206" i="6"/>
  <c r="N206" i="6"/>
  <c r="O206" i="6"/>
  <c r="B207" i="6"/>
  <c r="C207" i="6"/>
  <c r="D207" i="6"/>
  <c r="E207" i="6"/>
  <c r="F207" i="6"/>
  <c r="G207" i="6"/>
  <c r="H207" i="6"/>
  <c r="I207" i="6"/>
  <c r="J207" i="6"/>
  <c r="K207" i="6"/>
  <c r="L207" i="6"/>
  <c r="M207" i="6"/>
  <c r="N207" i="6"/>
  <c r="O207" i="6"/>
  <c r="B208" i="6"/>
  <c r="C208" i="6"/>
  <c r="D208" i="6"/>
  <c r="E208" i="6"/>
  <c r="F208" i="6"/>
  <c r="G208" i="6"/>
  <c r="H208" i="6"/>
  <c r="I208" i="6"/>
  <c r="J208" i="6"/>
  <c r="K208" i="6"/>
  <c r="L208" i="6"/>
  <c r="M208" i="6"/>
  <c r="N208" i="6"/>
  <c r="O208" i="6"/>
  <c r="B209" i="6"/>
  <c r="C209" i="6"/>
  <c r="D209" i="6"/>
  <c r="E209" i="6"/>
  <c r="F209" i="6"/>
  <c r="G209" i="6"/>
  <c r="H209" i="6"/>
  <c r="I209" i="6"/>
  <c r="J209" i="6"/>
  <c r="K209" i="6"/>
  <c r="L209" i="6"/>
  <c r="M209" i="6"/>
  <c r="N209" i="6"/>
  <c r="O209" i="6"/>
  <c r="B210" i="6"/>
  <c r="C210" i="6"/>
  <c r="D210" i="6"/>
  <c r="E210" i="6"/>
  <c r="F210" i="6"/>
  <c r="G210" i="6"/>
  <c r="H210" i="6"/>
  <c r="I210" i="6"/>
  <c r="J210" i="6"/>
  <c r="K210" i="6"/>
  <c r="L210" i="6"/>
  <c r="M210" i="6"/>
  <c r="N210" i="6"/>
  <c r="O210" i="6"/>
  <c r="B211" i="6"/>
  <c r="C211" i="6"/>
  <c r="D211" i="6"/>
  <c r="E211" i="6"/>
  <c r="F211" i="6"/>
  <c r="G211" i="6"/>
  <c r="H211" i="6"/>
  <c r="I211" i="6"/>
  <c r="J211" i="6"/>
  <c r="K211" i="6"/>
  <c r="L211" i="6"/>
  <c r="M211" i="6"/>
  <c r="N211" i="6"/>
  <c r="O211" i="6"/>
  <c r="B212" i="6"/>
  <c r="C212" i="6"/>
  <c r="D212" i="6"/>
  <c r="E212" i="6"/>
  <c r="F212" i="6"/>
  <c r="G212" i="6"/>
  <c r="H212" i="6"/>
  <c r="I212" i="6"/>
  <c r="J212" i="6"/>
  <c r="K212" i="6"/>
  <c r="L212" i="6"/>
  <c r="M212" i="6"/>
  <c r="N212" i="6"/>
  <c r="O212" i="6"/>
  <c r="B213" i="6"/>
  <c r="C213" i="6"/>
  <c r="D213" i="6"/>
  <c r="E213" i="6"/>
  <c r="F213" i="6"/>
  <c r="G213" i="6"/>
  <c r="H213" i="6"/>
  <c r="I213" i="6"/>
  <c r="J213" i="6"/>
  <c r="K213" i="6"/>
  <c r="L213" i="6"/>
  <c r="M213" i="6"/>
  <c r="N213" i="6"/>
  <c r="O213" i="6"/>
  <c r="B214" i="6"/>
  <c r="C214" i="6"/>
  <c r="D214" i="6"/>
  <c r="E214" i="6"/>
  <c r="F214" i="6"/>
  <c r="G214" i="6"/>
  <c r="H214" i="6"/>
  <c r="I214" i="6"/>
  <c r="J214" i="6"/>
  <c r="K214" i="6"/>
  <c r="L214" i="6"/>
  <c r="M214" i="6"/>
  <c r="N214" i="6"/>
  <c r="O214" i="6"/>
  <c r="B215" i="6"/>
  <c r="C215" i="6"/>
  <c r="D215" i="6"/>
  <c r="E215" i="6"/>
  <c r="F215" i="6"/>
  <c r="G215" i="6"/>
  <c r="H215" i="6"/>
  <c r="I215" i="6"/>
  <c r="J215" i="6"/>
  <c r="K215" i="6"/>
  <c r="L215" i="6"/>
  <c r="M215" i="6"/>
  <c r="N215" i="6"/>
  <c r="O215" i="6"/>
  <c r="B216" i="6"/>
  <c r="C216" i="6"/>
  <c r="D216" i="6"/>
  <c r="E216" i="6"/>
  <c r="F216" i="6"/>
  <c r="G216" i="6"/>
  <c r="H216" i="6"/>
  <c r="I216" i="6"/>
  <c r="J216" i="6"/>
  <c r="K216" i="6"/>
  <c r="L216" i="6"/>
  <c r="M216" i="6"/>
  <c r="N216" i="6"/>
  <c r="O216" i="6"/>
  <c r="B217" i="6"/>
  <c r="C217" i="6"/>
  <c r="D217" i="6"/>
  <c r="E217" i="6"/>
  <c r="F217" i="6"/>
  <c r="G217" i="6"/>
  <c r="H217" i="6"/>
  <c r="I217" i="6"/>
  <c r="J217" i="6"/>
  <c r="K217" i="6"/>
  <c r="L217" i="6"/>
  <c r="M217" i="6"/>
  <c r="N217" i="6"/>
  <c r="O217" i="6"/>
  <c r="B218" i="6"/>
  <c r="C218" i="6"/>
  <c r="D218" i="6"/>
  <c r="E218" i="6"/>
  <c r="F218" i="6"/>
  <c r="G218" i="6"/>
  <c r="H218" i="6"/>
  <c r="I218" i="6"/>
  <c r="J218" i="6"/>
  <c r="K218" i="6"/>
  <c r="L218" i="6"/>
  <c r="M218" i="6"/>
  <c r="N218" i="6"/>
  <c r="O218" i="6"/>
  <c r="B219" i="6"/>
  <c r="C219" i="6"/>
  <c r="D219" i="6"/>
  <c r="E219" i="6"/>
  <c r="F219" i="6"/>
  <c r="G219" i="6"/>
  <c r="H219" i="6"/>
  <c r="I219" i="6"/>
  <c r="J219" i="6"/>
  <c r="K219" i="6"/>
  <c r="L219" i="6"/>
  <c r="M219" i="6"/>
  <c r="N219" i="6"/>
  <c r="O219" i="6"/>
  <c r="B220" i="6"/>
  <c r="C220" i="6"/>
  <c r="D220" i="6"/>
  <c r="E220" i="6"/>
  <c r="F220" i="6"/>
  <c r="G220" i="6"/>
  <c r="H220" i="6"/>
  <c r="I220" i="6"/>
  <c r="J220" i="6"/>
  <c r="K220" i="6"/>
  <c r="L220" i="6"/>
  <c r="M220" i="6"/>
  <c r="N220" i="6"/>
  <c r="O220" i="6"/>
  <c r="B221" i="6"/>
  <c r="C221" i="6"/>
  <c r="D221" i="6"/>
  <c r="E221" i="6"/>
  <c r="F221" i="6"/>
  <c r="G221" i="6"/>
  <c r="H221" i="6"/>
  <c r="I221" i="6"/>
  <c r="J221" i="6"/>
  <c r="K221" i="6"/>
  <c r="L221" i="6"/>
  <c r="M221" i="6"/>
  <c r="N221" i="6"/>
  <c r="O221" i="6"/>
  <c r="B222" i="6"/>
  <c r="C222" i="6"/>
  <c r="D222" i="6"/>
  <c r="E222" i="6"/>
  <c r="F222" i="6"/>
  <c r="G222" i="6"/>
  <c r="H222" i="6"/>
  <c r="I222" i="6"/>
  <c r="J222" i="6"/>
  <c r="K222" i="6"/>
  <c r="L222" i="6"/>
  <c r="M222" i="6"/>
  <c r="N222" i="6"/>
  <c r="O222" i="6"/>
  <c r="B223" i="6"/>
  <c r="C223" i="6"/>
  <c r="D223" i="6"/>
  <c r="E223" i="6"/>
  <c r="F223" i="6"/>
  <c r="G223" i="6"/>
  <c r="H223" i="6"/>
  <c r="I223" i="6"/>
  <c r="J223" i="6"/>
  <c r="K223" i="6"/>
  <c r="L223" i="6"/>
  <c r="M223" i="6"/>
  <c r="N223" i="6"/>
  <c r="O223" i="6"/>
  <c r="B224" i="6"/>
  <c r="C224" i="6"/>
  <c r="D224" i="6"/>
  <c r="E224" i="6"/>
  <c r="F224" i="6"/>
  <c r="G224" i="6"/>
  <c r="H224" i="6"/>
  <c r="I224" i="6"/>
  <c r="J224" i="6"/>
  <c r="K224" i="6"/>
  <c r="L224" i="6"/>
  <c r="M224" i="6"/>
  <c r="N224" i="6"/>
  <c r="O224" i="6"/>
  <c r="B225" i="6"/>
  <c r="C225" i="6"/>
  <c r="D225" i="6"/>
  <c r="E225" i="6"/>
  <c r="F225" i="6"/>
  <c r="G225" i="6"/>
  <c r="H225" i="6"/>
  <c r="I225" i="6"/>
  <c r="J225" i="6"/>
  <c r="K225" i="6"/>
  <c r="L225" i="6"/>
  <c r="M225" i="6"/>
  <c r="N225" i="6"/>
  <c r="O225" i="6"/>
  <c r="B226" i="6"/>
  <c r="C226" i="6"/>
  <c r="D226" i="6"/>
  <c r="E226" i="6"/>
  <c r="F226" i="6"/>
  <c r="G226" i="6"/>
  <c r="H226" i="6"/>
  <c r="I226" i="6"/>
  <c r="J226" i="6"/>
  <c r="K226" i="6"/>
  <c r="L226" i="6"/>
  <c r="M226" i="6"/>
  <c r="N226" i="6"/>
  <c r="O226" i="6"/>
  <c r="B227" i="6"/>
  <c r="C227" i="6"/>
  <c r="D227" i="6"/>
  <c r="E227" i="6"/>
  <c r="F227" i="6"/>
  <c r="G227" i="6"/>
  <c r="H227" i="6"/>
  <c r="I227" i="6"/>
  <c r="J227" i="6"/>
  <c r="K227" i="6"/>
  <c r="L227" i="6"/>
  <c r="M227" i="6"/>
  <c r="N227" i="6"/>
  <c r="O227" i="6"/>
  <c r="B228" i="6"/>
  <c r="C228" i="6"/>
  <c r="D228" i="6"/>
  <c r="E228" i="6"/>
  <c r="F228" i="6"/>
  <c r="G228" i="6"/>
  <c r="H228" i="6"/>
  <c r="I228" i="6"/>
  <c r="J228" i="6"/>
  <c r="K228" i="6"/>
  <c r="L228" i="6"/>
  <c r="M228" i="6"/>
  <c r="N228" i="6"/>
  <c r="O228" i="6"/>
  <c r="B229" i="6"/>
  <c r="C229" i="6"/>
  <c r="D229" i="6"/>
  <c r="E229" i="6"/>
  <c r="F229" i="6"/>
  <c r="G229" i="6"/>
  <c r="H229" i="6"/>
  <c r="I229" i="6"/>
  <c r="J229" i="6"/>
  <c r="K229" i="6"/>
  <c r="L229" i="6"/>
  <c r="M229" i="6"/>
  <c r="N229" i="6"/>
  <c r="O229" i="6"/>
  <c r="B230" i="6"/>
  <c r="C230" i="6"/>
  <c r="D230" i="6"/>
  <c r="E230" i="6"/>
  <c r="F230" i="6"/>
  <c r="G230" i="6"/>
  <c r="H230" i="6"/>
  <c r="I230" i="6"/>
  <c r="J230" i="6"/>
  <c r="K230" i="6"/>
  <c r="L230" i="6"/>
  <c r="M230" i="6"/>
  <c r="N230" i="6"/>
  <c r="O230" i="6"/>
  <c r="B231" i="6"/>
  <c r="C231" i="6"/>
  <c r="D231" i="6"/>
  <c r="E231" i="6"/>
  <c r="F231" i="6"/>
  <c r="G231" i="6"/>
  <c r="H231" i="6"/>
  <c r="I231" i="6"/>
  <c r="J231" i="6"/>
  <c r="K231" i="6"/>
  <c r="L231" i="6"/>
  <c r="M231" i="6"/>
  <c r="N231" i="6"/>
  <c r="O231" i="6"/>
  <c r="B232" i="6"/>
  <c r="C232" i="6"/>
  <c r="D232" i="6"/>
  <c r="E232" i="6"/>
  <c r="F232" i="6"/>
  <c r="G232" i="6"/>
  <c r="H232" i="6"/>
  <c r="I232" i="6"/>
  <c r="J232" i="6"/>
  <c r="K232" i="6"/>
  <c r="L232" i="6"/>
  <c r="M232" i="6"/>
  <c r="N232" i="6"/>
  <c r="O232" i="6"/>
  <c r="B233" i="6"/>
  <c r="C233" i="6"/>
  <c r="D233" i="6"/>
  <c r="E233" i="6"/>
  <c r="F233" i="6"/>
  <c r="G233" i="6"/>
  <c r="H233" i="6"/>
  <c r="I233" i="6"/>
  <c r="J233" i="6"/>
  <c r="K233" i="6"/>
  <c r="L233" i="6"/>
  <c r="M233" i="6"/>
  <c r="N233" i="6"/>
  <c r="O233" i="6"/>
  <c r="B234" i="6"/>
  <c r="C234" i="6"/>
  <c r="D234" i="6"/>
  <c r="E234" i="6"/>
  <c r="F234" i="6"/>
  <c r="G234" i="6"/>
  <c r="H234" i="6"/>
  <c r="I234" i="6"/>
  <c r="J234" i="6"/>
  <c r="K234" i="6"/>
  <c r="L234" i="6"/>
  <c r="M234" i="6"/>
  <c r="N234" i="6"/>
  <c r="O234" i="6"/>
  <c r="B235" i="6"/>
  <c r="C235" i="6"/>
  <c r="D235" i="6"/>
  <c r="E235" i="6"/>
  <c r="F235" i="6"/>
  <c r="G235" i="6"/>
  <c r="H235" i="6"/>
  <c r="I235" i="6"/>
  <c r="J235" i="6"/>
  <c r="K235" i="6"/>
  <c r="L235" i="6"/>
  <c r="M235" i="6"/>
  <c r="N235" i="6"/>
  <c r="O235" i="6"/>
  <c r="B236" i="6"/>
  <c r="C236" i="6"/>
  <c r="D236" i="6"/>
  <c r="E236" i="6"/>
  <c r="F236" i="6"/>
  <c r="G236" i="6"/>
  <c r="H236" i="6"/>
  <c r="I236" i="6"/>
  <c r="J236" i="6"/>
  <c r="K236" i="6"/>
  <c r="L236" i="6"/>
  <c r="M236" i="6"/>
  <c r="N236" i="6"/>
  <c r="O236" i="6"/>
  <c r="B237" i="6"/>
  <c r="C237" i="6"/>
  <c r="D237" i="6"/>
  <c r="E237" i="6"/>
  <c r="F237" i="6"/>
  <c r="G237" i="6"/>
  <c r="H237" i="6"/>
  <c r="I237" i="6"/>
  <c r="J237" i="6"/>
  <c r="K237" i="6"/>
  <c r="L237" i="6"/>
  <c r="M237" i="6"/>
  <c r="N237" i="6"/>
  <c r="O237" i="6"/>
  <c r="B238" i="6"/>
  <c r="C238" i="6"/>
  <c r="D238" i="6"/>
  <c r="E238" i="6"/>
  <c r="F238" i="6"/>
  <c r="G238" i="6"/>
  <c r="H238" i="6"/>
  <c r="I238" i="6"/>
  <c r="J238" i="6"/>
  <c r="K238" i="6"/>
  <c r="L238" i="6"/>
  <c r="M238" i="6"/>
  <c r="N238" i="6"/>
  <c r="O238" i="6"/>
  <c r="B239" i="6"/>
  <c r="C239" i="6"/>
  <c r="D239" i="6"/>
  <c r="E239" i="6"/>
  <c r="F239" i="6"/>
  <c r="G239" i="6"/>
  <c r="H239" i="6"/>
  <c r="I239" i="6"/>
  <c r="J239" i="6"/>
  <c r="K239" i="6"/>
  <c r="L239" i="6"/>
  <c r="M239" i="6"/>
  <c r="N239" i="6"/>
  <c r="O239" i="6"/>
  <c r="B240" i="6"/>
  <c r="C240" i="6"/>
  <c r="D240" i="6"/>
  <c r="E240" i="6"/>
  <c r="F240" i="6"/>
  <c r="G240" i="6"/>
  <c r="H240" i="6"/>
  <c r="I240" i="6"/>
  <c r="J240" i="6"/>
  <c r="K240" i="6"/>
  <c r="L240" i="6"/>
  <c r="M240" i="6"/>
  <c r="N240" i="6"/>
  <c r="O240" i="6"/>
  <c r="B241" i="6"/>
  <c r="C241" i="6"/>
  <c r="D241" i="6"/>
  <c r="E241" i="6"/>
  <c r="F241" i="6"/>
  <c r="G241" i="6"/>
  <c r="H241" i="6"/>
  <c r="I241" i="6"/>
  <c r="J241" i="6"/>
  <c r="K241" i="6"/>
  <c r="L241" i="6"/>
  <c r="M241" i="6"/>
  <c r="N241" i="6"/>
  <c r="O241" i="6"/>
  <c r="B242" i="6"/>
  <c r="C242" i="6"/>
  <c r="D242" i="6"/>
  <c r="E242" i="6"/>
  <c r="F242" i="6"/>
  <c r="G242" i="6"/>
  <c r="H242" i="6"/>
  <c r="I242" i="6"/>
  <c r="J242" i="6"/>
  <c r="K242" i="6"/>
  <c r="L242" i="6"/>
  <c r="M242" i="6"/>
  <c r="N242" i="6"/>
  <c r="O242" i="6"/>
  <c r="B243" i="6"/>
  <c r="C243" i="6"/>
  <c r="D243" i="6"/>
  <c r="E243" i="6"/>
  <c r="F243" i="6"/>
  <c r="G243" i="6"/>
  <c r="H243" i="6"/>
  <c r="I243" i="6"/>
  <c r="J243" i="6"/>
  <c r="K243" i="6"/>
  <c r="L243" i="6"/>
  <c r="M243" i="6"/>
  <c r="N243" i="6"/>
  <c r="O243" i="6"/>
  <c r="B244" i="6"/>
  <c r="C244" i="6"/>
  <c r="D244" i="6"/>
  <c r="E244" i="6"/>
  <c r="F244" i="6"/>
  <c r="G244" i="6"/>
  <c r="H244" i="6"/>
  <c r="I244" i="6"/>
  <c r="J244" i="6"/>
  <c r="K244" i="6"/>
  <c r="L244" i="6"/>
  <c r="M244" i="6"/>
  <c r="N244" i="6"/>
  <c r="O244" i="6"/>
  <c r="B245" i="6"/>
  <c r="C245" i="6"/>
  <c r="D245" i="6"/>
  <c r="E245" i="6"/>
  <c r="F245" i="6"/>
  <c r="G245" i="6"/>
  <c r="H245" i="6"/>
  <c r="I245" i="6"/>
  <c r="J245" i="6"/>
  <c r="K245" i="6"/>
  <c r="L245" i="6"/>
  <c r="M245" i="6"/>
  <c r="N245" i="6"/>
  <c r="O245" i="6"/>
  <c r="B246" i="6"/>
  <c r="C246" i="6"/>
  <c r="D246" i="6"/>
  <c r="E246" i="6"/>
  <c r="F246" i="6"/>
  <c r="G246" i="6"/>
  <c r="H246" i="6"/>
  <c r="I246" i="6"/>
  <c r="J246" i="6"/>
  <c r="K246" i="6"/>
  <c r="L246" i="6"/>
  <c r="M246" i="6"/>
  <c r="N246" i="6"/>
  <c r="O246" i="6"/>
  <c r="B247" i="6"/>
  <c r="C247" i="6"/>
  <c r="D247" i="6"/>
  <c r="E247" i="6"/>
  <c r="F247" i="6"/>
  <c r="G247" i="6"/>
  <c r="H247" i="6"/>
  <c r="I247" i="6"/>
  <c r="J247" i="6"/>
  <c r="K247" i="6"/>
  <c r="L247" i="6"/>
  <c r="M247" i="6"/>
  <c r="N247" i="6"/>
  <c r="O247" i="6"/>
  <c r="B248" i="6"/>
  <c r="C248" i="6"/>
  <c r="D248" i="6"/>
  <c r="E248" i="6"/>
  <c r="F248" i="6"/>
  <c r="G248" i="6"/>
  <c r="H248" i="6"/>
  <c r="I248" i="6"/>
  <c r="J248" i="6"/>
  <c r="K248" i="6"/>
  <c r="L248" i="6"/>
  <c r="M248" i="6"/>
  <c r="N248" i="6"/>
  <c r="O248" i="6"/>
  <c r="B249" i="6"/>
  <c r="C249" i="6"/>
  <c r="D249" i="6"/>
  <c r="E249" i="6"/>
  <c r="F249" i="6"/>
  <c r="G249" i="6"/>
  <c r="H249" i="6"/>
  <c r="I249" i="6"/>
  <c r="J249" i="6"/>
  <c r="K249" i="6"/>
  <c r="L249" i="6"/>
  <c r="M249" i="6"/>
  <c r="N249" i="6"/>
  <c r="O249" i="6"/>
  <c r="B250" i="6"/>
  <c r="C250" i="6"/>
  <c r="D250" i="6"/>
  <c r="E250" i="6"/>
  <c r="F250" i="6"/>
  <c r="G250" i="6"/>
  <c r="H250" i="6"/>
  <c r="I250" i="6"/>
  <c r="J250" i="6"/>
  <c r="K250" i="6"/>
  <c r="L250" i="6"/>
  <c r="M250" i="6"/>
  <c r="N250" i="6"/>
  <c r="O250" i="6"/>
  <c r="B251" i="6"/>
  <c r="C251" i="6"/>
  <c r="D251" i="6"/>
  <c r="E251" i="6"/>
  <c r="F251" i="6"/>
  <c r="G251" i="6"/>
  <c r="H251" i="6"/>
  <c r="I251" i="6"/>
  <c r="J251" i="6"/>
  <c r="K251" i="6"/>
  <c r="L251" i="6"/>
  <c r="M251" i="6"/>
  <c r="N251" i="6"/>
  <c r="O251" i="6"/>
  <c r="B252" i="6"/>
  <c r="C252" i="6"/>
  <c r="D252" i="6"/>
  <c r="E252" i="6"/>
  <c r="F252" i="6"/>
  <c r="G252" i="6"/>
  <c r="H252" i="6"/>
  <c r="I252" i="6"/>
  <c r="J252" i="6"/>
  <c r="K252" i="6"/>
  <c r="L252" i="6"/>
  <c r="M252" i="6"/>
  <c r="N252" i="6"/>
  <c r="O252" i="6"/>
  <c r="B253" i="6"/>
  <c r="C253" i="6"/>
  <c r="D253" i="6"/>
  <c r="E253" i="6"/>
  <c r="F253" i="6"/>
  <c r="G253" i="6"/>
  <c r="H253" i="6"/>
  <c r="I253" i="6"/>
  <c r="J253" i="6"/>
  <c r="K253" i="6"/>
  <c r="L253" i="6"/>
  <c r="M253" i="6"/>
  <c r="N253" i="6"/>
  <c r="O253" i="6"/>
  <c r="B254" i="6"/>
  <c r="C254" i="6"/>
  <c r="D254" i="6"/>
  <c r="E254" i="6"/>
  <c r="F254" i="6"/>
  <c r="G254" i="6"/>
  <c r="H254" i="6"/>
  <c r="I254" i="6"/>
  <c r="J254" i="6"/>
  <c r="K254" i="6"/>
  <c r="L254" i="6"/>
  <c r="M254" i="6"/>
  <c r="N254" i="6"/>
  <c r="O254" i="6"/>
  <c r="B255" i="6"/>
  <c r="C255" i="6"/>
  <c r="D255" i="6"/>
  <c r="E255" i="6"/>
  <c r="F255" i="6"/>
  <c r="G255" i="6"/>
  <c r="H255" i="6"/>
  <c r="I255" i="6"/>
  <c r="J255" i="6"/>
  <c r="K255" i="6"/>
  <c r="L255" i="6"/>
  <c r="M255" i="6"/>
  <c r="N255" i="6"/>
  <c r="O255" i="6"/>
  <c r="B256" i="6"/>
  <c r="C256" i="6"/>
  <c r="D256" i="6"/>
  <c r="E256" i="6"/>
  <c r="F256" i="6"/>
  <c r="G256" i="6"/>
  <c r="H256" i="6"/>
  <c r="I256" i="6"/>
  <c r="J256" i="6"/>
  <c r="K256" i="6"/>
  <c r="L256" i="6"/>
  <c r="M256" i="6"/>
  <c r="N256" i="6"/>
  <c r="O256" i="6"/>
  <c r="B257" i="6"/>
  <c r="C257" i="6"/>
  <c r="D257" i="6"/>
  <c r="E257" i="6"/>
  <c r="F257" i="6"/>
  <c r="G257" i="6"/>
  <c r="H257" i="6"/>
  <c r="I257" i="6"/>
  <c r="J257" i="6"/>
  <c r="K257" i="6"/>
  <c r="L257" i="6"/>
  <c r="M257" i="6"/>
  <c r="N257" i="6"/>
  <c r="O257" i="6"/>
  <c r="B258" i="6"/>
  <c r="C258" i="6"/>
  <c r="D258" i="6"/>
  <c r="E258" i="6"/>
  <c r="F258" i="6"/>
  <c r="G258" i="6"/>
  <c r="H258" i="6"/>
  <c r="I258" i="6"/>
  <c r="J258" i="6"/>
  <c r="K258" i="6"/>
  <c r="L258" i="6"/>
  <c r="M258" i="6"/>
  <c r="N258" i="6"/>
  <c r="O258" i="6"/>
  <c r="B259" i="6"/>
  <c r="C259" i="6"/>
  <c r="D259" i="6"/>
  <c r="E259" i="6"/>
  <c r="F259" i="6"/>
  <c r="G259" i="6"/>
  <c r="H259" i="6"/>
  <c r="I259" i="6"/>
  <c r="J259" i="6"/>
  <c r="K259" i="6"/>
  <c r="L259" i="6"/>
  <c r="M259" i="6"/>
  <c r="N259" i="6"/>
  <c r="O259" i="6"/>
  <c r="B260" i="6"/>
  <c r="C260" i="6"/>
  <c r="D260" i="6"/>
  <c r="E260" i="6"/>
  <c r="F260" i="6"/>
  <c r="G260" i="6"/>
  <c r="H260" i="6"/>
  <c r="I260" i="6"/>
  <c r="J260" i="6"/>
  <c r="K260" i="6"/>
  <c r="L260" i="6"/>
  <c r="M260" i="6"/>
  <c r="N260" i="6"/>
  <c r="O260" i="6"/>
  <c r="B261" i="6"/>
  <c r="C261" i="6"/>
  <c r="D261" i="6"/>
  <c r="E261" i="6"/>
  <c r="F261" i="6"/>
  <c r="G261" i="6"/>
  <c r="H261" i="6"/>
  <c r="I261" i="6"/>
  <c r="J261" i="6"/>
  <c r="K261" i="6"/>
  <c r="L261" i="6"/>
  <c r="M261" i="6"/>
  <c r="N261" i="6"/>
  <c r="O261" i="6"/>
  <c r="B262" i="6"/>
  <c r="C262" i="6"/>
  <c r="D262" i="6"/>
  <c r="E262" i="6"/>
  <c r="F262" i="6"/>
  <c r="G262" i="6"/>
  <c r="H262" i="6"/>
  <c r="I262" i="6"/>
  <c r="J262" i="6"/>
  <c r="K262" i="6"/>
  <c r="L262" i="6"/>
  <c r="M262" i="6"/>
  <c r="N262" i="6"/>
  <c r="O262" i="6"/>
  <c r="B263" i="6"/>
  <c r="C263" i="6"/>
  <c r="D263" i="6"/>
  <c r="E263" i="6"/>
  <c r="F263" i="6"/>
  <c r="G263" i="6"/>
  <c r="H263" i="6"/>
  <c r="I263" i="6"/>
  <c r="J263" i="6"/>
  <c r="K263" i="6"/>
  <c r="L263" i="6"/>
  <c r="M263" i="6"/>
  <c r="N263" i="6"/>
  <c r="O263" i="6"/>
  <c r="B264" i="6"/>
  <c r="C264" i="6"/>
  <c r="D264" i="6"/>
  <c r="E264" i="6"/>
  <c r="F264" i="6"/>
  <c r="G264" i="6"/>
  <c r="H264" i="6"/>
  <c r="I264" i="6"/>
  <c r="J264" i="6"/>
  <c r="K264" i="6"/>
  <c r="L264" i="6"/>
  <c r="M264" i="6"/>
  <c r="N264" i="6"/>
  <c r="O264" i="6"/>
  <c r="B265" i="6"/>
  <c r="C265" i="6"/>
  <c r="D265" i="6"/>
  <c r="E265" i="6"/>
  <c r="F265" i="6"/>
  <c r="G265" i="6"/>
  <c r="H265" i="6"/>
  <c r="I265" i="6"/>
  <c r="J265" i="6"/>
  <c r="K265" i="6"/>
  <c r="L265" i="6"/>
  <c r="M265" i="6"/>
  <c r="N265" i="6"/>
  <c r="O265" i="6"/>
  <c r="B266" i="6"/>
  <c r="C266" i="6"/>
  <c r="D266" i="6"/>
  <c r="E266" i="6"/>
  <c r="F266" i="6"/>
  <c r="G266" i="6"/>
  <c r="H266" i="6"/>
  <c r="I266" i="6"/>
  <c r="J266" i="6"/>
  <c r="K266" i="6"/>
  <c r="L266" i="6"/>
  <c r="M266" i="6"/>
  <c r="N266" i="6"/>
  <c r="O266" i="6"/>
  <c r="B267" i="6"/>
  <c r="C267" i="6"/>
  <c r="D267" i="6"/>
  <c r="E267" i="6"/>
  <c r="F267" i="6"/>
  <c r="G267" i="6"/>
  <c r="H267" i="6"/>
  <c r="I267" i="6"/>
  <c r="J267" i="6"/>
  <c r="K267" i="6"/>
  <c r="L267" i="6"/>
  <c r="M267" i="6"/>
  <c r="N267" i="6"/>
  <c r="O267" i="6"/>
  <c r="B268" i="6"/>
  <c r="C268" i="6"/>
  <c r="D268" i="6"/>
  <c r="E268" i="6"/>
  <c r="F268" i="6"/>
  <c r="G268" i="6"/>
  <c r="H268" i="6"/>
  <c r="I268" i="6"/>
  <c r="J268" i="6"/>
  <c r="K268" i="6"/>
  <c r="L268" i="6"/>
  <c r="M268" i="6"/>
  <c r="N268" i="6"/>
  <c r="O268" i="6"/>
  <c r="B269" i="6"/>
  <c r="C269" i="6"/>
  <c r="D269" i="6"/>
  <c r="E269" i="6"/>
  <c r="F269" i="6"/>
  <c r="G269" i="6"/>
  <c r="H269" i="6"/>
  <c r="I269" i="6"/>
  <c r="J269" i="6"/>
  <c r="K269" i="6"/>
  <c r="L269" i="6"/>
  <c r="M269" i="6"/>
  <c r="N269" i="6"/>
  <c r="O269" i="6"/>
  <c r="B270" i="6"/>
  <c r="C270" i="6"/>
  <c r="D270" i="6"/>
  <c r="E270" i="6"/>
  <c r="F270" i="6"/>
  <c r="G270" i="6"/>
  <c r="H270" i="6"/>
  <c r="I270" i="6"/>
  <c r="J270" i="6"/>
  <c r="K270" i="6"/>
  <c r="L270" i="6"/>
  <c r="M270" i="6"/>
  <c r="N270" i="6"/>
  <c r="O270" i="6"/>
  <c r="B271" i="6"/>
  <c r="C271" i="6"/>
  <c r="D271" i="6"/>
  <c r="E271" i="6"/>
  <c r="F271" i="6"/>
  <c r="G271" i="6"/>
  <c r="H271" i="6"/>
  <c r="I271" i="6"/>
  <c r="J271" i="6"/>
  <c r="K271" i="6"/>
  <c r="L271" i="6"/>
  <c r="M271" i="6"/>
  <c r="N271" i="6"/>
  <c r="O271" i="6"/>
  <c r="B272" i="6"/>
  <c r="C272" i="6"/>
  <c r="D272" i="6"/>
  <c r="E272" i="6"/>
  <c r="F272" i="6"/>
  <c r="G272" i="6"/>
  <c r="H272" i="6"/>
  <c r="I272" i="6"/>
  <c r="J272" i="6"/>
  <c r="K272" i="6"/>
  <c r="L272" i="6"/>
  <c r="M272" i="6"/>
  <c r="N272" i="6"/>
  <c r="O272" i="6"/>
  <c r="B273" i="6"/>
  <c r="C273" i="6"/>
  <c r="D273" i="6"/>
  <c r="E273" i="6"/>
  <c r="F273" i="6"/>
  <c r="G273" i="6"/>
  <c r="H273" i="6"/>
  <c r="I273" i="6"/>
  <c r="J273" i="6"/>
  <c r="K273" i="6"/>
  <c r="L273" i="6"/>
  <c r="M273" i="6"/>
  <c r="N273" i="6"/>
  <c r="O273" i="6"/>
  <c r="B274" i="6"/>
  <c r="C274" i="6"/>
  <c r="D274" i="6"/>
  <c r="E274" i="6"/>
  <c r="F274" i="6"/>
  <c r="G274" i="6"/>
  <c r="H274" i="6"/>
  <c r="I274" i="6"/>
  <c r="J274" i="6"/>
  <c r="K274" i="6"/>
  <c r="L274" i="6"/>
  <c r="M274" i="6"/>
  <c r="N274" i="6"/>
  <c r="O274" i="6"/>
  <c r="B275" i="6"/>
  <c r="C275" i="6"/>
  <c r="D275" i="6"/>
  <c r="E275" i="6"/>
  <c r="F275" i="6"/>
  <c r="G275" i="6"/>
  <c r="H275" i="6"/>
  <c r="I275" i="6"/>
  <c r="J275" i="6"/>
  <c r="K275" i="6"/>
  <c r="L275" i="6"/>
  <c r="M275" i="6"/>
  <c r="N275" i="6"/>
  <c r="O275" i="6"/>
  <c r="B276" i="6"/>
  <c r="C276" i="6"/>
  <c r="D276" i="6"/>
  <c r="E276" i="6"/>
  <c r="F276" i="6"/>
  <c r="G276" i="6"/>
  <c r="H276" i="6"/>
  <c r="I276" i="6"/>
  <c r="J276" i="6"/>
  <c r="K276" i="6"/>
  <c r="L276" i="6"/>
  <c r="M276" i="6"/>
  <c r="N276" i="6"/>
  <c r="O276" i="6"/>
  <c r="B277" i="6"/>
  <c r="C277" i="6"/>
  <c r="D277" i="6"/>
  <c r="E277" i="6"/>
  <c r="F277" i="6"/>
  <c r="G277" i="6"/>
  <c r="H277" i="6"/>
  <c r="I277" i="6"/>
  <c r="J277" i="6"/>
  <c r="K277" i="6"/>
  <c r="L277" i="6"/>
  <c r="M277" i="6"/>
  <c r="N277" i="6"/>
  <c r="O277" i="6"/>
  <c r="B278" i="6"/>
  <c r="C278" i="6"/>
  <c r="D278" i="6"/>
  <c r="E278" i="6"/>
  <c r="F278" i="6"/>
  <c r="G278" i="6"/>
  <c r="H278" i="6"/>
  <c r="I278" i="6"/>
  <c r="J278" i="6"/>
  <c r="K278" i="6"/>
  <c r="L278" i="6"/>
  <c r="M278" i="6"/>
  <c r="N278" i="6"/>
  <c r="O278" i="6"/>
  <c r="B279" i="6"/>
  <c r="C279" i="6"/>
  <c r="D279" i="6"/>
  <c r="E279" i="6"/>
  <c r="F279" i="6"/>
  <c r="G279" i="6"/>
  <c r="H279" i="6"/>
  <c r="I279" i="6"/>
  <c r="J279" i="6"/>
  <c r="K279" i="6"/>
  <c r="L279" i="6"/>
  <c r="M279" i="6"/>
  <c r="N279" i="6"/>
  <c r="O279" i="6"/>
  <c r="B280" i="6"/>
  <c r="C280" i="6"/>
  <c r="D280" i="6"/>
  <c r="E280" i="6"/>
  <c r="F280" i="6"/>
  <c r="G280" i="6"/>
  <c r="H280" i="6"/>
  <c r="I280" i="6"/>
  <c r="J280" i="6"/>
  <c r="K280" i="6"/>
  <c r="L280" i="6"/>
  <c r="M280" i="6"/>
  <c r="N280" i="6"/>
  <c r="O280" i="6"/>
  <c r="B281" i="6"/>
  <c r="C281" i="6"/>
  <c r="D281" i="6"/>
  <c r="E281" i="6"/>
  <c r="F281" i="6"/>
  <c r="G281" i="6"/>
  <c r="H281" i="6"/>
  <c r="I281" i="6"/>
  <c r="J281" i="6"/>
  <c r="K281" i="6"/>
  <c r="L281" i="6"/>
  <c r="M281" i="6"/>
  <c r="N281" i="6"/>
  <c r="O281" i="6"/>
  <c r="B282" i="6"/>
  <c r="C282" i="6"/>
  <c r="D282" i="6"/>
  <c r="E282" i="6"/>
  <c r="F282" i="6"/>
  <c r="G282" i="6"/>
  <c r="H282" i="6"/>
  <c r="I282" i="6"/>
  <c r="J282" i="6"/>
  <c r="K282" i="6"/>
  <c r="L282" i="6"/>
  <c r="M282" i="6"/>
  <c r="N282" i="6"/>
  <c r="O282" i="6"/>
  <c r="B283" i="6"/>
  <c r="C283" i="6"/>
  <c r="D283" i="6"/>
  <c r="E283" i="6"/>
  <c r="F283" i="6"/>
  <c r="G283" i="6"/>
  <c r="H283" i="6"/>
  <c r="I283" i="6"/>
  <c r="J283" i="6"/>
  <c r="K283" i="6"/>
  <c r="L283" i="6"/>
  <c r="M283" i="6"/>
  <c r="N283" i="6"/>
  <c r="O283" i="6"/>
  <c r="B284" i="6"/>
  <c r="C284" i="6"/>
  <c r="D284" i="6"/>
  <c r="E284" i="6"/>
  <c r="F284" i="6"/>
  <c r="G284" i="6"/>
  <c r="H284" i="6"/>
  <c r="I284" i="6"/>
  <c r="J284" i="6"/>
  <c r="K284" i="6"/>
  <c r="L284" i="6"/>
  <c r="M284" i="6"/>
  <c r="N284" i="6"/>
  <c r="O284" i="6"/>
  <c r="B285" i="6"/>
  <c r="C285" i="6"/>
  <c r="D285" i="6"/>
  <c r="E285" i="6"/>
  <c r="F285" i="6"/>
  <c r="G285" i="6"/>
  <c r="H285" i="6"/>
  <c r="I285" i="6"/>
  <c r="J285" i="6"/>
  <c r="K285" i="6"/>
  <c r="L285" i="6"/>
  <c r="M285" i="6"/>
  <c r="N285" i="6"/>
  <c r="O285" i="6"/>
  <c r="B286" i="6"/>
  <c r="C286" i="6"/>
  <c r="D286" i="6"/>
  <c r="E286" i="6"/>
  <c r="F286" i="6"/>
  <c r="G286" i="6"/>
  <c r="H286" i="6"/>
  <c r="I286" i="6"/>
  <c r="J286" i="6"/>
  <c r="K286" i="6"/>
  <c r="L286" i="6"/>
  <c r="M286" i="6"/>
  <c r="N286" i="6"/>
  <c r="O286" i="6"/>
  <c r="B287" i="6"/>
  <c r="C287" i="6"/>
  <c r="D287" i="6"/>
  <c r="E287" i="6"/>
  <c r="F287" i="6"/>
  <c r="G287" i="6"/>
  <c r="H287" i="6"/>
  <c r="I287" i="6"/>
  <c r="J287" i="6"/>
  <c r="K287" i="6"/>
  <c r="L287" i="6"/>
  <c r="M287" i="6"/>
  <c r="N287" i="6"/>
  <c r="O287" i="6"/>
  <c r="B288" i="6"/>
  <c r="C288" i="6"/>
  <c r="D288" i="6"/>
  <c r="E288" i="6"/>
  <c r="F288" i="6"/>
  <c r="G288" i="6"/>
  <c r="H288" i="6"/>
  <c r="I288" i="6"/>
  <c r="J288" i="6"/>
  <c r="K288" i="6"/>
  <c r="L288" i="6"/>
  <c r="M288" i="6"/>
  <c r="N288" i="6"/>
  <c r="O288" i="6"/>
  <c r="B289" i="6"/>
  <c r="C289" i="6"/>
  <c r="D289" i="6"/>
  <c r="E289" i="6"/>
  <c r="F289" i="6"/>
  <c r="G289" i="6"/>
  <c r="H289" i="6"/>
  <c r="I289" i="6"/>
  <c r="J289" i="6"/>
  <c r="K289" i="6"/>
  <c r="L289" i="6"/>
  <c r="M289" i="6"/>
  <c r="N289" i="6"/>
  <c r="O289" i="6"/>
  <c r="B290" i="6"/>
  <c r="C290" i="6"/>
  <c r="D290" i="6"/>
  <c r="E290" i="6"/>
  <c r="F290" i="6"/>
  <c r="G290" i="6"/>
  <c r="H290" i="6"/>
  <c r="I290" i="6"/>
  <c r="J290" i="6"/>
  <c r="K290" i="6"/>
  <c r="L290" i="6"/>
  <c r="M290" i="6"/>
  <c r="N290" i="6"/>
  <c r="O290" i="6"/>
  <c r="B291" i="6"/>
  <c r="C291" i="6"/>
  <c r="D291" i="6"/>
  <c r="E291" i="6"/>
  <c r="F291" i="6"/>
  <c r="G291" i="6"/>
  <c r="H291" i="6"/>
  <c r="I291" i="6"/>
  <c r="J291" i="6"/>
  <c r="K291" i="6"/>
  <c r="L291" i="6"/>
  <c r="M291" i="6"/>
  <c r="N291" i="6"/>
  <c r="O291" i="6"/>
  <c r="B292" i="6"/>
  <c r="C292" i="6"/>
  <c r="D292" i="6"/>
  <c r="E292" i="6"/>
  <c r="F292" i="6"/>
  <c r="G292" i="6"/>
  <c r="H292" i="6"/>
  <c r="I292" i="6"/>
  <c r="J292" i="6"/>
  <c r="K292" i="6"/>
  <c r="L292" i="6"/>
  <c r="M292" i="6"/>
  <c r="N292" i="6"/>
  <c r="O292" i="6"/>
  <c r="B293" i="6"/>
  <c r="C293" i="6"/>
  <c r="D293" i="6"/>
  <c r="E293" i="6"/>
  <c r="F293" i="6"/>
  <c r="G293" i="6"/>
  <c r="H293" i="6"/>
  <c r="I293" i="6"/>
  <c r="J293" i="6"/>
  <c r="K293" i="6"/>
  <c r="L293" i="6"/>
  <c r="M293" i="6"/>
  <c r="N293" i="6"/>
  <c r="O293" i="6"/>
  <c r="B294" i="6"/>
  <c r="C294" i="6"/>
  <c r="D294" i="6"/>
  <c r="E294" i="6"/>
  <c r="F294" i="6"/>
  <c r="G294" i="6"/>
  <c r="H294" i="6"/>
  <c r="I294" i="6"/>
  <c r="J294" i="6"/>
  <c r="K294" i="6"/>
  <c r="L294" i="6"/>
  <c r="M294" i="6"/>
  <c r="N294" i="6"/>
  <c r="O294" i="6"/>
  <c r="B295" i="6"/>
  <c r="C295" i="6"/>
  <c r="D295" i="6"/>
  <c r="E295" i="6"/>
  <c r="F295" i="6"/>
  <c r="G295" i="6"/>
  <c r="H295" i="6"/>
  <c r="I295" i="6"/>
  <c r="J295" i="6"/>
  <c r="K295" i="6"/>
  <c r="L295" i="6"/>
  <c r="M295" i="6"/>
  <c r="N295" i="6"/>
  <c r="O295" i="6"/>
  <c r="B296" i="6"/>
  <c r="C296" i="6"/>
  <c r="D296" i="6"/>
  <c r="E296" i="6"/>
  <c r="F296" i="6"/>
  <c r="G296" i="6"/>
  <c r="H296" i="6"/>
  <c r="I296" i="6"/>
  <c r="J296" i="6"/>
  <c r="K296" i="6"/>
  <c r="L296" i="6"/>
  <c r="M296" i="6"/>
  <c r="N296" i="6"/>
  <c r="O296" i="6"/>
  <c r="B297" i="6"/>
  <c r="C297" i="6"/>
  <c r="D297" i="6"/>
  <c r="E297" i="6"/>
  <c r="F297" i="6"/>
  <c r="G297" i="6"/>
  <c r="H297" i="6"/>
  <c r="I297" i="6"/>
  <c r="J297" i="6"/>
  <c r="K297" i="6"/>
  <c r="L297" i="6"/>
  <c r="M297" i="6"/>
  <c r="N297" i="6"/>
  <c r="O297" i="6"/>
  <c r="B298" i="6"/>
  <c r="C298" i="6"/>
  <c r="D298" i="6"/>
  <c r="E298" i="6"/>
  <c r="F298" i="6"/>
  <c r="G298" i="6"/>
  <c r="H298" i="6"/>
  <c r="I298" i="6"/>
  <c r="J298" i="6"/>
  <c r="K298" i="6"/>
  <c r="L298" i="6"/>
  <c r="M298" i="6"/>
  <c r="N298" i="6"/>
  <c r="O298" i="6"/>
  <c r="B299" i="6"/>
  <c r="C299" i="6"/>
  <c r="D299" i="6"/>
  <c r="E299" i="6"/>
  <c r="F299" i="6"/>
  <c r="G299" i="6"/>
  <c r="H299" i="6"/>
  <c r="I299" i="6"/>
  <c r="J299" i="6"/>
  <c r="K299" i="6"/>
  <c r="L299" i="6"/>
  <c r="M299" i="6"/>
  <c r="N299" i="6"/>
  <c r="O299" i="6"/>
  <c r="B300" i="6"/>
  <c r="C300" i="6"/>
  <c r="D300" i="6"/>
  <c r="E300" i="6"/>
  <c r="F300" i="6"/>
  <c r="G300" i="6"/>
  <c r="H300" i="6"/>
  <c r="I300" i="6"/>
  <c r="J300" i="6"/>
  <c r="K300" i="6"/>
  <c r="L300" i="6"/>
  <c r="M300" i="6"/>
  <c r="N300" i="6"/>
  <c r="O300" i="6"/>
  <c r="B301" i="6"/>
  <c r="C301" i="6"/>
  <c r="D301" i="6"/>
  <c r="E301" i="6"/>
  <c r="F301" i="6"/>
  <c r="G301" i="6"/>
  <c r="H301" i="6"/>
  <c r="I301" i="6"/>
  <c r="J301" i="6"/>
  <c r="K301" i="6"/>
  <c r="L301" i="6"/>
  <c r="M301" i="6"/>
  <c r="N301" i="6"/>
  <c r="O301" i="6"/>
  <c r="B302" i="6"/>
  <c r="C302" i="6"/>
  <c r="D302" i="6"/>
  <c r="E302" i="6"/>
  <c r="F302" i="6"/>
  <c r="G302" i="6"/>
  <c r="H302" i="6"/>
  <c r="I302" i="6"/>
  <c r="J302" i="6"/>
  <c r="K302" i="6"/>
  <c r="L302" i="6"/>
  <c r="M302" i="6"/>
  <c r="N302" i="6"/>
  <c r="O302" i="6"/>
  <c r="B303" i="6"/>
  <c r="C303" i="6"/>
  <c r="D303" i="6"/>
  <c r="E303" i="6"/>
  <c r="F303" i="6"/>
  <c r="G303" i="6"/>
  <c r="H303" i="6"/>
  <c r="I303" i="6"/>
  <c r="J303" i="6"/>
  <c r="K303" i="6"/>
  <c r="L303" i="6"/>
  <c r="M303" i="6"/>
  <c r="N303" i="6"/>
  <c r="O303" i="6"/>
  <c r="B304" i="6"/>
  <c r="C304" i="6"/>
  <c r="D304" i="6"/>
  <c r="E304" i="6"/>
  <c r="F304" i="6"/>
  <c r="G304" i="6"/>
  <c r="H304" i="6"/>
  <c r="I304" i="6"/>
  <c r="J304" i="6"/>
  <c r="K304" i="6"/>
  <c r="L304" i="6"/>
  <c r="M304" i="6"/>
  <c r="N304" i="6"/>
  <c r="O304" i="6"/>
  <c r="B305" i="6"/>
  <c r="C305" i="6"/>
  <c r="D305" i="6"/>
  <c r="E305" i="6"/>
  <c r="F305" i="6"/>
  <c r="G305" i="6"/>
  <c r="H305" i="6"/>
  <c r="I305" i="6"/>
  <c r="J305" i="6"/>
  <c r="K305" i="6"/>
  <c r="L305" i="6"/>
  <c r="M305" i="6"/>
  <c r="N305" i="6"/>
  <c r="O305" i="6"/>
  <c r="B306" i="6"/>
  <c r="C306" i="6"/>
  <c r="D306" i="6"/>
  <c r="E306" i="6"/>
  <c r="F306" i="6"/>
  <c r="G306" i="6"/>
  <c r="H306" i="6"/>
  <c r="I306" i="6"/>
  <c r="J306" i="6"/>
  <c r="K306" i="6"/>
  <c r="L306" i="6"/>
  <c r="M306" i="6"/>
  <c r="N306" i="6"/>
  <c r="O306" i="6"/>
  <c r="B307" i="6"/>
  <c r="C307" i="6"/>
  <c r="D307" i="6"/>
  <c r="E307" i="6"/>
  <c r="F307" i="6"/>
  <c r="G307" i="6"/>
  <c r="H307" i="6"/>
  <c r="I307" i="6"/>
  <c r="J307" i="6"/>
  <c r="K307" i="6"/>
  <c r="L307" i="6"/>
  <c r="M307" i="6"/>
  <c r="N307" i="6"/>
  <c r="O307" i="6"/>
  <c r="B308" i="6"/>
  <c r="C308" i="6"/>
  <c r="D308" i="6"/>
  <c r="E308" i="6"/>
  <c r="F308" i="6"/>
  <c r="G308" i="6"/>
  <c r="H308" i="6"/>
  <c r="I308" i="6"/>
  <c r="J308" i="6"/>
  <c r="K308" i="6"/>
  <c r="L308" i="6"/>
  <c r="M308" i="6"/>
  <c r="N308" i="6"/>
  <c r="O308" i="6"/>
  <c r="B309" i="6"/>
  <c r="C309" i="6"/>
  <c r="D309" i="6"/>
  <c r="E309" i="6"/>
  <c r="F309" i="6"/>
  <c r="G309" i="6"/>
  <c r="H309" i="6"/>
  <c r="I309" i="6"/>
  <c r="J309" i="6"/>
  <c r="K309" i="6"/>
  <c r="L309" i="6"/>
  <c r="M309" i="6"/>
  <c r="N309" i="6"/>
  <c r="O309" i="6"/>
  <c r="B310" i="6"/>
  <c r="C310" i="6"/>
  <c r="D310" i="6"/>
  <c r="E310" i="6"/>
  <c r="F310" i="6"/>
  <c r="G310" i="6"/>
  <c r="H310" i="6"/>
  <c r="I310" i="6"/>
  <c r="J310" i="6"/>
  <c r="K310" i="6"/>
  <c r="L310" i="6"/>
  <c r="M310" i="6"/>
  <c r="N310" i="6"/>
  <c r="O310" i="6"/>
  <c r="B311" i="6"/>
  <c r="C311" i="6"/>
  <c r="D311" i="6"/>
  <c r="E311" i="6"/>
  <c r="F311" i="6"/>
  <c r="G311" i="6"/>
  <c r="H311" i="6"/>
  <c r="I311" i="6"/>
  <c r="J311" i="6"/>
  <c r="K311" i="6"/>
  <c r="L311" i="6"/>
  <c r="M311" i="6"/>
  <c r="N311" i="6"/>
  <c r="O311" i="6"/>
  <c r="B312" i="6"/>
  <c r="C312" i="6"/>
  <c r="D312" i="6"/>
  <c r="E312" i="6"/>
  <c r="F312" i="6"/>
  <c r="G312" i="6"/>
  <c r="H312" i="6"/>
  <c r="I312" i="6"/>
  <c r="J312" i="6"/>
  <c r="K312" i="6"/>
  <c r="L312" i="6"/>
  <c r="M312" i="6"/>
  <c r="N312" i="6"/>
  <c r="O312" i="6"/>
  <c r="B313" i="6"/>
  <c r="C313" i="6"/>
  <c r="D313" i="6"/>
  <c r="E313" i="6"/>
  <c r="F313" i="6"/>
  <c r="G313" i="6"/>
  <c r="H313" i="6"/>
  <c r="I313" i="6"/>
  <c r="J313" i="6"/>
  <c r="K313" i="6"/>
  <c r="L313" i="6"/>
  <c r="M313" i="6"/>
  <c r="N313" i="6"/>
  <c r="O313" i="6"/>
  <c r="B314" i="6"/>
  <c r="C314" i="6"/>
  <c r="D314" i="6"/>
  <c r="E314" i="6"/>
  <c r="F314" i="6"/>
  <c r="G314" i="6"/>
  <c r="H314" i="6"/>
  <c r="I314" i="6"/>
  <c r="J314" i="6"/>
  <c r="K314" i="6"/>
  <c r="L314" i="6"/>
  <c r="M314" i="6"/>
  <c r="N314" i="6"/>
  <c r="O314" i="6"/>
  <c r="B315" i="6"/>
  <c r="C315" i="6"/>
  <c r="D315" i="6"/>
  <c r="E315" i="6"/>
  <c r="F315" i="6"/>
  <c r="G315" i="6"/>
  <c r="H315" i="6"/>
  <c r="I315" i="6"/>
  <c r="J315" i="6"/>
  <c r="K315" i="6"/>
  <c r="L315" i="6"/>
  <c r="M315" i="6"/>
  <c r="N315" i="6"/>
  <c r="O315" i="6"/>
  <c r="B316" i="6"/>
  <c r="C316" i="6"/>
  <c r="D316" i="6"/>
  <c r="E316" i="6"/>
  <c r="F316" i="6"/>
  <c r="G316" i="6"/>
  <c r="H316" i="6"/>
  <c r="I316" i="6"/>
  <c r="J316" i="6"/>
  <c r="K316" i="6"/>
  <c r="L316" i="6"/>
  <c r="M316" i="6"/>
  <c r="N316" i="6"/>
  <c r="O316" i="6"/>
  <c r="B317" i="6"/>
  <c r="C317" i="6"/>
  <c r="D317" i="6"/>
  <c r="E317" i="6"/>
  <c r="F317" i="6"/>
  <c r="G317" i="6"/>
  <c r="H317" i="6"/>
  <c r="I317" i="6"/>
  <c r="J317" i="6"/>
  <c r="K317" i="6"/>
  <c r="L317" i="6"/>
  <c r="M317" i="6"/>
  <c r="N317" i="6"/>
  <c r="O317" i="6"/>
  <c r="B318" i="6"/>
  <c r="C318" i="6"/>
  <c r="D318" i="6"/>
  <c r="E318" i="6"/>
  <c r="F318" i="6"/>
  <c r="G318" i="6"/>
  <c r="H318" i="6"/>
  <c r="I318" i="6"/>
  <c r="J318" i="6"/>
  <c r="K318" i="6"/>
  <c r="L318" i="6"/>
  <c r="M318" i="6"/>
  <c r="N318" i="6"/>
  <c r="O318" i="6"/>
  <c r="B319" i="6"/>
  <c r="C319" i="6"/>
  <c r="D319" i="6"/>
  <c r="E319" i="6"/>
  <c r="F319" i="6"/>
  <c r="G319" i="6"/>
  <c r="H319" i="6"/>
  <c r="I319" i="6"/>
  <c r="J319" i="6"/>
  <c r="K319" i="6"/>
  <c r="L319" i="6"/>
  <c r="M319" i="6"/>
  <c r="N319" i="6"/>
  <c r="O319" i="6"/>
  <c r="B320" i="6"/>
  <c r="C320" i="6"/>
  <c r="D320" i="6"/>
  <c r="E320" i="6"/>
  <c r="F320" i="6"/>
  <c r="G320" i="6"/>
  <c r="H320" i="6"/>
  <c r="I320" i="6"/>
  <c r="J320" i="6"/>
  <c r="K320" i="6"/>
  <c r="L320" i="6"/>
  <c r="M320" i="6"/>
  <c r="N320" i="6"/>
  <c r="O320" i="6"/>
  <c r="B321" i="6"/>
  <c r="C321" i="6"/>
  <c r="D321" i="6"/>
  <c r="E321" i="6"/>
  <c r="F321" i="6"/>
  <c r="G321" i="6"/>
  <c r="H321" i="6"/>
  <c r="I321" i="6"/>
  <c r="J321" i="6"/>
  <c r="K321" i="6"/>
  <c r="L321" i="6"/>
  <c r="M321" i="6"/>
  <c r="N321" i="6"/>
  <c r="O321" i="6"/>
  <c r="B322" i="6"/>
  <c r="C322" i="6"/>
  <c r="D322" i="6"/>
  <c r="E322" i="6"/>
  <c r="F322" i="6"/>
  <c r="G322" i="6"/>
  <c r="H322" i="6"/>
  <c r="I322" i="6"/>
  <c r="J322" i="6"/>
  <c r="K322" i="6"/>
  <c r="L322" i="6"/>
  <c r="M322" i="6"/>
  <c r="N322" i="6"/>
  <c r="O322" i="6"/>
  <c r="B323" i="6"/>
  <c r="C323" i="6"/>
  <c r="D323" i="6"/>
  <c r="E323" i="6"/>
  <c r="F323" i="6"/>
  <c r="G323" i="6"/>
  <c r="H323" i="6"/>
  <c r="I323" i="6"/>
  <c r="J323" i="6"/>
  <c r="K323" i="6"/>
  <c r="L323" i="6"/>
  <c r="M323" i="6"/>
  <c r="N323" i="6"/>
  <c r="O323" i="6"/>
  <c r="B324" i="6"/>
  <c r="C324" i="6"/>
  <c r="D324" i="6"/>
  <c r="E324" i="6"/>
  <c r="F324" i="6"/>
  <c r="G324" i="6"/>
  <c r="H324" i="6"/>
  <c r="I324" i="6"/>
  <c r="J324" i="6"/>
  <c r="K324" i="6"/>
  <c r="L324" i="6"/>
  <c r="M324" i="6"/>
  <c r="N324" i="6"/>
  <c r="O324" i="6"/>
  <c r="B325" i="6"/>
  <c r="C325" i="6"/>
  <c r="D325" i="6"/>
  <c r="E325" i="6"/>
  <c r="F325" i="6"/>
  <c r="G325" i="6"/>
  <c r="H325" i="6"/>
  <c r="I325" i="6"/>
  <c r="J325" i="6"/>
  <c r="K325" i="6"/>
  <c r="L325" i="6"/>
  <c r="M325" i="6"/>
  <c r="N325" i="6"/>
  <c r="O325" i="6"/>
  <c r="B326" i="6"/>
  <c r="C326" i="6"/>
  <c r="D326" i="6"/>
  <c r="E326" i="6"/>
  <c r="F326" i="6"/>
  <c r="G326" i="6"/>
  <c r="H326" i="6"/>
  <c r="I326" i="6"/>
  <c r="J326" i="6"/>
  <c r="K326" i="6"/>
  <c r="L326" i="6"/>
  <c r="M326" i="6"/>
  <c r="N326" i="6"/>
  <c r="O326" i="6"/>
  <c r="B327" i="6"/>
  <c r="C327" i="6"/>
  <c r="D327" i="6"/>
  <c r="E327" i="6"/>
  <c r="F327" i="6"/>
  <c r="G327" i="6"/>
  <c r="H327" i="6"/>
  <c r="I327" i="6"/>
  <c r="J327" i="6"/>
  <c r="K327" i="6"/>
  <c r="L327" i="6"/>
  <c r="M327" i="6"/>
  <c r="N327" i="6"/>
  <c r="O327" i="6"/>
  <c r="B328" i="6"/>
  <c r="C328" i="6"/>
  <c r="D328" i="6"/>
  <c r="E328" i="6"/>
  <c r="F328" i="6"/>
  <c r="G328" i="6"/>
  <c r="H328" i="6"/>
  <c r="I328" i="6"/>
  <c r="J328" i="6"/>
  <c r="K328" i="6"/>
  <c r="L328" i="6"/>
  <c r="M328" i="6"/>
  <c r="N328" i="6"/>
  <c r="O328" i="6"/>
  <c r="B329" i="6"/>
  <c r="C329" i="6"/>
  <c r="D329" i="6"/>
  <c r="E329" i="6"/>
  <c r="F329" i="6"/>
  <c r="G329" i="6"/>
  <c r="H329" i="6"/>
  <c r="I329" i="6"/>
  <c r="J329" i="6"/>
  <c r="K329" i="6"/>
  <c r="L329" i="6"/>
  <c r="M329" i="6"/>
  <c r="N329" i="6"/>
  <c r="O329" i="6"/>
  <c r="B330" i="6"/>
  <c r="C330" i="6"/>
  <c r="D330" i="6"/>
  <c r="E330" i="6"/>
  <c r="F330" i="6"/>
  <c r="G330" i="6"/>
  <c r="H330" i="6"/>
  <c r="I330" i="6"/>
  <c r="J330" i="6"/>
  <c r="K330" i="6"/>
  <c r="L330" i="6"/>
  <c r="M330" i="6"/>
  <c r="N330" i="6"/>
  <c r="O330" i="6"/>
  <c r="B331" i="6"/>
  <c r="C331" i="6"/>
  <c r="D331" i="6"/>
  <c r="E331" i="6"/>
  <c r="F331" i="6"/>
  <c r="G331" i="6"/>
  <c r="H331" i="6"/>
  <c r="I331" i="6"/>
  <c r="J331" i="6"/>
  <c r="K331" i="6"/>
  <c r="L331" i="6"/>
  <c r="M331" i="6"/>
  <c r="N331" i="6"/>
  <c r="O331" i="6"/>
  <c r="B332" i="6"/>
  <c r="C332" i="6"/>
  <c r="D332" i="6"/>
  <c r="E332" i="6"/>
  <c r="F332" i="6"/>
  <c r="G332" i="6"/>
  <c r="H332" i="6"/>
  <c r="I332" i="6"/>
  <c r="J332" i="6"/>
  <c r="K332" i="6"/>
  <c r="L332" i="6"/>
  <c r="M332" i="6"/>
  <c r="N332" i="6"/>
  <c r="O332" i="6"/>
  <c r="B333" i="6"/>
  <c r="C333" i="6"/>
  <c r="D333" i="6"/>
  <c r="E333" i="6"/>
  <c r="F333" i="6"/>
  <c r="G333" i="6"/>
  <c r="H333" i="6"/>
  <c r="I333" i="6"/>
  <c r="J333" i="6"/>
  <c r="K333" i="6"/>
  <c r="L333" i="6"/>
  <c r="M333" i="6"/>
  <c r="N333" i="6"/>
  <c r="O333" i="6"/>
  <c r="B334" i="6"/>
  <c r="C334" i="6"/>
  <c r="D334" i="6"/>
  <c r="E334" i="6"/>
  <c r="F334" i="6"/>
  <c r="G334" i="6"/>
  <c r="H334" i="6"/>
  <c r="I334" i="6"/>
  <c r="J334" i="6"/>
  <c r="K334" i="6"/>
  <c r="L334" i="6"/>
  <c r="M334" i="6"/>
  <c r="N334" i="6"/>
  <c r="O334" i="6"/>
  <c r="B335" i="6"/>
  <c r="C335" i="6"/>
  <c r="D335" i="6"/>
  <c r="E335" i="6"/>
  <c r="F335" i="6"/>
  <c r="G335" i="6"/>
  <c r="H335" i="6"/>
  <c r="I335" i="6"/>
  <c r="J335" i="6"/>
  <c r="K335" i="6"/>
  <c r="L335" i="6"/>
  <c r="M335" i="6"/>
  <c r="N335" i="6"/>
  <c r="O335" i="6"/>
  <c r="B336" i="6"/>
  <c r="C336" i="6"/>
  <c r="D336" i="6"/>
  <c r="E336" i="6"/>
  <c r="F336" i="6"/>
  <c r="G336" i="6"/>
  <c r="H336" i="6"/>
  <c r="I336" i="6"/>
  <c r="J336" i="6"/>
  <c r="K336" i="6"/>
  <c r="L336" i="6"/>
  <c r="M336" i="6"/>
  <c r="N336" i="6"/>
  <c r="O336" i="6"/>
  <c r="B337" i="6"/>
  <c r="C337" i="6"/>
  <c r="D337" i="6"/>
  <c r="E337" i="6"/>
  <c r="F337" i="6"/>
  <c r="G337" i="6"/>
  <c r="H337" i="6"/>
  <c r="I337" i="6"/>
  <c r="J337" i="6"/>
  <c r="K337" i="6"/>
  <c r="L337" i="6"/>
  <c r="M337" i="6"/>
  <c r="N337" i="6"/>
  <c r="O337" i="6"/>
  <c r="B338" i="6"/>
  <c r="C338" i="6"/>
  <c r="D338" i="6"/>
  <c r="E338" i="6"/>
  <c r="F338" i="6"/>
  <c r="G338" i="6"/>
  <c r="H338" i="6"/>
  <c r="I338" i="6"/>
  <c r="J338" i="6"/>
  <c r="K338" i="6"/>
  <c r="L338" i="6"/>
  <c r="M338" i="6"/>
  <c r="N338" i="6"/>
  <c r="O338" i="6"/>
  <c r="B339" i="6"/>
  <c r="C339" i="6"/>
  <c r="D339" i="6"/>
  <c r="E339" i="6"/>
  <c r="F339" i="6"/>
  <c r="G339" i="6"/>
  <c r="H339" i="6"/>
  <c r="I339" i="6"/>
  <c r="J339" i="6"/>
  <c r="K339" i="6"/>
  <c r="L339" i="6"/>
  <c r="M339" i="6"/>
  <c r="N339" i="6"/>
  <c r="O339" i="6"/>
  <c r="B340" i="6"/>
  <c r="C340" i="6"/>
  <c r="D340" i="6"/>
  <c r="E340" i="6"/>
  <c r="F340" i="6"/>
  <c r="G340" i="6"/>
  <c r="H340" i="6"/>
  <c r="I340" i="6"/>
  <c r="J340" i="6"/>
  <c r="K340" i="6"/>
  <c r="L340" i="6"/>
  <c r="M340" i="6"/>
  <c r="N340" i="6"/>
  <c r="O340" i="6"/>
  <c r="B341" i="6"/>
  <c r="C341" i="6"/>
  <c r="D341" i="6"/>
  <c r="E341" i="6"/>
  <c r="F341" i="6"/>
  <c r="G341" i="6"/>
  <c r="H341" i="6"/>
  <c r="I341" i="6"/>
  <c r="J341" i="6"/>
  <c r="K341" i="6"/>
  <c r="L341" i="6"/>
  <c r="M341" i="6"/>
  <c r="N341" i="6"/>
  <c r="O341" i="6"/>
  <c r="B342" i="6"/>
  <c r="C342" i="6"/>
  <c r="D342" i="6"/>
  <c r="E342" i="6"/>
  <c r="F342" i="6"/>
  <c r="G342" i="6"/>
  <c r="H342" i="6"/>
  <c r="I342" i="6"/>
  <c r="J342" i="6"/>
  <c r="K342" i="6"/>
  <c r="L342" i="6"/>
  <c r="M342" i="6"/>
  <c r="N342" i="6"/>
  <c r="O342" i="6"/>
  <c r="B343" i="6"/>
  <c r="C343" i="6"/>
  <c r="D343" i="6"/>
  <c r="E343" i="6"/>
  <c r="F343" i="6"/>
  <c r="G343" i="6"/>
  <c r="H343" i="6"/>
  <c r="I343" i="6"/>
  <c r="J343" i="6"/>
  <c r="K343" i="6"/>
  <c r="L343" i="6"/>
  <c r="M343" i="6"/>
  <c r="N343" i="6"/>
  <c r="O343" i="6"/>
  <c r="B344" i="6"/>
  <c r="C344" i="6"/>
  <c r="D344" i="6"/>
  <c r="E344" i="6"/>
  <c r="F344" i="6"/>
  <c r="G344" i="6"/>
  <c r="H344" i="6"/>
  <c r="I344" i="6"/>
  <c r="J344" i="6"/>
  <c r="K344" i="6"/>
  <c r="L344" i="6"/>
  <c r="M344" i="6"/>
  <c r="N344" i="6"/>
  <c r="O344" i="6"/>
  <c r="B345" i="6"/>
  <c r="C345" i="6"/>
  <c r="D345" i="6"/>
  <c r="E345" i="6"/>
  <c r="F345" i="6"/>
  <c r="G345" i="6"/>
  <c r="H345" i="6"/>
  <c r="I345" i="6"/>
  <c r="J345" i="6"/>
  <c r="K345" i="6"/>
  <c r="L345" i="6"/>
  <c r="M345" i="6"/>
  <c r="N345" i="6"/>
  <c r="O345" i="6"/>
  <c r="B346" i="6"/>
  <c r="C346" i="6"/>
  <c r="D346" i="6"/>
  <c r="E346" i="6"/>
  <c r="F346" i="6"/>
  <c r="G346" i="6"/>
  <c r="H346" i="6"/>
  <c r="I346" i="6"/>
  <c r="J346" i="6"/>
  <c r="K346" i="6"/>
  <c r="L346" i="6"/>
  <c r="M346" i="6"/>
  <c r="N346" i="6"/>
  <c r="O346" i="6"/>
  <c r="B347" i="6"/>
  <c r="C347" i="6"/>
  <c r="D347" i="6"/>
  <c r="E347" i="6"/>
  <c r="F347" i="6"/>
  <c r="G347" i="6"/>
  <c r="H347" i="6"/>
  <c r="I347" i="6"/>
  <c r="J347" i="6"/>
  <c r="K347" i="6"/>
  <c r="L347" i="6"/>
  <c r="M347" i="6"/>
  <c r="N347" i="6"/>
  <c r="O347" i="6"/>
  <c r="B348" i="6"/>
  <c r="C348" i="6"/>
  <c r="D348" i="6"/>
  <c r="E348" i="6"/>
  <c r="F348" i="6"/>
  <c r="G348" i="6"/>
  <c r="H348" i="6"/>
  <c r="I348" i="6"/>
  <c r="J348" i="6"/>
  <c r="K348" i="6"/>
  <c r="L348" i="6"/>
  <c r="M348" i="6"/>
  <c r="N348" i="6"/>
  <c r="O348" i="6"/>
  <c r="B349" i="6"/>
  <c r="C349" i="6"/>
  <c r="D349" i="6"/>
  <c r="E349" i="6"/>
  <c r="F349" i="6"/>
  <c r="G349" i="6"/>
  <c r="H349" i="6"/>
  <c r="I349" i="6"/>
  <c r="J349" i="6"/>
  <c r="K349" i="6"/>
  <c r="L349" i="6"/>
  <c r="M349" i="6"/>
  <c r="N349" i="6"/>
  <c r="O349" i="6"/>
  <c r="B350" i="6"/>
  <c r="C350" i="6"/>
  <c r="D350" i="6"/>
  <c r="E350" i="6"/>
  <c r="F350" i="6"/>
  <c r="G350" i="6"/>
  <c r="H350" i="6"/>
  <c r="I350" i="6"/>
  <c r="J350" i="6"/>
  <c r="K350" i="6"/>
  <c r="L350" i="6"/>
  <c r="M350" i="6"/>
  <c r="N350" i="6"/>
  <c r="O350" i="6"/>
  <c r="B351" i="6"/>
  <c r="C351" i="6"/>
  <c r="D351" i="6"/>
  <c r="E351" i="6"/>
  <c r="F351" i="6"/>
  <c r="G351" i="6"/>
  <c r="H351" i="6"/>
  <c r="I351" i="6"/>
  <c r="J351" i="6"/>
  <c r="K351" i="6"/>
  <c r="L351" i="6"/>
  <c r="M351" i="6"/>
  <c r="N351" i="6"/>
  <c r="O351" i="6"/>
  <c r="B352" i="6"/>
  <c r="C352" i="6"/>
  <c r="D352" i="6"/>
  <c r="E352" i="6"/>
  <c r="F352" i="6"/>
  <c r="G352" i="6"/>
  <c r="H352" i="6"/>
  <c r="I352" i="6"/>
  <c r="J352" i="6"/>
  <c r="K352" i="6"/>
  <c r="L352" i="6"/>
  <c r="M352" i="6"/>
  <c r="N352" i="6"/>
  <c r="O352" i="6"/>
  <c r="B353" i="6"/>
  <c r="C353" i="6"/>
  <c r="D353" i="6"/>
  <c r="E353" i="6"/>
  <c r="F353" i="6"/>
  <c r="G353" i="6"/>
  <c r="H353" i="6"/>
  <c r="I353" i="6"/>
  <c r="J353" i="6"/>
  <c r="K353" i="6"/>
  <c r="L353" i="6"/>
  <c r="M353" i="6"/>
  <c r="N353" i="6"/>
  <c r="O353" i="6"/>
  <c r="B354" i="6"/>
  <c r="C354" i="6"/>
  <c r="D354" i="6"/>
  <c r="E354" i="6"/>
  <c r="F354" i="6"/>
  <c r="G354" i="6"/>
  <c r="H354" i="6"/>
  <c r="I354" i="6"/>
  <c r="J354" i="6"/>
  <c r="K354" i="6"/>
  <c r="L354" i="6"/>
  <c r="M354" i="6"/>
  <c r="N354" i="6"/>
  <c r="O354" i="6"/>
  <c r="B355" i="6"/>
  <c r="C355" i="6"/>
  <c r="D355" i="6"/>
  <c r="E355" i="6"/>
  <c r="F355" i="6"/>
  <c r="G355" i="6"/>
  <c r="H355" i="6"/>
  <c r="I355" i="6"/>
  <c r="J355" i="6"/>
  <c r="K355" i="6"/>
  <c r="L355" i="6"/>
  <c r="M355" i="6"/>
  <c r="N355" i="6"/>
  <c r="O355" i="6"/>
  <c r="B356" i="6"/>
  <c r="C356" i="6"/>
  <c r="D356" i="6"/>
  <c r="E356" i="6"/>
  <c r="F356" i="6"/>
  <c r="G356" i="6"/>
  <c r="H356" i="6"/>
  <c r="I356" i="6"/>
  <c r="J356" i="6"/>
  <c r="K356" i="6"/>
  <c r="L356" i="6"/>
  <c r="M356" i="6"/>
  <c r="N356" i="6"/>
  <c r="O356" i="6"/>
  <c r="B357" i="6"/>
  <c r="C357" i="6"/>
  <c r="D357" i="6"/>
  <c r="E357" i="6"/>
  <c r="F357" i="6"/>
  <c r="G357" i="6"/>
  <c r="H357" i="6"/>
  <c r="I357" i="6"/>
  <c r="J357" i="6"/>
  <c r="K357" i="6"/>
  <c r="L357" i="6"/>
  <c r="M357" i="6"/>
  <c r="N357" i="6"/>
  <c r="O357" i="6"/>
  <c r="B358" i="6"/>
  <c r="C358" i="6"/>
  <c r="D358" i="6"/>
  <c r="E358" i="6"/>
  <c r="F358" i="6"/>
  <c r="G358" i="6"/>
  <c r="H358" i="6"/>
  <c r="I358" i="6"/>
  <c r="J358" i="6"/>
  <c r="K358" i="6"/>
  <c r="L358" i="6"/>
  <c r="M358" i="6"/>
  <c r="N358" i="6"/>
  <c r="O358" i="6"/>
  <c r="B359" i="6"/>
  <c r="C359" i="6"/>
  <c r="D359" i="6"/>
  <c r="E359" i="6"/>
  <c r="F359" i="6"/>
  <c r="G359" i="6"/>
  <c r="H359" i="6"/>
  <c r="I359" i="6"/>
  <c r="J359" i="6"/>
  <c r="K359" i="6"/>
  <c r="L359" i="6"/>
  <c r="M359" i="6"/>
  <c r="N359" i="6"/>
  <c r="O359" i="6"/>
  <c r="B360" i="6"/>
  <c r="C360" i="6"/>
  <c r="D360" i="6"/>
  <c r="E360" i="6"/>
  <c r="F360" i="6"/>
  <c r="G360" i="6"/>
  <c r="H360" i="6"/>
  <c r="I360" i="6"/>
  <c r="J360" i="6"/>
  <c r="K360" i="6"/>
  <c r="L360" i="6"/>
  <c r="M360" i="6"/>
  <c r="N360" i="6"/>
  <c r="O360" i="6"/>
  <c r="B361" i="6"/>
  <c r="C361" i="6"/>
  <c r="D361" i="6"/>
  <c r="E361" i="6"/>
  <c r="F361" i="6"/>
  <c r="G361" i="6"/>
  <c r="H361" i="6"/>
  <c r="I361" i="6"/>
  <c r="J361" i="6"/>
  <c r="K361" i="6"/>
  <c r="L361" i="6"/>
  <c r="M361" i="6"/>
  <c r="N361" i="6"/>
  <c r="O361" i="6"/>
  <c r="B362" i="6"/>
  <c r="C362" i="6"/>
  <c r="D362" i="6"/>
  <c r="E362" i="6"/>
  <c r="F362" i="6"/>
  <c r="G362" i="6"/>
  <c r="H362" i="6"/>
  <c r="I362" i="6"/>
  <c r="J362" i="6"/>
  <c r="K362" i="6"/>
  <c r="L362" i="6"/>
  <c r="M362" i="6"/>
  <c r="N362" i="6"/>
  <c r="O362" i="6"/>
  <c r="B363" i="6"/>
  <c r="C363" i="6"/>
  <c r="D363" i="6"/>
  <c r="E363" i="6"/>
  <c r="F363" i="6"/>
  <c r="G363" i="6"/>
  <c r="H363" i="6"/>
  <c r="I363" i="6"/>
  <c r="J363" i="6"/>
  <c r="K363" i="6"/>
  <c r="L363" i="6"/>
  <c r="M363" i="6"/>
  <c r="N363" i="6"/>
  <c r="O363" i="6"/>
  <c r="B364" i="6"/>
  <c r="C364" i="6"/>
  <c r="D364" i="6"/>
  <c r="E364" i="6"/>
  <c r="F364" i="6"/>
  <c r="G364" i="6"/>
  <c r="H364" i="6"/>
  <c r="I364" i="6"/>
  <c r="J364" i="6"/>
  <c r="K364" i="6"/>
  <c r="L364" i="6"/>
  <c r="M364" i="6"/>
  <c r="N364" i="6"/>
  <c r="O364" i="6"/>
  <c r="B365" i="6"/>
  <c r="C365" i="6"/>
  <c r="D365" i="6"/>
  <c r="E365" i="6"/>
  <c r="F365" i="6"/>
  <c r="G365" i="6"/>
  <c r="H365" i="6"/>
  <c r="I365" i="6"/>
  <c r="J365" i="6"/>
  <c r="K365" i="6"/>
  <c r="L365" i="6"/>
  <c r="M365" i="6"/>
  <c r="N365" i="6"/>
  <c r="O365" i="6"/>
  <c r="B366" i="6"/>
  <c r="C366" i="6"/>
  <c r="D366" i="6"/>
  <c r="E366" i="6"/>
  <c r="F366" i="6"/>
  <c r="G366" i="6"/>
  <c r="H366" i="6"/>
  <c r="I366" i="6"/>
  <c r="J366" i="6"/>
  <c r="K366" i="6"/>
  <c r="L366" i="6"/>
  <c r="M366" i="6"/>
  <c r="N366" i="6"/>
  <c r="O366" i="6"/>
  <c r="B367" i="6"/>
  <c r="C367" i="6"/>
  <c r="D367" i="6"/>
  <c r="E367" i="6"/>
  <c r="F367" i="6"/>
  <c r="G367" i="6"/>
  <c r="H367" i="6"/>
  <c r="I367" i="6"/>
  <c r="J367" i="6"/>
  <c r="K367" i="6"/>
  <c r="L367" i="6"/>
  <c r="M367" i="6"/>
  <c r="N367" i="6"/>
  <c r="O367" i="6"/>
  <c r="B368" i="6"/>
  <c r="C368" i="6"/>
  <c r="D368" i="6"/>
  <c r="E368" i="6"/>
  <c r="F368" i="6"/>
  <c r="G368" i="6"/>
  <c r="H368" i="6"/>
  <c r="I368" i="6"/>
  <c r="J368" i="6"/>
  <c r="K368" i="6"/>
  <c r="L368" i="6"/>
  <c r="M368" i="6"/>
  <c r="N368" i="6"/>
  <c r="O368" i="6"/>
  <c r="B369" i="6"/>
  <c r="C369" i="6"/>
  <c r="D369" i="6"/>
  <c r="E369" i="6"/>
  <c r="F369" i="6"/>
  <c r="G369" i="6"/>
  <c r="H369" i="6"/>
  <c r="I369" i="6"/>
  <c r="J369" i="6"/>
  <c r="K369" i="6"/>
  <c r="L369" i="6"/>
  <c r="M369" i="6"/>
  <c r="N369" i="6"/>
  <c r="O369" i="6"/>
  <c r="B370" i="6"/>
  <c r="C370" i="6"/>
  <c r="D370" i="6"/>
  <c r="E370" i="6"/>
  <c r="F370" i="6"/>
  <c r="G370" i="6"/>
  <c r="H370" i="6"/>
  <c r="I370" i="6"/>
  <c r="J370" i="6"/>
  <c r="K370" i="6"/>
  <c r="L370" i="6"/>
  <c r="M370" i="6"/>
  <c r="N370" i="6"/>
  <c r="O370" i="6"/>
  <c r="B371" i="6"/>
  <c r="C371" i="6"/>
  <c r="D371" i="6"/>
  <c r="E371" i="6"/>
  <c r="F371" i="6"/>
  <c r="G371" i="6"/>
  <c r="H371" i="6"/>
  <c r="I371" i="6"/>
  <c r="J371" i="6"/>
  <c r="K371" i="6"/>
  <c r="L371" i="6"/>
  <c r="M371" i="6"/>
  <c r="N371" i="6"/>
  <c r="O371" i="6"/>
  <c r="B372" i="6"/>
  <c r="C372" i="6"/>
  <c r="D372" i="6"/>
  <c r="E372" i="6"/>
  <c r="F372" i="6"/>
  <c r="G372" i="6"/>
  <c r="H372" i="6"/>
  <c r="I372" i="6"/>
  <c r="J372" i="6"/>
  <c r="K372" i="6"/>
  <c r="L372" i="6"/>
  <c r="M372" i="6"/>
  <c r="N372" i="6"/>
  <c r="O372" i="6"/>
  <c r="B373" i="6"/>
  <c r="C373" i="6"/>
  <c r="D373" i="6"/>
  <c r="E373" i="6"/>
  <c r="F373" i="6"/>
  <c r="G373" i="6"/>
  <c r="H373" i="6"/>
  <c r="I373" i="6"/>
  <c r="J373" i="6"/>
  <c r="K373" i="6"/>
  <c r="L373" i="6"/>
  <c r="M373" i="6"/>
  <c r="N373" i="6"/>
  <c r="O373" i="6"/>
  <c r="B374" i="6"/>
  <c r="C374" i="6"/>
  <c r="D374" i="6"/>
  <c r="E374" i="6"/>
  <c r="F374" i="6"/>
  <c r="G374" i="6"/>
  <c r="H374" i="6"/>
  <c r="I374" i="6"/>
  <c r="J374" i="6"/>
  <c r="K374" i="6"/>
  <c r="L374" i="6"/>
  <c r="M374" i="6"/>
  <c r="N374" i="6"/>
  <c r="O374" i="6"/>
  <c r="B375" i="6"/>
  <c r="C375" i="6"/>
  <c r="D375" i="6"/>
  <c r="E375" i="6"/>
  <c r="F375" i="6"/>
  <c r="G375" i="6"/>
  <c r="H375" i="6"/>
  <c r="I375" i="6"/>
  <c r="J375" i="6"/>
  <c r="K375" i="6"/>
  <c r="L375" i="6"/>
  <c r="M375" i="6"/>
  <c r="N375" i="6"/>
  <c r="O375" i="6"/>
  <c r="B376" i="6"/>
  <c r="C376" i="6"/>
  <c r="D376" i="6"/>
  <c r="E376" i="6"/>
  <c r="F376" i="6"/>
  <c r="G376" i="6"/>
  <c r="H376" i="6"/>
  <c r="I376" i="6"/>
  <c r="J376" i="6"/>
  <c r="K376" i="6"/>
  <c r="L376" i="6"/>
  <c r="M376" i="6"/>
  <c r="N376" i="6"/>
  <c r="O376" i="6"/>
  <c r="B377" i="6"/>
  <c r="C377" i="6"/>
  <c r="D377" i="6"/>
  <c r="E377" i="6"/>
  <c r="F377" i="6"/>
  <c r="G377" i="6"/>
  <c r="H377" i="6"/>
  <c r="I377" i="6"/>
  <c r="J377" i="6"/>
  <c r="K377" i="6"/>
  <c r="L377" i="6"/>
  <c r="M377" i="6"/>
  <c r="N377" i="6"/>
  <c r="O377" i="6"/>
  <c r="B378" i="6"/>
  <c r="C378" i="6"/>
  <c r="D378" i="6"/>
  <c r="E378" i="6"/>
  <c r="F378" i="6"/>
  <c r="G378" i="6"/>
  <c r="H378" i="6"/>
  <c r="I378" i="6"/>
  <c r="J378" i="6"/>
  <c r="K378" i="6"/>
  <c r="L378" i="6"/>
  <c r="M378" i="6"/>
  <c r="N378" i="6"/>
  <c r="O378" i="6"/>
  <c r="B379" i="6"/>
  <c r="C379" i="6"/>
  <c r="D379" i="6"/>
  <c r="E379" i="6"/>
  <c r="F379" i="6"/>
  <c r="G379" i="6"/>
  <c r="H379" i="6"/>
  <c r="I379" i="6"/>
  <c r="J379" i="6"/>
  <c r="K379" i="6"/>
  <c r="L379" i="6"/>
  <c r="M379" i="6"/>
  <c r="N379" i="6"/>
  <c r="O379" i="6"/>
  <c r="B380" i="6"/>
  <c r="C380" i="6"/>
  <c r="D380" i="6"/>
  <c r="E380" i="6"/>
  <c r="F380" i="6"/>
  <c r="G380" i="6"/>
  <c r="H380" i="6"/>
  <c r="I380" i="6"/>
  <c r="J380" i="6"/>
  <c r="K380" i="6"/>
  <c r="L380" i="6"/>
  <c r="M380" i="6"/>
  <c r="N380" i="6"/>
  <c r="O380" i="6"/>
  <c r="B381" i="6"/>
  <c r="C381" i="6"/>
  <c r="D381" i="6"/>
  <c r="E381" i="6"/>
  <c r="F381" i="6"/>
  <c r="G381" i="6"/>
  <c r="H381" i="6"/>
  <c r="I381" i="6"/>
  <c r="J381" i="6"/>
  <c r="K381" i="6"/>
  <c r="L381" i="6"/>
  <c r="M381" i="6"/>
  <c r="N381" i="6"/>
  <c r="O381" i="6"/>
  <c r="B382" i="6"/>
  <c r="C382" i="6"/>
  <c r="D382" i="6"/>
  <c r="E382" i="6"/>
  <c r="F382" i="6"/>
  <c r="G382" i="6"/>
  <c r="H382" i="6"/>
  <c r="I382" i="6"/>
  <c r="J382" i="6"/>
  <c r="K382" i="6"/>
  <c r="L382" i="6"/>
  <c r="M382" i="6"/>
  <c r="N382" i="6"/>
  <c r="O382" i="6"/>
  <c r="B383" i="6"/>
  <c r="C383" i="6"/>
  <c r="D383" i="6"/>
  <c r="E383" i="6"/>
  <c r="F383" i="6"/>
  <c r="G383" i="6"/>
  <c r="H383" i="6"/>
  <c r="I383" i="6"/>
  <c r="J383" i="6"/>
  <c r="K383" i="6"/>
  <c r="L383" i="6"/>
  <c r="M383" i="6"/>
  <c r="N383" i="6"/>
  <c r="O383" i="6"/>
  <c r="B384" i="6"/>
  <c r="C384" i="6"/>
  <c r="D384" i="6"/>
  <c r="E384" i="6"/>
  <c r="F384" i="6"/>
  <c r="G384" i="6"/>
  <c r="H384" i="6"/>
  <c r="I384" i="6"/>
  <c r="J384" i="6"/>
  <c r="K384" i="6"/>
  <c r="L384" i="6"/>
  <c r="M384" i="6"/>
  <c r="N384" i="6"/>
  <c r="O384" i="6"/>
  <c r="B385" i="6"/>
  <c r="C385" i="6"/>
  <c r="D385" i="6"/>
  <c r="E385" i="6"/>
  <c r="F385" i="6"/>
  <c r="G385" i="6"/>
  <c r="H385" i="6"/>
  <c r="I385" i="6"/>
  <c r="J385" i="6"/>
  <c r="K385" i="6"/>
  <c r="L385" i="6"/>
  <c r="M385" i="6"/>
  <c r="N385" i="6"/>
  <c r="O385" i="6"/>
  <c r="B386" i="6"/>
  <c r="C386" i="6"/>
  <c r="D386" i="6"/>
  <c r="E386" i="6"/>
  <c r="F386" i="6"/>
  <c r="G386" i="6"/>
  <c r="H386" i="6"/>
  <c r="I386" i="6"/>
  <c r="J386" i="6"/>
  <c r="K386" i="6"/>
  <c r="L386" i="6"/>
  <c r="M386" i="6"/>
  <c r="N386" i="6"/>
  <c r="O386" i="6"/>
  <c r="B387" i="6"/>
  <c r="C387" i="6"/>
  <c r="D387" i="6"/>
  <c r="E387" i="6"/>
  <c r="F387" i="6"/>
  <c r="G387" i="6"/>
  <c r="H387" i="6"/>
  <c r="I387" i="6"/>
  <c r="J387" i="6"/>
  <c r="K387" i="6"/>
  <c r="L387" i="6"/>
  <c r="M387" i="6"/>
  <c r="N387" i="6"/>
  <c r="O387" i="6"/>
  <c r="B388" i="6"/>
  <c r="C388" i="6"/>
  <c r="D388" i="6"/>
  <c r="E388" i="6"/>
  <c r="F388" i="6"/>
  <c r="G388" i="6"/>
  <c r="H388" i="6"/>
  <c r="I388" i="6"/>
  <c r="J388" i="6"/>
  <c r="K388" i="6"/>
  <c r="L388" i="6"/>
  <c r="M388" i="6"/>
  <c r="N388" i="6"/>
  <c r="O388" i="6"/>
  <c r="B389" i="6"/>
  <c r="C389" i="6"/>
  <c r="D389" i="6"/>
  <c r="E389" i="6"/>
  <c r="F389" i="6"/>
  <c r="G389" i="6"/>
  <c r="H389" i="6"/>
  <c r="I389" i="6"/>
  <c r="J389" i="6"/>
  <c r="K389" i="6"/>
  <c r="L389" i="6"/>
  <c r="M389" i="6"/>
  <c r="N389" i="6"/>
  <c r="O389" i="6"/>
  <c r="B390" i="6"/>
  <c r="C390" i="6"/>
  <c r="D390" i="6"/>
  <c r="E390" i="6"/>
  <c r="F390" i="6"/>
  <c r="G390" i="6"/>
  <c r="H390" i="6"/>
  <c r="I390" i="6"/>
  <c r="J390" i="6"/>
  <c r="K390" i="6"/>
  <c r="L390" i="6"/>
  <c r="M390" i="6"/>
  <c r="N390" i="6"/>
  <c r="O390" i="6"/>
  <c r="B391" i="6"/>
  <c r="C391" i="6"/>
  <c r="D391" i="6"/>
  <c r="E391" i="6"/>
  <c r="F391" i="6"/>
  <c r="G391" i="6"/>
  <c r="H391" i="6"/>
  <c r="I391" i="6"/>
  <c r="J391" i="6"/>
  <c r="K391" i="6"/>
  <c r="L391" i="6"/>
  <c r="M391" i="6"/>
  <c r="N391" i="6"/>
  <c r="O391" i="6"/>
  <c r="B392" i="6"/>
  <c r="C392" i="6"/>
  <c r="D392" i="6"/>
  <c r="E392" i="6"/>
  <c r="F392" i="6"/>
  <c r="G392" i="6"/>
  <c r="H392" i="6"/>
  <c r="I392" i="6"/>
  <c r="J392" i="6"/>
  <c r="K392" i="6"/>
  <c r="L392" i="6"/>
  <c r="M392" i="6"/>
  <c r="N392" i="6"/>
  <c r="O392" i="6"/>
  <c r="B393" i="6"/>
  <c r="C393" i="6"/>
  <c r="D393" i="6"/>
  <c r="E393" i="6"/>
  <c r="F393" i="6"/>
  <c r="G393" i="6"/>
  <c r="H393" i="6"/>
  <c r="I393" i="6"/>
  <c r="J393" i="6"/>
  <c r="K393" i="6"/>
  <c r="L393" i="6"/>
  <c r="M393" i="6"/>
  <c r="N393" i="6"/>
  <c r="O393" i="6"/>
  <c r="B394" i="6"/>
  <c r="C394" i="6"/>
  <c r="D394" i="6"/>
  <c r="E394" i="6"/>
  <c r="F394" i="6"/>
  <c r="G394" i="6"/>
  <c r="H394" i="6"/>
  <c r="I394" i="6"/>
  <c r="J394" i="6"/>
  <c r="K394" i="6"/>
  <c r="L394" i="6"/>
  <c r="M394" i="6"/>
  <c r="N394" i="6"/>
  <c r="O394" i="6"/>
  <c r="B395" i="6"/>
  <c r="C395" i="6"/>
  <c r="D395" i="6"/>
  <c r="E395" i="6"/>
  <c r="F395" i="6"/>
  <c r="G395" i="6"/>
  <c r="H395" i="6"/>
  <c r="I395" i="6"/>
  <c r="J395" i="6"/>
  <c r="K395" i="6"/>
  <c r="L395" i="6"/>
  <c r="M395" i="6"/>
  <c r="N395" i="6"/>
  <c r="O395" i="6"/>
  <c r="B396" i="6"/>
  <c r="C396" i="6"/>
  <c r="D396" i="6"/>
  <c r="E396" i="6"/>
  <c r="F396" i="6"/>
  <c r="G396" i="6"/>
  <c r="H396" i="6"/>
  <c r="I396" i="6"/>
  <c r="J396" i="6"/>
  <c r="K396" i="6"/>
  <c r="L396" i="6"/>
  <c r="M396" i="6"/>
  <c r="N396" i="6"/>
  <c r="O396" i="6"/>
  <c r="B397" i="6"/>
  <c r="C397" i="6"/>
  <c r="D397" i="6"/>
  <c r="E397" i="6"/>
  <c r="F397" i="6"/>
  <c r="G397" i="6"/>
  <c r="H397" i="6"/>
  <c r="I397" i="6"/>
  <c r="J397" i="6"/>
  <c r="K397" i="6"/>
  <c r="L397" i="6"/>
  <c r="M397" i="6"/>
  <c r="N397" i="6"/>
  <c r="O397" i="6"/>
  <c r="B398" i="6"/>
  <c r="C398" i="6"/>
  <c r="D398" i="6"/>
  <c r="E398" i="6"/>
  <c r="F398" i="6"/>
  <c r="G398" i="6"/>
  <c r="H398" i="6"/>
  <c r="I398" i="6"/>
  <c r="J398" i="6"/>
  <c r="K398" i="6"/>
  <c r="L398" i="6"/>
  <c r="M398" i="6"/>
  <c r="N398" i="6"/>
  <c r="O398" i="6"/>
  <c r="B399" i="6"/>
  <c r="C399" i="6"/>
  <c r="D399" i="6"/>
  <c r="E399" i="6"/>
  <c r="F399" i="6"/>
  <c r="G399" i="6"/>
  <c r="H399" i="6"/>
  <c r="I399" i="6"/>
  <c r="J399" i="6"/>
  <c r="K399" i="6"/>
  <c r="L399" i="6"/>
  <c r="M399" i="6"/>
  <c r="N399" i="6"/>
  <c r="O399" i="6"/>
  <c r="B400" i="6"/>
  <c r="C400" i="6"/>
  <c r="D400" i="6"/>
  <c r="E400" i="6"/>
  <c r="F400" i="6"/>
  <c r="G400" i="6"/>
  <c r="H400" i="6"/>
  <c r="I400" i="6"/>
  <c r="J400" i="6"/>
  <c r="K400" i="6"/>
  <c r="L400" i="6"/>
  <c r="M400" i="6"/>
  <c r="N400" i="6"/>
  <c r="O400" i="6"/>
  <c r="B401" i="6"/>
  <c r="C401" i="6"/>
  <c r="D401" i="6"/>
  <c r="E401" i="6"/>
  <c r="F401" i="6"/>
  <c r="G401" i="6"/>
  <c r="H401" i="6"/>
  <c r="I401" i="6"/>
  <c r="J401" i="6"/>
  <c r="K401" i="6"/>
  <c r="L401" i="6"/>
  <c r="M401" i="6"/>
  <c r="N401" i="6"/>
  <c r="O401" i="6"/>
  <c r="B402" i="6"/>
  <c r="C402" i="6"/>
  <c r="D402" i="6"/>
  <c r="E402" i="6"/>
  <c r="F402" i="6"/>
  <c r="G402" i="6"/>
  <c r="H402" i="6"/>
  <c r="I402" i="6"/>
  <c r="J402" i="6"/>
  <c r="K402" i="6"/>
  <c r="L402" i="6"/>
  <c r="M402" i="6"/>
  <c r="N402" i="6"/>
  <c r="O402" i="6"/>
  <c r="B403" i="6"/>
  <c r="C403" i="6"/>
  <c r="D403" i="6"/>
  <c r="E403" i="6"/>
  <c r="F403" i="6"/>
  <c r="G403" i="6"/>
  <c r="H403" i="6"/>
  <c r="I403" i="6"/>
  <c r="J403" i="6"/>
  <c r="K403" i="6"/>
  <c r="L403" i="6"/>
  <c r="M403" i="6"/>
  <c r="N403" i="6"/>
  <c r="O403" i="6"/>
  <c r="B404" i="6"/>
  <c r="C404" i="6"/>
  <c r="D404" i="6"/>
  <c r="E404" i="6"/>
  <c r="F404" i="6"/>
  <c r="G404" i="6"/>
  <c r="H404" i="6"/>
  <c r="I404" i="6"/>
  <c r="J404" i="6"/>
  <c r="K404" i="6"/>
  <c r="L404" i="6"/>
  <c r="M404" i="6"/>
  <c r="N404" i="6"/>
  <c r="O404" i="6"/>
  <c r="B405" i="6"/>
  <c r="C405" i="6"/>
  <c r="D405" i="6"/>
  <c r="E405" i="6"/>
  <c r="F405" i="6"/>
  <c r="G405" i="6"/>
  <c r="H405" i="6"/>
  <c r="I405" i="6"/>
  <c r="J405" i="6"/>
  <c r="K405" i="6"/>
  <c r="L405" i="6"/>
  <c r="M405" i="6"/>
  <c r="N405" i="6"/>
  <c r="O405" i="6"/>
  <c r="B406" i="6"/>
  <c r="C406" i="6"/>
  <c r="D406" i="6"/>
  <c r="E406" i="6"/>
  <c r="F406" i="6"/>
  <c r="G406" i="6"/>
  <c r="H406" i="6"/>
  <c r="I406" i="6"/>
  <c r="J406" i="6"/>
  <c r="K406" i="6"/>
  <c r="L406" i="6"/>
  <c r="M406" i="6"/>
  <c r="N406" i="6"/>
  <c r="O406" i="6"/>
  <c r="B407" i="6"/>
  <c r="C407" i="6"/>
  <c r="D407" i="6"/>
  <c r="E407" i="6"/>
  <c r="F407" i="6"/>
  <c r="G407" i="6"/>
  <c r="H407" i="6"/>
  <c r="I407" i="6"/>
  <c r="J407" i="6"/>
  <c r="K407" i="6"/>
  <c r="L407" i="6"/>
  <c r="M407" i="6"/>
  <c r="N407" i="6"/>
  <c r="O407" i="6"/>
  <c r="B408" i="6"/>
  <c r="C408" i="6"/>
  <c r="D408" i="6"/>
  <c r="E408" i="6"/>
  <c r="F408" i="6"/>
  <c r="G408" i="6"/>
  <c r="H408" i="6"/>
  <c r="I408" i="6"/>
  <c r="J408" i="6"/>
  <c r="K408" i="6"/>
  <c r="L408" i="6"/>
  <c r="M408" i="6"/>
  <c r="N408" i="6"/>
  <c r="O408" i="6"/>
  <c r="B409" i="6"/>
  <c r="C409" i="6"/>
  <c r="D409" i="6"/>
  <c r="E409" i="6"/>
  <c r="F409" i="6"/>
  <c r="G409" i="6"/>
  <c r="H409" i="6"/>
  <c r="I409" i="6"/>
  <c r="J409" i="6"/>
  <c r="K409" i="6"/>
  <c r="L409" i="6"/>
  <c r="M409" i="6"/>
  <c r="N409" i="6"/>
  <c r="O409" i="6"/>
  <c r="B410" i="6"/>
  <c r="C410" i="6"/>
  <c r="D410" i="6"/>
  <c r="E410" i="6"/>
  <c r="F410" i="6"/>
  <c r="G410" i="6"/>
  <c r="H410" i="6"/>
  <c r="I410" i="6"/>
  <c r="J410" i="6"/>
  <c r="K410" i="6"/>
  <c r="L410" i="6"/>
  <c r="M410" i="6"/>
  <c r="N410" i="6"/>
  <c r="O410" i="6"/>
  <c r="B411" i="6"/>
  <c r="C411" i="6"/>
  <c r="D411" i="6"/>
  <c r="E411" i="6"/>
  <c r="F411" i="6"/>
  <c r="G411" i="6"/>
  <c r="H411" i="6"/>
  <c r="I411" i="6"/>
  <c r="J411" i="6"/>
  <c r="K411" i="6"/>
  <c r="L411" i="6"/>
  <c r="M411" i="6"/>
  <c r="N411" i="6"/>
  <c r="O411" i="6"/>
  <c r="B412" i="6"/>
  <c r="C412" i="6"/>
  <c r="D412" i="6"/>
  <c r="E412" i="6"/>
  <c r="F412" i="6"/>
  <c r="G412" i="6"/>
  <c r="H412" i="6"/>
  <c r="I412" i="6"/>
  <c r="J412" i="6"/>
  <c r="K412" i="6"/>
  <c r="L412" i="6"/>
  <c r="M412" i="6"/>
  <c r="N412" i="6"/>
  <c r="O412" i="6"/>
  <c r="B413" i="6"/>
  <c r="C413" i="6"/>
  <c r="D413" i="6"/>
  <c r="E413" i="6"/>
  <c r="F413" i="6"/>
  <c r="G413" i="6"/>
  <c r="H413" i="6"/>
  <c r="I413" i="6"/>
  <c r="J413" i="6"/>
  <c r="K413" i="6"/>
  <c r="L413" i="6"/>
  <c r="M413" i="6"/>
  <c r="N413" i="6"/>
  <c r="O413" i="6"/>
  <c r="B414" i="6"/>
  <c r="C414" i="6"/>
  <c r="D414" i="6"/>
  <c r="E414" i="6"/>
  <c r="F414" i="6"/>
  <c r="G414" i="6"/>
  <c r="H414" i="6"/>
  <c r="I414" i="6"/>
  <c r="J414" i="6"/>
  <c r="K414" i="6"/>
  <c r="L414" i="6"/>
  <c r="M414" i="6"/>
  <c r="N414" i="6"/>
  <c r="O414" i="6"/>
  <c r="B415" i="6"/>
  <c r="C415" i="6"/>
  <c r="D415" i="6"/>
  <c r="E415" i="6"/>
  <c r="F415" i="6"/>
  <c r="G415" i="6"/>
  <c r="H415" i="6"/>
  <c r="I415" i="6"/>
  <c r="J415" i="6"/>
  <c r="K415" i="6"/>
  <c r="L415" i="6"/>
  <c r="M415" i="6"/>
  <c r="N415" i="6"/>
  <c r="O415" i="6"/>
  <c r="B416" i="6"/>
  <c r="C416" i="6"/>
  <c r="D416" i="6"/>
  <c r="E416" i="6"/>
  <c r="F416" i="6"/>
  <c r="G416" i="6"/>
  <c r="H416" i="6"/>
  <c r="I416" i="6"/>
  <c r="J416" i="6"/>
  <c r="K416" i="6"/>
  <c r="L416" i="6"/>
  <c r="M416" i="6"/>
  <c r="N416" i="6"/>
  <c r="O416" i="6"/>
  <c r="B417" i="6"/>
  <c r="C417" i="6"/>
  <c r="D417" i="6"/>
  <c r="E417" i="6"/>
  <c r="F417" i="6"/>
  <c r="G417" i="6"/>
  <c r="H417" i="6"/>
  <c r="I417" i="6"/>
  <c r="J417" i="6"/>
  <c r="K417" i="6"/>
  <c r="L417" i="6"/>
  <c r="M417" i="6"/>
  <c r="N417" i="6"/>
  <c r="O417" i="6"/>
  <c r="B418" i="6"/>
  <c r="C418" i="6"/>
  <c r="D418" i="6"/>
  <c r="E418" i="6"/>
  <c r="F418" i="6"/>
  <c r="G418" i="6"/>
  <c r="H418" i="6"/>
  <c r="I418" i="6"/>
  <c r="J418" i="6"/>
  <c r="K418" i="6"/>
  <c r="L418" i="6"/>
  <c r="M418" i="6"/>
  <c r="N418" i="6"/>
  <c r="O418" i="6"/>
  <c r="B419" i="6"/>
  <c r="C419" i="6"/>
  <c r="D419" i="6"/>
  <c r="E419" i="6"/>
  <c r="F419" i="6"/>
  <c r="G419" i="6"/>
  <c r="H419" i="6"/>
  <c r="I419" i="6"/>
  <c r="J419" i="6"/>
  <c r="K419" i="6"/>
  <c r="L419" i="6"/>
  <c r="M419" i="6"/>
  <c r="N419" i="6"/>
  <c r="O419" i="6"/>
  <c r="B420" i="6"/>
  <c r="C420" i="6"/>
  <c r="D420" i="6"/>
  <c r="E420" i="6"/>
  <c r="F420" i="6"/>
  <c r="G420" i="6"/>
  <c r="H420" i="6"/>
  <c r="I420" i="6"/>
  <c r="J420" i="6"/>
  <c r="K420" i="6"/>
  <c r="L420" i="6"/>
  <c r="M420" i="6"/>
  <c r="N420" i="6"/>
  <c r="O420" i="6"/>
  <c r="B421" i="6"/>
  <c r="C421" i="6"/>
  <c r="D421" i="6"/>
  <c r="E421" i="6"/>
  <c r="F421" i="6"/>
  <c r="G421" i="6"/>
  <c r="H421" i="6"/>
  <c r="I421" i="6"/>
  <c r="J421" i="6"/>
  <c r="K421" i="6"/>
  <c r="L421" i="6"/>
  <c r="M421" i="6"/>
  <c r="N421" i="6"/>
  <c r="O421" i="6"/>
  <c r="B422" i="6"/>
  <c r="C422" i="6"/>
  <c r="D422" i="6"/>
  <c r="E422" i="6"/>
  <c r="F422" i="6"/>
  <c r="G422" i="6"/>
  <c r="H422" i="6"/>
  <c r="I422" i="6"/>
  <c r="J422" i="6"/>
  <c r="K422" i="6"/>
  <c r="L422" i="6"/>
  <c r="M422" i="6"/>
  <c r="N422" i="6"/>
  <c r="O422" i="6"/>
  <c r="B423" i="6"/>
  <c r="C423" i="6"/>
  <c r="D423" i="6"/>
  <c r="E423" i="6"/>
  <c r="F423" i="6"/>
  <c r="G423" i="6"/>
  <c r="H423" i="6"/>
  <c r="I423" i="6"/>
  <c r="J423" i="6"/>
  <c r="K423" i="6"/>
  <c r="L423" i="6"/>
  <c r="M423" i="6"/>
  <c r="N423" i="6"/>
  <c r="O423" i="6"/>
  <c r="B424" i="6"/>
  <c r="C424" i="6"/>
  <c r="D424" i="6"/>
  <c r="E424" i="6"/>
  <c r="F424" i="6"/>
  <c r="G424" i="6"/>
  <c r="H424" i="6"/>
  <c r="I424" i="6"/>
  <c r="J424" i="6"/>
  <c r="K424" i="6"/>
  <c r="L424" i="6"/>
  <c r="M424" i="6"/>
  <c r="N424" i="6"/>
  <c r="O424" i="6"/>
  <c r="B425" i="6"/>
  <c r="C425" i="6"/>
  <c r="D425" i="6"/>
  <c r="E425" i="6"/>
  <c r="F425" i="6"/>
  <c r="G425" i="6"/>
  <c r="H425" i="6"/>
  <c r="I425" i="6"/>
  <c r="J425" i="6"/>
  <c r="K425" i="6"/>
  <c r="L425" i="6"/>
  <c r="M425" i="6"/>
  <c r="N425" i="6"/>
  <c r="O425" i="6"/>
  <c r="B426" i="6"/>
  <c r="C426" i="6"/>
  <c r="D426" i="6"/>
  <c r="E426" i="6"/>
  <c r="F426" i="6"/>
  <c r="G426" i="6"/>
  <c r="H426" i="6"/>
  <c r="I426" i="6"/>
  <c r="J426" i="6"/>
  <c r="K426" i="6"/>
  <c r="L426" i="6"/>
  <c r="M426" i="6"/>
  <c r="N426" i="6"/>
  <c r="O426" i="6"/>
  <c r="B427" i="6"/>
  <c r="C427" i="6"/>
  <c r="D427" i="6"/>
  <c r="E427" i="6"/>
  <c r="F427" i="6"/>
  <c r="G427" i="6"/>
  <c r="H427" i="6"/>
  <c r="I427" i="6"/>
  <c r="J427" i="6"/>
  <c r="K427" i="6"/>
  <c r="L427" i="6"/>
  <c r="M427" i="6"/>
  <c r="N427" i="6"/>
  <c r="O427" i="6"/>
  <c r="B428" i="6"/>
  <c r="C428" i="6"/>
  <c r="D428" i="6"/>
  <c r="E428" i="6"/>
  <c r="F428" i="6"/>
  <c r="G428" i="6"/>
  <c r="H428" i="6"/>
  <c r="I428" i="6"/>
  <c r="J428" i="6"/>
  <c r="K428" i="6"/>
  <c r="L428" i="6"/>
  <c r="M428" i="6"/>
  <c r="N428" i="6"/>
  <c r="O428" i="6"/>
  <c r="B429" i="6"/>
  <c r="C429" i="6"/>
  <c r="D429" i="6"/>
  <c r="E429" i="6"/>
  <c r="F429" i="6"/>
  <c r="G429" i="6"/>
  <c r="H429" i="6"/>
  <c r="I429" i="6"/>
  <c r="J429" i="6"/>
  <c r="K429" i="6"/>
  <c r="L429" i="6"/>
  <c r="M429" i="6"/>
  <c r="N429" i="6"/>
  <c r="O429" i="6"/>
  <c r="B430" i="6"/>
  <c r="C430" i="6"/>
  <c r="D430" i="6"/>
  <c r="E430" i="6"/>
  <c r="F430" i="6"/>
  <c r="G430" i="6"/>
  <c r="H430" i="6"/>
  <c r="I430" i="6"/>
  <c r="J430" i="6"/>
  <c r="K430" i="6"/>
  <c r="L430" i="6"/>
  <c r="M430" i="6"/>
  <c r="N430" i="6"/>
  <c r="O430" i="6"/>
  <c r="B431" i="6"/>
  <c r="C431" i="6"/>
  <c r="D431" i="6"/>
  <c r="E431" i="6"/>
  <c r="F431" i="6"/>
  <c r="G431" i="6"/>
  <c r="H431" i="6"/>
  <c r="I431" i="6"/>
  <c r="J431" i="6"/>
  <c r="K431" i="6"/>
  <c r="L431" i="6"/>
  <c r="M431" i="6"/>
  <c r="N431" i="6"/>
  <c r="O431" i="6"/>
  <c r="B432" i="6"/>
  <c r="C432" i="6"/>
  <c r="D432" i="6"/>
  <c r="E432" i="6"/>
  <c r="F432" i="6"/>
  <c r="G432" i="6"/>
  <c r="H432" i="6"/>
  <c r="I432" i="6"/>
  <c r="J432" i="6"/>
  <c r="K432" i="6"/>
  <c r="L432" i="6"/>
  <c r="M432" i="6"/>
  <c r="N432" i="6"/>
  <c r="O432" i="6"/>
  <c r="B433" i="6"/>
  <c r="C433" i="6"/>
  <c r="D433" i="6"/>
  <c r="E433" i="6"/>
  <c r="F433" i="6"/>
  <c r="G433" i="6"/>
  <c r="H433" i="6"/>
  <c r="I433" i="6"/>
  <c r="J433" i="6"/>
  <c r="K433" i="6"/>
  <c r="L433" i="6"/>
  <c r="M433" i="6"/>
  <c r="N433" i="6"/>
  <c r="O433" i="6"/>
  <c r="B434" i="6"/>
  <c r="C434" i="6"/>
  <c r="D434" i="6"/>
  <c r="E434" i="6"/>
  <c r="F434" i="6"/>
  <c r="G434" i="6"/>
  <c r="H434" i="6"/>
  <c r="I434" i="6"/>
  <c r="J434" i="6"/>
  <c r="K434" i="6"/>
  <c r="L434" i="6"/>
  <c r="M434" i="6"/>
  <c r="N434" i="6"/>
  <c r="O434" i="6"/>
  <c r="B435" i="6"/>
  <c r="C435" i="6"/>
  <c r="D435" i="6"/>
  <c r="E435" i="6"/>
  <c r="F435" i="6"/>
  <c r="G435" i="6"/>
  <c r="H435" i="6"/>
  <c r="I435" i="6"/>
  <c r="J435" i="6"/>
  <c r="K435" i="6"/>
  <c r="L435" i="6"/>
  <c r="M435" i="6"/>
  <c r="N435" i="6"/>
  <c r="O435" i="6"/>
  <c r="B436" i="6"/>
  <c r="C436" i="6"/>
  <c r="D436" i="6"/>
  <c r="E436" i="6"/>
  <c r="F436" i="6"/>
  <c r="G436" i="6"/>
  <c r="H436" i="6"/>
  <c r="I436" i="6"/>
  <c r="J436" i="6"/>
  <c r="K436" i="6"/>
  <c r="L436" i="6"/>
  <c r="M436" i="6"/>
  <c r="N436" i="6"/>
  <c r="O436" i="6"/>
  <c r="B437" i="6"/>
  <c r="C437" i="6"/>
  <c r="D437" i="6"/>
  <c r="E437" i="6"/>
  <c r="F437" i="6"/>
  <c r="G437" i="6"/>
  <c r="H437" i="6"/>
  <c r="I437" i="6"/>
  <c r="J437" i="6"/>
  <c r="K437" i="6"/>
  <c r="L437" i="6"/>
  <c r="M437" i="6"/>
  <c r="N437" i="6"/>
  <c r="O437" i="6"/>
  <c r="B438" i="6"/>
  <c r="C438" i="6"/>
  <c r="D438" i="6"/>
  <c r="E438" i="6"/>
  <c r="F438" i="6"/>
  <c r="G438" i="6"/>
  <c r="H438" i="6"/>
  <c r="I438" i="6"/>
  <c r="J438" i="6"/>
  <c r="K438" i="6"/>
  <c r="L438" i="6"/>
  <c r="M438" i="6"/>
  <c r="N438" i="6"/>
  <c r="O438" i="6"/>
  <c r="B439" i="6"/>
  <c r="C439" i="6"/>
  <c r="D439" i="6"/>
  <c r="E439" i="6"/>
  <c r="F439" i="6"/>
  <c r="G439" i="6"/>
  <c r="H439" i="6"/>
  <c r="I439" i="6"/>
  <c r="J439" i="6"/>
  <c r="K439" i="6"/>
  <c r="L439" i="6"/>
  <c r="M439" i="6"/>
  <c r="N439" i="6"/>
  <c r="O439" i="6"/>
  <c r="B440" i="6"/>
  <c r="C440" i="6"/>
  <c r="D440" i="6"/>
  <c r="E440" i="6"/>
  <c r="F440" i="6"/>
  <c r="G440" i="6"/>
  <c r="H440" i="6"/>
  <c r="I440" i="6"/>
  <c r="J440" i="6"/>
  <c r="K440" i="6"/>
  <c r="L440" i="6"/>
  <c r="M440" i="6"/>
  <c r="N440" i="6"/>
  <c r="O440" i="6"/>
  <c r="B441" i="6"/>
  <c r="C441" i="6"/>
  <c r="D441" i="6"/>
  <c r="E441" i="6"/>
  <c r="F441" i="6"/>
  <c r="G441" i="6"/>
  <c r="H441" i="6"/>
  <c r="I441" i="6"/>
  <c r="J441" i="6"/>
  <c r="K441" i="6"/>
  <c r="L441" i="6"/>
  <c r="M441" i="6"/>
  <c r="N441" i="6"/>
  <c r="O441" i="6"/>
  <c r="B442" i="6"/>
  <c r="C442" i="6"/>
  <c r="D442" i="6"/>
  <c r="E442" i="6"/>
  <c r="F442" i="6"/>
  <c r="G442" i="6"/>
  <c r="H442" i="6"/>
  <c r="I442" i="6"/>
  <c r="J442" i="6"/>
  <c r="K442" i="6"/>
  <c r="L442" i="6"/>
  <c r="M442" i="6"/>
  <c r="N442" i="6"/>
  <c r="O442" i="6"/>
  <c r="B443" i="6"/>
  <c r="C443" i="6"/>
  <c r="D443" i="6"/>
  <c r="E443" i="6"/>
  <c r="F443" i="6"/>
  <c r="G443" i="6"/>
  <c r="H443" i="6"/>
  <c r="I443" i="6"/>
  <c r="J443" i="6"/>
  <c r="K443" i="6"/>
  <c r="L443" i="6"/>
  <c r="M443" i="6"/>
  <c r="N443" i="6"/>
  <c r="O443" i="6"/>
  <c r="B444" i="6"/>
  <c r="C444" i="6"/>
  <c r="D444" i="6"/>
  <c r="E444" i="6"/>
  <c r="F444" i="6"/>
  <c r="G444" i="6"/>
  <c r="H444" i="6"/>
  <c r="I444" i="6"/>
  <c r="J444" i="6"/>
  <c r="K444" i="6"/>
  <c r="L444" i="6"/>
  <c r="M444" i="6"/>
  <c r="N444" i="6"/>
  <c r="O444" i="6"/>
  <c r="B445" i="6"/>
  <c r="C445" i="6"/>
  <c r="D445" i="6"/>
  <c r="E445" i="6"/>
  <c r="F445" i="6"/>
  <c r="G445" i="6"/>
  <c r="H445" i="6"/>
  <c r="I445" i="6"/>
  <c r="J445" i="6"/>
  <c r="K445" i="6"/>
  <c r="L445" i="6"/>
  <c r="M445" i="6"/>
  <c r="N445" i="6"/>
  <c r="O445" i="6"/>
  <c r="B446" i="6"/>
  <c r="C446" i="6"/>
  <c r="D446" i="6"/>
  <c r="E446" i="6"/>
  <c r="F446" i="6"/>
  <c r="G446" i="6"/>
  <c r="H446" i="6"/>
  <c r="I446" i="6"/>
  <c r="J446" i="6"/>
  <c r="K446" i="6"/>
  <c r="L446" i="6"/>
  <c r="M446" i="6"/>
  <c r="N446" i="6"/>
  <c r="O446" i="6"/>
  <c r="B447" i="6"/>
  <c r="C447" i="6"/>
  <c r="D447" i="6"/>
  <c r="E447" i="6"/>
  <c r="F447" i="6"/>
  <c r="G447" i="6"/>
  <c r="H447" i="6"/>
  <c r="I447" i="6"/>
  <c r="J447" i="6"/>
  <c r="K447" i="6"/>
  <c r="L447" i="6"/>
  <c r="M447" i="6"/>
  <c r="N447" i="6"/>
  <c r="O447" i="6"/>
  <c r="B448" i="6"/>
  <c r="C448" i="6"/>
  <c r="D448" i="6"/>
  <c r="E448" i="6"/>
  <c r="F448" i="6"/>
  <c r="G448" i="6"/>
  <c r="H448" i="6"/>
  <c r="I448" i="6"/>
  <c r="J448" i="6"/>
  <c r="K448" i="6"/>
  <c r="L448" i="6"/>
  <c r="M448" i="6"/>
  <c r="N448" i="6"/>
  <c r="O448" i="6"/>
  <c r="B449" i="6"/>
  <c r="C449" i="6"/>
  <c r="D449" i="6"/>
  <c r="E449" i="6"/>
  <c r="F449" i="6"/>
  <c r="G449" i="6"/>
  <c r="H449" i="6"/>
  <c r="I449" i="6"/>
  <c r="J449" i="6"/>
  <c r="K449" i="6"/>
  <c r="L449" i="6"/>
  <c r="M449" i="6"/>
  <c r="N449" i="6"/>
  <c r="O449" i="6"/>
  <c r="B450" i="6"/>
  <c r="C450" i="6"/>
  <c r="D450" i="6"/>
  <c r="E450" i="6"/>
  <c r="F450" i="6"/>
  <c r="G450" i="6"/>
  <c r="H450" i="6"/>
  <c r="I450" i="6"/>
  <c r="J450" i="6"/>
  <c r="K450" i="6"/>
  <c r="L450" i="6"/>
  <c r="M450" i="6"/>
  <c r="N450" i="6"/>
  <c r="O450" i="6"/>
  <c r="B451" i="6"/>
  <c r="C451" i="6"/>
  <c r="D451" i="6"/>
  <c r="E451" i="6"/>
  <c r="F451" i="6"/>
  <c r="G451" i="6"/>
  <c r="H451" i="6"/>
  <c r="I451" i="6"/>
  <c r="J451" i="6"/>
  <c r="K451" i="6"/>
  <c r="L451" i="6"/>
  <c r="M451" i="6"/>
  <c r="N451" i="6"/>
  <c r="O451" i="6"/>
  <c r="B452" i="6"/>
  <c r="C452" i="6"/>
  <c r="D452" i="6"/>
  <c r="E452" i="6"/>
  <c r="F452" i="6"/>
  <c r="G452" i="6"/>
  <c r="H452" i="6"/>
  <c r="I452" i="6"/>
  <c r="J452" i="6"/>
  <c r="K452" i="6"/>
  <c r="L452" i="6"/>
  <c r="M452" i="6"/>
  <c r="N452" i="6"/>
  <c r="O452" i="6"/>
  <c r="B453" i="6"/>
  <c r="C453" i="6"/>
  <c r="D453" i="6"/>
  <c r="E453" i="6"/>
  <c r="F453" i="6"/>
  <c r="G453" i="6"/>
  <c r="H453" i="6"/>
  <c r="I453" i="6"/>
  <c r="J453" i="6"/>
  <c r="K453" i="6"/>
  <c r="L453" i="6"/>
  <c r="M453" i="6"/>
  <c r="N453" i="6"/>
  <c r="O453" i="6"/>
  <c r="B454" i="6"/>
  <c r="C454" i="6"/>
  <c r="D454" i="6"/>
  <c r="E454" i="6"/>
  <c r="F454" i="6"/>
  <c r="G454" i="6"/>
  <c r="H454" i="6"/>
  <c r="I454" i="6"/>
  <c r="J454" i="6"/>
  <c r="K454" i="6"/>
  <c r="L454" i="6"/>
  <c r="M454" i="6"/>
  <c r="N454" i="6"/>
  <c r="O454" i="6"/>
  <c r="B455" i="6"/>
  <c r="C455" i="6"/>
  <c r="D455" i="6"/>
  <c r="E455" i="6"/>
  <c r="F455" i="6"/>
  <c r="G455" i="6"/>
  <c r="H455" i="6"/>
  <c r="I455" i="6"/>
  <c r="J455" i="6"/>
  <c r="K455" i="6"/>
  <c r="L455" i="6"/>
  <c r="M455" i="6"/>
  <c r="N455" i="6"/>
  <c r="O455" i="6"/>
  <c r="B456" i="6"/>
  <c r="C456" i="6"/>
  <c r="D456" i="6"/>
  <c r="E456" i="6"/>
  <c r="F456" i="6"/>
  <c r="G456" i="6"/>
  <c r="H456" i="6"/>
  <c r="I456" i="6"/>
  <c r="J456" i="6"/>
  <c r="K456" i="6"/>
  <c r="L456" i="6"/>
  <c r="M456" i="6"/>
  <c r="N456" i="6"/>
  <c r="O456" i="6"/>
  <c r="B457" i="6"/>
  <c r="C457" i="6"/>
  <c r="D457" i="6"/>
  <c r="E457" i="6"/>
  <c r="F457" i="6"/>
  <c r="G457" i="6"/>
  <c r="H457" i="6"/>
  <c r="I457" i="6"/>
  <c r="J457" i="6"/>
  <c r="K457" i="6"/>
  <c r="L457" i="6"/>
  <c r="M457" i="6"/>
  <c r="N457" i="6"/>
  <c r="O457" i="6"/>
  <c r="B458" i="6"/>
  <c r="C458" i="6"/>
  <c r="D458" i="6"/>
  <c r="E458" i="6"/>
  <c r="F458" i="6"/>
  <c r="G458" i="6"/>
  <c r="H458" i="6"/>
  <c r="I458" i="6"/>
  <c r="J458" i="6"/>
  <c r="K458" i="6"/>
  <c r="L458" i="6"/>
  <c r="M458" i="6"/>
  <c r="N458" i="6"/>
  <c r="O458" i="6"/>
  <c r="B459" i="6"/>
  <c r="C459" i="6"/>
  <c r="D459" i="6"/>
  <c r="E459" i="6"/>
  <c r="F459" i="6"/>
  <c r="G459" i="6"/>
  <c r="H459" i="6"/>
  <c r="I459" i="6"/>
  <c r="J459" i="6"/>
  <c r="K459" i="6"/>
  <c r="L459" i="6"/>
  <c r="M459" i="6"/>
  <c r="N459" i="6"/>
  <c r="O459" i="6"/>
  <c r="B460" i="6"/>
  <c r="C460" i="6"/>
  <c r="D460" i="6"/>
  <c r="E460" i="6"/>
  <c r="F460" i="6"/>
  <c r="G460" i="6"/>
  <c r="H460" i="6"/>
  <c r="I460" i="6"/>
  <c r="J460" i="6"/>
  <c r="K460" i="6"/>
  <c r="L460" i="6"/>
  <c r="M460" i="6"/>
  <c r="N460" i="6"/>
  <c r="O460" i="6"/>
  <c r="B461" i="6"/>
  <c r="C461" i="6"/>
  <c r="D461" i="6"/>
  <c r="E461" i="6"/>
  <c r="F461" i="6"/>
  <c r="G461" i="6"/>
  <c r="H461" i="6"/>
  <c r="I461" i="6"/>
  <c r="J461" i="6"/>
  <c r="K461" i="6"/>
  <c r="L461" i="6"/>
  <c r="M461" i="6"/>
  <c r="N461" i="6"/>
  <c r="O461" i="6"/>
  <c r="B462" i="6"/>
  <c r="C462" i="6"/>
  <c r="D462" i="6"/>
  <c r="E462" i="6"/>
  <c r="F462" i="6"/>
  <c r="G462" i="6"/>
  <c r="H462" i="6"/>
  <c r="I462" i="6"/>
  <c r="J462" i="6"/>
  <c r="K462" i="6"/>
  <c r="L462" i="6"/>
  <c r="M462" i="6"/>
  <c r="N462" i="6"/>
  <c r="O462" i="6"/>
  <c r="B463" i="6"/>
  <c r="C463" i="6"/>
  <c r="D463" i="6"/>
  <c r="E463" i="6"/>
  <c r="F463" i="6"/>
  <c r="G463" i="6"/>
  <c r="H463" i="6"/>
  <c r="I463" i="6"/>
  <c r="J463" i="6"/>
  <c r="K463" i="6"/>
  <c r="L463" i="6"/>
  <c r="M463" i="6"/>
  <c r="N463" i="6"/>
  <c r="O463" i="6"/>
  <c r="B464" i="6"/>
  <c r="C464" i="6"/>
  <c r="D464" i="6"/>
  <c r="E464" i="6"/>
  <c r="F464" i="6"/>
  <c r="G464" i="6"/>
  <c r="H464" i="6"/>
  <c r="I464" i="6"/>
  <c r="J464" i="6"/>
  <c r="K464" i="6"/>
  <c r="L464" i="6"/>
  <c r="M464" i="6"/>
  <c r="N464" i="6"/>
  <c r="O464" i="6"/>
  <c r="B465" i="6"/>
  <c r="C465" i="6"/>
  <c r="D465" i="6"/>
  <c r="E465" i="6"/>
  <c r="F465" i="6"/>
  <c r="G465" i="6"/>
  <c r="H465" i="6"/>
  <c r="I465" i="6"/>
  <c r="J465" i="6"/>
  <c r="K465" i="6"/>
  <c r="L465" i="6"/>
  <c r="M465" i="6"/>
  <c r="N465" i="6"/>
  <c r="O465" i="6"/>
  <c r="B466" i="6"/>
  <c r="C466" i="6"/>
  <c r="D466" i="6"/>
  <c r="E466" i="6"/>
  <c r="F466" i="6"/>
  <c r="G466" i="6"/>
  <c r="H466" i="6"/>
  <c r="I466" i="6"/>
  <c r="J466" i="6"/>
  <c r="K466" i="6"/>
  <c r="L466" i="6"/>
  <c r="M466" i="6"/>
  <c r="N466" i="6"/>
  <c r="O466" i="6"/>
  <c r="B467" i="6"/>
  <c r="C467" i="6"/>
  <c r="D467" i="6"/>
  <c r="E467" i="6"/>
  <c r="F467" i="6"/>
  <c r="G467" i="6"/>
  <c r="H467" i="6"/>
  <c r="I467" i="6"/>
  <c r="J467" i="6"/>
  <c r="K467" i="6"/>
  <c r="L467" i="6"/>
  <c r="M467" i="6"/>
  <c r="N467" i="6"/>
  <c r="O467" i="6"/>
  <c r="B468" i="6"/>
  <c r="C468" i="6"/>
  <c r="D468" i="6"/>
  <c r="E468" i="6"/>
  <c r="F468" i="6"/>
  <c r="G468" i="6"/>
  <c r="H468" i="6"/>
  <c r="I468" i="6"/>
  <c r="J468" i="6"/>
  <c r="K468" i="6"/>
  <c r="L468" i="6"/>
  <c r="M468" i="6"/>
  <c r="N468" i="6"/>
  <c r="O468" i="6"/>
  <c r="B469" i="6"/>
  <c r="C469" i="6"/>
  <c r="D469" i="6"/>
  <c r="E469" i="6"/>
  <c r="F469" i="6"/>
  <c r="G469" i="6"/>
  <c r="H469" i="6"/>
  <c r="I469" i="6"/>
  <c r="J469" i="6"/>
  <c r="K469" i="6"/>
  <c r="L469" i="6"/>
  <c r="M469" i="6"/>
  <c r="N469" i="6"/>
  <c r="O469" i="6"/>
  <c r="B470" i="6"/>
  <c r="C470" i="6"/>
  <c r="D470" i="6"/>
  <c r="E470" i="6"/>
  <c r="F470" i="6"/>
  <c r="G470" i="6"/>
  <c r="H470" i="6"/>
  <c r="I470" i="6"/>
  <c r="J470" i="6"/>
  <c r="K470" i="6"/>
  <c r="L470" i="6"/>
  <c r="M470" i="6"/>
  <c r="N470" i="6"/>
  <c r="O470" i="6"/>
  <c r="B471" i="6"/>
  <c r="C471" i="6"/>
  <c r="D471" i="6"/>
  <c r="E471" i="6"/>
  <c r="F471" i="6"/>
  <c r="G471" i="6"/>
  <c r="H471" i="6"/>
  <c r="I471" i="6"/>
  <c r="J471" i="6"/>
  <c r="K471" i="6"/>
  <c r="L471" i="6"/>
  <c r="M471" i="6"/>
  <c r="N471" i="6"/>
  <c r="O471" i="6"/>
  <c r="B472" i="6"/>
  <c r="C472" i="6"/>
  <c r="D472" i="6"/>
  <c r="E472" i="6"/>
  <c r="F472" i="6"/>
  <c r="G472" i="6"/>
  <c r="H472" i="6"/>
  <c r="I472" i="6"/>
  <c r="J472" i="6"/>
  <c r="K472" i="6"/>
  <c r="L472" i="6"/>
  <c r="M472" i="6"/>
  <c r="N472" i="6"/>
  <c r="O472" i="6"/>
  <c r="B473" i="6"/>
  <c r="C473" i="6"/>
  <c r="D473" i="6"/>
  <c r="E473" i="6"/>
  <c r="F473" i="6"/>
  <c r="G473" i="6"/>
  <c r="H473" i="6"/>
  <c r="I473" i="6"/>
  <c r="J473" i="6"/>
  <c r="K473" i="6"/>
  <c r="L473" i="6"/>
  <c r="M473" i="6"/>
  <c r="N473" i="6"/>
  <c r="O473" i="6"/>
  <c r="B474" i="6"/>
  <c r="C474" i="6"/>
  <c r="D474" i="6"/>
  <c r="E474" i="6"/>
  <c r="F474" i="6"/>
  <c r="G474" i="6"/>
  <c r="H474" i="6"/>
  <c r="I474" i="6"/>
  <c r="J474" i="6"/>
  <c r="K474" i="6"/>
  <c r="L474" i="6"/>
  <c r="M474" i="6"/>
  <c r="N474" i="6"/>
  <c r="O474" i="6"/>
  <c r="B475" i="6"/>
  <c r="C475" i="6"/>
  <c r="D475" i="6"/>
  <c r="E475" i="6"/>
  <c r="F475" i="6"/>
  <c r="G475" i="6"/>
  <c r="H475" i="6"/>
  <c r="I475" i="6"/>
  <c r="J475" i="6"/>
  <c r="K475" i="6"/>
  <c r="L475" i="6"/>
  <c r="M475" i="6"/>
  <c r="N475" i="6"/>
  <c r="O475" i="6"/>
  <c r="B476" i="6"/>
  <c r="C476" i="6"/>
  <c r="D476" i="6"/>
  <c r="E476" i="6"/>
  <c r="F476" i="6"/>
  <c r="G476" i="6"/>
  <c r="H476" i="6"/>
  <c r="I476" i="6"/>
  <c r="J476" i="6"/>
  <c r="K476" i="6"/>
  <c r="L476" i="6"/>
  <c r="M476" i="6"/>
  <c r="N476" i="6"/>
  <c r="O476" i="6"/>
  <c r="B477" i="6"/>
  <c r="C477" i="6"/>
  <c r="D477" i="6"/>
  <c r="E477" i="6"/>
  <c r="F477" i="6"/>
  <c r="G477" i="6"/>
  <c r="H477" i="6"/>
  <c r="I477" i="6"/>
  <c r="J477" i="6"/>
  <c r="K477" i="6"/>
  <c r="L477" i="6"/>
  <c r="M477" i="6"/>
  <c r="N477" i="6"/>
  <c r="O477" i="6"/>
  <c r="B478" i="6"/>
  <c r="C478" i="6"/>
  <c r="D478" i="6"/>
  <c r="E478" i="6"/>
  <c r="F478" i="6"/>
  <c r="G478" i="6"/>
  <c r="H478" i="6"/>
  <c r="I478" i="6"/>
  <c r="J478" i="6"/>
  <c r="K478" i="6"/>
  <c r="L478" i="6"/>
  <c r="M478" i="6"/>
  <c r="N478" i="6"/>
  <c r="O478" i="6"/>
  <c r="B479" i="6"/>
  <c r="C479" i="6"/>
  <c r="D479" i="6"/>
  <c r="E479" i="6"/>
  <c r="F479" i="6"/>
  <c r="G479" i="6"/>
  <c r="H479" i="6"/>
  <c r="I479" i="6"/>
  <c r="J479" i="6"/>
  <c r="K479" i="6"/>
  <c r="L479" i="6"/>
  <c r="M479" i="6"/>
  <c r="N479" i="6"/>
  <c r="O479" i="6"/>
  <c r="B480" i="6"/>
  <c r="C480" i="6"/>
  <c r="D480" i="6"/>
  <c r="E480" i="6"/>
  <c r="F480" i="6"/>
  <c r="G480" i="6"/>
  <c r="H480" i="6"/>
  <c r="I480" i="6"/>
  <c r="J480" i="6"/>
  <c r="K480" i="6"/>
  <c r="L480" i="6"/>
  <c r="M480" i="6"/>
  <c r="N480" i="6"/>
  <c r="O480" i="6"/>
  <c r="B481" i="6"/>
  <c r="C481" i="6"/>
  <c r="D481" i="6"/>
  <c r="E481" i="6"/>
  <c r="F481" i="6"/>
  <c r="G481" i="6"/>
  <c r="H481" i="6"/>
  <c r="I481" i="6"/>
  <c r="J481" i="6"/>
  <c r="K481" i="6"/>
  <c r="L481" i="6"/>
  <c r="M481" i="6"/>
  <c r="N481" i="6"/>
  <c r="O481" i="6"/>
  <c r="B482" i="6"/>
  <c r="C482" i="6"/>
  <c r="D482" i="6"/>
  <c r="E482" i="6"/>
  <c r="F482" i="6"/>
  <c r="G482" i="6"/>
  <c r="H482" i="6"/>
  <c r="I482" i="6"/>
  <c r="J482" i="6"/>
  <c r="K482" i="6"/>
  <c r="L482" i="6"/>
  <c r="M482" i="6"/>
  <c r="N482" i="6"/>
  <c r="O482" i="6"/>
  <c r="B483" i="6"/>
  <c r="C483" i="6"/>
  <c r="D483" i="6"/>
  <c r="E483" i="6"/>
  <c r="F483" i="6"/>
  <c r="G483" i="6"/>
  <c r="H483" i="6"/>
  <c r="I483" i="6"/>
  <c r="J483" i="6"/>
  <c r="K483" i="6"/>
  <c r="L483" i="6"/>
  <c r="M483" i="6"/>
  <c r="N483" i="6"/>
  <c r="O483" i="6"/>
  <c r="B484" i="6"/>
  <c r="C484" i="6"/>
  <c r="D484" i="6"/>
  <c r="E484" i="6"/>
  <c r="F484" i="6"/>
  <c r="G484" i="6"/>
  <c r="H484" i="6"/>
  <c r="I484" i="6"/>
  <c r="J484" i="6"/>
  <c r="K484" i="6"/>
  <c r="L484" i="6"/>
  <c r="M484" i="6"/>
  <c r="N484" i="6"/>
  <c r="O484" i="6"/>
  <c r="B485" i="6"/>
  <c r="C485" i="6"/>
  <c r="D485" i="6"/>
  <c r="E485" i="6"/>
  <c r="F485" i="6"/>
  <c r="G485" i="6"/>
  <c r="H485" i="6"/>
  <c r="I485" i="6"/>
  <c r="J485" i="6"/>
  <c r="K485" i="6"/>
  <c r="L485" i="6"/>
  <c r="M485" i="6"/>
  <c r="N485" i="6"/>
  <c r="O485" i="6"/>
  <c r="B486" i="6"/>
  <c r="C486" i="6"/>
  <c r="D486" i="6"/>
  <c r="E486" i="6"/>
  <c r="F486" i="6"/>
  <c r="G486" i="6"/>
  <c r="H486" i="6"/>
  <c r="I486" i="6"/>
  <c r="J486" i="6"/>
  <c r="K486" i="6"/>
  <c r="L486" i="6"/>
  <c r="M486" i="6"/>
  <c r="N486" i="6"/>
  <c r="O486" i="6"/>
  <c r="B487" i="6"/>
  <c r="C487" i="6"/>
  <c r="D487" i="6"/>
  <c r="E487" i="6"/>
  <c r="F487" i="6"/>
  <c r="G487" i="6"/>
  <c r="H487" i="6"/>
  <c r="I487" i="6"/>
  <c r="J487" i="6"/>
  <c r="K487" i="6"/>
  <c r="L487" i="6"/>
  <c r="M487" i="6"/>
  <c r="N487" i="6"/>
  <c r="O487" i="6"/>
  <c r="B488" i="6"/>
  <c r="C488" i="6"/>
  <c r="D488" i="6"/>
  <c r="E488" i="6"/>
  <c r="F488" i="6"/>
  <c r="G488" i="6"/>
  <c r="H488" i="6"/>
  <c r="I488" i="6"/>
  <c r="J488" i="6"/>
  <c r="K488" i="6"/>
  <c r="L488" i="6"/>
  <c r="M488" i="6"/>
  <c r="N488" i="6"/>
  <c r="O488" i="6"/>
  <c r="B489" i="6"/>
  <c r="C489" i="6"/>
  <c r="D489" i="6"/>
  <c r="E489" i="6"/>
  <c r="F489" i="6"/>
  <c r="G489" i="6"/>
  <c r="H489" i="6"/>
  <c r="I489" i="6"/>
  <c r="J489" i="6"/>
  <c r="K489" i="6"/>
  <c r="L489" i="6"/>
  <c r="M489" i="6"/>
  <c r="N489" i="6"/>
  <c r="O489" i="6"/>
  <c r="B490" i="6"/>
  <c r="C490" i="6"/>
  <c r="D490" i="6"/>
  <c r="E490" i="6"/>
  <c r="F490" i="6"/>
  <c r="G490" i="6"/>
  <c r="H490" i="6"/>
  <c r="I490" i="6"/>
  <c r="J490" i="6"/>
  <c r="K490" i="6"/>
  <c r="L490" i="6"/>
  <c r="M490" i="6"/>
  <c r="N490" i="6"/>
  <c r="O490" i="6"/>
  <c r="B491" i="6"/>
  <c r="C491" i="6"/>
  <c r="D491" i="6"/>
  <c r="E491" i="6"/>
  <c r="F491" i="6"/>
  <c r="G491" i="6"/>
  <c r="H491" i="6"/>
  <c r="I491" i="6"/>
  <c r="J491" i="6"/>
  <c r="K491" i="6"/>
  <c r="L491" i="6"/>
  <c r="M491" i="6"/>
  <c r="N491" i="6"/>
  <c r="O491" i="6"/>
  <c r="B492" i="6"/>
  <c r="C492" i="6"/>
  <c r="D492" i="6"/>
  <c r="E492" i="6"/>
  <c r="F492" i="6"/>
  <c r="G492" i="6"/>
  <c r="H492" i="6"/>
  <c r="I492" i="6"/>
  <c r="J492" i="6"/>
  <c r="K492" i="6"/>
  <c r="L492" i="6"/>
  <c r="M492" i="6"/>
  <c r="N492" i="6"/>
  <c r="O492" i="6"/>
  <c r="B493" i="6"/>
  <c r="C493" i="6"/>
  <c r="D493" i="6"/>
  <c r="E493" i="6"/>
  <c r="F493" i="6"/>
  <c r="G493" i="6"/>
  <c r="H493" i="6"/>
  <c r="I493" i="6"/>
  <c r="J493" i="6"/>
  <c r="K493" i="6"/>
  <c r="L493" i="6"/>
  <c r="M493" i="6"/>
  <c r="N493" i="6"/>
  <c r="O493" i="6"/>
  <c r="B494" i="6"/>
  <c r="C494" i="6"/>
  <c r="D494" i="6"/>
  <c r="E494" i="6"/>
  <c r="F494" i="6"/>
  <c r="G494" i="6"/>
  <c r="H494" i="6"/>
  <c r="I494" i="6"/>
  <c r="J494" i="6"/>
  <c r="K494" i="6"/>
  <c r="L494" i="6"/>
  <c r="M494" i="6"/>
  <c r="N494" i="6"/>
  <c r="O494" i="6"/>
  <c r="B495" i="6"/>
  <c r="C495" i="6"/>
  <c r="D495" i="6"/>
  <c r="E495" i="6"/>
  <c r="F495" i="6"/>
  <c r="G495" i="6"/>
  <c r="H495" i="6"/>
  <c r="I495" i="6"/>
  <c r="J495" i="6"/>
  <c r="K495" i="6"/>
  <c r="L495" i="6"/>
  <c r="M495" i="6"/>
  <c r="N495" i="6"/>
  <c r="O495" i="6"/>
  <c r="B496" i="6"/>
  <c r="C496" i="6"/>
  <c r="D496" i="6"/>
  <c r="E496" i="6"/>
  <c r="F496" i="6"/>
  <c r="G496" i="6"/>
  <c r="H496" i="6"/>
  <c r="I496" i="6"/>
  <c r="J496" i="6"/>
  <c r="K496" i="6"/>
  <c r="L496" i="6"/>
  <c r="M496" i="6"/>
  <c r="N496" i="6"/>
  <c r="O496" i="6"/>
  <c r="B497" i="6"/>
  <c r="C497" i="6"/>
  <c r="D497" i="6"/>
  <c r="E497" i="6"/>
  <c r="F497" i="6"/>
  <c r="G497" i="6"/>
  <c r="H497" i="6"/>
  <c r="I497" i="6"/>
  <c r="J497" i="6"/>
  <c r="K497" i="6"/>
  <c r="L497" i="6"/>
  <c r="M497" i="6"/>
  <c r="N497" i="6"/>
  <c r="O497" i="6"/>
  <c r="B498" i="6"/>
  <c r="C498" i="6"/>
  <c r="D498" i="6"/>
  <c r="E498" i="6"/>
  <c r="F498" i="6"/>
  <c r="G498" i="6"/>
  <c r="H498" i="6"/>
  <c r="I498" i="6"/>
  <c r="J498" i="6"/>
  <c r="K498" i="6"/>
  <c r="L498" i="6"/>
  <c r="M498" i="6"/>
  <c r="N498" i="6"/>
  <c r="O498" i="6"/>
  <c r="B499" i="6"/>
  <c r="C499" i="6"/>
  <c r="D499" i="6"/>
  <c r="E499" i="6"/>
  <c r="F499" i="6"/>
  <c r="G499" i="6"/>
  <c r="H499" i="6"/>
  <c r="I499" i="6"/>
  <c r="J499" i="6"/>
  <c r="K499" i="6"/>
  <c r="L499" i="6"/>
  <c r="M499" i="6"/>
  <c r="N499" i="6"/>
  <c r="O499" i="6"/>
  <c r="B500" i="6"/>
  <c r="C500" i="6"/>
  <c r="D500" i="6"/>
  <c r="E500" i="6"/>
  <c r="F500" i="6"/>
  <c r="G500" i="6"/>
  <c r="H500" i="6"/>
  <c r="I500" i="6"/>
  <c r="J500" i="6"/>
  <c r="K500" i="6"/>
  <c r="L500" i="6"/>
  <c r="M500" i="6"/>
  <c r="N500" i="6"/>
  <c r="O500" i="6"/>
  <c r="B501" i="6"/>
  <c r="C501" i="6"/>
  <c r="D501" i="6"/>
  <c r="E501" i="6"/>
  <c r="F501" i="6"/>
  <c r="G501" i="6"/>
  <c r="H501" i="6"/>
  <c r="I501" i="6"/>
  <c r="J501" i="6"/>
  <c r="K501" i="6"/>
  <c r="L501" i="6"/>
  <c r="M501" i="6"/>
  <c r="N501" i="6"/>
  <c r="O501" i="6"/>
  <c r="B502" i="6"/>
  <c r="C502" i="6"/>
  <c r="D502" i="6"/>
  <c r="E502" i="6"/>
  <c r="F502" i="6"/>
  <c r="G502" i="6"/>
  <c r="H502" i="6"/>
  <c r="I502" i="6"/>
  <c r="J502" i="6"/>
  <c r="K502" i="6"/>
  <c r="L502" i="6"/>
  <c r="M502" i="6"/>
  <c r="N502" i="6"/>
  <c r="O502" i="6"/>
  <c r="B503" i="6"/>
  <c r="C503" i="6"/>
  <c r="D503" i="6"/>
  <c r="E503" i="6"/>
  <c r="F503" i="6"/>
  <c r="G503" i="6"/>
  <c r="H503" i="6"/>
  <c r="I503" i="6"/>
  <c r="J503" i="6"/>
  <c r="K503" i="6"/>
  <c r="L503" i="6"/>
  <c r="M503" i="6"/>
  <c r="N503" i="6"/>
  <c r="O503" i="6"/>
  <c r="B504" i="6"/>
  <c r="C504" i="6"/>
  <c r="D504" i="6"/>
  <c r="E504" i="6"/>
  <c r="F504" i="6"/>
  <c r="G504" i="6"/>
  <c r="H504" i="6"/>
  <c r="I504" i="6"/>
  <c r="J504" i="6"/>
  <c r="K504" i="6"/>
  <c r="L504" i="6"/>
  <c r="M504" i="6"/>
  <c r="N504" i="6"/>
  <c r="O504" i="6"/>
  <c r="B505" i="6"/>
  <c r="C505" i="6"/>
  <c r="D505" i="6"/>
  <c r="E505" i="6"/>
  <c r="F505" i="6"/>
  <c r="G505" i="6"/>
  <c r="H505" i="6"/>
  <c r="I505" i="6"/>
  <c r="J505" i="6"/>
  <c r="K505" i="6"/>
  <c r="L505" i="6"/>
  <c r="M505" i="6"/>
  <c r="N505" i="6"/>
  <c r="O505" i="6"/>
  <c r="B506" i="6"/>
  <c r="C506" i="6"/>
  <c r="D506" i="6"/>
  <c r="E506" i="6"/>
  <c r="F506" i="6"/>
  <c r="G506" i="6"/>
  <c r="H506" i="6"/>
  <c r="I506" i="6"/>
  <c r="J506" i="6"/>
  <c r="K506" i="6"/>
  <c r="L506" i="6"/>
  <c r="M506" i="6"/>
  <c r="N506" i="6"/>
  <c r="O506" i="6"/>
  <c r="B507" i="6"/>
  <c r="C507" i="6"/>
  <c r="D507" i="6"/>
  <c r="E507" i="6"/>
  <c r="F507" i="6"/>
  <c r="G507" i="6"/>
  <c r="H507" i="6"/>
  <c r="I507" i="6"/>
  <c r="J507" i="6"/>
  <c r="K507" i="6"/>
  <c r="L507" i="6"/>
  <c r="M507" i="6"/>
  <c r="N507" i="6"/>
  <c r="O507" i="6"/>
  <c r="B508" i="6"/>
  <c r="C508" i="6"/>
  <c r="D508" i="6"/>
  <c r="E508" i="6"/>
  <c r="F508" i="6"/>
  <c r="G508" i="6"/>
  <c r="H508" i="6"/>
  <c r="I508" i="6"/>
  <c r="J508" i="6"/>
  <c r="K508" i="6"/>
  <c r="L508" i="6"/>
  <c r="M508" i="6"/>
  <c r="N508" i="6"/>
  <c r="O508" i="6"/>
  <c r="B509" i="6"/>
  <c r="C509" i="6"/>
  <c r="D509" i="6"/>
  <c r="E509" i="6"/>
  <c r="F509" i="6"/>
  <c r="G509" i="6"/>
  <c r="H509" i="6"/>
  <c r="I509" i="6"/>
  <c r="J509" i="6"/>
  <c r="K509" i="6"/>
  <c r="L509" i="6"/>
  <c r="M509" i="6"/>
  <c r="N509" i="6"/>
  <c r="O509" i="6"/>
  <c r="B510" i="6"/>
  <c r="C510" i="6"/>
  <c r="D510" i="6"/>
  <c r="E510" i="6"/>
  <c r="F510" i="6"/>
  <c r="G510" i="6"/>
  <c r="H510" i="6"/>
  <c r="I510" i="6"/>
  <c r="J510" i="6"/>
  <c r="K510" i="6"/>
  <c r="L510" i="6"/>
  <c r="M510" i="6"/>
  <c r="N510" i="6"/>
  <c r="O510" i="6"/>
  <c r="B511" i="6"/>
  <c r="C511" i="6"/>
  <c r="D511" i="6"/>
  <c r="E511" i="6"/>
  <c r="F511" i="6"/>
  <c r="G511" i="6"/>
  <c r="H511" i="6"/>
  <c r="I511" i="6"/>
  <c r="J511" i="6"/>
  <c r="K511" i="6"/>
  <c r="L511" i="6"/>
  <c r="M511" i="6"/>
  <c r="N511" i="6"/>
  <c r="O511" i="6"/>
  <c r="B512" i="6"/>
  <c r="C512" i="6"/>
  <c r="D512" i="6"/>
  <c r="E512" i="6"/>
  <c r="F512" i="6"/>
  <c r="G512" i="6"/>
  <c r="H512" i="6"/>
  <c r="I512" i="6"/>
  <c r="J512" i="6"/>
  <c r="K512" i="6"/>
  <c r="L512" i="6"/>
  <c r="M512" i="6"/>
  <c r="N512" i="6"/>
  <c r="O512" i="6"/>
  <c r="B513" i="6"/>
  <c r="C513" i="6"/>
  <c r="D513" i="6"/>
  <c r="E513" i="6"/>
  <c r="F513" i="6"/>
  <c r="G513" i="6"/>
  <c r="H513" i="6"/>
  <c r="I513" i="6"/>
  <c r="J513" i="6"/>
  <c r="K513" i="6"/>
  <c r="L513" i="6"/>
  <c r="M513" i="6"/>
  <c r="N513" i="6"/>
  <c r="O513" i="6"/>
  <c r="B514" i="6"/>
  <c r="C514" i="6"/>
  <c r="D514" i="6"/>
  <c r="E514" i="6"/>
  <c r="F514" i="6"/>
  <c r="G514" i="6"/>
  <c r="H514" i="6"/>
  <c r="I514" i="6"/>
  <c r="J514" i="6"/>
  <c r="K514" i="6"/>
  <c r="L514" i="6"/>
  <c r="M514" i="6"/>
  <c r="N514" i="6"/>
  <c r="O514" i="6"/>
  <c r="B515" i="6"/>
  <c r="C515" i="6"/>
  <c r="D515" i="6"/>
  <c r="E515" i="6"/>
  <c r="F515" i="6"/>
  <c r="G515" i="6"/>
  <c r="H515" i="6"/>
  <c r="I515" i="6"/>
  <c r="J515" i="6"/>
  <c r="K515" i="6"/>
  <c r="L515" i="6"/>
  <c r="M515" i="6"/>
  <c r="N515" i="6"/>
  <c r="O515" i="6"/>
  <c r="B516" i="6"/>
  <c r="C516" i="6"/>
  <c r="D516" i="6"/>
  <c r="E516" i="6"/>
  <c r="F516" i="6"/>
  <c r="G516" i="6"/>
  <c r="H516" i="6"/>
  <c r="I516" i="6"/>
  <c r="J516" i="6"/>
  <c r="K516" i="6"/>
  <c r="L516" i="6"/>
  <c r="M516" i="6"/>
  <c r="N516" i="6"/>
  <c r="O516" i="6"/>
  <c r="B517" i="6"/>
  <c r="C517" i="6"/>
  <c r="D517" i="6"/>
  <c r="E517" i="6"/>
  <c r="F517" i="6"/>
  <c r="G517" i="6"/>
  <c r="H517" i="6"/>
  <c r="I517" i="6"/>
  <c r="J517" i="6"/>
  <c r="K517" i="6"/>
  <c r="L517" i="6"/>
  <c r="M517" i="6"/>
  <c r="N517" i="6"/>
  <c r="O517" i="6"/>
  <c r="B518" i="6"/>
  <c r="C518" i="6"/>
  <c r="D518" i="6"/>
  <c r="E518" i="6"/>
  <c r="F518" i="6"/>
  <c r="G518" i="6"/>
  <c r="H518" i="6"/>
  <c r="I518" i="6"/>
  <c r="J518" i="6"/>
  <c r="K518" i="6"/>
  <c r="L518" i="6"/>
  <c r="M518" i="6"/>
  <c r="N518" i="6"/>
  <c r="O518" i="6"/>
  <c r="B519" i="6"/>
  <c r="C519" i="6"/>
  <c r="D519" i="6"/>
  <c r="E519" i="6"/>
  <c r="F519" i="6"/>
  <c r="G519" i="6"/>
  <c r="H519" i="6"/>
  <c r="I519" i="6"/>
  <c r="J519" i="6"/>
  <c r="K519" i="6"/>
  <c r="L519" i="6"/>
  <c r="M519" i="6"/>
  <c r="N519" i="6"/>
  <c r="O519" i="6"/>
  <c r="B520" i="6"/>
  <c r="C520" i="6"/>
  <c r="D520" i="6"/>
  <c r="E520" i="6"/>
  <c r="F520" i="6"/>
  <c r="G520" i="6"/>
  <c r="H520" i="6"/>
  <c r="I520" i="6"/>
  <c r="J520" i="6"/>
  <c r="K520" i="6"/>
  <c r="L520" i="6"/>
  <c r="M520" i="6"/>
  <c r="N520" i="6"/>
  <c r="O520" i="6"/>
  <c r="B521" i="6"/>
  <c r="C521" i="6"/>
  <c r="D521" i="6"/>
  <c r="E521" i="6"/>
  <c r="F521" i="6"/>
  <c r="G521" i="6"/>
  <c r="H521" i="6"/>
  <c r="I521" i="6"/>
  <c r="J521" i="6"/>
  <c r="K521" i="6"/>
  <c r="L521" i="6"/>
  <c r="M521" i="6"/>
  <c r="N521" i="6"/>
  <c r="O521" i="6"/>
  <c r="B522" i="6"/>
  <c r="C522" i="6"/>
  <c r="D522" i="6"/>
  <c r="E522" i="6"/>
  <c r="F522" i="6"/>
  <c r="G522" i="6"/>
  <c r="H522" i="6"/>
  <c r="I522" i="6"/>
  <c r="J522" i="6"/>
  <c r="K522" i="6"/>
  <c r="L522" i="6"/>
  <c r="M522" i="6"/>
  <c r="N522" i="6"/>
  <c r="O522" i="6"/>
  <c r="B523" i="6"/>
  <c r="C523" i="6"/>
  <c r="D523" i="6"/>
  <c r="E523" i="6"/>
  <c r="F523" i="6"/>
  <c r="G523" i="6"/>
  <c r="H523" i="6"/>
  <c r="I523" i="6"/>
  <c r="J523" i="6"/>
  <c r="K523" i="6"/>
  <c r="L523" i="6"/>
  <c r="M523" i="6"/>
  <c r="N523" i="6"/>
  <c r="O523" i="6"/>
  <c r="B524" i="6"/>
  <c r="C524" i="6"/>
  <c r="D524" i="6"/>
  <c r="E524" i="6"/>
  <c r="F524" i="6"/>
  <c r="G524" i="6"/>
  <c r="H524" i="6"/>
  <c r="I524" i="6"/>
  <c r="J524" i="6"/>
  <c r="K524" i="6"/>
  <c r="L524" i="6"/>
  <c r="M524" i="6"/>
  <c r="N524" i="6"/>
  <c r="O524" i="6"/>
  <c r="B525" i="6"/>
  <c r="C525" i="6"/>
  <c r="D525" i="6"/>
  <c r="E525" i="6"/>
  <c r="F525" i="6"/>
  <c r="G525" i="6"/>
  <c r="H525" i="6"/>
  <c r="I525" i="6"/>
  <c r="J525" i="6"/>
  <c r="K525" i="6"/>
  <c r="L525" i="6"/>
  <c r="M525" i="6"/>
  <c r="N525" i="6"/>
  <c r="O525" i="6"/>
  <c r="B526" i="6"/>
  <c r="C526" i="6"/>
  <c r="D526" i="6"/>
  <c r="E526" i="6"/>
  <c r="F526" i="6"/>
  <c r="G526" i="6"/>
  <c r="H526" i="6"/>
  <c r="I526" i="6"/>
  <c r="J526" i="6"/>
  <c r="K526" i="6"/>
  <c r="L526" i="6"/>
  <c r="M526" i="6"/>
  <c r="N526" i="6"/>
  <c r="O526" i="6"/>
  <c r="B527" i="6"/>
  <c r="C527" i="6"/>
  <c r="D527" i="6"/>
  <c r="E527" i="6"/>
  <c r="F527" i="6"/>
  <c r="G527" i="6"/>
  <c r="H527" i="6"/>
  <c r="I527" i="6"/>
  <c r="J527" i="6"/>
  <c r="K527" i="6"/>
  <c r="L527" i="6"/>
  <c r="M527" i="6"/>
  <c r="N527" i="6"/>
  <c r="O527" i="6"/>
  <c r="B528" i="6"/>
  <c r="C528" i="6"/>
  <c r="D528" i="6"/>
  <c r="E528" i="6"/>
  <c r="F528" i="6"/>
  <c r="G528" i="6"/>
  <c r="H528" i="6"/>
  <c r="I528" i="6"/>
  <c r="J528" i="6"/>
  <c r="K528" i="6"/>
  <c r="L528" i="6"/>
  <c r="M528" i="6"/>
  <c r="N528" i="6"/>
  <c r="O528" i="6"/>
  <c r="B529" i="6"/>
  <c r="C529" i="6"/>
  <c r="D529" i="6"/>
  <c r="E529" i="6"/>
  <c r="F529" i="6"/>
  <c r="G529" i="6"/>
  <c r="H529" i="6"/>
  <c r="I529" i="6"/>
  <c r="J529" i="6"/>
  <c r="K529" i="6"/>
  <c r="L529" i="6"/>
  <c r="M529" i="6"/>
  <c r="N529" i="6"/>
  <c r="O529" i="6"/>
  <c r="B530" i="6"/>
  <c r="C530" i="6"/>
  <c r="D530" i="6"/>
  <c r="E530" i="6"/>
  <c r="F530" i="6"/>
  <c r="G530" i="6"/>
  <c r="H530" i="6"/>
  <c r="I530" i="6"/>
  <c r="J530" i="6"/>
  <c r="K530" i="6"/>
  <c r="L530" i="6"/>
  <c r="M530" i="6"/>
  <c r="N530" i="6"/>
  <c r="O530" i="6"/>
  <c r="B531" i="6"/>
  <c r="C531" i="6"/>
  <c r="D531" i="6"/>
  <c r="E531" i="6"/>
  <c r="F531" i="6"/>
  <c r="G531" i="6"/>
  <c r="H531" i="6"/>
  <c r="I531" i="6"/>
  <c r="J531" i="6"/>
  <c r="K531" i="6"/>
  <c r="L531" i="6"/>
  <c r="M531" i="6"/>
  <c r="N531" i="6"/>
  <c r="O531" i="6"/>
  <c r="B532" i="6"/>
  <c r="C532" i="6"/>
  <c r="D532" i="6"/>
  <c r="E532" i="6"/>
  <c r="F532" i="6"/>
  <c r="G532" i="6"/>
  <c r="H532" i="6"/>
  <c r="I532" i="6"/>
  <c r="J532" i="6"/>
  <c r="K532" i="6"/>
  <c r="L532" i="6"/>
  <c r="M532" i="6"/>
  <c r="N532" i="6"/>
  <c r="O532" i="6"/>
  <c r="B533" i="6"/>
  <c r="C533" i="6"/>
  <c r="D533" i="6"/>
  <c r="E533" i="6"/>
  <c r="F533" i="6"/>
  <c r="G533" i="6"/>
  <c r="H533" i="6"/>
  <c r="I533" i="6"/>
  <c r="J533" i="6"/>
  <c r="K533" i="6"/>
  <c r="L533" i="6"/>
  <c r="M533" i="6"/>
  <c r="N533" i="6"/>
  <c r="O533" i="6"/>
  <c r="B534" i="6"/>
  <c r="C534" i="6"/>
  <c r="D534" i="6"/>
  <c r="E534" i="6"/>
  <c r="F534" i="6"/>
  <c r="G534" i="6"/>
  <c r="H534" i="6"/>
  <c r="I534" i="6"/>
  <c r="J534" i="6"/>
  <c r="K534" i="6"/>
  <c r="L534" i="6"/>
  <c r="M534" i="6"/>
  <c r="N534" i="6"/>
  <c r="O534" i="6"/>
  <c r="B535" i="6"/>
  <c r="C535" i="6"/>
  <c r="D535" i="6"/>
  <c r="E535" i="6"/>
  <c r="F535" i="6"/>
  <c r="G535" i="6"/>
  <c r="H535" i="6"/>
  <c r="I535" i="6"/>
  <c r="J535" i="6"/>
  <c r="K535" i="6"/>
  <c r="L535" i="6"/>
  <c r="M535" i="6"/>
  <c r="N535" i="6"/>
  <c r="O535" i="6"/>
  <c r="B536" i="6"/>
  <c r="C536" i="6"/>
  <c r="D536" i="6"/>
  <c r="E536" i="6"/>
  <c r="F536" i="6"/>
  <c r="G536" i="6"/>
  <c r="H536" i="6"/>
  <c r="I536" i="6"/>
  <c r="J536" i="6"/>
  <c r="K536" i="6"/>
  <c r="L536" i="6"/>
  <c r="M536" i="6"/>
  <c r="N536" i="6"/>
  <c r="O536" i="6"/>
  <c r="B537" i="6"/>
  <c r="C537" i="6"/>
  <c r="D537" i="6"/>
  <c r="E537" i="6"/>
  <c r="F537" i="6"/>
  <c r="G537" i="6"/>
  <c r="H537" i="6"/>
  <c r="I537" i="6"/>
  <c r="J537" i="6"/>
  <c r="K537" i="6"/>
  <c r="L537" i="6"/>
  <c r="M537" i="6"/>
  <c r="N537" i="6"/>
  <c r="O537" i="6"/>
  <c r="B538" i="6"/>
  <c r="C538" i="6"/>
  <c r="D538" i="6"/>
  <c r="E538" i="6"/>
  <c r="F538" i="6"/>
  <c r="G538" i="6"/>
  <c r="H538" i="6"/>
  <c r="I538" i="6"/>
  <c r="J538" i="6"/>
  <c r="K538" i="6"/>
  <c r="L538" i="6"/>
  <c r="M538" i="6"/>
  <c r="N538" i="6"/>
  <c r="O538" i="6"/>
  <c r="B539" i="6"/>
  <c r="C539" i="6"/>
  <c r="D539" i="6"/>
  <c r="E539" i="6"/>
  <c r="F539" i="6"/>
  <c r="G539" i="6"/>
  <c r="H539" i="6"/>
  <c r="I539" i="6"/>
  <c r="J539" i="6"/>
  <c r="K539" i="6"/>
  <c r="L539" i="6"/>
  <c r="M539" i="6"/>
  <c r="N539" i="6"/>
  <c r="O539" i="6"/>
  <c r="B540" i="6"/>
  <c r="C540" i="6"/>
  <c r="D540" i="6"/>
  <c r="E540" i="6"/>
  <c r="F540" i="6"/>
  <c r="G540" i="6"/>
  <c r="H540" i="6"/>
  <c r="I540" i="6"/>
  <c r="J540" i="6"/>
  <c r="K540" i="6"/>
  <c r="L540" i="6"/>
  <c r="M540" i="6"/>
  <c r="N540" i="6"/>
  <c r="O540" i="6"/>
  <c r="B541" i="6"/>
  <c r="C541" i="6"/>
  <c r="D541" i="6"/>
  <c r="E541" i="6"/>
  <c r="F541" i="6"/>
  <c r="G541" i="6"/>
  <c r="H541" i="6"/>
  <c r="I541" i="6"/>
  <c r="J541" i="6"/>
  <c r="K541" i="6"/>
  <c r="L541" i="6"/>
  <c r="M541" i="6"/>
  <c r="N541" i="6"/>
  <c r="O541" i="6"/>
  <c r="B542" i="6"/>
  <c r="C542" i="6"/>
  <c r="D542" i="6"/>
  <c r="E542" i="6"/>
  <c r="F542" i="6"/>
  <c r="G542" i="6"/>
  <c r="H542" i="6"/>
  <c r="I542" i="6"/>
  <c r="J542" i="6"/>
  <c r="K542" i="6"/>
  <c r="L542" i="6"/>
  <c r="M542" i="6"/>
  <c r="N542" i="6"/>
  <c r="O542" i="6"/>
  <c r="B543" i="6"/>
  <c r="C543" i="6"/>
  <c r="D543" i="6"/>
  <c r="E543" i="6"/>
  <c r="F543" i="6"/>
  <c r="G543" i="6"/>
  <c r="H543" i="6"/>
  <c r="I543" i="6"/>
  <c r="J543" i="6"/>
  <c r="K543" i="6"/>
  <c r="L543" i="6"/>
  <c r="M543" i="6"/>
  <c r="N543" i="6"/>
  <c r="O543" i="6"/>
  <c r="B544" i="6"/>
  <c r="C544" i="6"/>
  <c r="D544" i="6"/>
  <c r="E544" i="6"/>
  <c r="F544" i="6"/>
  <c r="G544" i="6"/>
  <c r="H544" i="6"/>
  <c r="I544" i="6"/>
  <c r="J544" i="6"/>
  <c r="K544" i="6"/>
  <c r="L544" i="6"/>
  <c r="M544" i="6"/>
  <c r="N544" i="6"/>
  <c r="O544" i="6"/>
  <c r="B545" i="6"/>
  <c r="C545" i="6"/>
  <c r="D545" i="6"/>
  <c r="E545" i="6"/>
  <c r="F545" i="6"/>
  <c r="G545" i="6"/>
  <c r="H545" i="6"/>
  <c r="I545" i="6"/>
  <c r="J545" i="6"/>
  <c r="K545" i="6"/>
  <c r="L545" i="6"/>
  <c r="M545" i="6"/>
  <c r="N545" i="6"/>
  <c r="O545" i="6"/>
  <c r="B546" i="6"/>
  <c r="C546" i="6"/>
  <c r="D546" i="6"/>
  <c r="E546" i="6"/>
  <c r="F546" i="6"/>
  <c r="G546" i="6"/>
  <c r="H546" i="6"/>
  <c r="I546" i="6"/>
  <c r="J546" i="6"/>
  <c r="K546" i="6"/>
  <c r="L546" i="6"/>
  <c r="M546" i="6"/>
  <c r="N546" i="6"/>
  <c r="O546" i="6"/>
  <c r="B547" i="6"/>
  <c r="C547" i="6"/>
  <c r="D547" i="6"/>
  <c r="E547" i="6"/>
  <c r="F547" i="6"/>
  <c r="G547" i="6"/>
  <c r="H547" i="6"/>
  <c r="I547" i="6"/>
  <c r="J547" i="6"/>
  <c r="K547" i="6"/>
  <c r="L547" i="6"/>
  <c r="M547" i="6"/>
  <c r="N547" i="6"/>
  <c r="O547" i="6"/>
  <c r="B548" i="6"/>
  <c r="C548" i="6"/>
  <c r="D548" i="6"/>
  <c r="E548" i="6"/>
  <c r="F548" i="6"/>
  <c r="G548" i="6"/>
  <c r="H548" i="6"/>
  <c r="I548" i="6"/>
  <c r="J548" i="6"/>
  <c r="K548" i="6"/>
  <c r="L548" i="6"/>
  <c r="M548" i="6"/>
  <c r="N548" i="6"/>
  <c r="O548" i="6"/>
  <c r="B549" i="6"/>
  <c r="C549" i="6"/>
  <c r="D549" i="6"/>
  <c r="E549" i="6"/>
  <c r="F549" i="6"/>
  <c r="G549" i="6"/>
  <c r="H549" i="6"/>
  <c r="I549" i="6"/>
  <c r="J549" i="6"/>
  <c r="K549" i="6"/>
  <c r="L549" i="6"/>
  <c r="M549" i="6"/>
  <c r="N549" i="6"/>
  <c r="O549" i="6"/>
  <c r="B550" i="6"/>
  <c r="C550" i="6"/>
  <c r="D550" i="6"/>
  <c r="E550" i="6"/>
  <c r="F550" i="6"/>
  <c r="G550" i="6"/>
  <c r="H550" i="6"/>
  <c r="I550" i="6"/>
  <c r="J550" i="6"/>
  <c r="K550" i="6"/>
  <c r="L550" i="6"/>
  <c r="M550" i="6"/>
  <c r="N550" i="6"/>
  <c r="O550" i="6"/>
  <c r="B551" i="6"/>
  <c r="C551" i="6"/>
  <c r="D551" i="6"/>
  <c r="E551" i="6"/>
  <c r="F551" i="6"/>
  <c r="G551" i="6"/>
  <c r="H551" i="6"/>
  <c r="I551" i="6"/>
  <c r="J551" i="6"/>
  <c r="K551" i="6"/>
  <c r="L551" i="6"/>
  <c r="M551" i="6"/>
  <c r="N551" i="6"/>
  <c r="O551" i="6"/>
  <c r="B552" i="6"/>
  <c r="C552" i="6"/>
  <c r="D552" i="6"/>
  <c r="E552" i="6"/>
  <c r="F552" i="6"/>
  <c r="G552" i="6"/>
  <c r="H552" i="6"/>
  <c r="I552" i="6"/>
  <c r="J552" i="6"/>
  <c r="K552" i="6"/>
  <c r="L552" i="6"/>
  <c r="M552" i="6"/>
  <c r="N552" i="6"/>
  <c r="O552" i="6"/>
  <c r="B553" i="6"/>
  <c r="C553" i="6"/>
  <c r="D553" i="6"/>
  <c r="E553" i="6"/>
  <c r="F553" i="6"/>
  <c r="G553" i="6"/>
  <c r="H553" i="6"/>
  <c r="I553" i="6"/>
  <c r="J553" i="6"/>
  <c r="K553" i="6"/>
  <c r="L553" i="6"/>
  <c r="M553" i="6"/>
  <c r="N553" i="6"/>
  <c r="O553" i="6"/>
  <c r="B554" i="6"/>
  <c r="C554" i="6"/>
  <c r="D554" i="6"/>
  <c r="E554" i="6"/>
  <c r="F554" i="6"/>
  <c r="G554" i="6"/>
  <c r="H554" i="6"/>
  <c r="I554" i="6"/>
  <c r="J554" i="6"/>
  <c r="K554" i="6"/>
  <c r="L554" i="6"/>
  <c r="M554" i="6"/>
  <c r="N554" i="6"/>
  <c r="O554" i="6"/>
  <c r="B555" i="6"/>
  <c r="C555" i="6"/>
  <c r="D555" i="6"/>
  <c r="E555" i="6"/>
  <c r="F555" i="6"/>
  <c r="G555" i="6"/>
  <c r="H555" i="6"/>
  <c r="I555" i="6"/>
  <c r="J555" i="6"/>
  <c r="K555" i="6"/>
  <c r="L555" i="6"/>
  <c r="M555" i="6"/>
  <c r="N555" i="6"/>
  <c r="O555" i="6"/>
  <c r="B556" i="6"/>
  <c r="C556" i="6"/>
  <c r="D556" i="6"/>
  <c r="E556" i="6"/>
  <c r="F556" i="6"/>
  <c r="G556" i="6"/>
  <c r="H556" i="6"/>
  <c r="I556" i="6"/>
  <c r="J556" i="6"/>
  <c r="K556" i="6"/>
  <c r="L556" i="6"/>
  <c r="M556" i="6"/>
  <c r="N556" i="6"/>
  <c r="O556" i="6"/>
  <c r="B557" i="6"/>
  <c r="C557" i="6"/>
  <c r="D557" i="6"/>
  <c r="E557" i="6"/>
  <c r="F557" i="6"/>
  <c r="G557" i="6"/>
  <c r="H557" i="6"/>
  <c r="I557" i="6"/>
  <c r="J557" i="6"/>
  <c r="K557" i="6"/>
  <c r="L557" i="6"/>
  <c r="M557" i="6"/>
  <c r="N557" i="6"/>
  <c r="O557" i="6"/>
  <c r="B558" i="6"/>
  <c r="C558" i="6"/>
  <c r="D558" i="6"/>
  <c r="E558" i="6"/>
  <c r="F558" i="6"/>
  <c r="G558" i="6"/>
  <c r="H558" i="6"/>
  <c r="I558" i="6"/>
  <c r="J558" i="6"/>
  <c r="K558" i="6"/>
  <c r="L558" i="6"/>
  <c r="M558" i="6"/>
  <c r="N558" i="6"/>
  <c r="O558" i="6"/>
  <c r="B559" i="6"/>
  <c r="C559" i="6"/>
  <c r="D559" i="6"/>
  <c r="E559" i="6"/>
  <c r="F559" i="6"/>
  <c r="G559" i="6"/>
  <c r="H559" i="6"/>
  <c r="I559" i="6"/>
  <c r="J559" i="6"/>
  <c r="K559" i="6"/>
  <c r="L559" i="6"/>
  <c r="M559" i="6"/>
  <c r="N559" i="6"/>
  <c r="O559" i="6"/>
  <c r="B560" i="6"/>
  <c r="C560" i="6"/>
  <c r="D560" i="6"/>
  <c r="E560" i="6"/>
  <c r="F560" i="6"/>
  <c r="G560" i="6"/>
  <c r="H560" i="6"/>
  <c r="I560" i="6"/>
  <c r="J560" i="6"/>
  <c r="K560" i="6"/>
  <c r="L560" i="6"/>
  <c r="M560" i="6"/>
  <c r="N560" i="6"/>
  <c r="O560" i="6"/>
  <c r="B561" i="6"/>
  <c r="C561" i="6"/>
  <c r="D561" i="6"/>
  <c r="E561" i="6"/>
  <c r="F561" i="6"/>
  <c r="G561" i="6"/>
  <c r="H561" i="6"/>
  <c r="I561" i="6"/>
  <c r="J561" i="6"/>
  <c r="K561" i="6"/>
  <c r="L561" i="6"/>
  <c r="M561" i="6"/>
  <c r="N561" i="6"/>
  <c r="O561" i="6"/>
  <c r="B562" i="6"/>
  <c r="C562" i="6"/>
  <c r="D562" i="6"/>
  <c r="E562" i="6"/>
  <c r="F562" i="6"/>
  <c r="G562" i="6"/>
  <c r="H562" i="6"/>
  <c r="I562" i="6"/>
  <c r="J562" i="6"/>
  <c r="K562" i="6"/>
  <c r="L562" i="6"/>
  <c r="M562" i="6"/>
  <c r="N562" i="6"/>
  <c r="O562" i="6"/>
  <c r="B563" i="6"/>
  <c r="C563" i="6"/>
  <c r="D563" i="6"/>
  <c r="E563" i="6"/>
  <c r="F563" i="6"/>
  <c r="G563" i="6"/>
  <c r="H563" i="6"/>
  <c r="I563" i="6"/>
  <c r="J563" i="6"/>
  <c r="K563" i="6"/>
  <c r="L563" i="6"/>
  <c r="M563" i="6"/>
  <c r="N563" i="6"/>
  <c r="O563" i="6"/>
  <c r="B564" i="6"/>
  <c r="C564" i="6"/>
  <c r="D564" i="6"/>
  <c r="E564" i="6"/>
  <c r="F564" i="6"/>
  <c r="G564" i="6"/>
  <c r="H564" i="6"/>
  <c r="I564" i="6"/>
  <c r="J564" i="6"/>
  <c r="K564" i="6"/>
  <c r="L564" i="6"/>
  <c r="M564" i="6"/>
  <c r="N564" i="6"/>
  <c r="O564" i="6"/>
  <c r="B565" i="6"/>
  <c r="C565" i="6"/>
  <c r="D565" i="6"/>
  <c r="E565" i="6"/>
  <c r="F565" i="6"/>
  <c r="G565" i="6"/>
  <c r="H565" i="6"/>
  <c r="I565" i="6"/>
  <c r="J565" i="6"/>
  <c r="K565" i="6"/>
  <c r="L565" i="6"/>
  <c r="M565" i="6"/>
  <c r="N565" i="6"/>
  <c r="O565" i="6"/>
  <c r="B566" i="6"/>
  <c r="C566" i="6"/>
  <c r="D566" i="6"/>
  <c r="E566" i="6"/>
  <c r="F566" i="6"/>
  <c r="G566" i="6"/>
  <c r="H566" i="6"/>
  <c r="I566" i="6"/>
  <c r="J566" i="6"/>
  <c r="K566" i="6"/>
  <c r="L566" i="6"/>
  <c r="M566" i="6"/>
  <c r="N566" i="6"/>
  <c r="O566" i="6"/>
  <c r="B567" i="6"/>
  <c r="C567" i="6"/>
  <c r="D567" i="6"/>
  <c r="E567" i="6"/>
  <c r="F567" i="6"/>
  <c r="G567" i="6"/>
  <c r="H567" i="6"/>
  <c r="I567" i="6"/>
  <c r="J567" i="6"/>
  <c r="K567" i="6"/>
  <c r="L567" i="6"/>
  <c r="M567" i="6"/>
  <c r="N567" i="6"/>
  <c r="O567" i="6"/>
  <c r="B568" i="6"/>
  <c r="C568" i="6"/>
  <c r="D568" i="6"/>
  <c r="E568" i="6"/>
  <c r="F568" i="6"/>
  <c r="G568" i="6"/>
  <c r="H568" i="6"/>
  <c r="I568" i="6"/>
  <c r="J568" i="6"/>
  <c r="K568" i="6"/>
  <c r="L568" i="6"/>
  <c r="M568" i="6"/>
  <c r="N568" i="6"/>
  <c r="O568" i="6"/>
  <c r="B569" i="6"/>
  <c r="C569" i="6"/>
  <c r="D569" i="6"/>
  <c r="E569" i="6"/>
  <c r="F569" i="6"/>
  <c r="G569" i="6"/>
  <c r="H569" i="6"/>
  <c r="I569" i="6"/>
  <c r="J569" i="6"/>
  <c r="K569" i="6"/>
  <c r="L569" i="6"/>
  <c r="M569" i="6"/>
  <c r="N569" i="6"/>
  <c r="O569" i="6"/>
  <c r="B570" i="6"/>
  <c r="C570" i="6"/>
  <c r="D570" i="6"/>
  <c r="E570" i="6"/>
  <c r="F570" i="6"/>
  <c r="G570" i="6"/>
  <c r="H570" i="6"/>
  <c r="I570" i="6"/>
  <c r="J570" i="6"/>
  <c r="K570" i="6"/>
  <c r="L570" i="6"/>
  <c r="M570" i="6"/>
  <c r="N570" i="6"/>
  <c r="O570" i="6"/>
  <c r="B571" i="6"/>
  <c r="C571" i="6"/>
  <c r="D571" i="6"/>
  <c r="E571" i="6"/>
  <c r="F571" i="6"/>
  <c r="G571" i="6"/>
  <c r="H571" i="6"/>
  <c r="I571" i="6"/>
  <c r="J571" i="6"/>
  <c r="K571" i="6"/>
  <c r="L571" i="6"/>
  <c r="M571" i="6"/>
  <c r="N571" i="6"/>
  <c r="O571" i="6"/>
  <c r="B572" i="6"/>
  <c r="C572" i="6"/>
  <c r="D572" i="6"/>
  <c r="E572" i="6"/>
  <c r="F572" i="6"/>
  <c r="G572" i="6"/>
  <c r="H572" i="6"/>
  <c r="I572" i="6"/>
  <c r="J572" i="6"/>
  <c r="K572" i="6"/>
  <c r="L572" i="6"/>
  <c r="M572" i="6"/>
  <c r="N572" i="6"/>
  <c r="O572" i="6"/>
  <c r="B573" i="6"/>
  <c r="C573" i="6"/>
  <c r="D573" i="6"/>
  <c r="E573" i="6"/>
  <c r="F573" i="6"/>
  <c r="G573" i="6"/>
  <c r="H573" i="6"/>
  <c r="I573" i="6"/>
  <c r="J573" i="6"/>
  <c r="K573" i="6"/>
  <c r="L573" i="6"/>
  <c r="M573" i="6"/>
  <c r="N573" i="6"/>
  <c r="O573" i="6"/>
  <c r="B574" i="6"/>
  <c r="C574" i="6"/>
  <c r="D574" i="6"/>
  <c r="E574" i="6"/>
  <c r="F574" i="6"/>
  <c r="G574" i="6"/>
  <c r="H574" i="6"/>
  <c r="I574" i="6"/>
  <c r="J574" i="6"/>
  <c r="K574" i="6"/>
  <c r="L574" i="6"/>
  <c r="M574" i="6"/>
  <c r="N574" i="6"/>
  <c r="O574" i="6"/>
  <c r="B575" i="6"/>
  <c r="C575" i="6"/>
  <c r="D575" i="6"/>
  <c r="E575" i="6"/>
  <c r="F575" i="6"/>
  <c r="G575" i="6"/>
  <c r="H575" i="6"/>
  <c r="I575" i="6"/>
  <c r="J575" i="6"/>
  <c r="K575" i="6"/>
  <c r="L575" i="6"/>
  <c r="M575" i="6"/>
  <c r="N575" i="6"/>
  <c r="O575" i="6"/>
  <c r="B576" i="6"/>
  <c r="C576" i="6"/>
  <c r="D576" i="6"/>
  <c r="E576" i="6"/>
  <c r="F576" i="6"/>
  <c r="G576" i="6"/>
  <c r="H576" i="6"/>
  <c r="I576" i="6"/>
  <c r="J576" i="6"/>
  <c r="K576" i="6"/>
  <c r="L576" i="6"/>
  <c r="M576" i="6"/>
  <c r="N576" i="6"/>
  <c r="O576" i="6"/>
  <c r="B577" i="6"/>
  <c r="C577" i="6"/>
  <c r="D577" i="6"/>
  <c r="E577" i="6"/>
  <c r="F577" i="6"/>
  <c r="G577" i="6"/>
  <c r="H577" i="6"/>
  <c r="I577" i="6"/>
  <c r="J577" i="6"/>
  <c r="K577" i="6"/>
  <c r="L577" i="6"/>
  <c r="M577" i="6"/>
  <c r="N577" i="6"/>
  <c r="O577" i="6"/>
  <c r="B578" i="6"/>
  <c r="C578" i="6"/>
  <c r="D578" i="6"/>
  <c r="E578" i="6"/>
  <c r="F578" i="6"/>
  <c r="G578" i="6"/>
  <c r="H578" i="6"/>
  <c r="I578" i="6"/>
  <c r="J578" i="6"/>
  <c r="K578" i="6"/>
  <c r="L578" i="6"/>
  <c r="M578" i="6"/>
  <c r="N578" i="6"/>
  <c r="O578" i="6"/>
  <c r="B579" i="6"/>
  <c r="C579" i="6"/>
  <c r="D579" i="6"/>
  <c r="E579" i="6"/>
  <c r="F579" i="6"/>
  <c r="G579" i="6"/>
  <c r="H579" i="6"/>
  <c r="I579" i="6"/>
  <c r="J579" i="6"/>
  <c r="K579" i="6"/>
  <c r="L579" i="6"/>
  <c r="M579" i="6"/>
  <c r="N579" i="6"/>
  <c r="O579" i="6"/>
  <c r="B580" i="6"/>
  <c r="C580" i="6"/>
  <c r="D580" i="6"/>
  <c r="E580" i="6"/>
  <c r="F580" i="6"/>
  <c r="G580" i="6"/>
  <c r="H580" i="6"/>
  <c r="I580" i="6"/>
  <c r="J580" i="6"/>
  <c r="K580" i="6"/>
  <c r="L580" i="6"/>
  <c r="M580" i="6"/>
  <c r="N580" i="6"/>
  <c r="O580" i="6"/>
  <c r="B581" i="6"/>
  <c r="C581" i="6"/>
  <c r="D581" i="6"/>
  <c r="E581" i="6"/>
  <c r="F581" i="6"/>
  <c r="G581" i="6"/>
  <c r="H581" i="6"/>
  <c r="I581" i="6"/>
  <c r="J581" i="6"/>
  <c r="K581" i="6"/>
  <c r="L581" i="6"/>
  <c r="M581" i="6"/>
  <c r="N581" i="6"/>
  <c r="O581" i="6"/>
  <c r="B582" i="6"/>
  <c r="C582" i="6"/>
  <c r="D582" i="6"/>
  <c r="E582" i="6"/>
  <c r="F582" i="6"/>
  <c r="G582" i="6"/>
  <c r="H582" i="6"/>
  <c r="I582" i="6"/>
  <c r="J582" i="6"/>
  <c r="K582" i="6"/>
  <c r="L582" i="6"/>
  <c r="M582" i="6"/>
  <c r="N582" i="6"/>
  <c r="O582" i="6"/>
  <c r="B583" i="6"/>
  <c r="C583" i="6"/>
  <c r="D583" i="6"/>
  <c r="E583" i="6"/>
  <c r="F583" i="6"/>
  <c r="G583" i="6"/>
  <c r="H583" i="6"/>
  <c r="I583" i="6"/>
  <c r="J583" i="6"/>
  <c r="K583" i="6"/>
  <c r="L583" i="6"/>
  <c r="M583" i="6"/>
  <c r="N583" i="6"/>
  <c r="O583" i="6"/>
  <c r="B584" i="6"/>
  <c r="C584" i="6"/>
  <c r="D584" i="6"/>
  <c r="E584" i="6"/>
  <c r="F584" i="6"/>
  <c r="G584" i="6"/>
  <c r="H584" i="6"/>
  <c r="I584" i="6"/>
  <c r="J584" i="6"/>
  <c r="K584" i="6"/>
  <c r="L584" i="6"/>
  <c r="M584" i="6"/>
  <c r="N584" i="6"/>
  <c r="O584" i="6"/>
  <c r="B585" i="6"/>
  <c r="C585" i="6"/>
  <c r="D585" i="6"/>
  <c r="E585" i="6"/>
  <c r="F585" i="6"/>
  <c r="G585" i="6"/>
  <c r="H585" i="6"/>
  <c r="I585" i="6"/>
  <c r="J585" i="6"/>
  <c r="K585" i="6"/>
  <c r="L585" i="6"/>
  <c r="M585" i="6"/>
  <c r="N585" i="6"/>
  <c r="O585" i="6"/>
  <c r="B586" i="6"/>
  <c r="C586" i="6"/>
  <c r="D586" i="6"/>
  <c r="E586" i="6"/>
  <c r="F586" i="6"/>
  <c r="G586" i="6"/>
  <c r="H586" i="6"/>
  <c r="I586" i="6"/>
  <c r="J586" i="6"/>
  <c r="K586" i="6"/>
  <c r="L586" i="6"/>
  <c r="M586" i="6"/>
  <c r="N586" i="6"/>
  <c r="O586" i="6"/>
  <c r="B587" i="6"/>
  <c r="C587" i="6"/>
  <c r="D587" i="6"/>
  <c r="E587" i="6"/>
  <c r="F587" i="6"/>
  <c r="G587" i="6"/>
  <c r="H587" i="6"/>
  <c r="I587" i="6"/>
  <c r="J587" i="6"/>
  <c r="K587" i="6"/>
  <c r="L587" i="6"/>
  <c r="M587" i="6"/>
  <c r="N587" i="6"/>
  <c r="O587" i="6"/>
  <c r="B588" i="6"/>
  <c r="C588" i="6"/>
  <c r="D588" i="6"/>
  <c r="E588" i="6"/>
  <c r="F588" i="6"/>
  <c r="G588" i="6"/>
  <c r="H588" i="6"/>
  <c r="I588" i="6"/>
  <c r="J588" i="6"/>
  <c r="K588" i="6"/>
  <c r="L588" i="6"/>
  <c r="M588" i="6"/>
  <c r="N588" i="6"/>
  <c r="O588" i="6"/>
  <c r="B589" i="6"/>
  <c r="C589" i="6"/>
  <c r="D589" i="6"/>
  <c r="E589" i="6"/>
  <c r="F589" i="6"/>
  <c r="G589" i="6"/>
  <c r="H589" i="6"/>
  <c r="I589" i="6"/>
  <c r="J589" i="6"/>
  <c r="K589" i="6"/>
  <c r="L589" i="6"/>
  <c r="M589" i="6"/>
  <c r="N589" i="6"/>
  <c r="O589" i="6"/>
  <c r="B590" i="6"/>
  <c r="C590" i="6"/>
  <c r="D590" i="6"/>
  <c r="E590" i="6"/>
  <c r="F590" i="6"/>
  <c r="G590" i="6"/>
  <c r="H590" i="6"/>
  <c r="I590" i="6"/>
  <c r="J590" i="6"/>
  <c r="K590" i="6"/>
  <c r="L590" i="6"/>
  <c r="M590" i="6"/>
  <c r="N590" i="6"/>
  <c r="O590" i="6"/>
  <c r="B591" i="6"/>
  <c r="C591" i="6"/>
  <c r="D591" i="6"/>
  <c r="E591" i="6"/>
  <c r="F591" i="6"/>
  <c r="G591" i="6"/>
  <c r="H591" i="6"/>
  <c r="I591" i="6"/>
  <c r="J591" i="6"/>
  <c r="K591" i="6"/>
  <c r="L591" i="6"/>
  <c r="M591" i="6"/>
  <c r="N591" i="6"/>
  <c r="O591" i="6"/>
  <c r="B592" i="6"/>
  <c r="C592" i="6"/>
  <c r="D592" i="6"/>
  <c r="E592" i="6"/>
  <c r="F592" i="6"/>
  <c r="G592" i="6"/>
  <c r="H592" i="6"/>
  <c r="I592" i="6"/>
  <c r="J592" i="6"/>
  <c r="K592" i="6"/>
  <c r="L592" i="6"/>
  <c r="M592" i="6"/>
  <c r="N592" i="6"/>
  <c r="O592" i="6"/>
  <c r="B593" i="6"/>
  <c r="C593" i="6"/>
  <c r="D593" i="6"/>
  <c r="E593" i="6"/>
  <c r="F593" i="6"/>
  <c r="G593" i="6"/>
  <c r="H593" i="6"/>
  <c r="I593" i="6"/>
  <c r="J593" i="6"/>
  <c r="K593" i="6"/>
  <c r="L593" i="6"/>
  <c r="M593" i="6"/>
  <c r="N593" i="6"/>
  <c r="O593" i="6"/>
  <c r="B594" i="6"/>
  <c r="C594" i="6"/>
  <c r="D594" i="6"/>
  <c r="E594" i="6"/>
  <c r="F594" i="6"/>
  <c r="G594" i="6"/>
  <c r="H594" i="6"/>
  <c r="I594" i="6"/>
  <c r="J594" i="6"/>
  <c r="K594" i="6"/>
  <c r="L594" i="6"/>
  <c r="M594" i="6"/>
  <c r="N594" i="6"/>
  <c r="O594" i="6"/>
  <c r="B595" i="6"/>
  <c r="C595" i="6"/>
  <c r="D595" i="6"/>
  <c r="E595" i="6"/>
  <c r="F595" i="6"/>
  <c r="G595" i="6"/>
  <c r="H595" i="6"/>
  <c r="I595" i="6"/>
  <c r="J595" i="6"/>
  <c r="K595" i="6"/>
  <c r="L595" i="6"/>
  <c r="M595" i="6"/>
  <c r="N595" i="6"/>
  <c r="O595" i="6"/>
  <c r="B596" i="6"/>
  <c r="C596" i="6"/>
  <c r="D596" i="6"/>
  <c r="E596" i="6"/>
  <c r="F596" i="6"/>
  <c r="G596" i="6"/>
  <c r="H596" i="6"/>
  <c r="I596" i="6"/>
  <c r="J596" i="6"/>
  <c r="K596" i="6"/>
  <c r="L596" i="6"/>
  <c r="M596" i="6"/>
  <c r="N596" i="6"/>
  <c r="O596" i="6"/>
  <c r="B597" i="6"/>
  <c r="C597" i="6"/>
  <c r="D597" i="6"/>
  <c r="E597" i="6"/>
  <c r="F597" i="6"/>
  <c r="G597" i="6"/>
  <c r="H597" i="6"/>
  <c r="I597" i="6"/>
  <c r="J597" i="6"/>
  <c r="K597" i="6"/>
  <c r="L597" i="6"/>
  <c r="M597" i="6"/>
  <c r="N597" i="6"/>
  <c r="O597" i="6"/>
  <c r="B598" i="6"/>
  <c r="C598" i="6"/>
  <c r="D598" i="6"/>
  <c r="E598" i="6"/>
  <c r="F598" i="6"/>
  <c r="G598" i="6"/>
  <c r="H598" i="6"/>
  <c r="I598" i="6"/>
  <c r="J598" i="6"/>
  <c r="K598" i="6"/>
  <c r="L598" i="6"/>
  <c r="M598" i="6"/>
  <c r="N598" i="6"/>
  <c r="O598" i="6"/>
  <c r="B599" i="6"/>
  <c r="C599" i="6"/>
  <c r="D599" i="6"/>
  <c r="E599" i="6"/>
  <c r="F599" i="6"/>
  <c r="G599" i="6"/>
  <c r="H599" i="6"/>
  <c r="I599" i="6"/>
  <c r="J599" i="6"/>
  <c r="K599" i="6"/>
  <c r="L599" i="6"/>
  <c r="M599" i="6"/>
  <c r="N599" i="6"/>
  <c r="O599" i="6"/>
  <c r="B600" i="6"/>
  <c r="C600" i="6"/>
  <c r="D600" i="6"/>
  <c r="E600" i="6"/>
  <c r="F600" i="6"/>
  <c r="G600" i="6"/>
  <c r="H600" i="6"/>
  <c r="I600" i="6"/>
  <c r="J600" i="6"/>
  <c r="K600" i="6"/>
  <c r="L600" i="6"/>
  <c r="M600" i="6"/>
  <c r="N600" i="6"/>
  <c r="O600" i="6"/>
  <c r="B601" i="6"/>
  <c r="C601" i="6"/>
  <c r="D601" i="6"/>
  <c r="E601" i="6"/>
  <c r="F601" i="6"/>
  <c r="G601" i="6"/>
  <c r="H601" i="6"/>
  <c r="I601" i="6"/>
  <c r="J601" i="6"/>
  <c r="K601" i="6"/>
  <c r="L601" i="6"/>
  <c r="M601" i="6"/>
  <c r="N601" i="6"/>
  <c r="O601" i="6"/>
  <c r="B602" i="6"/>
  <c r="C602" i="6"/>
  <c r="D602" i="6"/>
  <c r="E602" i="6"/>
  <c r="F602" i="6"/>
  <c r="G602" i="6"/>
  <c r="H602" i="6"/>
  <c r="I602" i="6"/>
  <c r="J602" i="6"/>
  <c r="K602" i="6"/>
  <c r="L602" i="6"/>
  <c r="M602" i="6"/>
  <c r="N602" i="6"/>
  <c r="O602" i="6"/>
  <c r="B603" i="6"/>
  <c r="C603" i="6"/>
  <c r="D603" i="6"/>
  <c r="E603" i="6"/>
  <c r="F603" i="6"/>
  <c r="G603" i="6"/>
  <c r="H603" i="6"/>
  <c r="I603" i="6"/>
  <c r="J603" i="6"/>
  <c r="K603" i="6"/>
  <c r="L603" i="6"/>
  <c r="M603" i="6"/>
  <c r="N603" i="6"/>
  <c r="O603" i="6"/>
  <c r="B604" i="6"/>
  <c r="C604" i="6"/>
  <c r="D604" i="6"/>
  <c r="E604" i="6"/>
  <c r="F604" i="6"/>
  <c r="G604" i="6"/>
  <c r="H604" i="6"/>
  <c r="I604" i="6"/>
  <c r="J604" i="6"/>
  <c r="K604" i="6"/>
  <c r="L604" i="6"/>
  <c r="M604" i="6"/>
  <c r="N604" i="6"/>
  <c r="O604" i="6"/>
  <c r="B605" i="6"/>
  <c r="C605" i="6"/>
  <c r="D605" i="6"/>
  <c r="E605" i="6"/>
  <c r="F605" i="6"/>
  <c r="G605" i="6"/>
  <c r="H605" i="6"/>
  <c r="I605" i="6"/>
  <c r="J605" i="6"/>
  <c r="K605" i="6"/>
  <c r="L605" i="6"/>
  <c r="M605" i="6"/>
  <c r="N605" i="6"/>
  <c r="O605" i="6"/>
  <c r="B606" i="6"/>
  <c r="C606" i="6"/>
  <c r="D606" i="6"/>
  <c r="E606" i="6"/>
  <c r="F606" i="6"/>
  <c r="G606" i="6"/>
  <c r="H606" i="6"/>
  <c r="I606" i="6"/>
  <c r="J606" i="6"/>
  <c r="K606" i="6"/>
  <c r="L606" i="6"/>
  <c r="M606" i="6"/>
  <c r="N606" i="6"/>
  <c r="O606" i="6"/>
  <c r="B607" i="6"/>
  <c r="C607" i="6"/>
  <c r="D607" i="6"/>
  <c r="E607" i="6"/>
  <c r="F607" i="6"/>
  <c r="G607" i="6"/>
  <c r="H607" i="6"/>
  <c r="I607" i="6"/>
  <c r="J607" i="6"/>
  <c r="K607" i="6"/>
  <c r="L607" i="6"/>
  <c r="M607" i="6"/>
  <c r="N607" i="6"/>
  <c r="O607" i="6"/>
  <c r="B608" i="6"/>
  <c r="C608" i="6"/>
  <c r="D608" i="6"/>
  <c r="E608" i="6"/>
  <c r="F608" i="6"/>
  <c r="G608" i="6"/>
  <c r="H608" i="6"/>
  <c r="I608" i="6"/>
  <c r="J608" i="6"/>
  <c r="K608" i="6"/>
  <c r="L608" i="6"/>
  <c r="M608" i="6"/>
  <c r="N608" i="6"/>
  <c r="O608" i="6"/>
  <c r="B609" i="6"/>
  <c r="C609" i="6"/>
  <c r="D609" i="6"/>
  <c r="E609" i="6"/>
  <c r="F609" i="6"/>
  <c r="G609" i="6"/>
  <c r="H609" i="6"/>
  <c r="I609" i="6"/>
  <c r="J609" i="6"/>
  <c r="K609" i="6"/>
  <c r="L609" i="6"/>
  <c r="M609" i="6"/>
  <c r="N609" i="6"/>
  <c r="O609" i="6"/>
  <c r="B610" i="6"/>
  <c r="C610" i="6"/>
  <c r="D610" i="6"/>
  <c r="E610" i="6"/>
  <c r="F610" i="6"/>
  <c r="G610" i="6"/>
  <c r="H610" i="6"/>
  <c r="I610" i="6"/>
  <c r="J610" i="6"/>
  <c r="K610" i="6"/>
  <c r="L610" i="6"/>
  <c r="M610" i="6"/>
  <c r="N610" i="6"/>
  <c r="O610" i="6"/>
  <c r="B611" i="6"/>
  <c r="C611" i="6"/>
  <c r="D611" i="6"/>
  <c r="E611" i="6"/>
  <c r="F611" i="6"/>
  <c r="G611" i="6"/>
  <c r="H611" i="6"/>
  <c r="I611" i="6"/>
  <c r="J611" i="6"/>
  <c r="K611" i="6"/>
  <c r="L611" i="6"/>
  <c r="M611" i="6"/>
  <c r="N611" i="6"/>
  <c r="O611" i="6"/>
  <c r="B612" i="6"/>
  <c r="C612" i="6"/>
  <c r="D612" i="6"/>
  <c r="E612" i="6"/>
  <c r="F612" i="6"/>
  <c r="G612" i="6"/>
  <c r="H612" i="6"/>
  <c r="I612" i="6"/>
  <c r="J612" i="6"/>
  <c r="K612" i="6"/>
  <c r="L612" i="6"/>
  <c r="M612" i="6"/>
  <c r="N612" i="6"/>
  <c r="O612" i="6"/>
  <c r="B613" i="6"/>
  <c r="C613" i="6"/>
  <c r="D613" i="6"/>
  <c r="E613" i="6"/>
  <c r="F613" i="6"/>
  <c r="G613" i="6"/>
  <c r="H613" i="6"/>
  <c r="I613" i="6"/>
  <c r="J613" i="6"/>
  <c r="K613" i="6"/>
  <c r="L613" i="6"/>
  <c r="M613" i="6"/>
  <c r="N613" i="6"/>
  <c r="O613" i="6"/>
  <c r="B614" i="6"/>
  <c r="C614" i="6"/>
  <c r="D614" i="6"/>
  <c r="E614" i="6"/>
  <c r="F614" i="6"/>
  <c r="G614" i="6"/>
  <c r="H614" i="6"/>
  <c r="I614" i="6"/>
  <c r="J614" i="6"/>
  <c r="K614" i="6"/>
  <c r="L614" i="6"/>
  <c r="M614" i="6"/>
  <c r="N614" i="6"/>
  <c r="O614" i="6"/>
  <c r="B615" i="6"/>
  <c r="C615" i="6"/>
  <c r="D615" i="6"/>
  <c r="E615" i="6"/>
  <c r="F615" i="6"/>
  <c r="G615" i="6"/>
  <c r="H615" i="6"/>
  <c r="I615" i="6"/>
  <c r="J615" i="6"/>
  <c r="K615" i="6"/>
  <c r="L615" i="6"/>
  <c r="M615" i="6"/>
  <c r="N615" i="6"/>
  <c r="O615" i="6"/>
  <c r="B616" i="6"/>
  <c r="C616" i="6"/>
  <c r="D616" i="6"/>
  <c r="E616" i="6"/>
  <c r="F616" i="6"/>
  <c r="G616" i="6"/>
  <c r="H616" i="6"/>
  <c r="I616" i="6"/>
  <c r="J616" i="6"/>
  <c r="K616" i="6"/>
  <c r="L616" i="6"/>
  <c r="M616" i="6"/>
  <c r="N616" i="6"/>
  <c r="O616" i="6"/>
  <c r="B617" i="6"/>
  <c r="C617" i="6"/>
  <c r="D617" i="6"/>
  <c r="E617" i="6"/>
  <c r="F617" i="6"/>
  <c r="G617" i="6"/>
  <c r="H617" i="6"/>
  <c r="I617" i="6"/>
  <c r="J617" i="6"/>
  <c r="K617" i="6"/>
  <c r="L617" i="6"/>
  <c r="M617" i="6"/>
  <c r="N617" i="6"/>
  <c r="O617" i="6"/>
  <c r="B618" i="6"/>
  <c r="C618" i="6"/>
  <c r="D618" i="6"/>
  <c r="E618" i="6"/>
  <c r="F618" i="6"/>
  <c r="G618" i="6"/>
  <c r="H618" i="6"/>
  <c r="I618" i="6"/>
  <c r="J618" i="6"/>
  <c r="K618" i="6"/>
  <c r="L618" i="6"/>
  <c r="M618" i="6"/>
  <c r="N618" i="6"/>
  <c r="O618" i="6"/>
  <c r="B619" i="6"/>
  <c r="C619" i="6"/>
  <c r="D619" i="6"/>
  <c r="E619" i="6"/>
  <c r="F619" i="6"/>
  <c r="G619" i="6"/>
  <c r="H619" i="6"/>
  <c r="I619" i="6"/>
  <c r="J619" i="6"/>
  <c r="K619" i="6"/>
  <c r="L619" i="6"/>
  <c r="M619" i="6"/>
  <c r="N619" i="6"/>
  <c r="O619" i="6"/>
  <c r="B620" i="6"/>
  <c r="C620" i="6"/>
  <c r="D620" i="6"/>
  <c r="E620" i="6"/>
  <c r="F620" i="6"/>
  <c r="G620" i="6"/>
  <c r="H620" i="6"/>
  <c r="I620" i="6"/>
  <c r="J620" i="6"/>
  <c r="K620" i="6"/>
  <c r="L620" i="6"/>
  <c r="M620" i="6"/>
  <c r="N620" i="6"/>
  <c r="O620" i="6"/>
  <c r="B621" i="6"/>
  <c r="C621" i="6"/>
  <c r="D621" i="6"/>
  <c r="E621" i="6"/>
  <c r="F621" i="6"/>
  <c r="G621" i="6"/>
  <c r="H621" i="6"/>
  <c r="I621" i="6"/>
  <c r="J621" i="6"/>
  <c r="K621" i="6"/>
  <c r="L621" i="6"/>
  <c r="M621" i="6"/>
  <c r="N621" i="6"/>
  <c r="O621" i="6"/>
  <c r="B622" i="6"/>
  <c r="C622" i="6"/>
  <c r="D622" i="6"/>
  <c r="E622" i="6"/>
  <c r="F622" i="6"/>
  <c r="G622" i="6"/>
  <c r="H622" i="6"/>
  <c r="I622" i="6"/>
  <c r="J622" i="6"/>
  <c r="K622" i="6"/>
  <c r="L622" i="6"/>
  <c r="M622" i="6"/>
  <c r="N622" i="6"/>
  <c r="O622" i="6"/>
  <c r="B623" i="6"/>
  <c r="C623" i="6"/>
  <c r="D623" i="6"/>
  <c r="E623" i="6"/>
  <c r="F623" i="6"/>
  <c r="G623" i="6"/>
  <c r="H623" i="6"/>
  <c r="I623" i="6"/>
  <c r="J623" i="6"/>
  <c r="K623" i="6"/>
  <c r="L623" i="6"/>
  <c r="M623" i="6"/>
  <c r="N623" i="6"/>
  <c r="O623" i="6"/>
  <c r="B624" i="6"/>
  <c r="C624" i="6"/>
  <c r="D624" i="6"/>
  <c r="E624" i="6"/>
  <c r="F624" i="6"/>
  <c r="G624" i="6"/>
  <c r="H624" i="6"/>
  <c r="I624" i="6"/>
  <c r="J624" i="6"/>
  <c r="K624" i="6"/>
  <c r="L624" i="6"/>
  <c r="M624" i="6"/>
  <c r="N624" i="6"/>
  <c r="O624" i="6"/>
  <c r="B625" i="6"/>
  <c r="C625" i="6"/>
  <c r="D625" i="6"/>
  <c r="E625" i="6"/>
  <c r="F625" i="6"/>
  <c r="G625" i="6"/>
  <c r="H625" i="6"/>
  <c r="I625" i="6"/>
  <c r="J625" i="6"/>
  <c r="K625" i="6"/>
  <c r="L625" i="6"/>
  <c r="M625" i="6"/>
  <c r="N625" i="6"/>
  <c r="O625" i="6"/>
  <c r="B626" i="6"/>
  <c r="C626" i="6"/>
  <c r="D626" i="6"/>
  <c r="E626" i="6"/>
  <c r="F626" i="6"/>
  <c r="G626" i="6"/>
  <c r="H626" i="6"/>
  <c r="I626" i="6"/>
  <c r="J626" i="6"/>
  <c r="K626" i="6"/>
  <c r="L626" i="6"/>
  <c r="M626" i="6"/>
  <c r="N626" i="6"/>
  <c r="O626" i="6"/>
  <c r="B627" i="6"/>
  <c r="C627" i="6"/>
  <c r="D627" i="6"/>
  <c r="E627" i="6"/>
  <c r="F627" i="6"/>
  <c r="G627" i="6"/>
  <c r="H627" i="6"/>
  <c r="I627" i="6"/>
  <c r="J627" i="6"/>
  <c r="K627" i="6"/>
  <c r="L627" i="6"/>
  <c r="M627" i="6"/>
  <c r="N627" i="6"/>
  <c r="O627" i="6"/>
  <c r="B628" i="6"/>
  <c r="C628" i="6"/>
  <c r="D628" i="6"/>
  <c r="E628" i="6"/>
  <c r="F628" i="6"/>
  <c r="G628" i="6"/>
  <c r="H628" i="6"/>
  <c r="I628" i="6"/>
  <c r="J628" i="6"/>
  <c r="K628" i="6"/>
  <c r="L628" i="6"/>
  <c r="M628" i="6"/>
  <c r="N628" i="6"/>
  <c r="O628" i="6"/>
  <c r="B629" i="6"/>
  <c r="C629" i="6"/>
  <c r="D629" i="6"/>
  <c r="E629" i="6"/>
  <c r="F629" i="6"/>
  <c r="G629" i="6"/>
  <c r="H629" i="6"/>
  <c r="I629" i="6"/>
  <c r="J629" i="6"/>
  <c r="K629" i="6"/>
  <c r="L629" i="6"/>
  <c r="M629" i="6"/>
  <c r="N629" i="6"/>
  <c r="O629" i="6"/>
  <c r="B630" i="6"/>
  <c r="C630" i="6"/>
  <c r="D630" i="6"/>
  <c r="E630" i="6"/>
  <c r="F630" i="6"/>
  <c r="G630" i="6"/>
  <c r="H630" i="6"/>
  <c r="I630" i="6"/>
  <c r="J630" i="6"/>
  <c r="K630" i="6"/>
  <c r="L630" i="6"/>
  <c r="M630" i="6"/>
  <c r="N630" i="6"/>
  <c r="O630" i="6"/>
  <c r="B631" i="6"/>
  <c r="C631" i="6"/>
  <c r="D631" i="6"/>
  <c r="E631" i="6"/>
  <c r="F631" i="6"/>
  <c r="G631" i="6"/>
  <c r="H631" i="6"/>
  <c r="I631" i="6"/>
  <c r="J631" i="6"/>
  <c r="K631" i="6"/>
  <c r="L631" i="6"/>
  <c r="M631" i="6"/>
  <c r="N631" i="6"/>
  <c r="O631" i="6"/>
  <c r="B632" i="6"/>
  <c r="C632" i="6"/>
  <c r="D632" i="6"/>
  <c r="E632" i="6"/>
  <c r="F632" i="6"/>
  <c r="G632" i="6"/>
  <c r="H632" i="6"/>
  <c r="I632" i="6"/>
  <c r="J632" i="6"/>
  <c r="K632" i="6"/>
  <c r="L632" i="6"/>
  <c r="M632" i="6"/>
  <c r="N632" i="6"/>
  <c r="O632" i="6"/>
  <c r="B633" i="6"/>
  <c r="C633" i="6"/>
  <c r="D633" i="6"/>
  <c r="E633" i="6"/>
  <c r="F633" i="6"/>
  <c r="G633" i="6"/>
  <c r="H633" i="6"/>
  <c r="I633" i="6"/>
  <c r="J633" i="6"/>
  <c r="K633" i="6"/>
  <c r="L633" i="6"/>
  <c r="M633" i="6"/>
  <c r="N633" i="6"/>
  <c r="O633" i="6"/>
  <c r="B634" i="6"/>
  <c r="C634" i="6"/>
  <c r="D634" i="6"/>
  <c r="E634" i="6"/>
  <c r="F634" i="6"/>
  <c r="G634" i="6"/>
  <c r="H634" i="6"/>
  <c r="I634" i="6"/>
  <c r="J634" i="6"/>
  <c r="K634" i="6"/>
  <c r="L634" i="6"/>
  <c r="M634" i="6"/>
  <c r="N634" i="6"/>
  <c r="O634" i="6"/>
  <c r="B635" i="6"/>
  <c r="C635" i="6"/>
  <c r="D635" i="6"/>
  <c r="E635" i="6"/>
  <c r="F635" i="6"/>
  <c r="G635" i="6"/>
  <c r="H635" i="6"/>
  <c r="I635" i="6"/>
  <c r="J635" i="6"/>
  <c r="K635" i="6"/>
  <c r="L635" i="6"/>
  <c r="M635" i="6"/>
  <c r="N635" i="6"/>
  <c r="O635" i="6"/>
  <c r="B636" i="6"/>
  <c r="C636" i="6"/>
  <c r="D636" i="6"/>
  <c r="E636" i="6"/>
  <c r="F636" i="6"/>
  <c r="G636" i="6"/>
  <c r="H636" i="6"/>
  <c r="I636" i="6"/>
  <c r="J636" i="6"/>
  <c r="K636" i="6"/>
  <c r="L636" i="6"/>
  <c r="M636" i="6"/>
  <c r="N636" i="6"/>
  <c r="O636" i="6"/>
  <c r="B637" i="6"/>
  <c r="C637" i="6"/>
  <c r="D637" i="6"/>
  <c r="E637" i="6"/>
  <c r="F637" i="6"/>
  <c r="G637" i="6"/>
  <c r="H637" i="6"/>
  <c r="I637" i="6"/>
  <c r="J637" i="6"/>
  <c r="K637" i="6"/>
  <c r="L637" i="6"/>
  <c r="M637" i="6"/>
  <c r="N637" i="6"/>
  <c r="O637" i="6"/>
  <c r="B638" i="6"/>
  <c r="C638" i="6"/>
  <c r="D638" i="6"/>
  <c r="E638" i="6"/>
  <c r="F638" i="6"/>
  <c r="G638" i="6"/>
  <c r="H638" i="6"/>
  <c r="I638" i="6"/>
  <c r="J638" i="6"/>
  <c r="K638" i="6"/>
  <c r="L638" i="6"/>
  <c r="M638" i="6"/>
  <c r="N638" i="6"/>
  <c r="O638" i="6"/>
  <c r="B639" i="6"/>
  <c r="C639" i="6"/>
  <c r="D639" i="6"/>
  <c r="E639" i="6"/>
  <c r="F639" i="6"/>
  <c r="G639" i="6"/>
  <c r="H639" i="6"/>
  <c r="I639" i="6"/>
  <c r="J639" i="6"/>
  <c r="K639" i="6"/>
  <c r="L639" i="6"/>
  <c r="M639" i="6"/>
  <c r="N639" i="6"/>
  <c r="O639" i="6"/>
  <c r="B640" i="6"/>
  <c r="C640" i="6"/>
  <c r="D640" i="6"/>
  <c r="E640" i="6"/>
  <c r="F640" i="6"/>
  <c r="G640" i="6"/>
  <c r="H640" i="6"/>
  <c r="I640" i="6"/>
  <c r="J640" i="6"/>
  <c r="K640" i="6"/>
  <c r="L640" i="6"/>
  <c r="M640" i="6"/>
  <c r="N640" i="6"/>
  <c r="O640" i="6"/>
  <c r="B641" i="6"/>
  <c r="C641" i="6"/>
  <c r="D641" i="6"/>
  <c r="E641" i="6"/>
  <c r="F641" i="6"/>
  <c r="G641" i="6"/>
  <c r="H641" i="6"/>
  <c r="I641" i="6"/>
  <c r="J641" i="6"/>
  <c r="K641" i="6"/>
  <c r="L641" i="6"/>
  <c r="M641" i="6"/>
  <c r="N641" i="6"/>
  <c r="O641" i="6"/>
  <c r="B642" i="6"/>
  <c r="C642" i="6"/>
  <c r="D642" i="6"/>
  <c r="E642" i="6"/>
  <c r="F642" i="6"/>
  <c r="G642" i="6"/>
  <c r="H642" i="6"/>
  <c r="I642" i="6"/>
  <c r="J642" i="6"/>
  <c r="K642" i="6"/>
  <c r="L642" i="6"/>
  <c r="M642" i="6"/>
  <c r="N642" i="6"/>
  <c r="O642" i="6"/>
  <c r="B643" i="6"/>
  <c r="C643" i="6"/>
  <c r="D643" i="6"/>
  <c r="E643" i="6"/>
  <c r="F643" i="6"/>
  <c r="G643" i="6"/>
  <c r="H643" i="6"/>
  <c r="I643" i="6"/>
  <c r="J643" i="6"/>
  <c r="K643" i="6"/>
  <c r="L643" i="6"/>
  <c r="M643" i="6"/>
  <c r="N643" i="6"/>
  <c r="O643" i="6"/>
  <c r="B644" i="6"/>
  <c r="C644" i="6"/>
  <c r="D644" i="6"/>
  <c r="E644" i="6"/>
  <c r="F644" i="6"/>
  <c r="G644" i="6"/>
  <c r="H644" i="6"/>
  <c r="I644" i="6"/>
  <c r="J644" i="6"/>
  <c r="K644" i="6"/>
  <c r="L644" i="6"/>
  <c r="M644" i="6"/>
  <c r="N644" i="6"/>
  <c r="O644" i="6"/>
  <c r="B645" i="6"/>
  <c r="C645" i="6"/>
  <c r="D645" i="6"/>
  <c r="E645" i="6"/>
  <c r="F645" i="6"/>
  <c r="G645" i="6"/>
  <c r="H645" i="6"/>
  <c r="I645" i="6"/>
  <c r="J645" i="6"/>
  <c r="K645" i="6"/>
  <c r="L645" i="6"/>
  <c r="M645" i="6"/>
  <c r="N645" i="6"/>
  <c r="O645" i="6"/>
  <c r="B646" i="6"/>
  <c r="C646" i="6"/>
  <c r="D646" i="6"/>
  <c r="E646" i="6"/>
  <c r="F646" i="6"/>
  <c r="G646" i="6"/>
  <c r="H646" i="6"/>
  <c r="I646" i="6"/>
  <c r="J646" i="6"/>
  <c r="K646" i="6"/>
  <c r="L646" i="6"/>
  <c r="M646" i="6"/>
  <c r="N646" i="6"/>
  <c r="O646" i="6"/>
  <c r="B647" i="6"/>
  <c r="C647" i="6"/>
  <c r="D647" i="6"/>
  <c r="E647" i="6"/>
  <c r="F647" i="6"/>
  <c r="G647" i="6"/>
  <c r="H647" i="6"/>
  <c r="I647" i="6"/>
  <c r="J647" i="6"/>
  <c r="K647" i="6"/>
  <c r="L647" i="6"/>
  <c r="M647" i="6"/>
  <c r="N647" i="6"/>
  <c r="O647" i="6"/>
  <c r="B648" i="6"/>
  <c r="C648" i="6"/>
  <c r="D648" i="6"/>
  <c r="E648" i="6"/>
  <c r="F648" i="6"/>
  <c r="G648" i="6"/>
  <c r="H648" i="6"/>
  <c r="I648" i="6"/>
  <c r="J648" i="6"/>
  <c r="K648" i="6"/>
  <c r="L648" i="6"/>
  <c r="M648" i="6"/>
  <c r="N648" i="6"/>
  <c r="O648" i="6"/>
  <c r="B649" i="6"/>
  <c r="C649" i="6"/>
  <c r="D649" i="6"/>
  <c r="E649" i="6"/>
  <c r="F649" i="6"/>
  <c r="G649" i="6"/>
  <c r="H649" i="6"/>
  <c r="I649" i="6"/>
  <c r="J649" i="6"/>
  <c r="K649" i="6"/>
  <c r="L649" i="6"/>
  <c r="M649" i="6"/>
  <c r="N649" i="6"/>
  <c r="O649" i="6"/>
  <c r="B650" i="6"/>
  <c r="C650" i="6"/>
  <c r="D650" i="6"/>
  <c r="E650" i="6"/>
  <c r="F650" i="6"/>
  <c r="G650" i="6"/>
  <c r="H650" i="6"/>
  <c r="I650" i="6"/>
  <c r="J650" i="6"/>
  <c r="K650" i="6"/>
  <c r="L650" i="6"/>
  <c r="M650" i="6"/>
  <c r="N650" i="6"/>
  <c r="O650" i="6"/>
  <c r="B651" i="6"/>
  <c r="C651" i="6"/>
  <c r="D651" i="6"/>
  <c r="E651" i="6"/>
  <c r="F651" i="6"/>
  <c r="G651" i="6"/>
  <c r="H651" i="6"/>
  <c r="I651" i="6"/>
  <c r="J651" i="6"/>
  <c r="K651" i="6"/>
  <c r="L651" i="6"/>
  <c r="M651" i="6"/>
  <c r="N651" i="6"/>
  <c r="O651" i="6"/>
  <c r="B652" i="6"/>
  <c r="C652" i="6"/>
  <c r="D652" i="6"/>
  <c r="E652" i="6"/>
  <c r="F652" i="6"/>
  <c r="G652" i="6"/>
  <c r="H652" i="6"/>
  <c r="I652" i="6"/>
  <c r="J652" i="6"/>
  <c r="K652" i="6"/>
  <c r="L652" i="6"/>
  <c r="M652" i="6"/>
  <c r="N652" i="6"/>
  <c r="O652" i="6"/>
  <c r="B653" i="6"/>
  <c r="C653" i="6"/>
  <c r="D653" i="6"/>
  <c r="E653" i="6"/>
  <c r="F653" i="6"/>
  <c r="G653" i="6"/>
  <c r="H653" i="6"/>
  <c r="I653" i="6"/>
  <c r="J653" i="6"/>
  <c r="K653" i="6"/>
  <c r="L653" i="6"/>
  <c r="M653" i="6"/>
  <c r="N653" i="6"/>
  <c r="O653" i="6"/>
  <c r="B654" i="6"/>
  <c r="C654" i="6"/>
  <c r="D654" i="6"/>
  <c r="E654" i="6"/>
  <c r="F654" i="6"/>
  <c r="G654" i="6"/>
  <c r="H654" i="6"/>
  <c r="I654" i="6"/>
  <c r="J654" i="6"/>
  <c r="K654" i="6"/>
  <c r="L654" i="6"/>
  <c r="M654" i="6"/>
  <c r="N654" i="6"/>
  <c r="O654" i="6"/>
  <c r="B655" i="6"/>
  <c r="C655" i="6"/>
  <c r="D655" i="6"/>
  <c r="E655" i="6"/>
  <c r="F655" i="6"/>
  <c r="G655" i="6"/>
  <c r="H655" i="6"/>
  <c r="I655" i="6"/>
  <c r="J655" i="6"/>
  <c r="K655" i="6"/>
  <c r="L655" i="6"/>
  <c r="M655" i="6"/>
  <c r="N655" i="6"/>
  <c r="O655" i="6"/>
  <c r="B656" i="6"/>
  <c r="C656" i="6"/>
  <c r="D656" i="6"/>
  <c r="E656" i="6"/>
  <c r="F656" i="6"/>
  <c r="G656" i="6"/>
  <c r="H656" i="6"/>
  <c r="I656" i="6"/>
  <c r="J656" i="6"/>
  <c r="K656" i="6"/>
  <c r="L656" i="6"/>
  <c r="M656" i="6"/>
  <c r="N656" i="6"/>
  <c r="O656" i="6"/>
  <c r="B657" i="6"/>
  <c r="C657" i="6"/>
  <c r="D657" i="6"/>
  <c r="E657" i="6"/>
  <c r="F657" i="6"/>
  <c r="G657" i="6"/>
  <c r="H657" i="6"/>
  <c r="I657" i="6"/>
  <c r="J657" i="6"/>
  <c r="K657" i="6"/>
  <c r="L657" i="6"/>
  <c r="M657" i="6"/>
  <c r="N657" i="6"/>
  <c r="O657" i="6"/>
  <c r="B658" i="6"/>
  <c r="C658" i="6"/>
  <c r="D658" i="6"/>
  <c r="E658" i="6"/>
  <c r="F658" i="6"/>
  <c r="G658" i="6"/>
  <c r="H658" i="6"/>
  <c r="I658" i="6"/>
  <c r="J658" i="6"/>
  <c r="K658" i="6"/>
  <c r="L658" i="6"/>
  <c r="M658" i="6"/>
  <c r="N658" i="6"/>
  <c r="O658" i="6"/>
  <c r="B659" i="6"/>
  <c r="C659" i="6"/>
  <c r="D659" i="6"/>
  <c r="E659" i="6"/>
  <c r="F659" i="6"/>
  <c r="G659" i="6"/>
  <c r="H659" i="6"/>
  <c r="I659" i="6"/>
  <c r="J659" i="6"/>
  <c r="K659" i="6"/>
  <c r="L659" i="6"/>
  <c r="M659" i="6"/>
  <c r="N659" i="6"/>
  <c r="O659" i="6"/>
  <c r="B660" i="6"/>
  <c r="C660" i="6"/>
  <c r="D660" i="6"/>
  <c r="E660" i="6"/>
  <c r="F660" i="6"/>
  <c r="G660" i="6"/>
  <c r="H660" i="6"/>
  <c r="I660" i="6"/>
  <c r="J660" i="6"/>
  <c r="K660" i="6"/>
  <c r="L660" i="6"/>
  <c r="M660" i="6"/>
  <c r="N660" i="6"/>
  <c r="O660" i="6"/>
  <c r="B661" i="6"/>
  <c r="C661" i="6"/>
  <c r="D661" i="6"/>
  <c r="E661" i="6"/>
  <c r="F661" i="6"/>
  <c r="G661" i="6"/>
  <c r="H661" i="6"/>
  <c r="I661" i="6"/>
  <c r="J661" i="6"/>
  <c r="K661" i="6"/>
  <c r="L661" i="6"/>
  <c r="M661" i="6"/>
  <c r="N661" i="6"/>
  <c r="O661" i="6"/>
  <c r="B662" i="6"/>
  <c r="C662" i="6"/>
  <c r="D662" i="6"/>
  <c r="E662" i="6"/>
  <c r="F662" i="6"/>
  <c r="G662" i="6"/>
  <c r="H662" i="6"/>
  <c r="I662" i="6"/>
  <c r="J662" i="6"/>
  <c r="K662" i="6"/>
  <c r="L662" i="6"/>
  <c r="M662" i="6"/>
  <c r="N662" i="6"/>
  <c r="O662" i="6"/>
  <c r="B663" i="6"/>
  <c r="C663" i="6"/>
  <c r="D663" i="6"/>
  <c r="E663" i="6"/>
  <c r="F663" i="6"/>
  <c r="G663" i="6"/>
  <c r="H663" i="6"/>
  <c r="I663" i="6"/>
  <c r="J663" i="6"/>
  <c r="K663" i="6"/>
  <c r="L663" i="6"/>
  <c r="M663" i="6"/>
  <c r="N663" i="6"/>
  <c r="O663" i="6"/>
  <c r="B664" i="6"/>
  <c r="C664" i="6"/>
  <c r="D664" i="6"/>
  <c r="E664" i="6"/>
  <c r="F664" i="6"/>
  <c r="G664" i="6"/>
  <c r="H664" i="6"/>
  <c r="I664" i="6"/>
  <c r="J664" i="6"/>
  <c r="K664" i="6"/>
  <c r="L664" i="6"/>
  <c r="M664" i="6"/>
  <c r="N664" i="6"/>
  <c r="O664" i="6"/>
  <c r="B665" i="6"/>
  <c r="C665" i="6"/>
  <c r="D665" i="6"/>
  <c r="E665" i="6"/>
  <c r="F665" i="6"/>
  <c r="G665" i="6"/>
  <c r="H665" i="6"/>
  <c r="I665" i="6"/>
  <c r="J665" i="6"/>
  <c r="K665" i="6"/>
  <c r="L665" i="6"/>
  <c r="M665" i="6"/>
  <c r="N665" i="6"/>
  <c r="O665" i="6"/>
  <c r="B666" i="6"/>
  <c r="C666" i="6"/>
  <c r="D666" i="6"/>
  <c r="E666" i="6"/>
  <c r="F666" i="6"/>
  <c r="G666" i="6"/>
  <c r="H666" i="6"/>
  <c r="I666" i="6"/>
  <c r="J666" i="6"/>
  <c r="K666" i="6"/>
  <c r="L666" i="6"/>
  <c r="M666" i="6"/>
  <c r="N666" i="6"/>
  <c r="O666" i="6"/>
  <c r="B667" i="6"/>
  <c r="C667" i="6"/>
  <c r="D667" i="6"/>
  <c r="E667" i="6"/>
  <c r="F667" i="6"/>
  <c r="G667" i="6"/>
  <c r="H667" i="6"/>
  <c r="I667" i="6"/>
  <c r="J667" i="6"/>
  <c r="K667" i="6"/>
  <c r="L667" i="6"/>
  <c r="M667" i="6"/>
  <c r="N667" i="6"/>
  <c r="O667" i="6"/>
  <c r="B668" i="6"/>
  <c r="C668" i="6"/>
  <c r="D668" i="6"/>
  <c r="E668" i="6"/>
  <c r="F668" i="6"/>
  <c r="G668" i="6"/>
  <c r="H668" i="6"/>
  <c r="I668" i="6"/>
  <c r="J668" i="6"/>
  <c r="K668" i="6"/>
  <c r="L668" i="6"/>
  <c r="M668" i="6"/>
  <c r="N668" i="6"/>
  <c r="O668" i="6"/>
  <c r="B669" i="6"/>
  <c r="C669" i="6"/>
  <c r="D669" i="6"/>
  <c r="E669" i="6"/>
  <c r="F669" i="6"/>
  <c r="G669" i="6"/>
  <c r="H669" i="6"/>
  <c r="I669" i="6"/>
  <c r="J669" i="6"/>
  <c r="K669" i="6"/>
  <c r="L669" i="6"/>
  <c r="M669" i="6"/>
  <c r="N669" i="6"/>
  <c r="O669" i="6"/>
  <c r="B670" i="6"/>
  <c r="C670" i="6"/>
  <c r="D670" i="6"/>
  <c r="E670" i="6"/>
  <c r="F670" i="6"/>
  <c r="G670" i="6"/>
  <c r="H670" i="6"/>
  <c r="I670" i="6"/>
  <c r="J670" i="6"/>
  <c r="K670" i="6"/>
  <c r="L670" i="6"/>
  <c r="M670" i="6"/>
  <c r="N670" i="6"/>
  <c r="O670" i="6"/>
  <c r="B671" i="6"/>
  <c r="C671" i="6"/>
  <c r="D671" i="6"/>
  <c r="E671" i="6"/>
  <c r="F671" i="6"/>
  <c r="G671" i="6"/>
  <c r="H671" i="6"/>
  <c r="I671" i="6"/>
  <c r="J671" i="6"/>
  <c r="K671" i="6"/>
  <c r="L671" i="6"/>
  <c r="M671" i="6"/>
  <c r="N671" i="6"/>
  <c r="O671" i="6"/>
  <c r="B672" i="6"/>
  <c r="C672" i="6"/>
  <c r="D672" i="6"/>
  <c r="E672" i="6"/>
  <c r="F672" i="6"/>
  <c r="G672" i="6"/>
  <c r="H672" i="6"/>
  <c r="I672" i="6"/>
  <c r="J672" i="6"/>
  <c r="K672" i="6"/>
  <c r="L672" i="6"/>
  <c r="M672" i="6"/>
  <c r="N672" i="6"/>
  <c r="O672" i="6"/>
  <c r="B673" i="6"/>
  <c r="C673" i="6"/>
  <c r="D673" i="6"/>
  <c r="E673" i="6"/>
  <c r="F673" i="6"/>
  <c r="G673" i="6"/>
  <c r="H673" i="6"/>
  <c r="I673" i="6"/>
  <c r="J673" i="6"/>
  <c r="K673" i="6"/>
  <c r="L673" i="6"/>
  <c r="M673" i="6"/>
  <c r="N673" i="6"/>
  <c r="O673" i="6"/>
  <c r="B674" i="6"/>
  <c r="C674" i="6"/>
  <c r="D674" i="6"/>
  <c r="E674" i="6"/>
  <c r="F674" i="6"/>
  <c r="G674" i="6"/>
  <c r="H674" i="6"/>
  <c r="I674" i="6"/>
  <c r="J674" i="6"/>
  <c r="K674" i="6"/>
  <c r="L674" i="6"/>
  <c r="M674" i="6"/>
  <c r="N674" i="6"/>
  <c r="O674" i="6"/>
  <c r="B675" i="6"/>
  <c r="C675" i="6"/>
  <c r="D675" i="6"/>
  <c r="E675" i="6"/>
  <c r="F675" i="6"/>
  <c r="G675" i="6"/>
  <c r="H675" i="6"/>
  <c r="I675" i="6"/>
  <c r="J675" i="6"/>
  <c r="K675" i="6"/>
  <c r="L675" i="6"/>
  <c r="M675" i="6"/>
  <c r="N675" i="6"/>
  <c r="O675" i="6"/>
  <c r="B676" i="6"/>
  <c r="C676" i="6"/>
  <c r="D676" i="6"/>
  <c r="E676" i="6"/>
  <c r="F676" i="6"/>
  <c r="G676" i="6"/>
  <c r="H676" i="6"/>
  <c r="I676" i="6"/>
  <c r="J676" i="6"/>
  <c r="K676" i="6"/>
  <c r="L676" i="6"/>
  <c r="M676" i="6"/>
  <c r="N676" i="6"/>
  <c r="O676" i="6"/>
  <c r="B677" i="6"/>
  <c r="C677" i="6"/>
  <c r="D677" i="6"/>
  <c r="E677" i="6"/>
  <c r="F677" i="6"/>
  <c r="G677" i="6"/>
  <c r="H677" i="6"/>
  <c r="I677" i="6"/>
  <c r="J677" i="6"/>
  <c r="K677" i="6"/>
  <c r="L677" i="6"/>
  <c r="M677" i="6"/>
  <c r="N677" i="6"/>
  <c r="O677" i="6"/>
  <c r="B678" i="6"/>
  <c r="C678" i="6"/>
  <c r="D678" i="6"/>
  <c r="E678" i="6"/>
  <c r="F678" i="6"/>
  <c r="G678" i="6"/>
  <c r="H678" i="6"/>
  <c r="I678" i="6"/>
  <c r="J678" i="6"/>
  <c r="K678" i="6"/>
  <c r="L678" i="6"/>
  <c r="M678" i="6"/>
  <c r="N678" i="6"/>
  <c r="O678" i="6"/>
  <c r="B679" i="6"/>
  <c r="C679" i="6"/>
  <c r="D679" i="6"/>
  <c r="E679" i="6"/>
  <c r="F679" i="6"/>
  <c r="G679" i="6"/>
  <c r="H679" i="6"/>
  <c r="I679" i="6"/>
  <c r="J679" i="6"/>
  <c r="K679" i="6"/>
  <c r="L679" i="6"/>
  <c r="M679" i="6"/>
  <c r="N679" i="6"/>
  <c r="O679" i="6"/>
  <c r="B680" i="6"/>
  <c r="C680" i="6"/>
  <c r="D680" i="6"/>
  <c r="E680" i="6"/>
  <c r="F680" i="6"/>
  <c r="G680" i="6"/>
  <c r="H680" i="6"/>
  <c r="I680" i="6"/>
  <c r="J680" i="6"/>
  <c r="K680" i="6"/>
  <c r="L680" i="6"/>
  <c r="M680" i="6"/>
  <c r="N680" i="6"/>
  <c r="O680" i="6"/>
  <c r="B681" i="6"/>
  <c r="C681" i="6"/>
  <c r="D681" i="6"/>
  <c r="E681" i="6"/>
  <c r="F681" i="6"/>
  <c r="G681" i="6"/>
  <c r="H681" i="6"/>
  <c r="I681" i="6"/>
  <c r="J681" i="6"/>
  <c r="K681" i="6"/>
  <c r="L681" i="6"/>
  <c r="M681" i="6"/>
  <c r="N681" i="6"/>
  <c r="O681" i="6"/>
  <c r="B682" i="6"/>
  <c r="C682" i="6"/>
  <c r="D682" i="6"/>
  <c r="E682" i="6"/>
  <c r="F682" i="6"/>
  <c r="G682" i="6"/>
  <c r="H682" i="6"/>
  <c r="I682" i="6"/>
  <c r="J682" i="6"/>
  <c r="K682" i="6"/>
  <c r="L682" i="6"/>
  <c r="M682" i="6"/>
  <c r="N682" i="6"/>
  <c r="O682" i="6"/>
  <c r="B683" i="6"/>
  <c r="C683" i="6"/>
  <c r="D683" i="6"/>
  <c r="E683" i="6"/>
  <c r="F683" i="6"/>
  <c r="G683" i="6"/>
  <c r="H683" i="6"/>
  <c r="I683" i="6"/>
  <c r="J683" i="6"/>
  <c r="K683" i="6"/>
  <c r="L683" i="6"/>
  <c r="M683" i="6"/>
  <c r="N683" i="6"/>
  <c r="O683" i="6"/>
  <c r="B684" i="6"/>
  <c r="C684" i="6"/>
  <c r="D684" i="6"/>
  <c r="E684" i="6"/>
  <c r="F684" i="6"/>
  <c r="G684" i="6"/>
  <c r="H684" i="6"/>
  <c r="I684" i="6"/>
  <c r="J684" i="6"/>
  <c r="K684" i="6"/>
  <c r="L684" i="6"/>
  <c r="M684" i="6"/>
  <c r="N684" i="6"/>
  <c r="O684" i="6"/>
  <c r="B685" i="6"/>
  <c r="C685" i="6"/>
  <c r="D685" i="6"/>
  <c r="E685" i="6"/>
  <c r="F685" i="6"/>
  <c r="G685" i="6"/>
  <c r="H685" i="6"/>
  <c r="I685" i="6"/>
  <c r="J685" i="6"/>
  <c r="K685" i="6"/>
  <c r="L685" i="6"/>
  <c r="M685" i="6"/>
  <c r="N685" i="6"/>
  <c r="O685" i="6"/>
  <c r="B686" i="6"/>
  <c r="C686" i="6"/>
  <c r="D686" i="6"/>
  <c r="E686" i="6"/>
  <c r="F686" i="6"/>
  <c r="G686" i="6"/>
  <c r="H686" i="6"/>
  <c r="I686" i="6"/>
  <c r="J686" i="6"/>
  <c r="K686" i="6"/>
  <c r="L686" i="6"/>
  <c r="M686" i="6"/>
  <c r="N686" i="6"/>
  <c r="O686" i="6"/>
  <c r="B687" i="6"/>
  <c r="C687" i="6"/>
  <c r="D687" i="6"/>
  <c r="E687" i="6"/>
  <c r="F687" i="6"/>
  <c r="G687" i="6"/>
  <c r="H687" i="6"/>
  <c r="I687" i="6"/>
  <c r="J687" i="6"/>
  <c r="K687" i="6"/>
  <c r="L687" i="6"/>
  <c r="M687" i="6"/>
  <c r="N687" i="6"/>
  <c r="O687" i="6"/>
  <c r="B688" i="6"/>
  <c r="C688" i="6"/>
  <c r="D688" i="6"/>
  <c r="E688" i="6"/>
  <c r="F688" i="6"/>
  <c r="G688" i="6"/>
  <c r="H688" i="6"/>
  <c r="I688" i="6"/>
  <c r="J688" i="6"/>
  <c r="K688" i="6"/>
  <c r="L688" i="6"/>
  <c r="M688" i="6"/>
  <c r="N688" i="6"/>
  <c r="O688" i="6"/>
  <c r="B689" i="6"/>
  <c r="C689" i="6"/>
  <c r="D689" i="6"/>
  <c r="E689" i="6"/>
  <c r="F689" i="6"/>
  <c r="G689" i="6"/>
  <c r="H689" i="6"/>
  <c r="I689" i="6"/>
  <c r="J689" i="6"/>
  <c r="K689" i="6"/>
  <c r="L689" i="6"/>
  <c r="M689" i="6"/>
  <c r="N689" i="6"/>
  <c r="O689" i="6"/>
  <c r="B690" i="6"/>
  <c r="C690" i="6"/>
  <c r="D690" i="6"/>
  <c r="E690" i="6"/>
  <c r="F690" i="6"/>
  <c r="G690" i="6"/>
  <c r="H690" i="6"/>
  <c r="I690" i="6"/>
  <c r="J690" i="6"/>
  <c r="K690" i="6"/>
  <c r="L690" i="6"/>
  <c r="M690" i="6"/>
  <c r="N690" i="6"/>
  <c r="O690" i="6"/>
  <c r="B691" i="6"/>
  <c r="C691" i="6"/>
  <c r="D691" i="6"/>
  <c r="E691" i="6"/>
  <c r="F691" i="6"/>
  <c r="G691" i="6"/>
  <c r="H691" i="6"/>
  <c r="I691" i="6"/>
  <c r="J691" i="6"/>
  <c r="K691" i="6"/>
  <c r="L691" i="6"/>
  <c r="M691" i="6"/>
  <c r="N691" i="6"/>
  <c r="O691" i="6"/>
  <c r="B692" i="6"/>
  <c r="C692" i="6"/>
  <c r="D692" i="6"/>
  <c r="E692" i="6"/>
  <c r="F692" i="6"/>
  <c r="G692" i="6"/>
  <c r="H692" i="6"/>
  <c r="I692" i="6"/>
  <c r="J692" i="6"/>
  <c r="K692" i="6"/>
  <c r="L692" i="6"/>
  <c r="M692" i="6"/>
  <c r="N692" i="6"/>
  <c r="O692" i="6"/>
  <c r="B693" i="6"/>
  <c r="C693" i="6"/>
  <c r="D693" i="6"/>
  <c r="E693" i="6"/>
  <c r="F693" i="6"/>
  <c r="G693" i="6"/>
  <c r="H693" i="6"/>
  <c r="I693" i="6"/>
  <c r="J693" i="6"/>
  <c r="K693" i="6"/>
  <c r="L693" i="6"/>
  <c r="M693" i="6"/>
  <c r="N693" i="6"/>
  <c r="O693" i="6"/>
  <c r="B694" i="6"/>
  <c r="C694" i="6"/>
  <c r="D694" i="6"/>
  <c r="E694" i="6"/>
  <c r="F694" i="6"/>
  <c r="G694" i="6"/>
  <c r="H694" i="6"/>
  <c r="I694" i="6"/>
  <c r="J694" i="6"/>
  <c r="K694" i="6"/>
  <c r="L694" i="6"/>
  <c r="M694" i="6"/>
  <c r="N694" i="6"/>
  <c r="O694" i="6"/>
  <c r="B695" i="6"/>
  <c r="C695" i="6"/>
  <c r="D695" i="6"/>
  <c r="E695" i="6"/>
  <c r="F695" i="6"/>
  <c r="G695" i="6"/>
  <c r="H695" i="6"/>
  <c r="I695" i="6"/>
  <c r="J695" i="6"/>
  <c r="K695" i="6"/>
  <c r="L695" i="6"/>
  <c r="M695" i="6"/>
  <c r="N695" i="6"/>
  <c r="O695" i="6"/>
  <c r="B696" i="6"/>
  <c r="C696" i="6"/>
  <c r="D696" i="6"/>
  <c r="E696" i="6"/>
  <c r="F696" i="6"/>
  <c r="G696" i="6"/>
  <c r="H696" i="6"/>
  <c r="I696" i="6"/>
  <c r="J696" i="6"/>
  <c r="K696" i="6"/>
  <c r="L696" i="6"/>
  <c r="M696" i="6"/>
  <c r="N696" i="6"/>
  <c r="O696" i="6"/>
  <c r="B697" i="6"/>
  <c r="C697" i="6"/>
  <c r="D697" i="6"/>
  <c r="E697" i="6"/>
  <c r="F697" i="6"/>
  <c r="G697" i="6"/>
  <c r="H697" i="6"/>
  <c r="I697" i="6"/>
  <c r="J697" i="6"/>
  <c r="K697" i="6"/>
  <c r="L697" i="6"/>
  <c r="M697" i="6"/>
  <c r="N697" i="6"/>
  <c r="O697" i="6"/>
  <c r="B698" i="6"/>
  <c r="C698" i="6"/>
  <c r="D698" i="6"/>
  <c r="E698" i="6"/>
  <c r="F698" i="6"/>
  <c r="G698" i="6"/>
  <c r="H698" i="6"/>
  <c r="I698" i="6"/>
  <c r="J698" i="6"/>
  <c r="K698" i="6"/>
  <c r="L698" i="6"/>
  <c r="M698" i="6"/>
  <c r="N698" i="6"/>
  <c r="O698" i="6"/>
  <c r="B699" i="6"/>
  <c r="C699" i="6"/>
  <c r="D699" i="6"/>
  <c r="E699" i="6"/>
  <c r="F699" i="6"/>
  <c r="G699" i="6"/>
  <c r="H699" i="6"/>
  <c r="I699" i="6"/>
  <c r="J699" i="6"/>
  <c r="K699" i="6"/>
  <c r="L699" i="6"/>
  <c r="M699" i="6"/>
  <c r="N699" i="6"/>
  <c r="O699" i="6"/>
  <c r="B700" i="6"/>
  <c r="C700" i="6"/>
  <c r="D700" i="6"/>
  <c r="E700" i="6"/>
  <c r="F700" i="6"/>
  <c r="G700" i="6"/>
  <c r="H700" i="6"/>
  <c r="I700" i="6"/>
  <c r="J700" i="6"/>
  <c r="K700" i="6"/>
  <c r="L700" i="6"/>
  <c r="M700" i="6"/>
  <c r="N700" i="6"/>
  <c r="O700" i="6"/>
  <c r="B701" i="6"/>
  <c r="C701" i="6"/>
  <c r="D701" i="6"/>
  <c r="E701" i="6"/>
  <c r="F701" i="6"/>
  <c r="G701" i="6"/>
  <c r="H701" i="6"/>
  <c r="I701" i="6"/>
  <c r="J701" i="6"/>
  <c r="K701" i="6"/>
  <c r="L701" i="6"/>
  <c r="M701" i="6"/>
  <c r="N701" i="6"/>
  <c r="O701" i="6"/>
  <c r="B702" i="6"/>
  <c r="C702" i="6"/>
  <c r="D702" i="6"/>
  <c r="E702" i="6"/>
  <c r="F702" i="6"/>
  <c r="G702" i="6"/>
  <c r="H702" i="6"/>
  <c r="I702" i="6"/>
  <c r="J702" i="6"/>
  <c r="K702" i="6"/>
  <c r="L702" i="6"/>
  <c r="M702" i="6"/>
  <c r="N702" i="6"/>
  <c r="O702" i="6"/>
  <c r="B703" i="6"/>
  <c r="C703" i="6"/>
  <c r="D703" i="6"/>
  <c r="E703" i="6"/>
  <c r="F703" i="6"/>
  <c r="G703" i="6"/>
  <c r="H703" i="6"/>
  <c r="I703" i="6"/>
  <c r="J703" i="6"/>
  <c r="K703" i="6"/>
  <c r="L703" i="6"/>
  <c r="M703" i="6"/>
  <c r="N703" i="6"/>
  <c r="O703" i="6"/>
  <c r="B704" i="6"/>
  <c r="C704" i="6"/>
  <c r="D704" i="6"/>
  <c r="E704" i="6"/>
  <c r="F704" i="6"/>
  <c r="G704" i="6"/>
  <c r="H704" i="6"/>
  <c r="I704" i="6"/>
  <c r="J704" i="6"/>
  <c r="K704" i="6"/>
  <c r="L704" i="6"/>
  <c r="M704" i="6"/>
  <c r="N704" i="6"/>
  <c r="O704" i="6"/>
  <c r="B705" i="6"/>
  <c r="C705" i="6"/>
  <c r="D705" i="6"/>
  <c r="E705" i="6"/>
  <c r="F705" i="6"/>
  <c r="G705" i="6"/>
  <c r="H705" i="6"/>
  <c r="I705" i="6"/>
  <c r="J705" i="6"/>
  <c r="K705" i="6"/>
  <c r="L705" i="6"/>
  <c r="M705" i="6"/>
  <c r="N705" i="6"/>
  <c r="O705" i="6"/>
  <c r="B706" i="6"/>
  <c r="C706" i="6"/>
  <c r="D706" i="6"/>
  <c r="E706" i="6"/>
  <c r="F706" i="6"/>
  <c r="G706" i="6"/>
  <c r="H706" i="6"/>
  <c r="I706" i="6"/>
  <c r="J706" i="6"/>
  <c r="K706" i="6"/>
  <c r="L706" i="6"/>
  <c r="M706" i="6"/>
  <c r="N706" i="6"/>
  <c r="O706" i="6"/>
  <c r="B707" i="6"/>
  <c r="C707" i="6"/>
  <c r="D707" i="6"/>
  <c r="E707" i="6"/>
  <c r="F707" i="6"/>
  <c r="G707" i="6"/>
  <c r="H707" i="6"/>
  <c r="I707" i="6"/>
  <c r="J707" i="6"/>
  <c r="K707" i="6"/>
  <c r="L707" i="6"/>
  <c r="M707" i="6"/>
  <c r="N707" i="6"/>
  <c r="O707" i="6"/>
  <c r="B708" i="6"/>
  <c r="C708" i="6"/>
  <c r="D708" i="6"/>
  <c r="E708" i="6"/>
  <c r="F708" i="6"/>
  <c r="G708" i="6"/>
  <c r="H708" i="6"/>
  <c r="I708" i="6"/>
  <c r="J708" i="6"/>
  <c r="K708" i="6"/>
  <c r="L708" i="6"/>
  <c r="M708" i="6"/>
  <c r="N708" i="6"/>
  <c r="O708" i="6"/>
  <c r="B709" i="6"/>
  <c r="C709" i="6"/>
  <c r="D709" i="6"/>
  <c r="E709" i="6"/>
  <c r="F709" i="6"/>
  <c r="G709" i="6"/>
  <c r="H709" i="6"/>
  <c r="I709" i="6"/>
  <c r="J709" i="6"/>
  <c r="K709" i="6"/>
  <c r="L709" i="6"/>
  <c r="M709" i="6"/>
  <c r="N709" i="6"/>
  <c r="O709" i="6"/>
  <c r="B710" i="6"/>
  <c r="C710" i="6"/>
  <c r="D710" i="6"/>
  <c r="E710" i="6"/>
  <c r="F710" i="6"/>
  <c r="G710" i="6"/>
  <c r="H710" i="6"/>
  <c r="I710" i="6"/>
  <c r="J710" i="6"/>
  <c r="K710" i="6"/>
  <c r="L710" i="6"/>
  <c r="M710" i="6"/>
  <c r="N710" i="6"/>
  <c r="O710" i="6"/>
  <c r="B711" i="6"/>
  <c r="C711" i="6"/>
  <c r="D711" i="6"/>
  <c r="E711" i="6"/>
  <c r="F711" i="6"/>
  <c r="G711" i="6"/>
  <c r="H711" i="6"/>
  <c r="I711" i="6"/>
  <c r="J711" i="6"/>
  <c r="K711" i="6"/>
  <c r="L711" i="6"/>
  <c r="M711" i="6"/>
  <c r="N711" i="6"/>
  <c r="O711" i="6"/>
  <c r="B712" i="6"/>
  <c r="C712" i="6"/>
  <c r="D712" i="6"/>
  <c r="E712" i="6"/>
  <c r="F712" i="6"/>
  <c r="G712" i="6"/>
  <c r="H712" i="6"/>
  <c r="I712" i="6"/>
  <c r="J712" i="6"/>
  <c r="K712" i="6"/>
  <c r="L712" i="6"/>
  <c r="M712" i="6"/>
  <c r="N712" i="6"/>
  <c r="O712" i="6"/>
  <c r="B713" i="6"/>
  <c r="C713" i="6"/>
  <c r="D713" i="6"/>
  <c r="E713" i="6"/>
  <c r="F713" i="6"/>
  <c r="G713" i="6"/>
  <c r="H713" i="6"/>
  <c r="I713" i="6"/>
  <c r="J713" i="6"/>
  <c r="K713" i="6"/>
  <c r="L713" i="6"/>
  <c r="M713" i="6"/>
  <c r="N713" i="6"/>
  <c r="O713" i="6"/>
  <c r="B714" i="6"/>
  <c r="C714" i="6"/>
  <c r="D714" i="6"/>
  <c r="E714" i="6"/>
  <c r="F714" i="6"/>
  <c r="G714" i="6"/>
  <c r="H714" i="6"/>
  <c r="I714" i="6"/>
  <c r="J714" i="6"/>
  <c r="K714" i="6"/>
  <c r="L714" i="6"/>
  <c r="M714" i="6"/>
  <c r="N714" i="6"/>
  <c r="O714" i="6"/>
  <c r="B715" i="6"/>
  <c r="C715" i="6"/>
  <c r="D715" i="6"/>
  <c r="E715" i="6"/>
  <c r="F715" i="6"/>
  <c r="G715" i="6"/>
  <c r="H715" i="6"/>
  <c r="I715" i="6"/>
  <c r="J715" i="6"/>
  <c r="K715" i="6"/>
  <c r="L715" i="6"/>
  <c r="M715" i="6"/>
  <c r="N715" i="6"/>
  <c r="O715" i="6"/>
  <c r="B716" i="6"/>
  <c r="C716" i="6"/>
  <c r="D716" i="6"/>
  <c r="E716" i="6"/>
  <c r="F716" i="6"/>
  <c r="G716" i="6"/>
  <c r="H716" i="6"/>
  <c r="I716" i="6"/>
  <c r="J716" i="6"/>
  <c r="K716" i="6"/>
  <c r="L716" i="6"/>
  <c r="M716" i="6"/>
  <c r="N716" i="6"/>
  <c r="O716" i="6"/>
  <c r="B717" i="6"/>
  <c r="C717" i="6"/>
  <c r="D717" i="6"/>
  <c r="E717" i="6"/>
  <c r="F717" i="6"/>
  <c r="G717" i="6"/>
  <c r="H717" i="6"/>
  <c r="I717" i="6"/>
  <c r="J717" i="6"/>
  <c r="K717" i="6"/>
  <c r="L717" i="6"/>
  <c r="M717" i="6"/>
  <c r="N717" i="6"/>
  <c r="O717" i="6"/>
  <c r="B718" i="6"/>
  <c r="C718" i="6"/>
  <c r="D718" i="6"/>
  <c r="E718" i="6"/>
  <c r="F718" i="6"/>
  <c r="G718" i="6"/>
  <c r="H718" i="6"/>
  <c r="I718" i="6"/>
  <c r="J718" i="6"/>
  <c r="K718" i="6"/>
  <c r="L718" i="6"/>
  <c r="M718" i="6"/>
  <c r="N718" i="6"/>
  <c r="O718" i="6"/>
  <c r="B719" i="6"/>
  <c r="C719" i="6"/>
  <c r="D719" i="6"/>
  <c r="E719" i="6"/>
  <c r="F719" i="6"/>
  <c r="G719" i="6"/>
  <c r="H719" i="6"/>
  <c r="I719" i="6"/>
  <c r="J719" i="6"/>
  <c r="K719" i="6"/>
  <c r="L719" i="6"/>
  <c r="M719" i="6"/>
  <c r="N719" i="6"/>
  <c r="O719" i="6"/>
  <c r="B720" i="6"/>
  <c r="C720" i="6"/>
  <c r="D720" i="6"/>
  <c r="E720" i="6"/>
  <c r="F720" i="6"/>
  <c r="G720" i="6"/>
  <c r="H720" i="6"/>
  <c r="I720" i="6"/>
  <c r="J720" i="6"/>
  <c r="K720" i="6"/>
  <c r="L720" i="6"/>
  <c r="M720" i="6"/>
  <c r="N720" i="6"/>
  <c r="O720" i="6"/>
  <c r="B721" i="6"/>
  <c r="C721" i="6"/>
  <c r="D721" i="6"/>
  <c r="E721" i="6"/>
  <c r="F721" i="6"/>
  <c r="G721" i="6"/>
  <c r="H721" i="6"/>
  <c r="I721" i="6"/>
  <c r="J721" i="6"/>
  <c r="K721" i="6"/>
  <c r="L721" i="6"/>
  <c r="M721" i="6"/>
  <c r="N721" i="6"/>
  <c r="O721" i="6"/>
  <c r="B722" i="6"/>
  <c r="C722" i="6"/>
  <c r="D722" i="6"/>
  <c r="E722" i="6"/>
  <c r="F722" i="6"/>
  <c r="G722" i="6"/>
  <c r="H722" i="6"/>
  <c r="I722" i="6"/>
  <c r="J722" i="6"/>
  <c r="K722" i="6"/>
  <c r="L722" i="6"/>
  <c r="M722" i="6"/>
  <c r="N722" i="6"/>
  <c r="O722" i="6"/>
  <c r="B723" i="6"/>
  <c r="C723" i="6"/>
  <c r="D723" i="6"/>
  <c r="E723" i="6"/>
  <c r="F723" i="6"/>
  <c r="G723" i="6"/>
  <c r="H723" i="6"/>
  <c r="I723" i="6"/>
  <c r="J723" i="6"/>
  <c r="K723" i="6"/>
  <c r="L723" i="6"/>
  <c r="M723" i="6"/>
  <c r="N723" i="6"/>
  <c r="O723" i="6"/>
  <c r="B724" i="6"/>
  <c r="C724" i="6"/>
  <c r="D724" i="6"/>
  <c r="E724" i="6"/>
  <c r="F724" i="6"/>
  <c r="G724" i="6"/>
  <c r="H724" i="6"/>
  <c r="I724" i="6"/>
  <c r="J724" i="6"/>
  <c r="K724" i="6"/>
  <c r="L724" i="6"/>
  <c r="M724" i="6"/>
  <c r="N724" i="6"/>
  <c r="O724" i="6"/>
  <c r="B725" i="6"/>
  <c r="C725" i="6"/>
  <c r="D725" i="6"/>
  <c r="E725" i="6"/>
  <c r="F725" i="6"/>
  <c r="G725" i="6"/>
  <c r="H725" i="6"/>
  <c r="I725" i="6"/>
  <c r="J725" i="6"/>
  <c r="K725" i="6"/>
  <c r="L725" i="6"/>
  <c r="M725" i="6"/>
  <c r="N725" i="6"/>
  <c r="O725" i="6"/>
  <c r="B726" i="6"/>
  <c r="C726" i="6"/>
  <c r="D726" i="6"/>
  <c r="E726" i="6"/>
  <c r="F726" i="6"/>
  <c r="G726" i="6"/>
  <c r="H726" i="6"/>
  <c r="I726" i="6"/>
  <c r="J726" i="6"/>
  <c r="K726" i="6"/>
  <c r="L726" i="6"/>
  <c r="M726" i="6"/>
  <c r="N726" i="6"/>
  <c r="O726" i="6"/>
  <c r="B727" i="6"/>
  <c r="C727" i="6"/>
  <c r="D727" i="6"/>
  <c r="E727" i="6"/>
  <c r="F727" i="6"/>
  <c r="G727" i="6"/>
  <c r="H727" i="6"/>
  <c r="I727" i="6"/>
  <c r="J727" i="6"/>
  <c r="K727" i="6"/>
  <c r="L727" i="6"/>
  <c r="M727" i="6"/>
  <c r="N727" i="6"/>
  <c r="O727" i="6"/>
  <c r="B728" i="6"/>
  <c r="C728" i="6"/>
  <c r="D728" i="6"/>
  <c r="E728" i="6"/>
  <c r="F728" i="6"/>
  <c r="G728" i="6"/>
  <c r="H728" i="6"/>
  <c r="I728" i="6"/>
  <c r="J728" i="6"/>
  <c r="K728" i="6"/>
  <c r="L728" i="6"/>
  <c r="M728" i="6"/>
  <c r="N728" i="6"/>
  <c r="O728" i="6"/>
  <c r="B729" i="6"/>
  <c r="C729" i="6"/>
  <c r="D729" i="6"/>
  <c r="E729" i="6"/>
  <c r="F729" i="6"/>
  <c r="G729" i="6"/>
  <c r="H729" i="6"/>
  <c r="I729" i="6"/>
  <c r="J729" i="6"/>
  <c r="K729" i="6"/>
  <c r="L729" i="6"/>
  <c r="M729" i="6"/>
  <c r="N729" i="6"/>
  <c r="O729" i="6"/>
  <c r="B730" i="6"/>
  <c r="C730" i="6"/>
  <c r="D730" i="6"/>
  <c r="E730" i="6"/>
  <c r="F730" i="6"/>
  <c r="G730" i="6"/>
  <c r="H730" i="6"/>
  <c r="I730" i="6"/>
  <c r="J730" i="6"/>
  <c r="K730" i="6"/>
  <c r="L730" i="6"/>
  <c r="M730" i="6"/>
  <c r="N730" i="6"/>
  <c r="O730" i="6"/>
  <c r="B731" i="6"/>
  <c r="C731" i="6"/>
  <c r="D731" i="6"/>
  <c r="E731" i="6"/>
  <c r="F731" i="6"/>
  <c r="G731" i="6"/>
  <c r="H731" i="6"/>
  <c r="I731" i="6"/>
  <c r="J731" i="6"/>
  <c r="K731" i="6"/>
  <c r="L731" i="6"/>
  <c r="M731" i="6"/>
  <c r="N731" i="6"/>
  <c r="O731" i="6"/>
  <c r="B732" i="6"/>
  <c r="C732" i="6"/>
  <c r="D732" i="6"/>
  <c r="E732" i="6"/>
  <c r="F732" i="6"/>
  <c r="G732" i="6"/>
  <c r="H732" i="6"/>
  <c r="I732" i="6"/>
  <c r="J732" i="6"/>
  <c r="K732" i="6"/>
  <c r="L732" i="6"/>
  <c r="M732" i="6"/>
  <c r="N732" i="6"/>
  <c r="O732" i="6"/>
  <c r="B733" i="6"/>
  <c r="C733" i="6"/>
  <c r="D733" i="6"/>
  <c r="E733" i="6"/>
  <c r="F733" i="6"/>
  <c r="G733" i="6"/>
  <c r="H733" i="6"/>
  <c r="I733" i="6"/>
  <c r="J733" i="6"/>
  <c r="K733" i="6"/>
  <c r="L733" i="6"/>
  <c r="M733" i="6"/>
  <c r="N733" i="6"/>
  <c r="O733" i="6"/>
  <c r="B734" i="6"/>
  <c r="C734" i="6"/>
  <c r="D734" i="6"/>
  <c r="E734" i="6"/>
  <c r="F734" i="6"/>
  <c r="G734" i="6"/>
  <c r="H734" i="6"/>
  <c r="I734" i="6"/>
  <c r="J734" i="6"/>
  <c r="K734" i="6"/>
  <c r="L734" i="6"/>
  <c r="M734" i="6"/>
  <c r="N734" i="6"/>
  <c r="O734" i="6"/>
  <c r="B735" i="6"/>
  <c r="C735" i="6"/>
  <c r="D735" i="6"/>
  <c r="E735" i="6"/>
  <c r="F735" i="6"/>
  <c r="G735" i="6"/>
  <c r="H735" i="6"/>
  <c r="I735" i="6"/>
  <c r="J735" i="6"/>
  <c r="K735" i="6"/>
  <c r="L735" i="6"/>
  <c r="M735" i="6"/>
  <c r="N735" i="6"/>
  <c r="O735" i="6"/>
  <c r="B736" i="6"/>
  <c r="C736" i="6"/>
  <c r="D736" i="6"/>
  <c r="E736" i="6"/>
  <c r="F736" i="6"/>
  <c r="G736" i="6"/>
  <c r="H736" i="6"/>
  <c r="I736" i="6"/>
  <c r="J736" i="6"/>
  <c r="K736" i="6"/>
  <c r="L736" i="6"/>
  <c r="M736" i="6"/>
  <c r="N736" i="6"/>
  <c r="O736" i="6"/>
  <c r="B737" i="6"/>
  <c r="C737" i="6"/>
  <c r="D737" i="6"/>
  <c r="E737" i="6"/>
  <c r="F737" i="6"/>
  <c r="G737" i="6"/>
  <c r="H737" i="6"/>
  <c r="I737" i="6"/>
  <c r="J737" i="6"/>
  <c r="K737" i="6"/>
  <c r="L737" i="6"/>
  <c r="M737" i="6"/>
  <c r="N737" i="6"/>
  <c r="O737" i="6"/>
  <c r="B738" i="6"/>
  <c r="C738" i="6"/>
  <c r="D738" i="6"/>
  <c r="E738" i="6"/>
  <c r="F738" i="6"/>
  <c r="G738" i="6"/>
  <c r="H738" i="6"/>
  <c r="I738" i="6"/>
  <c r="J738" i="6"/>
  <c r="K738" i="6"/>
  <c r="L738" i="6"/>
  <c r="M738" i="6"/>
  <c r="N738" i="6"/>
  <c r="O738" i="6"/>
  <c r="B739" i="6"/>
  <c r="C739" i="6"/>
  <c r="D739" i="6"/>
  <c r="E739" i="6"/>
  <c r="F739" i="6"/>
  <c r="G739" i="6"/>
  <c r="H739" i="6"/>
  <c r="I739" i="6"/>
  <c r="J739" i="6"/>
  <c r="K739" i="6"/>
  <c r="L739" i="6"/>
  <c r="M739" i="6"/>
  <c r="N739" i="6"/>
  <c r="O739" i="6"/>
  <c r="B740" i="6"/>
  <c r="C740" i="6"/>
  <c r="D740" i="6"/>
  <c r="E740" i="6"/>
  <c r="F740" i="6"/>
  <c r="G740" i="6"/>
  <c r="H740" i="6"/>
  <c r="I740" i="6"/>
  <c r="J740" i="6"/>
  <c r="K740" i="6"/>
  <c r="L740" i="6"/>
  <c r="M740" i="6"/>
  <c r="N740" i="6"/>
  <c r="O740" i="6"/>
  <c r="B741" i="6"/>
  <c r="C741" i="6"/>
  <c r="D741" i="6"/>
  <c r="E741" i="6"/>
  <c r="F741" i="6"/>
  <c r="G741" i="6"/>
  <c r="H741" i="6"/>
  <c r="I741" i="6"/>
  <c r="J741" i="6"/>
  <c r="K741" i="6"/>
  <c r="L741" i="6"/>
  <c r="M741" i="6"/>
  <c r="N741" i="6"/>
  <c r="O741" i="6"/>
  <c r="B742" i="6"/>
  <c r="C742" i="6"/>
  <c r="D742" i="6"/>
  <c r="E742" i="6"/>
  <c r="F742" i="6"/>
  <c r="G742" i="6"/>
  <c r="H742" i="6"/>
  <c r="I742" i="6"/>
  <c r="J742" i="6"/>
  <c r="K742" i="6"/>
  <c r="L742" i="6"/>
  <c r="M742" i="6"/>
  <c r="N742" i="6"/>
  <c r="O742" i="6"/>
  <c r="B743" i="6"/>
  <c r="C743" i="6"/>
  <c r="D743" i="6"/>
  <c r="E743" i="6"/>
  <c r="F743" i="6"/>
  <c r="G743" i="6"/>
  <c r="H743" i="6"/>
  <c r="I743" i="6"/>
  <c r="J743" i="6"/>
  <c r="K743" i="6"/>
  <c r="L743" i="6"/>
  <c r="M743" i="6"/>
  <c r="N743" i="6"/>
  <c r="O743" i="6"/>
  <c r="B744" i="6"/>
  <c r="C744" i="6"/>
  <c r="D744" i="6"/>
  <c r="E744" i="6"/>
  <c r="F744" i="6"/>
  <c r="G744" i="6"/>
  <c r="H744" i="6"/>
  <c r="I744" i="6"/>
  <c r="J744" i="6"/>
  <c r="K744" i="6"/>
  <c r="L744" i="6"/>
  <c r="M744" i="6"/>
  <c r="N744" i="6"/>
  <c r="O744" i="6"/>
  <c r="B745" i="6"/>
  <c r="C745" i="6"/>
  <c r="D745" i="6"/>
  <c r="E745" i="6"/>
  <c r="F745" i="6"/>
  <c r="G745" i="6"/>
  <c r="H745" i="6"/>
  <c r="I745" i="6"/>
  <c r="J745" i="6"/>
  <c r="K745" i="6"/>
  <c r="L745" i="6"/>
  <c r="M745" i="6"/>
  <c r="N745" i="6"/>
  <c r="O745" i="6"/>
  <c r="B746" i="6"/>
  <c r="C746" i="6"/>
  <c r="D746" i="6"/>
  <c r="E746" i="6"/>
  <c r="F746" i="6"/>
  <c r="G746" i="6"/>
  <c r="H746" i="6"/>
  <c r="I746" i="6"/>
  <c r="J746" i="6"/>
  <c r="K746" i="6"/>
  <c r="L746" i="6"/>
  <c r="M746" i="6"/>
  <c r="N746" i="6"/>
  <c r="O746" i="6"/>
  <c r="B747" i="6"/>
  <c r="C747" i="6"/>
  <c r="D747" i="6"/>
  <c r="E747" i="6"/>
  <c r="F747" i="6"/>
  <c r="G747" i="6"/>
  <c r="H747" i="6"/>
  <c r="I747" i="6"/>
  <c r="J747" i="6"/>
  <c r="K747" i="6"/>
  <c r="L747" i="6"/>
  <c r="M747" i="6"/>
  <c r="N747" i="6"/>
  <c r="O747" i="6"/>
  <c r="B748" i="6"/>
  <c r="C748" i="6"/>
  <c r="D748" i="6"/>
  <c r="E748" i="6"/>
  <c r="F748" i="6"/>
  <c r="G748" i="6"/>
  <c r="H748" i="6"/>
  <c r="I748" i="6"/>
  <c r="J748" i="6"/>
  <c r="K748" i="6"/>
  <c r="L748" i="6"/>
  <c r="M748" i="6"/>
  <c r="N748" i="6"/>
  <c r="O748" i="6"/>
  <c r="B749" i="6"/>
  <c r="C749" i="6"/>
  <c r="D749" i="6"/>
  <c r="E749" i="6"/>
  <c r="F749" i="6"/>
  <c r="G749" i="6"/>
  <c r="H749" i="6"/>
  <c r="I749" i="6"/>
  <c r="J749" i="6"/>
  <c r="K749" i="6"/>
  <c r="L749" i="6"/>
  <c r="M749" i="6"/>
  <c r="N749" i="6"/>
  <c r="O749" i="6"/>
  <c r="B750" i="6"/>
  <c r="C750" i="6"/>
  <c r="D750" i="6"/>
  <c r="E750" i="6"/>
  <c r="F750" i="6"/>
  <c r="G750" i="6"/>
  <c r="H750" i="6"/>
  <c r="I750" i="6"/>
  <c r="J750" i="6"/>
  <c r="K750" i="6"/>
  <c r="L750" i="6"/>
  <c r="M750" i="6"/>
  <c r="N750" i="6"/>
  <c r="O750" i="6"/>
  <c r="B751" i="6"/>
  <c r="C751" i="6"/>
  <c r="D751" i="6"/>
  <c r="E751" i="6"/>
  <c r="F751" i="6"/>
  <c r="G751" i="6"/>
  <c r="H751" i="6"/>
  <c r="I751" i="6"/>
  <c r="J751" i="6"/>
  <c r="K751" i="6"/>
  <c r="L751" i="6"/>
  <c r="M751" i="6"/>
  <c r="N751" i="6"/>
  <c r="O751" i="6"/>
  <c r="B752" i="6"/>
  <c r="C752" i="6"/>
  <c r="D752" i="6"/>
  <c r="E752" i="6"/>
  <c r="F752" i="6"/>
  <c r="G752" i="6"/>
  <c r="H752" i="6"/>
  <c r="I752" i="6"/>
  <c r="J752" i="6"/>
  <c r="K752" i="6"/>
  <c r="L752" i="6"/>
  <c r="M752" i="6"/>
  <c r="N752" i="6"/>
  <c r="O752" i="6"/>
  <c r="B753" i="6"/>
  <c r="C753" i="6"/>
  <c r="D753" i="6"/>
  <c r="E753" i="6"/>
  <c r="F753" i="6"/>
  <c r="G753" i="6"/>
  <c r="H753" i="6"/>
  <c r="I753" i="6"/>
  <c r="J753" i="6"/>
  <c r="K753" i="6"/>
  <c r="L753" i="6"/>
  <c r="M753" i="6"/>
  <c r="N753" i="6"/>
  <c r="O753" i="6"/>
  <c r="B754" i="6"/>
  <c r="C754" i="6"/>
  <c r="D754" i="6"/>
  <c r="E754" i="6"/>
  <c r="F754" i="6"/>
  <c r="G754" i="6"/>
  <c r="H754" i="6"/>
  <c r="I754" i="6"/>
  <c r="J754" i="6"/>
  <c r="K754" i="6"/>
  <c r="L754" i="6"/>
  <c r="M754" i="6"/>
  <c r="N754" i="6"/>
  <c r="O754" i="6"/>
  <c r="B755" i="6"/>
  <c r="C755" i="6"/>
  <c r="D755" i="6"/>
  <c r="E755" i="6"/>
  <c r="F755" i="6"/>
  <c r="G755" i="6"/>
  <c r="H755" i="6"/>
  <c r="I755" i="6"/>
  <c r="J755" i="6"/>
  <c r="K755" i="6"/>
  <c r="L755" i="6"/>
  <c r="M755" i="6"/>
  <c r="N755" i="6"/>
  <c r="O755" i="6"/>
  <c r="B756" i="6"/>
  <c r="C756" i="6"/>
  <c r="D756" i="6"/>
  <c r="E756" i="6"/>
  <c r="F756" i="6"/>
  <c r="G756" i="6"/>
  <c r="H756" i="6"/>
  <c r="I756" i="6"/>
  <c r="J756" i="6"/>
  <c r="K756" i="6"/>
  <c r="L756" i="6"/>
  <c r="M756" i="6"/>
  <c r="N756" i="6"/>
  <c r="O756" i="6"/>
  <c r="B757" i="6"/>
  <c r="C757" i="6"/>
  <c r="D757" i="6"/>
  <c r="E757" i="6"/>
  <c r="F757" i="6"/>
  <c r="G757" i="6"/>
  <c r="H757" i="6"/>
  <c r="I757" i="6"/>
  <c r="J757" i="6"/>
  <c r="K757" i="6"/>
  <c r="L757" i="6"/>
  <c r="M757" i="6"/>
  <c r="N757" i="6"/>
  <c r="O757" i="6"/>
  <c r="B758" i="6"/>
  <c r="C758" i="6"/>
  <c r="D758" i="6"/>
  <c r="E758" i="6"/>
  <c r="F758" i="6"/>
  <c r="G758" i="6"/>
  <c r="H758" i="6"/>
  <c r="I758" i="6"/>
  <c r="J758" i="6"/>
  <c r="K758" i="6"/>
  <c r="L758" i="6"/>
  <c r="M758" i="6"/>
  <c r="N758" i="6"/>
  <c r="O758" i="6"/>
  <c r="B759" i="6"/>
  <c r="C759" i="6"/>
  <c r="D759" i="6"/>
  <c r="E759" i="6"/>
  <c r="F759" i="6"/>
  <c r="G759" i="6"/>
  <c r="H759" i="6"/>
  <c r="I759" i="6"/>
  <c r="J759" i="6"/>
  <c r="K759" i="6"/>
  <c r="L759" i="6"/>
  <c r="M759" i="6"/>
  <c r="N759" i="6"/>
  <c r="O759" i="6"/>
  <c r="B760" i="6"/>
  <c r="C760" i="6"/>
  <c r="D760" i="6"/>
  <c r="E760" i="6"/>
  <c r="F760" i="6"/>
  <c r="G760" i="6"/>
  <c r="H760" i="6"/>
  <c r="I760" i="6"/>
  <c r="J760" i="6"/>
  <c r="K760" i="6"/>
  <c r="L760" i="6"/>
  <c r="M760" i="6"/>
  <c r="N760" i="6"/>
  <c r="O760" i="6"/>
  <c r="B761" i="6"/>
  <c r="C761" i="6"/>
  <c r="D761" i="6"/>
  <c r="E761" i="6"/>
  <c r="F761" i="6"/>
  <c r="G761" i="6"/>
  <c r="H761" i="6"/>
  <c r="I761" i="6"/>
  <c r="J761" i="6"/>
  <c r="K761" i="6"/>
  <c r="L761" i="6"/>
  <c r="M761" i="6"/>
  <c r="N761" i="6"/>
  <c r="O761" i="6"/>
  <c r="B762" i="6"/>
  <c r="C762" i="6"/>
  <c r="D762" i="6"/>
  <c r="E762" i="6"/>
  <c r="F762" i="6"/>
  <c r="G762" i="6"/>
  <c r="H762" i="6"/>
  <c r="I762" i="6"/>
  <c r="J762" i="6"/>
  <c r="K762" i="6"/>
  <c r="L762" i="6"/>
  <c r="M762" i="6"/>
  <c r="N762" i="6"/>
  <c r="O762" i="6"/>
  <c r="B763" i="6"/>
  <c r="C763" i="6"/>
  <c r="D763" i="6"/>
  <c r="E763" i="6"/>
  <c r="F763" i="6"/>
  <c r="G763" i="6"/>
  <c r="H763" i="6"/>
  <c r="I763" i="6"/>
  <c r="J763" i="6"/>
  <c r="K763" i="6"/>
  <c r="L763" i="6"/>
  <c r="M763" i="6"/>
  <c r="N763" i="6"/>
  <c r="O763" i="6"/>
  <c r="B764" i="6"/>
  <c r="C764" i="6"/>
  <c r="D764" i="6"/>
  <c r="E764" i="6"/>
  <c r="F764" i="6"/>
  <c r="G764" i="6"/>
  <c r="H764" i="6"/>
  <c r="I764" i="6"/>
  <c r="J764" i="6"/>
  <c r="K764" i="6"/>
  <c r="L764" i="6"/>
  <c r="M764" i="6"/>
  <c r="N764" i="6"/>
  <c r="O764" i="6"/>
  <c r="B765" i="6"/>
  <c r="C765" i="6"/>
  <c r="D765" i="6"/>
  <c r="E765" i="6"/>
  <c r="F765" i="6"/>
  <c r="G765" i="6"/>
  <c r="H765" i="6"/>
  <c r="I765" i="6"/>
  <c r="J765" i="6"/>
  <c r="K765" i="6"/>
  <c r="L765" i="6"/>
  <c r="M765" i="6"/>
  <c r="N765" i="6"/>
  <c r="O765" i="6"/>
  <c r="B766" i="6"/>
  <c r="C766" i="6"/>
  <c r="D766" i="6"/>
  <c r="E766" i="6"/>
  <c r="F766" i="6"/>
  <c r="G766" i="6"/>
  <c r="H766" i="6"/>
  <c r="I766" i="6"/>
  <c r="J766" i="6"/>
  <c r="K766" i="6"/>
  <c r="L766" i="6"/>
  <c r="M766" i="6"/>
  <c r="N766" i="6"/>
  <c r="O766" i="6"/>
  <c r="B767" i="6"/>
  <c r="C767" i="6"/>
  <c r="D767" i="6"/>
  <c r="E767" i="6"/>
  <c r="F767" i="6"/>
  <c r="G767" i="6"/>
  <c r="H767" i="6"/>
  <c r="I767" i="6"/>
  <c r="J767" i="6"/>
  <c r="K767" i="6"/>
  <c r="L767" i="6"/>
  <c r="M767" i="6"/>
  <c r="N767" i="6"/>
  <c r="O767" i="6"/>
  <c r="B768" i="6"/>
  <c r="C768" i="6"/>
  <c r="D768" i="6"/>
  <c r="E768" i="6"/>
  <c r="F768" i="6"/>
  <c r="G768" i="6"/>
  <c r="H768" i="6"/>
  <c r="I768" i="6"/>
  <c r="J768" i="6"/>
  <c r="K768" i="6"/>
  <c r="L768" i="6"/>
  <c r="M768" i="6"/>
  <c r="N768" i="6"/>
  <c r="O768" i="6"/>
  <c r="B769" i="6"/>
  <c r="C769" i="6"/>
  <c r="D769" i="6"/>
  <c r="E769" i="6"/>
  <c r="F769" i="6"/>
  <c r="G769" i="6"/>
  <c r="H769" i="6"/>
  <c r="I769" i="6"/>
  <c r="J769" i="6"/>
  <c r="K769" i="6"/>
  <c r="L769" i="6"/>
  <c r="M769" i="6"/>
  <c r="N769" i="6"/>
  <c r="O769" i="6"/>
  <c r="B770" i="6"/>
  <c r="C770" i="6"/>
  <c r="D770" i="6"/>
  <c r="E770" i="6"/>
  <c r="F770" i="6"/>
  <c r="G770" i="6"/>
  <c r="H770" i="6"/>
  <c r="I770" i="6"/>
  <c r="J770" i="6"/>
  <c r="K770" i="6"/>
  <c r="L770" i="6"/>
  <c r="M770" i="6"/>
  <c r="N770" i="6"/>
  <c r="O770" i="6"/>
  <c r="B771" i="6"/>
  <c r="C771" i="6"/>
  <c r="D771" i="6"/>
  <c r="E771" i="6"/>
  <c r="F771" i="6"/>
  <c r="G771" i="6"/>
  <c r="H771" i="6"/>
  <c r="I771" i="6"/>
  <c r="J771" i="6"/>
  <c r="K771" i="6"/>
  <c r="L771" i="6"/>
  <c r="M771" i="6"/>
  <c r="N771" i="6"/>
  <c r="O771" i="6"/>
  <c r="B772" i="6"/>
  <c r="C772" i="6"/>
  <c r="D772" i="6"/>
  <c r="E772" i="6"/>
  <c r="F772" i="6"/>
  <c r="G772" i="6"/>
  <c r="H772" i="6"/>
  <c r="I772" i="6"/>
  <c r="J772" i="6"/>
  <c r="K772" i="6"/>
  <c r="L772" i="6"/>
  <c r="M772" i="6"/>
  <c r="N772" i="6"/>
  <c r="O772" i="6"/>
  <c r="B773" i="6"/>
  <c r="C773" i="6"/>
  <c r="D773" i="6"/>
  <c r="E773" i="6"/>
  <c r="F773" i="6"/>
  <c r="G773" i="6"/>
  <c r="H773" i="6"/>
  <c r="I773" i="6"/>
  <c r="J773" i="6"/>
  <c r="K773" i="6"/>
  <c r="L773" i="6"/>
  <c r="M773" i="6"/>
  <c r="N773" i="6"/>
  <c r="O773" i="6"/>
  <c r="B774" i="6"/>
  <c r="C774" i="6"/>
  <c r="D774" i="6"/>
  <c r="E774" i="6"/>
  <c r="F774" i="6"/>
  <c r="G774" i="6"/>
  <c r="H774" i="6"/>
  <c r="I774" i="6"/>
  <c r="J774" i="6"/>
  <c r="K774" i="6"/>
  <c r="L774" i="6"/>
  <c r="M774" i="6"/>
  <c r="N774" i="6"/>
  <c r="O774" i="6"/>
  <c r="B775" i="6"/>
  <c r="C775" i="6"/>
  <c r="D775" i="6"/>
  <c r="E775" i="6"/>
  <c r="F775" i="6"/>
  <c r="G775" i="6"/>
  <c r="H775" i="6"/>
  <c r="I775" i="6"/>
  <c r="J775" i="6"/>
  <c r="K775" i="6"/>
  <c r="L775" i="6"/>
  <c r="M775" i="6"/>
  <c r="N775" i="6"/>
  <c r="O775" i="6"/>
  <c r="B776" i="6"/>
  <c r="C776" i="6"/>
  <c r="D776" i="6"/>
  <c r="E776" i="6"/>
  <c r="F776" i="6"/>
  <c r="G776" i="6"/>
  <c r="H776" i="6"/>
  <c r="I776" i="6"/>
  <c r="J776" i="6"/>
  <c r="K776" i="6"/>
  <c r="L776" i="6"/>
  <c r="M776" i="6"/>
  <c r="N776" i="6"/>
  <c r="O776" i="6"/>
  <c r="B777" i="6"/>
  <c r="C777" i="6"/>
  <c r="D777" i="6"/>
  <c r="E777" i="6"/>
  <c r="F777" i="6"/>
  <c r="G777" i="6"/>
  <c r="H777" i="6"/>
  <c r="I777" i="6"/>
  <c r="J777" i="6"/>
  <c r="K777" i="6"/>
  <c r="L777" i="6"/>
  <c r="M777" i="6"/>
  <c r="N777" i="6"/>
  <c r="O777" i="6"/>
  <c r="B778" i="6"/>
  <c r="C778" i="6"/>
  <c r="D778" i="6"/>
  <c r="E778" i="6"/>
  <c r="F778" i="6"/>
  <c r="G778" i="6"/>
  <c r="H778" i="6"/>
  <c r="I778" i="6"/>
  <c r="J778" i="6"/>
  <c r="K778" i="6"/>
  <c r="L778" i="6"/>
  <c r="M778" i="6"/>
  <c r="N778" i="6"/>
  <c r="O778" i="6"/>
  <c r="B779" i="6"/>
  <c r="C779" i="6"/>
  <c r="D779" i="6"/>
  <c r="E779" i="6"/>
  <c r="F779" i="6"/>
  <c r="G779" i="6"/>
  <c r="H779" i="6"/>
  <c r="I779" i="6"/>
  <c r="J779" i="6"/>
  <c r="K779" i="6"/>
  <c r="L779" i="6"/>
  <c r="M779" i="6"/>
  <c r="N779" i="6"/>
  <c r="O779" i="6"/>
  <c r="B780" i="6"/>
  <c r="C780" i="6"/>
  <c r="D780" i="6"/>
  <c r="E780" i="6"/>
  <c r="F780" i="6"/>
  <c r="G780" i="6"/>
  <c r="H780" i="6"/>
  <c r="I780" i="6"/>
  <c r="J780" i="6"/>
  <c r="K780" i="6"/>
  <c r="L780" i="6"/>
  <c r="M780" i="6"/>
  <c r="N780" i="6"/>
  <c r="O780" i="6"/>
  <c r="B781" i="6"/>
  <c r="C781" i="6"/>
  <c r="D781" i="6"/>
  <c r="E781" i="6"/>
  <c r="F781" i="6"/>
  <c r="G781" i="6"/>
  <c r="H781" i="6"/>
  <c r="I781" i="6"/>
  <c r="J781" i="6"/>
  <c r="K781" i="6"/>
  <c r="L781" i="6"/>
  <c r="M781" i="6"/>
  <c r="N781" i="6"/>
  <c r="O781" i="6"/>
  <c r="B782" i="6"/>
  <c r="C782" i="6"/>
  <c r="D782" i="6"/>
  <c r="E782" i="6"/>
  <c r="F782" i="6"/>
  <c r="G782" i="6"/>
  <c r="H782" i="6"/>
  <c r="I782" i="6"/>
  <c r="J782" i="6"/>
  <c r="K782" i="6"/>
  <c r="L782" i="6"/>
  <c r="M782" i="6"/>
  <c r="N782" i="6"/>
  <c r="O782" i="6"/>
  <c r="B783" i="6"/>
  <c r="C783" i="6"/>
  <c r="D783" i="6"/>
  <c r="E783" i="6"/>
  <c r="F783" i="6"/>
  <c r="G783" i="6"/>
  <c r="H783" i="6"/>
  <c r="I783" i="6"/>
  <c r="J783" i="6"/>
  <c r="K783" i="6"/>
  <c r="L783" i="6"/>
  <c r="M783" i="6"/>
  <c r="N783" i="6"/>
  <c r="O783" i="6"/>
  <c r="B784" i="6"/>
  <c r="C784" i="6"/>
  <c r="D784" i="6"/>
  <c r="E784" i="6"/>
  <c r="F784" i="6"/>
  <c r="G784" i="6"/>
  <c r="H784" i="6"/>
  <c r="I784" i="6"/>
  <c r="J784" i="6"/>
  <c r="K784" i="6"/>
  <c r="L784" i="6"/>
  <c r="M784" i="6"/>
  <c r="N784" i="6"/>
  <c r="O784" i="6"/>
  <c r="B785" i="6"/>
  <c r="C785" i="6"/>
  <c r="D785" i="6"/>
  <c r="E785" i="6"/>
  <c r="F785" i="6"/>
  <c r="G785" i="6"/>
  <c r="H785" i="6"/>
  <c r="I785" i="6"/>
  <c r="J785" i="6"/>
  <c r="K785" i="6"/>
  <c r="L785" i="6"/>
  <c r="M785" i="6"/>
  <c r="N785" i="6"/>
  <c r="O785" i="6"/>
  <c r="B786" i="6"/>
  <c r="C786" i="6"/>
  <c r="D786" i="6"/>
  <c r="E786" i="6"/>
  <c r="F786" i="6"/>
  <c r="G786" i="6"/>
  <c r="H786" i="6"/>
  <c r="I786" i="6"/>
  <c r="J786" i="6"/>
  <c r="K786" i="6"/>
  <c r="L786" i="6"/>
  <c r="M786" i="6"/>
  <c r="N786" i="6"/>
  <c r="O786" i="6"/>
  <c r="B787" i="6"/>
  <c r="C787" i="6"/>
  <c r="D787" i="6"/>
  <c r="E787" i="6"/>
  <c r="F787" i="6"/>
  <c r="G787" i="6"/>
  <c r="H787" i="6"/>
  <c r="I787" i="6"/>
  <c r="J787" i="6"/>
  <c r="K787" i="6"/>
  <c r="L787" i="6"/>
  <c r="M787" i="6"/>
  <c r="N787" i="6"/>
  <c r="O787" i="6"/>
  <c r="B788" i="6"/>
  <c r="C788" i="6"/>
  <c r="D788" i="6"/>
  <c r="E788" i="6"/>
  <c r="F788" i="6"/>
  <c r="G788" i="6"/>
  <c r="H788" i="6"/>
  <c r="I788" i="6"/>
  <c r="J788" i="6"/>
  <c r="K788" i="6"/>
  <c r="L788" i="6"/>
  <c r="M788" i="6"/>
  <c r="N788" i="6"/>
  <c r="O788" i="6"/>
  <c r="B789" i="6"/>
  <c r="C789" i="6"/>
  <c r="D789" i="6"/>
  <c r="E789" i="6"/>
  <c r="F789" i="6"/>
  <c r="G789" i="6"/>
  <c r="H789" i="6"/>
  <c r="I789" i="6"/>
  <c r="J789" i="6"/>
  <c r="K789" i="6"/>
  <c r="L789" i="6"/>
  <c r="M789" i="6"/>
  <c r="N789" i="6"/>
  <c r="O789" i="6"/>
  <c r="B790" i="6"/>
  <c r="C790" i="6"/>
  <c r="D790" i="6"/>
  <c r="E790" i="6"/>
  <c r="F790" i="6"/>
  <c r="G790" i="6"/>
  <c r="H790" i="6"/>
  <c r="I790" i="6"/>
  <c r="J790" i="6"/>
  <c r="K790" i="6"/>
  <c r="L790" i="6"/>
  <c r="M790" i="6"/>
  <c r="N790" i="6"/>
  <c r="O790" i="6"/>
  <c r="B791" i="6"/>
  <c r="C791" i="6"/>
  <c r="D791" i="6"/>
  <c r="E791" i="6"/>
  <c r="F791" i="6"/>
  <c r="G791" i="6"/>
  <c r="H791" i="6"/>
  <c r="I791" i="6"/>
  <c r="J791" i="6"/>
  <c r="K791" i="6"/>
  <c r="L791" i="6"/>
  <c r="M791" i="6"/>
  <c r="N791" i="6"/>
  <c r="O791" i="6"/>
  <c r="B792" i="6"/>
  <c r="C792" i="6"/>
  <c r="D792" i="6"/>
  <c r="E792" i="6"/>
  <c r="F792" i="6"/>
  <c r="G792" i="6"/>
  <c r="H792" i="6"/>
  <c r="I792" i="6"/>
  <c r="J792" i="6"/>
  <c r="K792" i="6"/>
  <c r="L792" i="6"/>
  <c r="M792" i="6"/>
  <c r="N792" i="6"/>
  <c r="O792" i="6"/>
  <c r="B793" i="6"/>
  <c r="C793" i="6"/>
  <c r="D793" i="6"/>
  <c r="E793" i="6"/>
  <c r="F793" i="6"/>
  <c r="G793" i="6"/>
  <c r="H793" i="6"/>
  <c r="I793" i="6"/>
  <c r="J793" i="6"/>
  <c r="K793" i="6"/>
  <c r="L793" i="6"/>
  <c r="M793" i="6"/>
  <c r="N793" i="6"/>
  <c r="O793" i="6"/>
  <c r="B794" i="6"/>
  <c r="C794" i="6"/>
  <c r="D794" i="6"/>
  <c r="E794" i="6"/>
  <c r="F794" i="6"/>
  <c r="G794" i="6"/>
  <c r="H794" i="6"/>
  <c r="I794" i="6"/>
  <c r="J794" i="6"/>
  <c r="K794" i="6"/>
  <c r="L794" i="6"/>
  <c r="M794" i="6"/>
  <c r="N794" i="6"/>
  <c r="O794" i="6"/>
  <c r="B795" i="6"/>
  <c r="C795" i="6"/>
  <c r="D795" i="6"/>
  <c r="E795" i="6"/>
  <c r="F795" i="6"/>
  <c r="G795" i="6"/>
  <c r="H795" i="6"/>
  <c r="I795" i="6"/>
  <c r="J795" i="6"/>
  <c r="K795" i="6"/>
  <c r="L795" i="6"/>
  <c r="M795" i="6"/>
  <c r="N795" i="6"/>
  <c r="O795" i="6"/>
  <c r="B796" i="6"/>
  <c r="C796" i="6"/>
  <c r="D796" i="6"/>
  <c r="E796" i="6"/>
  <c r="F796" i="6"/>
  <c r="G796" i="6"/>
  <c r="H796" i="6"/>
  <c r="I796" i="6"/>
  <c r="J796" i="6"/>
  <c r="K796" i="6"/>
  <c r="L796" i="6"/>
  <c r="M796" i="6"/>
  <c r="N796" i="6"/>
  <c r="O796" i="6"/>
  <c r="B797" i="6"/>
  <c r="C797" i="6"/>
  <c r="D797" i="6"/>
  <c r="E797" i="6"/>
  <c r="F797" i="6"/>
  <c r="G797" i="6"/>
  <c r="H797" i="6"/>
  <c r="I797" i="6"/>
  <c r="J797" i="6"/>
  <c r="K797" i="6"/>
  <c r="L797" i="6"/>
  <c r="M797" i="6"/>
  <c r="N797" i="6"/>
  <c r="O797" i="6"/>
  <c r="B798" i="6"/>
  <c r="C798" i="6"/>
  <c r="D798" i="6"/>
  <c r="E798" i="6"/>
  <c r="F798" i="6"/>
  <c r="G798" i="6"/>
  <c r="H798" i="6"/>
  <c r="I798" i="6"/>
  <c r="J798" i="6"/>
  <c r="K798" i="6"/>
  <c r="L798" i="6"/>
  <c r="M798" i="6"/>
  <c r="N798" i="6"/>
  <c r="O798" i="6"/>
  <c r="B799" i="6"/>
  <c r="C799" i="6"/>
  <c r="D799" i="6"/>
  <c r="E799" i="6"/>
  <c r="F799" i="6"/>
  <c r="G799" i="6"/>
  <c r="H799" i="6"/>
  <c r="I799" i="6"/>
  <c r="J799" i="6"/>
  <c r="K799" i="6"/>
  <c r="L799" i="6"/>
  <c r="M799" i="6"/>
  <c r="N799" i="6"/>
  <c r="O799" i="6"/>
  <c r="B800" i="6"/>
  <c r="C800" i="6"/>
  <c r="D800" i="6"/>
  <c r="E800" i="6"/>
  <c r="F800" i="6"/>
  <c r="G800" i="6"/>
  <c r="H800" i="6"/>
  <c r="I800" i="6"/>
  <c r="J800" i="6"/>
  <c r="K800" i="6"/>
  <c r="L800" i="6"/>
  <c r="M800" i="6"/>
  <c r="N800" i="6"/>
  <c r="O800" i="6"/>
  <c r="B801" i="6"/>
  <c r="C801" i="6"/>
  <c r="D801" i="6"/>
  <c r="E801" i="6"/>
  <c r="F801" i="6"/>
  <c r="G801" i="6"/>
  <c r="H801" i="6"/>
  <c r="I801" i="6"/>
  <c r="J801" i="6"/>
  <c r="K801" i="6"/>
  <c r="L801" i="6"/>
  <c r="M801" i="6"/>
  <c r="N801" i="6"/>
  <c r="O801" i="6"/>
  <c r="B802" i="6"/>
  <c r="C802" i="6"/>
  <c r="D802" i="6"/>
  <c r="E802" i="6"/>
  <c r="F802" i="6"/>
  <c r="G802" i="6"/>
  <c r="H802" i="6"/>
  <c r="I802" i="6"/>
  <c r="J802" i="6"/>
  <c r="K802" i="6"/>
  <c r="L802" i="6"/>
  <c r="M802" i="6"/>
  <c r="N802" i="6"/>
  <c r="O802" i="6"/>
  <c r="B803" i="6"/>
  <c r="C803" i="6"/>
  <c r="D803" i="6"/>
  <c r="E803" i="6"/>
  <c r="F803" i="6"/>
  <c r="G803" i="6"/>
  <c r="H803" i="6"/>
  <c r="I803" i="6"/>
  <c r="J803" i="6"/>
  <c r="K803" i="6"/>
  <c r="L803" i="6"/>
  <c r="M803" i="6"/>
  <c r="N803" i="6"/>
  <c r="O803" i="6"/>
  <c r="B804" i="6"/>
  <c r="C804" i="6"/>
  <c r="D804" i="6"/>
  <c r="E804" i="6"/>
  <c r="F804" i="6"/>
  <c r="G804" i="6"/>
  <c r="H804" i="6"/>
  <c r="I804" i="6"/>
  <c r="J804" i="6"/>
  <c r="K804" i="6"/>
  <c r="L804" i="6"/>
  <c r="M804" i="6"/>
  <c r="N804" i="6"/>
  <c r="O804" i="6"/>
  <c r="B805" i="6"/>
  <c r="C805" i="6"/>
  <c r="D805" i="6"/>
  <c r="E805" i="6"/>
  <c r="F805" i="6"/>
  <c r="G805" i="6"/>
  <c r="H805" i="6"/>
  <c r="I805" i="6"/>
  <c r="J805" i="6"/>
  <c r="K805" i="6"/>
  <c r="L805" i="6"/>
  <c r="M805" i="6"/>
  <c r="N805" i="6"/>
  <c r="O805" i="6"/>
  <c r="B806" i="6"/>
  <c r="C806" i="6"/>
  <c r="D806" i="6"/>
  <c r="E806" i="6"/>
  <c r="F806" i="6"/>
  <c r="G806" i="6"/>
  <c r="H806" i="6"/>
  <c r="I806" i="6"/>
  <c r="J806" i="6"/>
  <c r="K806" i="6"/>
  <c r="L806" i="6"/>
  <c r="M806" i="6"/>
  <c r="N806" i="6"/>
  <c r="O806" i="6"/>
  <c r="B807" i="6"/>
  <c r="C807" i="6"/>
  <c r="D807" i="6"/>
  <c r="E807" i="6"/>
  <c r="F807" i="6"/>
  <c r="G807" i="6"/>
  <c r="H807" i="6"/>
  <c r="I807" i="6"/>
  <c r="J807" i="6"/>
  <c r="K807" i="6"/>
  <c r="L807" i="6"/>
  <c r="M807" i="6"/>
  <c r="N807" i="6"/>
  <c r="O807" i="6"/>
  <c r="B808" i="6"/>
  <c r="C808" i="6"/>
  <c r="D808" i="6"/>
  <c r="E808" i="6"/>
  <c r="F808" i="6"/>
  <c r="G808" i="6"/>
  <c r="H808" i="6"/>
  <c r="I808" i="6"/>
  <c r="J808" i="6"/>
  <c r="K808" i="6"/>
  <c r="L808" i="6"/>
  <c r="M808" i="6"/>
  <c r="N808" i="6"/>
  <c r="O808" i="6"/>
  <c r="B809" i="6"/>
  <c r="C809" i="6"/>
  <c r="D809" i="6"/>
  <c r="E809" i="6"/>
  <c r="F809" i="6"/>
  <c r="G809" i="6"/>
  <c r="H809" i="6"/>
  <c r="I809" i="6"/>
  <c r="J809" i="6"/>
  <c r="K809" i="6"/>
  <c r="L809" i="6"/>
  <c r="M809" i="6"/>
  <c r="N809" i="6"/>
  <c r="O809" i="6"/>
  <c r="B810" i="6"/>
  <c r="C810" i="6"/>
  <c r="D810" i="6"/>
  <c r="E810" i="6"/>
  <c r="F810" i="6"/>
  <c r="G810" i="6"/>
  <c r="H810" i="6"/>
  <c r="I810" i="6"/>
  <c r="J810" i="6"/>
  <c r="K810" i="6"/>
  <c r="L810" i="6"/>
  <c r="M810" i="6"/>
  <c r="N810" i="6"/>
  <c r="O810" i="6"/>
  <c r="B811" i="6"/>
  <c r="C811" i="6"/>
  <c r="D811" i="6"/>
  <c r="E811" i="6"/>
  <c r="F811" i="6"/>
  <c r="G811" i="6"/>
  <c r="H811" i="6"/>
  <c r="I811" i="6"/>
  <c r="J811" i="6"/>
  <c r="K811" i="6"/>
  <c r="L811" i="6"/>
  <c r="M811" i="6"/>
  <c r="N811" i="6"/>
  <c r="O811" i="6"/>
  <c r="B812" i="6"/>
  <c r="C812" i="6"/>
  <c r="D812" i="6"/>
  <c r="E812" i="6"/>
  <c r="F812" i="6"/>
  <c r="G812" i="6"/>
  <c r="H812" i="6"/>
  <c r="I812" i="6"/>
  <c r="J812" i="6"/>
  <c r="K812" i="6"/>
  <c r="L812" i="6"/>
  <c r="M812" i="6"/>
  <c r="N812" i="6"/>
  <c r="O812" i="6"/>
  <c r="B813" i="6"/>
  <c r="C813" i="6"/>
  <c r="D813" i="6"/>
  <c r="E813" i="6"/>
  <c r="F813" i="6"/>
  <c r="G813" i="6"/>
  <c r="H813" i="6"/>
  <c r="I813" i="6"/>
  <c r="J813" i="6"/>
  <c r="K813" i="6"/>
  <c r="L813" i="6"/>
  <c r="M813" i="6"/>
  <c r="N813" i="6"/>
  <c r="O813" i="6"/>
  <c r="B814" i="6"/>
  <c r="C814" i="6"/>
  <c r="D814" i="6"/>
  <c r="E814" i="6"/>
  <c r="F814" i="6"/>
  <c r="G814" i="6"/>
  <c r="H814" i="6"/>
  <c r="I814" i="6"/>
  <c r="J814" i="6"/>
  <c r="K814" i="6"/>
  <c r="L814" i="6"/>
  <c r="M814" i="6"/>
  <c r="N814" i="6"/>
  <c r="O814" i="6"/>
  <c r="B815" i="6"/>
  <c r="C815" i="6"/>
  <c r="D815" i="6"/>
  <c r="E815" i="6"/>
  <c r="F815" i="6"/>
  <c r="G815" i="6"/>
  <c r="H815" i="6"/>
  <c r="I815" i="6"/>
  <c r="J815" i="6"/>
  <c r="K815" i="6"/>
  <c r="L815" i="6"/>
  <c r="M815" i="6"/>
  <c r="N815" i="6"/>
  <c r="O815" i="6"/>
  <c r="B816" i="6"/>
  <c r="C816" i="6"/>
  <c r="D816" i="6"/>
  <c r="E816" i="6"/>
  <c r="F816" i="6"/>
  <c r="G816" i="6"/>
  <c r="H816" i="6"/>
  <c r="I816" i="6"/>
  <c r="J816" i="6"/>
  <c r="K816" i="6"/>
  <c r="L816" i="6"/>
  <c r="M816" i="6"/>
  <c r="N816" i="6"/>
  <c r="O816" i="6"/>
  <c r="B817" i="6"/>
  <c r="C817" i="6"/>
  <c r="D817" i="6"/>
  <c r="E817" i="6"/>
  <c r="F817" i="6"/>
  <c r="G817" i="6"/>
  <c r="H817" i="6"/>
  <c r="I817" i="6"/>
  <c r="J817" i="6"/>
  <c r="K817" i="6"/>
  <c r="L817" i="6"/>
  <c r="M817" i="6"/>
  <c r="N817" i="6"/>
  <c r="O817" i="6"/>
  <c r="B818" i="6"/>
  <c r="C818" i="6"/>
  <c r="D818" i="6"/>
  <c r="E818" i="6"/>
  <c r="F818" i="6"/>
  <c r="G818" i="6"/>
  <c r="H818" i="6"/>
  <c r="I818" i="6"/>
  <c r="J818" i="6"/>
  <c r="K818" i="6"/>
  <c r="L818" i="6"/>
  <c r="M818" i="6"/>
  <c r="N818" i="6"/>
  <c r="O818" i="6"/>
  <c r="B819" i="6"/>
  <c r="C819" i="6"/>
  <c r="D819" i="6"/>
  <c r="E819" i="6"/>
  <c r="F819" i="6"/>
  <c r="G819" i="6"/>
  <c r="H819" i="6"/>
  <c r="I819" i="6"/>
  <c r="J819" i="6"/>
  <c r="K819" i="6"/>
  <c r="L819" i="6"/>
  <c r="M819" i="6"/>
  <c r="N819" i="6"/>
  <c r="O819" i="6"/>
  <c r="B820" i="6"/>
  <c r="C820" i="6"/>
  <c r="D820" i="6"/>
  <c r="E820" i="6"/>
  <c r="F820" i="6"/>
  <c r="G820" i="6"/>
  <c r="H820" i="6"/>
  <c r="I820" i="6"/>
  <c r="J820" i="6"/>
  <c r="K820" i="6"/>
  <c r="L820" i="6"/>
  <c r="M820" i="6"/>
  <c r="N820" i="6"/>
  <c r="O820" i="6"/>
  <c r="B821" i="6"/>
  <c r="C821" i="6"/>
  <c r="D821" i="6"/>
  <c r="E821" i="6"/>
  <c r="F821" i="6"/>
  <c r="G821" i="6"/>
  <c r="H821" i="6"/>
  <c r="I821" i="6"/>
  <c r="J821" i="6"/>
  <c r="K821" i="6"/>
  <c r="L821" i="6"/>
  <c r="M821" i="6"/>
  <c r="N821" i="6"/>
  <c r="O821" i="6"/>
  <c r="B822" i="6"/>
  <c r="C822" i="6"/>
  <c r="D822" i="6"/>
  <c r="E822" i="6"/>
  <c r="F822" i="6"/>
  <c r="G822" i="6"/>
  <c r="H822" i="6"/>
  <c r="I822" i="6"/>
  <c r="J822" i="6"/>
  <c r="K822" i="6"/>
  <c r="L822" i="6"/>
  <c r="M822" i="6"/>
  <c r="N822" i="6"/>
  <c r="O822" i="6"/>
  <c r="B823" i="6"/>
  <c r="C823" i="6"/>
  <c r="D823" i="6"/>
  <c r="E823" i="6"/>
  <c r="F823" i="6"/>
  <c r="G823" i="6"/>
  <c r="H823" i="6"/>
  <c r="I823" i="6"/>
  <c r="J823" i="6"/>
  <c r="K823" i="6"/>
  <c r="L823" i="6"/>
  <c r="M823" i="6"/>
  <c r="N823" i="6"/>
  <c r="O823" i="6"/>
  <c r="B824" i="6"/>
  <c r="C824" i="6"/>
  <c r="D824" i="6"/>
  <c r="E824" i="6"/>
  <c r="F824" i="6"/>
  <c r="G824" i="6"/>
  <c r="H824" i="6"/>
  <c r="I824" i="6"/>
  <c r="J824" i="6"/>
  <c r="K824" i="6"/>
  <c r="L824" i="6"/>
  <c r="M824" i="6"/>
  <c r="N824" i="6"/>
  <c r="O824" i="6"/>
  <c r="B825" i="6"/>
  <c r="C825" i="6"/>
  <c r="D825" i="6"/>
  <c r="E825" i="6"/>
  <c r="F825" i="6"/>
  <c r="G825" i="6"/>
  <c r="H825" i="6"/>
  <c r="I825" i="6"/>
  <c r="J825" i="6"/>
  <c r="K825" i="6"/>
  <c r="L825" i="6"/>
  <c r="M825" i="6"/>
  <c r="N825" i="6"/>
  <c r="O825" i="6"/>
  <c r="B826" i="6"/>
  <c r="C826" i="6"/>
  <c r="D826" i="6"/>
  <c r="E826" i="6"/>
  <c r="F826" i="6"/>
  <c r="G826" i="6"/>
  <c r="H826" i="6"/>
  <c r="I826" i="6"/>
  <c r="J826" i="6"/>
  <c r="K826" i="6"/>
  <c r="L826" i="6"/>
  <c r="M826" i="6"/>
  <c r="N826" i="6"/>
  <c r="O826" i="6"/>
  <c r="B827" i="6"/>
  <c r="C827" i="6"/>
  <c r="D827" i="6"/>
  <c r="E827" i="6"/>
  <c r="F827" i="6"/>
  <c r="G827" i="6"/>
  <c r="H827" i="6"/>
  <c r="I827" i="6"/>
  <c r="J827" i="6"/>
  <c r="K827" i="6"/>
  <c r="L827" i="6"/>
  <c r="M827" i="6"/>
  <c r="N827" i="6"/>
  <c r="O827" i="6"/>
  <c r="B828" i="6"/>
  <c r="C828" i="6"/>
  <c r="D828" i="6"/>
  <c r="E828" i="6"/>
  <c r="F828" i="6"/>
  <c r="G828" i="6"/>
  <c r="H828" i="6"/>
  <c r="I828" i="6"/>
  <c r="J828" i="6"/>
  <c r="K828" i="6"/>
  <c r="L828" i="6"/>
  <c r="M828" i="6"/>
  <c r="N828" i="6"/>
  <c r="O828" i="6"/>
  <c r="B829" i="6"/>
  <c r="C829" i="6"/>
  <c r="D829" i="6"/>
  <c r="E829" i="6"/>
  <c r="F829" i="6"/>
  <c r="G829" i="6"/>
  <c r="H829" i="6"/>
  <c r="I829" i="6"/>
  <c r="J829" i="6"/>
  <c r="K829" i="6"/>
  <c r="L829" i="6"/>
  <c r="M829" i="6"/>
  <c r="N829" i="6"/>
  <c r="O829" i="6"/>
  <c r="B830" i="6"/>
  <c r="C830" i="6"/>
  <c r="D830" i="6"/>
  <c r="E830" i="6"/>
  <c r="F830" i="6"/>
  <c r="G830" i="6"/>
  <c r="H830" i="6"/>
  <c r="I830" i="6"/>
  <c r="J830" i="6"/>
  <c r="K830" i="6"/>
  <c r="L830" i="6"/>
  <c r="M830" i="6"/>
  <c r="N830" i="6"/>
  <c r="O830" i="6"/>
  <c r="B831" i="6"/>
  <c r="C831" i="6"/>
  <c r="D831" i="6"/>
  <c r="E831" i="6"/>
  <c r="F831" i="6"/>
  <c r="G831" i="6"/>
  <c r="H831" i="6"/>
  <c r="I831" i="6"/>
  <c r="J831" i="6"/>
  <c r="K831" i="6"/>
  <c r="L831" i="6"/>
  <c r="M831" i="6"/>
  <c r="N831" i="6"/>
  <c r="O831" i="6"/>
  <c r="B832" i="6"/>
  <c r="C832" i="6"/>
  <c r="D832" i="6"/>
  <c r="E832" i="6"/>
  <c r="F832" i="6"/>
  <c r="G832" i="6"/>
  <c r="H832" i="6"/>
  <c r="I832" i="6"/>
  <c r="J832" i="6"/>
  <c r="K832" i="6"/>
  <c r="L832" i="6"/>
  <c r="M832" i="6"/>
  <c r="N832" i="6"/>
  <c r="O832" i="6"/>
  <c r="B833" i="6"/>
  <c r="C833" i="6"/>
  <c r="D833" i="6"/>
  <c r="E833" i="6"/>
  <c r="F833" i="6"/>
  <c r="G833" i="6"/>
  <c r="H833" i="6"/>
  <c r="I833" i="6"/>
  <c r="J833" i="6"/>
  <c r="K833" i="6"/>
  <c r="L833" i="6"/>
  <c r="M833" i="6"/>
  <c r="N833" i="6"/>
  <c r="O833" i="6"/>
  <c r="B834" i="6"/>
  <c r="C834" i="6"/>
  <c r="D834" i="6"/>
  <c r="E834" i="6"/>
  <c r="F834" i="6"/>
  <c r="G834" i="6"/>
  <c r="H834" i="6"/>
  <c r="I834" i="6"/>
  <c r="J834" i="6"/>
  <c r="K834" i="6"/>
  <c r="L834" i="6"/>
  <c r="M834" i="6"/>
  <c r="N834" i="6"/>
  <c r="O834" i="6"/>
  <c r="B835" i="6"/>
  <c r="C835" i="6"/>
  <c r="D835" i="6"/>
  <c r="E835" i="6"/>
  <c r="F835" i="6"/>
  <c r="G835" i="6"/>
  <c r="H835" i="6"/>
  <c r="I835" i="6"/>
  <c r="J835" i="6"/>
  <c r="K835" i="6"/>
  <c r="L835" i="6"/>
  <c r="M835" i="6"/>
  <c r="N835" i="6"/>
  <c r="O835" i="6"/>
  <c r="B836" i="6"/>
  <c r="C836" i="6"/>
  <c r="D836" i="6"/>
  <c r="E836" i="6"/>
  <c r="F836" i="6"/>
  <c r="G836" i="6"/>
  <c r="H836" i="6"/>
  <c r="I836" i="6"/>
  <c r="J836" i="6"/>
  <c r="K836" i="6"/>
  <c r="L836" i="6"/>
  <c r="M836" i="6"/>
  <c r="N836" i="6"/>
  <c r="O836" i="6"/>
  <c r="B837" i="6"/>
  <c r="C837" i="6"/>
  <c r="D837" i="6"/>
  <c r="E837" i="6"/>
  <c r="F837" i="6"/>
  <c r="G837" i="6"/>
  <c r="H837" i="6"/>
  <c r="I837" i="6"/>
  <c r="J837" i="6"/>
  <c r="K837" i="6"/>
  <c r="L837" i="6"/>
  <c r="M837" i="6"/>
  <c r="N837" i="6"/>
  <c r="O837" i="6"/>
  <c r="B838" i="6"/>
  <c r="C838" i="6"/>
  <c r="D838" i="6"/>
  <c r="E838" i="6"/>
  <c r="F838" i="6"/>
  <c r="G838" i="6"/>
  <c r="H838" i="6"/>
  <c r="I838" i="6"/>
  <c r="J838" i="6"/>
  <c r="K838" i="6"/>
  <c r="L838" i="6"/>
  <c r="M838" i="6"/>
  <c r="N838" i="6"/>
  <c r="O838" i="6"/>
  <c r="B839" i="6"/>
  <c r="C839" i="6"/>
  <c r="D839" i="6"/>
  <c r="E839" i="6"/>
  <c r="F839" i="6"/>
  <c r="G839" i="6"/>
  <c r="H839" i="6"/>
  <c r="I839" i="6"/>
  <c r="J839" i="6"/>
  <c r="K839" i="6"/>
  <c r="L839" i="6"/>
  <c r="M839" i="6"/>
  <c r="N839" i="6"/>
  <c r="O839" i="6"/>
  <c r="B840" i="6"/>
  <c r="C840" i="6"/>
  <c r="D840" i="6"/>
  <c r="E840" i="6"/>
  <c r="F840" i="6"/>
  <c r="G840" i="6"/>
  <c r="H840" i="6"/>
  <c r="I840" i="6"/>
  <c r="J840" i="6"/>
  <c r="K840" i="6"/>
  <c r="L840" i="6"/>
  <c r="M840" i="6"/>
  <c r="N840" i="6"/>
  <c r="O840" i="6"/>
  <c r="B841" i="6"/>
  <c r="C841" i="6"/>
  <c r="D841" i="6"/>
  <c r="E841" i="6"/>
  <c r="F841" i="6"/>
  <c r="G841" i="6"/>
  <c r="H841" i="6"/>
  <c r="I841" i="6"/>
  <c r="J841" i="6"/>
  <c r="K841" i="6"/>
  <c r="L841" i="6"/>
  <c r="M841" i="6"/>
  <c r="N841" i="6"/>
  <c r="O841" i="6"/>
  <c r="B842" i="6"/>
  <c r="C842" i="6"/>
  <c r="D842" i="6"/>
  <c r="E842" i="6"/>
  <c r="F842" i="6"/>
  <c r="G842" i="6"/>
  <c r="H842" i="6"/>
  <c r="I842" i="6"/>
  <c r="J842" i="6"/>
  <c r="K842" i="6"/>
  <c r="L842" i="6"/>
  <c r="M842" i="6"/>
  <c r="N842" i="6"/>
  <c r="O842" i="6"/>
  <c r="B843" i="6"/>
  <c r="C843" i="6"/>
  <c r="D843" i="6"/>
  <c r="E843" i="6"/>
  <c r="F843" i="6"/>
  <c r="G843" i="6"/>
  <c r="H843" i="6"/>
  <c r="I843" i="6"/>
  <c r="J843" i="6"/>
  <c r="K843" i="6"/>
  <c r="L843" i="6"/>
  <c r="M843" i="6"/>
  <c r="N843" i="6"/>
  <c r="O843" i="6"/>
  <c r="B844" i="6"/>
  <c r="C844" i="6"/>
  <c r="D844" i="6"/>
  <c r="E844" i="6"/>
  <c r="F844" i="6"/>
  <c r="G844" i="6"/>
  <c r="H844" i="6"/>
  <c r="I844" i="6"/>
  <c r="J844" i="6"/>
  <c r="K844" i="6"/>
  <c r="L844" i="6"/>
  <c r="M844" i="6"/>
  <c r="N844" i="6"/>
  <c r="O844" i="6"/>
  <c r="B845" i="6"/>
  <c r="C845" i="6"/>
  <c r="D845" i="6"/>
  <c r="E845" i="6"/>
  <c r="F845" i="6"/>
  <c r="G845" i="6"/>
  <c r="H845" i="6"/>
  <c r="I845" i="6"/>
  <c r="J845" i="6"/>
  <c r="K845" i="6"/>
  <c r="L845" i="6"/>
  <c r="M845" i="6"/>
  <c r="N845" i="6"/>
  <c r="O845" i="6"/>
  <c r="B846" i="6"/>
  <c r="C846" i="6"/>
  <c r="D846" i="6"/>
  <c r="E846" i="6"/>
  <c r="F846" i="6"/>
  <c r="G846" i="6"/>
  <c r="H846" i="6"/>
  <c r="I846" i="6"/>
  <c r="J846" i="6"/>
  <c r="K846" i="6"/>
  <c r="L846" i="6"/>
  <c r="M846" i="6"/>
  <c r="N846" i="6"/>
  <c r="O846" i="6"/>
  <c r="B847" i="6"/>
  <c r="C847" i="6"/>
  <c r="D847" i="6"/>
  <c r="E847" i="6"/>
  <c r="F847" i="6"/>
  <c r="G847" i="6"/>
  <c r="H847" i="6"/>
  <c r="I847" i="6"/>
  <c r="J847" i="6"/>
  <c r="K847" i="6"/>
  <c r="L847" i="6"/>
  <c r="M847" i="6"/>
  <c r="N847" i="6"/>
  <c r="O847" i="6"/>
  <c r="B848" i="6"/>
  <c r="C848" i="6"/>
  <c r="D848" i="6"/>
  <c r="E848" i="6"/>
  <c r="F848" i="6"/>
  <c r="G848" i="6"/>
  <c r="H848" i="6"/>
  <c r="I848" i="6"/>
  <c r="J848" i="6"/>
  <c r="K848" i="6"/>
  <c r="L848" i="6"/>
  <c r="M848" i="6"/>
  <c r="N848" i="6"/>
  <c r="O848" i="6"/>
  <c r="B849" i="6"/>
  <c r="C849" i="6"/>
  <c r="D849" i="6"/>
  <c r="E849" i="6"/>
  <c r="F849" i="6"/>
  <c r="G849" i="6"/>
  <c r="H849" i="6"/>
  <c r="I849" i="6"/>
  <c r="J849" i="6"/>
  <c r="K849" i="6"/>
  <c r="L849" i="6"/>
  <c r="M849" i="6"/>
  <c r="N849" i="6"/>
  <c r="O849" i="6"/>
  <c r="B850" i="6"/>
  <c r="C850" i="6"/>
  <c r="D850" i="6"/>
  <c r="E850" i="6"/>
  <c r="F850" i="6"/>
  <c r="G850" i="6"/>
  <c r="H850" i="6"/>
  <c r="I850" i="6"/>
  <c r="J850" i="6"/>
  <c r="K850" i="6"/>
  <c r="L850" i="6"/>
  <c r="M850" i="6"/>
  <c r="N850" i="6"/>
  <c r="O850" i="6"/>
  <c r="B851" i="6"/>
  <c r="C851" i="6"/>
  <c r="D851" i="6"/>
  <c r="E851" i="6"/>
  <c r="F851" i="6"/>
  <c r="G851" i="6"/>
  <c r="H851" i="6"/>
  <c r="I851" i="6"/>
  <c r="J851" i="6"/>
  <c r="K851" i="6"/>
  <c r="L851" i="6"/>
  <c r="M851" i="6"/>
  <c r="N851" i="6"/>
  <c r="O851" i="6"/>
  <c r="B852" i="6"/>
  <c r="C852" i="6"/>
  <c r="D852" i="6"/>
  <c r="E852" i="6"/>
  <c r="F852" i="6"/>
  <c r="G852" i="6"/>
  <c r="H852" i="6"/>
  <c r="I852" i="6"/>
  <c r="J852" i="6"/>
  <c r="K852" i="6"/>
  <c r="L852" i="6"/>
  <c r="M852" i="6"/>
  <c r="N852" i="6"/>
  <c r="O852" i="6"/>
  <c r="B853" i="6"/>
  <c r="C853" i="6"/>
  <c r="D853" i="6"/>
  <c r="E853" i="6"/>
  <c r="F853" i="6"/>
  <c r="G853" i="6"/>
  <c r="H853" i="6"/>
  <c r="I853" i="6"/>
  <c r="J853" i="6"/>
  <c r="K853" i="6"/>
  <c r="L853" i="6"/>
  <c r="M853" i="6"/>
  <c r="N853" i="6"/>
  <c r="O853" i="6"/>
  <c r="B854" i="6"/>
  <c r="C854" i="6"/>
  <c r="D854" i="6"/>
  <c r="E854" i="6"/>
  <c r="F854" i="6"/>
  <c r="G854" i="6"/>
  <c r="H854" i="6"/>
  <c r="I854" i="6"/>
  <c r="J854" i="6"/>
  <c r="K854" i="6"/>
  <c r="L854" i="6"/>
  <c r="M854" i="6"/>
  <c r="N854" i="6"/>
  <c r="O854" i="6"/>
  <c r="B855" i="6"/>
  <c r="C855" i="6"/>
  <c r="D855" i="6"/>
  <c r="E855" i="6"/>
  <c r="F855" i="6"/>
  <c r="G855" i="6"/>
  <c r="H855" i="6"/>
  <c r="I855" i="6"/>
  <c r="J855" i="6"/>
  <c r="K855" i="6"/>
  <c r="L855" i="6"/>
  <c r="M855" i="6"/>
  <c r="N855" i="6"/>
  <c r="O855" i="6"/>
  <c r="B856" i="6"/>
  <c r="C856" i="6"/>
  <c r="D856" i="6"/>
  <c r="E856" i="6"/>
  <c r="F856" i="6"/>
  <c r="G856" i="6"/>
  <c r="H856" i="6"/>
  <c r="I856" i="6"/>
  <c r="J856" i="6"/>
  <c r="K856" i="6"/>
  <c r="L856" i="6"/>
  <c r="M856" i="6"/>
  <c r="N856" i="6"/>
  <c r="O856" i="6"/>
  <c r="B857" i="6"/>
  <c r="C857" i="6"/>
  <c r="D857" i="6"/>
  <c r="E857" i="6"/>
  <c r="F857" i="6"/>
  <c r="G857" i="6"/>
  <c r="H857" i="6"/>
  <c r="I857" i="6"/>
  <c r="J857" i="6"/>
  <c r="K857" i="6"/>
  <c r="L857" i="6"/>
  <c r="M857" i="6"/>
  <c r="N857" i="6"/>
  <c r="O857" i="6"/>
  <c r="B858" i="6"/>
  <c r="C858" i="6"/>
  <c r="D858" i="6"/>
  <c r="E858" i="6"/>
  <c r="F858" i="6"/>
  <c r="G858" i="6"/>
  <c r="H858" i="6"/>
  <c r="I858" i="6"/>
  <c r="J858" i="6"/>
  <c r="K858" i="6"/>
  <c r="L858" i="6"/>
  <c r="M858" i="6"/>
  <c r="N858" i="6"/>
  <c r="O858" i="6"/>
  <c r="B859" i="6"/>
  <c r="C859" i="6"/>
  <c r="D859" i="6"/>
  <c r="E859" i="6"/>
  <c r="F859" i="6"/>
  <c r="G859" i="6"/>
  <c r="H859" i="6"/>
  <c r="I859" i="6"/>
  <c r="J859" i="6"/>
  <c r="K859" i="6"/>
  <c r="L859" i="6"/>
  <c r="M859" i="6"/>
  <c r="N859" i="6"/>
  <c r="O859" i="6"/>
  <c r="B860" i="6"/>
  <c r="C860" i="6"/>
  <c r="D860" i="6"/>
  <c r="E860" i="6"/>
  <c r="F860" i="6"/>
  <c r="G860" i="6"/>
  <c r="H860" i="6"/>
  <c r="I860" i="6"/>
  <c r="J860" i="6"/>
  <c r="K860" i="6"/>
  <c r="L860" i="6"/>
  <c r="M860" i="6"/>
  <c r="N860" i="6"/>
  <c r="O860" i="6"/>
  <c r="B861" i="6"/>
  <c r="C861" i="6"/>
  <c r="D861" i="6"/>
  <c r="E861" i="6"/>
  <c r="F861" i="6"/>
  <c r="G861" i="6"/>
  <c r="H861" i="6"/>
  <c r="I861" i="6"/>
  <c r="J861" i="6"/>
  <c r="K861" i="6"/>
  <c r="L861" i="6"/>
  <c r="M861" i="6"/>
  <c r="N861" i="6"/>
  <c r="O861" i="6"/>
  <c r="B862" i="6"/>
  <c r="C862" i="6"/>
  <c r="D862" i="6"/>
  <c r="E862" i="6"/>
  <c r="F862" i="6"/>
  <c r="G862" i="6"/>
  <c r="H862" i="6"/>
  <c r="I862" i="6"/>
  <c r="J862" i="6"/>
  <c r="K862" i="6"/>
  <c r="L862" i="6"/>
  <c r="M862" i="6"/>
  <c r="N862" i="6"/>
  <c r="O862" i="6"/>
  <c r="B863" i="6"/>
  <c r="C863" i="6"/>
  <c r="D863" i="6"/>
  <c r="E863" i="6"/>
  <c r="F863" i="6"/>
  <c r="G863" i="6"/>
  <c r="H863" i="6"/>
  <c r="I863" i="6"/>
  <c r="J863" i="6"/>
  <c r="K863" i="6"/>
  <c r="L863" i="6"/>
  <c r="M863" i="6"/>
  <c r="N863" i="6"/>
  <c r="O863" i="6"/>
  <c r="B864" i="6"/>
  <c r="C864" i="6"/>
  <c r="D864" i="6"/>
  <c r="E864" i="6"/>
  <c r="F864" i="6"/>
  <c r="G864" i="6"/>
  <c r="H864" i="6"/>
  <c r="I864" i="6"/>
  <c r="J864" i="6"/>
  <c r="K864" i="6"/>
  <c r="L864" i="6"/>
  <c r="M864" i="6"/>
  <c r="N864" i="6"/>
  <c r="O864" i="6"/>
  <c r="B865" i="6"/>
  <c r="C865" i="6"/>
  <c r="D865" i="6"/>
  <c r="E865" i="6"/>
  <c r="F865" i="6"/>
  <c r="G865" i="6"/>
  <c r="H865" i="6"/>
  <c r="I865" i="6"/>
  <c r="J865" i="6"/>
  <c r="K865" i="6"/>
  <c r="L865" i="6"/>
  <c r="M865" i="6"/>
  <c r="N865" i="6"/>
  <c r="O865" i="6"/>
  <c r="B866" i="6"/>
  <c r="C866" i="6"/>
  <c r="D866" i="6"/>
  <c r="E866" i="6"/>
  <c r="F866" i="6"/>
  <c r="G866" i="6"/>
  <c r="H866" i="6"/>
  <c r="I866" i="6"/>
  <c r="J866" i="6"/>
  <c r="K866" i="6"/>
  <c r="L866" i="6"/>
  <c r="M866" i="6"/>
  <c r="N866" i="6"/>
  <c r="O866" i="6"/>
  <c r="B867" i="6"/>
  <c r="C867" i="6"/>
  <c r="D867" i="6"/>
  <c r="E867" i="6"/>
  <c r="F867" i="6"/>
  <c r="G867" i="6"/>
  <c r="H867" i="6"/>
  <c r="I867" i="6"/>
  <c r="J867" i="6"/>
  <c r="K867" i="6"/>
  <c r="L867" i="6"/>
  <c r="M867" i="6"/>
  <c r="N867" i="6"/>
  <c r="O867" i="6"/>
  <c r="B868" i="6"/>
  <c r="C868" i="6"/>
  <c r="D868" i="6"/>
  <c r="E868" i="6"/>
  <c r="F868" i="6"/>
  <c r="G868" i="6"/>
  <c r="H868" i="6"/>
  <c r="I868" i="6"/>
  <c r="J868" i="6"/>
  <c r="K868" i="6"/>
  <c r="L868" i="6"/>
  <c r="M868" i="6"/>
  <c r="N868" i="6"/>
  <c r="O868" i="6"/>
  <c r="B869" i="6"/>
  <c r="C869" i="6"/>
  <c r="D869" i="6"/>
  <c r="E869" i="6"/>
  <c r="F869" i="6"/>
  <c r="G869" i="6"/>
  <c r="H869" i="6"/>
  <c r="I869" i="6"/>
  <c r="J869" i="6"/>
  <c r="K869" i="6"/>
  <c r="L869" i="6"/>
  <c r="M869" i="6"/>
  <c r="N869" i="6"/>
  <c r="O869" i="6"/>
  <c r="B870" i="6"/>
  <c r="C870" i="6"/>
  <c r="D870" i="6"/>
  <c r="E870" i="6"/>
  <c r="F870" i="6"/>
  <c r="G870" i="6"/>
  <c r="H870" i="6"/>
  <c r="I870" i="6"/>
  <c r="J870" i="6"/>
  <c r="K870" i="6"/>
  <c r="L870" i="6"/>
  <c r="M870" i="6"/>
  <c r="N870" i="6"/>
  <c r="O870" i="6"/>
  <c r="B871" i="6"/>
  <c r="C871" i="6"/>
  <c r="D871" i="6"/>
  <c r="E871" i="6"/>
  <c r="F871" i="6"/>
  <c r="G871" i="6"/>
  <c r="H871" i="6"/>
  <c r="I871" i="6"/>
  <c r="J871" i="6"/>
  <c r="K871" i="6"/>
  <c r="L871" i="6"/>
  <c r="M871" i="6"/>
  <c r="N871" i="6"/>
  <c r="O871" i="6"/>
  <c r="B872" i="6"/>
  <c r="C872" i="6"/>
  <c r="D872" i="6"/>
  <c r="E872" i="6"/>
  <c r="F872" i="6"/>
  <c r="G872" i="6"/>
  <c r="H872" i="6"/>
  <c r="I872" i="6"/>
  <c r="J872" i="6"/>
  <c r="K872" i="6"/>
  <c r="L872" i="6"/>
  <c r="M872" i="6"/>
  <c r="N872" i="6"/>
  <c r="O872" i="6"/>
  <c r="B873" i="6"/>
  <c r="C873" i="6"/>
  <c r="D873" i="6"/>
  <c r="E873" i="6"/>
  <c r="F873" i="6"/>
  <c r="G873" i="6"/>
  <c r="H873" i="6"/>
  <c r="I873" i="6"/>
  <c r="J873" i="6"/>
  <c r="K873" i="6"/>
  <c r="L873" i="6"/>
  <c r="M873" i="6"/>
  <c r="N873" i="6"/>
  <c r="O873" i="6"/>
  <c r="B874" i="6"/>
  <c r="C874" i="6"/>
  <c r="D874" i="6"/>
  <c r="E874" i="6"/>
  <c r="F874" i="6"/>
  <c r="G874" i="6"/>
  <c r="H874" i="6"/>
  <c r="I874" i="6"/>
  <c r="J874" i="6"/>
  <c r="K874" i="6"/>
  <c r="L874" i="6"/>
  <c r="M874" i="6"/>
  <c r="N874" i="6"/>
  <c r="O874" i="6"/>
  <c r="B875" i="6"/>
  <c r="C875" i="6"/>
  <c r="D875" i="6"/>
  <c r="E875" i="6"/>
  <c r="F875" i="6"/>
  <c r="G875" i="6"/>
  <c r="H875" i="6"/>
  <c r="I875" i="6"/>
  <c r="J875" i="6"/>
  <c r="K875" i="6"/>
  <c r="L875" i="6"/>
  <c r="M875" i="6"/>
  <c r="N875" i="6"/>
  <c r="O875" i="6"/>
  <c r="B876" i="6"/>
  <c r="C876" i="6"/>
  <c r="D876" i="6"/>
  <c r="E876" i="6"/>
  <c r="F876" i="6"/>
  <c r="G876" i="6"/>
  <c r="H876" i="6"/>
  <c r="I876" i="6"/>
  <c r="J876" i="6"/>
  <c r="K876" i="6"/>
  <c r="L876" i="6"/>
  <c r="M876" i="6"/>
  <c r="N876" i="6"/>
  <c r="O876" i="6"/>
  <c r="B877" i="6"/>
  <c r="C877" i="6"/>
  <c r="D877" i="6"/>
  <c r="E877" i="6"/>
  <c r="F877" i="6"/>
  <c r="G877" i="6"/>
  <c r="H877" i="6"/>
  <c r="I877" i="6"/>
  <c r="J877" i="6"/>
  <c r="K877" i="6"/>
  <c r="L877" i="6"/>
  <c r="M877" i="6"/>
  <c r="N877" i="6"/>
  <c r="O877" i="6"/>
  <c r="B878" i="6"/>
  <c r="C878" i="6"/>
  <c r="D878" i="6"/>
  <c r="E878" i="6"/>
  <c r="F878" i="6"/>
  <c r="G878" i="6"/>
  <c r="H878" i="6"/>
  <c r="I878" i="6"/>
  <c r="J878" i="6"/>
  <c r="K878" i="6"/>
  <c r="L878" i="6"/>
  <c r="M878" i="6"/>
  <c r="N878" i="6"/>
  <c r="O878" i="6"/>
  <c r="B879" i="6"/>
  <c r="C879" i="6"/>
  <c r="D879" i="6"/>
  <c r="E879" i="6"/>
  <c r="F879" i="6"/>
  <c r="G879" i="6"/>
  <c r="H879" i="6"/>
  <c r="I879" i="6"/>
  <c r="J879" i="6"/>
  <c r="K879" i="6"/>
  <c r="L879" i="6"/>
  <c r="M879" i="6"/>
  <c r="N879" i="6"/>
  <c r="O879" i="6"/>
  <c r="B880" i="6"/>
  <c r="C880" i="6"/>
  <c r="D880" i="6"/>
  <c r="E880" i="6"/>
  <c r="F880" i="6"/>
  <c r="G880" i="6"/>
  <c r="H880" i="6"/>
  <c r="I880" i="6"/>
  <c r="J880" i="6"/>
  <c r="K880" i="6"/>
  <c r="L880" i="6"/>
  <c r="M880" i="6"/>
  <c r="N880" i="6"/>
  <c r="O880" i="6"/>
  <c r="B881" i="6"/>
  <c r="C881" i="6"/>
  <c r="D881" i="6"/>
  <c r="E881" i="6"/>
  <c r="F881" i="6"/>
  <c r="G881" i="6"/>
  <c r="H881" i="6"/>
  <c r="I881" i="6"/>
  <c r="J881" i="6"/>
  <c r="K881" i="6"/>
  <c r="L881" i="6"/>
  <c r="M881" i="6"/>
  <c r="N881" i="6"/>
  <c r="O881" i="6"/>
  <c r="B882" i="6"/>
  <c r="C882" i="6"/>
  <c r="D882" i="6"/>
  <c r="E882" i="6"/>
  <c r="F882" i="6"/>
  <c r="G882" i="6"/>
  <c r="H882" i="6"/>
  <c r="I882" i="6"/>
  <c r="J882" i="6"/>
  <c r="K882" i="6"/>
  <c r="L882" i="6"/>
  <c r="M882" i="6"/>
  <c r="N882" i="6"/>
  <c r="O882" i="6"/>
  <c r="B883" i="6"/>
  <c r="C883" i="6"/>
  <c r="D883" i="6"/>
  <c r="E883" i="6"/>
  <c r="F883" i="6"/>
  <c r="G883" i="6"/>
  <c r="H883" i="6"/>
  <c r="I883" i="6"/>
  <c r="J883" i="6"/>
  <c r="K883" i="6"/>
  <c r="L883" i="6"/>
  <c r="M883" i="6"/>
  <c r="N883" i="6"/>
  <c r="O883" i="6"/>
  <c r="B884" i="6"/>
  <c r="C884" i="6"/>
  <c r="D884" i="6"/>
  <c r="E884" i="6"/>
  <c r="F884" i="6"/>
  <c r="G884" i="6"/>
  <c r="H884" i="6"/>
  <c r="I884" i="6"/>
  <c r="J884" i="6"/>
  <c r="K884" i="6"/>
  <c r="L884" i="6"/>
  <c r="M884" i="6"/>
  <c r="N884" i="6"/>
  <c r="O884" i="6"/>
  <c r="B885" i="6"/>
  <c r="C885" i="6"/>
  <c r="D885" i="6"/>
  <c r="E885" i="6"/>
  <c r="F885" i="6"/>
  <c r="G885" i="6"/>
  <c r="H885" i="6"/>
  <c r="I885" i="6"/>
  <c r="J885" i="6"/>
  <c r="K885" i="6"/>
  <c r="L885" i="6"/>
  <c r="M885" i="6"/>
  <c r="N885" i="6"/>
  <c r="O885" i="6"/>
  <c r="B886" i="6"/>
  <c r="C886" i="6"/>
  <c r="D886" i="6"/>
  <c r="E886" i="6"/>
  <c r="F886" i="6"/>
  <c r="G886" i="6"/>
  <c r="H886" i="6"/>
  <c r="I886" i="6"/>
  <c r="J886" i="6"/>
  <c r="K886" i="6"/>
  <c r="L886" i="6"/>
  <c r="M886" i="6"/>
  <c r="N886" i="6"/>
  <c r="O886" i="6"/>
  <c r="B887" i="6"/>
  <c r="C887" i="6"/>
  <c r="D887" i="6"/>
  <c r="E887" i="6"/>
  <c r="F887" i="6"/>
  <c r="G887" i="6"/>
  <c r="H887" i="6"/>
  <c r="I887" i="6"/>
  <c r="J887" i="6"/>
  <c r="K887" i="6"/>
  <c r="L887" i="6"/>
  <c r="M887" i="6"/>
  <c r="N887" i="6"/>
  <c r="O887" i="6"/>
  <c r="B888" i="6"/>
  <c r="C888" i="6"/>
  <c r="D888" i="6"/>
  <c r="E888" i="6"/>
  <c r="F888" i="6"/>
  <c r="G888" i="6"/>
  <c r="H888" i="6"/>
  <c r="I888" i="6"/>
  <c r="J888" i="6"/>
  <c r="K888" i="6"/>
  <c r="L888" i="6"/>
  <c r="M888" i="6"/>
  <c r="N888" i="6"/>
  <c r="O888" i="6"/>
  <c r="B889" i="6"/>
  <c r="C889" i="6"/>
  <c r="D889" i="6"/>
  <c r="E889" i="6"/>
  <c r="F889" i="6"/>
  <c r="G889" i="6"/>
  <c r="H889" i="6"/>
  <c r="I889" i="6"/>
  <c r="J889" i="6"/>
  <c r="K889" i="6"/>
  <c r="L889" i="6"/>
  <c r="M889" i="6"/>
  <c r="N889" i="6"/>
  <c r="O889" i="6"/>
  <c r="B890" i="6"/>
  <c r="C890" i="6"/>
  <c r="D890" i="6"/>
  <c r="E890" i="6"/>
  <c r="F890" i="6"/>
  <c r="G890" i="6"/>
  <c r="H890" i="6"/>
  <c r="I890" i="6"/>
  <c r="J890" i="6"/>
  <c r="K890" i="6"/>
  <c r="L890" i="6"/>
  <c r="M890" i="6"/>
  <c r="N890" i="6"/>
  <c r="O890" i="6"/>
  <c r="B891" i="6"/>
  <c r="C891" i="6"/>
  <c r="D891" i="6"/>
  <c r="E891" i="6"/>
  <c r="F891" i="6"/>
  <c r="G891" i="6"/>
  <c r="H891" i="6"/>
  <c r="I891" i="6"/>
  <c r="J891" i="6"/>
  <c r="K891" i="6"/>
  <c r="L891" i="6"/>
  <c r="M891" i="6"/>
  <c r="N891" i="6"/>
  <c r="O891" i="6"/>
  <c r="B892" i="6"/>
  <c r="C892" i="6"/>
  <c r="D892" i="6"/>
  <c r="E892" i="6"/>
  <c r="F892" i="6"/>
  <c r="G892" i="6"/>
  <c r="H892" i="6"/>
  <c r="I892" i="6"/>
  <c r="J892" i="6"/>
  <c r="K892" i="6"/>
  <c r="L892" i="6"/>
  <c r="M892" i="6"/>
  <c r="N892" i="6"/>
  <c r="O892" i="6"/>
  <c r="B893" i="6"/>
  <c r="C893" i="6"/>
  <c r="D893" i="6"/>
  <c r="E893" i="6"/>
  <c r="F893" i="6"/>
  <c r="G893" i="6"/>
  <c r="H893" i="6"/>
  <c r="I893" i="6"/>
  <c r="J893" i="6"/>
  <c r="K893" i="6"/>
  <c r="L893" i="6"/>
  <c r="M893" i="6"/>
  <c r="N893" i="6"/>
  <c r="O893" i="6"/>
  <c r="B894" i="6"/>
  <c r="C894" i="6"/>
  <c r="D894" i="6"/>
  <c r="E894" i="6"/>
  <c r="F894" i="6"/>
  <c r="G894" i="6"/>
  <c r="H894" i="6"/>
  <c r="I894" i="6"/>
  <c r="J894" i="6"/>
  <c r="K894" i="6"/>
  <c r="L894" i="6"/>
  <c r="M894" i="6"/>
  <c r="N894" i="6"/>
  <c r="O894" i="6"/>
  <c r="B895" i="6"/>
  <c r="C895" i="6"/>
  <c r="D895" i="6"/>
  <c r="E895" i="6"/>
  <c r="F895" i="6"/>
  <c r="G895" i="6"/>
  <c r="H895" i="6"/>
  <c r="I895" i="6"/>
  <c r="J895" i="6"/>
  <c r="K895" i="6"/>
  <c r="L895" i="6"/>
  <c r="M895" i="6"/>
  <c r="N895" i="6"/>
  <c r="O895" i="6"/>
  <c r="B896" i="6"/>
  <c r="C896" i="6"/>
  <c r="D896" i="6"/>
  <c r="E896" i="6"/>
  <c r="F896" i="6"/>
  <c r="G896" i="6"/>
  <c r="H896" i="6"/>
  <c r="I896" i="6"/>
  <c r="J896" i="6"/>
  <c r="K896" i="6"/>
  <c r="L896" i="6"/>
  <c r="M896" i="6"/>
  <c r="N896" i="6"/>
  <c r="O896" i="6"/>
  <c r="B897" i="6"/>
  <c r="C897" i="6"/>
  <c r="D897" i="6"/>
  <c r="E897" i="6"/>
  <c r="F897" i="6"/>
  <c r="G897" i="6"/>
  <c r="H897" i="6"/>
  <c r="I897" i="6"/>
  <c r="J897" i="6"/>
  <c r="K897" i="6"/>
  <c r="L897" i="6"/>
  <c r="M897" i="6"/>
  <c r="N897" i="6"/>
  <c r="O897" i="6"/>
  <c r="B898" i="6"/>
  <c r="C898" i="6"/>
  <c r="D898" i="6"/>
  <c r="E898" i="6"/>
  <c r="F898" i="6"/>
  <c r="G898" i="6"/>
  <c r="H898" i="6"/>
  <c r="I898" i="6"/>
  <c r="J898" i="6"/>
  <c r="K898" i="6"/>
  <c r="L898" i="6"/>
  <c r="M898" i="6"/>
  <c r="N898" i="6"/>
  <c r="O898" i="6"/>
  <c r="B899" i="6"/>
  <c r="C899" i="6"/>
  <c r="D899" i="6"/>
  <c r="E899" i="6"/>
  <c r="F899" i="6"/>
  <c r="G899" i="6"/>
  <c r="H899" i="6"/>
  <c r="I899" i="6"/>
  <c r="J899" i="6"/>
  <c r="K899" i="6"/>
  <c r="L899" i="6"/>
  <c r="M899" i="6"/>
  <c r="N899" i="6"/>
  <c r="O899" i="6"/>
  <c r="B900" i="6"/>
  <c r="C900" i="6"/>
  <c r="D900" i="6"/>
  <c r="E900" i="6"/>
  <c r="F900" i="6"/>
  <c r="G900" i="6"/>
  <c r="H900" i="6"/>
  <c r="I900" i="6"/>
  <c r="J900" i="6"/>
  <c r="K900" i="6"/>
  <c r="L900" i="6"/>
  <c r="M900" i="6"/>
  <c r="N900" i="6"/>
  <c r="O900" i="6"/>
  <c r="B901" i="6"/>
  <c r="C901" i="6"/>
  <c r="D901" i="6"/>
  <c r="E901" i="6"/>
  <c r="F901" i="6"/>
  <c r="G901" i="6"/>
  <c r="H901" i="6"/>
  <c r="I901" i="6"/>
  <c r="J901" i="6"/>
  <c r="K901" i="6"/>
  <c r="L901" i="6"/>
  <c r="M901" i="6"/>
  <c r="N901" i="6"/>
  <c r="O901" i="6"/>
  <c r="B902" i="6"/>
  <c r="C902" i="6"/>
  <c r="D902" i="6"/>
  <c r="E902" i="6"/>
  <c r="F902" i="6"/>
  <c r="G902" i="6"/>
  <c r="H902" i="6"/>
  <c r="I902" i="6"/>
  <c r="J902" i="6"/>
  <c r="K902" i="6"/>
  <c r="L902" i="6"/>
  <c r="M902" i="6"/>
  <c r="N902" i="6"/>
  <c r="O902" i="6"/>
  <c r="B903" i="6"/>
  <c r="C903" i="6"/>
  <c r="D903" i="6"/>
  <c r="E903" i="6"/>
  <c r="F903" i="6"/>
  <c r="G903" i="6"/>
  <c r="H903" i="6"/>
  <c r="I903" i="6"/>
  <c r="J903" i="6"/>
  <c r="K903" i="6"/>
  <c r="L903" i="6"/>
  <c r="M903" i="6"/>
  <c r="N903" i="6"/>
  <c r="O903" i="6"/>
  <c r="B904" i="6"/>
  <c r="C904" i="6"/>
  <c r="D904" i="6"/>
  <c r="E904" i="6"/>
  <c r="F904" i="6"/>
  <c r="G904" i="6"/>
  <c r="H904" i="6"/>
  <c r="I904" i="6"/>
  <c r="J904" i="6"/>
  <c r="K904" i="6"/>
  <c r="L904" i="6"/>
  <c r="M904" i="6"/>
  <c r="N904" i="6"/>
  <c r="O904" i="6"/>
  <c r="B905" i="6"/>
  <c r="C905" i="6"/>
  <c r="D905" i="6"/>
  <c r="E905" i="6"/>
  <c r="F905" i="6"/>
  <c r="G905" i="6"/>
  <c r="H905" i="6"/>
  <c r="I905" i="6"/>
  <c r="J905" i="6"/>
  <c r="K905" i="6"/>
  <c r="L905" i="6"/>
  <c r="M905" i="6"/>
  <c r="N905" i="6"/>
  <c r="O905" i="6"/>
  <c r="B906" i="6"/>
  <c r="C906" i="6"/>
  <c r="D906" i="6"/>
  <c r="E906" i="6"/>
  <c r="F906" i="6"/>
  <c r="G906" i="6"/>
  <c r="H906" i="6"/>
  <c r="I906" i="6"/>
  <c r="J906" i="6"/>
  <c r="K906" i="6"/>
  <c r="L906" i="6"/>
  <c r="M906" i="6"/>
  <c r="N906" i="6"/>
  <c r="O906" i="6"/>
  <c r="B907" i="6"/>
  <c r="C907" i="6"/>
  <c r="D907" i="6"/>
  <c r="E907" i="6"/>
  <c r="F907" i="6"/>
  <c r="G907" i="6"/>
  <c r="H907" i="6"/>
  <c r="I907" i="6"/>
  <c r="J907" i="6"/>
  <c r="K907" i="6"/>
  <c r="L907" i="6"/>
  <c r="M907" i="6"/>
  <c r="N907" i="6"/>
  <c r="O907" i="6"/>
  <c r="B908" i="6"/>
  <c r="C908" i="6"/>
  <c r="D908" i="6"/>
  <c r="E908" i="6"/>
  <c r="F908" i="6"/>
  <c r="G908" i="6"/>
  <c r="H908" i="6"/>
  <c r="I908" i="6"/>
  <c r="J908" i="6"/>
  <c r="K908" i="6"/>
  <c r="L908" i="6"/>
  <c r="M908" i="6"/>
  <c r="N908" i="6"/>
  <c r="O908" i="6"/>
  <c r="B909" i="6"/>
  <c r="C909" i="6"/>
  <c r="D909" i="6"/>
  <c r="E909" i="6"/>
  <c r="F909" i="6"/>
  <c r="G909" i="6"/>
  <c r="H909" i="6"/>
  <c r="I909" i="6"/>
  <c r="J909" i="6"/>
  <c r="K909" i="6"/>
  <c r="L909" i="6"/>
  <c r="M909" i="6"/>
  <c r="N909" i="6"/>
  <c r="O909" i="6"/>
  <c r="B910" i="6"/>
  <c r="C910" i="6"/>
  <c r="D910" i="6"/>
  <c r="E910" i="6"/>
  <c r="F910" i="6"/>
  <c r="G910" i="6"/>
  <c r="H910" i="6"/>
  <c r="I910" i="6"/>
  <c r="J910" i="6"/>
  <c r="K910" i="6"/>
  <c r="L910" i="6"/>
  <c r="M910" i="6"/>
  <c r="N910" i="6"/>
  <c r="O910" i="6"/>
  <c r="B911" i="6"/>
  <c r="C911" i="6"/>
  <c r="D911" i="6"/>
  <c r="E911" i="6"/>
  <c r="F911" i="6"/>
  <c r="G911" i="6"/>
  <c r="H911" i="6"/>
  <c r="I911" i="6"/>
  <c r="J911" i="6"/>
  <c r="K911" i="6"/>
  <c r="L911" i="6"/>
  <c r="M911" i="6"/>
  <c r="N911" i="6"/>
  <c r="O911" i="6"/>
  <c r="B912" i="6"/>
  <c r="C912" i="6"/>
  <c r="D912" i="6"/>
  <c r="E912" i="6"/>
  <c r="F912" i="6"/>
  <c r="G912" i="6"/>
  <c r="H912" i="6"/>
  <c r="I912" i="6"/>
  <c r="J912" i="6"/>
  <c r="K912" i="6"/>
  <c r="L912" i="6"/>
  <c r="M912" i="6"/>
  <c r="N912" i="6"/>
  <c r="O912" i="6"/>
  <c r="B913" i="6"/>
  <c r="C913" i="6"/>
  <c r="D913" i="6"/>
  <c r="E913" i="6"/>
  <c r="F913" i="6"/>
  <c r="G913" i="6"/>
  <c r="H913" i="6"/>
  <c r="I913" i="6"/>
  <c r="J913" i="6"/>
  <c r="K913" i="6"/>
  <c r="L913" i="6"/>
  <c r="M913" i="6"/>
  <c r="N913" i="6"/>
  <c r="O913" i="6"/>
  <c r="B914" i="6"/>
  <c r="C914" i="6"/>
  <c r="D914" i="6"/>
  <c r="E914" i="6"/>
  <c r="F914" i="6"/>
  <c r="G914" i="6"/>
  <c r="H914" i="6"/>
  <c r="I914" i="6"/>
  <c r="J914" i="6"/>
  <c r="K914" i="6"/>
  <c r="L914" i="6"/>
  <c r="M914" i="6"/>
  <c r="N914" i="6"/>
  <c r="O914" i="6"/>
  <c r="B915" i="6"/>
  <c r="C915" i="6"/>
  <c r="D915" i="6"/>
  <c r="E915" i="6"/>
  <c r="F915" i="6"/>
  <c r="G915" i="6"/>
  <c r="H915" i="6"/>
  <c r="I915" i="6"/>
  <c r="J915" i="6"/>
  <c r="K915" i="6"/>
  <c r="L915" i="6"/>
  <c r="M915" i="6"/>
  <c r="N915" i="6"/>
  <c r="O915" i="6"/>
  <c r="B916" i="6"/>
  <c r="C916" i="6"/>
  <c r="D916" i="6"/>
  <c r="E916" i="6"/>
  <c r="F916" i="6"/>
  <c r="G916" i="6"/>
  <c r="H916" i="6"/>
  <c r="I916" i="6"/>
  <c r="J916" i="6"/>
  <c r="K916" i="6"/>
  <c r="L916" i="6"/>
  <c r="M916" i="6"/>
  <c r="N916" i="6"/>
  <c r="O916" i="6"/>
  <c r="B917" i="6"/>
  <c r="C917" i="6"/>
  <c r="D917" i="6"/>
  <c r="E917" i="6"/>
  <c r="F917" i="6"/>
  <c r="G917" i="6"/>
  <c r="H917" i="6"/>
  <c r="I917" i="6"/>
  <c r="J917" i="6"/>
  <c r="K917" i="6"/>
  <c r="L917" i="6"/>
  <c r="M917" i="6"/>
  <c r="N917" i="6"/>
  <c r="O917" i="6"/>
  <c r="B918" i="6"/>
  <c r="C918" i="6"/>
  <c r="D918" i="6"/>
  <c r="E918" i="6"/>
  <c r="F918" i="6"/>
  <c r="G918" i="6"/>
  <c r="H918" i="6"/>
  <c r="I918" i="6"/>
  <c r="J918" i="6"/>
  <c r="K918" i="6"/>
  <c r="L918" i="6"/>
  <c r="M918" i="6"/>
  <c r="N918" i="6"/>
  <c r="O918" i="6"/>
  <c r="B919" i="6"/>
  <c r="C919" i="6"/>
  <c r="D919" i="6"/>
  <c r="E919" i="6"/>
  <c r="F919" i="6"/>
  <c r="G919" i="6"/>
  <c r="H919" i="6"/>
  <c r="I919" i="6"/>
  <c r="J919" i="6"/>
  <c r="K919" i="6"/>
  <c r="L919" i="6"/>
  <c r="M919" i="6"/>
  <c r="N919" i="6"/>
  <c r="O919" i="6"/>
  <c r="B920" i="6"/>
  <c r="C920" i="6"/>
  <c r="D920" i="6"/>
  <c r="E920" i="6"/>
  <c r="F920" i="6"/>
  <c r="G920" i="6"/>
  <c r="H920" i="6"/>
  <c r="I920" i="6"/>
  <c r="J920" i="6"/>
  <c r="K920" i="6"/>
  <c r="L920" i="6"/>
  <c r="M920" i="6"/>
  <c r="N920" i="6"/>
  <c r="O920" i="6"/>
  <c r="B921" i="6"/>
  <c r="C921" i="6"/>
  <c r="D921" i="6"/>
  <c r="E921" i="6"/>
  <c r="F921" i="6"/>
  <c r="G921" i="6"/>
  <c r="H921" i="6"/>
  <c r="I921" i="6"/>
  <c r="J921" i="6"/>
  <c r="K921" i="6"/>
  <c r="L921" i="6"/>
  <c r="M921" i="6"/>
  <c r="N921" i="6"/>
  <c r="O921" i="6"/>
  <c r="B922" i="6"/>
  <c r="C922" i="6"/>
  <c r="D922" i="6"/>
  <c r="E922" i="6"/>
  <c r="F922" i="6"/>
  <c r="G922" i="6"/>
  <c r="H922" i="6"/>
  <c r="I922" i="6"/>
  <c r="J922" i="6"/>
  <c r="K922" i="6"/>
  <c r="L922" i="6"/>
  <c r="M922" i="6"/>
  <c r="N922" i="6"/>
  <c r="O922" i="6"/>
  <c r="B923" i="6"/>
  <c r="C923" i="6"/>
  <c r="D923" i="6"/>
  <c r="E923" i="6"/>
  <c r="F923" i="6"/>
  <c r="G923" i="6"/>
  <c r="H923" i="6"/>
  <c r="I923" i="6"/>
  <c r="J923" i="6"/>
  <c r="K923" i="6"/>
  <c r="L923" i="6"/>
  <c r="M923" i="6"/>
  <c r="N923" i="6"/>
  <c r="O923" i="6"/>
  <c r="B924" i="6"/>
  <c r="C924" i="6"/>
  <c r="D924" i="6"/>
  <c r="E924" i="6"/>
  <c r="F924" i="6"/>
  <c r="G924" i="6"/>
  <c r="H924" i="6"/>
  <c r="I924" i="6"/>
  <c r="J924" i="6"/>
  <c r="K924" i="6"/>
  <c r="L924" i="6"/>
  <c r="M924" i="6"/>
  <c r="N924" i="6"/>
  <c r="O924" i="6"/>
  <c r="B925" i="6"/>
  <c r="C925" i="6"/>
  <c r="D925" i="6"/>
  <c r="E925" i="6"/>
  <c r="F925" i="6"/>
  <c r="G925" i="6"/>
  <c r="H925" i="6"/>
  <c r="I925" i="6"/>
  <c r="J925" i="6"/>
  <c r="K925" i="6"/>
  <c r="L925" i="6"/>
  <c r="M925" i="6"/>
  <c r="N925" i="6"/>
  <c r="O925" i="6"/>
  <c r="B926" i="6"/>
  <c r="C926" i="6"/>
  <c r="D926" i="6"/>
  <c r="E926" i="6"/>
  <c r="F926" i="6"/>
  <c r="G926" i="6"/>
  <c r="H926" i="6"/>
  <c r="I926" i="6"/>
  <c r="J926" i="6"/>
  <c r="K926" i="6"/>
  <c r="L926" i="6"/>
  <c r="M926" i="6"/>
  <c r="N926" i="6"/>
  <c r="O926" i="6"/>
  <c r="B927" i="6"/>
  <c r="C927" i="6"/>
  <c r="D927" i="6"/>
  <c r="E927" i="6"/>
  <c r="F927" i="6"/>
  <c r="G927" i="6"/>
  <c r="H927" i="6"/>
  <c r="I927" i="6"/>
  <c r="J927" i="6"/>
  <c r="K927" i="6"/>
  <c r="L927" i="6"/>
  <c r="M927" i="6"/>
  <c r="N927" i="6"/>
  <c r="O927" i="6"/>
  <c r="B928" i="6"/>
  <c r="C928" i="6"/>
  <c r="D928" i="6"/>
  <c r="E928" i="6"/>
  <c r="F928" i="6"/>
  <c r="G928" i="6"/>
  <c r="H928" i="6"/>
  <c r="I928" i="6"/>
  <c r="J928" i="6"/>
  <c r="K928" i="6"/>
  <c r="L928" i="6"/>
  <c r="M928" i="6"/>
  <c r="N928" i="6"/>
  <c r="O928" i="6"/>
  <c r="B929" i="6"/>
  <c r="C929" i="6"/>
  <c r="D929" i="6"/>
  <c r="E929" i="6"/>
  <c r="F929" i="6"/>
  <c r="G929" i="6"/>
  <c r="H929" i="6"/>
  <c r="I929" i="6"/>
  <c r="J929" i="6"/>
  <c r="K929" i="6"/>
  <c r="L929" i="6"/>
  <c r="M929" i="6"/>
  <c r="N929" i="6"/>
  <c r="O929" i="6"/>
  <c r="B930" i="6"/>
  <c r="C930" i="6"/>
  <c r="D930" i="6"/>
  <c r="E930" i="6"/>
  <c r="F930" i="6"/>
  <c r="G930" i="6"/>
  <c r="H930" i="6"/>
  <c r="I930" i="6"/>
  <c r="J930" i="6"/>
  <c r="K930" i="6"/>
  <c r="L930" i="6"/>
  <c r="M930" i="6"/>
  <c r="N930" i="6"/>
  <c r="O930" i="6"/>
  <c r="B931" i="6"/>
  <c r="C931" i="6"/>
  <c r="D931" i="6"/>
  <c r="E931" i="6"/>
  <c r="F931" i="6"/>
  <c r="G931" i="6"/>
  <c r="H931" i="6"/>
  <c r="I931" i="6"/>
  <c r="J931" i="6"/>
  <c r="K931" i="6"/>
  <c r="L931" i="6"/>
  <c r="M931" i="6"/>
  <c r="N931" i="6"/>
  <c r="O931" i="6"/>
  <c r="B932" i="6"/>
  <c r="C932" i="6"/>
  <c r="D932" i="6"/>
  <c r="E932" i="6"/>
  <c r="F932" i="6"/>
  <c r="G932" i="6"/>
  <c r="H932" i="6"/>
  <c r="I932" i="6"/>
  <c r="J932" i="6"/>
  <c r="K932" i="6"/>
  <c r="L932" i="6"/>
  <c r="M932" i="6"/>
  <c r="N932" i="6"/>
  <c r="O932" i="6"/>
  <c r="B933" i="6"/>
  <c r="C933" i="6"/>
  <c r="D933" i="6"/>
  <c r="E933" i="6"/>
  <c r="F933" i="6"/>
  <c r="G933" i="6"/>
  <c r="H933" i="6"/>
  <c r="I933" i="6"/>
  <c r="J933" i="6"/>
  <c r="K933" i="6"/>
  <c r="L933" i="6"/>
  <c r="M933" i="6"/>
  <c r="N933" i="6"/>
  <c r="O933" i="6"/>
  <c r="B934" i="6"/>
  <c r="C934" i="6"/>
  <c r="D934" i="6"/>
  <c r="E934" i="6"/>
  <c r="F934" i="6"/>
  <c r="G934" i="6"/>
  <c r="H934" i="6"/>
  <c r="I934" i="6"/>
  <c r="J934" i="6"/>
  <c r="K934" i="6"/>
  <c r="L934" i="6"/>
  <c r="M934" i="6"/>
  <c r="N934" i="6"/>
  <c r="O934" i="6"/>
  <c r="B935" i="6"/>
  <c r="C935" i="6"/>
  <c r="D935" i="6"/>
  <c r="E935" i="6"/>
  <c r="F935" i="6"/>
  <c r="G935" i="6"/>
  <c r="H935" i="6"/>
  <c r="I935" i="6"/>
  <c r="J935" i="6"/>
  <c r="K935" i="6"/>
  <c r="L935" i="6"/>
  <c r="M935" i="6"/>
  <c r="N935" i="6"/>
  <c r="O935" i="6"/>
  <c r="B936" i="6"/>
  <c r="C936" i="6"/>
  <c r="D936" i="6"/>
  <c r="E936" i="6"/>
  <c r="F936" i="6"/>
  <c r="G936" i="6"/>
  <c r="H936" i="6"/>
  <c r="I936" i="6"/>
  <c r="J936" i="6"/>
  <c r="K936" i="6"/>
  <c r="L936" i="6"/>
  <c r="M936" i="6"/>
  <c r="N936" i="6"/>
  <c r="O936" i="6"/>
  <c r="B937" i="6"/>
  <c r="C937" i="6"/>
  <c r="D937" i="6"/>
  <c r="E937" i="6"/>
  <c r="F937" i="6"/>
  <c r="G937" i="6"/>
  <c r="H937" i="6"/>
  <c r="I937" i="6"/>
  <c r="J937" i="6"/>
  <c r="K937" i="6"/>
  <c r="L937" i="6"/>
  <c r="M937" i="6"/>
  <c r="N937" i="6"/>
  <c r="O937" i="6"/>
  <c r="B938" i="6"/>
  <c r="C938" i="6"/>
  <c r="D938" i="6"/>
  <c r="E938" i="6"/>
  <c r="F938" i="6"/>
  <c r="G938" i="6"/>
  <c r="H938" i="6"/>
  <c r="I938" i="6"/>
  <c r="J938" i="6"/>
  <c r="K938" i="6"/>
  <c r="L938" i="6"/>
  <c r="M938" i="6"/>
  <c r="N938" i="6"/>
  <c r="O938" i="6"/>
  <c r="B939" i="6"/>
  <c r="C939" i="6"/>
  <c r="D939" i="6"/>
  <c r="E939" i="6"/>
  <c r="F939" i="6"/>
  <c r="G939" i="6"/>
  <c r="H939" i="6"/>
  <c r="I939" i="6"/>
  <c r="J939" i="6"/>
  <c r="K939" i="6"/>
  <c r="L939" i="6"/>
  <c r="M939" i="6"/>
  <c r="N939" i="6"/>
  <c r="O939" i="6"/>
  <c r="B940" i="6"/>
  <c r="C940" i="6"/>
  <c r="D940" i="6"/>
  <c r="E940" i="6"/>
  <c r="F940" i="6"/>
  <c r="G940" i="6"/>
  <c r="H940" i="6"/>
  <c r="I940" i="6"/>
  <c r="J940" i="6"/>
  <c r="K940" i="6"/>
  <c r="L940" i="6"/>
  <c r="M940" i="6"/>
  <c r="N940" i="6"/>
  <c r="O940" i="6"/>
  <c r="B941" i="6"/>
  <c r="C941" i="6"/>
  <c r="D941" i="6"/>
  <c r="E941" i="6"/>
  <c r="F941" i="6"/>
  <c r="G941" i="6"/>
  <c r="H941" i="6"/>
  <c r="I941" i="6"/>
  <c r="J941" i="6"/>
  <c r="K941" i="6"/>
  <c r="L941" i="6"/>
  <c r="M941" i="6"/>
  <c r="N941" i="6"/>
  <c r="O941" i="6"/>
  <c r="B942" i="6"/>
  <c r="C942" i="6"/>
  <c r="D942" i="6"/>
  <c r="E942" i="6"/>
  <c r="F942" i="6"/>
  <c r="G942" i="6"/>
  <c r="H942" i="6"/>
  <c r="I942" i="6"/>
  <c r="J942" i="6"/>
  <c r="K942" i="6"/>
  <c r="L942" i="6"/>
  <c r="M942" i="6"/>
  <c r="N942" i="6"/>
  <c r="O942" i="6"/>
  <c r="B943" i="6"/>
  <c r="C943" i="6"/>
  <c r="D943" i="6"/>
  <c r="E943" i="6"/>
  <c r="F943" i="6"/>
  <c r="G943" i="6"/>
  <c r="H943" i="6"/>
  <c r="I943" i="6"/>
  <c r="J943" i="6"/>
  <c r="K943" i="6"/>
  <c r="L943" i="6"/>
  <c r="M943" i="6"/>
  <c r="N943" i="6"/>
  <c r="O943" i="6"/>
  <c r="B944" i="6"/>
  <c r="C944" i="6"/>
  <c r="D944" i="6"/>
  <c r="E944" i="6"/>
  <c r="F944" i="6"/>
  <c r="G944" i="6"/>
  <c r="H944" i="6"/>
  <c r="I944" i="6"/>
  <c r="J944" i="6"/>
  <c r="K944" i="6"/>
  <c r="L944" i="6"/>
  <c r="M944" i="6"/>
  <c r="N944" i="6"/>
  <c r="O944" i="6"/>
  <c r="B945" i="6"/>
  <c r="C945" i="6"/>
  <c r="D945" i="6"/>
  <c r="E945" i="6"/>
  <c r="F945" i="6"/>
  <c r="G945" i="6"/>
  <c r="H945" i="6"/>
  <c r="I945" i="6"/>
  <c r="J945" i="6"/>
  <c r="K945" i="6"/>
  <c r="L945" i="6"/>
  <c r="M945" i="6"/>
  <c r="N945" i="6"/>
  <c r="O945" i="6"/>
  <c r="B946" i="6"/>
  <c r="C946" i="6"/>
  <c r="D946" i="6"/>
  <c r="E946" i="6"/>
  <c r="F946" i="6"/>
  <c r="G946" i="6"/>
  <c r="H946" i="6"/>
  <c r="I946" i="6"/>
  <c r="J946" i="6"/>
  <c r="K946" i="6"/>
  <c r="L946" i="6"/>
  <c r="M946" i="6"/>
  <c r="N946" i="6"/>
  <c r="O946" i="6"/>
  <c r="B947" i="6"/>
  <c r="C947" i="6"/>
  <c r="D947" i="6"/>
  <c r="E947" i="6"/>
  <c r="F947" i="6"/>
  <c r="G947" i="6"/>
  <c r="H947" i="6"/>
  <c r="I947" i="6"/>
  <c r="J947" i="6"/>
  <c r="K947" i="6"/>
  <c r="L947" i="6"/>
  <c r="M947" i="6"/>
  <c r="N947" i="6"/>
  <c r="O947" i="6"/>
  <c r="B948" i="6"/>
  <c r="C948" i="6"/>
  <c r="D948" i="6"/>
  <c r="E948" i="6"/>
  <c r="F948" i="6"/>
  <c r="G948" i="6"/>
  <c r="H948" i="6"/>
  <c r="I948" i="6"/>
  <c r="J948" i="6"/>
  <c r="K948" i="6"/>
  <c r="L948" i="6"/>
  <c r="M948" i="6"/>
  <c r="N948" i="6"/>
  <c r="O948" i="6"/>
  <c r="B949" i="6"/>
  <c r="C949" i="6"/>
  <c r="D949" i="6"/>
  <c r="E949" i="6"/>
  <c r="F949" i="6"/>
  <c r="G949" i="6"/>
  <c r="H949" i="6"/>
  <c r="I949" i="6"/>
  <c r="J949" i="6"/>
  <c r="K949" i="6"/>
  <c r="L949" i="6"/>
  <c r="M949" i="6"/>
  <c r="N949" i="6"/>
  <c r="O949" i="6"/>
  <c r="B950" i="6"/>
  <c r="C950" i="6"/>
  <c r="D950" i="6"/>
  <c r="E950" i="6"/>
  <c r="F950" i="6"/>
  <c r="G950" i="6"/>
  <c r="H950" i="6"/>
  <c r="I950" i="6"/>
  <c r="J950" i="6"/>
  <c r="K950" i="6"/>
  <c r="L950" i="6"/>
  <c r="M950" i="6"/>
  <c r="N950" i="6"/>
  <c r="O950" i="6"/>
  <c r="B951" i="6"/>
  <c r="C951" i="6"/>
  <c r="D951" i="6"/>
  <c r="E951" i="6"/>
  <c r="F951" i="6"/>
  <c r="G951" i="6"/>
  <c r="H951" i="6"/>
  <c r="I951" i="6"/>
  <c r="J951" i="6"/>
  <c r="K951" i="6"/>
  <c r="L951" i="6"/>
  <c r="M951" i="6"/>
  <c r="N951" i="6"/>
  <c r="O951" i="6"/>
  <c r="B952" i="6"/>
  <c r="C952" i="6"/>
  <c r="D952" i="6"/>
  <c r="E952" i="6"/>
  <c r="F952" i="6"/>
  <c r="G952" i="6"/>
  <c r="H952" i="6"/>
  <c r="I952" i="6"/>
  <c r="J952" i="6"/>
  <c r="K952" i="6"/>
  <c r="L952" i="6"/>
  <c r="M952" i="6"/>
  <c r="N952" i="6"/>
  <c r="O952" i="6"/>
  <c r="B953" i="6"/>
  <c r="C953" i="6"/>
  <c r="D953" i="6"/>
  <c r="E953" i="6"/>
  <c r="F953" i="6"/>
  <c r="G953" i="6"/>
  <c r="H953" i="6"/>
  <c r="I953" i="6"/>
  <c r="J953" i="6"/>
  <c r="K953" i="6"/>
  <c r="L953" i="6"/>
  <c r="M953" i="6"/>
  <c r="N953" i="6"/>
  <c r="O953" i="6"/>
  <c r="B954" i="6"/>
  <c r="C954" i="6"/>
  <c r="D954" i="6"/>
  <c r="E954" i="6"/>
  <c r="F954" i="6"/>
  <c r="G954" i="6"/>
  <c r="H954" i="6"/>
  <c r="I954" i="6"/>
  <c r="J954" i="6"/>
  <c r="K954" i="6"/>
  <c r="L954" i="6"/>
  <c r="M954" i="6"/>
  <c r="N954" i="6"/>
  <c r="O954" i="6"/>
  <c r="B955" i="6"/>
  <c r="C955" i="6"/>
  <c r="D955" i="6"/>
  <c r="E955" i="6"/>
  <c r="F955" i="6"/>
  <c r="G955" i="6"/>
  <c r="H955" i="6"/>
  <c r="I955" i="6"/>
  <c r="J955" i="6"/>
  <c r="K955" i="6"/>
  <c r="L955" i="6"/>
  <c r="M955" i="6"/>
  <c r="N955" i="6"/>
  <c r="O955" i="6"/>
  <c r="B956" i="6"/>
  <c r="C956" i="6"/>
  <c r="D956" i="6"/>
  <c r="E956" i="6"/>
  <c r="F956" i="6"/>
  <c r="G956" i="6"/>
  <c r="H956" i="6"/>
  <c r="I956" i="6"/>
  <c r="J956" i="6"/>
  <c r="K956" i="6"/>
  <c r="L956" i="6"/>
  <c r="M956" i="6"/>
  <c r="N956" i="6"/>
  <c r="O956" i="6"/>
  <c r="B957" i="6"/>
  <c r="C957" i="6"/>
  <c r="D957" i="6"/>
  <c r="E957" i="6"/>
  <c r="F957" i="6"/>
  <c r="G957" i="6"/>
  <c r="H957" i="6"/>
  <c r="I957" i="6"/>
  <c r="J957" i="6"/>
  <c r="K957" i="6"/>
  <c r="L957" i="6"/>
  <c r="M957" i="6"/>
  <c r="N957" i="6"/>
  <c r="O957" i="6"/>
  <c r="B958" i="6"/>
  <c r="C958" i="6"/>
  <c r="D958" i="6"/>
  <c r="E958" i="6"/>
  <c r="F958" i="6"/>
  <c r="G958" i="6"/>
  <c r="H958" i="6"/>
  <c r="I958" i="6"/>
  <c r="J958" i="6"/>
  <c r="K958" i="6"/>
  <c r="L958" i="6"/>
  <c r="M958" i="6"/>
  <c r="N958" i="6"/>
  <c r="O958" i="6"/>
  <c r="B959" i="6"/>
  <c r="C959" i="6"/>
  <c r="D959" i="6"/>
  <c r="E959" i="6"/>
  <c r="F959" i="6"/>
  <c r="G959" i="6"/>
  <c r="H959" i="6"/>
  <c r="I959" i="6"/>
  <c r="J959" i="6"/>
  <c r="K959" i="6"/>
  <c r="L959" i="6"/>
  <c r="M959" i="6"/>
  <c r="N959" i="6"/>
  <c r="O959" i="6"/>
  <c r="B960" i="6"/>
  <c r="C960" i="6"/>
  <c r="D960" i="6"/>
  <c r="E960" i="6"/>
  <c r="F960" i="6"/>
  <c r="G960" i="6"/>
  <c r="H960" i="6"/>
  <c r="I960" i="6"/>
  <c r="J960" i="6"/>
  <c r="K960" i="6"/>
  <c r="L960" i="6"/>
  <c r="M960" i="6"/>
  <c r="N960" i="6"/>
  <c r="O960" i="6"/>
  <c r="B961" i="6"/>
  <c r="C961" i="6"/>
  <c r="D961" i="6"/>
  <c r="E961" i="6"/>
  <c r="F961" i="6"/>
  <c r="G961" i="6"/>
  <c r="H961" i="6"/>
  <c r="I961" i="6"/>
  <c r="J961" i="6"/>
  <c r="K961" i="6"/>
  <c r="L961" i="6"/>
  <c r="M961" i="6"/>
  <c r="N961" i="6"/>
  <c r="O961" i="6"/>
  <c r="B962" i="6"/>
  <c r="C962" i="6"/>
  <c r="D962" i="6"/>
  <c r="E962" i="6"/>
  <c r="F962" i="6"/>
  <c r="G962" i="6"/>
  <c r="H962" i="6"/>
  <c r="I962" i="6"/>
  <c r="J962" i="6"/>
  <c r="K962" i="6"/>
  <c r="L962" i="6"/>
  <c r="M962" i="6"/>
  <c r="N962" i="6"/>
  <c r="O962" i="6"/>
  <c r="B963" i="6"/>
  <c r="C963" i="6"/>
  <c r="D963" i="6"/>
  <c r="E963" i="6"/>
  <c r="F963" i="6"/>
  <c r="G963" i="6"/>
  <c r="H963" i="6"/>
  <c r="I963" i="6"/>
  <c r="J963" i="6"/>
  <c r="K963" i="6"/>
  <c r="L963" i="6"/>
  <c r="M963" i="6"/>
  <c r="N963" i="6"/>
  <c r="O963" i="6"/>
  <c r="B964" i="6"/>
  <c r="C964" i="6"/>
  <c r="D964" i="6"/>
  <c r="E964" i="6"/>
  <c r="F964" i="6"/>
  <c r="G964" i="6"/>
  <c r="H964" i="6"/>
  <c r="I964" i="6"/>
  <c r="J964" i="6"/>
  <c r="K964" i="6"/>
  <c r="L964" i="6"/>
  <c r="M964" i="6"/>
  <c r="N964" i="6"/>
  <c r="O964" i="6"/>
  <c r="B965" i="6"/>
  <c r="C965" i="6"/>
  <c r="D965" i="6"/>
  <c r="E965" i="6"/>
  <c r="F965" i="6"/>
  <c r="G965" i="6"/>
  <c r="H965" i="6"/>
  <c r="I965" i="6"/>
  <c r="J965" i="6"/>
  <c r="K965" i="6"/>
  <c r="L965" i="6"/>
  <c r="M965" i="6"/>
  <c r="N965" i="6"/>
  <c r="O965" i="6"/>
  <c r="B966" i="6"/>
  <c r="C966" i="6"/>
  <c r="D966" i="6"/>
  <c r="E966" i="6"/>
  <c r="F966" i="6"/>
  <c r="G966" i="6"/>
  <c r="H966" i="6"/>
  <c r="I966" i="6"/>
  <c r="J966" i="6"/>
  <c r="K966" i="6"/>
  <c r="L966" i="6"/>
  <c r="M966" i="6"/>
  <c r="N966" i="6"/>
  <c r="O966" i="6"/>
  <c r="B967" i="6"/>
  <c r="C967" i="6"/>
  <c r="D967" i="6"/>
  <c r="E967" i="6"/>
  <c r="F967" i="6"/>
  <c r="G967" i="6"/>
  <c r="H967" i="6"/>
  <c r="I967" i="6"/>
  <c r="J967" i="6"/>
  <c r="K967" i="6"/>
  <c r="L967" i="6"/>
  <c r="M967" i="6"/>
  <c r="N967" i="6"/>
  <c r="O967" i="6"/>
  <c r="B968" i="6"/>
  <c r="C968" i="6"/>
  <c r="D968" i="6"/>
  <c r="E968" i="6"/>
  <c r="F968" i="6"/>
  <c r="G968" i="6"/>
  <c r="H968" i="6"/>
  <c r="I968" i="6"/>
  <c r="J968" i="6"/>
  <c r="K968" i="6"/>
  <c r="L968" i="6"/>
  <c r="M968" i="6"/>
  <c r="N968" i="6"/>
  <c r="O968" i="6"/>
  <c r="B969" i="6"/>
  <c r="C969" i="6"/>
  <c r="D969" i="6"/>
  <c r="E969" i="6"/>
  <c r="F969" i="6"/>
  <c r="G969" i="6"/>
  <c r="H969" i="6"/>
  <c r="I969" i="6"/>
  <c r="J969" i="6"/>
  <c r="K969" i="6"/>
  <c r="L969" i="6"/>
  <c r="M969" i="6"/>
  <c r="N969" i="6"/>
  <c r="O969" i="6"/>
  <c r="B970" i="6"/>
  <c r="C970" i="6"/>
  <c r="D970" i="6"/>
  <c r="E970" i="6"/>
  <c r="F970" i="6"/>
  <c r="G970" i="6"/>
  <c r="H970" i="6"/>
  <c r="I970" i="6"/>
  <c r="J970" i="6"/>
  <c r="K970" i="6"/>
  <c r="L970" i="6"/>
  <c r="M970" i="6"/>
  <c r="N970" i="6"/>
  <c r="O970" i="6"/>
  <c r="B971" i="6"/>
  <c r="C971" i="6"/>
  <c r="D971" i="6"/>
  <c r="E971" i="6"/>
  <c r="F971" i="6"/>
  <c r="G971" i="6"/>
  <c r="H971" i="6"/>
  <c r="I971" i="6"/>
  <c r="J971" i="6"/>
  <c r="K971" i="6"/>
  <c r="L971" i="6"/>
  <c r="M971" i="6"/>
  <c r="N971" i="6"/>
  <c r="O971" i="6"/>
  <c r="B972" i="6"/>
  <c r="C972" i="6"/>
  <c r="D972" i="6"/>
  <c r="E972" i="6"/>
  <c r="F972" i="6"/>
  <c r="G972" i="6"/>
  <c r="H972" i="6"/>
  <c r="I972" i="6"/>
  <c r="J972" i="6"/>
  <c r="K972" i="6"/>
  <c r="L972" i="6"/>
  <c r="M972" i="6"/>
  <c r="N972" i="6"/>
  <c r="O972" i="6"/>
  <c r="B973" i="6"/>
  <c r="C973" i="6"/>
  <c r="D973" i="6"/>
  <c r="E973" i="6"/>
  <c r="F973" i="6"/>
  <c r="G973" i="6"/>
  <c r="H973" i="6"/>
  <c r="I973" i="6"/>
  <c r="J973" i="6"/>
  <c r="K973" i="6"/>
  <c r="L973" i="6"/>
  <c r="M973" i="6"/>
  <c r="N973" i="6"/>
  <c r="O973" i="6"/>
  <c r="B974" i="6"/>
  <c r="C974" i="6"/>
  <c r="D974" i="6"/>
  <c r="E974" i="6"/>
  <c r="F974" i="6"/>
  <c r="G974" i="6"/>
  <c r="H974" i="6"/>
  <c r="I974" i="6"/>
  <c r="J974" i="6"/>
  <c r="K974" i="6"/>
  <c r="L974" i="6"/>
  <c r="M974" i="6"/>
  <c r="N974" i="6"/>
  <c r="O974" i="6"/>
  <c r="B975" i="6"/>
  <c r="C975" i="6"/>
  <c r="D975" i="6"/>
  <c r="E975" i="6"/>
  <c r="F975" i="6"/>
  <c r="G975" i="6"/>
  <c r="H975" i="6"/>
  <c r="I975" i="6"/>
  <c r="J975" i="6"/>
  <c r="K975" i="6"/>
  <c r="L975" i="6"/>
  <c r="M975" i="6"/>
  <c r="N975" i="6"/>
  <c r="O975" i="6"/>
  <c r="B976" i="6"/>
  <c r="C976" i="6"/>
  <c r="D976" i="6"/>
  <c r="E976" i="6"/>
  <c r="F976" i="6"/>
  <c r="G976" i="6"/>
  <c r="H976" i="6"/>
  <c r="I976" i="6"/>
  <c r="J976" i="6"/>
  <c r="K976" i="6"/>
  <c r="L976" i="6"/>
  <c r="M976" i="6"/>
  <c r="N976" i="6"/>
  <c r="O976" i="6"/>
  <c r="B977" i="6"/>
  <c r="C977" i="6"/>
  <c r="D977" i="6"/>
  <c r="E977" i="6"/>
  <c r="F977" i="6"/>
  <c r="G977" i="6"/>
  <c r="H977" i="6"/>
  <c r="I977" i="6"/>
  <c r="J977" i="6"/>
  <c r="K977" i="6"/>
  <c r="L977" i="6"/>
  <c r="M977" i="6"/>
  <c r="N977" i="6"/>
  <c r="O977" i="6"/>
  <c r="B978" i="6"/>
  <c r="C978" i="6"/>
  <c r="D978" i="6"/>
  <c r="E978" i="6"/>
  <c r="F978" i="6"/>
  <c r="G978" i="6"/>
  <c r="H978" i="6"/>
  <c r="I978" i="6"/>
  <c r="J978" i="6"/>
  <c r="K978" i="6"/>
  <c r="L978" i="6"/>
  <c r="M978" i="6"/>
  <c r="N978" i="6"/>
  <c r="O978" i="6"/>
  <c r="B979" i="6"/>
  <c r="C979" i="6"/>
  <c r="D979" i="6"/>
  <c r="E979" i="6"/>
  <c r="F979" i="6"/>
  <c r="G979" i="6"/>
  <c r="H979" i="6"/>
  <c r="I979" i="6"/>
  <c r="J979" i="6"/>
  <c r="K979" i="6"/>
  <c r="L979" i="6"/>
  <c r="M979" i="6"/>
  <c r="N979" i="6"/>
  <c r="O979" i="6"/>
  <c r="B980" i="6"/>
  <c r="C980" i="6"/>
  <c r="D980" i="6"/>
  <c r="E980" i="6"/>
  <c r="F980" i="6"/>
  <c r="G980" i="6"/>
  <c r="H980" i="6"/>
  <c r="I980" i="6"/>
  <c r="J980" i="6"/>
  <c r="K980" i="6"/>
  <c r="L980" i="6"/>
  <c r="M980" i="6"/>
  <c r="N980" i="6"/>
  <c r="O980" i="6"/>
  <c r="B981" i="6"/>
  <c r="C981" i="6"/>
  <c r="D981" i="6"/>
  <c r="E981" i="6"/>
  <c r="F981" i="6"/>
  <c r="G981" i="6"/>
  <c r="H981" i="6"/>
  <c r="I981" i="6"/>
  <c r="J981" i="6"/>
  <c r="K981" i="6"/>
  <c r="L981" i="6"/>
  <c r="M981" i="6"/>
  <c r="N981" i="6"/>
  <c r="O981" i="6"/>
  <c r="B982" i="6"/>
  <c r="C982" i="6"/>
  <c r="D982" i="6"/>
  <c r="E982" i="6"/>
  <c r="F982" i="6"/>
  <c r="G982" i="6"/>
  <c r="H982" i="6"/>
  <c r="I982" i="6"/>
  <c r="J982" i="6"/>
  <c r="K982" i="6"/>
  <c r="L982" i="6"/>
  <c r="M982" i="6"/>
  <c r="N982" i="6"/>
  <c r="O982" i="6"/>
  <c r="B983" i="6"/>
  <c r="C983" i="6"/>
  <c r="D983" i="6"/>
  <c r="E983" i="6"/>
  <c r="F983" i="6"/>
  <c r="G983" i="6"/>
  <c r="H983" i="6"/>
  <c r="I983" i="6"/>
  <c r="J983" i="6"/>
  <c r="K983" i="6"/>
  <c r="L983" i="6"/>
  <c r="M983" i="6"/>
  <c r="N983" i="6"/>
  <c r="O983" i="6"/>
  <c r="B984" i="6"/>
  <c r="C984" i="6"/>
  <c r="D984" i="6"/>
  <c r="E984" i="6"/>
  <c r="F984" i="6"/>
  <c r="G984" i="6"/>
  <c r="H984" i="6"/>
  <c r="I984" i="6"/>
  <c r="J984" i="6"/>
  <c r="K984" i="6"/>
  <c r="L984" i="6"/>
  <c r="M984" i="6"/>
  <c r="N984" i="6"/>
  <c r="O984" i="6"/>
  <c r="B985" i="6"/>
  <c r="C985" i="6"/>
  <c r="D985" i="6"/>
  <c r="E985" i="6"/>
  <c r="F985" i="6"/>
  <c r="G985" i="6"/>
  <c r="H985" i="6"/>
  <c r="I985" i="6"/>
  <c r="J985" i="6"/>
  <c r="K985" i="6"/>
  <c r="L985" i="6"/>
  <c r="M985" i="6"/>
  <c r="N985" i="6"/>
  <c r="O985" i="6"/>
  <c r="B986" i="6"/>
  <c r="C986" i="6"/>
  <c r="D986" i="6"/>
  <c r="E986" i="6"/>
  <c r="F986" i="6"/>
  <c r="G986" i="6"/>
  <c r="H986" i="6"/>
  <c r="I986" i="6"/>
  <c r="J986" i="6"/>
  <c r="K986" i="6"/>
  <c r="L986" i="6"/>
  <c r="M986" i="6"/>
  <c r="N986" i="6"/>
  <c r="O986" i="6"/>
  <c r="B987" i="6"/>
  <c r="C987" i="6"/>
  <c r="D987" i="6"/>
  <c r="E987" i="6"/>
  <c r="F987" i="6"/>
  <c r="G987" i="6"/>
  <c r="H987" i="6"/>
  <c r="I987" i="6"/>
  <c r="J987" i="6"/>
  <c r="K987" i="6"/>
  <c r="L987" i="6"/>
  <c r="M987" i="6"/>
  <c r="N987" i="6"/>
  <c r="O987" i="6"/>
  <c r="B988" i="6"/>
  <c r="C988" i="6"/>
  <c r="D988" i="6"/>
  <c r="E988" i="6"/>
  <c r="F988" i="6"/>
  <c r="G988" i="6"/>
  <c r="H988" i="6"/>
  <c r="I988" i="6"/>
  <c r="J988" i="6"/>
  <c r="K988" i="6"/>
  <c r="L988" i="6"/>
  <c r="M988" i="6"/>
  <c r="N988" i="6"/>
  <c r="O988" i="6"/>
  <c r="B989" i="6"/>
  <c r="C989" i="6"/>
  <c r="D989" i="6"/>
  <c r="E989" i="6"/>
  <c r="F989" i="6"/>
  <c r="G989" i="6"/>
  <c r="H989" i="6"/>
  <c r="I989" i="6"/>
  <c r="J989" i="6"/>
  <c r="K989" i="6"/>
  <c r="L989" i="6"/>
  <c r="M989" i="6"/>
  <c r="N989" i="6"/>
  <c r="O989" i="6"/>
  <c r="B990" i="6"/>
  <c r="C990" i="6"/>
  <c r="D990" i="6"/>
  <c r="E990" i="6"/>
  <c r="F990" i="6"/>
  <c r="G990" i="6"/>
  <c r="H990" i="6"/>
  <c r="I990" i="6"/>
  <c r="J990" i="6"/>
  <c r="K990" i="6"/>
  <c r="L990" i="6"/>
  <c r="M990" i="6"/>
  <c r="N990" i="6"/>
  <c r="O990" i="6"/>
  <c r="B991" i="6"/>
  <c r="C991" i="6"/>
  <c r="D991" i="6"/>
  <c r="E991" i="6"/>
  <c r="F991" i="6"/>
  <c r="G991" i="6"/>
  <c r="H991" i="6"/>
  <c r="I991" i="6"/>
  <c r="J991" i="6"/>
  <c r="K991" i="6"/>
  <c r="L991" i="6"/>
  <c r="M991" i="6"/>
  <c r="N991" i="6"/>
  <c r="O991" i="6"/>
  <c r="B992" i="6"/>
  <c r="C992" i="6"/>
  <c r="D992" i="6"/>
  <c r="E992" i="6"/>
  <c r="F992" i="6"/>
  <c r="G992" i="6"/>
  <c r="H992" i="6"/>
  <c r="I992" i="6"/>
  <c r="J992" i="6"/>
  <c r="K992" i="6"/>
  <c r="L992" i="6"/>
  <c r="M992" i="6"/>
  <c r="N992" i="6"/>
  <c r="O992" i="6"/>
  <c r="B993" i="6"/>
  <c r="C993" i="6"/>
  <c r="D993" i="6"/>
  <c r="E993" i="6"/>
  <c r="F993" i="6"/>
  <c r="G993" i="6"/>
  <c r="H993" i="6"/>
  <c r="I993" i="6"/>
  <c r="J993" i="6"/>
  <c r="K993" i="6"/>
  <c r="L993" i="6"/>
  <c r="M993" i="6"/>
  <c r="N993" i="6"/>
  <c r="O993" i="6"/>
  <c r="B994" i="6"/>
  <c r="C994" i="6"/>
  <c r="D994" i="6"/>
  <c r="E994" i="6"/>
  <c r="F994" i="6"/>
  <c r="G994" i="6"/>
  <c r="H994" i="6"/>
  <c r="I994" i="6"/>
  <c r="J994" i="6"/>
  <c r="K994" i="6"/>
  <c r="L994" i="6"/>
  <c r="M994" i="6"/>
  <c r="N994" i="6"/>
  <c r="O994" i="6"/>
  <c r="B995" i="6"/>
  <c r="C995" i="6"/>
  <c r="D995" i="6"/>
  <c r="E995" i="6"/>
  <c r="F995" i="6"/>
  <c r="G995" i="6"/>
  <c r="H995" i="6"/>
  <c r="I995" i="6"/>
  <c r="J995" i="6"/>
  <c r="K995" i="6"/>
  <c r="L995" i="6"/>
  <c r="M995" i="6"/>
  <c r="N995" i="6"/>
  <c r="O995" i="6"/>
  <c r="B996" i="6"/>
  <c r="C996" i="6"/>
  <c r="D996" i="6"/>
  <c r="E996" i="6"/>
  <c r="F996" i="6"/>
  <c r="G996" i="6"/>
  <c r="H996" i="6"/>
  <c r="I996" i="6"/>
  <c r="J996" i="6"/>
  <c r="K996" i="6"/>
  <c r="L996" i="6"/>
  <c r="M996" i="6"/>
  <c r="N996" i="6"/>
  <c r="O996" i="6"/>
  <c r="B997" i="6"/>
  <c r="C997" i="6"/>
  <c r="D997" i="6"/>
  <c r="E997" i="6"/>
  <c r="F997" i="6"/>
  <c r="G997" i="6"/>
  <c r="H997" i="6"/>
  <c r="I997" i="6"/>
  <c r="J997" i="6"/>
  <c r="K997" i="6"/>
  <c r="L997" i="6"/>
  <c r="M997" i="6"/>
  <c r="N997" i="6"/>
  <c r="O997" i="6"/>
  <c r="B998" i="6"/>
  <c r="C998" i="6"/>
  <c r="D998" i="6"/>
  <c r="E998" i="6"/>
  <c r="F998" i="6"/>
  <c r="G998" i="6"/>
  <c r="H998" i="6"/>
  <c r="I998" i="6"/>
  <c r="J998" i="6"/>
  <c r="K998" i="6"/>
  <c r="L998" i="6"/>
  <c r="M998" i="6"/>
  <c r="N998" i="6"/>
  <c r="O998" i="6"/>
  <c r="B999" i="6"/>
  <c r="C999" i="6"/>
  <c r="D999" i="6"/>
  <c r="E999" i="6"/>
  <c r="F999" i="6"/>
  <c r="G999" i="6"/>
  <c r="H999" i="6"/>
  <c r="I999" i="6"/>
  <c r="J999" i="6"/>
  <c r="K999" i="6"/>
  <c r="L999" i="6"/>
  <c r="M999" i="6"/>
  <c r="N999" i="6"/>
  <c r="O999" i="6"/>
  <c r="B1000" i="6"/>
  <c r="C1000" i="6"/>
  <c r="D1000" i="6"/>
  <c r="E1000" i="6"/>
  <c r="F1000" i="6"/>
  <c r="G1000" i="6"/>
  <c r="H1000" i="6"/>
  <c r="I1000" i="6"/>
  <c r="J1000" i="6"/>
  <c r="K1000" i="6"/>
  <c r="L1000" i="6"/>
  <c r="M1000" i="6"/>
  <c r="N1000" i="6"/>
  <c r="O1000" i="6"/>
  <c r="B1001" i="6"/>
  <c r="C1001" i="6"/>
  <c r="D1001" i="6"/>
  <c r="E1001" i="6"/>
  <c r="F1001" i="6"/>
  <c r="G1001" i="6"/>
  <c r="H1001" i="6"/>
  <c r="I1001" i="6"/>
  <c r="J1001" i="6"/>
  <c r="K1001" i="6"/>
  <c r="L1001" i="6"/>
  <c r="M1001" i="6"/>
  <c r="N1001" i="6"/>
  <c r="O1001" i="6"/>
  <c r="B1002" i="6"/>
  <c r="C1002" i="6"/>
  <c r="D1002" i="6"/>
  <c r="E1002" i="6"/>
  <c r="F1002" i="6"/>
  <c r="G1002" i="6"/>
  <c r="H1002" i="6"/>
  <c r="I1002" i="6"/>
  <c r="J1002" i="6"/>
  <c r="K1002" i="6"/>
  <c r="L1002" i="6"/>
  <c r="M1002" i="6"/>
  <c r="N1002" i="6"/>
  <c r="O1002" i="6"/>
  <c r="B1003" i="6"/>
  <c r="C1003" i="6"/>
  <c r="D1003" i="6"/>
  <c r="E1003" i="6"/>
  <c r="F1003" i="6"/>
  <c r="G1003" i="6"/>
  <c r="H1003" i="6"/>
  <c r="I1003" i="6"/>
  <c r="J1003" i="6"/>
  <c r="K1003" i="6"/>
  <c r="L1003" i="6"/>
  <c r="M1003" i="6"/>
  <c r="N1003" i="6"/>
  <c r="O1003" i="6"/>
  <c r="B1004" i="6"/>
  <c r="C1004" i="6"/>
  <c r="D1004" i="6"/>
  <c r="E1004" i="6"/>
  <c r="F1004" i="6"/>
  <c r="G1004" i="6"/>
  <c r="H1004" i="6"/>
  <c r="I1004" i="6"/>
  <c r="J1004" i="6"/>
  <c r="K1004" i="6"/>
  <c r="L1004" i="6"/>
  <c r="M1004" i="6"/>
  <c r="N1004" i="6"/>
  <c r="O1004" i="6"/>
  <c r="B1005" i="6"/>
  <c r="C1005" i="6"/>
  <c r="D1005" i="6"/>
  <c r="E1005" i="6"/>
  <c r="F1005" i="6"/>
  <c r="G1005" i="6"/>
  <c r="H1005" i="6"/>
  <c r="I1005" i="6"/>
  <c r="J1005" i="6"/>
  <c r="K1005" i="6"/>
  <c r="L1005" i="6"/>
  <c r="M1005" i="6"/>
  <c r="N1005" i="6"/>
  <c r="O1005" i="6"/>
  <c r="B1006" i="6"/>
  <c r="C1006" i="6"/>
  <c r="D1006" i="6"/>
  <c r="E1006" i="6"/>
  <c r="F1006" i="6"/>
  <c r="G1006" i="6"/>
  <c r="H1006" i="6"/>
  <c r="I1006" i="6"/>
  <c r="J1006" i="6"/>
  <c r="K1006" i="6"/>
  <c r="L1006" i="6"/>
  <c r="M1006" i="6"/>
  <c r="N1006" i="6"/>
  <c r="O1006" i="6"/>
  <c r="B1007" i="6"/>
  <c r="C1007" i="6"/>
  <c r="D1007" i="6"/>
  <c r="E1007" i="6"/>
  <c r="F1007" i="6"/>
  <c r="G1007" i="6"/>
  <c r="H1007" i="6"/>
  <c r="I1007" i="6"/>
  <c r="J1007" i="6"/>
  <c r="K1007" i="6"/>
  <c r="L1007" i="6"/>
  <c r="M1007" i="6"/>
  <c r="N1007" i="6"/>
  <c r="O1007" i="6"/>
  <c r="B1008" i="6"/>
  <c r="C1008" i="6"/>
  <c r="D1008" i="6"/>
  <c r="E1008" i="6"/>
  <c r="F1008" i="6"/>
  <c r="G1008" i="6"/>
  <c r="H1008" i="6"/>
  <c r="I1008" i="6"/>
  <c r="J1008" i="6"/>
  <c r="K1008" i="6"/>
  <c r="L1008" i="6"/>
  <c r="M1008" i="6"/>
  <c r="N1008" i="6"/>
  <c r="O1008" i="6"/>
  <c r="B1009" i="6"/>
  <c r="C1009" i="6"/>
  <c r="D1009" i="6"/>
  <c r="E1009" i="6"/>
  <c r="F1009" i="6"/>
  <c r="G1009" i="6"/>
  <c r="H1009" i="6"/>
  <c r="I1009" i="6"/>
  <c r="J1009" i="6"/>
  <c r="K1009" i="6"/>
  <c r="L1009" i="6"/>
  <c r="M1009" i="6"/>
  <c r="N1009" i="6"/>
  <c r="O1009" i="6"/>
  <c r="B1010" i="6"/>
  <c r="C1010" i="6"/>
  <c r="D1010" i="6"/>
  <c r="E1010" i="6"/>
  <c r="F1010" i="6"/>
  <c r="G1010" i="6"/>
  <c r="H1010" i="6"/>
  <c r="I1010" i="6"/>
  <c r="J1010" i="6"/>
  <c r="K1010" i="6"/>
  <c r="L1010" i="6"/>
  <c r="M1010" i="6"/>
  <c r="N1010" i="6"/>
  <c r="O1010" i="6"/>
  <c r="B1011" i="6"/>
  <c r="C1011" i="6"/>
  <c r="D1011" i="6"/>
  <c r="E1011" i="6"/>
  <c r="F1011" i="6"/>
  <c r="G1011" i="6"/>
  <c r="H1011" i="6"/>
  <c r="I1011" i="6"/>
  <c r="J1011" i="6"/>
  <c r="K1011" i="6"/>
  <c r="L1011" i="6"/>
  <c r="M1011" i="6"/>
  <c r="N1011" i="6"/>
  <c r="O1011" i="6"/>
  <c r="B1012" i="6"/>
  <c r="C1012" i="6"/>
  <c r="D1012" i="6"/>
  <c r="E1012" i="6"/>
  <c r="F1012" i="6"/>
  <c r="G1012" i="6"/>
  <c r="H1012" i="6"/>
  <c r="I1012" i="6"/>
  <c r="J1012" i="6"/>
  <c r="K1012" i="6"/>
  <c r="L1012" i="6"/>
  <c r="M1012" i="6"/>
  <c r="N1012" i="6"/>
  <c r="O1012" i="6"/>
  <c r="B1013" i="6"/>
  <c r="C1013" i="6"/>
  <c r="D1013" i="6"/>
  <c r="E1013" i="6"/>
  <c r="F1013" i="6"/>
  <c r="G1013" i="6"/>
  <c r="H1013" i="6"/>
  <c r="I1013" i="6"/>
  <c r="J1013" i="6"/>
  <c r="K1013" i="6"/>
  <c r="L1013" i="6"/>
  <c r="M1013" i="6"/>
  <c r="N1013" i="6"/>
  <c r="O1013" i="6"/>
  <c r="B1014" i="6"/>
  <c r="C1014" i="6"/>
  <c r="D1014" i="6"/>
  <c r="E1014" i="6"/>
  <c r="F1014" i="6"/>
  <c r="G1014" i="6"/>
  <c r="H1014" i="6"/>
  <c r="I1014" i="6"/>
  <c r="J1014" i="6"/>
  <c r="K1014" i="6"/>
  <c r="L1014" i="6"/>
  <c r="M1014" i="6"/>
  <c r="N1014" i="6"/>
  <c r="O1014" i="6"/>
  <c r="B1015" i="6"/>
  <c r="C1015" i="6"/>
  <c r="D1015" i="6"/>
  <c r="E1015" i="6"/>
  <c r="F1015" i="6"/>
  <c r="G1015" i="6"/>
  <c r="H1015" i="6"/>
  <c r="I1015" i="6"/>
  <c r="J1015" i="6"/>
  <c r="K1015" i="6"/>
  <c r="L1015" i="6"/>
  <c r="M1015" i="6"/>
  <c r="N1015" i="6"/>
  <c r="O1015" i="6"/>
  <c r="B1016" i="6"/>
  <c r="C1016" i="6"/>
  <c r="D1016" i="6"/>
  <c r="E1016" i="6"/>
  <c r="F1016" i="6"/>
  <c r="G1016" i="6"/>
  <c r="H1016" i="6"/>
  <c r="I1016" i="6"/>
  <c r="J1016" i="6"/>
  <c r="K1016" i="6"/>
  <c r="L1016" i="6"/>
  <c r="M1016" i="6"/>
  <c r="N1016" i="6"/>
  <c r="O1016" i="6"/>
  <c r="B1017" i="6"/>
  <c r="C1017" i="6"/>
  <c r="D1017" i="6"/>
  <c r="E1017" i="6"/>
  <c r="F1017" i="6"/>
  <c r="G1017" i="6"/>
  <c r="H1017" i="6"/>
  <c r="I1017" i="6"/>
  <c r="J1017" i="6"/>
  <c r="K1017" i="6"/>
  <c r="L1017" i="6"/>
  <c r="M1017" i="6"/>
  <c r="N1017" i="6"/>
  <c r="O1017" i="6"/>
  <c r="B1018" i="6"/>
  <c r="C1018" i="6"/>
  <c r="D1018" i="6"/>
  <c r="E1018" i="6"/>
  <c r="F1018" i="6"/>
  <c r="G1018" i="6"/>
  <c r="H1018" i="6"/>
  <c r="I1018" i="6"/>
  <c r="J1018" i="6"/>
  <c r="K1018" i="6"/>
  <c r="L1018" i="6"/>
  <c r="M1018" i="6"/>
  <c r="N1018" i="6"/>
  <c r="O1018" i="6"/>
  <c r="B1019" i="6"/>
  <c r="C1019" i="6"/>
  <c r="D1019" i="6"/>
  <c r="E1019" i="6"/>
  <c r="F1019" i="6"/>
  <c r="G1019" i="6"/>
  <c r="H1019" i="6"/>
  <c r="I1019" i="6"/>
  <c r="J1019" i="6"/>
  <c r="K1019" i="6"/>
  <c r="L1019" i="6"/>
  <c r="M1019" i="6"/>
  <c r="N1019" i="6"/>
  <c r="O1019" i="6"/>
  <c r="B1020" i="6"/>
  <c r="C1020" i="6"/>
  <c r="D1020" i="6"/>
  <c r="E1020" i="6"/>
  <c r="F1020" i="6"/>
  <c r="G1020" i="6"/>
  <c r="H1020" i="6"/>
  <c r="I1020" i="6"/>
  <c r="J1020" i="6"/>
  <c r="K1020" i="6"/>
  <c r="L1020" i="6"/>
  <c r="M1020" i="6"/>
  <c r="N1020" i="6"/>
  <c r="O1020" i="6"/>
  <c r="B1021" i="6"/>
  <c r="C1021" i="6"/>
  <c r="D1021" i="6"/>
  <c r="E1021" i="6"/>
  <c r="F1021" i="6"/>
  <c r="G1021" i="6"/>
  <c r="H1021" i="6"/>
  <c r="I1021" i="6"/>
  <c r="J1021" i="6"/>
  <c r="K1021" i="6"/>
  <c r="L1021" i="6"/>
  <c r="M1021" i="6"/>
  <c r="N1021" i="6"/>
  <c r="O1021" i="6"/>
  <c r="B1022" i="6"/>
  <c r="C1022" i="6"/>
  <c r="D1022" i="6"/>
  <c r="E1022" i="6"/>
  <c r="F1022" i="6"/>
  <c r="G1022" i="6"/>
  <c r="H1022" i="6"/>
  <c r="I1022" i="6"/>
  <c r="J1022" i="6"/>
  <c r="K1022" i="6"/>
  <c r="L1022" i="6"/>
  <c r="M1022" i="6"/>
  <c r="N1022" i="6"/>
  <c r="O1022" i="6"/>
  <c r="B1023" i="6"/>
  <c r="C1023" i="6"/>
  <c r="D1023" i="6"/>
  <c r="E1023" i="6"/>
  <c r="F1023" i="6"/>
  <c r="G1023" i="6"/>
  <c r="H1023" i="6"/>
  <c r="I1023" i="6"/>
  <c r="J1023" i="6"/>
  <c r="K1023" i="6"/>
  <c r="L1023" i="6"/>
  <c r="M1023" i="6"/>
  <c r="N1023" i="6"/>
  <c r="O1023" i="6"/>
  <c r="B1024" i="6"/>
  <c r="C1024" i="6"/>
  <c r="D1024" i="6"/>
  <c r="E1024" i="6"/>
  <c r="F1024" i="6"/>
  <c r="G1024" i="6"/>
  <c r="H1024" i="6"/>
  <c r="I1024" i="6"/>
  <c r="J1024" i="6"/>
  <c r="K1024" i="6"/>
  <c r="L1024" i="6"/>
  <c r="M1024" i="6"/>
  <c r="N1024" i="6"/>
  <c r="O1024" i="6"/>
  <c r="B1025" i="6"/>
  <c r="C1025" i="6"/>
  <c r="D1025" i="6"/>
  <c r="E1025" i="6"/>
  <c r="F1025" i="6"/>
  <c r="G1025" i="6"/>
  <c r="H1025" i="6"/>
  <c r="I1025" i="6"/>
  <c r="J1025" i="6"/>
  <c r="K1025" i="6"/>
  <c r="L1025" i="6"/>
  <c r="M1025" i="6"/>
  <c r="N1025" i="6"/>
  <c r="O1025" i="6"/>
  <c r="B1026" i="6"/>
  <c r="C1026" i="6"/>
  <c r="D1026" i="6"/>
  <c r="E1026" i="6"/>
  <c r="F1026" i="6"/>
  <c r="G1026" i="6"/>
  <c r="H1026" i="6"/>
  <c r="I1026" i="6"/>
  <c r="J1026" i="6"/>
  <c r="K1026" i="6"/>
  <c r="L1026" i="6"/>
  <c r="M1026" i="6"/>
  <c r="N1026" i="6"/>
  <c r="O1026" i="6"/>
  <c r="B1027" i="6"/>
  <c r="C1027" i="6"/>
  <c r="D1027" i="6"/>
  <c r="E1027" i="6"/>
  <c r="F1027" i="6"/>
  <c r="G1027" i="6"/>
  <c r="H1027" i="6"/>
  <c r="I1027" i="6"/>
  <c r="J1027" i="6"/>
  <c r="K1027" i="6"/>
  <c r="L1027" i="6"/>
  <c r="M1027" i="6"/>
  <c r="N1027" i="6"/>
  <c r="O1027" i="6"/>
  <c r="B1028" i="6"/>
  <c r="C1028" i="6"/>
  <c r="D1028" i="6"/>
  <c r="E1028" i="6"/>
  <c r="F1028" i="6"/>
  <c r="G1028" i="6"/>
  <c r="H1028" i="6"/>
  <c r="I1028" i="6"/>
  <c r="J1028" i="6"/>
  <c r="K1028" i="6"/>
  <c r="L1028" i="6"/>
  <c r="M1028" i="6"/>
  <c r="N1028" i="6"/>
  <c r="O1028" i="6"/>
  <c r="B1029" i="6"/>
  <c r="C1029" i="6"/>
  <c r="D1029" i="6"/>
  <c r="E1029" i="6"/>
  <c r="F1029" i="6"/>
  <c r="G1029" i="6"/>
  <c r="H1029" i="6"/>
  <c r="I1029" i="6"/>
  <c r="J1029" i="6"/>
  <c r="K1029" i="6"/>
  <c r="L1029" i="6"/>
  <c r="M1029" i="6"/>
  <c r="N1029" i="6"/>
  <c r="O1029" i="6"/>
  <c r="B1030" i="6"/>
  <c r="C1030" i="6"/>
  <c r="D1030" i="6"/>
  <c r="E1030" i="6"/>
  <c r="F1030" i="6"/>
  <c r="G1030" i="6"/>
  <c r="H1030" i="6"/>
  <c r="I1030" i="6"/>
  <c r="J1030" i="6"/>
  <c r="K1030" i="6"/>
  <c r="L1030" i="6"/>
  <c r="M1030" i="6"/>
  <c r="N1030" i="6"/>
  <c r="O1030" i="6"/>
  <c r="B1031" i="6"/>
  <c r="C1031" i="6"/>
  <c r="D1031" i="6"/>
  <c r="E1031" i="6"/>
  <c r="F1031" i="6"/>
  <c r="G1031" i="6"/>
  <c r="H1031" i="6"/>
  <c r="I1031" i="6"/>
  <c r="J1031" i="6"/>
  <c r="K1031" i="6"/>
  <c r="L1031" i="6"/>
  <c r="M1031" i="6"/>
  <c r="N1031" i="6"/>
  <c r="O1031" i="6"/>
  <c r="B1032" i="6"/>
  <c r="C1032" i="6"/>
  <c r="D1032" i="6"/>
  <c r="E1032" i="6"/>
  <c r="F1032" i="6"/>
  <c r="G1032" i="6"/>
  <c r="H1032" i="6"/>
  <c r="I1032" i="6"/>
  <c r="J1032" i="6"/>
  <c r="K1032" i="6"/>
  <c r="L1032" i="6"/>
  <c r="M1032" i="6"/>
  <c r="N1032" i="6"/>
  <c r="O1032" i="6"/>
  <c r="B1033" i="6"/>
  <c r="C1033" i="6"/>
  <c r="D1033" i="6"/>
  <c r="E1033" i="6"/>
  <c r="F1033" i="6"/>
  <c r="G1033" i="6"/>
  <c r="H1033" i="6"/>
  <c r="I1033" i="6"/>
  <c r="J1033" i="6"/>
  <c r="K1033" i="6"/>
  <c r="L1033" i="6"/>
  <c r="M1033" i="6"/>
  <c r="N1033" i="6"/>
  <c r="O1033" i="6"/>
  <c r="B1034" i="6"/>
  <c r="C1034" i="6"/>
  <c r="D1034" i="6"/>
  <c r="E1034" i="6"/>
  <c r="F1034" i="6"/>
  <c r="G1034" i="6"/>
  <c r="H1034" i="6"/>
  <c r="I1034" i="6"/>
  <c r="J1034" i="6"/>
  <c r="K1034" i="6"/>
  <c r="L1034" i="6"/>
  <c r="M1034" i="6"/>
  <c r="N1034" i="6"/>
  <c r="O1034" i="6"/>
  <c r="B1035" i="6"/>
  <c r="C1035" i="6"/>
  <c r="D1035" i="6"/>
  <c r="E1035" i="6"/>
  <c r="F1035" i="6"/>
  <c r="G1035" i="6"/>
  <c r="H1035" i="6"/>
  <c r="I1035" i="6"/>
  <c r="J1035" i="6"/>
  <c r="K1035" i="6"/>
  <c r="L1035" i="6"/>
  <c r="M1035" i="6"/>
  <c r="N1035" i="6"/>
  <c r="O1035" i="6"/>
  <c r="B1036" i="6"/>
  <c r="C1036" i="6"/>
  <c r="D1036" i="6"/>
  <c r="E1036" i="6"/>
  <c r="F1036" i="6"/>
  <c r="G1036" i="6"/>
  <c r="H1036" i="6"/>
  <c r="I1036" i="6"/>
  <c r="J1036" i="6"/>
  <c r="K1036" i="6"/>
  <c r="L1036" i="6"/>
  <c r="M1036" i="6"/>
  <c r="N1036" i="6"/>
  <c r="O1036" i="6"/>
  <c r="B1037" i="6"/>
  <c r="C1037" i="6"/>
  <c r="D1037" i="6"/>
  <c r="E1037" i="6"/>
  <c r="F1037" i="6"/>
  <c r="G1037" i="6"/>
  <c r="H1037" i="6"/>
  <c r="I1037" i="6"/>
  <c r="J1037" i="6"/>
  <c r="K1037" i="6"/>
  <c r="L1037" i="6"/>
  <c r="M1037" i="6"/>
  <c r="N1037" i="6"/>
  <c r="O1037" i="6"/>
  <c r="B1038" i="6"/>
  <c r="C1038" i="6"/>
  <c r="D1038" i="6"/>
  <c r="E1038" i="6"/>
  <c r="F1038" i="6"/>
  <c r="G1038" i="6"/>
  <c r="H1038" i="6"/>
  <c r="I1038" i="6"/>
  <c r="J1038" i="6"/>
  <c r="K1038" i="6"/>
  <c r="L1038" i="6"/>
  <c r="M1038" i="6"/>
  <c r="N1038" i="6"/>
  <c r="O1038" i="6"/>
  <c r="B1039" i="6"/>
  <c r="C1039" i="6"/>
  <c r="D1039" i="6"/>
  <c r="E1039" i="6"/>
  <c r="F1039" i="6"/>
  <c r="G1039" i="6"/>
  <c r="H1039" i="6"/>
  <c r="I1039" i="6"/>
  <c r="J1039" i="6"/>
  <c r="K1039" i="6"/>
  <c r="L1039" i="6"/>
  <c r="M1039" i="6"/>
  <c r="N1039" i="6"/>
  <c r="O1039" i="6"/>
  <c r="B1040" i="6"/>
  <c r="C1040" i="6"/>
  <c r="D1040" i="6"/>
  <c r="E1040" i="6"/>
  <c r="F1040" i="6"/>
  <c r="G1040" i="6"/>
  <c r="H1040" i="6"/>
  <c r="I1040" i="6"/>
  <c r="J1040" i="6"/>
  <c r="K1040" i="6"/>
  <c r="L1040" i="6"/>
  <c r="M1040" i="6"/>
  <c r="N1040" i="6"/>
  <c r="O1040" i="6"/>
  <c r="B1041" i="6"/>
  <c r="C1041" i="6"/>
  <c r="D1041" i="6"/>
  <c r="E1041" i="6"/>
  <c r="F1041" i="6"/>
  <c r="G1041" i="6"/>
  <c r="H1041" i="6"/>
  <c r="I1041" i="6"/>
  <c r="J1041" i="6"/>
  <c r="K1041" i="6"/>
  <c r="L1041" i="6"/>
  <c r="M1041" i="6"/>
  <c r="N1041" i="6"/>
  <c r="O1041" i="6"/>
  <c r="B1042" i="6"/>
  <c r="C1042" i="6"/>
  <c r="D1042" i="6"/>
  <c r="E1042" i="6"/>
  <c r="F1042" i="6"/>
  <c r="G1042" i="6"/>
  <c r="H1042" i="6"/>
  <c r="I1042" i="6"/>
  <c r="J1042" i="6"/>
  <c r="K1042" i="6"/>
  <c r="L1042" i="6"/>
  <c r="M1042" i="6"/>
  <c r="N1042" i="6"/>
  <c r="O1042" i="6"/>
  <c r="B1043" i="6"/>
  <c r="C1043" i="6"/>
  <c r="D1043" i="6"/>
  <c r="E1043" i="6"/>
  <c r="F1043" i="6"/>
  <c r="G1043" i="6"/>
  <c r="H1043" i="6"/>
  <c r="I1043" i="6"/>
  <c r="J1043" i="6"/>
  <c r="K1043" i="6"/>
  <c r="L1043" i="6"/>
  <c r="M1043" i="6"/>
  <c r="N1043" i="6"/>
  <c r="O1043" i="6"/>
  <c r="B1044" i="6"/>
  <c r="C1044" i="6"/>
  <c r="D1044" i="6"/>
  <c r="E1044" i="6"/>
  <c r="F1044" i="6"/>
  <c r="G1044" i="6"/>
  <c r="H1044" i="6"/>
  <c r="I1044" i="6"/>
  <c r="J1044" i="6"/>
  <c r="K1044" i="6"/>
  <c r="L1044" i="6"/>
  <c r="M1044" i="6"/>
  <c r="N1044" i="6"/>
  <c r="O1044" i="6"/>
  <c r="B1045" i="6"/>
  <c r="C1045" i="6"/>
  <c r="D1045" i="6"/>
  <c r="E1045" i="6"/>
  <c r="F1045" i="6"/>
  <c r="G1045" i="6"/>
  <c r="H1045" i="6"/>
  <c r="I1045" i="6"/>
  <c r="J1045" i="6"/>
  <c r="K1045" i="6"/>
  <c r="L1045" i="6"/>
  <c r="M1045" i="6"/>
  <c r="N1045" i="6"/>
  <c r="O1045" i="6"/>
  <c r="B1046" i="6"/>
  <c r="C1046" i="6"/>
  <c r="D1046" i="6"/>
  <c r="E1046" i="6"/>
  <c r="F1046" i="6"/>
  <c r="G1046" i="6"/>
  <c r="H1046" i="6"/>
  <c r="I1046" i="6"/>
  <c r="J1046" i="6"/>
  <c r="K1046" i="6"/>
  <c r="L1046" i="6"/>
  <c r="M1046" i="6"/>
  <c r="N1046" i="6"/>
  <c r="O1046" i="6"/>
  <c r="B1047" i="6"/>
  <c r="C1047" i="6"/>
  <c r="D1047" i="6"/>
  <c r="E1047" i="6"/>
  <c r="F1047" i="6"/>
  <c r="G1047" i="6"/>
  <c r="H1047" i="6"/>
  <c r="I1047" i="6"/>
  <c r="J1047" i="6"/>
  <c r="K1047" i="6"/>
  <c r="L1047" i="6"/>
  <c r="M1047" i="6"/>
  <c r="N1047" i="6"/>
  <c r="O1047" i="6"/>
  <c r="B1048" i="6"/>
  <c r="C1048" i="6"/>
  <c r="D1048" i="6"/>
  <c r="E1048" i="6"/>
  <c r="F1048" i="6"/>
  <c r="G1048" i="6"/>
  <c r="H1048" i="6"/>
  <c r="I1048" i="6"/>
  <c r="J1048" i="6"/>
  <c r="K1048" i="6"/>
  <c r="L1048" i="6"/>
  <c r="M1048" i="6"/>
  <c r="N1048" i="6"/>
  <c r="O1048" i="6"/>
  <c r="B1049" i="6"/>
  <c r="C1049" i="6"/>
  <c r="D1049" i="6"/>
  <c r="E1049" i="6"/>
  <c r="F1049" i="6"/>
  <c r="G1049" i="6"/>
  <c r="H1049" i="6"/>
  <c r="I1049" i="6"/>
  <c r="J1049" i="6"/>
  <c r="K1049" i="6"/>
  <c r="L1049" i="6"/>
  <c r="M1049" i="6"/>
  <c r="N1049" i="6"/>
  <c r="O1049" i="6"/>
  <c r="B1050" i="6"/>
  <c r="C1050" i="6"/>
  <c r="D1050" i="6"/>
  <c r="E1050" i="6"/>
  <c r="F1050" i="6"/>
  <c r="G1050" i="6"/>
  <c r="H1050" i="6"/>
  <c r="I1050" i="6"/>
  <c r="J1050" i="6"/>
  <c r="K1050" i="6"/>
  <c r="L1050" i="6"/>
  <c r="M1050" i="6"/>
  <c r="N1050" i="6"/>
  <c r="O1050" i="6"/>
  <c r="B1051" i="6"/>
  <c r="C1051" i="6"/>
  <c r="D1051" i="6"/>
  <c r="E1051" i="6"/>
  <c r="F1051" i="6"/>
  <c r="G1051" i="6"/>
  <c r="H1051" i="6"/>
  <c r="I1051" i="6"/>
  <c r="J1051" i="6"/>
  <c r="K1051" i="6"/>
  <c r="L1051" i="6"/>
  <c r="M1051" i="6"/>
  <c r="N1051" i="6"/>
  <c r="O1051" i="6"/>
  <c r="B1052" i="6"/>
  <c r="C1052" i="6"/>
  <c r="D1052" i="6"/>
  <c r="E1052" i="6"/>
  <c r="F1052" i="6"/>
  <c r="G1052" i="6"/>
  <c r="H1052" i="6"/>
  <c r="I1052" i="6"/>
  <c r="J1052" i="6"/>
  <c r="K1052" i="6"/>
  <c r="L1052" i="6"/>
  <c r="M1052" i="6"/>
  <c r="N1052" i="6"/>
  <c r="O1052" i="6"/>
  <c r="B1053" i="6"/>
  <c r="C1053" i="6"/>
  <c r="D1053" i="6"/>
  <c r="E1053" i="6"/>
  <c r="F1053" i="6"/>
  <c r="G1053" i="6"/>
  <c r="H1053" i="6"/>
  <c r="I1053" i="6"/>
  <c r="J1053" i="6"/>
  <c r="K1053" i="6"/>
  <c r="L1053" i="6"/>
  <c r="M1053" i="6"/>
  <c r="N1053" i="6"/>
  <c r="O1053" i="6"/>
  <c r="B1054" i="6"/>
  <c r="C1054" i="6"/>
  <c r="D1054" i="6"/>
  <c r="E1054" i="6"/>
  <c r="F1054" i="6"/>
  <c r="G1054" i="6"/>
  <c r="H1054" i="6"/>
  <c r="I1054" i="6"/>
  <c r="J1054" i="6"/>
  <c r="K1054" i="6"/>
  <c r="L1054" i="6"/>
  <c r="M1054" i="6"/>
  <c r="N1054" i="6"/>
  <c r="O1054" i="6"/>
  <c r="B1055" i="6"/>
  <c r="C1055" i="6"/>
  <c r="D1055" i="6"/>
  <c r="E1055" i="6"/>
  <c r="F1055" i="6"/>
  <c r="G1055" i="6"/>
  <c r="H1055" i="6"/>
  <c r="I1055" i="6"/>
  <c r="J1055" i="6"/>
  <c r="K1055" i="6"/>
  <c r="L1055" i="6"/>
  <c r="M1055" i="6"/>
  <c r="N1055" i="6"/>
  <c r="O1055" i="6"/>
  <c r="B1056" i="6"/>
  <c r="C1056" i="6"/>
  <c r="D1056" i="6"/>
  <c r="E1056" i="6"/>
  <c r="F1056" i="6"/>
  <c r="G1056" i="6"/>
  <c r="H1056" i="6"/>
  <c r="I1056" i="6"/>
  <c r="J1056" i="6"/>
  <c r="K1056" i="6"/>
  <c r="L1056" i="6"/>
  <c r="M1056" i="6"/>
  <c r="N1056" i="6"/>
  <c r="O1056" i="6"/>
  <c r="B1057" i="6"/>
  <c r="C1057" i="6"/>
  <c r="D1057" i="6"/>
  <c r="E1057" i="6"/>
  <c r="F1057" i="6"/>
  <c r="G1057" i="6"/>
  <c r="H1057" i="6"/>
  <c r="I1057" i="6"/>
  <c r="J1057" i="6"/>
  <c r="K1057" i="6"/>
  <c r="L1057" i="6"/>
  <c r="M1057" i="6"/>
  <c r="N1057" i="6"/>
  <c r="O1057" i="6"/>
  <c r="B1059" i="6"/>
  <c r="C17" i="5"/>
  <c r="L17" i="5" s="1"/>
  <c r="D17" i="5"/>
  <c r="E17" i="5"/>
  <c r="F17" i="5"/>
  <c r="N17" i="5"/>
  <c r="P17" i="5"/>
  <c r="R17" i="5"/>
  <c r="Q17" i="5" s="1"/>
  <c r="T17" i="5"/>
  <c r="C18" i="5"/>
  <c r="D18" i="5"/>
  <c r="E18" i="5"/>
  <c r="F18" i="5"/>
  <c r="L18" i="5"/>
  <c r="N18" i="5"/>
  <c r="P18" i="5"/>
  <c r="Q18" i="5"/>
  <c r="S18" i="5" s="1"/>
  <c r="R18" i="5"/>
  <c r="T18" i="5"/>
  <c r="C19" i="5"/>
  <c r="D19" i="5"/>
  <c r="E19" i="5"/>
  <c r="F19" i="5"/>
  <c r="L19" i="5"/>
  <c r="N19" i="5"/>
  <c r="P19" i="5"/>
  <c r="R19" i="5"/>
  <c r="T19" i="5"/>
  <c r="C20" i="5"/>
  <c r="L20" i="5" s="1"/>
  <c r="D20" i="5"/>
  <c r="E20" i="5"/>
  <c r="F20" i="5"/>
  <c r="N20" i="5"/>
  <c r="P20" i="5"/>
  <c r="Q20" i="5"/>
  <c r="R20" i="5"/>
  <c r="S20" i="5"/>
  <c r="T20" i="5"/>
  <c r="C21" i="5"/>
  <c r="L21" i="5" s="1"/>
  <c r="D21" i="5"/>
  <c r="E21" i="5"/>
  <c r="F21" i="5"/>
  <c r="N21" i="5"/>
  <c r="P21" i="5"/>
  <c r="R21" i="5"/>
  <c r="T21" i="5"/>
  <c r="C22" i="5"/>
  <c r="D22" i="5"/>
  <c r="E22" i="5"/>
  <c r="L22" i="5" s="1"/>
  <c r="F22" i="5"/>
  <c r="N22" i="5"/>
  <c r="R22" i="5"/>
  <c r="Q22" i="5" s="1"/>
  <c r="S22" i="5" s="1"/>
  <c r="T22" i="5"/>
  <c r="C23" i="5"/>
  <c r="D23" i="5"/>
  <c r="E23" i="5"/>
  <c r="F23" i="5"/>
  <c r="N23" i="5"/>
  <c r="Q23" i="5"/>
  <c r="S23" i="5" s="1"/>
  <c r="R23" i="5"/>
  <c r="T23" i="5"/>
  <c r="C24" i="5"/>
  <c r="D24" i="5"/>
  <c r="E24" i="5"/>
  <c r="F24" i="5"/>
  <c r="N24" i="5"/>
  <c r="Q24" i="5"/>
  <c r="R24" i="5"/>
  <c r="S24" i="5"/>
  <c r="T24" i="5"/>
  <c r="C25" i="5"/>
  <c r="D25" i="5"/>
  <c r="E25" i="5"/>
  <c r="L25" i="5" s="1"/>
  <c r="F25" i="5"/>
  <c r="N25" i="5"/>
  <c r="Q25" i="5"/>
  <c r="S25" i="5" s="1"/>
  <c r="R25" i="5"/>
  <c r="T25" i="5"/>
  <c r="C26" i="5"/>
  <c r="D26" i="5"/>
  <c r="E26" i="5"/>
  <c r="F26" i="5"/>
  <c r="N26" i="5"/>
  <c r="R26" i="5"/>
  <c r="Q26" i="5" s="1"/>
  <c r="S26" i="5" s="1"/>
  <c r="T26" i="5"/>
  <c r="C27" i="5"/>
  <c r="D27" i="5"/>
  <c r="E27" i="5"/>
  <c r="F27" i="5"/>
  <c r="H27" i="5"/>
  <c r="L27" i="5"/>
  <c r="N27" i="5"/>
  <c r="P27" i="5"/>
  <c r="R27" i="5"/>
  <c r="T27" i="5"/>
  <c r="C28" i="5"/>
  <c r="D28" i="5"/>
  <c r="L28" i="5" s="1"/>
  <c r="E28" i="5"/>
  <c r="F28" i="5"/>
  <c r="H28" i="5"/>
  <c r="N28" i="5"/>
  <c r="P28" i="5"/>
  <c r="R28" i="5"/>
  <c r="Q28" i="5" s="1"/>
  <c r="S28" i="5"/>
  <c r="T28" i="5"/>
  <c r="C29" i="5"/>
  <c r="L29" i="5" s="1"/>
  <c r="D29" i="5"/>
  <c r="E29" i="5"/>
  <c r="F29" i="5"/>
  <c r="H29" i="5"/>
  <c r="N29" i="5"/>
  <c r="P29" i="5"/>
  <c r="Q29" i="5"/>
  <c r="R29" i="5"/>
  <c r="T29" i="5"/>
  <c r="C30" i="5"/>
  <c r="D30" i="5"/>
  <c r="E30" i="5"/>
  <c r="F30" i="5"/>
  <c r="H30" i="5"/>
  <c r="N30" i="5"/>
  <c r="P30" i="5"/>
  <c r="R30" i="5"/>
  <c r="T30" i="5"/>
  <c r="C31" i="5"/>
  <c r="L31" i="5" s="1"/>
  <c r="D31" i="5"/>
  <c r="E31" i="5"/>
  <c r="F31" i="5"/>
  <c r="H31" i="5"/>
  <c r="N31" i="5"/>
  <c r="P31" i="5"/>
  <c r="R31" i="5"/>
  <c r="Q31" i="5" s="1"/>
  <c r="S31" i="5"/>
  <c r="T31" i="5"/>
  <c r="C32" i="5"/>
  <c r="D32" i="5"/>
  <c r="E32" i="5"/>
  <c r="F32" i="5"/>
  <c r="H32" i="5"/>
  <c r="L32" i="5"/>
  <c r="N32" i="5"/>
  <c r="P32" i="5"/>
  <c r="R32" i="5"/>
  <c r="Q32" i="5" s="1"/>
  <c r="T32" i="5"/>
  <c r="C33" i="5"/>
  <c r="D33" i="5"/>
  <c r="E33" i="5"/>
  <c r="F33" i="5"/>
  <c r="H33" i="5"/>
  <c r="N33" i="5"/>
  <c r="P33" i="5"/>
  <c r="R33" i="5"/>
  <c r="Q33" i="5" s="1"/>
  <c r="S33" i="5" s="1"/>
  <c r="T33" i="5"/>
  <c r="C34" i="5"/>
  <c r="D34" i="5"/>
  <c r="E34" i="5"/>
  <c r="F34" i="5"/>
  <c r="H34" i="5"/>
  <c r="L34" i="5"/>
  <c r="N34" i="5"/>
  <c r="Q34" i="5"/>
  <c r="S34" i="5" s="1"/>
  <c r="R34" i="5"/>
  <c r="T34" i="5"/>
  <c r="C35" i="5"/>
  <c r="D35" i="5"/>
  <c r="E35" i="5"/>
  <c r="F35" i="5"/>
  <c r="H35" i="5"/>
  <c r="N35" i="5"/>
  <c r="Q35" i="5"/>
  <c r="R35" i="5"/>
  <c r="S35" i="5"/>
  <c r="T35" i="5"/>
  <c r="C36" i="5"/>
  <c r="L36" i="5" s="1"/>
  <c r="D36" i="5"/>
  <c r="E36" i="5"/>
  <c r="F36" i="5"/>
  <c r="H36" i="5"/>
  <c r="N36" i="5"/>
  <c r="R36" i="5"/>
  <c r="Q36" i="5" s="1"/>
  <c r="S36" i="5"/>
  <c r="T36" i="5"/>
  <c r="C37" i="5"/>
  <c r="L37" i="5" s="1"/>
  <c r="D37" i="5"/>
  <c r="E37" i="5"/>
  <c r="F37" i="5"/>
  <c r="H37" i="5"/>
  <c r="N37" i="5"/>
  <c r="R37" i="5"/>
  <c r="Q37" i="5" s="1"/>
  <c r="S37" i="5" s="1"/>
  <c r="T37" i="5"/>
  <c r="C38" i="5"/>
  <c r="D38" i="5"/>
  <c r="E38" i="5"/>
  <c r="F38" i="5"/>
  <c r="H38" i="5"/>
  <c r="L38" i="5"/>
  <c r="N38" i="5"/>
  <c r="Q38" i="5"/>
  <c r="S38" i="5" s="1"/>
  <c r="R38" i="5"/>
  <c r="T38" i="5"/>
  <c r="C39" i="5"/>
  <c r="D39" i="5"/>
  <c r="E39" i="5"/>
  <c r="F39" i="5"/>
  <c r="H39" i="5"/>
  <c r="N39" i="5"/>
  <c r="Q39" i="5"/>
  <c r="S39" i="5" s="1"/>
  <c r="R39" i="5"/>
  <c r="T39" i="5"/>
  <c r="C40" i="5"/>
  <c r="D40" i="5"/>
  <c r="E40" i="5"/>
  <c r="F40" i="5"/>
  <c r="H40" i="5"/>
  <c r="I40" i="5"/>
  <c r="N40" i="5"/>
  <c r="R40" i="5"/>
  <c r="Q40" i="5" s="1"/>
  <c r="S40" i="5" s="1"/>
  <c r="T40" i="5"/>
  <c r="C41" i="5"/>
  <c r="D41" i="5"/>
  <c r="E41" i="5"/>
  <c r="F41" i="5"/>
  <c r="H41" i="5"/>
  <c r="I41" i="5"/>
  <c r="L41" i="5" s="1"/>
  <c r="N41" i="5"/>
  <c r="R41" i="5"/>
  <c r="Q41" i="5" s="1"/>
  <c r="S41" i="5" s="1"/>
  <c r="T41" i="5"/>
  <c r="C42" i="5"/>
  <c r="D42" i="5"/>
  <c r="E42" i="5"/>
  <c r="F42" i="5"/>
  <c r="H42" i="5"/>
  <c r="I42" i="5"/>
  <c r="N42" i="5"/>
  <c r="R42" i="5"/>
  <c r="Q42" i="5" s="1"/>
  <c r="S42" i="5" s="1"/>
  <c r="T42" i="5"/>
  <c r="C43" i="5"/>
  <c r="D43" i="5"/>
  <c r="E43" i="5"/>
  <c r="F43" i="5"/>
  <c r="H43" i="5"/>
  <c r="I43" i="5"/>
  <c r="N43" i="5"/>
  <c r="R43" i="5"/>
  <c r="Q43" i="5" s="1"/>
  <c r="S43" i="5" s="1"/>
  <c r="T43" i="5"/>
  <c r="C44" i="5"/>
  <c r="L44" i="5" s="1"/>
  <c r="D44" i="5"/>
  <c r="E44" i="5"/>
  <c r="F44" i="5"/>
  <c r="H44" i="5"/>
  <c r="I44" i="5"/>
  <c r="N44" i="5"/>
  <c r="R44" i="5"/>
  <c r="Q44" i="5" s="1"/>
  <c r="S44" i="5"/>
  <c r="T44" i="5"/>
  <c r="C45" i="5"/>
  <c r="D45" i="5"/>
  <c r="E45" i="5"/>
  <c r="F45" i="5"/>
  <c r="H45" i="5"/>
  <c r="I45" i="5"/>
  <c r="L45" i="5"/>
  <c r="N45" i="5"/>
  <c r="Q45" i="5"/>
  <c r="S45" i="5" s="1"/>
  <c r="R45" i="5"/>
  <c r="T45" i="5"/>
  <c r="C46" i="5"/>
  <c r="D46" i="5"/>
  <c r="E46" i="5"/>
  <c r="F46" i="5"/>
  <c r="H46" i="5"/>
  <c r="I46" i="5"/>
  <c r="N46" i="5"/>
  <c r="R46" i="5"/>
  <c r="Q46" i="5" s="1"/>
  <c r="S46" i="5" s="1"/>
  <c r="T46" i="5"/>
  <c r="C47" i="5"/>
  <c r="D47" i="5"/>
  <c r="E47" i="5"/>
  <c r="F47" i="5"/>
  <c r="H47" i="5"/>
  <c r="I47" i="5"/>
  <c r="N47" i="5"/>
  <c r="R47" i="5"/>
  <c r="Q47" i="5" s="1"/>
  <c r="S47" i="5" s="1"/>
  <c r="T47" i="5"/>
  <c r="C48" i="5"/>
  <c r="D48" i="5"/>
  <c r="E48" i="5"/>
  <c r="F48" i="5"/>
  <c r="H48" i="5"/>
  <c r="I48" i="5"/>
  <c r="N48" i="5"/>
  <c r="Q48" i="5"/>
  <c r="R48" i="5"/>
  <c r="S48" i="5"/>
  <c r="T48" i="5"/>
  <c r="C49" i="5"/>
  <c r="D49" i="5"/>
  <c r="E49" i="5"/>
  <c r="F49" i="5"/>
  <c r="H49" i="5"/>
  <c r="I49" i="5"/>
  <c r="L49" i="5"/>
  <c r="N49" i="5"/>
  <c r="R49" i="5"/>
  <c r="Q49" i="5" s="1"/>
  <c r="S49" i="5" s="1"/>
  <c r="T49" i="5"/>
  <c r="C50" i="5"/>
  <c r="D50" i="5"/>
  <c r="E50" i="5"/>
  <c r="F50" i="5"/>
  <c r="H50" i="5"/>
  <c r="I50" i="5"/>
  <c r="N50" i="5"/>
  <c r="Q50" i="5"/>
  <c r="S50" i="5" s="1"/>
  <c r="R50" i="5"/>
  <c r="T50" i="5"/>
  <c r="C51" i="5"/>
  <c r="D51" i="5"/>
  <c r="L51" i="5" s="1"/>
  <c r="E51" i="5"/>
  <c r="F51" i="5"/>
  <c r="H51" i="5"/>
  <c r="I51" i="5"/>
  <c r="N51" i="5"/>
  <c r="R51" i="5"/>
  <c r="Q51" i="5" s="1"/>
  <c r="S51" i="5" s="1"/>
  <c r="T51" i="5"/>
  <c r="C52" i="5"/>
  <c r="D52" i="5"/>
  <c r="E52" i="5"/>
  <c r="F52" i="5"/>
  <c r="H52" i="5"/>
  <c r="I52" i="5"/>
  <c r="N52" i="5"/>
  <c r="R52" i="5"/>
  <c r="Q52" i="5" s="1"/>
  <c r="S52" i="5"/>
  <c r="T52" i="5"/>
  <c r="C53" i="5"/>
  <c r="L53" i="5" s="1"/>
  <c r="D53" i="5"/>
  <c r="E53" i="5"/>
  <c r="F53" i="5"/>
  <c r="H53" i="5"/>
  <c r="I53" i="5"/>
  <c r="N53" i="5"/>
  <c r="Q53" i="5"/>
  <c r="S53" i="5" s="1"/>
  <c r="R53" i="5"/>
  <c r="T53" i="5"/>
  <c r="C54" i="5"/>
  <c r="D54" i="5"/>
  <c r="E54" i="5"/>
  <c r="F54" i="5"/>
  <c r="H54" i="5"/>
  <c r="I54" i="5"/>
  <c r="N54" i="5"/>
  <c r="Q54" i="5"/>
  <c r="S54" i="5" s="1"/>
  <c r="R54" i="5"/>
  <c r="T54" i="5"/>
  <c r="C55" i="5"/>
  <c r="D55" i="5"/>
  <c r="E55" i="5"/>
  <c r="F55" i="5"/>
  <c r="H55" i="5"/>
  <c r="I55" i="5"/>
  <c r="N55" i="5"/>
  <c r="Q55" i="5"/>
  <c r="S55" i="5" s="1"/>
  <c r="R55" i="5"/>
  <c r="T55" i="5"/>
  <c r="C56" i="5"/>
  <c r="L56" i="5" s="1"/>
  <c r="D56" i="5"/>
  <c r="E56" i="5"/>
  <c r="F56" i="5"/>
  <c r="H56" i="5"/>
  <c r="I56" i="5"/>
  <c r="N56" i="5"/>
  <c r="Q56" i="5"/>
  <c r="S56" i="5" s="1"/>
  <c r="R56" i="5"/>
  <c r="T56" i="5"/>
  <c r="C57" i="5"/>
  <c r="D57" i="5"/>
  <c r="E57" i="5"/>
  <c r="F57" i="5"/>
  <c r="H57" i="5"/>
  <c r="I57" i="5"/>
  <c r="N57" i="5"/>
  <c r="Q57" i="5"/>
  <c r="S57" i="5" s="1"/>
  <c r="R57" i="5"/>
  <c r="T57" i="5"/>
  <c r="C58" i="5"/>
  <c r="D58" i="5"/>
  <c r="E58" i="5"/>
  <c r="F58" i="5"/>
  <c r="H58" i="5"/>
  <c r="I58" i="5"/>
  <c r="N58" i="5"/>
  <c r="R58" i="5"/>
  <c r="Q58" i="5" s="1"/>
  <c r="S58" i="5" s="1"/>
  <c r="T58" i="5"/>
  <c r="C59" i="5"/>
  <c r="L59" i="5" s="1"/>
  <c r="D59" i="5"/>
  <c r="E59" i="5"/>
  <c r="F59" i="5"/>
  <c r="H59" i="5"/>
  <c r="I59" i="5"/>
  <c r="N59" i="5"/>
  <c r="R59" i="5"/>
  <c r="Q59" i="5" s="1"/>
  <c r="S59" i="5" s="1"/>
  <c r="T59" i="5"/>
  <c r="C60" i="5"/>
  <c r="L60" i="5" s="1"/>
  <c r="D60" i="5"/>
  <c r="E60" i="5"/>
  <c r="F60" i="5"/>
  <c r="H60" i="5"/>
  <c r="I60" i="5"/>
  <c r="N60" i="5"/>
  <c r="Q60" i="5"/>
  <c r="S60" i="5" s="1"/>
  <c r="R60" i="5"/>
  <c r="T60" i="5"/>
  <c r="C61" i="5"/>
  <c r="D61" i="5"/>
  <c r="E61" i="5"/>
  <c r="F61" i="5"/>
  <c r="H61" i="5"/>
  <c r="I61" i="5"/>
  <c r="N61" i="5"/>
  <c r="R61" i="5"/>
  <c r="Q61" i="5" s="1"/>
  <c r="S61" i="5" s="1"/>
  <c r="T61" i="5"/>
  <c r="C62" i="5"/>
  <c r="L62" i="5" s="1"/>
  <c r="D62" i="5"/>
  <c r="E62" i="5"/>
  <c r="F62" i="5"/>
  <c r="H62" i="5"/>
  <c r="I62" i="5"/>
  <c r="N62" i="5"/>
  <c r="Q62" i="5"/>
  <c r="S62" i="5" s="1"/>
  <c r="R62" i="5"/>
  <c r="T62" i="5"/>
  <c r="C63" i="5"/>
  <c r="D63" i="5"/>
  <c r="E63" i="5"/>
  <c r="F63" i="5"/>
  <c r="H63" i="5"/>
  <c r="I63" i="5"/>
  <c r="N63" i="5"/>
  <c r="Q63" i="5"/>
  <c r="S63" i="5" s="1"/>
  <c r="R63" i="5"/>
  <c r="T63" i="5"/>
  <c r="C64" i="5"/>
  <c r="D64" i="5"/>
  <c r="E64" i="5"/>
  <c r="F64" i="5"/>
  <c r="H64" i="5"/>
  <c r="I64" i="5"/>
  <c r="N64" i="5"/>
  <c r="R64" i="5"/>
  <c r="Q64" i="5" s="1"/>
  <c r="S64" i="5" s="1"/>
  <c r="T64" i="5"/>
  <c r="C65" i="5"/>
  <c r="D65" i="5"/>
  <c r="E65" i="5"/>
  <c r="F65" i="5"/>
  <c r="H65" i="5"/>
  <c r="I65" i="5"/>
  <c r="N65" i="5"/>
  <c r="Q65" i="5"/>
  <c r="R65" i="5"/>
  <c r="S65" i="5"/>
  <c r="T65" i="5"/>
  <c r="C66" i="5"/>
  <c r="D66" i="5"/>
  <c r="L66" i="5" s="1"/>
  <c r="E66" i="5"/>
  <c r="F66" i="5"/>
  <c r="H66" i="5"/>
  <c r="I66" i="5"/>
  <c r="N66" i="5"/>
  <c r="R66" i="5"/>
  <c r="Q66" i="5" s="1"/>
  <c r="S66" i="5" s="1"/>
  <c r="T66" i="5"/>
  <c r="C67" i="5"/>
  <c r="D67" i="5"/>
  <c r="E67" i="5"/>
  <c r="F67" i="5"/>
  <c r="H67" i="5"/>
  <c r="I67" i="5"/>
  <c r="N67" i="5"/>
  <c r="Q67" i="5"/>
  <c r="S67" i="5" s="1"/>
  <c r="R67" i="5"/>
  <c r="T67" i="5"/>
  <c r="C68" i="5"/>
  <c r="L68" i="5" s="1"/>
  <c r="D68" i="5"/>
  <c r="E68" i="5"/>
  <c r="F68" i="5"/>
  <c r="H68" i="5"/>
  <c r="I68" i="5"/>
  <c r="N68" i="5"/>
  <c r="Q68" i="5"/>
  <c r="S68" i="5" s="1"/>
  <c r="R68" i="5"/>
  <c r="T68" i="5"/>
  <c r="C69" i="5"/>
  <c r="D69" i="5"/>
  <c r="E69" i="5"/>
  <c r="F69" i="5"/>
  <c r="H69" i="5"/>
  <c r="I69" i="5"/>
  <c r="N69" i="5"/>
  <c r="R69" i="5"/>
  <c r="Q69" i="5" s="1"/>
  <c r="S69" i="5" s="1"/>
  <c r="T69" i="5"/>
  <c r="C70" i="5"/>
  <c r="D70" i="5"/>
  <c r="E70" i="5"/>
  <c r="F70" i="5"/>
  <c r="H70" i="5"/>
  <c r="I70" i="5"/>
  <c r="L70" i="5" s="1"/>
  <c r="N70" i="5"/>
  <c r="Q70" i="5"/>
  <c r="S70" i="5" s="1"/>
  <c r="R70" i="5"/>
  <c r="T70" i="5"/>
  <c r="C71" i="5"/>
  <c r="D71" i="5"/>
  <c r="E71" i="5"/>
  <c r="F71" i="5"/>
  <c r="H71" i="5"/>
  <c r="I71" i="5"/>
  <c r="N71" i="5"/>
  <c r="Q71" i="5"/>
  <c r="S71" i="5" s="1"/>
  <c r="R71" i="5"/>
  <c r="T71" i="5"/>
  <c r="C72" i="5"/>
  <c r="L72" i="5" s="1"/>
  <c r="D72" i="5"/>
  <c r="E72" i="5"/>
  <c r="F72" i="5"/>
  <c r="H72" i="5"/>
  <c r="I72" i="5"/>
  <c r="N72" i="5"/>
  <c r="Q72" i="5"/>
  <c r="S72" i="5" s="1"/>
  <c r="R72" i="5"/>
  <c r="T72" i="5"/>
  <c r="C73" i="5"/>
  <c r="D73" i="5"/>
  <c r="E73" i="5"/>
  <c r="F73" i="5"/>
  <c r="H73" i="5"/>
  <c r="I73" i="5"/>
  <c r="N73" i="5"/>
  <c r="Q73" i="5"/>
  <c r="S73" i="5" s="1"/>
  <c r="R73" i="5"/>
  <c r="T73" i="5"/>
  <c r="C74" i="5"/>
  <c r="D74" i="5"/>
  <c r="E74" i="5"/>
  <c r="F74" i="5"/>
  <c r="H74" i="5"/>
  <c r="I74" i="5"/>
  <c r="N74" i="5"/>
  <c r="R74" i="5"/>
  <c r="Q74" i="5" s="1"/>
  <c r="S74" i="5" s="1"/>
  <c r="T74" i="5"/>
  <c r="C75" i="5"/>
  <c r="D75" i="5"/>
  <c r="E75" i="5"/>
  <c r="F75" i="5"/>
  <c r="H75" i="5"/>
  <c r="I75" i="5"/>
  <c r="N75" i="5"/>
  <c r="R75" i="5"/>
  <c r="Q75" i="5" s="1"/>
  <c r="T75" i="5"/>
  <c r="C76" i="5"/>
  <c r="L76" i="5" s="1"/>
  <c r="D76" i="5"/>
  <c r="E76" i="5"/>
  <c r="F76" i="5"/>
  <c r="H76" i="5"/>
  <c r="I76" i="5"/>
  <c r="N76" i="5"/>
  <c r="R76" i="5"/>
  <c r="Q76" i="5" s="1"/>
  <c r="S76" i="5" s="1"/>
  <c r="T76" i="5"/>
  <c r="C77" i="5"/>
  <c r="D77" i="5"/>
  <c r="E77" i="5"/>
  <c r="F77" i="5"/>
  <c r="H77" i="5"/>
  <c r="I77" i="5"/>
  <c r="L77" i="5"/>
  <c r="N77" i="5"/>
  <c r="Q77" i="5"/>
  <c r="S77" i="5" s="1"/>
  <c r="R77" i="5"/>
  <c r="T77" i="5"/>
  <c r="C78" i="5"/>
  <c r="D78" i="5"/>
  <c r="E78" i="5"/>
  <c r="E1062" i="5" s="1"/>
  <c r="F78" i="5"/>
  <c r="H78" i="5"/>
  <c r="I78" i="5"/>
  <c r="N78" i="5"/>
  <c r="R78" i="5"/>
  <c r="Q78" i="5" s="1"/>
  <c r="S78" i="5"/>
  <c r="T78" i="5"/>
  <c r="C79" i="5"/>
  <c r="D79" i="5"/>
  <c r="E79" i="5"/>
  <c r="F79" i="5"/>
  <c r="H79" i="5"/>
  <c r="I79" i="5"/>
  <c r="N79" i="5"/>
  <c r="Q79" i="5"/>
  <c r="S79" i="5" s="1"/>
  <c r="R79" i="5"/>
  <c r="T79" i="5"/>
  <c r="C80" i="5"/>
  <c r="D80" i="5"/>
  <c r="E80" i="5"/>
  <c r="F80" i="5"/>
  <c r="H80" i="5"/>
  <c r="I80" i="5"/>
  <c r="I1062" i="5" s="1"/>
  <c r="N80" i="5"/>
  <c r="N1062" i="5" s="1"/>
  <c r="R80" i="5"/>
  <c r="Q80" i="5" s="1"/>
  <c r="S80" i="5"/>
  <c r="T80" i="5"/>
  <c r="C81" i="5"/>
  <c r="D81" i="5"/>
  <c r="E81" i="5"/>
  <c r="F81" i="5"/>
  <c r="H81" i="5"/>
  <c r="I81" i="5"/>
  <c r="N81" i="5"/>
  <c r="R81" i="5"/>
  <c r="Q81" i="5" s="1"/>
  <c r="S81" i="5" s="1"/>
  <c r="T81" i="5"/>
  <c r="C82" i="5"/>
  <c r="L82" i="5" s="1"/>
  <c r="D82" i="5"/>
  <c r="E82" i="5"/>
  <c r="F82" i="5"/>
  <c r="H82" i="5"/>
  <c r="I82" i="5"/>
  <c r="N82" i="5"/>
  <c r="R82" i="5"/>
  <c r="Q82" i="5" s="1"/>
  <c r="S82" i="5" s="1"/>
  <c r="T82" i="5"/>
  <c r="C83" i="5"/>
  <c r="D83" i="5"/>
  <c r="E83" i="5"/>
  <c r="F83" i="5"/>
  <c r="H83" i="5"/>
  <c r="I83" i="5"/>
  <c r="L83" i="5"/>
  <c r="N83" i="5"/>
  <c r="R83" i="5"/>
  <c r="Q83" i="5" s="1"/>
  <c r="S83" i="5" s="1"/>
  <c r="T83" i="5"/>
  <c r="C84" i="5"/>
  <c r="D84" i="5"/>
  <c r="E84" i="5"/>
  <c r="F84" i="5"/>
  <c r="H84" i="5"/>
  <c r="I84" i="5"/>
  <c r="N84" i="5"/>
  <c r="R84" i="5"/>
  <c r="Q84" i="5" s="1"/>
  <c r="S84" i="5"/>
  <c r="T84" i="5"/>
  <c r="C85" i="5"/>
  <c r="D85" i="5"/>
  <c r="L85" i="5" s="1"/>
  <c r="E85" i="5"/>
  <c r="F85" i="5"/>
  <c r="H85" i="5"/>
  <c r="I85" i="5"/>
  <c r="N85" i="5"/>
  <c r="R85" i="5"/>
  <c r="Q85" i="5" s="1"/>
  <c r="S85" i="5" s="1"/>
  <c r="T85" i="5"/>
  <c r="C86" i="5"/>
  <c r="D86" i="5"/>
  <c r="E86" i="5"/>
  <c r="F86" i="5"/>
  <c r="H86" i="5"/>
  <c r="I86" i="5"/>
  <c r="N86" i="5"/>
  <c r="R86" i="5"/>
  <c r="T86" i="5"/>
  <c r="C87" i="5"/>
  <c r="D87" i="5"/>
  <c r="L87" i="5" s="1"/>
  <c r="E87" i="5"/>
  <c r="F87" i="5"/>
  <c r="H87" i="5"/>
  <c r="I87" i="5"/>
  <c r="N87" i="5"/>
  <c r="R87" i="5"/>
  <c r="Q87" i="5" s="1"/>
  <c r="S87" i="5" s="1"/>
  <c r="T87" i="5"/>
  <c r="C88" i="5"/>
  <c r="L88" i="5" s="1"/>
  <c r="D88" i="5"/>
  <c r="E88" i="5"/>
  <c r="F88" i="5"/>
  <c r="H88" i="5"/>
  <c r="I88" i="5"/>
  <c r="N88" i="5"/>
  <c r="R88" i="5"/>
  <c r="Q88" i="5" s="1"/>
  <c r="S88" i="5"/>
  <c r="T88" i="5"/>
  <c r="C89" i="5"/>
  <c r="D89" i="5"/>
  <c r="E89" i="5"/>
  <c r="F89" i="5"/>
  <c r="H89" i="5"/>
  <c r="I89" i="5"/>
  <c r="L89" i="5"/>
  <c r="N89" i="5"/>
  <c r="Q89" i="5"/>
  <c r="S89" i="5" s="1"/>
  <c r="R89" i="5"/>
  <c r="T89" i="5"/>
  <c r="C90" i="5"/>
  <c r="D90" i="5"/>
  <c r="E90" i="5"/>
  <c r="F90" i="5"/>
  <c r="H90" i="5"/>
  <c r="I90" i="5"/>
  <c r="N90" i="5"/>
  <c r="R90" i="5"/>
  <c r="Q90" i="5" s="1"/>
  <c r="S90" i="5" s="1"/>
  <c r="T90" i="5"/>
  <c r="C91" i="5"/>
  <c r="L91" i="5" s="1"/>
  <c r="D91" i="5"/>
  <c r="E91" i="5"/>
  <c r="F91" i="5"/>
  <c r="H91" i="5"/>
  <c r="I91" i="5"/>
  <c r="N91" i="5"/>
  <c r="Q91" i="5"/>
  <c r="S91" i="5" s="1"/>
  <c r="R91" i="5"/>
  <c r="T91" i="5"/>
  <c r="C92" i="5"/>
  <c r="D92" i="5"/>
  <c r="E92" i="5"/>
  <c r="F92" i="5"/>
  <c r="H92" i="5"/>
  <c r="I92" i="5"/>
  <c r="I1063" i="5" s="1"/>
  <c r="N92" i="5"/>
  <c r="R92" i="5"/>
  <c r="Q92" i="5" s="1"/>
  <c r="S92" i="5"/>
  <c r="T92" i="5"/>
  <c r="C93" i="5"/>
  <c r="D93" i="5"/>
  <c r="E93" i="5"/>
  <c r="F93" i="5"/>
  <c r="H93" i="5"/>
  <c r="I93" i="5"/>
  <c r="N93" i="5"/>
  <c r="Q93" i="5"/>
  <c r="S93" i="5" s="1"/>
  <c r="R93" i="5"/>
  <c r="T93" i="5"/>
  <c r="C94" i="5"/>
  <c r="L94" i="5" s="1"/>
  <c r="D94" i="5"/>
  <c r="E94" i="5"/>
  <c r="F94" i="5"/>
  <c r="H94" i="5"/>
  <c r="I94" i="5"/>
  <c r="N94" i="5"/>
  <c r="R94" i="5"/>
  <c r="Q94" i="5" s="1"/>
  <c r="S94" i="5"/>
  <c r="T94" i="5"/>
  <c r="C95" i="5"/>
  <c r="D95" i="5"/>
  <c r="E95" i="5"/>
  <c r="F95" i="5"/>
  <c r="H95" i="5"/>
  <c r="I95" i="5"/>
  <c r="L95" i="5"/>
  <c r="N95" i="5"/>
  <c r="R95" i="5"/>
  <c r="Q95" i="5" s="1"/>
  <c r="S95" i="5" s="1"/>
  <c r="T95" i="5"/>
  <c r="C96" i="5"/>
  <c r="D96" i="5"/>
  <c r="E96" i="5"/>
  <c r="F96" i="5"/>
  <c r="F1064" i="5" s="1"/>
  <c r="H96" i="5"/>
  <c r="I96" i="5"/>
  <c r="N96" i="5"/>
  <c r="R96" i="5"/>
  <c r="Q96" i="5" s="1"/>
  <c r="S96" i="5"/>
  <c r="T96" i="5"/>
  <c r="C97" i="5"/>
  <c r="D97" i="5"/>
  <c r="D1064" i="5" s="1"/>
  <c r="E97" i="5"/>
  <c r="F97" i="5"/>
  <c r="H97" i="5"/>
  <c r="I97" i="5"/>
  <c r="N97" i="5"/>
  <c r="R97" i="5"/>
  <c r="T97" i="5"/>
  <c r="C98" i="5"/>
  <c r="L98" i="5" s="1"/>
  <c r="D98" i="5"/>
  <c r="E98" i="5"/>
  <c r="F98" i="5"/>
  <c r="H98" i="5"/>
  <c r="I98" i="5"/>
  <c r="N98" i="5"/>
  <c r="R98" i="5"/>
  <c r="Q98" i="5" s="1"/>
  <c r="S98" i="5"/>
  <c r="T98" i="5"/>
  <c r="C99" i="5"/>
  <c r="D99" i="5"/>
  <c r="E99" i="5"/>
  <c r="F99" i="5"/>
  <c r="H99" i="5"/>
  <c r="I99" i="5"/>
  <c r="L99" i="5"/>
  <c r="N99" i="5"/>
  <c r="R99" i="5"/>
  <c r="Q99" i="5" s="1"/>
  <c r="S99" i="5" s="1"/>
  <c r="T99" i="5"/>
  <c r="C100" i="5"/>
  <c r="D100" i="5"/>
  <c r="E100" i="5"/>
  <c r="E1064" i="5" s="1"/>
  <c r="F100" i="5"/>
  <c r="H100" i="5"/>
  <c r="H1064" i="5" s="1"/>
  <c r="I100" i="5"/>
  <c r="N100" i="5"/>
  <c r="R100" i="5"/>
  <c r="Q100" i="5" s="1"/>
  <c r="S100" i="5"/>
  <c r="T100" i="5"/>
  <c r="C101" i="5"/>
  <c r="D101" i="5"/>
  <c r="E101" i="5"/>
  <c r="F101" i="5"/>
  <c r="H101" i="5"/>
  <c r="I101" i="5"/>
  <c r="N101" i="5"/>
  <c r="R101" i="5"/>
  <c r="Q101" i="5" s="1"/>
  <c r="S101" i="5" s="1"/>
  <c r="T101" i="5"/>
  <c r="C102" i="5"/>
  <c r="D102" i="5"/>
  <c r="E102" i="5"/>
  <c r="F102" i="5"/>
  <c r="H102" i="5"/>
  <c r="I102" i="5"/>
  <c r="N102" i="5"/>
  <c r="R102" i="5"/>
  <c r="Q102" i="5" s="1"/>
  <c r="S102" i="5" s="1"/>
  <c r="T102" i="5"/>
  <c r="C103" i="5"/>
  <c r="D103" i="5"/>
  <c r="E103" i="5"/>
  <c r="F103" i="5"/>
  <c r="H103" i="5"/>
  <c r="I103" i="5"/>
  <c r="N103" i="5"/>
  <c r="R103" i="5"/>
  <c r="Q103" i="5" s="1"/>
  <c r="S103" i="5" s="1"/>
  <c r="T103" i="5"/>
  <c r="C104" i="5"/>
  <c r="L104" i="5" s="1"/>
  <c r="D104" i="5"/>
  <c r="E104" i="5"/>
  <c r="F104" i="5"/>
  <c r="H104" i="5"/>
  <c r="I104" i="5"/>
  <c r="N104" i="5"/>
  <c r="R104" i="5"/>
  <c r="Q104" i="5" s="1"/>
  <c r="S104" i="5" s="1"/>
  <c r="T104" i="5"/>
  <c r="C105" i="5"/>
  <c r="D105" i="5"/>
  <c r="E105" i="5"/>
  <c r="F105" i="5"/>
  <c r="H105" i="5"/>
  <c r="I105" i="5"/>
  <c r="I1064" i="5" s="1"/>
  <c r="N105" i="5"/>
  <c r="Q105" i="5"/>
  <c r="S105" i="5" s="1"/>
  <c r="R105" i="5"/>
  <c r="T105" i="5"/>
  <c r="C106" i="5"/>
  <c r="D106" i="5"/>
  <c r="E106" i="5"/>
  <c r="F106" i="5"/>
  <c r="H106" i="5"/>
  <c r="I106" i="5"/>
  <c r="N106" i="5"/>
  <c r="Q106" i="5"/>
  <c r="R106" i="5"/>
  <c r="S106" i="5"/>
  <c r="T106" i="5"/>
  <c r="C107" i="5"/>
  <c r="D107" i="5"/>
  <c r="E107" i="5"/>
  <c r="F107" i="5"/>
  <c r="H107" i="5"/>
  <c r="I107" i="5"/>
  <c r="L107" i="5"/>
  <c r="N107" i="5"/>
  <c r="Q107" i="5"/>
  <c r="S107" i="5" s="1"/>
  <c r="R107" i="5"/>
  <c r="T107" i="5"/>
  <c r="C108" i="5"/>
  <c r="D108" i="5"/>
  <c r="E108" i="5"/>
  <c r="F108" i="5"/>
  <c r="H108" i="5"/>
  <c r="I108" i="5"/>
  <c r="N108" i="5"/>
  <c r="Q108" i="5"/>
  <c r="S108" i="5" s="1"/>
  <c r="R108" i="5"/>
  <c r="T108" i="5"/>
  <c r="C109" i="5"/>
  <c r="D109" i="5"/>
  <c r="E109" i="5"/>
  <c r="F109" i="5"/>
  <c r="H109" i="5"/>
  <c r="I109" i="5"/>
  <c r="N109" i="5"/>
  <c r="R109" i="5"/>
  <c r="Q109" i="5" s="1"/>
  <c r="S109" i="5" s="1"/>
  <c r="T109" i="5"/>
  <c r="C110" i="5"/>
  <c r="D110" i="5"/>
  <c r="E110" i="5"/>
  <c r="F110" i="5"/>
  <c r="H110" i="5"/>
  <c r="I110" i="5"/>
  <c r="N110" i="5"/>
  <c r="Q110" i="5"/>
  <c r="S110" i="5" s="1"/>
  <c r="R110" i="5"/>
  <c r="T110" i="5"/>
  <c r="C111" i="5"/>
  <c r="D111" i="5"/>
  <c r="E111" i="5"/>
  <c r="F111" i="5"/>
  <c r="H111" i="5"/>
  <c r="I111" i="5"/>
  <c r="N111" i="5"/>
  <c r="Q111" i="5"/>
  <c r="S111" i="5" s="1"/>
  <c r="R111" i="5"/>
  <c r="T111" i="5"/>
  <c r="C112" i="5"/>
  <c r="D112" i="5"/>
  <c r="E112" i="5"/>
  <c r="F112" i="5"/>
  <c r="H112" i="5"/>
  <c r="I112" i="5"/>
  <c r="N112" i="5"/>
  <c r="R112" i="5"/>
  <c r="Q112" i="5" s="1"/>
  <c r="T112" i="5"/>
  <c r="C113" i="5"/>
  <c r="D113" i="5"/>
  <c r="E113" i="5"/>
  <c r="F113" i="5"/>
  <c r="H113" i="5"/>
  <c r="I113" i="5"/>
  <c r="L113" i="5"/>
  <c r="N113" i="5"/>
  <c r="Q113" i="5"/>
  <c r="S113" i="5" s="1"/>
  <c r="R113" i="5"/>
  <c r="T113" i="5"/>
  <c r="C114" i="5"/>
  <c r="D114" i="5"/>
  <c r="E114" i="5"/>
  <c r="F114" i="5"/>
  <c r="H114" i="5"/>
  <c r="I114" i="5"/>
  <c r="N114" i="5"/>
  <c r="Q114" i="5"/>
  <c r="R114" i="5"/>
  <c r="S114" i="5"/>
  <c r="T114" i="5"/>
  <c r="C115" i="5"/>
  <c r="L115" i="5" s="1"/>
  <c r="D115" i="5"/>
  <c r="E115" i="5"/>
  <c r="F115" i="5"/>
  <c r="H115" i="5"/>
  <c r="I115" i="5"/>
  <c r="N115" i="5"/>
  <c r="Q115" i="5"/>
  <c r="S115" i="5" s="1"/>
  <c r="R115" i="5"/>
  <c r="T115" i="5"/>
  <c r="C116" i="5"/>
  <c r="D116" i="5"/>
  <c r="E116" i="5"/>
  <c r="F116" i="5"/>
  <c r="H116" i="5"/>
  <c r="I116" i="5"/>
  <c r="I1065" i="5" s="1"/>
  <c r="N116" i="5"/>
  <c r="Q116" i="5"/>
  <c r="S116" i="5" s="1"/>
  <c r="R116" i="5"/>
  <c r="T116" i="5"/>
  <c r="C117" i="5"/>
  <c r="D117" i="5"/>
  <c r="E117" i="5"/>
  <c r="F117" i="5"/>
  <c r="F1065" i="5" s="1"/>
  <c r="H117" i="5"/>
  <c r="I117" i="5"/>
  <c r="N117" i="5"/>
  <c r="R117" i="5"/>
  <c r="Q117" i="5" s="1"/>
  <c r="S117" i="5" s="1"/>
  <c r="T117" i="5"/>
  <c r="C118" i="5"/>
  <c r="D118" i="5"/>
  <c r="E118" i="5"/>
  <c r="F118" i="5"/>
  <c r="H118" i="5"/>
  <c r="I118" i="5"/>
  <c r="N118" i="5"/>
  <c r="Q118" i="5"/>
  <c r="S118" i="5" s="1"/>
  <c r="R118" i="5"/>
  <c r="T118" i="5"/>
  <c r="C119" i="5"/>
  <c r="D119" i="5"/>
  <c r="E119" i="5"/>
  <c r="F119" i="5"/>
  <c r="L119" i="5" s="1"/>
  <c r="H119" i="5"/>
  <c r="I119" i="5"/>
  <c r="N119" i="5"/>
  <c r="Q119" i="5"/>
  <c r="S119" i="5" s="1"/>
  <c r="R119" i="5"/>
  <c r="T119" i="5"/>
  <c r="C120" i="5"/>
  <c r="L120" i="5" s="1"/>
  <c r="D120" i="5"/>
  <c r="E120" i="5"/>
  <c r="F120" i="5"/>
  <c r="H120" i="5"/>
  <c r="I120" i="5"/>
  <c r="N120" i="5"/>
  <c r="R120" i="5"/>
  <c r="Q120" i="5" s="1"/>
  <c r="S120" i="5"/>
  <c r="T120" i="5"/>
  <c r="C121" i="5"/>
  <c r="D121" i="5"/>
  <c r="E121" i="5"/>
  <c r="F121" i="5"/>
  <c r="H121" i="5"/>
  <c r="I121" i="5"/>
  <c r="L121" i="5"/>
  <c r="N121" i="5"/>
  <c r="Q121" i="5"/>
  <c r="S121" i="5" s="1"/>
  <c r="R121" i="5"/>
  <c r="T121" i="5"/>
  <c r="C122" i="5"/>
  <c r="D122" i="5"/>
  <c r="E122" i="5"/>
  <c r="F122" i="5"/>
  <c r="H122" i="5"/>
  <c r="I122" i="5"/>
  <c r="N122" i="5"/>
  <c r="Q122" i="5"/>
  <c r="R122" i="5"/>
  <c r="S122" i="5"/>
  <c r="T122" i="5"/>
  <c r="C123" i="5"/>
  <c r="L123" i="5" s="1"/>
  <c r="D123" i="5"/>
  <c r="E123" i="5"/>
  <c r="F123" i="5"/>
  <c r="H123" i="5"/>
  <c r="I123" i="5"/>
  <c r="N123" i="5"/>
  <c r="N1066" i="5" s="1"/>
  <c r="R123" i="5"/>
  <c r="Q123" i="5" s="1"/>
  <c r="S123" i="5" s="1"/>
  <c r="T123" i="5"/>
  <c r="C124" i="5"/>
  <c r="D124" i="5"/>
  <c r="E124" i="5"/>
  <c r="F124" i="5"/>
  <c r="H124" i="5"/>
  <c r="I124" i="5"/>
  <c r="N124" i="5"/>
  <c r="Q124" i="5"/>
  <c r="S124" i="5" s="1"/>
  <c r="R124" i="5"/>
  <c r="T124" i="5"/>
  <c r="C125" i="5"/>
  <c r="D125" i="5"/>
  <c r="E125" i="5"/>
  <c r="F125" i="5"/>
  <c r="H125" i="5"/>
  <c r="I125" i="5"/>
  <c r="N125" i="5"/>
  <c r="Q125" i="5"/>
  <c r="S125" i="5" s="1"/>
  <c r="R125" i="5"/>
  <c r="T125" i="5"/>
  <c r="C126" i="5"/>
  <c r="L126" i="5" s="1"/>
  <c r="D126" i="5"/>
  <c r="E126" i="5"/>
  <c r="F126" i="5"/>
  <c r="H126" i="5"/>
  <c r="I126" i="5"/>
  <c r="N126" i="5"/>
  <c r="R126" i="5"/>
  <c r="Q126" i="5" s="1"/>
  <c r="S126" i="5" s="1"/>
  <c r="T126" i="5"/>
  <c r="C127" i="5"/>
  <c r="D127" i="5"/>
  <c r="E127" i="5"/>
  <c r="F127" i="5"/>
  <c r="H127" i="5"/>
  <c r="I127" i="5"/>
  <c r="L127" i="5" s="1"/>
  <c r="N127" i="5"/>
  <c r="Q127" i="5"/>
  <c r="S127" i="5" s="1"/>
  <c r="R127" i="5"/>
  <c r="T127" i="5"/>
  <c r="C128" i="5"/>
  <c r="D128" i="5"/>
  <c r="E128" i="5"/>
  <c r="F128" i="5"/>
  <c r="H128" i="5"/>
  <c r="I128" i="5"/>
  <c r="N128" i="5"/>
  <c r="Q128" i="5"/>
  <c r="S128" i="5" s="1"/>
  <c r="R128" i="5"/>
  <c r="T128" i="5"/>
  <c r="T1066" i="5" s="1"/>
  <c r="C129" i="5"/>
  <c r="L129" i="5" s="1"/>
  <c r="D129" i="5"/>
  <c r="E129" i="5"/>
  <c r="F129" i="5"/>
  <c r="H129" i="5"/>
  <c r="I129" i="5"/>
  <c r="N129" i="5"/>
  <c r="Q129" i="5"/>
  <c r="R129" i="5"/>
  <c r="T129" i="5"/>
  <c r="C130" i="5"/>
  <c r="D130" i="5"/>
  <c r="E130" i="5"/>
  <c r="F130" i="5"/>
  <c r="H130" i="5"/>
  <c r="I130" i="5"/>
  <c r="I1066" i="5" s="1"/>
  <c r="N130" i="5"/>
  <c r="Q130" i="5"/>
  <c r="R130" i="5"/>
  <c r="S130" i="5"/>
  <c r="T130" i="5"/>
  <c r="C131" i="5"/>
  <c r="D131" i="5"/>
  <c r="L131" i="5" s="1"/>
  <c r="E131" i="5"/>
  <c r="F131" i="5"/>
  <c r="H131" i="5"/>
  <c r="I131" i="5"/>
  <c r="N131" i="5"/>
  <c r="R131" i="5"/>
  <c r="Q131" i="5" s="1"/>
  <c r="S131" i="5" s="1"/>
  <c r="T131" i="5"/>
  <c r="C132" i="5"/>
  <c r="D132" i="5"/>
  <c r="E132" i="5"/>
  <c r="F132" i="5"/>
  <c r="H132" i="5"/>
  <c r="I132" i="5"/>
  <c r="N132" i="5"/>
  <c r="Q132" i="5"/>
  <c r="S132" i="5" s="1"/>
  <c r="R132" i="5"/>
  <c r="T132" i="5"/>
  <c r="C133" i="5"/>
  <c r="L133" i="5" s="1"/>
  <c r="D133" i="5"/>
  <c r="E133" i="5"/>
  <c r="F133" i="5"/>
  <c r="H133" i="5"/>
  <c r="I133" i="5"/>
  <c r="N133" i="5"/>
  <c r="Q133" i="5"/>
  <c r="R133" i="5"/>
  <c r="T133" i="5"/>
  <c r="C134" i="5"/>
  <c r="D134" i="5"/>
  <c r="E134" i="5"/>
  <c r="F134" i="5"/>
  <c r="H134" i="5"/>
  <c r="I134" i="5"/>
  <c r="I1067" i="5" s="1"/>
  <c r="N134" i="5"/>
  <c r="Q134" i="5"/>
  <c r="S134" i="5" s="1"/>
  <c r="R134" i="5"/>
  <c r="T134" i="5"/>
  <c r="C135" i="5"/>
  <c r="D135" i="5"/>
  <c r="E135" i="5"/>
  <c r="F135" i="5"/>
  <c r="H135" i="5"/>
  <c r="I135" i="5"/>
  <c r="N135" i="5"/>
  <c r="Q135" i="5"/>
  <c r="S135" i="5" s="1"/>
  <c r="R135" i="5"/>
  <c r="T135" i="5"/>
  <c r="C136" i="5"/>
  <c r="L136" i="5" s="1"/>
  <c r="D136" i="5"/>
  <c r="E136" i="5"/>
  <c r="F136" i="5"/>
  <c r="H136" i="5"/>
  <c r="I136" i="5"/>
  <c r="N136" i="5"/>
  <c r="R136" i="5"/>
  <c r="Q136" i="5" s="1"/>
  <c r="S136" i="5" s="1"/>
  <c r="T136" i="5"/>
  <c r="C137" i="5"/>
  <c r="D137" i="5"/>
  <c r="E137" i="5"/>
  <c r="F137" i="5"/>
  <c r="H137" i="5"/>
  <c r="L137" i="5" s="1"/>
  <c r="I137" i="5"/>
  <c r="N137" i="5"/>
  <c r="Q137" i="5"/>
  <c r="S137" i="5" s="1"/>
  <c r="R137" i="5"/>
  <c r="T137" i="5"/>
  <c r="C138" i="5"/>
  <c r="D138" i="5"/>
  <c r="E138" i="5"/>
  <c r="F138" i="5"/>
  <c r="H138" i="5"/>
  <c r="I138" i="5"/>
  <c r="N138" i="5"/>
  <c r="Q138" i="5"/>
  <c r="R138" i="5"/>
  <c r="S138" i="5"/>
  <c r="T138" i="5"/>
  <c r="C139" i="5"/>
  <c r="D139" i="5"/>
  <c r="E139" i="5"/>
  <c r="F139" i="5"/>
  <c r="H139" i="5"/>
  <c r="I139" i="5"/>
  <c r="L139" i="5"/>
  <c r="N139" i="5"/>
  <c r="Q139" i="5"/>
  <c r="S139" i="5" s="1"/>
  <c r="R139" i="5"/>
  <c r="T139" i="5"/>
  <c r="C140" i="5"/>
  <c r="D140" i="5"/>
  <c r="E140" i="5"/>
  <c r="F140" i="5"/>
  <c r="H140" i="5"/>
  <c r="I140" i="5"/>
  <c r="N140" i="5"/>
  <c r="Q140" i="5"/>
  <c r="S140" i="5" s="1"/>
  <c r="R140" i="5"/>
  <c r="T140" i="5"/>
  <c r="C141" i="5"/>
  <c r="D141" i="5"/>
  <c r="E141" i="5"/>
  <c r="F141" i="5"/>
  <c r="H141" i="5"/>
  <c r="I141" i="5"/>
  <c r="N141" i="5"/>
  <c r="Q141" i="5"/>
  <c r="S141" i="5" s="1"/>
  <c r="R141" i="5"/>
  <c r="T141" i="5"/>
  <c r="C142" i="5"/>
  <c r="D142" i="5"/>
  <c r="E142" i="5"/>
  <c r="F142" i="5"/>
  <c r="H142" i="5"/>
  <c r="I142" i="5"/>
  <c r="N142" i="5"/>
  <c r="Q142" i="5"/>
  <c r="S142" i="5" s="1"/>
  <c r="R142" i="5"/>
  <c r="T142" i="5"/>
  <c r="C143" i="5"/>
  <c r="D143" i="5"/>
  <c r="E143" i="5"/>
  <c r="F143" i="5"/>
  <c r="H143" i="5"/>
  <c r="I143" i="5"/>
  <c r="N143" i="5"/>
  <c r="Q143" i="5"/>
  <c r="S143" i="5" s="1"/>
  <c r="R143" i="5"/>
  <c r="T143" i="5"/>
  <c r="C144" i="5"/>
  <c r="D144" i="5"/>
  <c r="E144" i="5"/>
  <c r="F144" i="5"/>
  <c r="H144" i="5"/>
  <c r="I144" i="5"/>
  <c r="N144" i="5"/>
  <c r="R144" i="5"/>
  <c r="T144" i="5"/>
  <c r="C145" i="5"/>
  <c r="D145" i="5"/>
  <c r="E145" i="5"/>
  <c r="F145" i="5"/>
  <c r="H145" i="5"/>
  <c r="I145" i="5"/>
  <c r="N145" i="5"/>
  <c r="Q145" i="5"/>
  <c r="S145" i="5" s="1"/>
  <c r="R145" i="5"/>
  <c r="T145" i="5"/>
  <c r="C146" i="5"/>
  <c r="D146" i="5"/>
  <c r="E146" i="5"/>
  <c r="F146" i="5"/>
  <c r="H146" i="5"/>
  <c r="I146" i="5"/>
  <c r="N146" i="5"/>
  <c r="Q146" i="5"/>
  <c r="R146" i="5"/>
  <c r="S146" i="5"/>
  <c r="T146" i="5"/>
  <c r="C147" i="5"/>
  <c r="L147" i="5" s="1"/>
  <c r="D147" i="5"/>
  <c r="E147" i="5"/>
  <c r="F147" i="5"/>
  <c r="H147" i="5"/>
  <c r="I147" i="5"/>
  <c r="N147" i="5"/>
  <c r="Q147" i="5"/>
  <c r="S147" i="5" s="1"/>
  <c r="R147" i="5"/>
  <c r="T147" i="5"/>
  <c r="C148" i="5"/>
  <c r="D148" i="5"/>
  <c r="E148" i="5"/>
  <c r="F148" i="5"/>
  <c r="H148" i="5"/>
  <c r="I148" i="5"/>
  <c r="N148" i="5"/>
  <c r="Q148" i="5"/>
  <c r="S148" i="5" s="1"/>
  <c r="R148" i="5"/>
  <c r="T148" i="5"/>
  <c r="C149" i="5"/>
  <c r="D149" i="5"/>
  <c r="E149" i="5"/>
  <c r="F149" i="5"/>
  <c r="H149" i="5"/>
  <c r="I149" i="5"/>
  <c r="N149" i="5"/>
  <c r="R149" i="5"/>
  <c r="Q149" i="5" s="1"/>
  <c r="S149" i="5" s="1"/>
  <c r="T149" i="5"/>
  <c r="C150" i="5"/>
  <c r="D150" i="5"/>
  <c r="D1068" i="5" s="1"/>
  <c r="E150" i="5"/>
  <c r="F150" i="5"/>
  <c r="H150" i="5"/>
  <c r="I150" i="5"/>
  <c r="N150" i="5"/>
  <c r="R150" i="5"/>
  <c r="Q150" i="5" s="1"/>
  <c r="S150" i="5"/>
  <c r="T150" i="5"/>
  <c r="C151" i="5"/>
  <c r="D151" i="5"/>
  <c r="E151" i="5"/>
  <c r="F151" i="5"/>
  <c r="H151" i="5"/>
  <c r="I151" i="5"/>
  <c r="L151" i="5"/>
  <c r="N151" i="5"/>
  <c r="Q151" i="5"/>
  <c r="S151" i="5" s="1"/>
  <c r="R151" i="5"/>
  <c r="T151" i="5"/>
  <c r="C152" i="5"/>
  <c r="D152" i="5"/>
  <c r="E152" i="5"/>
  <c r="F152" i="5"/>
  <c r="H152" i="5"/>
  <c r="I152" i="5"/>
  <c r="N152" i="5"/>
  <c r="R152" i="5"/>
  <c r="Q152" i="5" s="1"/>
  <c r="S152" i="5" s="1"/>
  <c r="T152" i="5"/>
  <c r="C153" i="5"/>
  <c r="L153" i="5" s="1"/>
  <c r="D153" i="5"/>
  <c r="E153" i="5"/>
  <c r="F153" i="5"/>
  <c r="H153" i="5"/>
  <c r="I153" i="5"/>
  <c r="N153" i="5"/>
  <c r="Q153" i="5"/>
  <c r="S153" i="5" s="1"/>
  <c r="R153" i="5"/>
  <c r="T153" i="5"/>
  <c r="C154" i="5"/>
  <c r="D154" i="5"/>
  <c r="E154" i="5"/>
  <c r="F154" i="5"/>
  <c r="H154" i="5"/>
  <c r="I154" i="5"/>
  <c r="N154" i="5"/>
  <c r="Q154" i="5"/>
  <c r="R154" i="5"/>
  <c r="S154" i="5"/>
  <c r="T154" i="5"/>
  <c r="C155" i="5"/>
  <c r="D155" i="5"/>
  <c r="E155" i="5"/>
  <c r="F155" i="5"/>
  <c r="H155" i="5"/>
  <c r="I155" i="5"/>
  <c r="N155" i="5"/>
  <c r="Q155" i="5"/>
  <c r="S155" i="5" s="1"/>
  <c r="R155" i="5"/>
  <c r="T155" i="5"/>
  <c r="C156" i="5"/>
  <c r="D156" i="5"/>
  <c r="E156" i="5"/>
  <c r="F156" i="5"/>
  <c r="H156" i="5"/>
  <c r="H1069" i="5" s="1"/>
  <c r="I156" i="5"/>
  <c r="N156" i="5"/>
  <c r="Q156" i="5"/>
  <c r="S156" i="5" s="1"/>
  <c r="R156" i="5"/>
  <c r="T156" i="5"/>
  <c r="C157" i="5"/>
  <c r="D157" i="5"/>
  <c r="E157" i="5"/>
  <c r="F157" i="5"/>
  <c r="H157" i="5"/>
  <c r="I157" i="5"/>
  <c r="N157" i="5"/>
  <c r="Q157" i="5"/>
  <c r="S157" i="5" s="1"/>
  <c r="R157" i="5"/>
  <c r="T157" i="5"/>
  <c r="C158" i="5"/>
  <c r="D158" i="5"/>
  <c r="E158" i="5"/>
  <c r="F158" i="5"/>
  <c r="H158" i="5"/>
  <c r="I158" i="5"/>
  <c r="N158" i="5"/>
  <c r="R158" i="5"/>
  <c r="Q158" i="5" s="1"/>
  <c r="S158" i="5"/>
  <c r="T158" i="5"/>
  <c r="C159" i="5"/>
  <c r="D159" i="5"/>
  <c r="E159" i="5"/>
  <c r="F159" i="5"/>
  <c r="H159" i="5"/>
  <c r="I159" i="5"/>
  <c r="L159" i="5"/>
  <c r="N159" i="5"/>
  <c r="Q159" i="5"/>
  <c r="S159" i="5" s="1"/>
  <c r="R159" i="5"/>
  <c r="T159" i="5"/>
  <c r="C160" i="5"/>
  <c r="D160" i="5"/>
  <c r="E160" i="5"/>
  <c r="F160" i="5"/>
  <c r="F1069" i="5" s="1"/>
  <c r="H160" i="5"/>
  <c r="I160" i="5"/>
  <c r="N160" i="5"/>
  <c r="Q160" i="5"/>
  <c r="S160" i="5" s="1"/>
  <c r="R160" i="5"/>
  <c r="T160" i="5"/>
  <c r="C161" i="5"/>
  <c r="L161" i="5" s="1"/>
  <c r="D161" i="5"/>
  <c r="E161" i="5"/>
  <c r="F161" i="5"/>
  <c r="H161" i="5"/>
  <c r="I161" i="5"/>
  <c r="N161" i="5"/>
  <c r="Q161" i="5"/>
  <c r="S161" i="5" s="1"/>
  <c r="R161" i="5"/>
  <c r="T161" i="5"/>
  <c r="C162" i="5"/>
  <c r="D162" i="5"/>
  <c r="E162" i="5"/>
  <c r="F162" i="5"/>
  <c r="H162" i="5"/>
  <c r="I162" i="5"/>
  <c r="N162" i="5"/>
  <c r="Q162" i="5"/>
  <c r="R162" i="5"/>
  <c r="S162" i="5"/>
  <c r="T162" i="5"/>
  <c r="C163" i="5"/>
  <c r="D163" i="5"/>
  <c r="L163" i="5" s="1"/>
  <c r="E163" i="5"/>
  <c r="F163" i="5"/>
  <c r="H163" i="5"/>
  <c r="I163" i="5"/>
  <c r="N163" i="5"/>
  <c r="R163" i="5"/>
  <c r="Q163" i="5" s="1"/>
  <c r="S163" i="5" s="1"/>
  <c r="T163" i="5"/>
  <c r="C164" i="5"/>
  <c r="D164" i="5"/>
  <c r="E164" i="5"/>
  <c r="F164" i="5"/>
  <c r="H164" i="5"/>
  <c r="I164" i="5"/>
  <c r="N164" i="5"/>
  <c r="Q164" i="5"/>
  <c r="S164" i="5" s="1"/>
  <c r="R164" i="5"/>
  <c r="T164" i="5"/>
  <c r="C165" i="5"/>
  <c r="D165" i="5"/>
  <c r="E165" i="5"/>
  <c r="F165" i="5"/>
  <c r="H165" i="5"/>
  <c r="I165" i="5"/>
  <c r="N165" i="5"/>
  <c r="Q165" i="5"/>
  <c r="S165" i="5" s="1"/>
  <c r="R165" i="5"/>
  <c r="T165" i="5"/>
  <c r="C166" i="5"/>
  <c r="D166" i="5"/>
  <c r="E166" i="5"/>
  <c r="F166" i="5"/>
  <c r="H166" i="5"/>
  <c r="I166" i="5"/>
  <c r="N166" i="5"/>
  <c r="Q166" i="5"/>
  <c r="S166" i="5" s="1"/>
  <c r="R166" i="5"/>
  <c r="T166" i="5"/>
  <c r="C167" i="5"/>
  <c r="D167" i="5"/>
  <c r="E167" i="5"/>
  <c r="F167" i="5"/>
  <c r="L167" i="5" s="1"/>
  <c r="H167" i="5"/>
  <c r="I167" i="5"/>
  <c r="N167" i="5"/>
  <c r="Q167" i="5"/>
  <c r="S167" i="5" s="1"/>
  <c r="R167" i="5"/>
  <c r="T167" i="5"/>
  <c r="C168" i="5"/>
  <c r="L168" i="5" s="1"/>
  <c r="D168" i="5"/>
  <c r="E168" i="5"/>
  <c r="F168" i="5"/>
  <c r="H168" i="5"/>
  <c r="I168" i="5"/>
  <c r="N168" i="5"/>
  <c r="Q168" i="5"/>
  <c r="S168" i="5" s="1"/>
  <c r="R168" i="5"/>
  <c r="T168" i="5"/>
  <c r="C169" i="5"/>
  <c r="D169" i="5"/>
  <c r="E169" i="5"/>
  <c r="F169" i="5"/>
  <c r="H169" i="5"/>
  <c r="I169" i="5"/>
  <c r="N169" i="5"/>
  <c r="Q169" i="5"/>
  <c r="S169" i="5" s="1"/>
  <c r="R169" i="5"/>
  <c r="T169" i="5"/>
  <c r="C170" i="5"/>
  <c r="D170" i="5"/>
  <c r="E170" i="5"/>
  <c r="F170" i="5"/>
  <c r="H170" i="5"/>
  <c r="I170" i="5"/>
  <c r="N170" i="5"/>
  <c r="Q170" i="5"/>
  <c r="R170" i="5"/>
  <c r="S170" i="5"/>
  <c r="T170" i="5"/>
  <c r="C171" i="5"/>
  <c r="D171" i="5"/>
  <c r="E171" i="5"/>
  <c r="F171" i="5"/>
  <c r="H171" i="5"/>
  <c r="I171" i="5"/>
  <c r="L171" i="5"/>
  <c r="N171" i="5"/>
  <c r="Q171" i="5"/>
  <c r="S171" i="5" s="1"/>
  <c r="R171" i="5"/>
  <c r="T171" i="5"/>
  <c r="C172" i="5"/>
  <c r="D172" i="5"/>
  <c r="E172" i="5"/>
  <c r="F172" i="5"/>
  <c r="H172" i="5"/>
  <c r="I172" i="5"/>
  <c r="N172" i="5"/>
  <c r="Q172" i="5"/>
  <c r="S172" i="5" s="1"/>
  <c r="R172" i="5"/>
  <c r="T172" i="5"/>
  <c r="C173" i="5"/>
  <c r="L173" i="5" s="1"/>
  <c r="D173" i="5"/>
  <c r="E173" i="5"/>
  <c r="F173" i="5"/>
  <c r="H173" i="5"/>
  <c r="I173" i="5"/>
  <c r="N173" i="5"/>
  <c r="Q173" i="5"/>
  <c r="R173" i="5"/>
  <c r="T173" i="5"/>
  <c r="C174" i="5"/>
  <c r="D174" i="5"/>
  <c r="E174" i="5"/>
  <c r="F174" i="5"/>
  <c r="H174" i="5"/>
  <c r="I174" i="5"/>
  <c r="I1070" i="5" s="1"/>
  <c r="N174" i="5"/>
  <c r="R174" i="5"/>
  <c r="Q174" i="5" s="1"/>
  <c r="S174" i="5" s="1"/>
  <c r="T174" i="5"/>
  <c r="C175" i="5"/>
  <c r="D175" i="5"/>
  <c r="E175" i="5"/>
  <c r="F175" i="5"/>
  <c r="L175" i="5" s="1"/>
  <c r="H175" i="5"/>
  <c r="I175" i="5"/>
  <c r="N175" i="5"/>
  <c r="Q175" i="5"/>
  <c r="S175" i="5" s="1"/>
  <c r="R175" i="5"/>
  <c r="T175" i="5"/>
  <c r="C176" i="5"/>
  <c r="D176" i="5"/>
  <c r="E176" i="5"/>
  <c r="F176" i="5"/>
  <c r="H176" i="5"/>
  <c r="I176" i="5"/>
  <c r="N176" i="5"/>
  <c r="Q176" i="5"/>
  <c r="R176" i="5"/>
  <c r="S176" i="5"/>
  <c r="T176" i="5"/>
  <c r="C177" i="5"/>
  <c r="D177" i="5"/>
  <c r="E177" i="5"/>
  <c r="F177" i="5"/>
  <c r="H177" i="5"/>
  <c r="I177" i="5"/>
  <c r="L177" i="5"/>
  <c r="N177" i="5"/>
  <c r="Q177" i="5"/>
  <c r="S177" i="5" s="1"/>
  <c r="R177" i="5"/>
  <c r="T177" i="5"/>
  <c r="C178" i="5"/>
  <c r="D178" i="5"/>
  <c r="E178" i="5"/>
  <c r="F178" i="5"/>
  <c r="H178" i="5"/>
  <c r="I178" i="5"/>
  <c r="N178" i="5"/>
  <c r="Q178" i="5"/>
  <c r="R178" i="5"/>
  <c r="S178" i="5"/>
  <c r="T178" i="5"/>
  <c r="C179" i="5"/>
  <c r="L179" i="5" s="1"/>
  <c r="D179" i="5"/>
  <c r="E179" i="5"/>
  <c r="F179" i="5"/>
  <c r="H179" i="5"/>
  <c r="I179" i="5"/>
  <c r="N179" i="5"/>
  <c r="Q179" i="5"/>
  <c r="S179" i="5" s="1"/>
  <c r="R179" i="5"/>
  <c r="T179" i="5"/>
  <c r="C180" i="5"/>
  <c r="D180" i="5"/>
  <c r="E180" i="5"/>
  <c r="F180" i="5"/>
  <c r="H180" i="5"/>
  <c r="I180" i="5"/>
  <c r="I1071" i="5" s="1"/>
  <c r="N180" i="5"/>
  <c r="Q180" i="5"/>
  <c r="S180" i="5" s="1"/>
  <c r="R180" i="5"/>
  <c r="T180" i="5"/>
  <c r="C181" i="5"/>
  <c r="D181" i="5"/>
  <c r="E181" i="5"/>
  <c r="F181" i="5"/>
  <c r="H181" i="5"/>
  <c r="I181" i="5"/>
  <c r="N181" i="5"/>
  <c r="R181" i="5"/>
  <c r="Q181" i="5" s="1"/>
  <c r="S181" i="5" s="1"/>
  <c r="T181" i="5"/>
  <c r="C182" i="5"/>
  <c r="L182" i="5" s="1"/>
  <c r="D182" i="5"/>
  <c r="E182" i="5"/>
  <c r="F182" i="5"/>
  <c r="H182" i="5"/>
  <c r="I182" i="5"/>
  <c r="N182" i="5"/>
  <c r="Q182" i="5"/>
  <c r="S182" i="5" s="1"/>
  <c r="R182" i="5"/>
  <c r="T182" i="5"/>
  <c r="C183" i="5"/>
  <c r="D183" i="5"/>
  <c r="E183" i="5"/>
  <c r="F183" i="5"/>
  <c r="H183" i="5"/>
  <c r="I183" i="5"/>
  <c r="N183" i="5"/>
  <c r="Q183" i="5"/>
  <c r="S183" i="5" s="1"/>
  <c r="R183" i="5"/>
  <c r="T183" i="5"/>
  <c r="C184" i="5"/>
  <c r="L184" i="5" s="1"/>
  <c r="D184" i="5"/>
  <c r="E184" i="5"/>
  <c r="F184" i="5"/>
  <c r="H184" i="5"/>
  <c r="I184" i="5"/>
  <c r="N184" i="5"/>
  <c r="R184" i="5"/>
  <c r="Q184" i="5" s="1"/>
  <c r="S184" i="5"/>
  <c r="T184" i="5"/>
  <c r="C185" i="5"/>
  <c r="D185" i="5"/>
  <c r="E185" i="5"/>
  <c r="F185" i="5"/>
  <c r="H185" i="5"/>
  <c r="I185" i="5"/>
  <c r="L185" i="5"/>
  <c r="N185" i="5"/>
  <c r="Q185" i="5"/>
  <c r="S185" i="5" s="1"/>
  <c r="R185" i="5"/>
  <c r="T185" i="5"/>
  <c r="C186" i="5"/>
  <c r="D186" i="5"/>
  <c r="E186" i="5"/>
  <c r="F186" i="5"/>
  <c r="H186" i="5"/>
  <c r="I186" i="5"/>
  <c r="N186" i="5"/>
  <c r="Q186" i="5"/>
  <c r="R186" i="5"/>
  <c r="S186" i="5"/>
  <c r="T186" i="5"/>
  <c r="C187" i="5"/>
  <c r="L187" i="5" s="1"/>
  <c r="D187" i="5"/>
  <c r="E187" i="5"/>
  <c r="F187" i="5"/>
  <c r="H187" i="5"/>
  <c r="I187" i="5"/>
  <c r="N187" i="5"/>
  <c r="R187" i="5"/>
  <c r="Q187" i="5" s="1"/>
  <c r="S187" i="5" s="1"/>
  <c r="T187" i="5"/>
  <c r="C188" i="5"/>
  <c r="D188" i="5"/>
  <c r="E188" i="5"/>
  <c r="F188" i="5"/>
  <c r="H188" i="5"/>
  <c r="I188" i="5"/>
  <c r="N188" i="5"/>
  <c r="Q188" i="5"/>
  <c r="R188" i="5"/>
  <c r="T188" i="5"/>
  <c r="C189" i="5"/>
  <c r="D189" i="5"/>
  <c r="E189" i="5"/>
  <c r="F189" i="5"/>
  <c r="H189" i="5"/>
  <c r="I189" i="5"/>
  <c r="N189" i="5"/>
  <c r="Q189" i="5"/>
  <c r="S189" i="5" s="1"/>
  <c r="R189" i="5"/>
  <c r="T189" i="5"/>
  <c r="C190" i="5"/>
  <c r="D190" i="5"/>
  <c r="E190" i="5"/>
  <c r="F190" i="5"/>
  <c r="H190" i="5"/>
  <c r="I190" i="5"/>
  <c r="N190" i="5"/>
  <c r="R190" i="5"/>
  <c r="Q190" i="5" s="1"/>
  <c r="S190" i="5" s="1"/>
  <c r="T190" i="5"/>
  <c r="C191" i="5"/>
  <c r="D191" i="5"/>
  <c r="E191" i="5"/>
  <c r="F191" i="5"/>
  <c r="H191" i="5"/>
  <c r="I191" i="5"/>
  <c r="L191" i="5" s="1"/>
  <c r="N191" i="5"/>
  <c r="Q191" i="5"/>
  <c r="S191" i="5" s="1"/>
  <c r="R191" i="5"/>
  <c r="T191" i="5"/>
  <c r="C192" i="5"/>
  <c r="D192" i="5"/>
  <c r="E192" i="5"/>
  <c r="F192" i="5"/>
  <c r="H192" i="5"/>
  <c r="I192" i="5"/>
  <c r="N192" i="5"/>
  <c r="Q192" i="5"/>
  <c r="S192" i="5" s="1"/>
  <c r="R192" i="5"/>
  <c r="T192" i="5"/>
  <c r="C193" i="5"/>
  <c r="L193" i="5" s="1"/>
  <c r="D193" i="5"/>
  <c r="E193" i="5"/>
  <c r="F193" i="5"/>
  <c r="H193" i="5"/>
  <c r="I193" i="5"/>
  <c r="N193" i="5"/>
  <c r="Q193" i="5"/>
  <c r="S193" i="5" s="1"/>
  <c r="R193" i="5"/>
  <c r="T193" i="5"/>
  <c r="C194" i="5"/>
  <c r="D194" i="5"/>
  <c r="E194" i="5"/>
  <c r="F194" i="5"/>
  <c r="H194" i="5"/>
  <c r="I194" i="5"/>
  <c r="N194" i="5"/>
  <c r="Q194" i="5"/>
  <c r="R194" i="5"/>
  <c r="S194" i="5"/>
  <c r="T194" i="5"/>
  <c r="C195" i="5"/>
  <c r="D195" i="5"/>
  <c r="L195" i="5" s="1"/>
  <c r="E195" i="5"/>
  <c r="F195" i="5"/>
  <c r="H195" i="5"/>
  <c r="I195" i="5"/>
  <c r="N195" i="5"/>
  <c r="R195" i="5"/>
  <c r="T195" i="5"/>
  <c r="C196" i="5"/>
  <c r="D196" i="5"/>
  <c r="E196" i="5"/>
  <c r="F196" i="5"/>
  <c r="H196" i="5"/>
  <c r="I196" i="5"/>
  <c r="N196" i="5"/>
  <c r="Q196" i="5"/>
  <c r="S196" i="5" s="1"/>
  <c r="R196" i="5"/>
  <c r="T196" i="5"/>
  <c r="C197" i="5"/>
  <c r="D197" i="5"/>
  <c r="E197" i="5"/>
  <c r="F197" i="5"/>
  <c r="H197" i="5"/>
  <c r="I197" i="5"/>
  <c r="N197" i="5"/>
  <c r="Q197" i="5"/>
  <c r="S197" i="5" s="1"/>
  <c r="R197" i="5"/>
  <c r="T197" i="5"/>
  <c r="C198" i="5"/>
  <c r="D198" i="5"/>
  <c r="E198" i="5"/>
  <c r="F198" i="5"/>
  <c r="H198" i="5"/>
  <c r="I198" i="5"/>
  <c r="N198" i="5"/>
  <c r="Q198" i="5"/>
  <c r="S198" i="5" s="1"/>
  <c r="R198" i="5"/>
  <c r="T198" i="5"/>
  <c r="C199" i="5"/>
  <c r="D199" i="5"/>
  <c r="E199" i="5"/>
  <c r="F199" i="5"/>
  <c r="L199" i="5" s="1"/>
  <c r="H199" i="5"/>
  <c r="I199" i="5"/>
  <c r="N199" i="5"/>
  <c r="Q199" i="5"/>
  <c r="S199" i="5" s="1"/>
  <c r="R199" i="5"/>
  <c r="T199" i="5"/>
  <c r="C200" i="5"/>
  <c r="L200" i="5" s="1"/>
  <c r="D200" i="5"/>
  <c r="E200" i="5"/>
  <c r="F200" i="5"/>
  <c r="H200" i="5"/>
  <c r="I200" i="5"/>
  <c r="N200" i="5"/>
  <c r="Q200" i="5"/>
  <c r="S200" i="5" s="1"/>
  <c r="R200" i="5"/>
  <c r="T200" i="5"/>
  <c r="C201" i="5"/>
  <c r="D201" i="5"/>
  <c r="E201" i="5"/>
  <c r="F201" i="5"/>
  <c r="H201" i="5"/>
  <c r="L201" i="5" s="1"/>
  <c r="I201" i="5"/>
  <c r="N201" i="5"/>
  <c r="Q201" i="5"/>
  <c r="S201" i="5" s="1"/>
  <c r="R201" i="5"/>
  <c r="T201" i="5"/>
  <c r="C202" i="5"/>
  <c r="D202" i="5"/>
  <c r="E202" i="5"/>
  <c r="E1072" i="5" s="1"/>
  <c r="F202" i="5"/>
  <c r="H202" i="5"/>
  <c r="I202" i="5"/>
  <c r="N202" i="5"/>
  <c r="Q202" i="5"/>
  <c r="R202" i="5"/>
  <c r="S202" i="5"/>
  <c r="T202" i="5"/>
  <c r="C203" i="5"/>
  <c r="D203" i="5"/>
  <c r="E203" i="5"/>
  <c r="F203" i="5"/>
  <c r="H203" i="5"/>
  <c r="I203" i="5"/>
  <c r="L203" i="5"/>
  <c r="N203" i="5"/>
  <c r="Q203" i="5"/>
  <c r="S203" i="5" s="1"/>
  <c r="R203" i="5"/>
  <c r="T203" i="5"/>
  <c r="C204" i="5"/>
  <c r="D204" i="5"/>
  <c r="E204" i="5"/>
  <c r="F204" i="5"/>
  <c r="H204" i="5"/>
  <c r="I204" i="5"/>
  <c r="N204" i="5"/>
  <c r="Q204" i="5"/>
  <c r="S204" i="5" s="1"/>
  <c r="R204" i="5"/>
  <c r="T204" i="5"/>
  <c r="C205" i="5"/>
  <c r="D205" i="5"/>
  <c r="E205" i="5"/>
  <c r="F205" i="5"/>
  <c r="H205" i="5"/>
  <c r="I205" i="5"/>
  <c r="N205" i="5"/>
  <c r="R205" i="5"/>
  <c r="Q205" i="5" s="1"/>
  <c r="S205" i="5" s="1"/>
  <c r="T205" i="5"/>
  <c r="C206" i="5"/>
  <c r="L206" i="5" s="1"/>
  <c r="D206" i="5"/>
  <c r="E206" i="5"/>
  <c r="F206" i="5"/>
  <c r="H206" i="5"/>
  <c r="I206" i="5"/>
  <c r="N206" i="5"/>
  <c r="R206" i="5"/>
  <c r="Q206" i="5" s="1"/>
  <c r="T206" i="5"/>
  <c r="C207" i="5"/>
  <c r="D207" i="5"/>
  <c r="E207" i="5"/>
  <c r="F207" i="5"/>
  <c r="H207" i="5"/>
  <c r="I207" i="5"/>
  <c r="N207" i="5"/>
  <c r="Q207" i="5"/>
  <c r="S207" i="5" s="1"/>
  <c r="R207" i="5"/>
  <c r="T207" i="5"/>
  <c r="C208" i="5"/>
  <c r="L208" i="5" s="1"/>
  <c r="D208" i="5"/>
  <c r="E208" i="5"/>
  <c r="F208" i="5"/>
  <c r="H208" i="5"/>
  <c r="I208" i="5"/>
  <c r="N208" i="5"/>
  <c r="Q208" i="5"/>
  <c r="S208" i="5" s="1"/>
  <c r="R208" i="5"/>
  <c r="T208" i="5"/>
  <c r="C209" i="5"/>
  <c r="D209" i="5"/>
  <c r="E209" i="5"/>
  <c r="F209" i="5"/>
  <c r="H209" i="5"/>
  <c r="L209" i="5" s="1"/>
  <c r="I209" i="5"/>
  <c r="N209" i="5"/>
  <c r="Q209" i="5"/>
  <c r="S209" i="5" s="1"/>
  <c r="R209" i="5"/>
  <c r="T209" i="5"/>
  <c r="C210" i="5"/>
  <c r="D210" i="5"/>
  <c r="D1073" i="5" s="1"/>
  <c r="E210" i="5"/>
  <c r="F210" i="5"/>
  <c r="H210" i="5"/>
  <c r="I210" i="5"/>
  <c r="N210" i="5"/>
  <c r="Q210" i="5"/>
  <c r="R210" i="5"/>
  <c r="S210" i="5"/>
  <c r="T210" i="5"/>
  <c r="C211" i="5"/>
  <c r="D211" i="5"/>
  <c r="E211" i="5"/>
  <c r="F211" i="5"/>
  <c r="H211" i="5"/>
  <c r="I211" i="5"/>
  <c r="L211" i="5"/>
  <c r="N211" i="5"/>
  <c r="R211" i="5"/>
  <c r="Q211" i="5" s="1"/>
  <c r="S211" i="5" s="1"/>
  <c r="T211" i="5"/>
  <c r="C212" i="5"/>
  <c r="D212" i="5"/>
  <c r="E212" i="5"/>
  <c r="F212" i="5"/>
  <c r="H212" i="5"/>
  <c r="I212" i="5"/>
  <c r="N212" i="5"/>
  <c r="Q212" i="5"/>
  <c r="S212" i="5" s="1"/>
  <c r="R212" i="5"/>
  <c r="T212" i="5"/>
  <c r="C213" i="5"/>
  <c r="D213" i="5"/>
  <c r="E213" i="5"/>
  <c r="F213" i="5"/>
  <c r="H213" i="5"/>
  <c r="I213" i="5"/>
  <c r="N213" i="5"/>
  <c r="R213" i="5"/>
  <c r="Q213" i="5" s="1"/>
  <c r="S213" i="5" s="1"/>
  <c r="T213" i="5"/>
  <c r="C214" i="5"/>
  <c r="L214" i="5" s="1"/>
  <c r="D214" i="5"/>
  <c r="E214" i="5"/>
  <c r="F214" i="5"/>
  <c r="H214" i="5"/>
  <c r="I214" i="5"/>
  <c r="N214" i="5"/>
  <c r="R214" i="5"/>
  <c r="Q214" i="5" s="1"/>
  <c r="S214" i="5" s="1"/>
  <c r="T214" i="5"/>
  <c r="C215" i="5"/>
  <c r="D215" i="5"/>
  <c r="E215" i="5"/>
  <c r="F215" i="5"/>
  <c r="H215" i="5"/>
  <c r="I215" i="5"/>
  <c r="N215" i="5"/>
  <c r="Q215" i="5"/>
  <c r="S215" i="5" s="1"/>
  <c r="R215" i="5"/>
  <c r="T215" i="5"/>
  <c r="C216" i="5"/>
  <c r="D216" i="5"/>
  <c r="E216" i="5"/>
  <c r="F216" i="5"/>
  <c r="H216" i="5"/>
  <c r="I216" i="5"/>
  <c r="N216" i="5"/>
  <c r="R216" i="5"/>
  <c r="Q216" i="5" s="1"/>
  <c r="T216" i="5"/>
  <c r="C217" i="5"/>
  <c r="L217" i="5" s="1"/>
  <c r="D217" i="5"/>
  <c r="E217" i="5"/>
  <c r="F217" i="5"/>
  <c r="H217" i="5"/>
  <c r="I217" i="5"/>
  <c r="N217" i="5"/>
  <c r="Q217" i="5"/>
  <c r="S217" i="5" s="1"/>
  <c r="R217" i="5"/>
  <c r="T217" i="5"/>
  <c r="C218" i="5"/>
  <c r="D218" i="5"/>
  <c r="E218" i="5"/>
  <c r="E1074" i="5" s="1"/>
  <c r="F218" i="5"/>
  <c r="H218" i="5"/>
  <c r="I218" i="5"/>
  <c r="N218" i="5"/>
  <c r="Q218" i="5"/>
  <c r="R218" i="5"/>
  <c r="S218" i="5"/>
  <c r="T218" i="5"/>
  <c r="T1074" i="5" s="1"/>
  <c r="C219" i="5"/>
  <c r="L219" i="5" s="1"/>
  <c r="D219" i="5"/>
  <c r="E219" i="5"/>
  <c r="F219" i="5"/>
  <c r="H219" i="5"/>
  <c r="I219" i="5"/>
  <c r="N219" i="5"/>
  <c r="Q219" i="5"/>
  <c r="S219" i="5" s="1"/>
  <c r="R219" i="5"/>
  <c r="T219" i="5"/>
  <c r="C220" i="5"/>
  <c r="D220" i="5"/>
  <c r="E220" i="5"/>
  <c r="F220" i="5"/>
  <c r="H220" i="5"/>
  <c r="H1074" i="5" s="1"/>
  <c r="I220" i="5"/>
  <c r="N220" i="5"/>
  <c r="Q220" i="5"/>
  <c r="S220" i="5" s="1"/>
  <c r="R220" i="5"/>
  <c r="T220" i="5"/>
  <c r="C221" i="5"/>
  <c r="D221" i="5"/>
  <c r="E221" i="5"/>
  <c r="F221" i="5"/>
  <c r="F1074" i="5" s="1"/>
  <c r="H221" i="5"/>
  <c r="I221" i="5"/>
  <c r="N221" i="5"/>
  <c r="Q221" i="5"/>
  <c r="S221" i="5" s="1"/>
  <c r="R221" i="5"/>
  <c r="T221" i="5"/>
  <c r="C222" i="5"/>
  <c r="D222" i="5"/>
  <c r="D1074" i="5" s="1"/>
  <c r="E222" i="5"/>
  <c r="F222" i="5"/>
  <c r="H222" i="5"/>
  <c r="I222" i="5"/>
  <c r="N222" i="5"/>
  <c r="R222" i="5"/>
  <c r="Q222" i="5" s="1"/>
  <c r="S222" i="5"/>
  <c r="T222" i="5"/>
  <c r="C223" i="5"/>
  <c r="D223" i="5"/>
  <c r="E223" i="5"/>
  <c r="F223" i="5"/>
  <c r="H223" i="5"/>
  <c r="I223" i="5"/>
  <c r="L223" i="5"/>
  <c r="N223" i="5"/>
  <c r="Q223" i="5"/>
  <c r="S223" i="5" s="1"/>
  <c r="R223" i="5"/>
  <c r="T223" i="5"/>
  <c r="C224" i="5"/>
  <c r="D224" i="5"/>
  <c r="E224" i="5"/>
  <c r="F224" i="5"/>
  <c r="H224" i="5"/>
  <c r="I224" i="5"/>
  <c r="N224" i="5"/>
  <c r="Q224" i="5"/>
  <c r="S224" i="5" s="1"/>
  <c r="R224" i="5"/>
  <c r="T224" i="5"/>
  <c r="C225" i="5"/>
  <c r="L225" i="5" s="1"/>
  <c r="D225" i="5"/>
  <c r="E225" i="5"/>
  <c r="F225" i="5"/>
  <c r="H225" i="5"/>
  <c r="I225" i="5"/>
  <c r="N225" i="5"/>
  <c r="Q225" i="5"/>
  <c r="S225" i="5" s="1"/>
  <c r="R225" i="5"/>
  <c r="T225" i="5"/>
  <c r="C226" i="5"/>
  <c r="D226" i="5"/>
  <c r="E226" i="5"/>
  <c r="F226" i="5"/>
  <c r="H226" i="5"/>
  <c r="I226" i="5"/>
  <c r="N226" i="5"/>
  <c r="Q226" i="5"/>
  <c r="R226" i="5"/>
  <c r="S226" i="5"/>
  <c r="T226" i="5"/>
  <c r="C227" i="5"/>
  <c r="D227" i="5"/>
  <c r="L227" i="5" s="1"/>
  <c r="E227" i="5"/>
  <c r="F227" i="5"/>
  <c r="H227" i="5"/>
  <c r="I227" i="5"/>
  <c r="N227" i="5"/>
  <c r="R227" i="5"/>
  <c r="Q227" i="5" s="1"/>
  <c r="S227" i="5" s="1"/>
  <c r="T227" i="5"/>
  <c r="C228" i="5"/>
  <c r="D228" i="5"/>
  <c r="E228" i="5"/>
  <c r="F228" i="5"/>
  <c r="H228" i="5"/>
  <c r="I228" i="5"/>
  <c r="N228" i="5"/>
  <c r="Q228" i="5"/>
  <c r="S228" i="5" s="1"/>
  <c r="R228" i="5"/>
  <c r="T228" i="5"/>
  <c r="C229" i="5"/>
  <c r="L229" i="5" s="1"/>
  <c r="D229" i="5"/>
  <c r="E229" i="5"/>
  <c r="F229" i="5"/>
  <c r="H229" i="5"/>
  <c r="I229" i="5"/>
  <c r="N229" i="5"/>
  <c r="R229" i="5"/>
  <c r="Q229" i="5" s="1"/>
  <c r="S229" i="5" s="1"/>
  <c r="T229" i="5"/>
  <c r="C230" i="5"/>
  <c r="D230" i="5"/>
  <c r="E230" i="5"/>
  <c r="F230" i="5"/>
  <c r="H230" i="5"/>
  <c r="I230" i="5"/>
  <c r="N230" i="5"/>
  <c r="Q230" i="5"/>
  <c r="S230" i="5" s="1"/>
  <c r="R230" i="5"/>
  <c r="T230" i="5"/>
  <c r="C231" i="5"/>
  <c r="D231" i="5"/>
  <c r="E231" i="5"/>
  <c r="F231" i="5"/>
  <c r="H231" i="5"/>
  <c r="I231" i="5"/>
  <c r="N231" i="5"/>
  <c r="Q231" i="5"/>
  <c r="R231" i="5"/>
  <c r="T231" i="5"/>
  <c r="C232" i="5"/>
  <c r="D232" i="5"/>
  <c r="E232" i="5"/>
  <c r="F232" i="5"/>
  <c r="H232" i="5"/>
  <c r="I232" i="5"/>
  <c r="I1075" i="5" s="1"/>
  <c r="N232" i="5"/>
  <c r="Q232" i="5"/>
  <c r="S232" i="5" s="1"/>
  <c r="R232" i="5"/>
  <c r="T232" i="5"/>
  <c r="C233" i="5"/>
  <c r="D233" i="5"/>
  <c r="E233" i="5"/>
  <c r="F233" i="5"/>
  <c r="H233" i="5"/>
  <c r="I233" i="5"/>
  <c r="N233" i="5"/>
  <c r="Q233" i="5"/>
  <c r="R233" i="5"/>
  <c r="S233" i="5"/>
  <c r="T233" i="5"/>
  <c r="C234" i="5"/>
  <c r="D234" i="5"/>
  <c r="E234" i="5"/>
  <c r="F234" i="5"/>
  <c r="H234" i="5"/>
  <c r="I234" i="5"/>
  <c r="N234" i="5"/>
  <c r="Q234" i="5"/>
  <c r="S234" i="5" s="1"/>
  <c r="R234" i="5"/>
  <c r="T234" i="5"/>
  <c r="C235" i="5"/>
  <c r="D235" i="5"/>
  <c r="E235" i="5"/>
  <c r="F235" i="5"/>
  <c r="H235" i="5"/>
  <c r="H1075" i="5" s="1"/>
  <c r="I235" i="5"/>
  <c r="N235" i="5"/>
  <c r="Q235" i="5"/>
  <c r="R235" i="5"/>
  <c r="S235" i="5"/>
  <c r="T235" i="5"/>
  <c r="C236" i="5"/>
  <c r="D236" i="5"/>
  <c r="D1075" i="5" s="1"/>
  <c r="E236" i="5"/>
  <c r="F236" i="5"/>
  <c r="H236" i="5"/>
  <c r="I236" i="5"/>
  <c r="N236" i="5"/>
  <c r="R236" i="5"/>
  <c r="Q236" i="5" s="1"/>
  <c r="S236" i="5" s="1"/>
  <c r="T236" i="5"/>
  <c r="C237" i="5"/>
  <c r="D237" i="5"/>
  <c r="E237" i="5"/>
  <c r="F237" i="5"/>
  <c r="H237" i="5"/>
  <c r="I237" i="5"/>
  <c r="N237" i="5"/>
  <c r="Q237" i="5"/>
  <c r="R237" i="5"/>
  <c r="S237" i="5"/>
  <c r="T237" i="5"/>
  <c r="C238" i="5"/>
  <c r="D238" i="5"/>
  <c r="E238" i="5"/>
  <c r="F238" i="5"/>
  <c r="H238" i="5"/>
  <c r="I238" i="5"/>
  <c r="L238" i="5"/>
  <c r="N238" i="5"/>
  <c r="R238" i="5"/>
  <c r="Q238" i="5" s="1"/>
  <c r="S238" i="5" s="1"/>
  <c r="T238" i="5"/>
  <c r="C239" i="5"/>
  <c r="D239" i="5"/>
  <c r="E239" i="5"/>
  <c r="F239" i="5"/>
  <c r="H239" i="5"/>
  <c r="I239" i="5"/>
  <c r="N239" i="5"/>
  <c r="Q239" i="5"/>
  <c r="R239" i="5"/>
  <c r="S239" i="5"/>
  <c r="T239" i="5"/>
  <c r="C240" i="5"/>
  <c r="D240" i="5"/>
  <c r="E240" i="5"/>
  <c r="F240" i="5"/>
  <c r="H240" i="5"/>
  <c r="I240" i="5"/>
  <c r="N240" i="5"/>
  <c r="Q240" i="5"/>
  <c r="S240" i="5" s="1"/>
  <c r="R240" i="5"/>
  <c r="T240" i="5"/>
  <c r="C241" i="5"/>
  <c r="D241" i="5"/>
  <c r="E241" i="5"/>
  <c r="F241" i="5"/>
  <c r="H241" i="5"/>
  <c r="I241" i="5"/>
  <c r="N241" i="5"/>
  <c r="Q241" i="5"/>
  <c r="R241" i="5"/>
  <c r="S241" i="5"/>
  <c r="T241" i="5"/>
  <c r="C242" i="5"/>
  <c r="L242" i="5" s="1"/>
  <c r="D242" i="5"/>
  <c r="E242" i="5"/>
  <c r="F242" i="5"/>
  <c r="H242" i="5"/>
  <c r="I242" i="5"/>
  <c r="N242" i="5"/>
  <c r="Q242" i="5"/>
  <c r="S242" i="5" s="1"/>
  <c r="R242" i="5"/>
  <c r="T242" i="5"/>
  <c r="C243" i="5"/>
  <c r="D243" i="5"/>
  <c r="E243" i="5"/>
  <c r="F243" i="5"/>
  <c r="H243" i="5"/>
  <c r="I243" i="5"/>
  <c r="N243" i="5"/>
  <c r="Q243" i="5"/>
  <c r="R243" i="5"/>
  <c r="S243" i="5"/>
  <c r="T243" i="5"/>
  <c r="C244" i="5"/>
  <c r="L244" i="5" s="1"/>
  <c r="D244" i="5"/>
  <c r="E244" i="5"/>
  <c r="F244" i="5"/>
  <c r="H244" i="5"/>
  <c r="I244" i="5"/>
  <c r="N244" i="5"/>
  <c r="Q244" i="5"/>
  <c r="R244" i="5"/>
  <c r="T244" i="5"/>
  <c r="C245" i="5"/>
  <c r="D245" i="5"/>
  <c r="E245" i="5"/>
  <c r="F245" i="5"/>
  <c r="H245" i="5"/>
  <c r="I245" i="5"/>
  <c r="I1076" i="5" s="1"/>
  <c r="N245" i="5"/>
  <c r="Q245" i="5"/>
  <c r="R245" i="5"/>
  <c r="S245" i="5"/>
  <c r="T245" i="5"/>
  <c r="C246" i="5"/>
  <c r="D246" i="5"/>
  <c r="E246" i="5"/>
  <c r="F246" i="5"/>
  <c r="H246" i="5"/>
  <c r="I246" i="5"/>
  <c r="L246" i="5"/>
  <c r="N246" i="5"/>
  <c r="R246" i="5"/>
  <c r="Q246" i="5" s="1"/>
  <c r="S246" i="5" s="1"/>
  <c r="T246" i="5"/>
  <c r="C247" i="5"/>
  <c r="D247" i="5"/>
  <c r="E247" i="5"/>
  <c r="F247" i="5"/>
  <c r="H247" i="5"/>
  <c r="I247" i="5"/>
  <c r="N247" i="5"/>
  <c r="Q247" i="5"/>
  <c r="R247" i="5"/>
  <c r="S247" i="5"/>
  <c r="T247" i="5"/>
  <c r="C248" i="5"/>
  <c r="L248" i="5" s="1"/>
  <c r="D248" i="5"/>
  <c r="E248" i="5"/>
  <c r="F248" i="5"/>
  <c r="H248" i="5"/>
  <c r="I248" i="5"/>
  <c r="N248" i="5"/>
  <c r="Q248" i="5"/>
  <c r="S248" i="5" s="1"/>
  <c r="R248" i="5"/>
  <c r="T248" i="5"/>
  <c r="C249" i="5"/>
  <c r="D249" i="5"/>
  <c r="E249" i="5"/>
  <c r="L249" i="5" s="1"/>
  <c r="F249" i="5"/>
  <c r="H249" i="5"/>
  <c r="I249" i="5"/>
  <c r="N249" i="5"/>
  <c r="Q249" i="5"/>
  <c r="R249" i="5"/>
  <c r="S249" i="5"/>
  <c r="T249" i="5"/>
  <c r="C250" i="5"/>
  <c r="L250" i="5" s="1"/>
  <c r="D250" i="5"/>
  <c r="E250" i="5"/>
  <c r="F250" i="5"/>
  <c r="H250" i="5"/>
  <c r="I250" i="5"/>
  <c r="N250" i="5"/>
  <c r="Q250" i="5"/>
  <c r="S250" i="5" s="1"/>
  <c r="R250" i="5"/>
  <c r="T250" i="5"/>
  <c r="C251" i="5"/>
  <c r="D251" i="5"/>
  <c r="E251" i="5"/>
  <c r="F251" i="5"/>
  <c r="H251" i="5"/>
  <c r="I251" i="5"/>
  <c r="N251" i="5"/>
  <c r="Q251" i="5"/>
  <c r="R251" i="5"/>
  <c r="S251" i="5"/>
  <c r="T251" i="5"/>
  <c r="C252" i="5"/>
  <c r="D252" i="5"/>
  <c r="E252" i="5"/>
  <c r="F252" i="5"/>
  <c r="H252" i="5"/>
  <c r="I252" i="5"/>
  <c r="N252" i="5"/>
  <c r="Q252" i="5"/>
  <c r="S252" i="5" s="1"/>
  <c r="R252" i="5"/>
  <c r="T252" i="5"/>
  <c r="C253" i="5"/>
  <c r="D253" i="5"/>
  <c r="E253" i="5"/>
  <c r="F253" i="5"/>
  <c r="H253" i="5"/>
  <c r="I253" i="5"/>
  <c r="N253" i="5"/>
  <c r="Q253" i="5"/>
  <c r="R253" i="5"/>
  <c r="S253" i="5"/>
  <c r="T253" i="5"/>
  <c r="C254" i="5"/>
  <c r="D254" i="5"/>
  <c r="E254" i="5"/>
  <c r="F254" i="5"/>
  <c r="H254" i="5"/>
  <c r="I254" i="5"/>
  <c r="L254" i="5"/>
  <c r="N254" i="5"/>
  <c r="R254" i="5"/>
  <c r="Q254" i="5" s="1"/>
  <c r="S254" i="5" s="1"/>
  <c r="T254" i="5"/>
  <c r="C255" i="5"/>
  <c r="D255" i="5"/>
  <c r="E255" i="5"/>
  <c r="F255" i="5"/>
  <c r="H255" i="5"/>
  <c r="I255" i="5"/>
  <c r="N255" i="5"/>
  <c r="Q255" i="5"/>
  <c r="R255" i="5"/>
  <c r="S255" i="5"/>
  <c r="T255" i="5"/>
  <c r="C256" i="5"/>
  <c r="L256" i="5" s="1"/>
  <c r="D256" i="5"/>
  <c r="E256" i="5"/>
  <c r="F256" i="5"/>
  <c r="H256" i="5"/>
  <c r="I256" i="5"/>
  <c r="N256" i="5"/>
  <c r="Q256" i="5"/>
  <c r="S256" i="5" s="1"/>
  <c r="R256" i="5"/>
  <c r="T256" i="5"/>
  <c r="C257" i="5"/>
  <c r="D257" i="5"/>
  <c r="E257" i="5"/>
  <c r="L257" i="5" s="1"/>
  <c r="F257" i="5"/>
  <c r="H257" i="5"/>
  <c r="I257" i="5"/>
  <c r="N257" i="5"/>
  <c r="Q257" i="5"/>
  <c r="R257" i="5"/>
  <c r="S257" i="5"/>
  <c r="T257" i="5"/>
  <c r="C258" i="5"/>
  <c r="D258" i="5"/>
  <c r="E258" i="5"/>
  <c r="F258" i="5"/>
  <c r="H258" i="5"/>
  <c r="I258" i="5"/>
  <c r="L258" i="5"/>
  <c r="N258" i="5"/>
  <c r="Q258" i="5"/>
  <c r="S258" i="5" s="1"/>
  <c r="R258" i="5"/>
  <c r="T258" i="5"/>
  <c r="C259" i="5"/>
  <c r="D259" i="5"/>
  <c r="E259" i="5"/>
  <c r="F259" i="5"/>
  <c r="H259" i="5"/>
  <c r="H1077" i="5" s="1"/>
  <c r="I259" i="5"/>
  <c r="N259" i="5"/>
  <c r="Q259" i="5"/>
  <c r="R259" i="5"/>
  <c r="S259" i="5"/>
  <c r="T259" i="5"/>
  <c r="C260" i="5"/>
  <c r="D260" i="5"/>
  <c r="D1077" i="5" s="1"/>
  <c r="E260" i="5"/>
  <c r="F260" i="5"/>
  <c r="H260" i="5"/>
  <c r="I260" i="5"/>
  <c r="N260" i="5"/>
  <c r="Q260" i="5"/>
  <c r="R260" i="5"/>
  <c r="T260" i="5"/>
  <c r="C261" i="5"/>
  <c r="D261" i="5"/>
  <c r="E261" i="5"/>
  <c r="F261" i="5"/>
  <c r="H261" i="5"/>
  <c r="I261" i="5"/>
  <c r="I1077" i="5" s="1"/>
  <c r="N261" i="5"/>
  <c r="Q261" i="5"/>
  <c r="R261" i="5"/>
  <c r="S261" i="5"/>
  <c r="T261" i="5"/>
  <c r="C262" i="5"/>
  <c r="D262" i="5"/>
  <c r="E262" i="5"/>
  <c r="F262" i="5"/>
  <c r="H262" i="5"/>
  <c r="I262" i="5"/>
  <c r="L262" i="5"/>
  <c r="N262" i="5"/>
  <c r="R262" i="5"/>
  <c r="Q262" i="5" s="1"/>
  <c r="S262" i="5" s="1"/>
  <c r="T262" i="5"/>
  <c r="C263" i="5"/>
  <c r="D263" i="5"/>
  <c r="E263" i="5"/>
  <c r="F263" i="5"/>
  <c r="H263" i="5"/>
  <c r="I263" i="5"/>
  <c r="N263" i="5"/>
  <c r="Q263" i="5"/>
  <c r="R263" i="5"/>
  <c r="S263" i="5"/>
  <c r="T263" i="5"/>
  <c r="C264" i="5"/>
  <c r="D264" i="5"/>
  <c r="E264" i="5"/>
  <c r="F264" i="5"/>
  <c r="H264" i="5"/>
  <c r="I264" i="5"/>
  <c r="L264" i="5"/>
  <c r="N264" i="5"/>
  <c r="Q264" i="5"/>
  <c r="S264" i="5" s="1"/>
  <c r="R264" i="5"/>
  <c r="T264" i="5"/>
  <c r="C265" i="5"/>
  <c r="D265" i="5"/>
  <c r="E265" i="5"/>
  <c r="F265" i="5"/>
  <c r="H265" i="5"/>
  <c r="I265" i="5"/>
  <c r="N265" i="5"/>
  <c r="Q265" i="5"/>
  <c r="R265" i="5"/>
  <c r="S265" i="5"/>
  <c r="T265" i="5"/>
  <c r="C266" i="5"/>
  <c r="L266" i="5" s="1"/>
  <c r="D266" i="5"/>
  <c r="E266" i="5"/>
  <c r="F266" i="5"/>
  <c r="H266" i="5"/>
  <c r="I266" i="5"/>
  <c r="N266" i="5"/>
  <c r="Q266" i="5"/>
  <c r="R266" i="5"/>
  <c r="T266" i="5"/>
  <c r="C267" i="5"/>
  <c r="D267" i="5"/>
  <c r="E267" i="5"/>
  <c r="F267" i="5"/>
  <c r="H267" i="5"/>
  <c r="I267" i="5"/>
  <c r="I1078" i="5" s="1"/>
  <c r="N267" i="5"/>
  <c r="Q267" i="5"/>
  <c r="R267" i="5"/>
  <c r="S267" i="5"/>
  <c r="T267" i="5"/>
  <c r="C268" i="5"/>
  <c r="D268" i="5"/>
  <c r="D1078" i="5" s="1"/>
  <c r="E268" i="5"/>
  <c r="F268" i="5"/>
  <c r="H268" i="5"/>
  <c r="I268" i="5"/>
  <c r="N268" i="5"/>
  <c r="R268" i="5"/>
  <c r="Q268" i="5" s="1"/>
  <c r="S268" i="5" s="1"/>
  <c r="T268" i="5"/>
  <c r="C269" i="5"/>
  <c r="D269" i="5"/>
  <c r="E269" i="5"/>
  <c r="F269" i="5"/>
  <c r="H269" i="5"/>
  <c r="I269" i="5"/>
  <c r="N269" i="5"/>
  <c r="Q269" i="5"/>
  <c r="R269" i="5"/>
  <c r="S269" i="5"/>
  <c r="T269" i="5"/>
  <c r="C270" i="5"/>
  <c r="D270" i="5"/>
  <c r="E270" i="5"/>
  <c r="F270" i="5"/>
  <c r="H270" i="5"/>
  <c r="I270" i="5"/>
  <c r="L270" i="5"/>
  <c r="N270" i="5"/>
  <c r="R270" i="5"/>
  <c r="Q270" i="5" s="1"/>
  <c r="S270" i="5" s="1"/>
  <c r="T270" i="5"/>
  <c r="C271" i="5"/>
  <c r="D271" i="5"/>
  <c r="E271" i="5"/>
  <c r="F271" i="5"/>
  <c r="H271" i="5"/>
  <c r="I271" i="5"/>
  <c r="N271" i="5"/>
  <c r="Q271" i="5"/>
  <c r="R271" i="5"/>
  <c r="S271" i="5"/>
  <c r="T271" i="5"/>
  <c r="C272" i="5"/>
  <c r="D272" i="5"/>
  <c r="E272" i="5"/>
  <c r="F272" i="5"/>
  <c r="H272" i="5"/>
  <c r="I272" i="5"/>
  <c r="N272" i="5"/>
  <c r="Q272" i="5"/>
  <c r="S272" i="5" s="1"/>
  <c r="R272" i="5"/>
  <c r="T272" i="5"/>
  <c r="C273" i="5"/>
  <c r="D273" i="5"/>
  <c r="E273" i="5"/>
  <c r="F273" i="5"/>
  <c r="H273" i="5"/>
  <c r="I273" i="5"/>
  <c r="N273" i="5"/>
  <c r="Q273" i="5"/>
  <c r="R273" i="5"/>
  <c r="S273" i="5"/>
  <c r="T273" i="5"/>
  <c r="C274" i="5"/>
  <c r="L274" i="5" s="1"/>
  <c r="D274" i="5"/>
  <c r="E274" i="5"/>
  <c r="F274" i="5"/>
  <c r="H274" i="5"/>
  <c r="I274" i="5"/>
  <c r="N274" i="5"/>
  <c r="Q274" i="5"/>
  <c r="S274" i="5" s="1"/>
  <c r="R274" i="5"/>
  <c r="T274" i="5"/>
  <c r="C275" i="5"/>
  <c r="D275" i="5"/>
  <c r="E275" i="5"/>
  <c r="F275" i="5"/>
  <c r="H275" i="5"/>
  <c r="I275" i="5"/>
  <c r="N275" i="5"/>
  <c r="Q275" i="5"/>
  <c r="R275" i="5"/>
  <c r="S275" i="5"/>
  <c r="T275" i="5"/>
  <c r="C276" i="5"/>
  <c r="L276" i="5" s="1"/>
  <c r="D276" i="5"/>
  <c r="E276" i="5"/>
  <c r="F276" i="5"/>
  <c r="H276" i="5"/>
  <c r="I276" i="5"/>
  <c r="N276" i="5"/>
  <c r="Q276" i="5"/>
  <c r="R276" i="5"/>
  <c r="T276" i="5"/>
  <c r="C277" i="5"/>
  <c r="D277" i="5"/>
  <c r="E277" i="5"/>
  <c r="F277" i="5"/>
  <c r="H277" i="5"/>
  <c r="I277" i="5"/>
  <c r="I1079" i="5" s="1"/>
  <c r="N277" i="5"/>
  <c r="R277" i="5"/>
  <c r="Q277" i="5" s="1"/>
  <c r="S277" i="5" s="1"/>
  <c r="T277" i="5"/>
  <c r="C278" i="5"/>
  <c r="L278" i="5" s="1"/>
  <c r="D278" i="5"/>
  <c r="E278" i="5"/>
  <c r="F278" i="5"/>
  <c r="H278" i="5"/>
  <c r="I278" i="5"/>
  <c r="N278" i="5"/>
  <c r="Q278" i="5"/>
  <c r="S278" i="5" s="1"/>
  <c r="R278" i="5"/>
  <c r="T278" i="5"/>
  <c r="C279" i="5"/>
  <c r="D279" i="5"/>
  <c r="E279" i="5"/>
  <c r="E1079" i="5" s="1"/>
  <c r="F279" i="5"/>
  <c r="H279" i="5"/>
  <c r="I279" i="5"/>
  <c r="N279" i="5"/>
  <c r="R279" i="5"/>
  <c r="Q279" i="5" s="1"/>
  <c r="S279" i="5"/>
  <c r="T279" i="5"/>
  <c r="C280" i="5"/>
  <c r="D280" i="5"/>
  <c r="E280" i="5"/>
  <c r="F280" i="5"/>
  <c r="H280" i="5"/>
  <c r="I280" i="5"/>
  <c r="N280" i="5"/>
  <c r="Q280" i="5"/>
  <c r="S280" i="5" s="1"/>
  <c r="R280" i="5"/>
  <c r="T280" i="5"/>
  <c r="C281" i="5"/>
  <c r="D281" i="5"/>
  <c r="E281" i="5"/>
  <c r="F281" i="5"/>
  <c r="H281" i="5"/>
  <c r="I281" i="5"/>
  <c r="N281" i="5"/>
  <c r="R281" i="5"/>
  <c r="Q281" i="5" s="1"/>
  <c r="S281" i="5" s="1"/>
  <c r="T281" i="5"/>
  <c r="C282" i="5"/>
  <c r="D282" i="5"/>
  <c r="L282" i="5" s="1"/>
  <c r="E282" i="5"/>
  <c r="F282" i="5"/>
  <c r="H282" i="5"/>
  <c r="I282" i="5"/>
  <c r="N282" i="5"/>
  <c r="R282" i="5"/>
  <c r="Q282" i="5" s="1"/>
  <c r="S282" i="5" s="1"/>
  <c r="T282" i="5"/>
  <c r="C283" i="5"/>
  <c r="D283" i="5"/>
  <c r="E283" i="5"/>
  <c r="F283" i="5"/>
  <c r="H283" i="5"/>
  <c r="I283" i="5"/>
  <c r="N283" i="5"/>
  <c r="R283" i="5"/>
  <c r="Q283" i="5" s="1"/>
  <c r="S283" i="5"/>
  <c r="T283" i="5"/>
  <c r="C284" i="5"/>
  <c r="D284" i="5"/>
  <c r="E284" i="5"/>
  <c r="F284" i="5"/>
  <c r="H284" i="5"/>
  <c r="I284" i="5"/>
  <c r="L284" i="5"/>
  <c r="N284" i="5"/>
  <c r="Q284" i="5"/>
  <c r="S284" i="5" s="1"/>
  <c r="R284" i="5"/>
  <c r="T284" i="5"/>
  <c r="C285" i="5"/>
  <c r="D285" i="5"/>
  <c r="E285" i="5"/>
  <c r="F285" i="5"/>
  <c r="H285" i="5"/>
  <c r="I285" i="5"/>
  <c r="N285" i="5"/>
  <c r="R285" i="5"/>
  <c r="Q285" i="5" s="1"/>
  <c r="S285" i="5"/>
  <c r="T285" i="5"/>
  <c r="C286" i="5"/>
  <c r="D286" i="5"/>
  <c r="E286" i="5"/>
  <c r="F286" i="5"/>
  <c r="H286" i="5"/>
  <c r="I286" i="5"/>
  <c r="N286" i="5"/>
  <c r="R286" i="5"/>
  <c r="Q286" i="5" s="1"/>
  <c r="S286" i="5" s="1"/>
  <c r="T286" i="5"/>
  <c r="C287" i="5"/>
  <c r="D287" i="5"/>
  <c r="E287" i="5"/>
  <c r="F287" i="5"/>
  <c r="H287" i="5"/>
  <c r="I287" i="5"/>
  <c r="N287" i="5"/>
  <c r="R287" i="5"/>
  <c r="Q287" i="5" s="1"/>
  <c r="S287" i="5"/>
  <c r="T287" i="5"/>
  <c r="C288" i="5"/>
  <c r="D288" i="5"/>
  <c r="E288" i="5"/>
  <c r="F288" i="5"/>
  <c r="H288" i="5"/>
  <c r="I288" i="5"/>
  <c r="L288" i="5"/>
  <c r="N288" i="5"/>
  <c r="R288" i="5"/>
  <c r="Q288" i="5" s="1"/>
  <c r="S288" i="5" s="1"/>
  <c r="T288" i="5"/>
  <c r="C289" i="5"/>
  <c r="D289" i="5"/>
  <c r="L289" i="5" s="1"/>
  <c r="E289" i="5"/>
  <c r="F289" i="5"/>
  <c r="H289" i="5"/>
  <c r="I289" i="5"/>
  <c r="N289" i="5"/>
  <c r="R289" i="5"/>
  <c r="Q289" i="5" s="1"/>
  <c r="S289" i="5" s="1"/>
  <c r="T289" i="5"/>
  <c r="C290" i="5"/>
  <c r="D290" i="5"/>
  <c r="L290" i="5" s="1"/>
  <c r="E290" i="5"/>
  <c r="F290" i="5"/>
  <c r="H290" i="5"/>
  <c r="I290" i="5"/>
  <c r="N290" i="5"/>
  <c r="R290" i="5"/>
  <c r="Q290" i="5" s="1"/>
  <c r="S290" i="5" s="1"/>
  <c r="T290" i="5"/>
  <c r="C291" i="5"/>
  <c r="D291" i="5"/>
  <c r="E291" i="5"/>
  <c r="F291" i="5"/>
  <c r="H291" i="5"/>
  <c r="I291" i="5"/>
  <c r="N291" i="5"/>
  <c r="R291" i="5"/>
  <c r="Q291" i="5" s="1"/>
  <c r="S291" i="5" s="1"/>
  <c r="T291" i="5"/>
  <c r="C292" i="5"/>
  <c r="D292" i="5"/>
  <c r="E292" i="5"/>
  <c r="F292" i="5"/>
  <c r="H292" i="5"/>
  <c r="I292" i="5"/>
  <c r="N292" i="5"/>
  <c r="Q292" i="5"/>
  <c r="S292" i="5" s="1"/>
  <c r="R292" i="5"/>
  <c r="T292" i="5"/>
  <c r="C293" i="5"/>
  <c r="D293" i="5"/>
  <c r="E293" i="5"/>
  <c r="F293" i="5"/>
  <c r="H293" i="5"/>
  <c r="I293" i="5"/>
  <c r="N293" i="5"/>
  <c r="R293" i="5"/>
  <c r="Q293" i="5" s="1"/>
  <c r="S293" i="5" s="1"/>
  <c r="T293" i="5"/>
  <c r="C294" i="5"/>
  <c r="D294" i="5"/>
  <c r="E294" i="5"/>
  <c r="F294" i="5"/>
  <c r="H294" i="5"/>
  <c r="I294" i="5"/>
  <c r="N294" i="5"/>
  <c r="Q294" i="5"/>
  <c r="S294" i="5" s="1"/>
  <c r="R294" i="5"/>
  <c r="T294" i="5"/>
  <c r="C295" i="5"/>
  <c r="D295" i="5"/>
  <c r="L295" i="5" s="1"/>
  <c r="E295" i="5"/>
  <c r="F295" i="5"/>
  <c r="H295" i="5"/>
  <c r="I295" i="5"/>
  <c r="N295" i="5"/>
  <c r="R295" i="5"/>
  <c r="Q295" i="5" s="1"/>
  <c r="S295" i="5"/>
  <c r="T295" i="5"/>
  <c r="C296" i="5"/>
  <c r="L296" i="5" s="1"/>
  <c r="D296" i="5"/>
  <c r="E296" i="5"/>
  <c r="F296" i="5"/>
  <c r="H296" i="5"/>
  <c r="I296" i="5"/>
  <c r="N296" i="5"/>
  <c r="Q296" i="5"/>
  <c r="S296" i="5" s="1"/>
  <c r="R296" i="5"/>
  <c r="T296" i="5"/>
  <c r="C297" i="5"/>
  <c r="D297" i="5"/>
  <c r="E297" i="5"/>
  <c r="F297" i="5"/>
  <c r="H297" i="5"/>
  <c r="I297" i="5"/>
  <c r="N297" i="5"/>
  <c r="R297" i="5"/>
  <c r="Q297" i="5" s="1"/>
  <c r="S297" i="5" s="1"/>
  <c r="T297" i="5"/>
  <c r="C298" i="5"/>
  <c r="D298" i="5"/>
  <c r="L298" i="5" s="1"/>
  <c r="E298" i="5"/>
  <c r="F298" i="5"/>
  <c r="H298" i="5"/>
  <c r="I298" i="5"/>
  <c r="N298" i="5"/>
  <c r="R298" i="5"/>
  <c r="Q298" i="5" s="1"/>
  <c r="S298" i="5" s="1"/>
  <c r="T298" i="5"/>
  <c r="C299" i="5"/>
  <c r="D299" i="5"/>
  <c r="E299" i="5"/>
  <c r="E1080" i="5" s="1"/>
  <c r="F299" i="5"/>
  <c r="H299" i="5"/>
  <c r="I299" i="5"/>
  <c r="N299" i="5"/>
  <c r="R299" i="5"/>
  <c r="Q299" i="5" s="1"/>
  <c r="S299" i="5"/>
  <c r="T299" i="5"/>
  <c r="C300" i="5"/>
  <c r="D300" i="5"/>
  <c r="E300" i="5"/>
  <c r="F300" i="5"/>
  <c r="H300" i="5"/>
  <c r="I300" i="5"/>
  <c r="N300" i="5"/>
  <c r="Q300" i="5"/>
  <c r="S300" i="5" s="1"/>
  <c r="R300" i="5"/>
  <c r="T300" i="5"/>
  <c r="C301" i="5"/>
  <c r="D301" i="5"/>
  <c r="E301" i="5"/>
  <c r="F301" i="5"/>
  <c r="H301" i="5"/>
  <c r="I301" i="5"/>
  <c r="N301" i="5"/>
  <c r="R301" i="5"/>
  <c r="Q301" i="5" s="1"/>
  <c r="S301" i="5"/>
  <c r="T301" i="5"/>
  <c r="C302" i="5"/>
  <c r="D302" i="5"/>
  <c r="E302" i="5"/>
  <c r="F302" i="5"/>
  <c r="H302" i="5"/>
  <c r="I302" i="5"/>
  <c r="N302" i="5"/>
  <c r="Q302" i="5"/>
  <c r="S302" i="5" s="1"/>
  <c r="R302" i="5"/>
  <c r="T302" i="5"/>
  <c r="C303" i="5"/>
  <c r="D303" i="5"/>
  <c r="E303" i="5"/>
  <c r="F303" i="5"/>
  <c r="H303" i="5"/>
  <c r="I303" i="5"/>
  <c r="N303" i="5"/>
  <c r="R303" i="5"/>
  <c r="Q303" i="5" s="1"/>
  <c r="S303" i="5"/>
  <c r="T303" i="5"/>
  <c r="C304" i="5"/>
  <c r="D304" i="5"/>
  <c r="E304" i="5"/>
  <c r="F304" i="5"/>
  <c r="H304" i="5"/>
  <c r="I304" i="5"/>
  <c r="L304" i="5"/>
  <c r="N304" i="5"/>
  <c r="R304" i="5"/>
  <c r="Q304" i="5" s="1"/>
  <c r="T304" i="5"/>
  <c r="C305" i="5"/>
  <c r="D305" i="5"/>
  <c r="L305" i="5" s="1"/>
  <c r="E305" i="5"/>
  <c r="F305" i="5"/>
  <c r="H305" i="5"/>
  <c r="I305" i="5"/>
  <c r="N305" i="5"/>
  <c r="R305" i="5"/>
  <c r="Q305" i="5" s="1"/>
  <c r="S305" i="5"/>
  <c r="T305" i="5"/>
  <c r="C306" i="5"/>
  <c r="D306" i="5"/>
  <c r="E306" i="5"/>
  <c r="F306" i="5"/>
  <c r="H306" i="5"/>
  <c r="I306" i="5"/>
  <c r="L306" i="5"/>
  <c r="N306" i="5"/>
  <c r="R306" i="5"/>
  <c r="Q306" i="5" s="1"/>
  <c r="S306" i="5" s="1"/>
  <c r="T306" i="5"/>
  <c r="C307" i="5"/>
  <c r="D307" i="5"/>
  <c r="E307" i="5"/>
  <c r="F307" i="5"/>
  <c r="H307" i="5"/>
  <c r="I307" i="5"/>
  <c r="N307" i="5"/>
  <c r="R307" i="5"/>
  <c r="Q307" i="5" s="1"/>
  <c r="S307" i="5" s="1"/>
  <c r="T307" i="5"/>
  <c r="C308" i="5"/>
  <c r="D308" i="5"/>
  <c r="E308" i="5"/>
  <c r="F308" i="5"/>
  <c r="H308" i="5"/>
  <c r="I308" i="5"/>
  <c r="N308" i="5"/>
  <c r="Q308" i="5"/>
  <c r="S308" i="5" s="1"/>
  <c r="R308" i="5"/>
  <c r="T308" i="5"/>
  <c r="C309" i="5"/>
  <c r="D309" i="5"/>
  <c r="E309" i="5"/>
  <c r="F309" i="5"/>
  <c r="H309" i="5"/>
  <c r="I309" i="5"/>
  <c r="I1081" i="5" s="1"/>
  <c r="N309" i="5"/>
  <c r="R309" i="5"/>
  <c r="T309" i="5"/>
  <c r="C310" i="5"/>
  <c r="D310" i="5"/>
  <c r="E310" i="5"/>
  <c r="F310" i="5"/>
  <c r="H310" i="5"/>
  <c r="I310" i="5"/>
  <c r="N310" i="5"/>
  <c r="Q310" i="5"/>
  <c r="S310" i="5" s="1"/>
  <c r="R310" i="5"/>
  <c r="T310" i="5"/>
  <c r="C311" i="5"/>
  <c r="D311" i="5"/>
  <c r="E311" i="5"/>
  <c r="F311" i="5"/>
  <c r="H311" i="5"/>
  <c r="I311" i="5"/>
  <c r="N311" i="5"/>
  <c r="R311" i="5"/>
  <c r="Q311" i="5" s="1"/>
  <c r="S311" i="5"/>
  <c r="T311" i="5"/>
  <c r="C312" i="5"/>
  <c r="D312" i="5"/>
  <c r="E312" i="5"/>
  <c r="F312" i="5"/>
  <c r="H312" i="5"/>
  <c r="I312" i="5"/>
  <c r="N312" i="5"/>
  <c r="Q312" i="5"/>
  <c r="R312" i="5"/>
  <c r="T312" i="5"/>
  <c r="C313" i="5"/>
  <c r="D313" i="5"/>
  <c r="E313" i="5"/>
  <c r="F313" i="5"/>
  <c r="H313" i="5"/>
  <c r="I313" i="5"/>
  <c r="N313" i="5"/>
  <c r="R313" i="5"/>
  <c r="Q313" i="5" s="1"/>
  <c r="S313" i="5" s="1"/>
  <c r="T313" i="5"/>
  <c r="C314" i="5"/>
  <c r="D314" i="5"/>
  <c r="E314" i="5"/>
  <c r="F314" i="5"/>
  <c r="H314" i="5"/>
  <c r="I314" i="5"/>
  <c r="N314" i="5"/>
  <c r="R314" i="5"/>
  <c r="Q314" i="5" s="1"/>
  <c r="S314" i="5" s="1"/>
  <c r="T314" i="5"/>
  <c r="C315" i="5"/>
  <c r="D315" i="5"/>
  <c r="E315" i="5"/>
  <c r="F315" i="5"/>
  <c r="H315" i="5"/>
  <c r="I315" i="5"/>
  <c r="N315" i="5"/>
  <c r="R315" i="5"/>
  <c r="Q315" i="5" s="1"/>
  <c r="S315" i="5" s="1"/>
  <c r="T315" i="5"/>
  <c r="C316" i="5"/>
  <c r="D316" i="5"/>
  <c r="E316" i="5"/>
  <c r="F316" i="5"/>
  <c r="H316" i="5"/>
  <c r="I316" i="5"/>
  <c r="N316" i="5"/>
  <c r="Q316" i="5"/>
  <c r="S316" i="5" s="1"/>
  <c r="R316" i="5"/>
  <c r="T316" i="5"/>
  <c r="C317" i="5"/>
  <c r="D317" i="5"/>
  <c r="E317" i="5"/>
  <c r="F317" i="5"/>
  <c r="H317" i="5"/>
  <c r="I317" i="5"/>
  <c r="N317" i="5"/>
  <c r="R317" i="5"/>
  <c r="Q317" i="5" s="1"/>
  <c r="S317" i="5"/>
  <c r="T317" i="5"/>
  <c r="C318" i="5"/>
  <c r="L318" i="5" s="1"/>
  <c r="D318" i="5"/>
  <c r="E318" i="5"/>
  <c r="F318" i="5"/>
  <c r="H318" i="5"/>
  <c r="I318" i="5"/>
  <c r="N318" i="5"/>
  <c r="R318" i="5"/>
  <c r="Q318" i="5" s="1"/>
  <c r="S318" i="5" s="1"/>
  <c r="T318" i="5"/>
  <c r="C319" i="5"/>
  <c r="D319" i="5"/>
  <c r="E319" i="5"/>
  <c r="F319" i="5"/>
  <c r="H319" i="5"/>
  <c r="I319" i="5"/>
  <c r="N319" i="5"/>
  <c r="R319" i="5"/>
  <c r="Q319" i="5" s="1"/>
  <c r="S319" i="5"/>
  <c r="T319" i="5"/>
  <c r="C320" i="5"/>
  <c r="D320" i="5"/>
  <c r="E320" i="5"/>
  <c r="F320" i="5"/>
  <c r="H320" i="5"/>
  <c r="I320" i="5"/>
  <c r="L320" i="5"/>
  <c r="N320" i="5"/>
  <c r="R320" i="5"/>
  <c r="Q320" i="5" s="1"/>
  <c r="S320" i="5" s="1"/>
  <c r="T320" i="5"/>
  <c r="C321" i="5"/>
  <c r="D321" i="5"/>
  <c r="L321" i="5" s="1"/>
  <c r="E321" i="5"/>
  <c r="F321" i="5"/>
  <c r="H321" i="5"/>
  <c r="I321" i="5"/>
  <c r="N321" i="5"/>
  <c r="R321" i="5"/>
  <c r="Q321" i="5" s="1"/>
  <c r="S321" i="5"/>
  <c r="T321" i="5"/>
  <c r="C322" i="5"/>
  <c r="D322" i="5"/>
  <c r="E322" i="5"/>
  <c r="F322" i="5"/>
  <c r="H322" i="5"/>
  <c r="I322" i="5"/>
  <c r="L322" i="5"/>
  <c r="N322" i="5"/>
  <c r="R322" i="5"/>
  <c r="Q322" i="5" s="1"/>
  <c r="S322" i="5" s="1"/>
  <c r="T322" i="5"/>
  <c r="C323" i="5"/>
  <c r="D323" i="5"/>
  <c r="E323" i="5"/>
  <c r="F323" i="5"/>
  <c r="H323" i="5"/>
  <c r="I323" i="5"/>
  <c r="N323" i="5"/>
  <c r="R323" i="5"/>
  <c r="Q323" i="5" s="1"/>
  <c r="S323" i="5" s="1"/>
  <c r="T323" i="5"/>
  <c r="C324" i="5"/>
  <c r="D324" i="5"/>
  <c r="E324" i="5"/>
  <c r="F324" i="5"/>
  <c r="H324" i="5"/>
  <c r="I324" i="5"/>
  <c r="N324" i="5"/>
  <c r="R324" i="5"/>
  <c r="Q324" i="5" s="1"/>
  <c r="T324" i="5"/>
  <c r="C325" i="5"/>
  <c r="D325" i="5"/>
  <c r="L325" i="5" s="1"/>
  <c r="E325" i="5"/>
  <c r="F325" i="5"/>
  <c r="H325" i="5"/>
  <c r="I325" i="5"/>
  <c r="N325" i="5"/>
  <c r="R325" i="5"/>
  <c r="Q325" i="5" s="1"/>
  <c r="S325" i="5" s="1"/>
  <c r="T325" i="5"/>
  <c r="C326" i="5"/>
  <c r="L326" i="5" s="1"/>
  <c r="D326" i="5"/>
  <c r="E326" i="5"/>
  <c r="F326" i="5"/>
  <c r="H326" i="5"/>
  <c r="I326" i="5"/>
  <c r="N326" i="5"/>
  <c r="Q326" i="5"/>
  <c r="S326" i="5" s="1"/>
  <c r="R326" i="5"/>
  <c r="T326" i="5"/>
  <c r="C327" i="5"/>
  <c r="D327" i="5"/>
  <c r="E327" i="5"/>
  <c r="F327" i="5"/>
  <c r="H327" i="5"/>
  <c r="I327" i="5"/>
  <c r="N327" i="5"/>
  <c r="R327" i="5"/>
  <c r="Q327" i="5" s="1"/>
  <c r="S327" i="5"/>
  <c r="T327" i="5"/>
  <c r="C328" i="5"/>
  <c r="D328" i="5"/>
  <c r="E328" i="5"/>
  <c r="F328" i="5"/>
  <c r="H328" i="5"/>
  <c r="I328" i="5"/>
  <c r="L328" i="5"/>
  <c r="N328" i="5"/>
  <c r="Q328" i="5"/>
  <c r="S328" i="5" s="1"/>
  <c r="R328" i="5"/>
  <c r="T328" i="5"/>
  <c r="C329" i="5"/>
  <c r="D329" i="5"/>
  <c r="E329" i="5"/>
  <c r="F329" i="5"/>
  <c r="H329" i="5"/>
  <c r="I329" i="5"/>
  <c r="N329" i="5"/>
  <c r="R329" i="5"/>
  <c r="Q329" i="5" s="1"/>
  <c r="S329" i="5" s="1"/>
  <c r="T329" i="5"/>
  <c r="C330" i="5"/>
  <c r="D330" i="5"/>
  <c r="E330" i="5"/>
  <c r="F330" i="5"/>
  <c r="H330" i="5"/>
  <c r="I330" i="5"/>
  <c r="N330" i="5"/>
  <c r="R330" i="5"/>
  <c r="Q330" i="5" s="1"/>
  <c r="S330" i="5" s="1"/>
  <c r="T330" i="5"/>
  <c r="C331" i="5"/>
  <c r="D331" i="5"/>
  <c r="E331" i="5"/>
  <c r="F331" i="5"/>
  <c r="H331" i="5"/>
  <c r="I331" i="5"/>
  <c r="N331" i="5"/>
  <c r="R331" i="5"/>
  <c r="Q331" i="5" s="1"/>
  <c r="S331" i="5" s="1"/>
  <c r="T331" i="5"/>
  <c r="C332" i="5"/>
  <c r="L332" i="5" s="1"/>
  <c r="D332" i="5"/>
  <c r="E332" i="5"/>
  <c r="F332" i="5"/>
  <c r="H332" i="5"/>
  <c r="I332" i="5"/>
  <c r="N332" i="5"/>
  <c r="Q332" i="5"/>
  <c r="S332" i="5" s="1"/>
  <c r="R332" i="5"/>
  <c r="T332" i="5"/>
  <c r="C333" i="5"/>
  <c r="D333" i="5"/>
  <c r="L333" i="5" s="1"/>
  <c r="E333" i="5"/>
  <c r="F333" i="5"/>
  <c r="H333" i="5"/>
  <c r="I333" i="5"/>
  <c r="N333" i="5"/>
  <c r="R333" i="5"/>
  <c r="Q333" i="5" s="1"/>
  <c r="S333" i="5"/>
  <c r="T333" i="5"/>
  <c r="C334" i="5"/>
  <c r="L334" i="5" s="1"/>
  <c r="D334" i="5"/>
  <c r="E334" i="5"/>
  <c r="F334" i="5"/>
  <c r="H334" i="5"/>
  <c r="I334" i="5"/>
  <c r="N334" i="5"/>
  <c r="Q334" i="5"/>
  <c r="S334" i="5" s="1"/>
  <c r="R334" i="5"/>
  <c r="T334" i="5"/>
  <c r="C335" i="5"/>
  <c r="D335" i="5"/>
  <c r="E335" i="5"/>
  <c r="F335" i="5"/>
  <c r="H335" i="5"/>
  <c r="I335" i="5"/>
  <c r="I1083" i="5" s="1"/>
  <c r="N335" i="5"/>
  <c r="R335" i="5"/>
  <c r="Q335" i="5" s="1"/>
  <c r="S335" i="5"/>
  <c r="T335" i="5"/>
  <c r="C336" i="5"/>
  <c r="D336" i="5"/>
  <c r="E336" i="5"/>
  <c r="F336" i="5"/>
  <c r="H336" i="5"/>
  <c r="I336" i="5"/>
  <c r="L336" i="5"/>
  <c r="N336" i="5"/>
  <c r="R336" i="5"/>
  <c r="Q336" i="5" s="1"/>
  <c r="S336" i="5" s="1"/>
  <c r="T336" i="5"/>
  <c r="C337" i="5"/>
  <c r="D337" i="5"/>
  <c r="L337" i="5" s="1"/>
  <c r="E337" i="5"/>
  <c r="F337" i="5"/>
  <c r="H337" i="5"/>
  <c r="I337" i="5"/>
  <c r="N337" i="5"/>
  <c r="R337" i="5"/>
  <c r="Q337" i="5" s="1"/>
  <c r="S337" i="5"/>
  <c r="T337" i="5"/>
  <c r="C338" i="5"/>
  <c r="D338" i="5"/>
  <c r="E338" i="5"/>
  <c r="F338" i="5"/>
  <c r="H338" i="5"/>
  <c r="I338" i="5"/>
  <c r="L338" i="5"/>
  <c r="N338" i="5"/>
  <c r="R338" i="5"/>
  <c r="Q338" i="5" s="1"/>
  <c r="S338" i="5" s="1"/>
  <c r="T338" i="5"/>
  <c r="C339" i="5"/>
  <c r="D339" i="5"/>
  <c r="E339" i="5"/>
  <c r="F339" i="5"/>
  <c r="H339" i="5"/>
  <c r="I339" i="5"/>
  <c r="N339" i="5"/>
  <c r="R339" i="5"/>
  <c r="Q339" i="5" s="1"/>
  <c r="S339" i="5" s="1"/>
  <c r="T339" i="5"/>
  <c r="C340" i="5"/>
  <c r="L340" i="5" s="1"/>
  <c r="D340" i="5"/>
  <c r="E340" i="5"/>
  <c r="F340" i="5"/>
  <c r="H340" i="5"/>
  <c r="I340" i="5"/>
  <c r="N340" i="5"/>
  <c r="Q340" i="5"/>
  <c r="S340" i="5" s="1"/>
  <c r="R340" i="5"/>
  <c r="T340" i="5"/>
  <c r="C341" i="5"/>
  <c r="D341" i="5"/>
  <c r="E341" i="5"/>
  <c r="F341" i="5"/>
  <c r="H341" i="5"/>
  <c r="I341" i="5"/>
  <c r="N341" i="5"/>
  <c r="R341" i="5"/>
  <c r="Q341" i="5" s="1"/>
  <c r="S341" i="5" s="1"/>
  <c r="T341" i="5"/>
  <c r="C342" i="5"/>
  <c r="L342" i="5" s="1"/>
  <c r="D342" i="5"/>
  <c r="E342" i="5"/>
  <c r="F342" i="5"/>
  <c r="H342" i="5"/>
  <c r="I342" i="5"/>
  <c r="N342" i="5"/>
  <c r="Q342" i="5"/>
  <c r="S342" i="5" s="1"/>
  <c r="R342" i="5"/>
  <c r="T342" i="5"/>
  <c r="C343" i="5"/>
  <c r="D343" i="5"/>
  <c r="E343" i="5"/>
  <c r="F343" i="5"/>
  <c r="H343" i="5"/>
  <c r="I343" i="5"/>
  <c r="N343" i="5"/>
  <c r="R343" i="5"/>
  <c r="Q343" i="5" s="1"/>
  <c r="S343" i="5"/>
  <c r="T343" i="5"/>
  <c r="C344" i="5"/>
  <c r="L344" i="5" s="1"/>
  <c r="D344" i="5"/>
  <c r="E344" i="5"/>
  <c r="F344" i="5"/>
  <c r="H344" i="5"/>
  <c r="I344" i="5"/>
  <c r="N344" i="5"/>
  <c r="Q344" i="5"/>
  <c r="S344" i="5" s="1"/>
  <c r="R344" i="5"/>
  <c r="T344" i="5"/>
  <c r="C345" i="5"/>
  <c r="D345" i="5"/>
  <c r="E345" i="5"/>
  <c r="F345" i="5"/>
  <c r="H345" i="5"/>
  <c r="I345" i="5"/>
  <c r="N345" i="5"/>
  <c r="R345" i="5"/>
  <c r="Q345" i="5" s="1"/>
  <c r="S345" i="5" s="1"/>
  <c r="T345" i="5"/>
  <c r="C346" i="5"/>
  <c r="D346" i="5"/>
  <c r="E346" i="5"/>
  <c r="F346" i="5"/>
  <c r="H346" i="5"/>
  <c r="I346" i="5"/>
  <c r="N346" i="5"/>
  <c r="R346" i="5"/>
  <c r="Q346" i="5" s="1"/>
  <c r="S346" i="5" s="1"/>
  <c r="T346" i="5"/>
  <c r="C347" i="5"/>
  <c r="D347" i="5"/>
  <c r="E347" i="5"/>
  <c r="F347" i="5"/>
  <c r="H347" i="5"/>
  <c r="I347" i="5"/>
  <c r="N347" i="5"/>
  <c r="R347" i="5"/>
  <c r="Q347" i="5" s="1"/>
  <c r="S347" i="5"/>
  <c r="S1084" i="5" s="1"/>
  <c r="T347" i="5"/>
  <c r="C348" i="5"/>
  <c r="D348" i="5"/>
  <c r="E348" i="5"/>
  <c r="F348" i="5"/>
  <c r="H348" i="5"/>
  <c r="I348" i="5"/>
  <c r="L348" i="5"/>
  <c r="N348" i="5"/>
  <c r="Q348" i="5"/>
  <c r="S348" i="5" s="1"/>
  <c r="R348" i="5"/>
  <c r="T348" i="5"/>
  <c r="C349" i="5"/>
  <c r="D349" i="5"/>
  <c r="E349" i="5"/>
  <c r="F349" i="5"/>
  <c r="H349" i="5"/>
  <c r="I349" i="5"/>
  <c r="N349" i="5"/>
  <c r="R349" i="5"/>
  <c r="Q349" i="5" s="1"/>
  <c r="S349" i="5" s="1"/>
  <c r="T349" i="5"/>
  <c r="C350" i="5"/>
  <c r="D350" i="5"/>
  <c r="L350" i="5" s="1"/>
  <c r="E350" i="5"/>
  <c r="F350" i="5"/>
  <c r="H350" i="5"/>
  <c r="I350" i="5"/>
  <c r="N350" i="5"/>
  <c r="R350" i="5"/>
  <c r="T350" i="5"/>
  <c r="C351" i="5"/>
  <c r="D351" i="5"/>
  <c r="E351" i="5"/>
  <c r="F351" i="5"/>
  <c r="H351" i="5"/>
  <c r="I351" i="5"/>
  <c r="N351" i="5"/>
  <c r="R351" i="5"/>
  <c r="Q351" i="5" s="1"/>
  <c r="S351" i="5"/>
  <c r="T351" i="5"/>
  <c r="C352" i="5"/>
  <c r="L352" i="5" s="1"/>
  <c r="D352" i="5"/>
  <c r="E352" i="5"/>
  <c r="F352" i="5"/>
  <c r="H352" i="5"/>
  <c r="I352" i="5"/>
  <c r="N352" i="5"/>
  <c r="Q352" i="5"/>
  <c r="S352" i="5" s="1"/>
  <c r="R352" i="5"/>
  <c r="T352" i="5"/>
  <c r="C353" i="5"/>
  <c r="D353" i="5"/>
  <c r="E353" i="5"/>
  <c r="L353" i="5" s="1"/>
  <c r="F353" i="5"/>
  <c r="H353" i="5"/>
  <c r="I353" i="5"/>
  <c r="N353" i="5"/>
  <c r="R353" i="5"/>
  <c r="Q353" i="5" s="1"/>
  <c r="S353" i="5"/>
  <c r="T353" i="5"/>
  <c r="C354" i="5"/>
  <c r="D354" i="5"/>
  <c r="E354" i="5"/>
  <c r="F354" i="5"/>
  <c r="H354" i="5"/>
  <c r="I354" i="5"/>
  <c r="N354" i="5"/>
  <c r="Q354" i="5"/>
  <c r="S354" i="5" s="1"/>
  <c r="R354" i="5"/>
  <c r="T354" i="5"/>
  <c r="C355" i="5"/>
  <c r="D355" i="5"/>
  <c r="E355" i="5"/>
  <c r="F355" i="5"/>
  <c r="H355" i="5"/>
  <c r="I355" i="5"/>
  <c r="I1085" i="5" s="1"/>
  <c r="N355" i="5"/>
  <c r="R355" i="5"/>
  <c r="Q355" i="5" s="1"/>
  <c r="S355" i="5" s="1"/>
  <c r="T355" i="5"/>
  <c r="C356" i="5"/>
  <c r="D356" i="5"/>
  <c r="E356" i="5"/>
  <c r="F356" i="5"/>
  <c r="H356" i="5"/>
  <c r="I356" i="5"/>
  <c r="N356" i="5"/>
  <c r="Q356" i="5"/>
  <c r="R356" i="5"/>
  <c r="S356" i="5"/>
  <c r="T356" i="5"/>
  <c r="C357" i="5"/>
  <c r="D357" i="5"/>
  <c r="E357" i="5"/>
  <c r="F357" i="5"/>
  <c r="H357" i="5"/>
  <c r="I357" i="5"/>
  <c r="L357" i="5"/>
  <c r="N357" i="5"/>
  <c r="R357" i="5"/>
  <c r="Q357" i="5" s="1"/>
  <c r="S357" i="5" s="1"/>
  <c r="T357" i="5"/>
  <c r="C358" i="5"/>
  <c r="D358" i="5"/>
  <c r="E358" i="5"/>
  <c r="F358" i="5"/>
  <c r="H358" i="5"/>
  <c r="I358" i="5"/>
  <c r="N358" i="5"/>
  <c r="R358" i="5"/>
  <c r="Q358" i="5" s="1"/>
  <c r="S358" i="5" s="1"/>
  <c r="T358" i="5"/>
  <c r="C359" i="5"/>
  <c r="D359" i="5"/>
  <c r="E359" i="5"/>
  <c r="F359" i="5"/>
  <c r="H359" i="5"/>
  <c r="I359" i="5"/>
  <c r="N359" i="5"/>
  <c r="R359" i="5"/>
  <c r="Q359" i="5" s="1"/>
  <c r="S359" i="5"/>
  <c r="T359" i="5"/>
  <c r="C360" i="5"/>
  <c r="D360" i="5"/>
  <c r="E360" i="5"/>
  <c r="L360" i="5" s="1"/>
  <c r="F360" i="5"/>
  <c r="H360" i="5"/>
  <c r="I360" i="5"/>
  <c r="N360" i="5"/>
  <c r="R360" i="5"/>
  <c r="Q360" i="5" s="1"/>
  <c r="S360" i="5" s="1"/>
  <c r="T360" i="5"/>
  <c r="C361" i="5"/>
  <c r="D361" i="5"/>
  <c r="E361" i="5"/>
  <c r="F361" i="5"/>
  <c r="H361" i="5"/>
  <c r="I361" i="5"/>
  <c r="L361" i="5"/>
  <c r="N361" i="5"/>
  <c r="R361" i="5"/>
  <c r="Q361" i="5" s="1"/>
  <c r="S361" i="5" s="1"/>
  <c r="T361" i="5"/>
  <c r="C362" i="5"/>
  <c r="D362" i="5"/>
  <c r="E362" i="5"/>
  <c r="F362" i="5"/>
  <c r="H362" i="5"/>
  <c r="I362" i="5"/>
  <c r="N362" i="5"/>
  <c r="Q362" i="5"/>
  <c r="S362" i="5" s="1"/>
  <c r="R362" i="5"/>
  <c r="T362" i="5"/>
  <c r="C363" i="5"/>
  <c r="D363" i="5"/>
  <c r="E363" i="5"/>
  <c r="F363" i="5"/>
  <c r="H363" i="5"/>
  <c r="I363" i="5"/>
  <c r="N363" i="5"/>
  <c r="R363" i="5"/>
  <c r="Q363" i="5" s="1"/>
  <c r="S363" i="5"/>
  <c r="T363" i="5"/>
  <c r="C364" i="5"/>
  <c r="L364" i="5" s="1"/>
  <c r="D364" i="5"/>
  <c r="E364" i="5"/>
  <c r="F364" i="5"/>
  <c r="H364" i="5"/>
  <c r="I364" i="5"/>
  <c r="N364" i="5"/>
  <c r="Q364" i="5"/>
  <c r="S364" i="5" s="1"/>
  <c r="R364" i="5"/>
  <c r="T364" i="5"/>
  <c r="C365" i="5"/>
  <c r="D365" i="5"/>
  <c r="E365" i="5"/>
  <c r="F365" i="5"/>
  <c r="H365" i="5"/>
  <c r="I365" i="5"/>
  <c r="N365" i="5"/>
  <c r="R365" i="5"/>
  <c r="Q365" i="5" s="1"/>
  <c r="S365" i="5"/>
  <c r="T365" i="5"/>
  <c r="C366" i="5"/>
  <c r="D366" i="5"/>
  <c r="E366" i="5"/>
  <c r="F366" i="5"/>
  <c r="H366" i="5"/>
  <c r="I366" i="5"/>
  <c r="L366" i="5"/>
  <c r="N366" i="5"/>
  <c r="R366" i="5"/>
  <c r="Q366" i="5" s="1"/>
  <c r="S366" i="5" s="1"/>
  <c r="T366" i="5"/>
  <c r="C367" i="5"/>
  <c r="D367" i="5"/>
  <c r="L367" i="5" s="1"/>
  <c r="E367" i="5"/>
  <c r="F367" i="5"/>
  <c r="H367" i="5"/>
  <c r="I367" i="5"/>
  <c r="N367" i="5"/>
  <c r="R367" i="5"/>
  <c r="Q367" i="5" s="1"/>
  <c r="S367" i="5"/>
  <c r="T367" i="5"/>
  <c r="C368" i="5"/>
  <c r="L368" i="5" s="1"/>
  <c r="D368" i="5"/>
  <c r="E368" i="5"/>
  <c r="F368" i="5"/>
  <c r="H368" i="5"/>
  <c r="I368" i="5"/>
  <c r="N368" i="5"/>
  <c r="Q368" i="5"/>
  <c r="R368" i="5"/>
  <c r="S368" i="5"/>
  <c r="T368" i="5"/>
  <c r="C369" i="5"/>
  <c r="D369" i="5"/>
  <c r="E369" i="5"/>
  <c r="F369" i="5"/>
  <c r="H369" i="5"/>
  <c r="I369" i="5"/>
  <c r="L369" i="5"/>
  <c r="N369" i="5"/>
  <c r="R369" i="5"/>
  <c r="Q369" i="5" s="1"/>
  <c r="S369" i="5"/>
  <c r="T369" i="5"/>
  <c r="C370" i="5"/>
  <c r="D370" i="5"/>
  <c r="E370" i="5"/>
  <c r="F370" i="5"/>
  <c r="H370" i="5"/>
  <c r="I370" i="5"/>
  <c r="N370" i="5"/>
  <c r="R370" i="5"/>
  <c r="T370" i="5"/>
  <c r="C371" i="5"/>
  <c r="D371" i="5"/>
  <c r="L371" i="5" s="1"/>
  <c r="E371" i="5"/>
  <c r="F371" i="5"/>
  <c r="H371" i="5"/>
  <c r="I371" i="5"/>
  <c r="N371" i="5"/>
  <c r="R371" i="5"/>
  <c r="Q371" i="5" s="1"/>
  <c r="S371" i="5" s="1"/>
  <c r="T371" i="5"/>
  <c r="C372" i="5"/>
  <c r="L372" i="5" s="1"/>
  <c r="D372" i="5"/>
  <c r="E372" i="5"/>
  <c r="F372" i="5"/>
  <c r="H372" i="5"/>
  <c r="I372" i="5"/>
  <c r="N372" i="5"/>
  <c r="R372" i="5"/>
  <c r="Q372" i="5" s="1"/>
  <c r="S372" i="5" s="1"/>
  <c r="T372" i="5"/>
  <c r="C373" i="5"/>
  <c r="D373" i="5"/>
  <c r="E373" i="5"/>
  <c r="F373" i="5"/>
  <c r="H373" i="5"/>
  <c r="I373" i="5"/>
  <c r="L373" i="5" s="1"/>
  <c r="N373" i="5"/>
  <c r="R373" i="5"/>
  <c r="Q373" i="5" s="1"/>
  <c r="S373" i="5" s="1"/>
  <c r="T373" i="5"/>
  <c r="C374" i="5"/>
  <c r="D374" i="5"/>
  <c r="L374" i="5" s="1"/>
  <c r="E374" i="5"/>
  <c r="F374" i="5"/>
  <c r="H374" i="5"/>
  <c r="I374" i="5"/>
  <c r="N374" i="5"/>
  <c r="R374" i="5"/>
  <c r="T374" i="5"/>
  <c r="C375" i="5"/>
  <c r="D375" i="5"/>
  <c r="E375" i="5"/>
  <c r="F375" i="5"/>
  <c r="H375" i="5"/>
  <c r="I375" i="5"/>
  <c r="I1087" i="5" s="1"/>
  <c r="N375" i="5"/>
  <c r="R375" i="5"/>
  <c r="Q375" i="5" s="1"/>
  <c r="S375" i="5"/>
  <c r="T375" i="5"/>
  <c r="C376" i="5"/>
  <c r="D376" i="5"/>
  <c r="E376" i="5"/>
  <c r="F376" i="5"/>
  <c r="H376" i="5"/>
  <c r="I376" i="5"/>
  <c r="N376" i="5"/>
  <c r="R376" i="5"/>
  <c r="Q376" i="5" s="1"/>
  <c r="S376" i="5"/>
  <c r="T376" i="5"/>
  <c r="C377" i="5"/>
  <c r="D377" i="5"/>
  <c r="E377" i="5"/>
  <c r="F377" i="5"/>
  <c r="H377" i="5"/>
  <c r="I377" i="5"/>
  <c r="L377" i="5"/>
  <c r="N377" i="5"/>
  <c r="R377" i="5"/>
  <c r="Q377" i="5" s="1"/>
  <c r="S377" i="5" s="1"/>
  <c r="T377" i="5"/>
  <c r="C378" i="5"/>
  <c r="D378" i="5"/>
  <c r="E378" i="5"/>
  <c r="F378" i="5"/>
  <c r="H378" i="5"/>
  <c r="I378" i="5"/>
  <c r="N378" i="5"/>
  <c r="Q378" i="5"/>
  <c r="S378" i="5" s="1"/>
  <c r="R378" i="5"/>
  <c r="T378" i="5"/>
  <c r="C379" i="5"/>
  <c r="D379" i="5"/>
  <c r="E379" i="5"/>
  <c r="F379" i="5"/>
  <c r="H379" i="5"/>
  <c r="I379" i="5"/>
  <c r="N379" i="5"/>
  <c r="R379" i="5"/>
  <c r="Q379" i="5" s="1"/>
  <c r="S379" i="5" s="1"/>
  <c r="T379" i="5"/>
  <c r="C380" i="5"/>
  <c r="D380" i="5"/>
  <c r="E380" i="5"/>
  <c r="F380" i="5"/>
  <c r="H380" i="5"/>
  <c r="I380" i="5"/>
  <c r="N380" i="5"/>
  <c r="R380" i="5"/>
  <c r="Q380" i="5" s="1"/>
  <c r="S380" i="5" s="1"/>
  <c r="T380" i="5"/>
  <c r="C381" i="5"/>
  <c r="D381" i="5"/>
  <c r="E381" i="5"/>
  <c r="F381" i="5"/>
  <c r="H381" i="5"/>
  <c r="I381" i="5"/>
  <c r="N381" i="5"/>
  <c r="R381" i="5"/>
  <c r="Q381" i="5" s="1"/>
  <c r="S381" i="5"/>
  <c r="T381" i="5"/>
  <c r="C382" i="5"/>
  <c r="D382" i="5"/>
  <c r="E382" i="5"/>
  <c r="F382" i="5"/>
  <c r="H382" i="5"/>
  <c r="I382" i="5"/>
  <c r="L382" i="5"/>
  <c r="N382" i="5"/>
  <c r="R382" i="5"/>
  <c r="Q382" i="5" s="1"/>
  <c r="S382" i="5" s="1"/>
  <c r="T382" i="5"/>
  <c r="C383" i="5"/>
  <c r="D383" i="5"/>
  <c r="E383" i="5"/>
  <c r="F383" i="5"/>
  <c r="H383" i="5"/>
  <c r="I383" i="5"/>
  <c r="N383" i="5"/>
  <c r="R383" i="5"/>
  <c r="Q383" i="5" s="1"/>
  <c r="S383" i="5"/>
  <c r="T383" i="5"/>
  <c r="C384" i="5"/>
  <c r="L384" i="5" s="1"/>
  <c r="D384" i="5"/>
  <c r="E384" i="5"/>
  <c r="F384" i="5"/>
  <c r="H384" i="5"/>
  <c r="I384" i="5"/>
  <c r="N384" i="5"/>
  <c r="Q384" i="5"/>
  <c r="R384" i="5"/>
  <c r="S384" i="5"/>
  <c r="T384" i="5"/>
  <c r="C385" i="5"/>
  <c r="D385" i="5"/>
  <c r="E385" i="5"/>
  <c r="F385" i="5"/>
  <c r="H385" i="5"/>
  <c r="I385" i="5"/>
  <c r="L385" i="5"/>
  <c r="N385" i="5"/>
  <c r="R385" i="5"/>
  <c r="Q385" i="5" s="1"/>
  <c r="S385" i="5"/>
  <c r="T385" i="5"/>
  <c r="C386" i="5"/>
  <c r="D386" i="5"/>
  <c r="E386" i="5"/>
  <c r="F386" i="5"/>
  <c r="H386" i="5"/>
  <c r="I386" i="5"/>
  <c r="N386" i="5"/>
  <c r="R386" i="5"/>
  <c r="Q386" i="5" s="1"/>
  <c r="T386" i="5"/>
  <c r="C387" i="5"/>
  <c r="D387" i="5"/>
  <c r="L387" i="5" s="1"/>
  <c r="E387" i="5"/>
  <c r="F387" i="5"/>
  <c r="H387" i="5"/>
  <c r="I387" i="5"/>
  <c r="N387" i="5"/>
  <c r="R387" i="5"/>
  <c r="Q387" i="5" s="1"/>
  <c r="S387" i="5" s="1"/>
  <c r="T387" i="5"/>
  <c r="C388" i="5"/>
  <c r="D388" i="5"/>
  <c r="E388" i="5"/>
  <c r="F388" i="5"/>
  <c r="H388" i="5"/>
  <c r="I388" i="5"/>
  <c r="I1088" i="5" s="1"/>
  <c r="N388" i="5"/>
  <c r="R388" i="5"/>
  <c r="Q388" i="5" s="1"/>
  <c r="S388" i="5" s="1"/>
  <c r="T388" i="5"/>
  <c r="C389" i="5"/>
  <c r="D389" i="5"/>
  <c r="L389" i="5" s="1"/>
  <c r="E389" i="5"/>
  <c r="F389" i="5"/>
  <c r="H389" i="5"/>
  <c r="I389" i="5"/>
  <c r="N389" i="5"/>
  <c r="R389" i="5"/>
  <c r="Q389" i="5" s="1"/>
  <c r="S389" i="5"/>
  <c r="T389" i="5"/>
  <c r="C390" i="5"/>
  <c r="D390" i="5"/>
  <c r="E390" i="5"/>
  <c r="F390" i="5"/>
  <c r="H390" i="5"/>
  <c r="I390" i="5"/>
  <c r="L390" i="5"/>
  <c r="N390" i="5"/>
  <c r="R390" i="5"/>
  <c r="Q390" i="5" s="1"/>
  <c r="S390" i="5" s="1"/>
  <c r="T390" i="5"/>
  <c r="C391" i="5"/>
  <c r="D391" i="5"/>
  <c r="E391" i="5"/>
  <c r="F391" i="5"/>
  <c r="H391" i="5"/>
  <c r="I391" i="5"/>
  <c r="N391" i="5"/>
  <c r="R391" i="5"/>
  <c r="Q391" i="5" s="1"/>
  <c r="S391" i="5"/>
  <c r="T391" i="5"/>
  <c r="C392" i="5"/>
  <c r="D392" i="5"/>
  <c r="E392" i="5"/>
  <c r="L392" i="5" s="1"/>
  <c r="F392" i="5"/>
  <c r="H392" i="5"/>
  <c r="I392" i="5"/>
  <c r="N392" i="5"/>
  <c r="R392" i="5"/>
  <c r="Q392" i="5" s="1"/>
  <c r="S392" i="5" s="1"/>
  <c r="T392" i="5"/>
  <c r="C393" i="5"/>
  <c r="D393" i="5"/>
  <c r="E393" i="5"/>
  <c r="F393" i="5"/>
  <c r="H393" i="5"/>
  <c r="I393" i="5"/>
  <c r="L393" i="5"/>
  <c r="N393" i="5"/>
  <c r="R393" i="5"/>
  <c r="Q393" i="5" s="1"/>
  <c r="S393" i="5" s="1"/>
  <c r="T393" i="5"/>
  <c r="C394" i="5"/>
  <c r="D394" i="5"/>
  <c r="E394" i="5"/>
  <c r="F394" i="5"/>
  <c r="H394" i="5"/>
  <c r="I394" i="5"/>
  <c r="N394" i="5"/>
  <c r="Q394" i="5"/>
  <c r="S394" i="5" s="1"/>
  <c r="R394" i="5"/>
  <c r="T394" i="5"/>
  <c r="C395" i="5"/>
  <c r="D395" i="5"/>
  <c r="L395" i="5" s="1"/>
  <c r="E395" i="5"/>
  <c r="F395" i="5"/>
  <c r="H395" i="5"/>
  <c r="I395" i="5"/>
  <c r="N395" i="5"/>
  <c r="R395" i="5"/>
  <c r="Q395" i="5" s="1"/>
  <c r="S395" i="5"/>
  <c r="T395" i="5"/>
  <c r="C396" i="5"/>
  <c r="D396" i="5"/>
  <c r="E396" i="5"/>
  <c r="F396" i="5"/>
  <c r="H396" i="5"/>
  <c r="I396" i="5"/>
  <c r="N396" i="5"/>
  <c r="Q396" i="5"/>
  <c r="S396" i="5" s="1"/>
  <c r="R396" i="5"/>
  <c r="T396" i="5"/>
  <c r="C397" i="5"/>
  <c r="D397" i="5"/>
  <c r="E397" i="5"/>
  <c r="F397" i="5"/>
  <c r="H397" i="5"/>
  <c r="I397" i="5"/>
  <c r="N397" i="5"/>
  <c r="R397" i="5"/>
  <c r="Q397" i="5" s="1"/>
  <c r="S397" i="5"/>
  <c r="T397" i="5"/>
  <c r="C398" i="5"/>
  <c r="D398" i="5"/>
  <c r="E398" i="5"/>
  <c r="F398" i="5"/>
  <c r="H398" i="5"/>
  <c r="I398" i="5"/>
  <c r="L398" i="5"/>
  <c r="N398" i="5"/>
  <c r="R398" i="5"/>
  <c r="Q398" i="5" s="1"/>
  <c r="S398" i="5"/>
  <c r="T398" i="5"/>
  <c r="C399" i="5"/>
  <c r="D399" i="5"/>
  <c r="L399" i="5" s="1"/>
  <c r="E399" i="5"/>
  <c r="F399" i="5"/>
  <c r="H399" i="5"/>
  <c r="I399" i="5"/>
  <c r="N399" i="5"/>
  <c r="R399" i="5"/>
  <c r="Q399" i="5" s="1"/>
  <c r="S399" i="5"/>
  <c r="T399" i="5"/>
  <c r="C400" i="5"/>
  <c r="L400" i="5" s="1"/>
  <c r="D400" i="5"/>
  <c r="E400" i="5"/>
  <c r="F400" i="5"/>
  <c r="H400" i="5"/>
  <c r="I400" i="5"/>
  <c r="N400" i="5"/>
  <c r="Q400" i="5"/>
  <c r="S400" i="5" s="1"/>
  <c r="R400" i="5"/>
  <c r="T400" i="5"/>
  <c r="C401" i="5"/>
  <c r="D401" i="5"/>
  <c r="E401" i="5"/>
  <c r="L401" i="5" s="1"/>
  <c r="F401" i="5"/>
  <c r="H401" i="5"/>
  <c r="I401" i="5"/>
  <c r="N401" i="5"/>
  <c r="R401" i="5"/>
  <c r="Q401" i="5" s="1"/>
  <c r="S401" i="5"/>
  <c r="T401" i="5"/>
  <c r="C402" i="5"/>
  <c r="D402" i="5"/>
  <c r="E402" i="5"/>
  <c r="F402" i="5"/>
  <c r="H402" i="5"/>
  <c r="I402" i="5"/>
  <c r="N402" i="5"/>
  <c r="Q402" i="5"/>
  <c r="S402" i="5" s="1"/>
  <c r="R402" i="5"/>
  <c r="T402" i="5"/>
  <c r="C403" i="5"/>
  <c r="D403" i="5"/>
  <c r="E403" i="5"/>
  <c r="F403" i="5"/>
  <c r="H403" i="5"/>
  <c r="H1089" i="5" s="1"/>
  <c r="I403" i="5"/>
  <c r="N403" i="5"/>
  <c r="R403" i="5"/>
  <c r="Q403" i="5" s="1"/>
  <c r="S403" i="5" s="1"/>
  <c r="T403" i="5"/>
  <c r="C404" i="5"/>
  <c r="D404" i="5"/>
  <c r="E404" i="5"/>
  <c r="F404" i="5"/>
  <c r="H404" i="5"/>
  <c r="I404" i="5"/>
  <c r="N404" i="5"/>
  <c r="Q404" i="5"/>
  <c r="R404" i="5"/>
  <c r="S404" i="5"/>
  <c r="T404" i="5"/>
  <c r="C405" i="5"/>
  <c r="D405" i="5"/>
  <c r="L405" i="5" s="1"/>
  <c r="E405" i="5"/>
  <c r="F405" i="5"/>
  <c r="H405" i="5"/>
  <c r="I405" i="5"/>
  <c r="N405" i="5"/>
  <c r="R405" i="5"/>
  <c r="T405" i="5"/>
  <c r="C406" i="5"/>
  <c r="D406" i="5"/>
  <c r="E406" i="5"/>
  <c r="F406" i="5"/>
  <c r="H406" i="5"/>
  <c r="I406" i="5"/>
  <c r="I1089" i="5" s="1"/>
  <c r="L406" i="5"/>
  <c r="N406" i="5"/>
  <c r="R406" i="5"/>
  <c r="Q406" i="5" s="1"/>
  <c r="S406" i="5" s="1"/>
  <c r="T406" i="5"/>
  <c r="C407" i="5"/>
  <c r="D407" i="5"/>
  <c r="E407" i="5"/>
  <c r="F407" i="5"/>
  <c r="H407" i="5"/>
  <c r="I407" i="5"/>
  <c r="N407" i="5"/>
  <c r="R407" i="5"/>
  <c r="Q407" i="5" s="1"/>
  <c r="S407" i="5"/>
  <c r="T407" i="5"/>
  <c r="C408" i="5"/>
  <c r="D408" i="5"/>
  <c r="E408" i="5"/>
  <c r="F408" i="5"/>
  <c r="H408" i="5"/>
  <c r="I408" i="5"/>
  <c r="N408" i="5"/>
  <c r="R408" i="5"/>
  <c r="Q408" i="5" s="1"/>
  <c r="S408" i="5" s="1"/>
  <c r="T408" i="5"/>
  <c r="C409" i="5"/>
  <c r="D409" i="5"/>
  <c r="E409" i="5"/>
  <c r="L409" i="5" s="1"/>
  <c r="F409" i="5"/>
  <c r="H409" i="5"/>
  <c r="I409" i="5"/>
  <c r="N409" i="5"/>
  <c r="R409" i="5"/>
  <c r="Q409" i="5" s="1"/>
  <c r="S409" i="5" s="1"/>
  <c r="T409" i="5"/>
  <c r="C410" i="5"/>
  <c r="D410" i="5"/>
  <c r="E410" i="5"/>
  <c r="F410" i="5"/>
  <c r="H410" i="5"/>
  <c r="I410" i="5"/>
  <c r="N410" i="5"/>
  <c r="Q410" i="5"/>
  <c r="S410" i="5" s="1"/>
  <c r="R410" i="5"/>
  <c r="T410" i="5"/>
  <c r="C411" i="5"/>
  <c r="D411" i="5"/>
  <c r="L411" i="5" s="1"/>
  <c r="E411" i="5"/>
  <c r="F411" i="5"/>
  <c r="H411" i="5"/>
  <c r="I411" i="5"/>
  <c r="N411" i="5"/>
  <c r="R411" i="5"/>
  <c r="Q411" i="5" s="1"/>
  <c r="S411" i="5" s="1"/>
  <c r="T411" i="5"/>
  <c r="C412" i="5"/>
  <c r="D412" i="5"/>
  <c r="E412" i="5"/>
  <c r="F412" i="5"/>
  <c r="H412" i="5"/>
  <c r="I412" i="5"/>
  <c r="I1090" i="5" s="1"/>
  <c r="N412" i="5"/>
  <c r="R412" i="5"/>
  <c r="Q412" i="5" s="1"/>
  <c r="S412" i="5" s="1"/>
  <c r="T412" i="5"/>
  <c r="C413" i="5"/>
  <c r="D413" i="5"/>
  <c r="E413" i="5"/>
  <c r="F413" i="5"/>
  <c r="H413" i="5"/>
  <c r="I413" i="5"/>
  <c r="N413" i="5"/>
  <c r="Q413" i="5"/>
  <c r="R413" i="5"/>
  <c r="S413" i="5"/>
  <c r="T413" i="5"/>
  <c r="C414" i="5"/>
  <c r="D414" i="5"/>
  <c r="E414" i="5"/>
  <c r="F414" i="5"/>
  <c r="H414" i="5"/>
  <c r="I414" i="5"/>
  <c r="N414" i="5"/>
  <c r="R414" i="5"/>
  <c r="T414" i="5"/>
  <c r="C415" i="5"/>
  <c r="D415" i="5"/>
  <c r="E415" i="5"/>
  <c r="F415" i="5"/>
  <c r="H415" i="5"/>
  <c r="H1090" i="5" s="1"/>
  <c r="I415" i="5"/>
  <c r="N415" i="5"/>
  <c r="R415" i="5"/>
  <c r="Q415" i="5" s="1"/>
  <c r="S415" i="5" s="1"/>
  <c r="T415" i="5"/>
  <c r="C416" i="5"/>
  <c r="D416" i="5"/>
  <c r="E416" i="5"/>
  <c r="F416" i="5"/>
  <c r="H416" i="5"/>
  <c r="I416" i="5"/>
  <c r="N416" i="5"/>
  <c r="R416" i="5"/>
  <c r="Q416" i="5" s="1"/>
  <c r="S416" i="5" s="1"/>
  <c r="T416" i="5"/>
  <c r="C417" i="5"/>
  <c r="D417" i="5"/>
  <c r="E417" i="5"/>
  <c r="F417" i="5"/>
  <c r="H417" i="5"/>
  <c r="I417" i="5"/>
  <c r="N417" i="5"/>
  <c r="R417" i="5"/>
  <c r="Q417" i="5" s="1"/>
  <c r="S417" i="5" s="1"/>
  <c r="T417" i="5"/>
  <c r="C418" i="5"/>
  <c r="L418" i="5" s="1"/>
  <c r="D418" i="5"/>
  <c r="E418" i="5"/>
  <c r="F418" i="5"/>
  <c r="H418" i="5"/>
  <c r="I418" i="5"/>
  <c r="N418" i="5"/>
  <c r="Q418" i="5"/>
  <c r="S418" i="5" s="1"/>
  <c r="R418" i="5"/>
  <c r="T418" i="5"/>
  <c r="C419" i="5"/>
  <c r="L419" i="5" s="1"/>
  <c r="D419" i="5"/>
  <c r="E419" i="5"/>
  <c r="F419" i="5"/>
  <c r="H419" i="5"/>
  <c r="I419" i="5"/>
  <c r="N419" i="5"/>
  <c r="R419" i="5"/>
  <c r="Q419" i="5" s="1"/>
  <c r="S419" i="5"/>
  <c r="T419" i="5"/>
  <c r="C420" i="5"/>
  <c r="D420" i="5"/>
  <c r="E420" i="5"/>
  <c r="F420" i="5"/>
  <c r="H420" i="5"/>
  <c r="I420" i="5"/>
  <c r="L420" i="5"/>
  <c r="N420" i="5"/>
  <c r="R420" i="5"/>
  <c r="Q420" i="5" s="1"/>
  <c r="S420" i="5" s="1"/>
  <c r="T420" i="5"/>
  <c r="C421" i="5"/>
  <c r="D421" i="5"/>
  <c r="E421" i="5"/>
  <c r="F421" i="5"/>
  <c r="H421" i="5"/>
  <c r="I421" i="5"/>
  <c r="N421" i="5"/>
  <c r="Q421" i="5"/>
  <c r="R421" i="5"/>
  <c r="S421" i="5"/>
  <c r="T421" i="5"/>
  <c r="C422" i="5"/>
  <c r="D422" i="5"/>
  <c r="E422" i="5"/>
  <c r="F422" i="5"/>
  <c r="H422" i="5"/>
  <c r="I422" i="5"/>
  <c r="N422" i="5"/>
  <c r="Q422" i="5"/>
  <c r="R422" i="5"/>
  <c r="T422" i="5"/>
  <c r="C423" i="5"/>
  <c r="D423" i="5"/>
  <c r="E423" i="5"/>
  <c r="F423" i="5"/>
  <c r="H423" i="5"/>
  <c r="I423" i="5"/>
  <c r="N423" i="5"/>
  <c r="R423" i="5"/>
  <c r="T423" i="5"/>
  <c r="C424" i="5"/>
  <c r="D424" i="5"/>
  <c r="E424" i="5"/>
  <c r="F424" i="5"/>
  <c r="H424" i="5"/>
  <c r="I424" i="5"/>
  <c r="N424" i="5"/>
  <c r="R424" i="5"/>
  <c r="Q424" i="5" s="1"/>
  <c r="S424" i="5" s="1"/>
  <c r="T424" i="5"/>
  <c r="C425" i="5"/>
  <c r="D425" i="5"/>
  <c r="E425" i="5"/>
  <c r="F425" i="5"/>
  <c r="H425" i="5"/>
  <c r="I425" i="5"/>
  <c r="N425" i="5"/>
  <c r="R425" i="5"/>
  <c r="Q425" i="5" s="1"/>
  <c r="S425" i="5" s="1"/>
  <c r="T425" i="5"/>
  <c r="C426" i="5"/>
  <c r="L426" i="5" s="1"/>
  <c r="D426" i="5"/>
  <c r="E426" i="5"/>
  <c r="F426" i="5"/>
  <c r="H426" i="5"/>
  <c r="I426" i="5"/>
  <c r="N426" i="5"/>
  <c r="Q426" i="5"/>
  <c r="S426" i="5" s="1"/>
  <c r="R426" i="5"/>
  <c r="T426" i="5"/>
  <c r="C427" i="5"/>
  <c r="D427" i="5"/>
  <c r="D1091" i="5" s="1"/>
  <c r="E427" i="5"/>
  <c r="F427" i="5"/>
  <c r="H427" i="5"/>
  <c r="I427" i="5"/>
  <c r="N427" i="5"/>
  <c r="R427" i="5"/>
  <c r="Q427" i="5" s="1"/>
  <c r="S427" i="5" s="1"/>
  <c r="T427" i="5"/>
  <c r="C428" i="5"/>
  <c r="D428" i="5"/>
  <c r="E428" i="5"/>
  <c r="F428" i="5"/>
  <c r="H428" i="5"/>
  <c r="I428" i="5"/>
  <c r="L428" i="5" s="1"/>
  <c r="N428" i="5"/>
  <c r="R428" i="5"/>
  <c r="Q428" i="5" s="1"/>
  <c r="S428" i="5" s="1"/>
  <c r="T428" i="5"/>
  <c r="C429" i="5"/>
  <c r="D429" i="5"/>
  <c r="E429" i="5"/>
  <c r="F429" i="5"/>
  <c r="H429" i="5"/>
  <c r="I429" i="5"/>
  <c r="N429" i="5"/>
  <c r="Q429" i="5"/>
  <c r="R429" i="5"/>
  <c r="S429" i="5"/>
  <c r="T429" i="5"/>
  <c r="C430" i="5"/>
  <c r="D430" i="5"/>
  <c r="E430" i="5"/>
  <c r="F430" i="5"/>
  <c r="H430" i="5"/>
  <c r="I430" i="5"/>
  <c r="N430" i="5"/>
  <c r="R430" i="5"/>
  <c r="Q430" i="5" s="1"/>
  <c r="S430" i="5" s="1"/>
  <c r="T430" i="5"/>
  <c r="C431" i="5"/>
  <c r="L431" i="5" s="1"/>
  <c r="D431" i="5"/>
  <c r="E431" i="5"/>
  <c r="F431" i="5"/>
  <c r="H431" i="5"/>
  <c r="I431" i="5"/>
  <c r="N431" i="5"/>
  <c r="R431" i="5"/>
  <c r="Q431" i="5" s="1"/>
  <c r="S431" i="5" s="1"/>
  <c r="T431" i="5"/>
  <c r="C432" i="5"/>
  <c r="D432" i="5"/>
  <c r="E432" i="5"/>
  <c r="F432" i="5"/>
  <c r="H432" i="5"/>
  <c r="I432" i="5"/>
  <c r="N432" i="5"/>
  <c r="R432" i="5"/>
  <c r="Q432" i="5" s="1"/>
  <c r="S432" i="5" s="1"/>
  <c r="T432" i="5"/>
  <c r="C433" i="5"/>
  <c r="D433" i="5"/>
  <c r="E433" i="5"/>
  <c r="F433" i="5"/>
  <c r="H433" i="5"/>
  <c r="I433" i="5"/>
  <c r="N433" i="5"/>
  <c r="Q433" i="5"/>
  <c r="S433" i="5" s="1"/>
  <c r="R433" i="5"/>
  <c r="T433" i="5"/>
  <c r="C434" i="5"/>
  <c r="D434" i="5"/>
  <c r="E434" i="5"/>
  <c r="F434" i="5"/>
  <c r="H434" i="5"/>
  <c r="H1092" i="5" s="1"/>
  <c r="I434" i="5"/>
  <c r="N434" i="5"/>
  <c r="Q434" i="5"/>
  <c r="S434" i="5" s="1"/>
  <c r="R434" i="5"/>
  <c r="T434" i="5"/>
  <c r="C435" i="5"/>
  <c r="D435" i="5"/>
  <c r="E435" i="5"/>
  <c r="F435" i="5"/>
  <c r="H435" i="5"/>
  <c r="I435" i="5"/>
  <c r="N435" i="5"/>
  <c r="R435" i="5"/>
  <c r="Q435" i="5" s="1"/>
  <c r="S435" i="5"/>
  <c r="T435" i="5"/>
  <c r="C436" i="5"/>
  <c r="D436" i="5"/>
  <c r="E436" i="5"/>
  <c r="F436" i="5"/>
  <c r="H436" i="5"/>
  <c r="I436" i="5"/>
  <c r="L436" i="5"/>
  <c r="N436" i="5"/>
  <c r="R436" i="5"/>
  <c r="Q436" i="5" s="1"/>
  <c r="S436" i="5" s="1"/>
  <c r="T436" i="5"/>
  <c r="C437" i="5"/>
  <c r="D437" i="5"/>
  <c r="E437" i="5"/>
  <c r="F437" i="5"/>
  <c r="H437" i="5"/>
  <c r="I437" i="5"/>
  <c r="N437" i="5"/>
  <c r="Q437" i="5"/>
  <c r="R437" i="5"/>
  <c r="S437" i="5"/>
  <c r="T437" i="5"/>
  <c r="C438" i="5"/>
  <c r="D438" i="5"/>
  <c r="E438" i="5"/>
  <c r="F438" i="5"/>
  <c r="H438" i="5"/>
  <c r="I438" i="5"/>
  <c r="N438" i="5"/>
  <c r="Q438" i="5"/>
  <c r="S438" i="5" s="1"/>
  <c r="R438" i="5"/>
  <c r="T438" i="5"/>
  <c r="C439" i="5"/>
  <c r="D439" i="5"/>
  <c r="E439" i="5"/>
  <c r="F439" i="5"/>
  <c r="H439" i="5"/>
  <c r="I439" i="5"/>
  <c r="N439" i="5"/>
  <c r="R439" i="5"/>
  <c r="Q439" i="5" s="1"/>
  <c r="S439" i="5" s="1"/>
  <c r="T439" i="5"/>
  <c r="C440" i="5"/>
  <c r="L440" i="5" s="1"/>
  <c r="D440" i="5"/>
  <c r="E440" i="5"/>
  <c r="F440" i="5"/>
  <c r="H440" i="5"/>
  <c r="I440" i="5"/>
  <c r="N440" i="5"/>
  <c r="R440" i="5"/>
  <c r="Q440" i="5" s="1"/>
  <c r="S440" i="5" s="1"/>
  <c r="T440" i="5"/>
  <c r="C441" i="5"/>
  <c r="D441" i="5"/>
  <c r="E441" i="5"/>
  <c r="F441" i="5"/>
  <c r="H441" i="5"/>
  <c r="I441" i="5"/>
  <c r="N441" i="5"/>
  <c r="Q441" i="5"/>
  <c r="S441" i="5" s="1"/>
  <c r="R441" i="5"/>
  <c r="T441" i="5"/>
  <c r="C442" i="5"/>
  <c r="D442" i="5"/>
  <c r="E442" i="5"/>
  <c r="F442" i="5"/>
  <c r="H442" i="5"/>
  <c r="I442" i="5"/>
  <c r="N442" i="5"/>
  <c r="Q442" i="5"/>
  <c r="S442" i="5" s="1"/>
  <c r="R442" i="5"/>
  <c r="T442" i="5"/>
  <c r="C443" i="5"/>
  <c r="D443" i="5"/>
  <c r="E443" i="5"/>
  <c r="F443" i="5"/>
  <c r="H443" i="5"/>
  <c r="I443" i="5"/>
  <c r="N443" i="5"/>
  <c r="R443" i="5"/>
  <c r="Q443" i="5" s="1"/>
  <c r="S443" i="5" s="1"/>
  <c r="T443" i="5"/>
  <c r="C444" i="5"/>
  <c r="D444" i="5"/>
  <c r="E444" i="5"/>
  <c r="F444" i="5"/>
  <c r="H444" i="5"/>
  <c r="I444" i="5"/>
  <c r="I1093" i="5" s="1"/>
  <c r="N444" i="5"/>
  <c r="R444" i="5"/>
  <c r="Q444" i="5" s="1"/>
  <c r="S444" i="5" s="1"/>
  <c r="T444" i="5"/>
  <c r="C445" i="5"/>
  <c r="D445" i="5"/>
  <c r="E445" i="5"/>
  <c r="F445" i="5"/>
  <c r="H445" i="5"/>
  <c r="I445" i="5"/>
  <c r="N445" i="5"/>
  <c r="Q445" i="5"/>
  <c r="R445" i="5"/>
  <c r="S445" i="5"/>
  <c r="T445" i="5"/>
  <c r="C446" i="5"/>
  <c r="D446" i="5"/>
  <c r="E446" i="5"/>
  <c r="F446" i="5"/>
  <c r="H446" i="5"/>
  <c r="I446" i="5"/>
  <c r="N446" i="5"/>
  <c r="R446" i="5"/>
  <c r="T446" i="5"/>
  <c r="C447" i="5"/>
  <c r="L447" i="5" s="1"/>
  <c r="D447" i="5"/>
  <c r="E447" i="5"/>
  <c r="F447" i="5"/>
  <c r="H447" i="5"/>
  <c r="I447" i="5"/>
  <c r="N447" i="5"/>
  <c r="R447" i="5"/>
  <c r="Q447" i="5" s="1"/>
  <c r="S447" i="5" s="1"/>
  <c r="T447" i="5"/>
  <c r="C448" i="5"/>
  <c r="D448" i="5"/>
  <c r="E448" i="5"/>
  <c r="F448" i="5"/>
  <c r="H448" i="5"/>
  <c r="I448" i="5"/>
  <c r="N448" i="5"/>
  <c r="R448" i="5"/>
  <c r="Q448" i="5" s="1"/>
  <c r="S448" i="5" s="1"/>
  <c r="T448" i="5"/>
  <c r="C449" i="5"/>
  <c r="L449" i="5" s="1"/>
  <c r="D449" i="5"/>
  <c r="E449" i="5"/>
  <c r="F449" i="5"/>
  <c r="H449" i="5"/>
  <c r="I449" i="5"/>
  <c r="N449" i="5"/>
  <c r="R449" i="5"/>
  <c r="Q449" i="5" s="1"/>
  <c r="S449" i="5" s="1"/>
  <c r="T449" i="5"/>
  <c r="C450" i="5"/>
  <c r="D450" i="5"/>
  <c r="E450" i="5"/>
  <c r="F450" i="5"/>
  <c r="H450" i="5"/>
  <c r="I450" i="5"/>
  <c r="N450" i="5"/>
  <c r="Q450" i="5"/>
  <c r="S450" i="5" s="1"/>
  <c r="R450" i="5"/>
  <c r="T450" i="5"/>
  <c r="C451" i="5"/>
  <c r="D451" i="5"/>
  <c r="E451" i="5"/>
  <c r="F451" i="5"/>
  <c r="H451" i="5"/>
  <c r="I451" i="5"/>
  <c r="N451" i="5"/>
  <c r="R451" i="5"/>
  <c r="Q451" i="5" s="1"/>
  <c r="S451" i="5"/>
  <c r="T451" i="5"/>
  <c r="C452" i="5"/>
  <c r="D452" i="5"/>
  <c r="E452" i="5"/>
  <c r="F452" i="5"/>
  <c r="H452" i="5"/>
  <c r="I452" i="5"/>
  <c r="L452" i="5"/>
  <c r="N452" i="5"/>
  <c r="R452" i="5"/>
  <c r="Q452" i="5" s="1"/>
  <c r="S452" i="5" s="1"/>
  <c r="T452" i="5"/>
  <c r="C453" i="5"/>
  <c r="D453" i="5"/>
  <c r="E453" i="5"/>
  <c r="F453" i="5"/>
  <c r="H453" i="5"/>
  <c r="I453" i="5"/>
  <c r="N453" i="5"/>
  <c r="Q453" i="5"/>
  <c r="R453" i="5"/>
  <c r="S453" i="5"/>
  <c r="T453" i="5"/>
  <c r="C454" i="5"/>
  <c r="D454" i="5"/>
  <c r="E454" i="5"/>
  <c r="F454" i="5"/>
  <c r="H454" i="5"/>
  <c r="I454" i="5"/>
  <c r="N454" i="5"/>
  <c r="R454" i="5"/>
  <c r="Q454" i="5" s="1"/>
  <c r="S454" i="5" s="1"/>
  <c r="T454" i="5"/>
  <c r="C455" i="5"/>
  <c r="L455" i="5" s="1"/>
  <c r="D455" i="5"/>
  <c r="E455" i="5"/>
  <c r="F455" i="5"/>
  <c r="H455" i="5"/>
  <c r="I455" i="5"/>
  <c r="N455" i="5"/>
  <c r="R455" i="5"/>
  <c r="Q455" i="5" s="1"/>
  <c r="S455" i="5" s="1"/>
  <c r="T455" i="5"/>
  <c r="C456" i="5"/>
  <c r="L456" i="5" s="1"/>
  <c r="D456" i="5"/>
  <c r="E456" i="5"/>
  <c r="F456" i="5"/>
  <c r="H456" i="5"/>
  <c r="I456" i="5"/>
  <c r="N456" i="5"/>
  <c r="R456" i="5"/>
  <c r="T456" i="5"/>
  <c r="C457" i="5"/>
  <c r="D457" i="5"/>
  <c r="E457" i="5"/>
  <c r="F457" i="5"/>
  <c r="H457" i="5"/>
  <c r="I457" i="5"/>
  <c r="N457" i="5"/>
  <c r="Q457" i="5"/>
  <c r="S457" i="5" s="1"/>
  <c r="R457" i="5"/>
  <c r="T457" i="5"/>
  <c r="C458" i="5"/>
  <c r="D458" i="5"/>
  <c r="E458" i="5"/>
  <c r="F458" i="5"/>
  <c r="H458" i="5"/>
  <c r="I458" i="5"/>
  <c r="N458" i="5"/>
  <c r="Q458" i="5"/>
  <c r="S458" i="5" s="1"/>
  <c r="R458" i="5"/>
  <c r="T458" i="5"/>
  <c r="C459" i="5"/>
  <c r="D459" i="5"/>
  <c r="E459" i="5"/>
  <c r="F459" i="5"/>
  <c r="H459" i="5"/>
  <c r="I459" i="5"/>
  <c r="N459" i="5"/>
  <c r="R459" i="5"/>
  <c r="Q459" i="5" s="1"/>
  <c r="S459" i="5"/>
  <c r="T459" i="5"/>
  <c r="C460" i="5"/>
  <c r="D460" i="5"/>
  <c r="L460" i="5" s="1"/>
  <c r="E460" i="5"/>
  <c r="F460" i="5"/>
  <c r="H460" i="5"/>
  <c r="I460" i="5"/>
  <c r="N460" i="5"/>
  <c r="R460" i="5"/>
  <c r="Q460" i="5" s="1"/>
  <c r="S460" i="5" s="1"/>
  <c r="T460" i="5"/>
  <c r="C461" i="5"/>
  <c r="D461" i="5"/>
  <c r="E461" i="5"/>
  <c r="F461" i="5"/>
  <c r="H461" i="5"/>
  <c r="I461" i="5"/>
  <c r="N461" i="5"/>
  <c r="Q461" i="5"/>
  <c r="R461" i="5"/>
  <c r="S461" i="5"/>
  <c r="T461" i="5"/>
  <c r="C462" i="5"/>
  <c r="D462" i="5"/>
  <c r="E462" i="5"/>
  <c r="F462" i="5"/>
  <c r="H462" i="5"/>
  <c r="I462" i="5"/>
  <c r="N462" i="5"/>
  <c r="Q462" i="5"/>
  <c r="S462" i="5" s="1"/>
  <c r="R462" i="5"/>
  <c r="T462" i="5"/>
  <c r="C463" i="5"/>
  <c r="D463" i="5"/>
  <c r="E463" i="5"/>
  <c r="F463" i="5"/>
  <c r="H463" i="5"/>
  <c r="I463" i="5"/>
  <c r="N463" i="5"/>
  <c r="R463" i="5"/>
  <c r="Q463" i="5" s="1"/>
  <c r="S463" i="5" s="1"/>
  <c r="T463" i="5"/>
  <c r="C464" i="5"/>
  <c r="D464" i="5"/>
  <c r="E464" i="5"/>
  <c r="F464" i="5"/>
  <c r="H464" i="5"/>
  <c r="I464" i="5"/>
  <c r="N464" i="5"/>
  <c r="R464" i="5"/>
  <c r="Q464" i="5" s="1"/>
  <c r="S464" i="5" s="1"/>
  <c r="T464" i="5"/>
  <c r="C465" i="5"/>
  <c r="L465" i="5" s="1"/>
  <c r="D465" i="5"/>
  <c r="E465" i="5"/>
  <c r="F465" i="5"/>
  <c r="H465" i="5"/>
  <c r="I465" i="5"/>
  <c r="N465" i="5"/>
  <c r="R465" i="5"/>
  <c r="Q465" i="5" s="1"/>
  <c r="S465" i="5" s="1"/>
  <c r="T465" i="5"/>
  <c r="C466" i="5"/>
  <c r="D466" i="5"/>
  <c r="E466" i="5"/>
  <c r="F466" i="5"/>
  <c r="H466" i="5"/>
  <c r="I466" i="5"/>
  <c r="N466" i="5"/>
  <c r="Q466" i="5"/>
  <c r="S466" i="5" s="1"/>
  <c r="R466" i="5"/>
  <c r="T466" i="5"/>
  <c r="C467" i="5"/>
  <c r="D467" i="5"/>
  <c r="E467" i="5"/>
  <c r="F467" i="5"/>
  <c r="H467" i="5"/>
  <c r="I467" i="5"/>
  <c r="N467" i="5"/>
  <c r="R467" i="5"/>
  <c r="Q467" i="5" s="1"/>
  <c r="S467" i="5" s="1"/>
  <c r="T467" i="5"/>
  <c r="C468" i="5"/>
  <c r="D468" i="5"/>
  <c r="E468" i="5"/>
  <c r="F468" i="5"/>
  <c r="H468" i="5"/>
  <c r="I468" i="5"/>
  <c r="N468" i="5"/>
  <c r="R468" i="5"/>
  <c r="T468" i="5"/>
  <c r="C469" i="5"/>
  <c r="D469" i="5"/>
  <c r="E469" i="5"/>
  <c r="E1095" i="5" s="1"/>
  <c r="F469" i="5"/>
  <c r="H469" i="5"/>
  <c r="I469" i="5"/>
  <c r="N469" i="5"/>
  <c r="Q469" i="5"/>
  <c r="R469" i="5"/>
  <c r="S469" i="5"/>
  <c r="T469" i="5"/>
  <c r="C470" i="5"/>
  <c r="L470" i="5" s="1"/>
  <c r="D470" i="5"/>
  <c r="E470" i="5"/>
  <c r="F470" i="5"/>
  <c r="H470" i="5"/>
  <c r="I470" i="5"/>
  <c r="N470" i="5"/>
  <c r="Q470" i="5"/>
  <c r="S470" i="5" s="1"/>
  <c r="R470" i="5"/>
  <c r="T470" i="5"/>
  <c r="C471" i="5"/>
  <c r="D471" i="5"/>
  <c r="E471" i="5"/>
  <c r="F471" i="5"/>
  <c r="H471" i="5"/>
  <c r="I471" i="5"/>
  <c r="I1095" i="5" s="1"/>
  <c r="N471" i="5"/>
  <c r="R471" i="5"/>
  <c r="Q471" i="5" s="1"/>
  <c r="S471" i="5" s="1"/>
  <c r="T471" i="5"/>
  <c r="C472" i="5"/>
  <c r="L472" i="5" s="1"/>
  <c r="D472" i="5"/>
  <c r="E472" i="5"/>
  <c r="F472" i="5"/>
  <c r="H472" i="5"/>
  <c r="I472" i="5"/>
  <c r="N472" i="5"/>
  <c r="R472" i="5"/>
  <c r="Q472" i="5" s="1"/>
  <c r="S472" i="5" s="1"/>
  <c r="T472" i="5"/>
  <c r="C473" i="5"/>
  <c r="D473" i="5"/>
  <c r="E473" i="5"/>
  <c r="F473" i="5"/>
  <c r="H473" i="5"/>
  <c r="I473" i="5"/>
  <c r="N473" i="5"/>
  <c r="Q473" i="5"/>
  <c r="S473" i="5" s="1"/>
  <c r="R473" i="5"/>
  <c r="T473" i="5"/>
  <c r="C474" i="5"/>
  <c r="D474" i="5"/>
  <c r="E474" i="5"/>
  <c r="F474" i="5"/>
  <c r="H474" i="5"/>
  <c r="I474" i="5"/>
  <c r="N474" i="5"/>
  <c r="Q474" i="5"/>
  <c r="S474" i="5" s="1"/>
  <c r="R474" i="5"/>
  <c r="T474" i="5"/>
  <c r="C475" i="5"/>
  <c r="D475" i="5"/>
  <c r="E475" i="5"/>
  <c r="F475" i="5"/>
  <c r="H475" i="5"/>
  <c r="I475" i="5"/>
  <c r="N475" i="5"/>
  <c r="R475" i="5"/>
  <c r="Q475" i="5" s="1"/>
  <c r="S475" i="5" s="1"/>
  <c r="T475" i="5"/>
  <c r="C476" i="5"/>
  <c r="D476" i="5"/>
  <c r="L476" i="5" s="1"/>
  <c r="E476" i="5"/>
  <c r="F476" i="5"/>
  <c r="H476" i="5"/>
  <c r="I476" i="5"/>
  <c r="N476" i="5"/>
  <c r="R476" i="5"/>
  <c r="Q476" i="5" s="1"/>
  <c r="S476" i="5" s="1"/>
  <c r="T476" i="5"/>
  <c r="C477" i="5"/>
  <c r="D477" i="5"/>
  <c r="E477" i="5"/>
  <c r="F477" i="5"/>
  <c r="H477" i="5"/>
  <c r="I477" i="5"/>
  <c r="N477" i="5"/>
  <c r="Q477" i="5"/>
  <c r="R477" i="5"/>
  <c r="S477" i="5"/>
  <c r="T477" i="5"/>
  <c r="C478" i="5"/>
  <c r="L478" i="5" s="1"/>
  <c r="D478" i="5"/>
  <c r="E478" i="5"/>
  <c r="F478" i="5"/>
  <c r="H478" i="5"/>
  <c r="I478" i="5"/>
  <c r="N478" i="5"/>
  <c r="R478" i="5"/>
  <c r="Q478" i="5" s="1"/>
  <c r="S478" i="5" s="1"/>
  <c r="T478" i="5"/>
  <c r="C479" i="5"/>
  <c r="D479" i="5"/>
  <c r="E479" i="5"/>
  <c r="F479" i="5"/>
  <c r="H479" i="5"/>
  <c r="H1095" i="5" s="1"/>
  <c r="I479" i="5"/>
  <c r="N479" i="5"/>
  <c r="R479" i="5"/>
  <c r="Q479" i="5" s="1"/>
  <c r="S479" i="5" s="1"/>
  <c r="T479" i="5"/>
  <c r="C480" i="5"/>
  <c r="D480" i="5"/>
  <c r="E480" i="5"/>
  <c r="F480" i="5"/>
  <c r="H480" i="5"/>
  <c r="I480" i="5"/>
  <c r="N480" i="5"/>
  <c r="R480" i="5"/>
  <c r="Q480" i="5" s="1"/>
  <c r="S480" i="5" s="1"/>
  <c r="T480" i="5"/>
  <c r="C481" i="5"/>
  <c r="D481" i="5"/>
  <c r="E481" i="5"/>
  <c r="E1096" i="5" s="1"/>
  <c r="F481" i="5"/>
  <c r="H481" i="5"/>
  <c r="I481" i="5"/>
  <c r="N481" i="5"/>
  <c r="R481" i="5"/>
  <c r="T481" i="5"/>
  <c r="C482" i="5"/>
  <c r="L482" i="5" s="1"/>
  <c r="D482" i="5"/>
  <c r="E482" i="5"/>
  <c r="F482" i="5"/>
  <c r="H482" i="5"/>
  <c r="I482" i="5"/>
  <c r="N482" i="5"/>
  <c r="Q482" i="5"/>
  <c r="S482" i="5" s="1"/>
  <c r="R482" i="5"/>
  <c r="T482" i="5"/>
  <c r="C483" i="5"/>
  <c r="D483" i="5"/>
  <c r="E483" i="5"/>
  <c r="F483" i="5"/>
  <c r="H483" i="5"/>
  <c r="H1096" i="5" s="1"/>
  <c r="I483" i="5"/>
  <c r="N483" i="5"/>
  <c r="R483" i="5"/>
  <c r="Q483" i="5" s="1"/>
  <c r="S483" i="5"/>
  <c r="T483" i="5"/>
  <c r="C484" i="5"/>
  <c r="D484" i="5"/>
  <c r="E484" i="5"/>
  <c r="F484" i="5"/>
  <c r="H484" i="5"/>
  <c r="I484" i="5"/>
  <c r="L484" i="5"/>
  <c r="N484" i="5"/>
  <c r="R484" i="5"/>
  <c r="Q484" i="5" s="1"/>
  <c r="S484" i="5" s="1"/>
  <c r="T484" i="5"/>
  <c r="C485" i="5"/>
  <c r="D485" i="5"/>
  <c r="E485" i="5"/>
  <c r="F485" i="5"/>
  <c r="H485" i="5"/>
  <c r="I485" i="5"/>
  <c r="N485" i="5"/>
  <c r="Q485" i="5"/>
  <c r="R485" i="5"/>
  <c r="S485" i="5"/>
  <c r="T485" i="5"/>
  <c r="C486" i="5"/>
  <c r="D486" i="5"/>
  <c r="E486" i="5"/>
  <c r="F486" i="5"/>
  <c r="H486" i="5"/>
  <c r="I486" i="5"/>
  <c r="N486" i="5"/>
  <c r="Q486" i="5"/>
  <c r="S486" i="5" s="1"/>
  <c r="R486" i="5"/>
  <c r="T486" i="5"/>
  <c r="C487" i="5"/>
  <c r="D487" i="5"/>
  <c r="E487" i="5"/>
  <c r="F487" i="5"/>
  <c r="H487" i="5"/>
  <c r="I487" i="5"/>
  <c r="N487" i="5"/>
  <c r="R487" i="5"/>
  <c r="Q487" i="5" s="1"/>
  <c r="S487" i="5" s="1"/>
  <c r="T487" i="5"/>
  <c r="C488" i="5"/>
  <c r="D488" i="5"/>
  <c r="E488" i="5"/>
  <c r="F488" i="5"/>
  <c r="H488" i="5"/>
  <c r="I488" i="5"/>
  <c r="N488" i="5"/>
  <c r="R488" i="5"/>
  <c r="Q488" i="5" s="1"/>
  <c r="S488" i="5" s="1"/>
  <c r="T488" i="5"/>
  <c r="C489" i="5"/>
  <c r="D489" i="5"/>
  <c r="E489" i="5"/>
  <c r="F489" i="5"/>
  <c r="H489" i="5"/>
  <c r="I489" i="5"/>
  <c r="N489" i="5"/>
  <c r="R489" i="5"/>
  <c r="Q489" i="5" s="1"/>
  <c r="S489" i="5" s="1"/>
  <c r="T489" i="5"/>
  <c r="C490" i="5"/>
  <c r="L490" i="5" s="1"/>
  <c r="D490" i="5"/>
  <c r="E490" i="5"/>
  <c r="F490" i="5"/>
  <c r="H490" i="5"/>
  <c r="I490" i="5"/>
  <c r="N490" i="5"/>
  <c r="Q490" i="5"/>
  <c r="S490" i="5" s="1"/>
  <c r="R490" i="5"/>
  <c r="T490" i="5"/>
  <c r="C491" i="5"/>
  <c r="D491" i="5"/>
  <c r="E491" i="5"/>
  <c r="F491" i="5"/>
  <c r="H491" i="5"/>
  <c r="I491" i="5"/>
  <c r="N491" i="5"/>
  <c r="R491" i="5"/>
  <c r="Q491" i="5" s="1"/>
  <c r="S491" i="5" s="1"/>
  <c r="T491" i="5"/>
  <c r="C492" i="5"/>
  <c r="D492" i="5"/>
  <c r="E492" i="5"/>
  <c r="F492" i="5"/>
  <c r="H492" i="5"/>
  <c r="I492" i="5"/>
  <c r="N492" i="5"/>
  <c r="R492" i="5"/>
  <c r="Q492" i="5" s="1"/>
  <c r="S492" i="5" s="1"/>
  <c r="T492" i="5"/>
  <c r="C493" i="5"/>
  <c r="D493" i="5"/>
  <c r="E493" i="5"/>
  <c r="F493" i="5"/>
  <c r="H493" i="5"/>
  <c r="I493" i="5"/>
  <c r="N493" i="5"/>
  <c r="Q493" i="5"/>
  <c r="R493" i="5"/>
  <c r="S493" i="5"/>
  <c r="T493" i="5"/>
  <c r="C494" i="5"/>
  <c r="D494" i="5"/>
  <c r="E494" i="5"/>
  <c r="F494" i="5"/>
  <c r="H494" i="5"/>
  <c r="I494" i="5"/>
  <c r="N494" i="5"/>
  <c r="Q494" i="5"/>
  <c r="R494" i="5"/>
  <c r="T494" i="5"/>
  <c r="C495" i="5"/>
  <c r="D495" i="5"/>
  <c r="E495" i="5"/>
  <c r="F495" i="5"/>
  <c r="H495" i="5"/>
  <c r="I495" i="5"/>
  <c r="N495" i="5"/>
  <c r="R495" i="5"/>
  <c r="Q495" i="5" s="1"/>
  <c r="S495" i="5" s="1"/>
  <c r="T495" i="5"/>
  <c r="C496" i="5"/>
  <c r="D496" i="5"/>
  <c r="E496" i="5"/>
  <c r="F496" i="5"/>
  <c r="H496" i="5"/>
  <c r="I496" i="5"/>
  <c r="N496" i="5"/>
  <c r="R496" i="5"/>
  <c r="T496" i="5"/>
  <c r="C497" i="5"/>
  <c r="D497" i="5"/>
  <c r="E497" i="5"/>
  <c r="F497" i="5"/>
  <c r="H497" i="5"/>
  <c r="I497" i="5"/>
  <c r="I1102" i="5" s="1"/>
  <c r="N497" i="5"/>
  <c r="R497" i="5"/>
  <c r="Q497" i="5" s="1"/>
  <c r="S497" i="5" s="1"/>
  <c r="T497" i="5"/>
  <c r="C498" i="5"/>
  <c r="L498" i="5" s="1"/>
  <c r="D498" i="5"/>
  <c r="E498" i="5"/>
  <c r="F498" i="5"/>
  <c r="H498" i="5"/>
  <c r="I498" i="5"/>
  <c r="N498" i="5"/>
  <c r="R498" i="5"/>
  <c r="T498" i="5"/>
  <c r="C499" i="5"/>
  <c r="D499" i="5"/>
  <c r="E499" i="5"/>
  <c r="F499" i="5"/>
  <c r="H499" i="5"/>
  <c r="I499" i="5"/>
  <c r="L499" i="5" s="1"/>
  <c r="N499" i="5"/>
  <c r="R499" i="5"/>
  <c r="Q499" i="5" s="1"/>
  <c r="S499" i="5" s="1"/>
  <c r="T499" i="5"/>
  <c r="C500" i="5"/>
  <c r="D500" i="5"/>
  <c r="E500" i="5"/>
  <c r="F500" i="5"/>
  <c r="H500" i="5"/>
  <c r="I500" i="5"/>
  <c r="N500" i="5"/>
  <c r="R500" i="5"/>
  <c r="Q500" i="5" s="1"/>
  <c r="S500" i="5" s="1"/>
  <c r="T500" i="5"/>
  <c r="C501" i="5"/>
  <c r="D501" i="5"/>
  <c r="E501" i="5"/>
  <c r="F501" i="5"/>
  <c r="H501" i="5"/>
  <c r="I501" i="5"/>
  <c r="I1104" i="5" s="1"/>
  <c r="N501" i="5"/>
  <c r="R501" i="5"/>
  <c r="Q501" i="5" s="1"/>
  <c r="S501" i="5" s="1"/>
  <c r="T501" i="5"/>
  <c r="C502" i="5"/>
  <c r="D502" i="5"/>
  <c r="E502" i="5"/>
  <c r="F502" i="5"/>
  <c r="H502" i="5"/>
  <c r="I502" i="5"/>
  <c r="N502" i="5"/>
  <c r="R502" i="5"/>
  <c r="Q502" i="5" s="1"/>
  <c r="S502" i="5"/>
  <c r="T502" i="5"/>
  <c r="C503" i="5"/>
  <c r="D503" i="5"/>
  <c r="E503" i="5"/>
  <c r="F503" i="5"/>
  <c r="H503" i="5"/>
  <c r="I503" i="5"/>
  <c r="L503" i="5"/>
  <c r="N503" i="5"/>
  <c r="R503" i="5"/>
  <c r="Q503" i="5" s="1"/>
  <c r="S503" i="5" s="1"/>
  <c r="T503" i="5"/>
  <c r="C504" i="5"/>
  <c r="D504" i="5"/>
  <c r="E504" i="5"/>
  <c r="F504" i="5"/>
  <c r="H504" i="5"/>
  <c r="I504" i="5"/>
  <c r="N504" i="5"/>
  <c r="R504" i="5"/>
  <c r="Q504" i="5" s="1"/>
  <c r="S504" i="5" s="1"/>
  <c r="T504" i="5"/>
  <c r="C505" i="5"/>
  <c r="D505" i="5"/>
  <c r="E505" i="5"/>
  <c r="F505" i="5"/>
  <c r="H505" i="5"/>
  <c r="I505" i="5"/>
  <c r="N505" i="5"/>
  <c r="R505" i="5"/>
  <c r="Q505" i="5" s="1"/>
  <c r="S505" i="5" s="1"/>
  <c r="T505" i="5"/>
  <c r="C506" i="5"/>
  <c r="L506" i="5" s="1"/>
  <c r="D506" i="5"/>
  <c r="E506" i="5"/>
  <c r="F506" i="5"/>
  <c r="F1101" i="5" s="1"/>
  <c r="H506" i="5"/>
  <c r="I506" i="5"/>
  <c r="N506" i="5"/>
  <c r="R506" i="5"/>
  <c r="Q506" i="5" s="1"/>
  <c r="S506" i="5"/>
  <c r="T506" i="5"/>
  <c r="C507" i="5"/>
  <c r="D507" i="5"/>
  <c r="E507" i="5"/>
  <c r="F507" i="5"/>
  <c r="H507" i="5"/>
  <c r="I507" i="5"/>
  <c r="L507" i="5"/>
  <c r="N507" i="5"/>
  <c r="R507" i="5"/>
  <c r="Q507" i="5" s="1"/>
  <c r="S507" i="5" s="1"/>
  <c r="T507" i="5"/>
  <c r="C508" i="5"/>
  <c r="D508" i="5"/>
  <c r="E508" i="5"/>
  <c r="F508" i="5"/>
  <c r="H508" i="5"/>
  <c r="I508" i="5"/>
  <c r="N508" i="5"/>
  <c r="R508" i="5"/>
  <c r="Q508" i="5" s="1"/>
  <c r="T508" i="5"/>
  <c r="C509" i="5"/>
  <c r="D509" i="5"/>
  <c r="L509" i="5" s="1"/>
  <c r="E509" i="5"/>
  <c r="F509" i="5"/>
  <c r="H509" i="5"/>
  <c r="I509" i="5"/>
  <c r="N509" i="5"/>
  <c r="R509" i="5"/>
  <c r="Q509" i="5" s="1"/>
  <c r="S509" i="5" s="1"/>
  <c r="T509" i="5"/>
  <c r="C510" i="5"/>
  <c r="L510" i="5" s="1"/>
  <c r="D510" i="5"/>
  <c r="E510" i="5"/>
  <c r="F510" i="5"/>
  <c r="H510" i="5"/>
  <c r="I510" i="5"/>
  <c r="N510" i="5"/>
  <c r="R510" i="5"/>
  <c r="Q510" i="5" s="1"/>
  <c r="S510" i="5"/>
  <c r="T510" i="5"/>
  <c r="C511" i="5"/>
  <c r="D511" i="5"/>
  <c r="E511" i="5"/>
  <c r="F511" i="5"/>
  <c r="H511" i="5"/>
  <c r="I511" i="5"/>
  <c r="L511" i="5"/>
  <c r="N511" i="5"/>
  <c r="R511" i="5"/>
  <c r="Q511" i="5" s="1"/>
  <c r="S511" i="5" s="1"/>
  <c r="T511" i="5"/>
  <c r="C512" i="5"/>
  <c r="D512" i="5"/>
  <c r="E512" i="5"/>
  <c r="F512" i="5"/>
  <c r="H512" i="5"/>
  <c r="I512" i="5"/>
  <c r="N512" i="5"/>
  <c r="R512" i="5"/>
  <c r="Q512" i="5" s="1"/>
  <c r="S512" i="5" s="1"/>
  <c r="T512" i="5"/>
  <c r="C513" i="5"/>
  <c r="D513" i="5"/>
  <c r="E513" i="5"/>
  <c r="F513" i="5"/>
  <c r="H513" i="5"/>
  <c r="I513" i="5"/>
  <c r="N513" i="5"/>
  <c r="R513" i="5"/>
  <c r="Q513" i="5" s="1"/>
  <c r="S513" i="5" s="1"/>
  <c r="T513" i="5"/>
  <c r="C514" i="5"/>
  <c r="L514" i="5" s="1"/>
  <c r="D514" i="5"/>
  <c r="E514" i="5"/>
  <c r="F514" i="5"/>
  <c r="H514" i="5"/>
  <c r="I514" i="5"/>
  <c r="N514" i="5"/>
  <c r="R514" i="5"/>
  <c r="Q514" i="5" s="1"/>
  <c r="S514" i="5" s="1"/>
  <c r="T514" i="5"/>
  <c r="C515" i="5"/>
  <c r="D515" i="5"/>
  <c r="E515" i="5"/>
  <c r="F515" i="5"/>
  <c r="H515" i="5"/>
  <c r="I515" i="5"/>
  <c r="L515" i="5" s="1"/>
  <c r="N515" i="5"/>
  <c r="R515" i="5"/>
  <c r="Q515" i="5" s="1"/>
  <c r="S515" i="5" s="1"/>
  <c r="T515" i="5"/>
  <c r="C516" i="5"/>
  <c r="D516" i="5"/>
  <c r="E516" i="5"/>
  <c r="F516" i="5"/>
  <c r="H516" i="5"/>
  <c r="I516" i="5"/>
  <c r="N516" i="5"/>
  <c r="R516" i="5"/>
  <c r="Q516" i="5" s="1"/>
  <c r="S516" i="5" s="1"/>
  <c r="T516" i="5"/>
  <c r="C517" i="5"/>
  <c r="D517" i="5"/>
  <c r="E517" i="5"/>
  <c r="F517" i="5"/>
  <c r="H517" i="5"/>
  <c r="I517" i="5"/>
  <c r="N517" i="5"/>
  <c r="R517" i="5"/>
  <c r="Q517" i="5" s="1"/>
  <c r="S517" i="5" s="1"/>
  <c r="T517" i="5"/>
  <c r="C518" i="5"/>
  <c r="D518" i="5"/>
  <c r="E518" i="5"/>
  <c r="F518" i="5"/>
  <c r="H518" i="5"/>
  <c r="I518" i="5"/>
  <c r="N518" i="5"/>
  <c r="R518" i="5"/>
  <c r="Q518" i="5" s="1"/>
  <c r="S518" i="5"/>
  <c r="T518" i="5"/>
  <c r="C519" i="5"/>
  <c r="D519" i="5"/>
  <c r="E519" i="5"/>
  <c r="F519" i="5"/>
  <c r="H519" i="5"/>
  <c r="I519" i="5"/>
  <c r="L519" i="5"/>
  <c r="N519" i="5"/>
  <c r="R519" i="5"/>
  <c r="Q519" i="5" s="1"/>
  <c r="S519" i="5" s="1"/>
  <c r="T519" i="5"/>
  <c r="C520" i="5"/>
  <c r="D520" i="5"/>
  <c r="E520" i="5"/>
  <c r="F520" i="5"/>
  <c r="H520" i="5"/>
  <c r="I520" i="5"/>
  <c r="N520" i="5"/>
  <c r="R520" i="5"/>
  <c r="Q520" i="5" s="1"/>
  <c r="S520" i="5" s="1"/>
  <c r="T520" i="5"/>
  <c r="C521" i="5"/>
  <c r="D521" i="5"/>
  <c r="L521" i="5" s="1"/>
  <c r="E521" i="5"/>
  <c r="F521" i="5"/>
  <c r="H521" i="5"/>
  <c r="I521" i="5"/>
  <c r="N521" i="5"/>
  <c r="R521" i="5"/>
  <c r="Q521" i="5" s="1"/>
  <c r="S521" i="5" s="1"/>
  <c r="T521" i="5"/>
  <c r="C522" i="5"/>
  <c r="L522" i="5" s="1"/>
  <c r="D522" i="5"/>
  <c r="E522" i="5"/>
  <c r="F522" i="5"/>
  <c r="H522" i="5"/>
  <c r="I522" i="5"/>
  <c r="N522" i="5"/>
  <c r="R522" i="5"/>
  <c r="Q522" i="5" s="1"/>
  <c r="S522" i="5"/>
  <c r="T522" i="5"/>
  <c r="C523" i="5"/>
  <c r="D523" i="5"/>
  <c r="E523" i="5"/>
  <c r="F523" i="5"/>
  <c r="H523" i="5"/>
  <c r="I523" i="5"/>
  <c r="L523" i="5"/>
  <c r="N523" i="5"/>
  <c r="R523" i="5"/>
  <c r="Q523" i="5" s="1"/>
  <c r="S523" i="5" s="1"/>
  <c r="T523" i="5"/>
  <c r="C524" i="5"/>
  <c r="D524" i="5"/>
  <c r="E524" i="5"/>
  <c r="F524" i="5"/>
  <c r="H524" i="5"/>
  <c r="I524" i="5"/>
  <c r="N524" i="5"/>
  <c r="R524" i="5"/>
  <c r="Q524" i="5" s="1"/>
  <c r="S524" i="5" s="1"/>
  <c r="T524" i="5"/>
  <c r="C525" i="5"/>
  <c r="D525" i="5"/>
  <c r="L525" i="5" s="1"/>
  <c r="E525" i="5"/>
  <c r="F525" i="5"/>
  <c r="H525" i="5"/>
  <c r="I525" i="5"/>
  <c r="N525" i="5"/>
  <c r="R525" i="5"/>
  <c r="Q525" i="5" s="1"/>
  <c r="S525" i="5" s="1"/>
  <c r="T525" i="5"/>
  <c r="C526" i="5"/>
  <c r="L526" i="5" s="1"/>
  <c r="D526" i="5"/>
  <c r="E526" i="5"/>
  <c r="F526" i="5"/>
  <c r="H526" i="5"/>
  <c r="I526" i="5"/>
  <c r="N526" i="5"/>
  <c r="R526" i="5"/>
  <c r="Q526" i="5" s="1"/>
  <c r="S526" i="5"/>
  <c r="T526" i="5"/>
  <c r="C527" i="5"/>
  <c r="D527" i="5"/>
  <c r="E527" i="5"/>
  <c r="F527" i="5"/>
  <c r="H527" i="5"/>
  <c r="I527" i="5"/>
  <c r="L527" i="5"/>
  <c r="N527" i="5"/>
  <c r="R527" i="5"/>
  <c r="Q527" i="5" s="1"/>
  <c r="S527" i="5" s="1"/>
  <c r="T527" i="5"/>
  <c r="C528" i="5"/>
  <c r="D528" i="5"/>
  <c r="E528" i="5"/>
  <c r="F528" i="5"/>
  <c r="H528" i="5"/>
  <c r="I528" i="5"/>
  <c r="N528" i="5"/>
  <c r="R528" i="5"/>
  <c r="Q528" i="5" s="1"/>
  <c r="S528" i="5" s="1"/>
  <c r="T528" i="5"/>
  <c r="C529" i="5"/>
  <c r="D529" i="5"/>
  <c r="E529" i="5"/>
  <c r="F529" i="5"/>
  <c r="H529" i="5"/>
  <c r="I529" i="5"/>
  <c r="N529" i="5"/>
  <c r="R529" i="5"/>
  <c r="Q529" i="5" s="1"/>
  <c r="S529" i="5" s="1"/>
  <c r="T529" i="5"/>
  <c r="C530" i="5"/>
  <c r="L530" i="5" s="1"/>
  <c r="D530" i="5"/>
  <c r="E530" i="5"/>
  <c r="F530" i="5"/>
  <c r="H530" i="5"/>
  <c r="I530" i="5"/>
  <c r="N530" i="5"/>
  <c r="R530" i="5"/>
  <c r="Q530" i="5" s="1"/>
  <c r="S530" i="5" s="1"/>
  <c r="T530" i="5"/>
  <c r="C531" i="5"/>
  <c r="D531" i="5"/>
  <c r="E531" i="5"/>
  <c r="F531" i="5"/>
  <c r="H531" i="5"/>
  <c r="I531" i="5"/>
  <c r="L531" i="5" s="1"/>
  <c r="N531" i="5"/>
  <c r="R531" i="5"/>
  <c r="Q531" i="5" s="1"/>
  <c r="S531" i="5" s="1"/>
  <c r="T531" i="5"/>
  <c r="C532" i="5"/>
  <c r="D532" i="5"/>
  <c r="E532" i="5"/>
  <c r="F532" i="5"/>
  <c r="H532" i="5"/>
  <c r="I532" i="5"/>
  <c r="N532" i="5"/>
  <c r="R532" i="5"/>
  <c r="Q532" i="5" s="1"/>
  <c r="S532" i="5" s="1"/>
  <c r="T532" i="5"/>
  <c r="C533" i="5"/>
  <c r="D533" i="5"/>
  <c r="E533" i="5"/>
  <c r="F533" i="5"/>
  <c r="H533" i="5"/>
  <c r="I533" i="5"/>
  <c r="N533" i="5"/>
  <c r="R533" i="5"/>
  <c r="Q533" i="5" s="1"/>
  <c r="S533" i="5" s="1"/>
  <c r="T533" i="5"/>
  <c r="C534" i="5"/>
  <c r="D534" i="5"/>
  <c r="E534" i="5"/>
  <c r="F534" i="5"/>
  <c r="H534" i="5"/>
  <c r="I534" i="5"/>
  <c r="N534" i="5"/>
  <c r="R534" i="5"/>
  <c r="Q534" i="5" s="1"/>
  <c r="S534" i="5"/>
  <c r="T534" i="5"/>
  <c r="C535" i="5"/>
  <c r="D535" i="5"/>
  <c r="E535" i="5"/>
  <c r="F535" i="5"/>
  <c r="H535" i="5"/>
  <c r="I535" i="5"/>
  <c r="L535" i="5"/>
  <c r="N535" i="5"/>
  <c r="R535" i="5"/>
  <c r="Q535" i="5" s="1"/>
  <c r="S535" i="5" s="1"/>
  <c r="T535" i="5"/>
  <c r="C536" i="5"/>
  <c r="D536" i="5"/>
  <c r="E536" i="5"/>
  <c r="F536" i="5"/>
  <c r="H536" i="5"/>
  <c r="I536" i="5"/>
  <c r="N536" i="5"/>
  <c r="R536" i="5"/>
  <c r="Q536" i="5" s="1"/>
  <c r="S536" i="5" s="1"/>
  <c r="T536" i="5"/>
  <c r="C537" i="5"/>
  <c r="D537" i="5"/>
  <c r="L537" i="5" s="1"/>
  <c r="E537" i="5"/>
  <c r="F537" i="5"/>
  <c r="H537" i="5"/>
  <c r="I537" i="5"/>
  <c r="N537" i="5"/>
  <c r="R537" i="5"/>
  <c r="Q537" i="5" s="1"/>
  <c r="S537" i="5" s="1"/>
  <c r="T537" i="5"/>
  <c r="C538" i="5"/>
  <c r="L538" i="5" s="1"/>
  <c r="D538" i="5"/>
  <c r="E538" i="5"/>
  <c r="F538" i="5"/>
  <c r="H538" i="5"/>
  <c r="I538" i="5"/>
  <c r="N538" i="5"/>
  <c r="R538" i="5"/>
  <c r="Q538" i="5" s="1"/>
  <c r="S538" i="5"/>
  <c r="T538" i="5"/>
  <c r="C539" i="5"/>
  <c r="D539" i="5"/>
  <c r="E539" i="5"/>
  <c r="F539" i="5"/>
  <c r="H539" i="5"/>
  <c r="I539" i="5"/>
  <c r="L539" i="5"/>
  <c r="N539" i="5"/>
  <c r="R539" i="5"/>
  <c r="Q539" i="5" s="1"/>
  <c r="S539" i="5" s="1"/>
  <c r="T539" i="5"/>
  <c r="C540" i="5"/>
  <c r="D540" i="5"/>
  <c r="E540" i="5"/>
  <c r="F540" i="5"/>
  <c r="H540" i="5"/>
  <c r="I540" i="5"/>
  <c r="N540" i="5"/>
  <c r="R540" i="5"/>
  <c r="Q540" i="5" s="1"/>
  <c r="S540" i="5" s="1"/>
  <c r="T540" i="5"/>
  <c r="C541" i="5"/>
  <c r="D541" i="5"/>
  <c r="L541" i="5" s="1"/>
  <c r="E541" i="5"/>
  <c r="F541" i="5"/>
  <c r="H541" i="5"/>
  <c r="I541" i="5"/>
  <c r="N541" i="5"/>
  <c r="R541" i="5"/>
  <c r="Q541" i="5" s="1"/>
  <c r="S541" i="5" s="1"/>
  <c r="T541" i="5"/>
  <c r="C542" i="5"/>
  <c r="L542" i="5" s="1"/>
  <c r="D542" i="5"/>
  <c r="E542" i="5"/>
  <c r="F542" i="5"/>
  <c r="H542" i="5"/>
  <c r="I542" i="5"/>
  <c r="N542" i="5"/>
  <c r="R542" i="5"/>
  <c r="Q542" i="5" s="1"/>
  <c r="S542" i="5"/>
  <c r="T542" i="5"/>
  <c r="C543" i="5"/>
  <c r="D543" i="5"/>
  <c r="E543" i="5"/>
  <c r="F543" i="5"/>
  <c r="H543" i="5"/>
  <c r="I543" i="5"/>
  <c r="L543" i="5"/>
  <c r="N543" i="5"/>
  <c r="R543" i="5"/>
  <c r="Q543" i="5" s="1"/>
  <c r="S543" i="5" s="1"/>
  <c r="T543" i="5"/>
  <c r="C544" i="5"/>
  <c r="D544" i="5"/>
  <c r="E544" i="5"/>
  <c r="F544" i="5"/>
  <c r="H544" i="5"/>
  <c r="I544" i="5"/>
  <c r="N544" i="5"/>
  <c r="R544" i="5"/>
  <c r="Q544" i="5" s="1"/>
  <c r="S544" i="5" s="1"/>
  <c r="T544" i="5"/>
  <c r="C545" i="5"/>
  <c r="D545" i="5"/>
  <c r="E545" i="5"/>
  <c r="F545" i="5"/>
  <c r="H545" i="5"/>
  <c r="I545" i="5"/>
  <c r="N545" i="5"/>
  <c r="R545" i="5"/>
  <c r="Q545" i="5" s="1"/>
  <c r="S545" i="5" s="1"/>
  <c r="T545" i="5"/>
  <c r="C546" i="5"/>
  <c r="L546" i="5" s="1"/>
  <c r="D546" i="5"/>
  <c r="E546" i="5"/>
  <c r="F546" i="5"/>
  <c r="H546" i="5"/>
  <c r="I546" i="5"/>
  <c r="N546" i="5"/>
  <c r="R546" i="5"/>
  <c r="Q546" i="5" s="1"/>
  <c r="S546" i="5" s="1"/>
  <c r="T546" i="5"/>
  <c r="C547" i="5"/>
  <c r="D547" i="5"/>
  <c r="E547" i="5"/>
  <c r="F547" i="5"/>
  <c r="H547" i="5"/>
  <c r="I547" i="5"/>
  <c r="L547" i="5" s="1"/>
  <c r="N547" i="5"/>
  <c r="R547" i="5"/>
  <c r="Q547" i="5" s="1"/>
  <c r="S547" i="5" s="1"/>
  <c r="T547" i="5"/>
  <c r="C548" i="5"/>
  <c r="D548" i="5"/>
  <c r="E548" i="5"/>
  <c r="F548" i="5"/>
  <c r="H548" i="5"/>
  <c r="I548" i="5"/>
  <c r="N548" i="5"/>
  <c r="R548" i="5"/>
  <c r="Q548" i="5" s="1"/>
  <c r="S548" i="5" s="1"/>
  <c r="T548" i="5"/>
  <c r="C549" i="5"/>
  <c r="D549" i="5"/>
  <c r="E549" i="5"/>
  <c r="F549" i="5"/>
  <c r="H549" i="5"/>
  <c r="I549" i="5"/>
  <c r="N549" i="5"/>
  <c r="R549" i="5"/>
  <c r="Q549" i="5" s="1"/>
  <c r="S549" i="5" s="1"/>
  <c r="T549" i="5"/>
  <c r="C550" i="5"/>
  <c r="D550" i="5"/>
  <c r="E550" i="5"/>
  <c r="F550" i="5"/>
  <c r="H550" i="5"/>
  <c r="I550" i="5"/>
  <c r="N550" i="5"/>
  <c r="R550" i="5"/>
  <c r="Q550" i="5" s="1"/>
  <c r="S550" i="5"/>
  <c r="T550" i="5"/>
  <c r="C551" i="5"/>
  <c r="D551" i="5"/>
  <c r="E551" i="5"/>
  <c r="F551" i="5"/>
  <c r="H551" i="5"/>
  <c r="I551" i="5"/>
  <c r="L551" i="5"/>
  <c r="N551" i="5"/>
  <c r="R551" i="5"/>
  <c r="Q551" i="5" s="1"/>
  <c r="S551" i="5" s="1"/>
  <c r="T551" i="5"/>
  <c r="C552" i="5"/>
  <c r="D552" i="5"/>
  <c r="E552" i="5"/>
  <c r="F552" i="5"/>
  <c r="H552" i="5"/>
  <c r="I552" i="5"/>
  <c r="N552" i="5"/>
  <c r="R552" i="5"/>
  <c r="Q552" i="5" s="1"/>
  <c r="S552" i="5" s="1"/>
  <c r="T552" i="5"/>
  <c r="C553" i="5"/>
  <c r="D553" i="5"/>
  <c r="L553" i="5" s="1"/>
  <c r="E553" i="5"/>
  <c r="F553" i="5"/>
  <c r="H553" i="5"/>
  <c r="I553" i="5"/>
  <c r="N553" i="5"/>
  <c r="R553" i="5"/>
  <c r="Q553" i="5" s="1"/>
  <c r="S553" i="5" s="1"/>
  <c r="T553" i="5"/>
  <c r="C554" i="5"/>
  <c r="L554" i="5" s="1"/>
  <c r="D554" i="5"/>
  <c r="E554" i="5"/>
  <c r="F554" i="5"/>
  <c r="H554" i="5"/>
  <c r="I554" i="5"/>
  <c r="N554" i="5"/>
  <c r="R554" i="5"/>
  <c r="Q554" i="5" s="1"/>
  <c r="S554" i="5"/>
  <c r="T554" i="5"/>
  <c r="C555" i="5"/>
  <c r="D555" i="5"/>
  <c r="E555" i="5"/>
  <c r="F555" i="5"/>
  <c r="H555" i="5"/>
  <c r="I555" i="5"/>
  <c r="L555" i="5"/>
  <c r="N555" i="5"/>
  <c r="R555" i="5"/>
  <c r="Q555" i="5" s="1"/>
  <c r="S555" i="5" s="1"/>
  <c r="T555" i="5"/>
  <c r="C556" i="5"/>
  <c r="D556" i="5"/>
  <c r="E556" i="5"/>
  <c r="F556" i="5"/>
  <c r="H556" i="5"/>
  <c r="I556" i="5"/>
  <c r="N556" i="5"/>
  <c r="R556" i="5"/>
  <c r="Q556" i="5" s="1"/>
  <c r="S556" i="5" s="1"/>
  <c r="T556" i="5"/>
  <c r="C557" i="5"/>
  <c r="D557" i="5"/>
  <c r="L557" i="5" s="1"/>
  <c r="E557" i="5"/>
  <c r="F557" i="5"/>
  <c r="H557" i="5"/>
  <c r="I557" i="5"/>
  <c r="N557" i="5"/>
  <c r="R557" i="5"/>
  <c r="Q557" i="5" s="1"/>
  <c r="S557" i="5" s="1"/>
  <c r="T557" i="5"/>
  <c r="C558" i="5"/>
  <c r="L558" i="5" s="1"/>
  <c r="D558" i="5"/>
  <c r="E558" i="5"/>
  <c r="F558" i="5"/>
  <c r="H558" i="5"/>
  <c r="I558" i="5"/>
  <c r="N558" i="5"/>
  <c r="R558" i="5"/>
  <c r="Q558" i="5" s="1"/>
  <c r="S558" i="5"/>
  <c r="T558" i="5"/>
  <c r="C559" i="5"/>
  <c r="D559" i="5"/>
  <c r="E559" i="5"/>
  <c r="F559" i="5"/>
  <c r="H559" i="5"/>
  <c r="I559" i="5"/>
  <c r="L559" i="5"/>
  <c r="N559" i="5"/>
  <c r="R559" i="5"/>
  <c r="Q559" i="5" s="1"/>
  <c r="S559" i="5" s="1"/>
  <c r="T559" i="5"/>
  <c r="C560" i="5"/>
  <c r="D560" i="5"/>
  <c r="E560" i="5"/>
  <c r="F560" i="5"/>
  <c r="H560" i="5"/>
  <c r="I560" i="5"/>
  <c r="N560" i="5"/>
  <c r="R560" i="5"/>
  <c r="Q560" i="5" s="1"/>
  <c r="S560" i="5" s="1"/>
  <c r="T560" i="5"/>
  <c r="C561" i="5"/>
  <c r="D561" i="5"/>
  <c r="E561" i="5"/>
  <c r="F561" i="5"/>
  <c r="H561" i="5"/>
  <c r="I561" i="5"/>
  <c r="N561" i="5"/>
  <c r="R561" i="5"/>
  <c r="Q561" i="5" s="1"/>
  <c r="S561" i="5" s="1"/>
  <c r="T561" i="5"/>
  <c r="C562" i="5"/>
  <c r="L562" i="5" s="1"/>
  <c r="D562" i="5"/>
  <c r="E562" i="5"/>
  <c r="F562" i="5"/>
  <c r="H562" i="5"/>
  <c r="I562" i="5"/>
  <c r="N562" i="5"/>
  <c r="R562" i="5"/>
  <c r="Q562" i="5" s="1"/>
  <c r="S562" i="5" s="1"/>
  <c r="T562" i="5"/>
  <c r="C563" i="5"/>
  <c r="D563" i="5"/>
  <c r="E563" i="5"/>
  <c r="F563" i="5"/>
  <c r="H563" i="5"/>
  <c r="I563" i="5"/>
  <c r="L563" i="5" s="1"/>
  <c r="N563" i="5"/>
  <c r="R563" i="5"/>
  <c r="Q563" i="5" s="1"/>
  <c r="S563" i="5" s="1"/>
  <c r="T563" i="5"/>
  <c r="C564" i="5"/>
  <c r="D564" i="5"/>
  <c r="E564" i="5"/>
  <c r="F564" i="5"/>
  <c r="H564" i="5"/>
  <c r="I564" i="5"/>
  <c r="N564" i="5"/>
  <c r="R564" i="5"/>
  <c r="Q564" i="5" s="1"/>
  <c r="S564" i="5" s="1"/>
  <c r="T564" i="5"/>
  <c r="C565" i="5"/>
  <c r="D565" i="5"/>
  <c r="E565" i="5"/>
  <c r="F565" i="5"/>
  <c r="H565" i="5"/>
  <c r="I565" i="5"/>
  <c r="N565" i="5"/>
  <c r="R565" i="5"/>
  <c r="Q565" i="5" s="1"/>
  <c r="S565" i="5" s="1"/>
  <c r="T565" i="5"/>
  <c r="C566" i="5"/>
  <c r="D566" i="5"/>
  <c r="E566" i="5"/>
  <c r="F566" i="5"/>
  <c r="H566" i="5"/>
  <c r="I566" i="5"/>
  <c r="N566" i="5"/>
  <c r="R566" i="5"/>
  <c r="Q566" i="5" s="1"/>
  <c r="S566" i="5"/>
  <c r="T566" i="5"/>
  <c r="C567" i="5"/>
  <c r="D567" i="5"/>
  <c r="E567" i="5"/>
  <c r="F567" i="5"/>
  <c r="H567" i="5"/>
  <c r="I567" i="5"/>
  <c r="L567" i="5"/>
  <c r="N567" i="5"/>
  <c r="R567" i="5"/>
  <c r="Q567" i="5" s="1"/>
  <c r="S567" i="5" s="1"/>
  <c r="T567" i="5"/>
  <c r="C568" i="5"/>
  <c r="D568" i="5"/>
  <c r="E568" i="5"/>
  <c r="F568" i="5"/>
  <c r="H568" i="5"/>
  <c r="I568" i="5"/>
  <c r="N568" i="5"/>
  <c r="R568" i="5"/>
  <c r="Q568" i="5" s="1"/>
  <c r="S568" i="5" s="1"/>
  <c r="T568" i="5"/>
  <c r="C569" i="5"/>
  <c r="D569" i="5"/>
  <c r="L569" i="5" s="1"/>
  <c r="E569" i="5"/>
  <c r="F569" i="5"/>
  <c r="H569" i="5"/>
  <c r="I569" i="5"/>
  <c r="N569" i="5"/>
  <c r="R569" i="5"/>
  <c r="Q569" i="5" s="1"/>
  <c r="S569" i="5" s="1"/>
  <c r="T569" i="5"/>
  <c r="C570" i="5"/>
  <c r="L570" i="5" s="1"/>
  <c r="D570" i="5"/>
  <c r="E570" i="5"/>
  <c r="F570" i="5"/>
  <c r="H570" i="5"/>
  <c r="I570" i="5"/>
  <c r="N570" i="5"/>
  <c r="R570" i="5"/>
  <c r="Q570" i="5" s="1"/>
  <c r="S570" i="5"/>
  <c r="T570" i="5"/>
  <c r="C571" i="5"/>
  <c r="D571" i="5"/>
  <c r="E571" i="5"/>
  <c r="F571" i="5"/>
  <c r="H571" i="5"/>
  <c r="I571" i="5"/>
  <c r="L571" i="5"/>
  <c r="N571" i="5"/>
  <c r="R571" i="5"/>
  <c r="Q571" i="5" s="1"/>
  <c r="S571" i="5" s="1"/>
  <c r="T571" i="5"/>
  <c r="C572" i="5"/>
  <c r="D572" i="5"/>
  <c r="E572" i="5"/>
  <c r="F572" i="5"/>
  <c r="H572" i="5"/>
  <c r="I572" i="5"/>
  <c r="N572" i="5"/>
  <c r="R572" i="5"/>
  <c r="Q572" i="5" s="1"/>
  <c r="S572" i="5" s="1"/>
  <c r="T572" i="5"/>
  <c r="C573" i="5"/>
  <c r="D573" i="5"/>
  <c r="L573" i="5" s="1"/>
  <c r="E573" i="5"/>
  <c r="F573" i="5"/>
  <c r="H573" i="5"/>
  <c r="I573" i="5"/>
  <c r="N573" i="5"/>
  <c r="R573" i="5"/>
  <c r="Q573" i="5" s="1"/>
  <c r="S573" i="5" s="1"/>
  <c r="T573" i="5"/>
  <c r="C574" i="5"/>
  <c r="L574" i="5" s="1"/>
  <c r="D574" i="5"/>
  <c r="E574" i="5"/>
  <c r="F574" i="5"/>
  <c r="H574" i="5"/>
  <c r="I574" i="5"/>
  <c r="N574" i="5"/>
  <c r="R574" i="5"/>
  <c r="Q574" i="5" s="1"/>
  <c r="S574" i="5"/>
  <c r="T574" i="5"/>
  <c r="C575" i="5"/>
  <c r="D575" i="5"/>
  <c r="E575" i="5"/>
  <c r="F575" i="5"/>
  <c r="H575" i="5"/>
  <c r="I575" i="5"/>
  <c r="L575" i="5"/>
  <c r="N575" i="5"/>
  <c r="R575" i="5"/>
  <c r="Q575" i="5" s="1"/>
  <c r="S575" i="5" s="1"/>
  <c r="T575" i="5"/>
  <c r="C576" i="5"/>
  <c r="D576" i="5"/>
  <c r="E576" i="5"/>
  <c r="F576" i="5"/>
  <c r="H576" i="5"/>
  <c r="I576" i="5"/>
  <c r="N576" i="5"/>
  <c r="R576" i="5"/>
  <c r="Q576" i="5" s="1"/>
  <c r="S576" i="5" s="1"/>
  <c r="T576" i="5"/>
  <c r="C577" i="5"/>
  <c r="D577" i="5"/>
  <c r="E577" i="5"/>
  <c r="F577" i="5"/>
  <c r="H577" i="5"/>
  <c r="I577" i="5"/>
  <c r="N577" i="5"/>
  <c r="R577" i="5"/>
  <c r="Q577" i="5" s="1"/>
  <c r="S577" i="5" s="1"/>
  <c r="T577" i="5"/>
  <c r="C578" i="5"/>
  <c r="L578" i="5" s="1"/>
  <c r="D578" i="5"/>
  <c r="E578" i="5"/>
  <c r="F578" i="5"/>
  <c r="H578" i="5"/>
  <c r="I578" i="5"/>
  <c r="N578" i="5"/>
  <c r="R578" i="5"/>
  <c r="Q578" i="5" s="1"/>
  <c r="S578" i="5" s="1"/>
  <c r="T578" i="5"/>
  <c r="C579" i="5"/>
  <c r="D579" i="5"/>
  <c r="E579" i="5"/>
  <c r="F579" i="5"/>
  <c r="H579" i="5"/>
  <c r="I579" i="5"/>
  <c r="L579" i="5" s="1"/>
  <c r="N579" i="5"/>
  <c r="R579" i="5"/>
  <c r="Q579" i="5" s="1"/>
  <c r="S579" i="5" s="1"/>
  <c r="T579" i="5"/>
  <c r="C580" i="5"/>
  <c r="D580" i="5"/>
  <c r="E580" i="5"/>
  <c r="F580" i="5"/>
  <c r="H580" i="5"/>
  <c r="I580" i="5"/>
  <c r="N580" i="5"/>
  <c r="R580" i="5"/>
  <c r="Q580" i="5" s="1"/>
  <c r="S580" i="5" s="1"/>
  <c r="T580" i="5"/>
  <c r="C581" i="5"/>
  <c r="D581" i="5"/>
  <c r="E581" i="5"/>
  <c r="F581" i="5"/>
  <c r="H581" i="5"/>
  <c r="I581" i="5"/>
  <c r="N581" i="5"/>
  <c r="R581" i="5"/>
  <c r="Q581" i="5" s="1"/>
  <c r="S581" i="5" s="1"/>
  <c r="T581" i="5"/>
  <c r="C582" i="5"/>
  <c r="D582" i="5"/>
  <c r="E582" i="5"/>
  <c r="F582" i="5"/>
  <c r="H582" i="5"/>
  <c r="I582" i="5"/>
  <c r="N582" i="5"/>
  <c r="R582" i="5"/>
  <c r="Q582" i="5" s="1"/>
  <c r="S582" i="5"/>
  <c r="T582" i="5"/>
  <c r="C583" i="5"/>
  <c r="D583" i="5"/>
  <c r="E583" i="5"/>
  <c r="F583" i="5"/>
  <c r="H583" i="5"/>
  <c r="I583" i="5"/>
  <c r="L583" i="5"/>
  <c r="N583" i="5"/>
  <c r="R583" i="5"/>
  <c r="Q583" i="5" s="1"/>
  <c r="S583" i="5" s="1"/>
  <c r="T583" i="5"/>
  <c r="C584" i="5"/>
  <c r="D584" i="5"/>
  <c r="E584" i="5"/>
  <c r="F584" i="5"/>
  <c r="H584" i="5"/>
  <c r="I584" i="5"/>
  <c r="N584" i="5"/>
  <c r="R584" i="5"/>
  <c r="Q584" i="5" s="1"/>
  <c r="S584" i="5" s="1"/>
  <c r="T584" i="5"/>
  <c r="C585" i="5"/>
  <c r="D585" i="5"/>
  <c r="L585" i="5" s="1"/>
  <c r="E585" i="5"/>
  <c r="F585" i="5"/>
  <c r="H585" i="5"/>
  <c r="I585" i="5"/>
  <c r="N585" i="5"/>
  <c r="R585" i="5"/>
  <c r="Q585" i="5" s="1"/>
  <c r="S585" i="5" s="1"/>
  <c r="T585" i="5"/>
  <c r="C586" i="5"/>
  <c r="L586" i="5" s="1"/>
  <c r="D586" i="5"/>
  <c r="E586" i="5"/>
  <c r="F586" i="5"/>
  <c r="H586" i="5"/>
  <c r="I586" i="5"/>
  <c r="N586" i="5"/>
  <c r="R586" i="5"/>
  <c r="Q586" i="5" s="1"/>
  <c r="S586" i="5"/>
  <c r="T586" i="5"/>
  <c r="C587" i="5"/>
  <c r="D587" i="5"/>
  <c r="E587" i="5"/>
  <c r="F587" i="5"/>
  <c r="H587" i="5"/>
  <c r="I587" i="5"/>
  <c r="L587" i="5"/>
  <c r="N587" i="5"/>
  <c r="R587" i="5"/>
  <c r="Q587" i="5" s="1"/>
  <c r="S587" i="5" s="1"/>
  <c r="T587" i="5"/>
  <c r="B588" i="5"/>
  <c r="C588" i="5"/>
  <c r="D588" i="5"/>
  <c r="E588" i="5"/>
  <c r="F588" i="5"/>
  <c r="H588" i="5"/>
  <c r="I588" i="5"/>
  <c r="N588" i="5"/>
  <c r="R588" i="5"/>
  <c r="Q588" i="5" s="1"/>
  <c r="S588" i="5" s="1"/>
  <c r="T588" i="5"/>
  <c r="B589" i="5"/>
  <c r="C589" i="5"/>
  <c r="L589" i="5" s="1"/>
  <c r="D589" i="5"/>
  <c r="E589" i="5"/>
  <c r="F589" i="5"/>
  <c r="H589" i="5"/>
  <c r="I589" i="5"/>
  <c r="N589" i="5"/>
  <c r="Q589" i="5"/>
  <c r="S589" i="5" s="1"/>
  <c r="R589" i="5"/>
  <c r="T589" i="5"/>
  <c r="B590" i="5"/>
  <c r="C590" i="5"/>
  <c r="D590" i="5"/>
  <c r="E590" i="5"/>
  <c r="F590" i="5"/>
  <c r="H590" i="5"/>
  <c r="I590" i="5"/>
  <c r="N590" i="5"/>
  <c r="Q590" i="5"/>
  <c r="S590" i="5" s="1"/>
  <c r="R590" i="5"/>
  <c r="T590" i="5"/>
  <c r="B591" i="5"/>
  <c r="C591" i="5"/>
  <c r="D591" i="5"/>
  <c r="E591" i="5"/>
  <c r="L591" i="5" s="1"/>
  <c r="F591" i="5"/>
  <c r="H591" i="5"/>
  <c r="I591" i="5"/>
  <c r="N591" i="5"/>
  <c r="R591" i="5"/>
  <c r="Q591" i="5" s="1"/>
  <c r="S591" i="5" s="1"/>
  <c r="T591" i="5"/>
  <c r="B592" i="5"/>
  <c r="C592" i="5"/>
  <c r="D592" i="5"/>
  <c r="E592" i="5"/>
  <c r="F592" i="5"/>
  <c r="H592" i="5"/>
  <c r="I592" i="5"/>
  <c r="L592" i="5"/>
  <c r="N592" i="5"/>
  <c r="R592" i="5"/>
  <c r="Q592" i="5" s="1"/>
  <c r="S592" i="5" s="1"/>
  <c r="T592" i="5"/>
  <c r="B593" i="5"/>
  <c r="C593" i="5"/>
  <c r="D593" i="5"/>
  <c r="E593" i="5"/>
  <c r="F593" i="5"/>
  <c r="H593" i="5"/>
  <c r="I593" i="5"/>
  <c r="N593" i="5"/>
  <c r="R593" i="5"/>
  <c r="Q593" i="5" s="1"/>
  <c r="S593" i="5"/>
  <c r="T593" i="5"/>
  <c r="B594" i="5"/>
  <c r="C594" i="5"/>
  <c r="D594" i="5"/>
  <c r="E594" i="5"/>
  <c r="F594" i="5"/>
  <c r="H594" i="5"/>
  <c r="I594" i="5"/>
  <c r="L594" i="5"/>
  <c r="N594" i="5"/>
  <c r="R594" i="5"/>
  <c r="Q594" i="5" s="1"/>
  <c r="S594" i="5" s="1"/>
  <c r="T594" i="5"/>
  <c r="B595" i="5"/>
  <c r="C595" i="5"/>
  <c r="D595" i="5"/>
  <c r="E595" i="5"/>
  <c r="F595" i="5"/>
  <c r="H595" i="5"/>
  <c r="I595" i="5"/>
  <c r="N595" i="5"/>
  <c r="Q595" i="5"/>
  <c r="S595" i="5" s="1"/>
  <c r="R595" i="5"/>
  <c r="T595" i="5"/>
  <c r="B596" i="5"/>
  <c r="C596" i="5"/>
  <c r="D596" i="5"/>
  <c r="E596" i="5"/>
  <c r="F596" i="5"/>
  <c r="H596" i="5"/>
  <c r="I596" i="5"/>
  <c r="N596" i="5"/>
  <c r="Q596" i="5"/>
  <c r="S596" i="5" s="1"/>
  <c r="R596" i="5"/>
  <c r="T596" i="5"/>
  <c r="B597" i="5"/>
  <c r="C597" i="5"/>
  <c r="L597" i="5" s="1"/>
  <c r="D597" i="5"/>
  <c r="E597" i="5"/>
  <c r="F597" i="5"/>
  <c r="H597" i="5"/>
  <c r="I597" i="5"/>
  <c r="N597" i="5"/>
  <c r="Q597" i="5"/>
  <c r="S597" i="5" s="1"/>
  <c r="R597" i="5"/>
  <c r="T597" i="5"/>
  <c r="B598" i="5"/>
  <c r="C598" i="5"/>
  <c r="D598" i="5"/>
  <c r="E598" i="5"/>
  <c r="L598" i="5" s="1"/>
  <c r="F598" i="5"/>
  <c r="H598" i="5"/>
  <c r="I598" i="5"/>
  <c r="N598" i="5"/>
  <c r="R598" i="5"/>
  <c r="Q598" i="5" s="1"/>
  <c r="S598" i="5"/>
  <c r="T598" i="5"/>
  <c r="B599" i="5"/>
  <c r="C599" i="5"/>
  <c r="D599" i="5"/>
  <c r="E599" i="5"/>
  <c r="F599" i="5"/>
  <c r="H599" i="5"/>
  <c r="I599" i="5"/>
  <c r="N599" i="5"/>
  <c r="R599" i="5"/>
  <c r="Q599" i="5" s="1"/>
  <c r="S599" i="5" s="1"/>
  <c r="T599" i="5"/>
  <c r="B600" i="5"/>
  <c r="C600" i="5"/>
  <c r="D600" i="5"/>
  <c r="E600" i="5"/>
  <c r="F600" i="5"/>
  <c r="H600" i="5"/>
  <c r="I600" i="5"/>
  <c r="N600" i="5"/>
  <c r="Q600" i="5"/>
  <c r="S600" i="5" s="1"/>
  <c r="R600" i="5"/>
  <c r="T600" i="5"/>
  <c r="B601" i="5"/>
  <c r="C601" i="5"/>
  <c r="L601" i="5" s="1"/>
  <c r="D601" i="5"/>
  <c r="E601" i="5"/>
  <c r="F601" i="5"/>
  <c r="H601" i="5"/>
  <c r="I601" i="5"/>
  <c r="N601" i="5"/>
  <c r="Q601" i="5"/>
  <c r="S601" i="5" s="1"/>
  <c r="R601" i="5"/>
  <c r="T601" i="5"/>
  <c r="B602" i="5"/>
  <c r="C602" i="5"/>
  <c r="D602" i="5"/>
  <c r="E602" i="5"/>
  <c r="F602" i="5"/>
  <c r="H602" i="5"/>
  <c r="I602" i="5"/>
  <c r="N602" i="5"/>
  <c r="R602" i="5"/>
  <c r="Q602" i="5" s="1"/>
  <c r="S602" i="5" s="1"/>
  <c r="T602" i="5"/>
  <c r="B603" i="5"/>
  <c r="C603" i="5"/>
  <c r="L603" i="5" s="1"/>
  <c r="D603" i="5"/>
  <c r="E603" i="5"/>
  <c r="F603" i="5"/>
  <c r="H603" i="5"/>
  <c r="I603" i="5"/>
  <c r="N603" i="5"/>
  <c r="Q603" i="5"/>
  <c r="R603" i="5"/>
  <c r="S603" i="5"/>
  <c r="T603" i="5"/>
  <c r="B604" i="5"/>
  <c r="C604" i="5"/>
  <c r="L604" i="5" s="1"/>
  <c r="D604" i="5"/>
  <c r="E604" i="5"/>
  <c r="F604" i="5"/>
  <c r="H604" i="5"/>
  <c r="I604" i="5"/>
  <c r="N604" i="5"/>
  <c r="R604" i="5"/>
  <c r="Q604" i="5" s="1"/>
  <c r="S604" i="5" s="1"/>
  <c r="T604" i="5"/>
  <c r="B605" i="5"/>
  <c r="C605" i="5"/>
  <c r="D605" i="5"/>
  <c r="E605" i="5"/>
  <c r="L605" i="5" s="1"/>
  <c r="F605" i="5"/>
  <c r="H605" i="5"/>
  <c r="I605" i="5"/>
  <c r="N605" i="5"/>
  <c r="Q605" i="5"/>
  <c r="R605" i="5"/>
  <c r="S605" i="5"/>
  <c r="T605" i="5"/>
  <c r="B606" i="5"/>
  <c r="C606" i="5"/>
  <c r="D606" i="5"/>
  <c r="E606" i="5"/>
  <c r="F606" i="5"/>
  <c r="H606" i="5"/>
  <c r="I606" i="5"/>
  <c r="L606" i="5"/>
  <c r="N606" i="5"/>
  <c r="R606" i="5"/>
  <c r="Q606" i="5" s="1"/>
  <c r="S606" i="5" s="1"/>
  <c r="T606" i="5"/>
  <c r="B607" i="5"/>
  <c r="C607" i="5"/>
  <c r="D607" i="5"/>
  <c r="E607" i="5"/>
  <c r="F607" i="5"/>
  <c r="H607" i="5"/>
  <c r="I607" i="5"/>
  <c r="N607" i="5"/>
  <c r="R607" i="5"/>
  <c r="Q607" i="5" s="1"/>
  <c r="S607" i="5" s="1"/>
  <c r="T607" i="5"/>
  <c r="B608" i="5"/>
  <c r="C608" i="5"/>
  <c r="D608" i="5"/>
  <c r="E608" i="5"/>
  <c r="F608" i="5"/>
  <c r="H608" i="5"/>
  <c r="I608" i="5"/>
  <c r="N608" i="5"/>
  <c r="Q608" i="5"/>
  <c r="S608" i="5" s="1"/>
  <c r="R608" i="5"/>
  <c r="T608" i="5"/>
  <c r="B609" i="5"/>
  <c r="C609" i="5"/>
  <c r="D609" i="5"/>
  <c r="E609" i="5"/>
  <c r="F609" i="5"/>
  <c r="H609" i="5"/>
  <c r="I609" i="5"/>
  <c r="N609" i="5"/>
  <c r="Q609" i="5"/>
  <c r="S609" i="5" s="1"/>
  <c r="R609" i="5"/>
  <c r="T609" i="5"/>
  <c r="B610" i="5"/>
  <c r="C610" i="5"/>
  <c r="D610" i="5"/>
  <c r="E610" i="5"/>
  <c r="F610" i="5"/>
  <c r="L610" i="5" s="1"/>
  <c r="H610" i="5"/>
  <c r="I610" i="5"/>
  <c r="N610" i="5"/>
  <c r="R610" i="5"/>
  <c r="Q610" i="5" s="1"/>
  <c r="S610" i="5"/>
  <c r="T610" i="5"/>
  <c r="B611" i="5"/>
  <c r="C611" i="5"/>
  <c r="L611" i="5" s="1"/>
  <c r="D611" i="5"/>
  <c r="E611" i="5"/>
  <c r="F611" i="5"/>
  <c r="H611" i="5"/>
  <c r="I611" i="5"/>
  <c r="N611" i="5"/>
  <c r="Q611" i="5"/>
  <c r="R611" i="5"/>
  <c r="S611" i="5"/>
  <c r="T611" i="5"/>
  <c r="B612" i="5"/>
  <c r="C612" i="5"/>
  <c r="D612" i="5"/>
  <c r="E612" i="5"/>
  <c r="F612" i="5"/>
  <c r="H612" i="5"/>
  <c r="I612" i="5"/>
  <c r="N612" i="5"/>
  <c r="R612" i="5"/>
  <c r="Q612" i="5" s="1"/>
  <c r="S612" i="5" s="1"/>
  <c r="T612" i="5"/>
  <c r="B613" i="5"/>
  <c r="C613" i="5"/>
  <c r="D613" i="5"/>
  <c r="E613" i="5"/>
  <c r="F613" i="5"/>
  <c r="H613" i="5"/>
  <c r="I613" i="5"/>
  <c r="L613" i="5" s="1"/>
  <c r="N613" i="5"/>
  <c r="Q613" i="5"/>
  <c r="R613" i="5"/>
  <c r="S613" i="5"/>
  <c r="T613" i="5"/>
  <c r="B614" i="5"/>
  <c r="C614" i="5"/>
  <c r="L614" i="5" s="1"/>
  <c r="D614" i="5"/>
  <c r="E614" i="5"/>
  <c r="F614" i="5"/>
  <c r="H614" i="5"/>
  <c r="I614" i="5"/>
  <c r="N614" i="5"/>
  <c r="R614" i="5"/>
  <c r="Q614" i="5" s="1"/>
  <c r="S614" i="5" s="1"/>
  <c r="T614" i="5"/>
  <c r="B615" i="5"/>
  <c r="C615" i="5"/>
  <c r="D615" i="5"/>
  <c r="E615" i="5"/>
  <c r="F615" i="5"/>
  <c r="H615" i="5"/>
  <c r="I615" i="5"/>
  <c r="N615" i="5"/>
  <c r="Q615" i="5"/>
  <c r="R615" i="5"/>
  <c r="S615" i="5"/>
  <c r="T615" i="5"/>
  <c r="B616" i="5"/>
  <c r="C616" i="5"/>
  <c r="L616" i="5" s="1"/>
  <c r="D616" i="5"/>
  <c r="E616" i="5"/>
  <c r="F616" i="5"/>
  <c r="H616" i="5"/>
  <c r="I616" i="5"/>
  <c r="N616" i="5"/>
  <c r="Q616" i="5"/>
  <c r="S616" i="5" s="1"/>
  <c r="R616" i="5"/>
  <c r="T616" i="5"/>
  <c r="B617" i="5"/>
  <c r="C617" i="5"/>
  <c r="D617" i="5"/>
  <c r="E617" i="5"/>
  <c r="L617" i="5" s="1"/>
  <c r="F617" i="5"/>
  <c r="H617" i="5"/>
  <c r="I617" i="5"/>
  <c r="N617" i="5"/>
  <c r="R617" i="5"/>
  <c r="Q617" i="5" s="1"/>
  <c r="S617" i="5"/>
  <c r="T617" i="5"/>
  <c r="B618" i="5"/>
  <c r="C618" i="5"/>
  <c r="D618" i="5"/>
  <c r="E618" i="5"/>
  <c r="F618" i="5"/>
  <c r="H618" i="5"/>
  <c r="I618" i="5"/>
  <c r="L618" i="5"/>
  <c r="N618" i="5"/>
  <c r="R618" i="5"/>
  <c r="Q618" i="5" s="1"/>
  <c r="S618" i="5"/>
  <c r="T618" i="5"/>
  <c r="B619" i="5"/>
  <c r="C619" i="5"/>
  <c r="D619" i="5"/>
  <c r="E619" i="5"/>
  <c r="F619" i="5"/>
  <c r="H619" i="5"/>
  <c r="I619" i="5"/>
  <c r="N619" i="5"/>
  <c r="R619" i="5"/>
  <c r="Q619" i="5" s="1"/>
  <c r="S619" i="5" s="1"/>
  <c r="T619" i="5"/>
  <c r="B620" i="5"/>
  <c r="C620" i="5"/>
  <c r="L620" i="5" s="1"/>
  <c r="D620" i="5"/>
  <c r="E620" i="5"/>
  <c r="F620" i="5"/>
  <c r="H620" i="5"/>
  <c r="I620" i="5"/>
  <c r="N620" i="5"/>
  <c r="R620" i="5"/>
  <c r="Q620" i="5" s="1"/>
  <c r="S620" i="5" s="1"/>
  <c r="T620" i="5"/>
  <c r="B621" i="5"/>
  <c r="C621" i="5"/>
  <c r="D621" i="5"/>
  <c r="E621" i="5"/>
  <c r="F621" i="5"/>
  <c r="H621" i="5"/>
  <c r="I621" i="5"/>
  <c r="N621" i="5"/>
  <c r="Q621" i="5"/>
  <c r="S621" i="5" s="1"/>
  <c r="R621" i="5"/>
  <c r="T621" i="5"/>
  <c r="B622" i="5"/>
  <c r="C622" i="5"/>
  <c r="D622" i="5"/>
  <c r="E622" i="5"/>
  <c r="F622" i="5"/>
  <c r="H622" i="5"/>
  <c r="I622" i="5"/>
  <c r="N622" i="5"/>
  <c r="Q622" i="5"/>
  <c r="R622" i="5"/>
  <c r="S622" i="5"/>
  <c r="T622" i="5"/>
  <c r="B623" i="5"/>
  <c r="C623" i="5"/>
  <c r="D623" i="5"/>
  <c r="E623" i="5"/>
  <c r="F623" i="5"/>
  <c r="H623" i="5"/>
  <c r="I623" i="5"/>
  <c r="L623" i="5"/>
  <c r="N623" i="5"/>
  <c r="Q623" i="5"/>
  <c r="R623" i="5"/>
  <c r="S623" i="5"/>
  <c r="T623" i="5"/>
  <c r="B624" i="5"/>
  <c r="C624" i="5"/>
  <c r="L624" i="5" s="1"/>
  <c r="D624" i="5"/>
  <c r="E624" i="5"/>
  <c r="F624" i="5"/>
  <c r="H624" i="5"/>
  <c r="I624" i="5"/>
  <c r="N624" i="5"/>
  <c r="R624" i="5"/>
  <c r="Q624" i="5" s="1"/>
  <c r="S624" i="5" s="1"/>
  <c r="T624" i="5"/>
  <c r="B625" i="5"/>
  <c r="C625" i="5"/>
  <c r="D625" i="5"/>
  <c r="E625" i="5"/>
  <c r="F625" i="5"/>
  <c r="H625" i="5"/>
  <c r="I625" i="5"/>
  <c r="L625" i="5"/>
  <c r="N625" i="5"/>
  <c r="R625" i="5"/>
  <c r="Q625" i="5" s="1"/>
  <c r="S625" i="5" s="1"/>
  <c r="T625" i="5"/>
  <c r="B626" i="5"/>
  <c r="C626" i="5"/>
  <c r="D626" i="5"/>
  <c r="E626" i="5"/>
  <c r="F626" i="5"/>
  <c r="H626" i="5"/>
  <c r="I626" i="5"/>
  <c r="N626" i="5"/>
  <c r="R626" i="5"/>
  <c r="Q626" i="5" s="1"/>
  <c r="S626" i="5" s="1"/>
  <c r="T626" i="5"/>
  <c r="B627" i="5"/>
  <c r="C627" i="5"/>
  <c r="D627" i="5"/>
  <c r="E627" i="5"/>
  <c r="F627" i="5"/>
  <c r="H627" i="5"/>
  <c r="I627" i="5"/>
  <c r="N627" i="5"/>
  <c r="Q627" i="5"/>
  <c r="S627" i="5" s="1"/>
  <c r="R627" i="5"/>
  <c r="T627" i="5"/>
  <c r="B628" i="5"/>
  <c r="C628" i="5"/>
  <c r="L628" i="5" s="1"/>
  <c r="D628" i="5"/>
  <c r="E628" i="5"/>
  <c r="F628" i="5"/>
  <c r="H628" i="5"/>
  <c r="I628" i="5"/>
  <c r="N628" i="5"/>
  <c r="R628" i="5"/>
  <c r="Q628" i="5" s="1"/>
  <c r="S628" i="5" s="1"/>
  <c r="T628" i="5"/>
  <c r="B629" i="5"/>
  <c r="C629" i="5"/>
  <c r="L629" i="5" s="1"/>
  <c r="D629" i="5"/>
  <c r="E629" i="5"/>
  <c r="F629" i="5"/>
  <c r="H629" i="5"/>
  <c r="I629" i="5"/>
  <c r="N629" i="5"/>
  <c r="Q629" i="5"/>
  <c r="R629" i="5"/>
  <c r="S629" i="5"/>
  <c r="T629" i="5"/>
  <c r="B630" i="5"/>
  <c r="C630" i="5"/>
  <c r="D630" i="5"/>
  <c r="E630" i="5"/>
  <c r="F630" i="5"/>
  <c r="H630" i="5"/>
  <c r="I630" i="5"/>
  <c r="L630" i="5"/>
  <c r="N630" i="5"/>
  <c r="Q630" i="5"/>
  <c r="S630" i="5" s="1"/>
  <c r="R630" i="5"/>
  <c r="T630" i="5"/>
  <c r="B631" i="5"/>
  <c r="C631" i="5"/>
  <c r="L631" i="5" s="1"/>
  <c r="D631" i="5"/>
  <c r="E631" i="5"/>
  <c r="F631" i="5"/>
  <c r="H631" i="5"/>
  <c r="I631" i="5"/>
  <c r="N631" i="5"/>
  <c r="R631" i="5"/>
  <c r="Q631" i="5" s="1"/>
  <c r="S631" i="5"/>
  <c r="T631" i="5"/>
  <c r="B632" i="5"/>
  <c r="C632" i="5"/>
  <c r="D632" i="5"/>
  <c r="E632" i="5"/>
  <c r="F632" i="5"/>
  <c r="H632" i="5"/>
  <c r="I632" i="5"/>
  <c r="N632" i="5"/>
  <c r="Q632" i="5"/>
  <c r="S632" i="5" s="1"/>
  <c r="R632" i="5"/>
  <c r="T632" i="5"/>
  <c r="B633" i="5"/>
  <c r="C633" i="5"/>
  <c r="L633" i="5" s="1"/>
  <c r="D633" i="5"/>
  <c r="E633" i="5"/>
  <c r="F633" i="5"/>
  <c r="H633" i="5"/>
  <c r="I633" i="5"/>
  <c r="N633" i="5"/>
  <c r="R633" i="5"/>
  <c r="Q633" i="5" s="1"/>
  <c r="S633" i="5" s="1"/>
  <c r="T633" i="5"/>
  <c r="B634" i="5"/>
  <c r="C634" i="5"/>
  <c r="D634" i="5"/>
  <c r="E634" i="5"/>
  <c r="F634" i="5"/>
  <c r="H634" i="5"/>
  <c r="I634" i="5"/>
  <c r="L634" i="5"/>
  <c r="N634" i="5"/>
  <c r="R634" i="5"/>
  <c r="Q634" i="5" s="1"/>
  <c r="S634" i="5"/>
  <c r="T634" i="5"/>
  <c r="B635" i="5"/>
  <c r="C635" i="5"/>
  <c r="D635" i="5"/>
  <c r="E635" i="5"/>
  <c r="F635" i="5"/>
  <c r="H635" i="5"/>
  <c r="I635" i="5"/>
  <c r="N635" i="5"/>
  <c r="R635" i="5"/>
  <c r="Q635" i="5" s="1"/>
  <c r="S635" i="5" s="1"/>
  <c r="T635" i="5"/>
  <c r="B636" i="5"/>
  <c r="C636" i="5"/>
  <c r="L636" i="5" s="1"/>
  <c r="D636" i="5"/>
  <c r="E636" i="5"/>
  <c r="F636" i="5"/>
  <c r="H636" i="5"/>
  <c r="I636" i="5"/>
  <c r="N636" i="5"/>
  <c r="R636" i="5"/>
  <c r="Q636" i="5" s="1"/>
  <c r="S636" i="5" s="1"/>
  <c r="T636" i="5"/>
  <c r="B637" i="5"/>
  <c r="C637" i="5"/>
  <c r="D637" i="5"/>
  <c r="E637" i="5"/>
  <c r="F637" i="5"/>
  <c r="H637" i="5"/>
  <c r="I637" i="5"/>
  <c r="N637" i="5"/>
  <c r="Q637" i="5"/>
  <c r="R637" i="5"/>
  <c r="S637" i="5"/>
  <c r="T637" i="5"/>
  <c r="B638" i="5"/>
  <c r="C638" i="5"/>
  <c r="D638" i="5"/>
  <c r="E638" i="5"/>
  <c r="L638" i="5" s="1"/>
  <c r="F638" i="5"/>
  <c r="H638" i="5"/>
  <c r="I638" i="5"/>
  <c r="N638" i="5"/>
  <c r="Q638" i="5"/>
  <c r="R638" i="5"/>
  <c r="S638" i="5"/>
  <c r="T638" i="5"/>
  <c r="B639" i="5"/>
  <c r="C639" i="5"/>
  <c r="D639" i="5"/>
  <c r="E639" i="5"/>
  <c r="F639" i="5"/>
  <c r="H639" i="5"/>
  <c r="I639" i="5"/>
  <c r="N639" i="5"/>
  <c r="R639" i="5"/>
  <c r="Q639" i="5" s="1"/>
  <c r="S639" i="5"/>
  <c r="T639" i="5"/>
  <c r="B640" i="5"/>
  <c r="C640" i="5"/>
  <c r="D640" i="5"/>
  <c r="E640" i="5"/>
  <c r="F640" i="5"/>
  <c r="H640" i="5"/>
  <c r="I640" i="5"/>
  <c r="L640" i="5"/>
  <c r="N640" i="5"/>
  <c r="Q640" i="5"/>
  <c r="S640" i="5" s="1"/>
  <c r="R640" i="5"/>
  <c r="T640" i="5"/>
  <c r="B641" i="5"/>
  <c r="C641" i="5"/>
  <c r="D641" i="5"/>
  <c r="E641" i="5"/>
  <c r="F641" i="5"/>
  <c r="H641" i="5"/>
  <c r="I641" i="5"/>
  <c r="N641" i="5"/>
  <c r="Q641" i="5"/>
  <c r="S641" i="5" s="1"/>
  <c r="R641" i="5"/>
  <c r="T641" i="5"/>
  <c r="B642" i="5"/>
  <c r="C642" i="5"/>
  <c r="D642" i="5"/>
  <c r="E642" i="5"/>
  <c r="F642" i="5"/>
  <c r="L642" i="5" s="1"/>
  <c r="H642" i="5"/>
  <c r="I642" i="5"/>
  <c r="N642" i="5"/>
  <c r="R642" i="5"/>
  <c r="Q642" i="5" s="1"/>
  <c r="S642" i="5" s="1"/>
  <c r="T642" i="5"/>
  <c r="B643" i="5"/>
  <c r="C643" i="5"/>
  <c r="D643" i="5"/>
  <c r="E643" i="5"/>
  <c r="F643" i="5"/>
  <c r="H643" i="5"/>
  <c r="I643" i="5"/>
  <c r="L643" i="5" s="1"/>
  <c r="N643" i="5"/>
  <c r="R643" i="5"/>
  <c r="Q643" i="5" s="1"/>
  <c r="S643" i="5" s="1"/>
  <c r="T643" i="5"/>
  <c r="B644" i="5"/>
  <c r="C644" i="5"/>
  <c r="L644" i="5" s="1"/>
  <c r="D644" i="5"/>
  <c r="E644" i="5"/>
  <c r="F644" i="5"/>
  <c r="H644" i="5"/>
  <c r="I644" i="5"/>
  <c r="N644" i="5"/>
  <c r="R644" i="5"/>
  <c r="Q644" i="5" s="1"/>
  <c r="S644" i="5"/>
  <c r="T644" i="5"/>
  <c r="B645" i="5"/>
  <c r="C645" i="5"/>
  <c r="D645" i="5"/>
  <c r="E645" i="5"/>
  <c r="F645" i="5"/>
  <c r="H645" i="5"/>
  <c r="I645" i="5"/>
  <c r="N645" i="5"/>
  <c r="Q645" i="5"/>
  <c r="R645" i="5"/>
  <c r="S645" i="5"/>
  <c r="T645" i="5"/>
  <c r="B646" i="5"/>
  <c r="C646" i="5"/>
  <c r="D646" i="5"/>
  <c r="E646" i="5"/>
  <c r="F646" i="5"/>
  <c r="H646" i="5"/>
  <c r="I646" i="5"/>
  <c r="N646" i="5"/>
  <c r="Q646" i="5"/>
  <c r="R646" i="5"/>
  <c r="S646" i="5"/>
  <c r="T646" i="5"/>
  <c r="B647" i="5"/>
  <c r="C647" i="5"/>
  <c r="D647" i="5"/>
  <c r="E647" i="5"/>
  <c r="F647" i="5"/>
  <c r="H647" i="5"/>
  <c r="I647" i="5"/>
  <c r="N647" i="5"/>
  <c r="R647" i="5"/>
  <c r="Q647" i="5" s="1"/>
  <c r="S647" i="5" s="1"/>
  <c r="T647" i="5"/>
  <c r="B648" i="5"/>
  <c r="C648" i="5"/>
  <c r="L648" i="5" s="1"/>
  <c r="D648" i="5"/>
  <c r="E648" i="5"/>
  <c r="F648" i="5"/>
  <c r="H648" i="5"/>
  <c r="I648" i="5"/>
  <c r="N648" i="5"/>
  <c r="Q648" i="5"/>
  <c r="S648" i="5" s="1"/>
  <c r="R648" i="5"/>
  <c r="T648" i="5"/>
  <c r="B649" i="5"/>
  <c r="C649" i="5"/>
  <c r="L649" i="5" s="1"/>
  <c r="D649" i="5"/>
  <c r="E649" i="5"/>
  <c r="F649" i="5"/>
  <c r="H649" i="5"/>
  <c r="I649" i="5"/>
  <c r="N649" i="5"/>
  <c r="R649" i="5"/>
  <c r="Q649" i="5" s="1"/>
  <c r="S649" i="5" s="1"/>
  <c r="T649" i="5"/>
  <c r="B650" i="5"/>
  <c r="C650" i="5"/>
  <c r="D650" i="5"/>
  <c r="E650" i="5"/>
  <c r="L650" i="5" s="1"/>
  <c r="F650" i="5"/>
  <c r="H650" i="5"/>
  <c r="I650" i="5"/>
  <c r="N650" i="5"/>
  <c r="R650" i="5"/>
  <c r="Q650" i="5" s="1"/>
  <c r="S650" i="5"/>
  <c r="T650" i="5"/>
  <c r="B651" i="5"/>
  <c r="C651" i="5"/>
  <c r="D651" i="5"/>
  <c r="L651" i="5" s="1"/>
  <c r="E651" i="5"/>
  <c r="F651" i="5"/>
  <c r="H651" i="5"/>
  <c r="I651" i="5"/>
  <c r="N651" i="5"/>
  <c r="R651" i="5"/>
  <c r="Q651" i="5" s="1"/>
  <c r="S651" i="5" s="1"/>
  <c r="T651" i="5"/>
  <c r="B652" i="5"/>
  <c r="C652" i="5"/>
  <c r="D652" i="5"/>
  <c r="E652" i="5"/>
  <c r="F652" i="5"/>
  <c r="H652" i="5"/>
  <c r="I652" i="5"/>
  <c r="N652" i="5"/>
  <c r="Q652" i="5"/>
  <c r="R652" i="5"/>
  <c r="S652" i="5"/>
  <c r="T652" i="5"/>
  <c r="B653" i="5"/>
  <c r="C653" i="5"/>
  <c r="L653" i="5" s="1"/>
  <c r="D653" i="5"/>
  <c r="E653" i="5"/>
  <c r="F653" i="5"/>
  <c r="H653" i="5"/>
  <c r="I653" i="5"/>
  <c r="N653" i="5"/>
  <c r="Q653" i="5"/>
  <c r="R653" i="5"/>
  <c r="S653" i="5"/>
  <c r="T653" i="5"/>
  <c r="B654" i="5"/>
  <c r="C654" i="5"/>
  <c r="D654" i="5"/>
  <c r="E654" i="5"/>
  <c r="L654" i="5" s="1"/>
  <c r="F654" i="5"/>
  <c r="H654" i="5"/>
  <c r="I654" i="5"/>
  <c r="N654" i="5"/>
  <c r="Q654" i="5"/>
  <c r="R654" i="5"/>
  <c r="S654" i="5"/>
  <c r="T654" i="5"/>
  <c r="B655" i="5"/>
  <c r="C655" i="5"/>
  <c r="D655" i="5"/>
  <c r="E655" i="5"/>
  <c r="F655" i="5"/>
  <c r="H655" i="5"/>
  <c r="I655" i="5"/>
  <c r="N655" i="5"/>
  <c r="R655" i="5"/>
  <c r="Q655" i="5" s="1"/>
  <c r="S655" i="5" s="1"/>
  <c r="T655" i="5"/>
  <c r="B656" i="5"/>
  <c r="C656" i="5"/>
  <c r="D656" i="5"/>
  <c r="E656" i="5"/>
  <c r="F656" i="5"/>
  <c r="H656" i="5"/>
  <c r="I656" i="5"/>
  <c r="L656" i="5"/>
  <c r="N656" i="5"/>
  <c r="Q656" i="5"/>
  <c r="S656" i="5" s="1"/>
  <c r="R656" i="5"/>
  <c r="T656" i="5"/>
  <c r="B657" i="5"/>
  <c r="C657" i="5"/>
  <c r="L657" i="5" s="1"/>
  <c r="D657" i="5"/>
  <c r="E657" i="5"/>
  <c r="F657" i="5"/>
  <c r="H657" i="5"/>
  <c r="I657" i="5"/>
  <c r="N657" i="5"/>
  <c r="Q657" i="5"/>
  <c r="S657" i="5" s="1"/>
  <c r="R657" i="5"/>
  <c r="T657" i="5"/>
  <c r="B658" i="5"/>
  <c r="C658" i="5"/>
  <c r="D658" i="5"/>
  <c r="E658" i="5"/>
  <c r="F658" i="5"/>
  <c r="H658" i="5"/>
  <c r="I658" i="5"/>
  <c r="N658" i="5"/>
  <c r="R658" i="5"/>
  <c r="Q658" i="5" s="1"/>
  <c r="S658" i="5" s="1"/>
  <c r="T658" i="5"/>
  <c r="B659" i="5"/>
  <c r="C659" i="5"/>
  <c r="D659" i="5"/>
  <c r="L659" i="5" s="1"/>
  <c r="E659" i="5"/>
  <c r="F659" i="5"/>
  <c r="H659" i="5"/>
  <c r="I659" i="5"/>
  <c r="N659" i="5"/>
  <c r="R659" i="5"/>
  <c r="Q659" i="5" s="1"/>
  <c r="S659" i="5" s="1"/>
  <c r="T659" i="5"/>
  <c r="B660" i="5"/>
  <c r="C660" i="5"/>
  <c r="L660" i="5" s="1"/>
  <c r="D660" i="5"/>
  <c r="E660" i="5"/>
  <c r="F660" i="5"/>
  <c r="H660" i="5"/>
  <c r="I660" i="5"/>
  <c r="N660" i="5"/>
  <c r="R660" i="5"/>
  <c r="Q660" i="5" s="1"/>
  <c r="S660" i="5" s="1"/>
  <c r="T660" i="5"/>
  <c r="B661" i="5"/>
  <c r="C661" i="5"/>
  <c r="D661" i="5"/>
  <c r="E661" i="5"/>
  <c r="F661" i="5"/>
  <c r="H661" i="5"/>
  <c r="I661" i="5"/>
  <c r="N661" i="5"/>
  <c r="Q661" i="5"/>
  <c r="R661" i="5"/>
  <c r="S661" i="5"/>
  <c r="T661" i="5"/>
  <c r="B662" i="5"/>
  <c r="C662" i="5"/>
  <c r="L662" i="5" s="1"/>
  <c r="D662" i="5"/>
  <c r="E662" i="5"/>
  <c r="F662" i="5"/>
  <c r="H662" i="5"/>
  <c r="I662" i="5"/>
  <c r="N662" i="5"/>
  <c r="Q662" i="5"/>
  <c r="S662" i="5" s="1"/>
  <c r="R662" i="5"/>
  <c r="T662" i="5"/>
  <c r="B663" i="5"/>
  <c r="C663" i="5"/>
  <c r="D663" i="5"/>
  <c r="E663" i="5"/>
  <c r="F663" i="5"/>
  <c r="H663" i="5"/>
  <c r="I663" i="5"/>
  <c r="N663" i="5"/>
  <c r="R663" i="5"/>
  <c r="Q663" i="5" s="1"/>
  <c r="S663" i="5"/>
  <c r="T663" i="5"/>
  <c r="B664" i="5"/>
  <c r="C664" i="5"/>
  <c r="D664" i="5"/>
  <c r="E664" i="5"/>
  <c r="F664" i="5"/>
  <c r="H664" i="5"/>
  <c r="I664" i="5"/>
  <c r="L664" i="5"/>
  <c r="N664" i="5"/>
  <c r="Q664" i="5"/>
  <c r="S664" i="5" s="1"/>
  <c r="R664" i="5"/>
  <c r="T664" i="5"/>
  <c r="B665" i="5"/>
  <c r="C665" i="5"/>
  <c r="D665" i="5"/>
  <c r="E665" i="5"/>
  <c r="F665" i="5"/>
  <c r="H665" i="5"/>
  <c r="I665" i="5"/>
  <c r="N665" i="5"/>
  <c r="R665" i="5"/>
  <c r="Q665" i="5" s="1"/>
  <c r="S665" i="5" s="1"/>
  <c r="T665" i="5"/>
  <c r="B666" i="5"/>
  <c r="C666" i="5"/>
  <c r="D666" i="5"/>
  <c r="E666" i="5"/>
  <c r="F666" i="5"/>
  <c r="H666" i="5"/>
  <c r="I666" i="5"/>
  <c r="L666" i="5"/>
  <c r="N666" i="5"/>
  <c r="R666" i="5"/>
  <c r="Q666" i="5" s="1"/>
  <c r="S666" i="5"/>
  <c r="T666" i="5"/>
  <c r="B667" i="5"/>
  <c r="C667" i="5"/>
  <c r="D667" i="5"/>
  <c r="L667" i="5" s="1"/>
  <c r="E667" i="5"/>
  <c r="F667" i="5"/>
  <c r="H667" i="5"/>
  <c r="I667" i="5"/>
  <c r="N667" i="5"/>
  <c r="R667" i="5"/>
  <c r="Q667" i="5" s="1"/>
  <c r="S667" i="5" s="1"/>
  <c r="T667" i="5"/>
  <c r="B668" i="5"/>
  <c r="C668" i="5"/>
  <c r="D668" i="5"/>
  <c r="E668" i="5"/>
  <c r="F668" i="5"/>
  <c r="H668" i="5"/>
  <c r="I668" i="5"/>
  <c r="N668" i="5"/>
  <c r="Q668" i="5"/>
  <c r="S668" i="5" s="1"/>
  <c r="R668" i="5"/>
  <c r="T668" i="5"/>
  <c r="B669" i="5"/>
  <c r="C669" i="5"/>
  <c r="D669" i="5"/>
  <c r="E669" i="5"/>
  <c r="F669" i="5"/>
  <c r="H669" i="5"/>
  <c r="I669" i="5"/>
  <c r="N669" i="5"/>
  <c r="Q669" i="5"/>
  <c r="R669" i="5"/>
  <c r="S669" i="5"/>
  <c r="T669" i="5"/>
  <c r="B670" i="5"/>
  <c r="C670" i="5"/>
  <c r="D670" i="5"/>
  <c r="E670" i="5"/>
  <c r="F670" i="5"/>
  <c r="H670" i="5"/>
  <c r="I670" i="5"/>
  <c r="L670" i="5"/>
  <c r="N670" i="5"/>
  <c r="Q670" i="5"/>
  <c r="S670" i="5" s="1"/>
  <c r="R670" i="5"/>
  <c r="T670" i="5"/>
  <c r="B671" i="5"/>
  <c r="C671" i="5"/>
  <c r="D671" i="5"/>
  <c r="E671" i="5"/>
  <c r="F671" i="5"/>
  <c r="H671" i="5"/>
  <c r="I671" i="5"/>
  <c r="N671" i="5"/>
  <c r="R671" i="5"/>
  <c r="Q671" i="5" s="1"/>
  <c r="S671" i="5"/>
  <c r="T671" i="5"/>
  <c r="B672" i="5"/>
  <c r="C672" i="5"/>
  <c r="D672" i="5"/>
  <c r="E672" i="5"/>
  <c r="F672" i="5"/>
  <c r="H672" i="5"/>
  <c r="I672" i="5"/>
  <c r="L672" i="5"/>
  <c r="N672" i="5"/>
  <c r="Q672" i="5"/>
  <c r="S672" i="5" s="1"/>
  <c r="R672" i="5"/>
  <c r="T672" i="5"/>
  <c r="B673" i="5"/>
  <c r="C673" i="5"/>
  <c r="D673" i="5"/>
  <c r="E673" i="5"/>
  <c r="F673" i="5"/>
  <c r="H673" i="5"/>
  <c r="I673" i="5"/>
  <c r="N673" i="5"/>
  <c r="Q673" i="5"/>
  <c r="S673" i="5" s="1"/>
  <c r="R673" i="5"/>
  <c r="T673" i="5"/>
  <c r="B674" i="5"/>
  <c r="C674" i="5"/>
  <c r="D674" i="5"/>
  <c r="E674" i="5"/>
  <c r="F674" i="5"/>
  <c r="L674" i="5" s="1"/>
  <c r="H674" i="5"/>
  <c r="I674" i="5"/>
  <c r="N674" i="5"/>
  <c r="R674" i="5"/>
  <c r="Q674" i="5" s="1"/>
  <c r="S674" i="5" s="1"/>
  <c r="T674" i="5"/>
  <c r="B675" i="5"/>
  <c r="C675" i="5"/>
  <c r="D675" i="5"/>
  <c r="E675" i="5"/>
  <c r="F675" i="5"/>
  <c r="H675" i="5"/>
  <c r="I675" i="5"/>
  <c r="L675" i="5" s="1"/>
  <c r="N675" i="5"/>
  <c r="R675" i="5"/>
  <c r="Q675" i="5" s="1"/>
  <c r="S675" i="5" s="1"/>
  <c r="T675" i="5"/>
  <c r="B676" i="5"/>
  <c r="C676" i="5"/>
  <c r="D676" i="5"/>
  <c r="E676" i="5"/>
  <c r="F676" i="5"/>
  <c r="H676" i="5"/>
  <c r="I676" i="5"/>
  <c r="N676" i="5"/>
  <c r="R676" i="5"/>
  <c r="Q676" i="5" s="1"/>
  <c r="S676" i="5"/>
  <c r="T676" i="5"/>
  <c r="B677" i="5"/>
  <c r="C677" i="5"/>
  <c r="D677" i="5"/>
  <c r="E677" i="5"/>
  <c r="F677" i="5"/>
  <c r="H677" i="5"/>
  <c r="I677" i="5"/>
  <c r="N677" i="5"/>
  <c r="Q677" i="5"/>
  <c r="R677" i="5"/>
  <c r="S677" i="5"/>
  <c r="T677" i="5"/>
  <c r="B678" i="5"/>
  <c r="C678" i="5"/>
  <c r="L678" i="5" s="1"/>
  <c r="D678" i="5"/>
  <c r="E678" i="5"/>
  <c r="F678" i="5"/>
  <c r="H678" i="5"/>
  <c r="I678" i="5"/>
  <c r="N678" i="5"/>
  <c r="Q678" i="5"/>
  <c r="S678" i="5" s="1"/>
  <c r="R678" i="5"/>
  <c r="T678" i="5"/>
  <c r="B679" i="5"/>
  <c r="C679" i="5"/>
  <c r="D679" i="5"/>
  <c r="E679" i="5"/>
  <c r="F679" i="5"/>
  <c r="H679" i="5"/>
  <c r="I679" i="5"/>
  <c r="N679" i="5"/>
  <c r="R679" i="5"/>
  <c r="Q679" i="5" s="1"/>
  <c r="S679" i="5" s="1"/>
  <c r="T679" i="5"/>
  <c r="B680" i="5"/>
  <c r="C680" i="5"/>
  <c r="L680" i="5" s="1"/>
  <c r="D680" i="5"/>
  <c r="E680" i="5"/>
  <c r="F680" i="5"/>
  <c r="H680" i="5"/>
  <c r="I680" i="5"/>
  <c r="N680" i="5"/>
  <c r="Q680" i="5"/>
  <c r="S680" i="5" s="1"/>
  <c r="R680" i="5"/>
  <c r="T680" i="5"/>
  <c r="B681" i="5"/>
  <c r="C681" i="5"/>
  <c r="L681" i="5" s="1"/>
  <c r="D681" i="5"/>
  <c r="E681" i="5"/>
  <c r="F681" i="5"/>
  <c r="H681" i="5"/>
  <c r="I681" i="5"/>
  <c r="N681" i="5"/>
  <c r="R681" i="5"/>
  <c r="Q681" i="5" s="1"/>
  <c r="S681" i="5" s="1"/>
  <c r="T681" i="5"/>
  <c r="B682" i="5"/>
  <c r="C682" i="5"/>
  <c r="D682" i="5"/>
  <c r="E682" i="5"/>
  <c r="L682" i="5" s="1"/>
  <c r="F682" i="5"/>
  <c r="H682" i="5"/>
  <c r="I682" i="5"/>
  <c r="N682" i="5"/>
  <c r="R682" i="5"/>
  <c r="Q682" i="5" s="1"/>
  <c r="S682" i="5"/>
  <c r="T682" i="5"/>
  <c r="B683" i="5"/>
  <c r="C683" i="5"/>
  <c r="D683" i="5"/>
  <c r="L683" i="5" s="1"/>
  <c r="E683" i="5"/>
  <c r="F683" i="5"/>
  <c r="H683" i="5"/>
  <c r="I683" i="5"/>
  <c r="N683" i="5"/>
  <c r="R683" i="5"/>
  <c r="Q683" i="5" s="1"/>
  <c r="S683" i="5" s="1"/>
  <c r="T683" i="5"/>
  <c r="B684" i="5"/>
  <c r="C684" i="5"/>
  <c r="D684" i="5"/>
  <c r="E684" i="5"/>
  <c r="F684" i="5"/>
  <c r="H684" i="5"/>
  <c r="I684" i="5"/>
  <c r="N684" i="5"/>
  <c r="Q684" i="5"/>
  <c r="R684" i="5"/>
  <c r="S684" i="5"/>
  <c r="T684" i="5"/>
  <c r="B685" i="5"/>
  <c r="C685" i="5"/>
  <c r="L685" i="5" s="1"/>
  <c r="D685" i="5"/>
  <c r="E685" i="5"/>
  <c r="F685" i="5"/>
  <c r="H685" i="5"/>
  <c r="I685" i="5"/>
  <c r="N685" i="5"/>
  <c r="Q685" i="5"/>
  <c r="R685" i="5"/>
  <c r="S685" i="5"/>
  <c r="T685" i="5"/>
  <c r="B686" i="5"/>
  <c r="C686" i="5"/>
  <c r="D686" i="5"/>
  <c r="E686" i="5"/>
  <c r="F686" i="5"/>
  <c r="H686" i="5"/>
  <c r="I686" i="5"/>
  <c r="L686" i="5"/>
  <c r="N686" i="5"/>
  <c r="Q686" i="5"/>
  <c r="R686" i="5"/>
  <c r="S686" i="5"/>
  <c r="T686" i="5"/>
  <c r="B687" i="5"/>
  <c r="C687" i="5"/>
  <c r="D687" i="5"/>
  <c r="E687" i="5"/>
  <c r="F687" i="5"/>
  <c r="H687" i="5"/>
  <c r="I687" i="5"/>
  <c r="N687" i="5"/>
  <c r="R687" i="5"/>
  <c r="Q687" i="5" s="1"/>
  <c r="S687" i="5" s="1"/>
  <c r="T687" i="5"/>
  <c r="B688" i="5"/>
  <c r="C688" i="5"/>
  <c r="D688" i="5"/>
  <c r="E688" i="5"/>
  <c r="F688" i="5"/>
  <c r="H688" i="5"/>
  <c r="L688" i="5" s="1"/>
  <c r="I688" i="5"/>
  <c r="N688" i="5"/>
  <c r="Q688" i="5"/>
  <c r="S688" i="5" s="1"/>
  <c r="R688" i="5"/>
  <c r="T688" i="5"/>
  <c r="B689" i="5"/>
  <c r="C689" i="5"/>
  <c r="L689" i="5" s="1"/>
  <c r="D689" i="5"/>
  <c r="E689" i="5"/>
  <c r="F689" i="5"/>
  <c r="H689" i="5"/>
  <c r="I689" i="5"/>
  <c r="N689" i="5"/>
  <c r="Q689" i="5"/>
  <c r="S689" i="5" s="1"/>
  <c r="R689" i="5"/>
  <c r="T689" i="5"/>
  <c r="B690" i="5"/>
  <c r="C690" i="5"/>
  <c r="D690" i="5"/>
  <c r="E690" i="5"/>
  <c r="L690" i="5" s="1"/>
  <c r="F690" i="5"/>
  <c r="H690" i="5"/>
  <c r="I690" i="5"/>
  <c r="N690" i="5"/>
  <c r="R690" i="5"/>
  <c r="Q690" i="5" s="1"/>
  <c r="S690" i="5" s="1"/>
  <c r="T690" i="5"/>
  <c r="B691" i="5"/>
  <c r="C691" i="5"/>
  <c r="D691" i="5"/>
  <c r="L691" i="5" s="1"/>
  <c r="E691" i="5"/>
  <c r="F691" i="5"/>
  <c r="H691" i="5"/>
  <c r="I691" i="5"/>
  <c r="N691" i="5"/>
  <c r="R691" i="5"/>
  <c r="Q691" i="5" s="1"/>
  <c r="S691" i="5" s="1"/>
  <c r="T691" i="5"/>
  <c r="B692" i="5"/>
  <c r="C692" i="5"/>
  <c r="D692" i="5"/>
  <c r="E692" i="5"/>
  <c r="F692" i="5"/>
  <c r="H692" i="5"/>
  <c r="I692" i="5"/>
  <c r="N692" i="5"/>
  <c r="R692" i="5"/>
  <c r="Q692" i="5" s="1"/>
  <c r="S692" i="5" s="1"/>
  <c r="T692" i="5"/>
  <c r="B693" i="5"/>
  <c r="C693" i="5"/>
  <c r="D693" i="5"/>
  <c r="E693" i="5"/>
  <c r="F693" i="5"/>
  <c r="H693" i="5"/>
  <c r="I693" i="5"/>
  <c r="N693" i="5"/>
  <c r="Q693" i="5"/>
  <c r="R693" i="5"/>
  <c r="S693" i="5"/>
  <c r="T693" i="5"/>
  <c r="B694" i="5"/>
  <c r="C694" i="5"/>
  <c r="D694" i="5"/>
  <c r="E694" i="5"/>
  <c r="F694" i="5"/>
  <c r="H694" i="5"/>
  <c r="I694" i="5"/>
  <c r="L694" i="5"/>
  <c r="N694" i="5"/>
  <c r="Q694" i="5"/>
  <c r="S694" i="5" s="1"/>
  <c r="R694" i="5"/>
  <c r="T694" i="5"/>
  <c r="B695" i="5"/>
  <c r="C695" i="5"/>
  <c r="D695" i="5"/>
  <c r="E695" i="5"/>
  <c r="F695" i="5"/>
  <c r="H695" i="5"/>
  <c r="I695" i="5"/>
  <c r="N695" i="5"/>
  <c r="R695" i="5"/>
  <c r="Q695" i="5" s="1"/>
  <c r="S695" i="5"/>
  <c r="T695" i="5"/>
  <c r="B696" i="5"/>
  <c r="C696" i="5"/>
  <c r="L696" i="5" s="1"/>
  <c r="D696" i="5"/>
  <c r="E696" i="5"/>
  <c r="F696" i="5"/>
  <c r="H696" i="5"/>
  <c r="I696" i="5"/>
  <c r="N696" i="5"/>
  <c r="Q696" i="5"/>
  <c r="S696" i="5" s="1"/>
  <c r="R696" i="5"/>
  <c r="T696" i="5"/>
  <c r="B697" i="5"/>
  <c r="C697" i="5"/>
  <c r="D697" i="5"/>
  <c r="E697" i="5"/>
  <c r="F697" i="5"/>
  <c r="H697" i="5"/>
  <c r="I697" i="5"/>
  <c r="N697" i="5"/>
  <c r="R697" i="5"/>
  <c r="Q697" i="5" s="1"/>
  <c r="S697" i="5" s="1"/>
  <c r="T697" i="5"/>
  <c r="B698" i="5"/>
  <c r="C698" i="5"/>
  <c r="D698" i="5"/>
  <c r="E698" i="5"/>
  <c r="F698" i="5"/>
  <c r="H698" i="5"/>
  <c r="I698" i="5"/>
  <c r="L698" i="5"/>
  <c r="N698" i="5"/>
  <c r="R698" i="5"/>
  <c r="Q698" i="5" s="1"/>
  <c r="S698" i="5"/>
  <c r="T698" i="5"/>
  <c r="B699" i="5"/>
  <c r="C699" i="5"/>
  <c r="D699" i="5"/>
  <c r="E699" i="5"/>
  <c r="F699" i="5"/>
  <c r="H699" i="5"/>
  <c r="I699" i="5"/>
  <c r="N699" i="5"/>
  <c r="R699" i="5"/>
  <c r="Q699" i="5" s="1"/>
  <c r="S699" i="5" s="1"/>
  <c r="T699" i="5"/>
  <c r="B700" i="5"/>
  <c r="C700" i="5"/>
  <c r="L700" i="5" s="1"/>
  <c r="D700" i="5"/>
  <c r="E700" i="5"/>
  <c r="F700" i="5"/>
  <c r="H700" i="5"/>
  <c r="I700" i="5"/>
  <c r="N700" i="5"/>
  <c r="Q700" i="5"/>
  <c r="S700" i="5" s="1"/>
  <c r="R700" i="5"/>
  <c r="T700" i="5"/>
  <c r="B701" i="5"/>
  <c r="C701" i="5"/>
  <c r="D701" i="5"/>
  <c r="E701" i="5"/>
  <c r="F701" i="5"/>
  <c r="H701" i="5"/>
  <c r="I701" i="5"/>
  <c r="N701" i="5"/>
  <c r="Q701" i="5"/>
  <c r="R701" i="5"/>
  <c r="S701" i="5"/>
  <c r="T701" i="5"/>
  <c r="B702" i="5"/>
  <c r="C702" i="5"/>
  <c r="D702" i="5"/>
  <c r="E702" i="5"/>
  <c r="F702" i="5"/>
  <c r="H702" i="5"/>
  <c r="I702" i="5"/>
  <c r="L702" i="5"/>
  <c r="N702" i="5"/>
  <c r="Q702" i="5"/>
  <c r="S702" i="5" s="1"/>
  <c r="R702" i="5"/>
  <c r="T702" i="5"/>
  <c r="B703" i="5"/>
  <c r="C703" i="5"/>
  <c r="D703" i="5"/>
  <c r="E703" i="5"/>
  <c r="F703" i="5"/>
  <c r="H703" i="5"/>
  <c r="I703" i="5"/>
  <c r="N703" i="5"/>
  <c r="R703" i="5"/>
  <c r="Q703" i="5" s="1"/>
  <c r="S703" i="5"/>
  <c r="T703" i="5"/>
  <c r="B704" i="5"/>
  <c r="C704" i="5"/>
  <c r="D704" i="5"/>
  <c r="E704" i="5"/>
  <c r="F704" i="5"/>
  <c r="H704" i="5"/>
  <c r="I704" i="5"/>
  <c r="L704" i="5"/>
  <c r="N704" i="5"/>
  <c r="Q704" i="5"/>
  <c r="S704" i="5" s="1"/>
  <c r="R704" i="5"/>
  <c r="T704" i="5"/>
  <c r="B705" i="5"/>
  <c r="C705" i="5"/>
  <c r="D705" i="5"/>
  <c r="E705" i="5"/>
  <c r="F705" i="5"/>
  <c r="H705" i="5"/>
  <c r="I705" i="5"/>
  <c r="N705" i="5"/>
  <c r="Q705" i="5"/>
  <c r="S705" i="5" s="1"/>
  <c r="R705" i="5"/>
  <c r="T705" i="5"/>
  <c r="B706" i="5"/>
  <c r="C706" i="5"/>
  <c r="D706" i="5"/>
  <c r="E706" i="5"/>
  <c r="F706" i="5"/>
  <c r="L706" i="5" s="1"/>
  <c r="H706" i="5"/>
  <c r="I706" i="5"/>
  <c r="N706" i="5"/>
  <c r="R706" i="5"/>
  <c r="Q706" i="5" s="1"/>
  <c r="S706" i="5" s="1"/>
  <c r="T706" i="5"/>
  <c r="B707" i="5"/>
  <c r="C707" i="5"/>
  <c r="D707" i="5"/>
  <c r="E707" i="5"/>
  <c r="F707" i="5"/>
  <c r="H707" i="5"/>
  <c r="I707" i="5"/>
  <c r="L707" i="5" s="1"/>
  <c r="N707" i="5"/>
  <c r="R707" i="5"/>
  <c r="Q707" i="5" s="1"/>
  <c r="S707" i="5" s="1"/>
  <c r="T707" i="5"/>
  <c r="B708" i="5"/>
  <c r="C708" i="5"/>
  <c r="D708" i="5"/>
  <c r="E708" i="5"/>
  <c r="F708" i="5"/>
  <c r="H708" i="5"/>
  <c r="I708" i="5"/>
  <c r="N708" i="5"/>
  <c r="R708" i="5"/>
  <c r="Q708" i="5" s="1"/>
  <c r="S708" i="5"/>
  <c r="T708" i="5"/>
  <c r="B709" i="5"/>
  <c r="C709" i="5"/>
  <c r="D709" i="5"/>
  <c r="E709" i="5"/>
  <c r="F709" i="5"/>
  <c r="H709" i="5"/>
  <c r="I709" i="5"/>
  <c r="N709" i="5"/>
  <c r="Q709" i="5"/>
  <c r="R709" i="5"/>
  <c r="S709" i="5"/>
  <c r="T709" i="5"/>
  <c r="B710" i="5"/>
  <c r="C710" i="5"/>
  <c r="D710" i="5"/>
  <c r="E710" i="5"/>
  <c r="F710" i="5"/>
  <c r="H710" i="5"/>
  <c r="I710" i="5"/>
  <c r="N710" i="5"/>
  <c r="Q710" i="5"/>
  <c r="R710" i="5"/>
  <c r="S710" i="5"/>
  <c r="T710" i="5"/>
  <c r="B711" i="5"/>
  <c r="C711" i="5"/>
  <c r="D711" i="5"/>
  <c r="E711" i="5"/>
  <c r="F711" i="5"/>
  <c r="H711" i="5"/>
  <c r="I711" i="5"/>
  <c r="N711" i="5"/>
  <c r="R711" i="5"/>
  <c r="Q711" i="5" s="1"/>
  <c r="S711" i="5" s="1"/>
  <c r="T711" i="5"/>
  <c r="B712" i="5"/>
  <c r="C712" i="5"/>
  <c r="D712" i="5"/>
  <c r="E712" i="5"/>
  <c r="F712" i="5"/>
  <c r="H712" i="5"/>
  <c r="I712" i="5"/>
  <c r="N712" i="5"/>
  <c r="Q712" i="5"/>
  <c r="S712" i="5" s="1"/>
  <c r="R712" i="5"/>
  <c r="T712" i="5"/>
  <c r="B713" i="5"/>
  <c r="C713" i="5"/>
  <c r="L713" i="5" s="1"/>
  <c r="D713" i="5"/>
  <c r="E713" i="5"/>
  <c r="F713" i="5"/>
  <c r="H713" i="5"/>
  <c r="I713" i="5"/>
  <c r="N713" i="5"/>
  <c r="R713" i="5"/>
  <c r="Q713" i="5" s="1"/>
  <c r="S713" i="5" s="1"/>
  <c r="T713" i="5"/>
  <c r="B714" i="5"/>
  <c r="C714" i="5"/>
  <c r="D714" i="5"/>
  <c r="E714" i="5"/>
  <c r="L714" i="5" s="1"/>
  <c r="F714" i="5"/>
  <c r="H714" i="5"/>
  <c r="I714" i="5"/>
  <c r="N714" i="5"/>
  <c r="R714" i="5"/>
  <c r="Q714" i="5" s="1"/>
  <c r="S714" i="5"/>
  <c r="T714" i="5"/>
  <c r="B715" i="5"/>
  <c r="C715" i="5"/>
  <c r="D715" i="5"/>
  <c r="E715" i="5"/>
  <c r="F715" i="5"/>
  <c r="H715" i="5"/>
  <c r="I715" i="5"/>
  <c r="N715" i="5"/>
  <c r="R715" i="5"/>
  <c r="Q715" i="5" s="1"/>
  <c r="S715" i="5" s="1"/>
  <c r="T715" i="5"/>
  <c r="B716" i="5"/>
  <c r="C716" i="5"/>
  <c r="D716" i="5"/>
  <c r="E716" i="5"/>
  <c r="F716" i="5"/>
  <c r="H716" i="5"/>
  <c r="I716" i="5"/>
  <c r="N716" i="5"/>
  <c r="Q716" i="5"/>
  <c r="R716" i="5"/>
  <c r="S716" i="5"/>
  <c r="T716" i="5"/>
  <c r="B717" i="5"/>
  <c r="C717" i="5"/>
  <c r="L717" i="5" s="1"/>
  <c r="D717" i="5"/>
  <c r="E717" i="5"/>
  <c r="F717" i="5"/>
  <c r="H717" i="5"/>
  <c r="I717" i="5"/>
  <c r="N717" i="5"/>
  <c r="Q717" i="5"/>
  <c r="R717" i="5"/>
  <c r="S717" i="5"/>
  <c r="T717" i="5"/>
  <c r="B718" i="5"/>
  <c r="C718" i="5"/>
  <c r="D718" i="5"/>
  <c r="E718" i="5"/>
  <c r="L718" i="5" s="1"/>
  <c r="F718" i="5"/>
  <c r="H718" i="5"/>
  <c r="I718" i="5"/>
  <c r="N718" i="5"/>
  <c r="Q718" i="5"/>
  <c r="R718" i="5"/>
  <c r="S718" i="5"/>
  <c r="T718" i="5"/>
  <c r="B719" i="5"/>
  <c r="C719" i="5"/>
  <c r="D719" i="5"/>
  <c r="E719" i="5"/>
  <c r="F719" i="5"/>
  <c r="H719" i="5"/>
  <c r="I719" i="5"/>
  <c r="N719" i="5"/>
  <c r="R719" i="5"/>
  <c r="Q719" i="5" s="1"/>
  <c r="S719" i="5" s="1"/>
  <c r="T719" i="5"/>
  <c r="B720" i="5"/>
  <c r="C720" i="5"/>
  <c r="D720" i="5"/>
  <c r="E720" i="5"/>
  <c r="F720" i="5"/>
  <c r="H720" i="5"/>
  <c r="I720" i="5"/>
  <c r="L720" i="5"/>
  <c r="N720" i="5"/>
  <c r="Q720" i="5"/>
  <c r="S720" i="5" s="1"/>
  <c r="R720" i="5"/>
  <c r="T720" i="5"/>
  <c r="B721" i="5"/>
  <c r="C721" i="5"/>
  <c r="L721" i="5" s="1"/>
  <c r="D721" i="5"/>
  <c r="E721" i="5"/>
  <c r="F721" i="5"/>
  <c r="H721" i="5"/>
  <c r="I721" i="5"/>
  <c r="N721" i="5"/>
  <c r="Q721" i="5"/>
  <c r="S721" i="5" s="1"/>
  <c r="R721" i="5"/>
  <c r="T721" i="5"/>
  <c r="B722" i="5"/>
  <c r="C722" i="5"/>
  <c r="D722" i="5"/>
  <c r="E722" i="5"/>
  <c r="F722" i="5"/>
  <c r="H722" i="5"/>
  <c r="I722" i="5"/>
  <c r="N722" i="5"/>
  <c r="R722" i="5"/>
  <c r="Q722" i="5" s="1"/>
  <c r="S722" i="5" s="1"/>
  <c r="T722" i="5"/>
  <c r="B723" i="5"/>
  <c r="C723" i="5"/>
  <c r="D723" i="5"/>
  <c r="L723" i="5" s="1"/>
  <c r="E723" i="5"/>
  <c r="F723" i="5"/>
  <c r="H723" i="5"/>
  <c r="I723" i="5"/>
  <c r="N723" i="5"/>
  <c r="R723" i="5"/>
  <c r="Q723" i="5" s="1"/>
  <c r="S723" i="5" s="1"/>
  <c r="T723" i="5"/>
  <c r="B724" i="5"/>
  <c r="C724" i="5"/>
  <c r="L724" i="5" s="1"/>
  <c r="D724" i="5"/>
  <c r="E724" i="5"/>
  <c r="F724" i="5"/>
  <c r="H724" i="5"/>
  <c r="I724" i="5"/>
  <c r="N724" i="5"/>
  <c r="R724" i="5"/>
  <c r="Q724" i="5" s="1"/>
  <c r="S724" i="5" s="1"/>
  <c r="T724" i="5"/>
  <c r="B725" i="5"/>
  <c r="C725" i="5"/>
  <c r="L725" i="5" s="1"/>
  <c r="D725" i="5"/>
  <c r="E725" i="5"/>
  <c r="F725" i="5"/>
  <c r="H725" i="5"/>
  <c r="I725" i="5"/>
  <c r="N725" i="5"/>
  <c r="Q725" i="5"/>
  <c r="R725" i="5"/>
  <c r="S725" i="5"/>
  <c r="T725" i="5"/>
  <c r="B726" i="5"/>
  <c r="C726" i="5"/>
  <c r="D726" i="5"/>
  <c r="E726" i="5"/>
  <c r="F726" i="5"/>
  <c r="H726" i="5"/>
  <c r="I726" i="5"/>
  <c r="L726" i="5"/>
  <c r="N726" i="5"/>
  <c r="Q726" i="5"/>
  <c r="S726" i="5" s="1"/>
  <c r="R726" i="5"/>
  <c r="T726" i="5"/>
  <c r="B727" i="5"/>
  <c r="C727" i="5"/>
  <c r="L727" i="5" s="1"/>
  <c r="D727" i="5"/>
  <c r="E727" i="5"/>
  <c r="F727" i="5"/>
  <c r="H727" i="5"/>
  <c r="I727" i="5"/>
  <c r="N727" i="5"/>
  <c r="R727" i="5"/>
  <c r="Q727" i="5" s="1"/>
  <c r="S727" i="5"/>
  <c r="T727" i="5"/>
  <c r="B728" i="5"/>
  <c r="C728" i="5"/>
  <c r="D728" i="5"/>
  <c r="E728" i="5"/>
  <c r="F728" i="5"/>
  <c r="H728" i="5"/>
  <c r="I728" i="5"/>
  <c r="L728" i="5" s="1"/>
  <c r="N728" i="5"/>
  <c r="Q728" i="5"/>
  <c r="S728" i="5" s="1"/>
  <c r="R728" i="5"/>
  <c r="T728" i="5"/>
  <c r="B729" i="5"/>
  <c r="C729" i="5"/>
  <c r="D729" i="5"/>
  <c r="E729" i="5"/>
  <c r="F729" i="5"/>
  <c r="H729" i="5"/>
  <c r="I729" i="5"/>
  <c r="N729" i="5"/>
  <c r="R729" i="5"/>
  <c r="Q729" i="5" s="1"/>
  <c r="S729" i="5" s="1"/>
  <c r="T729" i="5"/>
  <c r="B730" i="5"/>
  <c r="C730" i="5"/>
  <c r="D730" i="5"/>
  <c r="E730" i="5"/>
  <c r="F730" i="5"/>
  <c r="H730" i="5"/>
  <c r="I730" i="5"/>
  <c r="L730" i="5"/>
  <c r="N730" i="5"/>
  <c r="R730" i="5"/>
  <c r="Q730" i="5" s="1"/>
  <c r="S730" i="5"/>
  <c r="T730" i="5"/>
  <c r="B731" i="5"/>
  <c r="C731" i="5"/>
  <c r="D731" i="5"/>
  <c r="E731" i="5"/>
  <c r="F731" i="5"/>
  <c r="H731" i="5"/>
  <c r="I731" i="5"/>
  <c r="N731" i="5"/>
  <c r="R731" i="5"/>
  <c r="Q731" i="5" s="1"/>
  <c r="S731" i="5" s="1"/>
  <c r="T731" i="5"/>
  <c r="B732" i="5"/>
  <c r="C732" i="5"/>
  <c r="D732" i="5"/>
  <c r="E732" i="5"/>
  <c r="F732" i="5"/>
  <c r="H732" i="5"/>
  <c r="I732" i="5"/>
  <c r="N732" i="5"/>
  <c r="Q732" i="5"/>
  <c r="S732" i="5" s="1"/>
  <c r="R732" i="5"/>
  <c r="T732" i="5"/>
  <c r="B733" i="5"/>
  <c r="C733" i="5"/>
  <c r="D733" i="5"/>
  <c r="E733" i="5"/>
  <c r="F733" i="5"/>
  <c r="H733" i="5"/>
  <c r="I733" i="5"/>
  <c r="N733" i="5"/>
  <c r="Q733" i="5"/>
  <c r="R733" i="5"/>
  <c r="S733" i="5"/>
  <c r="T733" i="5"/>
  <c r="B734" i="5"/>
  <c r="C734" i="5"/>
  <c r="L734" i="5" s="1"/>
  <c r="D734" i="5"/>
  <c r="E734" i="5"/>
  <c r="F734" i="5"/>
  <c r="H734" i="5"/>
  <c r="I734" i="5"/>
  <c r="N734" i="5"/>
  <c r="Q734" i="5"/>
  <c r="R734" i="5"/>
  <c r="S734" i="5"/>
  <c r="T734" i="5"/>
  <c r="B735" i="5"/>
  <c r="C735" i="5"/>
  <c r="D735" i="5"/>
  <c r="E735" i="5"/>
  <c r="F735" i="5"/>
  <c r="H735" i="5"/>
  <c r="I735" i="5"/>
  <c r="N735" i="5"/>
  <c r="R735" i="5"/>
  <c r="Q735" i="5" s="1"/>
  <c r="S735" i="5"/>
  <c r="T735" i="5"/>
  <c r="B736" i="5"/>
  <c r="C736" i="5"/>
  <c r="L736" i="5" s="1"/>
  <c r="D736" i="5"/>
  <c r="E736" i="5"/>
  <c r="F736" i="5"/>
  <c r="H736" i="5"/>
  <c r="I736" i="5"/>
  <c r="N736" i="5"/>
  <c r="Q736" i="5"/>
  <c r="S736" i="5" s="1"/>
  <c r="R736" i="5"/>
  <c r="T736" i="5"/>
  <c r="B737" i="5"/>
  <c r="C737" i="5"/>
  <c r="D737" i="5"/>
  <c r="E737" i="5"/>
  <c r="F737" i="5"/>
  <c r="H737" i="5"/>
  <c r="I737" i="5"/>
  <c r="N737" i="5"/>
  <c r="Q737" i="5"/>
  <c r="S737" i="5" s="1"/>
  <c r="R737" i="5"/>
  <c r="T737" i="5"/>
  <c r="B738" i="5"/>
  <c r="C738" i="5"/>
  <c r="D738" i="5"/>
  <c r="E738" i="5"/>
  <c r="F738" i="5"/>
  <c r="L738" i="5" s="1"/>
  <c r="H738" i="5"/>
  <c r="I738" i="5"/>
  <c r="N738" i="5"/>
  <c r="R738" i="5"/>
  <c r="Q738" i="5" s="1"/>
  <c r="S738" i="5" s="1"/>
  <c r="T738" i="5"/>
  <c r="B739" i="5"/>
  <c r="C739" i="5"/>
  <c r="D739" i="5"/>
  <c r="E739" i="5"/>
  <c r="F739" i="5"/>
  <c r="H739" i="5"/>
  <c r="I739" i="5"/>
  <c r="L739" i="5" s="1"/>
  <c r="N739" i="5"/>
  <c r="R739" i="5"/>
  <c r="Q739" i="5" s="1"/>
  <c r="S739" i="5" s="1"/>
  <c r="T739" i="5"/>
  <c r="B740" i="5"/>
  <c r="C740" i="5"/>
  <c r="D740" i="5"/>
  <c r="E740" i="5"/>
  <c r="F740" i="5"/>
  <c r="H740" i="5"/>
  <c r="I740" i="5"/>
  <c r="N740" i="5"/>
  <c r="R740" i="5"/>
  <c r="Q740" i="5" s="1"/>
  <c r="S740" i="5"/>
  <c r="T740" i="5"/>
  <c r="B741" i="5"/>
  <c r="C741" i="5"/>
  <c r="D741" i="5"/>
  <c r="E741" i="5"/>
  <c r="F741" i="5"/>
  <c r="H741" i="5"/>
  <c r="I741" i="5"/>
  <c r="N741" i="5"/>
  <c r="Q741" i="5"/>
  <c r="R741" i="5"/>
  <c r="S741" i="5"/>
  <c r="T741" i="5"/>
  <c r="B742" i="5"/>
  <c r="C742" i="5"/>
  <c r="L742" i="5" s="1"/>
  <c r="D742" i="5"/>
  <c r="E742" i="5"/>
  <c r="F742" i="5"/>
  <c r="H742" i="5"/>
  <c r="I742" i="5"/>
  <c r="N742" i="5"/>
  <c r="Q742" i="5"/>
  <c r="R742" i="5"/>
  <c r="S742" i="5"/>
  <c r="T742" i="5"/>
  <c r="B743" i="5"/>
  <c r="C743" i="5"/>
  <c r="D743" i="5"/>
  <c r="E743" i="5"/>
  <c r="F743" i="5"/>
  <c r="H743" i="5"/>
  <c r="I743" i="5"/>
  <c r="N743" i="5"/>
  <c r="R743" i="5"/>
  <c r="Q743" i="5" s="1"/>
  <c r="S743" i="5" s="1"/>
  <c r="T743" i="5"/>
  <c r="B744" i="5"/>
  <c r="C744" i="5"/>
  <c r="D744" i="5"/>
  <c r="E744" i="5"/>
  <c r="F744" i="5"/>
  <c r="H744" i="5"/>
  <c r="I744" i="5"/>
  <c r="N744" i="5"/>
  <c r="Q744" i="5"/>
  <c r="S744" i="5" s="1"/>
  <c r="R744" i="5"/>
  <c r="T744" i="5"/>
  <c r="B745" i="5"/>
  <c r="C745" i="5"/>
  <c r="L745" i="5" s="1"/>
  <c r="D745" i="5"/>
  <c r="E745" i="5"/>
  <c r="F745" i="5"/>
  <c r="H745" i="5"/>
  <c r="I745" i="5"/>
  <c r="N745" i="5"/>
  <c r="R745" i="5"/>
  <c r="Q745" i="5" s="1"/>
  <c r="S745" i="5" s="1"/>
  <c r="T745" i="5"/>
  <c r="B746" i="5"/>
  <c r="C746" i="5"/>
  <c r="D746" i="5"/>
  <c r="E746" i="5"/>
  <c r="L746" i="5" s="1"/>
  <c r="F746" i="5"/>
  <c r="H746" i="5"/>
  <c r="I746" i="5"/>
  <c r="N746" i="5"/>
  <c r="R746" i="5"/>
  <c r="Q746" i="5" s="1"/>
  <c r="S746" i="5"/>
  <c r="T746" i="5"/>
  <c r="B747" i="5"/>
  <c r="C747" i="5"/>
  <c r="D747" i="5"/>
  <c r="L747" i="5" s="1"/>
  <c r="E747" i="5"/>
  <c r="F747" i="5"/>
  <c r="H747" i="5"/>
  <c r="I747" i="5"/>
  <c r="N747" i="5"/>
  <c r="R747" i="5"/>
  <c r="Q747" i="5" s="1"/>
  <c r="S747" i="5" s="1"/>
  <c r="T747" i="5"/>
  <c r="B748" i="5"/>
  <c r="C748" i="5"/>
  <c r="D748" i="5"/>
  <c r="E748" i="5"/>
  <c r="F748" i="5"/>
  <c r="H748" i="5"/>
  <c r="I748" i="5"/>
  <c r="N748" i="5"/>
  <c r="Q748" i="5"/>
  <c r="R748" i="5"/>
  <c r="S748" i="5"/>
  <c r="T748" i="5"/>
  <c r="B749" i="5"/>
  <c r="C749" i="5"/>
  <c r="L749" i="5" s="1"/>
  <c r="D749" i="5"/>
  <c r="E749" i="5"/>
  <c r="F749" i="5"/>
  <c r="H749" i="5"/>
  <c r="I749" i="5"/>
  <c r="N749" i="5"/>
  <c r="Q749" i="5"/>
  <c r="R749" i="5"/>
  <c r="S749" i="5"/>
  <c r="T749" i="5"/>
  <c r="B750" i="5"/>
  <c r="C750" i="5"/>
  <c r="D750" i="5"/>
  <c r="E750" i="5"/>
  <c r="F750" i="5"/>
  <c r="H750" i="5"/>
  <c r="I750" i="5"/>
  <c r="L750" i="5"/>
  <c r="N750" i="5"/>
  <c r="Q750" i="5"/>
  <c r="R750" i="5"/>
  <c r="S750" i="5"/>
  <c r="T750" i="5"/>
  <c r="B751" i="5"/>
  <c r="C751" i="5"/>
  <c r="D751" i="5"/>
  <c r="E751" i="5"/>
  <c r="F751" i="5"/>
  <c r="H751" i="5"/>
  <c r="I751" i="5"/>
  <c r="N751" i="5"/>
  <c r="R751" i="5"/>
  <c r="Q751" i="5" s="1"/>
  <c r="S751" i="5" s="1"/>
  <c r="T751" i="5"/>
  <c r="B752" i="5"/>
  <c r="C752" i="5"/>
  <c r="D752" i="5"/>
  <c r="E752" i="5"/>
  <c r="F752" i="5"/>
  <c r="H752" i="5"/>
  <c r="L752" i="5" s="1"/>
  <c r="I752" i="5"/>
  <c r="N752" i="5"/>
  <c r="Q752" i="5"/>
  <c r="S752" i="5" s="1"/>
  <c r="R752" i="5"/>
  <c r="T752" i="5"/>
  <c r="B753" i="5"/>
  <c r="C753" i="5"/>
  <c r="L753" i="5" s="1"/>
  <c r="D753" i="5"/>
  <c r="E753" i="5"/>
  <c r="F753" i="5"/>
  <c r="H753" i="5"/>
  <c r="I753" i="5"/>
  <c r="N753" i="5"/>
  <c r="R753" i="5"/>
  <c r="Q753" i="5" s="1"/>
  <c r="S753" i="5" s="1"/>
  <c r="T753" i="5"/>
  <c r="B754" i="5"/>
  <c r="C754" i="5"/>
  <c r="D754" i="5"/>
  <c r="E754" i="5"/>
  <c r="L754" i="5" s="1"/>
  <c r="F754" i="5"/>
  <c r="H754" i="5"/>
  <c r="I754" i="5"/>
  <c r="N754" i="5"/>
  <c r="R754" i="5"/>
  <c r="Q754" i="5" s="1"/>
  <c r="S754" i="5" s="1"/>
  <c r="T754" i="5"/>
  <c r="B755" i="5"/>
  <c r="C755" i="5"/>
  <c r="D755" i="5"/>
  <c r="L755" i="5" s="1"/>
  <c r="E755" i="5"/>
  <c r="F755" i="5"/>
  <c r="H755" i="5"/>
  <c r="I755" i="5"/>
  <c r="N755" i="5"/>
  <c r="R755" i="5"/>
  <c r="Q755" i="5" s="1"/>
  <c r="S755" i="5" s="1"/>
  <c r="T755" i="5"/>
  <c r="B756" i="5"/>
  <c r="C756" i="5"/>
  <c r="D756" i="5"/>
  <c r="E756" i="5"/>
  <c r="F756" i="5"/>
  <c r="H756" i="5"/>
  <c r="I756" i="5"/>
  <c r="N756" i="5"/>
  <c r="R756" i="5"/>
  <c r="Q756" i="5" s="1"/>
  <c r="S756" i="5" s="1"/>
  <c r="T756" i="5"/>
  <c r="B757" i="5"/>
  <c r="C757" i="5"/>
  <c r="D757" i="5"/>
  <c r="E757" i="5"/>
  <c r="F757" i="5"/>
  <c r="H757" i="5"/>
  <c r="I757" i="5"/>
  <c r="N757" i="5"/>
  <c r="Q757" i="5"/>
  <c r="R757" i="5"/>
  <c r="S757" i="5"/>
  <c r="T757" i="5"/>
  <c r="B758" i="5"/>
  <c r="C758" i="5"/>
  <c r="D758" i="5"/>
  <c r="E758" i="5"/>
  <c r="F758" i="5"/>
  <c r="H758" i="5"/>
  <c r="I758" i="5"/>
  <c r="L758" i="5"/>
  <c r="N758" i="5"/>
  <c r="Q758" i="5"/>
  <c r="S758" i="5" s="1"/>
  <c r="R758" i="5"/>
  <c r="T758" i="5"/>
  <c r="B759" i="5"/>
  <c r="C759" i="5"/>
  <c r="L759" i="5" s="1"/>
  <c r="D759" i="5"/>
  <c r="E759" i="5"/>
  <c r="F759" i="5"/>
  <c r="H759" i="5"/>
  <c r="I759" i="5"/>
  <c r="N759" i="5"/>
  <c r="R759" i="5"/>
  <c r="Q759" i="5" s="1"/>
  <c r="S759" i="5" s="1"/>
  <c r="T759" i="5"/>
  <c r="B760" i="5"/>
  <c r="C760" i="5"/>
  <c r="L760" i="5" s="1"/>
  <c r="D760" i="5"/>
  <c r="E760" i="5"/>
  <c r="F760" i="5"/>
  <c r="H760" i="5"/>
  <c r="I760" i="5"/>
  <c r="N760" i="5"/>
  <c r="Q760" i="5"/>
  <c r="S760" i="5" s="1"/>
  <c r="R760" i="5"/>
  <c r="T760" i="5"/>
  <c r="B761" i="5"/>
  <c r="C761" i="5"/>
  <c r="D761" i="5"/>
  <c r="E761" i="5"/>
  <c r="F761" i="5"/>
  <c r="H761" i="5"/>
  <c r="I761" i="5"/>
  <c r="N761" i="5"/>
  <c r="R761" i="5"/>
  <c r="Q761" i="5" s="1"/>
  <c r="S761" i="5" s="1"/>
  <c r="T761" i="5"/>
  <c r="B762" i="5"/>
  <c r="C762" i="5"/>
  <c r="D762" i="5"/>
  <c r="E762" i="5"/>
  <c r="F762" i="5"/>
  <c r="H762" i="5"/>
  <c r="I762" i="5"/>
  <c r="L762" i="5"/>
  <c r="N762" i="5"/>
  <c r="R762" i="5"/>
  <c r="Q762" i="5" s="1"/>
  <c r="S762" i="5"/>
  <c r="T762" i="5"/>
  <c r="B763" i="5"/>
  <c r="C763" i="5"/>
  <c r="D763" i="5"/>
  <c r="L763" i="5" s="1"/>
  <c r="E763" i="5"/>
  <c r="F763" i="5"/>
  <c r="H763" i="5"/>
  <c r="I763" i="5"/>
  <c r="N763" i="5"/>
  <c r="R763" i="5"/>
  <c r="Q763" i="5" s="1"/>
  <c r="S763" i="5" s="1"/>
  <c r="T763" i="5"/>
  <c r="B764" i="5"/>
  <c r="C764" i="5"/>
  <c r="L764" i="5" s="1"/>
  <c r="D764" i="5"/>
  <c r="E764" i="5"/>
  <c r="F764" i="5"/>
  <c r="H764" i="5"/>
  <c r="I764" i="5"/>
  <c r="N764" i="5"/>
  <c r="Q764" i="5"/>
  <c r="S764" i="5" s="1"/>
  <c r="R764" i="5"/>
  <c r="T764" i="5"/>
  <c r="B765" i="5"/>
  <c r="C765" i="5"/>
  <c r="D765" i="5"/>
  <c r="E765" i="5"/>
  <c r="F765" i="5"/>
  <c r="H765" i="5"/>
  <c r="I765" i="5"/>
  <c r="N765" i="5"/>
  <c r="Q765" i="5"/>
  <c r="R765" i="5"/>
  <c r="S765" i="5"/>
  <c r="T765" i="5"/>
  <c r="B766" i="5"/>
  <c r="C766" i="5"/>
  <c r="D766" i="5"/>
  <c r="E766" i="5"/>
  <c r="F766" i="5"/>
  <c r="H766" i="5"/>
  <c r="I766" i="5"/>
  <c r="L766" i="5"/>
  <c r="N766" i="5"/>
  <c r="Q766" i="5"/>
  <c r="S766" i="5" s="1"/>
  <c r="R766" i="5"/>
  <c r="T766" i="5"/>
  <c r="B767" i="5"/>
  <c r="C767" i="5"/>
  <c r="D767" i="5"/>
  <c r="E767" i="5"/>
  <c r="F767" i="5"/>
  <c r="H767" i="5"/>
  <c r="I767" i="5"/>
  <c r="N767" i="5"/>
  <c r="R767" i="5"/>
  <c r="Q767" i="5" s="1"/>
  <c r="S767" i="5"/>
  <c r="T767" i="5"/>
  <c r="B768" i="5"/>
  <c r="C768" i="5"/>
  <c r="L768" i="5" s="1"/>
  <c r="D768" i="5"/>
  <c r="E768" i="5"/>
  <c r="F768" i="5"/>
  <c r="H768" i="5"/>
  <c r="I768" i="5"/>
  <c r="N768" i="5"/>
  <c r="Q768" i="5"/>
  <c r="S768" i="5" s="1"/>
  <c r="R768" i="5"/>
  <c r="T768" i="5"/>
  <c r="B769" i="5"/>
  <c r="C769" i="5"/>
  <c r="D769" i="5"/>
  <c r="E769" i="5"/>
  <c r="F769" i="5"/>
  <c r="H769" i="5"/>
  <c r="I769" i="5"/>
  <c r="N769" i="5"/>
  <c r="Q769" i="5"/>
  <c r="S769" i="5" s="1"/>
  <c r="R769" i="5"/>
  <c r="T769" i="5"/>
  <c r="B770" i="5"/>
  <c r="C770" i="5"/>
  <c r="D770" i="5"/>
  <c r="E770" i="5"/>
  <c r="F770" i="5"/>
  <c r="L770" i="5" s="1"/>
  <c r="H770" i="5"/>
  <c r="I770" i="5"/>
  <c r="N770" i="5"/>
  <c r="R770" i="5"/>
  <c r="Q770" i="5" s="1"/>
  <c r="S770" i="5" s="1"/>
  <c r="T770" i="5"/>
  <c r="B771" i="5"/>
  <c r="C771" i="5"/>
  <c r="D771" i="5"/>
  <c r="E771" i="5"/>
  <c r="F771" i="5"/>
  <c r="H771" i="5"/>
  <c r="I771" i="5"/>
  <c r="L771" i="5" s="1"/>
  <c r="N771" i="5"/>
  <c r="R771" i="5"/>
  <c r="Q771" i="5" s="1"/>
  <c r="S771" i="5" s="1"/>
  <c r="T771" i="5"/>
  <c r="B772" i="5"/>
  <c r="C772" i="5"/>
  <c r="D772" i="5"/>
  <c r="E772" i="5"/>
  <c r="F772" i="5"/>
  <c r="H772" i="5"/>
  <c r="I772" i="5"/>
  <c r="N772" i="5"/>
  <c r="R772" i="5"/>
  <c r="Q772" i="5" s="1"/>
  <c r="S772" i="5"/>
  <c r="T772" i="5"/>
  <c r="B773" i="5"/>
  <c r="C773" i="5"/>
  <c r="D773" i="5"/>
  <c r="E773" i="5"/>
  <c r="F773" i="5"/>
  <c r="H773" i="5"/>
  <c r="I773" i="5"/>
  <c r="N773" i="5"/>
  <c r="Q773" i="5"/>
  <c r="R773" i="5"/>
  <c r="S773" i="5"/>
  <c r="T773" i="5"/>
  <c r="B774" i="5"/>
  <c r="C774" i="5"/>
  <c r="D774" i="5"/>
  <c r="E774" i="5"/>
  <c r="F774" i="5"/>
  <c r="H774" i="5"/>
  <c r="I774" i="5"/>
  <c r="N774" i="5"/>
  <c r="Q774" i="5"/>
  <c r="S774" i="5" s="1"/>
  <c r="R774" i="5"/>
  <c r="T774" i="5"/>
  <c r="B775" i="5"/>
  <c r="C775" i="5"/>
  <c r="D775" i="5"/>
  <c r="E775" i="5"/>
  <c r="F775" i="5"/>
  <c r="H775" i="5"/>
  <c r="I775" i="5"/>
  <c r="N775" i="5"/>
  <c r="R775" i="5"/>
  <c r="Q775" i="5" s="1"/>
  <c r="S775" i="5" s="1"/>
  <c r="T775" i="5"/>
  <c r="B776" i="5"/>
  <c r="C776" i="5"/>
  <c r="L776" i="5" s="1"/>
  <c r="D776" i="5"/>
  <c r="E776" i="5"/>
  <c r="F776" i="5"/>
  <c r="H776" i="5"/>
  <c r="I776" i="5"/>
  <c r="N776" i="5"/>
  <c r="Q776" i="5"/>
  <c r="S776" i="5" s="1"/>
  <c r="R776" i="5"/>
  <c r="T776" i="5"/>
  <c r="B777" i="5"/>
  <c r="C777" i="5"/>
  <c r="L777" i="5" s="1"/>
  <c r="D777" i="5"/>
  <c r="E777" i="5"/>
  <c r="F777" i="5"/>
  <c r="H777" i="5"/>
  <c r="I777" i="5"/>
  <c r="N777" i="5"/>
  <c r="R777" i="5"/>
  <c r="Q777" i="5" s="1"/>
  <c r="S777" i="5" s="1"/>
  <c r="T777" i="5"/>
  <c r="B778" i="5"/>
  <c r="C778" i="5"/>
  <c r="D778" i="5"/>
  <c r="E778" i="5"/>
  <c r="F778" i="5"/>
  <c r="H778" i="5"/>
  <c r="I778" i="5"/>
  <c r="N778" i="5"/>
  <c r="R778" i="5"/>
  <c r="Q778" i="5" s="1"/>
  <c r="S778" i="5"/>
  <c r="T778" i="5"/>
  <c r="B779" i="5"/>
  <c r="C779" i="5"/>
  <c r="D779" i="5"/>
  <c r="E779" i="5"/>
  <c r="F779" i="5"/>
  <c r="H779" i="5"/>
  <c r="I779" i="5"/>
  <c r="N779" i="5"/>
  <c r="R779" i="5"/>
  <c r="Q779" i="5" s="1"/>
  <c r="S779" i="5" s="1"/>
  <c r="T779" i="5"/>
  <c r="B780" i="5"/>
  <c r="C780" i="5"/>
  <c r="D780" i="5"/>
  <c r="E780" i="5"/>
  <c r="F780" i="5"/>
  <c r="H780" i="5"/>
  <c r="I780" i="5"/>
  <c r="N780" i="5"/>
  <c r="Q780" i="5"/>
  <c r="R780" i="5"/>
  <c r="S780" i="5"/>
  <c r="T780" i="5"/>
  <c r="B781" i="5"/>
  <c r="C781" i="5"/>
  <c r="L781" i="5" s="1"/>
  <c r="D781" i="5"/>
  <c r="E781" i="5"/>
  <c r="F781" i="5"/>
  <c r="H781" i="5"/>
  <c r="I781" i="5"/>
  <c r="N781" i="5"/>
  <c r="Q781" i="5"/>
  <c r="R781" i="5"/>
  <c r="S781" i="5"/>
  <c r="T781" i="5"/>
  <c r="B782" i="5"/>
  <c r="C782" i="5"/>
  <c r="D782" i="5"/>
  <c r="E782" i="5"/>
  <c r="L782" i="5" s="1"/>
  <c r="F782" i="5"/>
  <c r="H782" i="5"/>
  <c r="I782" i="5"/>
  <c r="N782" i="5"/>
  <c r="Q782" i="5"/>
  <c r="R782" i="5"/>
  <c r="S782" i="5"/>
  <c r="T782" i="5"/>
  <c r="B783" i="5"/>
  <c r="C783" i="5"/>
  <c r="D783" i="5"/>
  <c r="E783" i="5"/>
  <c r="F783" i="5"/>
  <c r="H783" i="5"/>
  <c r="I783" i="5"/>
  <c r="N783" i="5"/>
  <c r="R783" i="5"/>
  <c r="Q783" i="5" s="1"/>
  <c r="S783" i="5" s="1"/>
  <c r="T783" i="5"/>
  <c r="B784" i="5"/>
  <c r="C784" i="5"/>
  <c r="D784" i="5"/>
  <c r="E784" i="5"/>
  <c r="F784" i="5"/>
  <c r="H784" i="5"/>
  <c r="I784" i="5"/>
  <c r="L784" i="5"/>
  <c r="N784" i="5"/>
  <c r="Q784" i="5"/>
  <c r="S784" i="5" s="1"/>
  <c r="R784" i="5"/>
  <c r="T784" i="5"/>
  <c r="B785" i="5"/>
  <c r="C785" i="5"/>
  <c r="L785" i="5" s="1"/>
  <c r="D785" i="5"/>
  <c r="E785" i="5"/>
  <c r="F785" i="5"/>
  <c r="H785" i="5"/>
  <c r="I785" i="5"/>
  <c r="N785" i="5"/>
  <c r="Q785" i="5"/>
  <c r="S785" i="5" s="1"/>
  <c r="R785" i="5"/>
  <c r="T785" i="5"/>
  <c r="B786" i="5"/>
  <c r="C786" i="5"/>
  <c r="D786" i="5"/>
  <c r="E786" i="5"/>
  <c r="F786" i="5"/>
  <c r="H786" i="5"/>
  <c r="I786" i="5"/>
  <c r="N786" i="5"/>
  <c r="R786" i="5"/>
  <c r="Q786" i="5" s="1"/>
  <c r="S786" i="5" s="1"/>
  <c r="T786" i="5"/>
  <c r="B787" i="5"/>
  <c r="C787" i="5"/>
  <c r="D787" i="5"/>
  <c r="L787" i="5" s="1"/>
  <c r="E787" i="5"/>
  <c r="F787" i="5"/>
  <c r="H787" i="5"/>
  <c r="I787" i="5"/>
  <c r="N787" i="5"/>
  <c r="R787" i="5"/>
  <c r="Q787" i="5" s="1"/>
  <c r="S787" i="5" s="1"/>
  <c r="T787" i="5"/>
  <c r="B788" i="5"/>
  <c r="C788" i="5"/>
  <c r="L788" i="5" s="1"/>
  <c r="D788" i="5"/>
  <c r="E788" i="5"/>
  <c r="F788" i="5"/>
  <c r="H788" i="5"/>
  <c r="I788" i="5"/>
  <c r="N788" i="5"/>
  <c r="R788" i="5"/>
  <c r="Q788" i="5" s="1"/>
  <c r="S788" i="5" s="1"/>
  <c r="T788" i="5"/>
  <c r="B789" i="5"/>
  <c r="C789" i="5"/>
  <c r="L789" i="5" s="1"/>
  <c r="D789" i="5"/>
  <c r="E789" i="5"/>
  <c r="F789" i="5"/>
  <c r="H789" i="5"/>
  <c r="I789" i="5"/>
  <c r="N789" i="5"/>
  <c r="Q789" i="5"/>
  <c r="R789" i="5"/>
  <c r="S789" i="5"/>
  <c r="T789" i="5"/>
  <c r="B790" i="5"/>
  <c r="C790" i="5"/>
  <c r="D790" i="5"/>
  <c r="E790" i="5"/>
  <c r="F790" i="5"/>
  <c r="H790" i="5"/>
  <c r="I790" i="5"/>
  <c r="L790" i="5"/>
  <c r="N790" i="5"/>
  <c r="Q790" i="5"/>
  <c r="S790" i="5" s="1"/>
  <c r="R790" i="5"/>
  <c r="T790" i="5"/>
  <c r="B791" i="5"/>
  <c r="C791" i="5"/>
  <c r="L791" i="5" s="1"/>
  <c r="D791" i="5"/>
  <c r="E791" i="5"/>
  <c r="F791" i="5"/>
  <c r="H791" i="5"/>
  <c r="I791" i="5"/>
  <c r="N791" i="5"/>
  <c r="R791" i="5"/>
  <c r="Q791" i="5" s="1"/>
  <c r="S791" i="5"/>
  <c r="T791" i="5"/>
  <c r="B792" i="5"/>
  <c r="C792" i="5"/>
  <c r="D792" i="5"/>
  <c r="E792" i="5"/>
  <c r="F792" i="5"/>
  <c r="H792" i="5"/>
  <c r="I792" i="5"/>
  <c r="L792" i="5" s="1"/>
  <c r="N792" i="5"/>
  <c r="Q792" i="5"/>
  <c r="S792" i="5" s="1"/>
  <c r="R792" i="5"/>
  <c r="T792" i="5"/>
  <c r="B793" i="5"/>
  <c r="C793" i="5"/>
  <c r="D793" i="5"/>
  <c r="E793" i="5"/>
  <c r="F793" i="5"/>
  <c r="H793" i="5"/>
  <c r="I793" i="5"/>
  <c r="N793" i="5"/>
  <c r="R793" i="5"/>
  <c r="Q793" i="5" s="1"/>
  <c r="S793" i="5" s="1"/>
  <c r="T793" i="5"/>
  <c r="B794" i="5"/>
  <c r="C794" i="5"/>
  <c r="D794" i="5"/>
  <c r="E794" i="5"/>
  <c r="F794" i="5"/>
  <c r="H794" i="5"/>
  <c r="I794" i="5"/>
  <c r="L794" i="5"/>
  <c r="N794" i="5"/>
  <c r="R794" i="5"/>
  <c r="Q794" i="5" s="1"/>
  <c r="S794" i="5"/>
  <c r="T794" i="5"/>
  <c r="B795" i="5"/>
  <c r="C795" i="5"/>
  <c r="D795" i="5"/>
  <c r="E795" i="5"/>
  <c r="F795" i="5"/>
  <c r="H795" i="5"/>
  <c r="I795" i="5"/>
  <c r="N795" i="5"/>
  <c r="R795" i="5"/>
  <c r="Q795" i="5" s="1"/>
  <c r="S795" i="5" s="1"/>
  <c r="T795" i="5"/>
  <c r="B796" i="5"/>
  <c r="C796" i="5"/>
  <c r="D796" i="5"/>
  <c r="E796" i="5"/>
  <c r="F796" i="5"/>
  <c r="H796" i="5"/>
  <c r="I796" i="5"/>
  <c r="N796" i="5"/>
  <c r="Q796" i="5"/>
  <c r="S796" i="5" s="1"/>
  <c r="R796" i="5"/>
  <c r="T796" i="5"/>
  <c r="B797" i="5"/>
  <c r="C797" i="5"/>
  <c r="D797" i="5"/>
  <c r="E797" i="5"/>
  <c r="F797" i="5"/>
  <c r="H797" i="5"/>
  <c r="I797" i="5"/>
  <c r="N797" i="5"/>
  <c r="Q797" i="5"/>
  <c r="R797" i="5"/>
  <c r="S797" i="5"/>
  <c r="T797" i="5"/>
  <c r="B798" i="5"/>
  <c r="C798" i="5"/>
  <c r="L798" i="5" s="1"/>
  <c r="D798" i="5"/>
  <c r="E798" i="5"/>
  <c r="F798" i="5"/>
  <c r="H798" i="5"/>
  <c r="I798" i="5"/>
  <c r="N798" i="5"/>
  <c r="Q798" i="5"/>
  <c r="R798" i="5"/>
  <c r="S798" i="5"/>
  <c r="T798" i="5"/>
  <c r="B799" i="5"/>
  <c r="C799" i="5"/>
  <c r="D799" i="5"/>
  <c r="E799" i="5"/>
  <c r="F799" i="5"/>
  <c r="H799" i="5"/>
  <c r="I799" i="5"/>
  <c r="N799" i="5"/>
  <c r="R799" i="5"/>
  <c r="Q799" i="5" s="1"/>
  <c r="S799" i="5"/>
  <c r="T799" i="5"/>
  <c r="B800" i="5"/>
  <c r="C800" i="5"/>
  <c r="L800" i="5" s="1"/>
  <c r="D800" i="5"/>
  <c r="E800" i="5"/>
  <c r="F800" i="5"/>
  <c r="H800" i="5"/>
  <c r="I800" i="5"/>
  <c r="N800" i="5"/>
  <c r="Q800" i="5"/>
  <c r="S800" i="5" s="1"/>
  <c r="R800" i="5"/>
  <c r="T800" i="5"/>
  <c r="B801" i="5"/>
  <c r="C801" i="5"/>
  <c r="D801" i="5"/>
  <c r="E801" i="5"/>
  <c r="F801" i="5"/>
  <c r="H801" i="5"/>
  <c r="I801" i="5"/>
  <c r="N801" i="5"/>
  <c r="Q801" i="5"/>
  <c r="S801" i="5" s="1"/>
  <c r="R801" i="5"/>
  <c r="T801" i="5"/>
  <c r="B802" i="5"/>
  <c r="C802" i="5"/>
  <c r="D802" i="5"/>
  <c r="E802" i="5"/>
  <c r="F802" i="5"/>
  <c r="L802" i="5" s="1"/>
  <c r="H802" i="5"/>
  <c r="I802" i="5"/>
  <c r="N802" i="5"/>
  <c r="R802" i="5"/>
  <c r="Q802" i="5" s="1"/>
  <c r="S802" i="5" s="1"/>
  <c r="T802" i="5"/>
  <c r="B803" i="5"/>
  <c r="C803" i="5"/>
  <c r="D803" i="5"/>
  <c r="E803" i="5"/>
  <c r="F803" i="5"/>
  <c r="H803" i="5"/>
  <c r="I803" i="5"/>
  <c r="L803" i="5" s="1"/>
  <c r="N803" i="5"/>
  <c r="R803" i="5"/>
  <c r="Q803" i="5" s="1"/>
  <c r="S803" i="5" s="1"/>
  <c r="T803" i="5"/>
  <c r="B804" i="5"/>
  <c r="C804" i="5"/>
  <c r="L804" i="5" s="1"/>
  <c r="D804" i="5"/>
  <c r="E804" i="5"/>
  <c r="F804" i="5"/>
  <c r="H804" i="5"/>
  <c r="I804" i="5"/>
  <c r="N804" i="5"/>
  <c r="R804" i="5"/>
  <c r="Q804" i="5" s="1"/>
  <c r="S804" i="5" s="1"/>
  <c r="T804" i="5"/>
  <c r="B805" i="5"/>
  <c r="C805" i="5"/>
  <c r="D805" i="5"/>
  <c r="E805" i="5"/>
  <c r="F805" i="5"/>
  <c r="H805" i="5"/>
  <c r="I805" i="5"/>
  <c r="N805" i="5"/>
  <c r="Q805" i="5"/>
  <c r="R805" i="5"/>
  <c r="S805" i="5"/>
  <c r="T805" i="5"/>
  <c r="B806" i="5"/>
  <c r="C806" i="5"/>
  <c r="L806" i="5" s="1"/>
  <c r="D806" i="5"/>
  <c r="E806" i="5"/>
  <c r="F806" i="5"/>
  <c r="H806" i="5"/>
  <c r="I806" i="5"/>
  <c r="N806" i="5"/>
  <c r="Q806" i="5"/>
  <c r="R806" i="5"/>
  <c r="S806" i="5"/>
  <c r="T806" i="5"/>
  <c r="B807" i="5"/>
  <c r="C807" i="5"/>
  <c r="D807" i="5"/>
  <c r="E807" i="5"/>
  <c r="F807" i="5"/>
  <c r="H807" i="5"/>
  <c r="I807" i="5"/>
  <c r="N807" i="5"/>
  <c r="R807" i="5"/>
  <c r="Q807" i="5" s="1"/>
  <c r="S807" i="5" s="1"/>
  <c r="T807" i="5"/>
  <c r="B808" i="5"/>
  <c r="C808" i="5"/>
  <c r="L808" i="5" s="1"/>
  <c r="D808" i="5"/>
  <c r="E808" i="5"/>
  <c r="F808" i="5"/>
  <c r="H808" i="5"/>
  <c r="I808" i="5"/>
  <c r="N808" i="5"/>
  <c r="Q808" i="5"/>
  <c r="S808" i="5" s="1"/>
  <c r="R808" i="5"/>
  <c r="T808" i="5"/>
  <c r="B809" i="5"/>
  <c r="C809" i="5"/>
  <c r="L809" i="5" s="1"/>
  <c r="D809" i="5"/>
  <c r="E809" i="5"/>
  <c r="F809" i="5"/>
  <c r="H809" i="5"/>
  <c r="I809" i="5"/>
  <c r="N809" i="5"/>
  <c r="R809" i="5"/>
  <c r="Q809" i="5" s="1"/>
  <c r="S809" i="5" s="1"/>
  <c r="T809" i="5"/>
  <c r="B810" i="5"/>
  <c r="C810" i="5"/>
  <c r="D810" i="5"/>
  <c r="E810" i="5"/>
  <c r="L810" i="5" s="1"/>
  <c r="F810" i="5"/>
  <c r="H810" i="5"/>
  <c r="I810" i="5"/>
  <c r="N810" i="5"/>
  <c r="R810" i="5"/>
  <c r="Q810" i="5" s="1"/>
  <c r="S810" i="5"/>
  <c r="T810" i="5"/>
  <c r="B811" i="5"/>
  <c r="C811" i="5"/>
  <c r="D811" i="5"/>
  <c r="L811" i="5" s="1"/>
  <c r="E811" i="5"/>
  <c r="F811" i="5"/>
  <c r="H811" i="5"/>
  <c r="I811" i="5"/>
  <c r="N811" i="5"/>
  <c r="R811" i="5"/>
  <c r="Q811" i="5" s="1"/>
  <c r="S811" i="5" s="1"/>
  <c r="T811" i="5"/>
  <c r="B812" i="5"/>
  <c r="C812" i="5"/>
  <c r="D812" i="5"/>
  <c r="E812" i="5"/>
  <c r="F812" i="5"/>
  <c r="H812" i="5"/>
  <c r="I812" i="5"/>
  <c r="N812" i="5"/>
  <c r="Q812" i="5"/>
  <c r="R812" i="5"/>
  <c r="S812" i="5"/>
  <c r="T812" i="5"/>
  <c r="B813" i="5"/>
  <c r="C813" i="5"/>
  <c r="L813" i="5" s="1"/>
  <c r="D813" i="5"/>
  <c r="E813" i="5"/>
  <c r="F813" i="5"/>
  <c r="H813" i="5"/>
  <c r="I813" i="5"/>
  <c r="N813" i="5"/>
  <c r="Q813" i="5"/>
  <c r="R813" i="5"/>
  <c r="S813" i="5"/>
  <c r="T813" i="5"/>
  <c r="B814" i="5"/>
  <c r="C814" i="5"/>
  <c r="D814" i="5"/>
  <c r="E814" i="5"/>
  <c r="F814" i="5"/>
  <c r="H814" i="5"/>
  <c r="I814" i="5"/>
  <c r="L814" i="5"/>
  <c r="N814" i="5"/>
  <c r="Q814" i="5"/>
  <c r="R814" i="5"/>
  <c r="S814" i="5"/>
  <c r="T814" i="5"/>
  <c r="B815" i="5"/>
  <c r="C815" i="5"/>
  <c r="D815" i="5"/>
  <c r="E815" i="5"/>
  <c r="F815" i="5"/>
  <c r="H815" i="5"/>
  <c r="I815" i="5"/>
  <c r="N815" i="5"/>
  <c r="R815" i="5"/>
  <c r="Q815" i="5" s="1"/>
  <c r="S815" i="5" s="1"/>
  <c r="T815" i="5"/>
  <c r="B816" i="5"/>
  <c r="C816" i="5"/>
  <c r="D816" i="5"/>
  <c r="E816" i="5"/>
  <c r="F816" i="5"/>
  <c r="H816" i="5"/>
  <c r="L816" i="5" s="1"/>
  <c r="I816" i="5"/>
  <c r="N816" i="5"/>
  <c r="Q816" i="5"/>
  <c r="S816" i="5" s="1"/>
  <c r="R816" i="5"/>
  <c r="T816" i="5"/>
  <c r="B817" i="5"/>
  <c r="C817" i="5"/>
  <c r="L817" i="5" s="1"/>
  <c r="D817" i="5"/>
  <c r="E817" i="5"/>
  <c r="F817" i="5"/>
  <c r="H817" i="5"/>
  <c r="I817" i="5"/>
  <c r="N817" i="5"/>
  <c r="Q817" i="5"/>
  <c r="S817" i="5" s="1"/>
  <c r="R817" i="5"/>
  <c r="T817" i="5"/>
  <c r="B818" i="5"/>
  <c r="C818" i="5"/>
  <c r="D818" i="5"/>
  <c r="E818" i="5"/>
  <c r="F818" i="5"/>
  <c r="H818" i="5"/>
  <c r="I818" i="5"/>
  <c r="N818" i="5"/>
  <c r="R818" i="5"/>
  <c r="Q818" i="5" s="1"/>
  <c r="S818" i="5" s="1"/>
  <c r="T818" i="5"/>
  <c r="B819" i="5"/>
  <c r="C819" i="5"/>
  <c r="D819" i="5"/>
  <c r="L819" i="5" s="1"/>
  <c r="E819" i="5"/>
  <c r="F819" i="5"/>
  <c r="H819" i="5"/>
  <c r="I819" i="5"/>
  <c r="N819" i="5"/>
  <c r="R819" i="5"/>
  <c r="Q819" i="5" s="1"/>
  <c r="S819" i="5" s="1"/>
  <c r="T819" i="5"/>
  <c r="B820" i="5"/>
  <c r="C820" i="5"/>
  <c r="L820" i="5" s="1"/>
  <c r="D820" i="5"/>
  <c r="E820" i="5"/>
  <c r="F820" i="5"/>
  <c r="H820" i="5"/>
  <c r="I820" i="5"/>
  <c r="N820" i="5"/>
  <c r="R820" i="5"/>
  <c r="Q820" i="5" s="1"/>
  <c r="S820" i="5" s="1"/>
  <c r="T820" i="5"/>
  <c r="B821" i="5"/>
  <c r="C821" i="5"/>
  <c r="D821" i="5"/>
  <c r="E821" i="5"/>
  <c r="F821" i="5"/>
  <c r="H821" i="5"/>
  <c r="I821" i="5"/>
  <c r="N821" i="5"/>
  <c r="Q821" i="5"/>
  <c r="R821" i="5"/>
  <c r="S821" i="5"/>
  <c r="T821" i="5"/>
  <c r="B822" i="5"/>
  <c r="C822" i="5"/>
  <c r="L822" i="5" s="1"/>
  <c r="D822" i="5"/>
  <c r="E822" i="5"/>
  <c r="F822" i="5"/>
  <c r="H822" i="5"/>
  <c r="I822" i="5"/>
  <c r="N822" i="5"/>
  <c r="Q822" i="5"/>
  <c r="S822" i="5" s="1"/>
  <c r="R822" i="5"/>
  <c r="T822" i="5"/>
  <c r="B823" i="5"/>
  <c r="C823" i="5"/>
  <c r="D823" i="5"/>
  <c r="E823" i="5"/>
  <c r="F823" i="5"/>
  <c r="H823" i="5"/>
  <c r="I823" i="5"/>
  <c r="N823" i="5"/>
  <c r="R823" i="5"/>
  <c r="Q823" i="5" s="1"/>
  <c r="S823" i="5"/>
  <c r="T823" i="5"/>
  <c r="B824" i="5"/>
  <c r="C824" i="5"/>
  <c r="L824" i="5" s="1"/>
  <c r="D824" i="5"/>
  <c r="E824" i="5"/>
  <c r="F824" i="5"/>
  <c r="H824" i="5"/>
  <c r="I824" i="5"/>
  <c r="N824" i="5"/>
  <c r="Q824" i="5"/>
  <c r="S824" i="5" s="1"/>
  <c r="R824" i="5"/>
  <c r="T824" i="5"/>
  <c r="B825" i="5"/>
  <c r="C825" i="5"/>
  <c r="D825" i="5"/>
  <c r="E825" i="5"/>
  <c r="F825" i="5"/>
  <c r="H825" i="5"/>
  <c r="I825" i="5"/>
  <c r="N825" i="5"/>
  <c r="R825" i="5"/>
  <c r="Q825" i="5" s="1"/>
  <c r="S825" i="5" s="1"/>
  <c r="T825" i="5"/>
  <c r="B826" i="5"/>
  <c r="C826" i="5"/>
  <c r="D826" i="5"/>
  <c r="E826" i="5"/>
  <c r="F826" i="5"/>
  <c r="H826" i="5"/>
  <c r="I826" i="5"/>
  <c r="L826" i="5"/>
  <c r="N826" i="5"/>
  <c r="R826" i="5"/>
  <c r="Q826" i="5" s="1"/>
  <c r="S826" i="5"/>
  <c r="T826" i="5"/>
  <c r="B827" i="5"/>
  <c r="C827" i="5"/>
  <c r="D827" i="5"/>
  <c r="L827" i="5" s="1"/>
  <c r="E827" i="5"/>
  <c r="F827" i="5"/>
  <c r="H827" i="5"/>
  <c r="I827" i="5"/>
  <c r="N827" i="5"/>
  <c r="R827" i="5"/>
  <c r="Q827" i="5" s="1"/>
  <c r="S827" i="5" s="1"/>
  <c r="T827" i="5"/>
  <c r="B828" i="5"/>
  <c r="C828" i="5"/>
  <c r="L828" i="5" s="1"/>
  <c r="D828" i="5"/>
  <c r="E828" i="5"/>
  <c r="F828" i="5"/>
  <c r="H828" i="5"/>
  <c r="I828" i="5"/>
  <c r="N828" i="5"/>
  <c r="Q828" i="5"/>
  <c r="S828" i="5" s="1"/>
  <c r="R828" i="5"/>
  <c r="T828" i="5"/>
  <c r="B829" i="5"/>
  <c r="C829" i="5"/>
  <c r="D829" i="5"/>
  <c r="E829" i="5"/>
  <c r="F829" i="5"/>
  <c r="H829" i="5"/>
  <c r="I829" i="5"/>
  <c r="N829" i="5"/>
  <c r="Q829" i="5"/>
  <c r="R829" i="5"/>
  <c r="S829" i="5"/>
  <c r="T829" i="5"/>
  <c r="B830" i="5"/>
  <c r="C830" i="5"/>
  <c r="D830" i="5"/>
  <c r="E830" i="5"/>
  <c r="F830" i="5"/>
  <c r="H830" i="5"/>
  <c r="I830" i="5"/>
  <c r="L830" i="5"/>
  <c r="N830" i="5"/>
  <c r="Q830" i="5"/>
  <c r="R830" i="5"/>
  <c r="S830" i="5"/>
  <c r="T830" i="5"/>
  <c r="B831" i="5"/>
  <c r="C831" i="5"/>
  <c r="D831" i="5"/>
  <c r="E831" i="5"/>
  <c r="F831" i="5"/>
  <c r="H831" i="5"/>
  <c r="I831" i="5"/>
  <c r="N831" i="5"/>
  <c r="R831" i="5"/>
  <c r="Q831" i="5" s="1"/>
  <c r="S831" i="5"/>
  <c r="T831" i="5"/>
  <c r="B832" i="5"/>
  <c r="C832" i="5"/>
  <c r="D832" i="5"/>
  <c r="E832" i="5"/>
  <c r="F832" i="5"/>
  <c r="H832" i="5"/>
  <c r="I832" i="5"/>
  <c r="L832" i="5"/>
  <c r="N832" i="5"/>
  <c r="Q832" i="5"/>
  <c r="S832" i="5" s="1"/>
  <c r="R832" i="5"/>
  <c r="T832" i="5"/>
  <c r="B833" i="5"/>
  <c r="C833" i="5"/>
  <c r="D833" i="5"/>
  <c r="E833" i="5"/>
  <c r="F833" i="5"/>
  <c r="H833" i="5"/>
  <c r="I833" i="5"/>
  <c r="N833" i="5"/>
  <c r="Q833" i="5"/>
  <c r="S833" i="5" s="1"/>
  <c r="R833" i="5"/>
  <c r="T833" i="5"/>
  <c r="B834" i="5"/>
  <c r="C834" i="5"/>
  <c r="D834" i="5"/>
  <c r="E834" i="5"/>
  <c r="F834" i="5"/>
  <c r="L834" i="5" s="1"/>
  <c r="H834" i="5"/>
  <c r="I834" i="5"/>
  <c r="N834" i="5"/>
  <c r="R834" i="5"/>
  <c r="Q834" i="5" s="1"/>
  <c r="S834" i="5" s="1"/>
  <c r="T834" i="5"/>
  <c r="B835" i="5"/>
  <c r="C835" i="5"/>
  <c r="D835" i="5"/>
  <c r="E835" i="5"/>
  <c r="F835" i="5"/>
  <c r="H835" i="5"/>
  <c r="I835" i="5"/>
  <c r="L835" i="5" s="1"/>
  <c r="N835" i="5"/>
  <c r="R835" i="5"/>
  <c r="Q835" i="5" s="1"/>
  <c r="S835" i="5" s="1"/>
  <c r="T835" i="5"/>
  <c r="B836" i="5"/>
  <c r="C836" i="5"/>
  <c r="D836" i="5"/>
  <c r="E836" i="5"/>
  <c r="F836" i="5"/>
  <c r="H836" i="5"/>
  <c r="I836" i="5"/>
  <c r="N836" i="5"/>
  <c r="R836" i="5"/>
  <c r="Q836" i="5" s="1"/>
  <c r="S836" i="5"/>
  <c r="T836" i="5"/>
  <c r="B837" i="5"/>
  <c r="C837" i="5"/>
  <c r="D837" i="5"/>
  <c r="E837" i="5"/>
  <c r="F837" i="5"/>
  <c r="H837" i="5"/>
  <c r="I837" i="5"/>
  <c r="N837" i="5"/>
  <c r="Q837" i="5"/>
  <c r="R837" i="5"/>
  <c r="S837" i="5"/>
  <c r="T837" i="5"/>
  <c r="B838" i="5"/>
  <c r="C838" i="5"/>
  <c r="D838" i="5"/>
  <c r="E838" i="5"/>
  <c r="F838" i="5"/>
  <c r="H838" i="5"/>
  <c r="I838" i="5"/>
  <c r="N838" i="5"/>
  <c r="Q838" i="5"/>
  <c r="S838" i="5" s="1"/>
  <c r="R838" i="5"/>
  <c r="T838" i="5"/>
  <c r="B839" i="5"/>
  <c r="C839" i="5"/>
  <c r="D839" i="5"/>
  <c r="E839" i="5"/>
  <c r="F839" i="5"/>
  <c r="H839" i="5"/>
  <c r="I839" i="5"/>
  <c r="N839" i="5"/>
  <c r="R839" i="5"/>
  <c r="Q839" i="5" s="1"/>
  <c r="S839" i="5" s="1"/>
  <c r="T839" i="5"/>
  <c r="B840" i="5"/>
  <c r="C840" i="5"/>
  <c r="D840" i="5"/>
  <c r="E840" i="5"/>
  <c r="F840" i="5"/>
  <c r="H840" i="5"/>
  <c r="I840" i="5"/>
  <c r="N840" i="5"/>
  <c r="Q840" i="5"/>
  <c r="S840" i="5" s="1"/>
  <c r="R840" i="5"/>
  <c r="T840" i="5"/>
  <c r="B841" i="5"/>
  <c r="C841" i="5"/>
  <c r="L841" i="5" s="1"/>
  <c r="D841" i="5"/>
  <c r="E841" i="5"/>
  <c r="F841" i="5"/>
  <c r="H841" i="5"/>
  <c r="I841" i="5"/>
  <c r="N841" i="5"/>
  <c r="R841" i="5"/>
  <c r="Q841" i="5" s="1"/>
  <c r="S841" i="5" s="1"/>
  <c r="T841" i="5"/>
  <c r="B842" i="5"/>
  <c r="C842" i="5"/>
  <c r="D842" i="5"/>
  <c r="E842" i="5"/>
  <c r="L842" i="5" s="1"/>
  <c r="F842" i="5"/>
  <c r="H842" i="5"/>
  <c r="I842" i="5"/>
  <c r="N842" i="5"/>
  <c r="R842" i="5"/>
  <c r="Q842" i="5" s="1"/>
  <c r="S842" i="5"/>
  <c r="T842" i="5"/>
  <c r="B843" i="5"/>
  <c r="C843" i="5"/>
  <c r="D843" i="5"/>
  <c r="L843" i="5" s="1"/>
  <c r="E843" i="5"/>
  <c r="F843" i="5"/>
  <c r="H843" i="5"/>
  <c r="I843" i="5"/>
  <c r="N843" i="5"/>
  <c r="R843" i="5"/>
  <c r="Q843" i="5" s="1"/>
  <c r="S843" i="5" s="1"/>
  <c r="T843" i="5"/>
  <c r="B844" i="5"/>
  <c r="C844" i="5"/>
  <c r="D844" i="5"/>
  <c r="E844" i="5"/>
  <c r="F844" i="5"/>
  <c r="H844" i="5"/>
  <c r="I844" i="5"/>
  <c r="N844" i="5"/>
  <c r="Q844" i="5"/>
  <c r="R844" i="5"/>
  <c r="S844" i="5"/>
  <c r="T844" i="5"/>
  <c r="B845" i="5"/>
  <c r="C845" i="5"/>
  <c r="L845" i="5" s="1"/>
  <c r="D845" i="5"/>
  <c r="E845" i="5"/>
  <c r="F845" i="5"/>
  <c r="H845" i="5"/>
  <c r="I845" i="5"/>
  <c r="N845" i="5"/>
  <c r="Q845" i="5"/>
  <c r="R845" i="5"/>
  <c r="S845" i="5"/>
  <c r="T845" i="5"/>
  <c r="B846" i="5"/>
  <c r="C846" i="5"/>
  <c r="D846" i="5"/>
  <c r="E846" i="5"/>
  <c r="F846" i="5"/>
  <c r="H846" i="5"/>
  <c r="I846" i="5"/>
  <c r="L846" i="5"/>
  <c r="N846" i="5"/>
  <c r="Q846" i="5"/>
  <c r="R846" i="5"/>
  <c r="S846" i="5"/>
  <c r="T846" i="5"/>
  <c r="B847" i="5"/>
  <c r="C847" i="5"/>
  <c r="D847" i="5"/>
  <c r="E847" i="5"/>
  <c r="F847" i="5"/>
  <c r="H847" i="5"/>
  <c r="I847" i="5"/>
  <c r="N847" i="5"/>
  <c r="R847" i="5"/>
  <c r="Q847" i="5" s="1"/>
  <c r="S847" i="5" s="1"/>
  <c r="T847" i="5"/>
  <c r="B848" i="5"/>
  <c r="C848" i="5"/>
  <c r="D848" i="5"/>
  <c r="E848" i="5"/>
  <c r="F848" i="5"/>
  <c r="H848" i="5"/>
  <c r="I848" i="5"/>
  <c r="L848" i="5"/>
  <c r="N848" i="5"/>
  <c r="Q848" i="5"/>
  <c r="S848" i="5" s="1"/>
  <c r="R848" i="5"/>
  <c r="T848" i="5"/>
  <c r="B849" i="5"/>
  <c r="C849" i="5"/>
  <c r="L849" i="5" s="1"/>
  <c r="D849" i="5"/>
  <c r="E849" i="5"/>
  <c r="F849" i="5"/>
  <c r="H849" i="5"/>
  <c r="I849" i="5"/>
  <c r="N849" i="5"/>
  <c r="Q849" i="5"/>
  <c r="S849" i="5" s="1"/>
  <c r="R849" i="5"/>
  <c r="T849" i="5"/>
  <c r="B850" i="5"/>
  <c r="C850" i="5"/>
  <c r="D850" i="5"/>
  <c r="E850" i="5"/>
  <c r="L850" i="5" s="1"/>
  <c r="F850" i="5"/>
  <c r="H850" i="5"/>
  <c r="I850" i="5"/>
  <c r="N850" i="5"/>
  <c r="R850" i="5"/>
  <c r="Q850" i="5" s="1"/>
  <c r="S850" i="5" s="1"/>
  <c r="T850" i="5"/>
  <c r="B851" i="5"/>
  <c r="C851" i="5"/>
  <c r="D851" i="5"/>
  <c r="L851" i="5" s="1"/>
  <c r="E851" i="5"/>
  <c r="F851" i="5"/>
  <c r="H851" i="5"/>
  <c r="I851" i="5"/>
  <c r="N851" i="5"/>
  <c r="R851" i="5"/>
  <c r="Q851" i="5" s="1"/>
  <c r="S851" i="5" s="1"/>
  <c r="T851" i="5"/>
  <c r="B852" i="5"/>
  <c r="C852" i="5"/>
  <c r="D852" i="5"/>
  <c r="E852" i="5"/>
  <c r="F852" i="5"/>
  <c r="H852" i="5"/>
  <c r="I852" i="5"/>
  <c r="N852" i="5"/>
  <c r="R852" i="5"/>
  <c r="Q852" i="5" s="1"/>
  <c r="S852" i="5" s="1"/>
  <c r="T852" i="5"/>
  <c r="B853" i="5"/>
  <c r="C853" i="5"/>
  <c r="L853" i="5" s="1"/>
  <c r="D853" i="5"/>
  <c r="E853" i="5"/>
  <c r="F853" i="5"/>
  <c r="H853" i="5"/>
  <c r="I853" i="5"/>
  <c r="N853" i="5"/>
  <c r="Q853" i="5"/>
  <c r="R853" i="5"/>
  <c r="S853" i="5"/>
  <c r="T853" i="5"/>
  <c r="B854" i="5"/>
  <c r="C854" i="5"/>
  <c r="L854" i="5" s="1"/>
  <c r="D854" i="5"/>
  <c r="E854" i="5"/>
  <c r="F854" i="5"/>
  <c r="H854" i="5"/>
  <c r="I854" i="5"/>
  <c r="N854" i="5"/>
  <c r="Q854" i="5"/>
  <c r="S854" i="5" s="1"/>
  <c r="R854" i="5"/>
  <c r="T854" i="5"/>
  <c r="B855" i="5"/>
  <c r="C855" i="5"/>
  <c r="L855" i="5" s="1"/>
  <c r="D855" i="5"/>
  <c r="E855" i="5"/>
  <c r="F855" i="5"/>
  <c r="H855" i="5"/>
  <c r="I855" i="5"/>
  <c r="N855" i="5"/>
  <c r="R855" i="5"/>
  <c r="Q855" i="5" s="1"/>
  <c r="S855" i="5" s="1"/>
  <c r="T855" i="5"/>
  <c r="B856" i="5"/>
  <c r="C856" i="5"/>
  <c r="L856" i="5" s="1"/>
  <c r="D856" i="5"/>
  <c r="E856" i="5"/>
  <c r="F856" i="5"/>
  <c r="H856" i="5"/>
  <c r="I856" i="5"/>
  <c r="N856" i="5"/>
  <c r="Q856" i="5"/>
  <c r="S856" i="5" s="1"/>
  <c r="R856" i="5"/>
  <c r="T856" i="5"/>
  <c r="B857" i="5"/>
  <c r="C857" i="5"/>
  <c r="D857" i="5"/>
  <c r="E857" i="5"/>
  <c r="F857" i="5"/>
  <c r="H857" i="5"/>
  <c r="I857" i="5"/>
  <c r="N857" i="5"/>
  <c r="Q857" i="5"/>
  <c r="S857" i="5" s="1"/>
  <c r="R857" i="5"/>
  <c r="T857" i="5"/>
  <c r="B858" i="5"/>
  <c r="C858" i="5"/>
  <c r="D858" i="5"/>
  <c r="E858" i="5"/>
  <c r="F858" i="5"/>
  <c r="H858" i="5"/>
  <c r="I858" i="5"/>
  <c r="N858" i="5"/>
  <c r="R858" i="5"/>
  <c r="Q858" i="5" s="1"/>
  <c r="S858" i="5" s="1"/>
  <c r="T858" i="5"/>
  <c r="B859" i="5"/>
  <c r="C859" i="5"/>
  <c r="D859" i="5"/>
  <c r="L859" i="5" s="1"/>
  <c r="E859" i="5"/>
  <c r="F859" i="5"/>
  <c r="H859" i="5"/>
  <c r="I859" i="5"/>
  <c r="N859" i="5"/>
  <c r="R859" i="5"/>
  <c r="Q859" i="5" s="1"/>
  <c r="S859" i="5"/>
  <c r="T859" i="5"/>
  <c r="B860" i="5"/>
  <c r="C860" i="5"/>
  <c r="D860" i="5"/>
  <c r="E860" i="5"/>
  <c r="F860" i="5"/>
  <c r="H860" i="5"/>
  <c r="I860" i="5"/>
  <c r="N860" i="5"/>
  <c r="Q860" i="5"/>
  <c r="S860" i="5" s="1"/>
  <c r="R860" i="5"/>
  <c r="T860" i="5"/>
  <c r="B861" i="5"/>
  <c r="C861" i="5"/>
  <c r="L861" i="5" s="1"/>
  <c r="D861" i="5"/>
  <c r="E861" i="5"/>
  <c r="F861" i="5"/>
  <c r="H861" i="5"/>
  <c r="I861" i="5"/>
  <c r="N861" i="5"/>
  <c r="Q861" i="5"/>
  <c r="S861" i="5" s="1"/>
  <c r="R861" i="5"/>
  <c r="T861" i="5"/>
  <c r="B862" i="5"/>
  <c r="C862" i="5"/>
  <c r="L862" i="5" s="1"/>
  <c r="D862" i="5"/>
  <c r="E862" i="5"/>
  <c r="F862" i="5"/>
  <c r="H862" i="5"/>
  <c r="I862" i="5"/>
  <c r="N862" i="5"/>
  <c r="Q862" i="5"/>
  <c r="R862" i="5"/>
  <c r="S862" i="5"/>
  <c r="T862" i="5"/>
  <c r="B863" i="5"/>
  <c r="C863" i="5"/>
  <c r="D863" i="5"/>
  <c r="E863" i="5"/>
  <c r="L863" i="5" s="1"/>
  <c r="F863" i="5"/>
  <c r="H863" i="5"/>
  <c r="I863" i="5"/>
  <c r="N863" i="5"/>
  <c r="Q863" i="5"/>
  <c r="R863" i="5"/>
  <c r="S863" i="5"/>
  <c r="T863" i="5"/>
  <c r="B864" i="5"/>
  <c r="C864" i="5"/>
  <c r="D864" i="5"/>
  <c r="E864" i="5"/>
  <c r="F864" i="5"/>
  <c r="H864" i="5"/>
  <c r="I864" i="5"/>
  <c r="N864" i="5"/>
  <c r="R864" i="5"/>
  <c r="Q864" i="5" s="1"/>
  <c r="S864" i="5" s="1"/>
  <c r="T864" i="5"/>
  <c r="B865" i="5"/>
  <c r="C865" i="5"/>
  <c r="D865" i="5"/>
  <c r="L865" i="5" s="1"/>
  <c r="E865" i="5"/>
  <c r="F865" i="5"/>
  <c r="H865" i="5"/>
  <c r="I865" i="5"/>
  <c r="N865" i="5"/>
  <c r="R865" i="5"/>
  <c r="Q865" i="5" s="1"/>
  <c r="S865" i="5" s="1"/>
  <c r="T865" i="5"/>
  <c r="B866" i="5"/>
  <c r="C866" i="5"/>
  <c r="D866" i="5"/>
  <c r="E866" i="5"/>
  <c r="F866" i="5"/>
  <c r="H866" i="5"/>
  <c r="I866" i="5"/>
  <c r="N866" i="5"/>
  <c r="R866" i="5"/>
  <c r="Q866" i="5" s="1"/>
  <c r="S866" i="5"/>
  <c r="T866" i="5"/>
  <c r="B867" i="5"/>
  <c r="C867" i="5"/>
  <c r="D867" i="5"/>
  <c r="E867" i="5"/>
  <c r="F867" i="5"/>
  <c r="H867" i="5"/>
  <c r="I867" i="5"/>
  <c r="L867" i="5"/>
  <c r="N867" i="5"/>
  <c r="R867" i="5"/>
  <c r="Q867" i="5" s="1"/>
  <c r="S867" i="5"/>
  <c r="T867" i="5"/>
  <c r="B868" i="5"/>
  <c r="C868" i="5"/>
  <c r="D868" i="5"/>
  <c r="E868" i="5"/>
  <c r="F868" i="5"/>
  <c r="H868" i="5"/>
  <c r="I868" i="5"/>
  <c r="N868" i="5"/>
  <c r="R868" i="5"/>
  <c r="Q868" i="5" s="1"/>
  <c r="S868" i="5" s="1"/>
  <c r="T868" i="5"/>
  <c r="B869" i="5"/>
  <c r="C869" i="5"/>
  <c r="D869" i="5"/>
  <c r="E869" i="5"/>
  <c r="F869" i="5"/>
  <c r="H869" i="5"/>
  <c r="I869" i="5"/>
  <c r="N869" i="5"/>
  <c r="Q869" i="5"/>
  <c r="S869" i="5" s="1"/>
  <c r="R869" i="5"/>
  <c r="T869" i="5"/>
  <c r="B870" i="5"/>
  <c r="C870" i="5"/>
  <c r="L870" i="5" s="1"/>
  <c r="D870" i="5"/>
  <c r="E870" i="5"/>
  <c r="F870" i="5"/>
  <c r="H870" i="5"/>
  <c r="I870" i="5"/>
  <c r="N870" i="5"/>
  <c r="Q870" i="5"/>
  <c r="R870" i="5"/>
  <c r="S870" i="5"/>
  <c r="T870" i="5"/>
  <c r="B871" i="5"/>
  <c r="C871" i="5"/>
  <c r="L871" i="5" s="1"/>
  <c r="D871" i="5"/>
  <c r="E871" i="5"/>
  <c r="F871" i="5"/>
  <c r="H871" i="5"/>
  <c r="I871" i="5"/>
  <c r="N871" i="5"/>
  <c r="Q871" i="5"/>
  <c r="S871" i="5" s="1"/>
  <c r="R871" i="5"/>
  <c r="T871" i="5"/>
  <c r="B872" i="5"/>
  <c r="C872" i="5"/>
  <c r="L872" i="5" s="1"/>
  <c r="D872" i="5"/>
  <c r="E872" i="5"/>
  <c r="F872" i="5"/>
  <c r="H872" i="5"/>
  <c r="I872" i="5"/>
  <c r="N872" i="5"/>
  <c r="R872" i="5"/>
  <c r="Q872" i="5" s="1"/>
  <c r="S872" i="5" s="1"/>
  <c r="T872" i="5"/>
  <c r="B873" i="5"/>
  <c r="C873" i="5"/>
  <c r="D873" i="5"/>
  <c r="E873" i="5"/>
  <c r="F873" i="5"/>
  <c r="H873" i="5"/>
  <c r="I873" i="5"/>
  <c r="N873" i="5"/>
  <c r="Q873" i="5"/>
  <c r="S873" i="5" s="1"/>
  <c r="R873" i="5"/>
  <c r="T873" i="5"/>
  <c r="B874" i="5"/>
  <c r="C874" i="5"/>
  <c r="D874" i="5"/>
  <c r="L874" i="5" s="1"/>
  <c r="E874" i="5"/>
  <c r="F874" i="5"/>
  <c r="H874" i="5"/>
  <c r="I874" i="5"/>
  <c r="N874" i="5"/>
  <c r="R874" i="5"/>
  <c r="Q874" i="5" s="1"/>
  <c r="S874" i="5"/>
  <c r="T874" i="5"/>
  <c r="B875" i="5"/>
  <c r="C875" i="5"/>
  <c r="D875" i="5"/>
  <c r="E875" i="5"/>
  <c r="F875" i="5"/>
  <c r="H875" i="5"/>
  <c r="I875" i="5"/>
  <c r="N875" i="5"/>
  <c r="R875" i="5"/>
  <c r="Q875" i="5" s="1"/>
  <c r="S875" i="5" s="1"/>
  <c r="T875" i="5"/>
  <c r="B876" i="5"/>
  <c r="C876" i="5"/>
  <c r="L876" i="5" s="1"/>
  <c r="D876" i="5"/>
  <c r="E876" i="5"/>
  <c r="F876" i="5"/>
  <c r="H876" i="5"/>
  <c r="I876" i="5"/>
  <c r="N876" i="5"/>
  <c r="R876" i="5"/>
  <c r="Q876" i="5" s="1"/>
  <c r="S876" i="5" s="1"/>
  <c r="T876" i="5"/>
  <c r="B877" i="5"/>
  <c r="C877" i="5"/>
  <c r="D877" i="5"/>
  <c r="E877" i="5"/>
  <c r="F877" i="5"/>
  <c r="H877" i="5"/>
  <c r="I877" i="5"/>
  <c r="N877" i="5"/>
  <c r="Q877" i="5"/>
  <c r="S877" i="5" s="1"/>
  <c r="R877" i="5"/>
  <c r="T877" i="5"/>
  <c r="B878" i="5"/>
  <c r="C878" i="5"/>
  <c r="L878" i="5" s="1"/>
  <c r="D878" i="5"/>
  <c r="E878" i="5"/>
  <c r="F878" i="5"/>
  <c r="H878" i="5"/>
  <c r="I878" i="5"/>
  <c r="N878" i="5"/>
  <c r="Q878" i="5"/>
  <c r="S878" i="5" s="1"/>
  <c r="R878" i="5"/>
  <c r="T878" i="5"/>
  <c r="B879" i="5"/>
  <c r="C879" i="5"/>
  <c r="D879" i="5"/>
  <c r="E879" i="5"/>
  <c r="F879" i="5"/>
  <c r="L879" i="5" s="1"/>
  <c r="H879" i="5"/>
  <c r="I879" i="5"/>
  <c r="N879" i="5"/>
  <c r="R879" i="5"/>
  <c r="Q879" i="5" s="1"/>
  <c r="S879" i="5"/>
  <c r="T879" i="5"/>
  <c r="B880" i="5"/>
  <c r="C880" i="5"/>
  <c r="D880" i="5"/>
  <c r="E880" i="5"/>
  <c r="F880" i="5"/>
  <c r="H880" i="5"/>
  <c r="I880" i="5"/>
  <c r="N880" i="5"/>
  <c r="R880" i="5"/>
  <c r="Q880" i="5" s="1"/>
  <c r="S880" i="5" s="1"/>
  <c r="T880" i="5"/>
  <c r="B881" i="5"/>
  <c r="C881" i="5"/>
  <c r="L881" i="5" s="1"/>
  <c r="D881" i="5"/>
  <c r="E881" i="5"/>
  <c r="F881" i="5"/>
  <c r="H881" i="5"/>
  <c r="I881" i="5"/>
  <c r="N881" i="5"/>
  <c r="R881" i="5"/>
  <c r="Q881" i="5" s="1"/>
  <c r="S881" i="5" s="1"/>
  <c r="T881" i="5"/>
  <c r="B882" i="5"/>
  <c r="C882" i="5"/>
  <c r="D882" i="5"/>
  <c r="E882" i="5"/>
  <c r="F882" i="5"/>
  <c r="H882" i="5"/>
  <c r="I882" i="5"/>
  <c r="L882" i="5"/>
  <c r="N882" i="5"/>
  <c r="R882" i="5"/>
  <c r="Q882" i="5" s="1"/>
  <c r="S882" i="5"/>
  <c r="T882" i="5"/>
  <c r="B883" i="5"/>
  <c r="C883" i="5"/>
  <c r="D883" i="5"/>
  <c r="E883" i="5"/>
  <c r="F883" i="5"/>
  <c r="H883" i="5"/>
  <c r="I883" i="5"/>
  <c r="N883" i="5"/>
  <c r="R883" i="5"/>
  <c r="Q883" i="5" s="1"/>
  <c r="S883" i="5"/>
  <c r="T883" i="5"/>
  <c r="B884" i="5"/>
  <c r="C884" i="5"/>
  <c r="D884" i="5"/>
  <c r="E884" i="5"/>
  <c r="F884" i="5"/>
  <c r="H884" i="5"/>
  <c r="I884" i="5"/>
  <c r="N884" i="5"/>
  <c r="Q884" i="5"/>
  <c r="R884" i="5"/>
  <c r="S884" i="5"/>
  <c r="T884" i="5"/>
  <c r="B885" i="5"/>
  <c r="C885" i="5"/>
  <c r="D885" i="5"/>
  <c r="E885" i="5"/>
  <c r="F885" i="5"/>
  <c r="H885" i="5"/>
  <c r="I885" i="5"/>
  <c r="N885" i="5"/>
  <c r="Q885" i="5"/>
  <c r="R885" i="5"/>
  <c r="S885" i="5"/>
  <c r="T885" i="5"/>
  <c r="B886" i="5"/>
  <c r="C886" i="5"/>
  <c r="D886" i="5"/>
  <c r="E886" i="5"/>
  <c r="F886" i="5"/>
  <c r="H886" i="5"/>
  <c r="I886" i="5"/>
  <c r="L886" i="5" s="1"/>
  <c r="N886" i="5"/>
  <c r="Q886" i="5"/>
  <c r="R886" i="5"/>
  <c r="S886" i="5"/>
  <c r="T886" i="5"/>
  <c r="B887" i="5"/>
  <c r="C887" i="5"/>
  <c r="L887" i="5" s="1"/>
  <c r="D887" i="5"/>
  <c r="E887" i="5"/>
  <c r="F887" i="5"/>
  <c r="H887" i="5"/>
  <c r="I887" i="5"/>
  <c r="N887" i="5"/>
  <c r="R887" i="5"/>
  <c r="Q887" i="5" s="1"/>
  <c r="S887" i="5" s="1"/>
  <c r="T887" i="5"/>
  <c r="B888" i="5"/>
  <c r="C888" i="5"/>
  <c r="D888" i="5"/>
  <c r="E888" i="5"/>
  <c r="F888" i="5"/>
  <c r="H888" i="5"/>
  <c r="I888" i="5"/>
  <c r="N888" i="5"/>
  <c r="Q888" i="5"/>
  <c r="S888" i="5" s="1"/>
  <c r="R888" i="5"/>
  <c r="T888" i="5"/>
  <c r="B889" i="5"/>
  <c r="C889" i="5"/>
  <c r="D889" i="5"/>
  <c r="E889" i="5"/>
  <c r="F889" i="5"/>
  <c r="H889" i="5"/>
  <c r="I889" i="5"/>
  <c r="N889" i="5"/>
  <c r="Q889" i="5"/>
  <c r="S889" i="5" s="1"/>
  <c r="R889" i="5"/>
  <c r="T889" i="5"/>
  <c r="B890" i="5"/>
  <c r="C890" i="5"/>
  <c r="D890" i="5"/>
  <c r="E890" i="5"/>
  <c r="F890" i="5"/>
  <c r="H890" i="5"/>
  <c r="I890" i="5"/>
  <c r="N890" i="5"/>
  <c r="R890" i="5"/>
  <c r="Q890" i="5" s="1"/>
  <c r="S890" i="5" s="1"/>
  <c r="T890" i="5"/>
  <c r="B891" i="5"/>
  <c r="C891" i="5"/>
  <c r="D891" i="5"/>
  <c r="L891" i="5" s="1"/>
  <c r="E891" i="5"/>
  <c r="F891" i="5"/>
  <c r="H891" i="5"/>
  <c r="I891" i="5"/>
  <c r="N891" i="5"/>
  <c r="R891" i="5"/>
  <c r="Q891" i="5" s="1"/>
  <c r="S891" i="5"/>
  <c r="T891" i="5"/>
  <c r="B892" i="5"/>
  <c r="C892" i="5"/>
  <c r="D892" i="5"/>
  <c r="E892" i="5"/>
  <c r="F892" i="5"/>
  <c r="H892" i="5"/>
  <c r="I892" i="5"/>
  <c r="N892" i="5"/>
  <c r="Q892" i="5"/>
  <c r="S892" i="5" s="1"/>
  <c r="R892" i="5"/>
  <c r="T892" i="5"/>
  <c r="B893" i="5"/>
  <c r="C893" i="5"/>
  <c r="L893" i="5" s="1"/>
  <c r="D893" i="5"/>
  <c r="E893" i="5"/>
  <c r="F893" i="5"/>
  <c r="H893" i="5"/>
  <c r="I893" i="5"/>
  <c r="N893" i="5"/>
  <c r="Q893" i="5"/>
  <c r="S893" i="5" s="1"/>
  <c r="R893" i="5"/>
  <c r="T893" i="5"/>
  <c r="B894" i="5"/>
  <c r="C894" i="5"/>
  <c r="L894" i="5" s="1"/>
  <c r="D894" i="5"/>
  <c r="E894" i="5"/>
  <c r="F894" i="5"/>
  <c r="H894" i="5"/>
  <c r="I894" i="5"/>
  <c r="N894" i="5"/>
  <c r="Q894" i="5"/>
  <c r="R894" i="5"/>
  <c r="S894" i="5"/>
  <c r="T894" i="5"/>
  <c r="B895" i="5"/>
  <c r="C895" i="5"/>
  <c r="D895" i="5"/>
  <c r="E895" i="5"/>
  <c r="F895" i="5"/>
  <c r="H895" i="5"/>
  <c r="I895" i="5"/>
  <c r="L895" i="5"/>
  <c r="N895" i="5"/>
  <c r="Q895" i="5"/>
  <c r="S895" i="5" s="1"/>
  <c r="R895" i="5"/>
  <c r="T895" i="5"/>
  <c r="B896" i="5"/>
  <c r="C896" i="5"/>
  <c r="D896" i="5"/>
  <c r="E896" i="5"/>
  <c r="F896" i="5"/>
  <c r="H896" i="5"/>
  <c r="I896" i="5"/>
  <c r="N896" i="5"/>
  <c r="R896" i="5"/>
  <c r="Q896" i="5" s="1"/>
  <c r="S896" i="5" s="1"/>
  <c r="T896" i="5"/>
  <c r="B897" i="5"/>
  <c r="C897" i="5"/>
  <c r="D897" i="5"/>
  <c r="L897" i="5" s="1"/>
  <c r="E897" i="5"/>
  <c r="F897" i="5"/>
  <c r="H897" i="5"/>
  <c r="I897" i="5"/>
  <c r="N897" i="5"/>
  <c r="R897" i="5"/>
  <c r="Q897" i="5" s="1"/>
  <c r="S897" i="5" s="1"/>
  <c r="T897" i="5"/>
  <c r="B898" i="5"/>
  <c r="C898" i="5"/>
  <c r="D898" i="5"/>
  <c r="E898" i="5"/>
  <c r="F898" i="5"/>
  <c r="H898" i="5"/>
  <c r="I898" i="5"/>
  <c r="N898" i="5"/>
  <c r="R898" i="5"/>
  <c r="Q898" i="5" s="1"/>
  <c r="S898" i="5"/>
  <c r="T898" i="5"/>
  <c r="B899" i="5"/>
  <c r="C899" i="5"/>
  <c r="D899" i="5"/>
  <c r="L899" i="5" s="1"/>
  <c r="E899" i="5"/>
  <c r="F899" i="5"/>
  <c r="H899" i="5"/>
  <c r="I899" i="5"/>
  <c r="N899" i="5"/>
  <c r="R899" i="5"/>
  <c r="Q899" i="5" s="1"/>
  <c r="S899" i="5"/>
  <c r="T899" i="5"/>
  <c r="B900" i="5"/>
  <c r="C900" i="5"/>
  <c r="D900" i="5"/>
  <c r="E900" i="5"/>
  <c r="F900" i="5"/>
  <c r="H900" i="5"/>
  <c r="I900" i="5"/>
  <c r="N900" i="5"/>
  <c r="R900" i="5"/>
  <c r="Q900" i="5" s="1"/>
  <c r="S900" i="5" s="1"/>
  <c r="T900" i="5"/>
  <c r="B901" i="5"/>
  <c r="C901" i="5"/>
  <c r="D901" i="5"/>
  <c r="E901" i="5"/>
  <c r="F901" i="5"/>
  <c r="H901" i="5"/>
  <c r="I901" i="5"/>
  <c r="N901" i="5"/>
  <c r="Q901" i="5"/>
  <c r="S901" i="5" s="1"/>
  <c r="R901" i="5"/>
  <c r="T901" i="5"/>
  <c r="B902" i="5"/>
  <c r="C902" i="5"/>
  <c r="L902" i="5" s="1"/>
  <c r="D902" i="5"/>
  <c r="E902" i="5"/>
  <c r="F902" i="5"/>
  <c r="H902" i="5"/>
  <c r="I902" i="5"/>
  <c r="N902" i="5"/>
  <c r="Q902" i="5"/>
  <c r="R902" i="5"/>
  <c r="S902" i="5"/>
  <c r="T902" i="5"/>
  <c r="B903" i="5"/>
  <c r="C903" i="5"/>
  <c r="L903" i="5" s="1"/>
  <c r="D903" i="5"/>
  <c r="E903" i="5"/>
  <c r="F903" i="5"/>
  <c r="H903" i="5"/>
  <c r="I903" i="5"/>
  <c r="N903" i="5"/>
  <c r="Q903" i="5"/>
  <c r="S903" i="5" s="1"/>
  <c r="R903" i="5"/>
  <c r="T903" i="5"/>
  <c r="B904" i="5"/>
  <c r="C904" i="5"/>
  <c r="L904" i="5" s="1"/>
  <c r="D904" i="5"/>
  <c r="E904" i="5"/>
  <c r="F904" i="5"/>
  <c r="H904" i="5"/>
  <c r="I904" i="5"/>
  <c r="N904" i="5"/>
  <c r="R904" i="5"/>
  <c r="Q904" i="5" s="1"/>
  <c r="S904" i="5" s="1"/>
  <c r="T904" i="5"/>
  <c r="B905" i="5"/>
  <c r="C905" i="5"/>
  <c r="D905" i="5"/>
  <c r="E905" i="5"/>
  <c r="F905" i="5"/>
  <c r="H905" i="5"/>
  <c r="I905" i="5"/>
  <c r="N905" i="5"/>
  <c r="Q905" i="5"/>
  <c r="S905" i="5" s="1"/>
  <c r="R905" i="5"/>
  <c r="T905" i="5"/>
  <c r="B906" i="5"/>
  <c r="C906" i="5"/>
  <c r="D906" i="5"/>
  <c r="L906" i="5" s="1"/>
  <c r="E906" i="5"/>
  <c r="F906" i="5"/>
  <c r="H906" i="5"/>
  <c r="I906" i="5"/>
  <c r="N906" i="5"/>
  <c r="R906" i="5"/>
  <c r="Q906" i="5" s="1"/>
  <c r="S906" i="5"/>
  <c r="T906" i="5"/>
  <c r="B907" i="5"/>
  <c r="C907" i="5"/>
  <c r="D907" i="5"/>
  <c r="E907" i="5"/>
  <c r="F907" i="5"/>
  <c r="H907" i="5"/>
  <c r="I907" i="5"/>
  <c r="N907" i="5"/>
  <c r="R907" i="5"/>
  <c r="Q907" i="5" s="1"/>
  <c r="S907" i="5" s="1"/>
  <c r="T907" i="5"/>
  <c r="B908" i="5"/>
  <c r="C908" i="5"/>
  <c r="D908" i="5"/>
  <c r="E908" i="5"/>
  <c r="F908" i="5"/>
  <c r="H908" i="5"/>
  <c r="I908" i="5"/>
  <c r="N908" i="5"/>
  <c r="Q908" i="5"/>
  <c r="S908" i="5" s="1"/>
  <c r="R908" i="5"/>
  <c r="T908" i="5"/>
  <c r="B909" i="5"/>
  <c r="C909" i="5"/>
  <c r="D909" i="5"/>
  <c r="E909" i="5"/>
  <c r="F909" i="5"/>
  <c r="H909" i="5"/>
  <c r="I909" i="5"/>
  <c r="N909" i="5"/>
  <c r="Q909" i="5"/>
  <c r="S909" i="5" s="1"/>
  <c r="R909" i="5"/>
  <c r="T909" i="5"/>
  <c r="B910" i="5"/>
  <c r="C910" i="5"/>
  <c r="L910" i="5" s="1"/>
  <c r="D910" i="5"/>
  <c r="E910" i="5"/>
  <c r="F910" i="5"/>
  <c r="H910" i="5"/>
  <c r="I910" i="5"/>
  <c r="N910" i="5"/>
  <c r="Q910" i="5"/>
  <c r="S910" i="5" s="1"/>
  <c r="R910" i="5"/>
  <c r="T910" i="5"/>
  <c r="B911" i="5"/>
  <c r="C911" i="5"/>
  <c r="D911" i="5"/>
  <c r="E911" i="5"/>
  <c r="F911" i="5"/>
  <c r="H911" i="5"/>
  <c r="I911" i="5"/>
  <c r="N911" i="5"/>
  <c r="R911" i="5"/>
  <c r="Q911" i="5" s="1"/>
  <c r="S911" i="5"/>
  <c r="T911" i="5"/>
  <c r="B912" i="5"/>
  <c r="C912" i="5"/>
  <c r="D912" i="5"/>
  <c r="L912" i="5" s="1"/>
  <c r="E912" i="5"/>
  <c r="F912" i="5"/>
  <c r="H912" i="5"/>
  <c r="I912" i="5"/>
  <c r="N912" i="5"/>
  <c r="R912" i="5"/>
  <c r="Q912" i="5" s="1"/>
  <c r="S912" i="5" s="1"/>
  <c r="T912" i="5"/>
  <c r="B913" i="5"/>
  <c r="C913" i="5"/>
  <c r="L913" i="5" s="1"/>
  <c r="D913" i="5"/>
  <c r="E913" i="5"/>
  <c r="F913" i="5"/>
  <c r="H913" i="5"/>
  <c r="I913" i="5"/>
  <c r="N913" i="5"/>
  <c r="R913" i="5"/>
  <c r="Q913" i="5" s="1"/>
  <c r="S913" i="5" s="1"/>
  <c r="T913" i="5"/>
  <c r="B914" i="5"/>
  <c r="C914" i="5"/>
  <c r="D914" i="5"/>
  <c r="E914" i="5"/>
  <c r="F914" i="5"/>
  <c r="H914" i="5"/>
  <c r="I914" i="5"/>
  <c r="L914" i="5"/>
  <c r="N914" i="5"/>
  <c r="R914" i="5"/>
  <c r="Q914" i="5" s="1"/>
  <c r="S914" i="5"/>
  <c r="T914" i="5"/>
  <c r="B915" i="5"/>
  <c r="C915" i="5"/>
  <c r="D915" i="5"/>
  <c r="E915" i="5"/>
  <c r="F915" i="5"/>
  <c r="H915" i="5"/>
  <c r="I915" i="5"/>
  <c r="N915" i="5"/>
  <c r="R915" i="5"/>
  <c r="Q915" i="5" s="1"/>
  <c r="S915" i="5"/>
  <c r="T915" i="5"/>
  <c r="B916" i="5"/>
  <c r="C916" i="5"/>
  <c r="D916" i="5"/>
  <c r="E916" i="5"/>
  <c r="F916" i="5"/>
  <c r="H916" i="5"/>
  <c r="I916" i="5"/>
  <c r="N916" i="5"/>
  <c r="Q916" i="5"/>
  <c r="S916" i="5" s="1"/>
  <c r="R916" i="5"/>
  <c r="T916" i="5"/>
  <c r="B917" i="5"/>
  <c r="C917" i="5"/>
  <c r="D917" i="5"/>
  <c r="E917" i="5"/>
  <c r="F917" i="5"/>
  <c r="H917" i="5"/>
  <c r="I917" i="5"/>
  <c r="N917" i="5"/>
  <c r="Q917" i="5"/>
  <c r="R917" i="5"/>
  <c r="S917" i="5"/>
  <c r="T917" i="5"/>
  <c r="B918" i="5"/>
  <c r="C918" i="5"/>
  <c r="D918" i="5"/>
  <c r="E918" i="5"/>
  <c r="F918" i="5"/>
  <c r="H918" i="5"/>
  <c r="I918" i="5"/>
  <c r="L918" i="5" s="1"/>
  <c r="N918" i="5"/>
  <c r="Q918" i="5"/>
  <c r="R918" i="5"/>
  <c r="S918" i="5"/>
  <c r="T918" i="5"/>
  <c r="B919" i="5"/>
  <c r="C919" i="5"/>
  <c r="D919" i="5"/>
  <c r="E919" i="5"/>
  <c r="F919" i="5"/>
  <c r="H919" i="5"/>
  <c r="I919" i="5"/>
  <c r="N919" i="5"/>
  <c r="R919" i="5"/>
  <c r="Q919" i="5" s="1"/>
  <c r="S919" i="5" s="1"/>
  <c r="T919" i="5"/>
  <c r="B920" i="5"/>
  <c r="C920" i="5"/>
  <c r="L920" i="5" s="1"/>
  <c r="D920" i="5"/>
  <c r="E920" i="5"/>
  <c r="F920" i="5"/>
  <c r="H920" i="5"/>
  <c r="I920" i="5"/>
  <c r="N920" i="5"/>
  <c r="Q920" i="5"/>
  <c r="S920" i="5" s="1"/>
  <c r="R920" i="5"/>
  <c r="T920" i="5"/>
  <c r="B921" i="5"/>
  <c r="C921" i="5"/>
  <c r="D921" i="5"/>
  <c r="E921" i="5"/>
  <c r="F921" i="5"/>
  <c r="H921" i="5"/>
  <c r="I921" i="5"/>
  <c r="N921" i="5"/>
  <c r="Q921" i="5"/>
  <c r="S921" i="5" s="1"/>
  <c r="R921" i="5"/>
  <c r="T921" i="5"/>
  <c r="B922" i="5"/>
  <c r="C922" i="5"/>
  <c r="D922" i="5"/>
  <c r="E922" i="5"/>
  <c r="F922" i="5"/>
  <c r="H922" i="5"/>
  <c r="I922" i="5"/>
  <c r="N922" i="5"/>
  <c r="R922" i="5"/>
  <c r="Q922" i="5" s="1"/>
  <c r="S922" i="5" s="1"/>
  <c r="T922" i="5"/>
  <c r="B923" i="5"/>
  <c r="C923" i="5"/>
  <c r="D923" i="5"/>
  <c r="L923" i="5" s="1"/>
  <c r="E923" i="5"/>
  <c r="F923" i="5"/>
  <c r="H923" i="5"/>
  <c r="I923" i="5"/>
  <c r="N923" i="5"/>
  <c r="R923" i="5"/>
  <c r="Q923" i="5" s="1"/>
  <c r="S923" i="5"/>
  <c r="T923" i="5"/>
  <c r="B924" i="5"/>
  <c r="C924" i="5"/>
  <c r="D924" i="5"/>
  <c r="E924" i="5"/>
  <c r="F924" i="5"/>
  <c r="H924" i="5"/>
  <c r="I924" i="5"/>
  <c r="N924" i="5"/>
  <c r="Q924" i="5"/>
  <c r="S924" i="5" s="1"/>
  <c r="R924" i="5"/>
  <c r="T924" i="5"/>
  <c r="B925" i="5"/>
  <c r="C925" i="5"/>
  <c r="D925" i="5"/>
  <c r="E925" i="5"/>
  <c r="F925" i="5"/>
  <c r="H925" i="5"/>
  <c r="I925" i="5"/>
  <c r="N925" i="5"/>
  <c r="Q925" i="5"/>
  <c r="S925" i="5" s="1"/>
  <c r="R925" i="5"/>
  <c r="T925" i="5"/>
  <c r="B926" i="5"/>
  <c r="C926" i="5"/>
  <c r="L926" i="5" s="1"/>
  <c r="D926" i="5"/>
  <c r="E926" i="5"/>
  <c r="F926" i="5"/>
  <c r="H926" i="5"/>
  <c r="I926" i="5"/>
  <c r="N926" i="5"/>
  <c r="Q926" i="5"/>
  <c r="R926" i="5"/>
  <c r="S926" i="5"/>
  <c r="T926" i="5"/>
  <c r="B927" i="5"/>
  <c r="C927" i="5"/>
  <c r="D927" i="5"/>
  <c r="E927" i="5"/>
  <c r="L927" i="5" s="1"/>
  <c r="F927" i="5"/>
  <c r="H927" i="5"/>
  <c r="I927" i="5"/>
  <c r="N927" i="5"/>
  <c r="Q927" i="5"/>
  <c r="R927" i="5"/>
  <c r="S927" i="5"/>
  <c r="T927" i="5"/>
  <c r="B928" i="5"/>
  <c r="C928" i="5"/>
  <c r="D928" i="5"/>
  <c r="E928" i="5"/>
  <c r="F928" i="5"/>
  <c r="H928" i="5"/>
  <c r="I928" i="5"/>
  <c r="N928" i="5"/>
  <c r="R928" i="5"/>
  <c r="Q928" i="5" s="1"/>
  <c r="S928" i="5" s="1"/>
  <c r="T928" i="5"/>
  <c r="B929" i="5"/>
  <c r="C929" i="5"/>
  <c r="D929" i="5"/>
  <c r="L929" i="5" s="1"/>
  <c r="E929" i="5"/>
  <c r="F929" i="5"/>
  <c r="H929" i="5"/>
  <c r="I929" i="5"/>
  <c r="N929" i="5"/>
  <c r="R929" i="5"/>
  <c r="Q929" i="5" s="1"/>
  <c r="S929" i="5" s="1"/>
  <c r="T929" i="5"/>
  <c r="B930" i="5"/>
  <c r="C930" i="5"/>
  <c r="D930" i="5"/>
  <c r="L930" i="5" s="1"/>
  <c r="E930" i="5"/>
  <c r="F930" i="5"/>
  <c r="H930" i="5"/>
  <c r="I930" i="5"/>
  <c r="N930" i="5"/>
  <c r="R930" i="5"/>
  <c r="Q930" i="5" s="1"/>
  <c r="S930" i="5"/>
  <c r="T930" i="5"/>
  <c r="B931" i="5"/>
  <c r="C931" i="5"/>
  <c r="D931" i="5"/>
  <c r="L931" i="5" s="1"/>
  <c r="E931" i="5"/>
  <c r="F931" i="5"/>
  <c r="H931" i="5"/>
  <c r="I931" i="5"/>
  <c r="N931" i="5"/>
  <c r="R931" i="5"/>
  <c r="Q931" i="5" s="1"/>
  <c r="S931" i="5"/>
  <c r="T931" i="5"/>
  <c r="B932" i="5"/>
  <c r="C932" i="5"/>
  <c r="D932" i="5"/>
  <c r="E932" i="5"/>
  <c r="F932" i="5"/>
  <c r="H932" i="5"/>
  <c r="I932" i="5"/>
  <c r="N932" i="5"/>
  <c r="R932" i="5"/>
  <c r="Q932" i="5" s="1"/>
  <c r="S932" i="5" s="1"/>
  <c r="T932" i="5"/>
  <c r="B933" i="5"/>
  <c r="C933" i="5"/>
  <c r="D933" i="5"/>
  <c r="E933" i="5"/>
  <c r="F933" i="5"/>
  <c r="H933" i="5"/>
  <c r="I933" i="5"/>
  <c r="N933" i="5"/>
  <c r="Q933" i="5"/>
  <c r="S933" i="5" s="1"/>
  <c r="R933" i="5"/>
  <c r="T933" i="5"/>
  <c r="B934" i="5"/>
  <c r="C934" i="5"/>
  <c r="L934" i="5" s="1"/>
  <c r="D934" i="5"/>
  <c r="E934" i="5"/>
  <c r="F934" i="5"/>
  <c r="H934" i="5"/>
  <c r="I934" i="5"/>
  <c r="N934" i="5"/>
  <c r="R934" i="5"/>
  <c r="Q934" i="5" s="1"/>
  <c r="S934" i="5"/>
  <c r="T934" i="5"/>
  <c r="B935" i="5"/>
  <c r="C935" i="5"/>
  <c r="D935" i="5"/>
  <c r="E935" i="5"/>
  <c r="F935" i="5"/>
  <c r="H935" i="5"/>
  <c r="I935" i="5"/>
  <c r="N935" i="5"/>
  <c r="Q935" i="5"/>
  <c r="S935" i="5" s="1"/>
  <c r="R935" i="5"/>
  <c r="T935" i="5"/>
  <c r="B936" i="5"/>
  <c r="C936" i="5"/>
  <c r="D936" i="5"/>
  <c r="E936" i="5"/>
  <c r="F936" i="5"/>
  <c r="H936" i="5"/>
  <c r="I936" i="5"/>
  <c r="N936" i="5"/>
  <c r="Q936" i="5"/>
  <c r="S936" i="5" s="1"/>
  <c r="R936" i="5"/>
  <c r="T936" i="5"/>
  <c r="B937" i="5"/>
  <c r="C937" i="5"/>
  <c r="D937" i="5"/>
  <c r="E937" i="5"/>
  <c r="F937" i="5"/>
  <c r="H937" i="5"/>
  <c r="I937" i="5"/>
  <c r="L937" i="5"/>
  <c r="N937" i="5"/>
  <c r="R937" i="5"/>
  <c r="Q937" i="5" s="1"/>
  <c r="S937" i="5"/>
  <c r="T937" i="5"/>
  <c r="B938" i="5"/>
  <c r="C938" i="5"/>
  <c r="D938" i="5"/>
  <c r="E938" i="5"/>
  <c r="F938" i="5"/>
  <c r="H938" i="5"/>
  <c r="I938" i="5"/>
  <c r="L938" i="5" s="1"/>
  <c r="N938" i="5"/>
  <c r="R938" i="5"/>
  <c r="Q938" i="5" s="1"/>
  <c r="S938" i="5" s="1"/>
  <c r="T938" i="5"/>
  <c r="B939" i="5"/>
  <c r="C939" i="5"/>
  <c r="D939" i="5"/>
  <c r="E939" i="5"/>
  <c r="F939" i="5"/>
  <c r="H939" i="5"/>
  <c r="I939" i="5"/>
  <c r="N939" i="5"/>
  <c r="Q939" i="5"/>
  <c r="S939" i="5" s="1"/>
  <c r="R939" i="5"/>
  <c r="T939" i="5"/>
  <c r="B940" i="5"/>
  <c r="C940" i="5"/>
  <c r="D940" i="5"/>
  <c r="E940" i="5"/>
  <c r="F940" i="5"/>
  <c r="H940" i="5"/>
  <c r="I940" i="5"/>
  <c r="N940" i="5"/>
  <c r="Q940" i="5"/>
  <c r="R940" i="5"/>
  <c r="S940" i="5"/>
  <c r="T940" i="5"/>
  <c r="B941" i="5"/>
  <c r="C941" i="5"/>
  <c r="D941" i="5"/>
  <c r="E941" i="5"/>
  <c r="L941" i="5" s="1"/>
  <c r="F941" i="5"/>
  <c r="H941" i="5"/>
  <c r="I941" i="5"/>
  <c r="N941" i="5"/>
  <c r="Q941" i="5"/>
  <c r="R941" i="5"/>
  <c r="S941" i="5"/>
  <c r="T941" i="5"/>
  <c r="B942" i="5"/>
  <c r="C942" i="5"/>
  <c r="D942" i="5"/>
  <c r="E942" i="5"/>
  <c r="F942" i="5"/>
  <c r="H942" i="5"/>
  <c r="I942" i="5"/>
  <c r="N942" i="5"/>
  <c r="R942" i="5"/>
  <c r="Q942" i="5" s="1"/>
  <c r="S942" i="5"/>
  <c r="T942" i="5"/>
  <c r="B943" i="5"/>
  <c r="C943" i="5"/>
  <c r="D943" i="5"/>
  <c r="E943" i="5"/>
  <c r="F943" i="5"/>
  <c r="H943" i="5"/>
  <c r="I943" i="5"/>
  <c r="L943" i="5" s="1"/>
  <c r="N943" i="5"/>
  <c r="Q943" i="5"/>
  <c r="S943" i="5" s="1"/>
  <c r="R943" i="5"/>
  <c r="T943" i="5"/>
  <c r="B944" i="5"/>
  <c r="C944" i="5"/>
  <c r="D944" i="5"/>
  <c r="E944" i="5"/>
  <c r="F944" i="5"/>
  <c r="H944" i="5"/>
  <c r="I944" i="5"/>
  <c r="N944" i="5"/>
  <c r="Q944" i="5"/>
  <c r="S944" i="5" s="1"/>
  <c r="R944" i="5"/>
  <c r="T944" i="5"/>
  <c r="B945" i="5"/>
  <c r="C945" i="5"/>
  <c r="D945" i="5"/>
  <c r="E945" i="5"/>
  <c r="L945" i="5" s="1"/>
  <c r="F945" i="5"/>
  <c r="H945" i="5"/>
  <c r="I945" i="5"/>
  <c r="N945" i="5"/>
  <c r="R945" i="5"/>
  <c r="Q945" i="5" s="1"/>
  <c r="S945" i="5" s="1"/>
  <c r="T945" i="5"/>
  <c r="B946" i="5"/>
  <c r="C946" i="5"/>
  <c r="D946" i="5"/>
  <c r="E946" i="5"/>
  <c r="F946" i="5"/>
  <c r="H946" i="5"/>
  <c r="I946" i="5"/>
  <c r="L946" i="5"/>
  <c r="N946" i="5"/>
  <c r="R946" i="5"/>
  <c r="Q946" i="5" s="1"/>
  <c r="S946" i="5" s="1"/>
  <c r="T946" i="5"/>
  <c r="B947" i="5"/>
  <c r="C947" i="5"/>
  <c r="D947" i="5"/>
  <c r="E947" i="5"/>
  <c r="F947" i="5"/>
  <c r="H947" i="5"/>
  <c r="I947" i="5"/>
  <c r="N947" i="5"/>
  <c r="Q947" i="5"/>
  <c r="R947" i="5"/>
  <c r="S947" i="5"/>
  <c r="T947" i="5"/>
  <c r="B948" i="5"/>
  <c r="C948" i="5"/>
  <c r="D948" i="5"/>
  <c r="E948" i="5"/>
  <c r="F948" i="5"/>
  <c r="H948" i="5"/>
  <c r="I948" i="5"/>
  <c r="N948" i="5"/>
  <c r="Q948" i="5"/>
  <c r="R948" i="5"/>
  <c r="S948" i="5"/>
  <c r="T948" i="5"/>
  <c r="B949" i="5"/>
  <c r="C949" i="5"/>
  <c r="L949" i="5" s="1"/>
  <c r="D949" i="5"/>
  <c r="E949" i="5"/>
  <c r="F949" i="5"/>
  <c r="H949" i="5"/>
  <c r="I949" i="5"/>
  <c r="N949" i="5"/>
  <c r="Q949" i="5"/>
  <c r="S949" i="5" s="1"/>
  <c r="R949" i="5"/>
  <c r="T949" i="5"/>
  <c r="B950" i="5"/>
  <c r="C950" i="5"/>
  <c r="L950" i="5" s="1"/>
  <c r="D950" i="5"/>
  <c r="E950" i="5"/>
  <c r="F950" i="5"/>
  <c r="H950" i="5"/>
  <c r="I950" i="5"/>
  <c r="N950" i="5"/>
  <c r="R950" i="5"/>
  <c r="Q950" i="5" s="1"/>
  <c r="S950" i="5"/>
  <c r="T950" i="5"/>
  <c r="B951" i="5"/>
  <c r="C951" i="5"/>
  <c r="D951" i="5"/>
  <c r="E951" i="5"/>
  <c r="F951" i="5"/>
  <c r="H951" i="5"/>
  <c r="I951" i="5"/>
  <c r="N951" i="5"/>
  <c r="Q951" i="5"/>
  <c r="S951" i="5" s="1"/>
  <c r="R951" i="5"/>
  <c r="T951" i="5"/>
  <c r="B952" i="5"/>
  <c r="C952" i="5"/>
  <c r="L952" i="5" s="1"/>
  <c r="D952" i="5"/>
  <c r="E952" i="5"/>
  <c r="F952" i="5"/>
  <c r="H952" i="5"/>
  <c r="I952" i="5"/>
  <c r="N952" i="5"/>
  <c r="R952" i="5"/>
  <c r="Q952" i="5" s="1"/>
  <c r="S952" i="5" s="1"/>
  <c r="T952" i="5"/>
  <c r="B953" i="5"/>
  <c r="C953" i="5"/>
  <c r="D953" i="5"/>
  <c r="E953" i="5"/>
  <c r="F953" i="5"/>
  <c r="H953" i="5"/>
  <c r="I953" i="5"/>
  <c r="L953" i="5"/>
  <c r="N953" i="5"/>
  <c r="R953" i="5"/>
  <c r="Q953" i="5" s="1"/>
  <c r="S953" i="5" s="1"/>
  <c r="T953" i="5"/>
  <c r="B954" i="5"/>
  <c r="C954" i="5"/>
  <c r="D954" i="5"/>
  <c r="E954" i="5"/>
  <c r="F954" i="5"/>
  <c r="H954" i="5"/>
  <c r="I954" i="5"/>
  <c r="L954" i="5"/>
  <c r="N954" i="5"/>
  <c r="R954" i="5"/>
  <c r="Q954" i="5" s="1"/>
  <c r="S954" i="5" s="1"/>
  <c r="T954" i="5"/>
  <c r="B955" i="5"/>
  <c r="C955" i="5"/>
  <c r="D955" i="5"/>
  <c r="E955" i="5"/>
  <c r="F955" i="5"/>
  <c r="H955" i="5"/>
  <c r="I955" i="5"/>
  <c r="N955" i="5"/>
  <c r="Q955" i="5"/>
  <c r="S955" i="5" s="1"/>
  <c r="R955" i="5"/>
  <c r="T955" i="5"/>
  <c r="B956" i="5"/>
  <c r="C956" i="5"/>
  <c r="D956" i="5"/>
  <c r="E956" i="5"/>
  <c r="F956" i="5"/>
  <c r="H956" i="5"/>
  <c r="I956" i="5"/>
  <c r="N956" i="5"/>
  <c r="Q956" i="5"/>
  <c r="R956" i="5"/>
  <c r="S956" i="5"/>
  <c r="T956" i="5"/>
  <c r="B957" i="5"/>
  <c r="C957" i="5"/>
  <c r="D957" i="5"/>
  <c r="E957" i="5"/>
  <c r="F957" i="5"/>
  <c r="H957" i="5"/>
  <c r="I957" i="5"/>
  <c r="L957" i="5"/>
  <c r="N957" i="5"/>
  <c r="Q957" i="5"/>
  <c r="R957" i="5"/>
  <c r="S957" i="5"/>
  <c r="T957" i="5"/>
  <c r="B958" i="5"/>
  <c r="C958" i="5"/>
  <c r="D958" i="5"/>
  <c r="E958" i="5"/>
  <c r="F958" i="5"/>
  <c r="H958" i="5"/>
  <c r="I958" i="5"/>
  <c r="N958" i="5"/>
  <c r="R958" i="5"/>
  <c r="Q958" i="5" s="1"/>
  <c r="S958" i="5"/>
  <c r="T958" i="5"/>
  <c r="B959" i="5"/>
  <c r="C959" i="5"/>
  <c r="D959" i="5"/>
  <c r="E959" i="5"/>
  <c r="F959" i="5"/>
  <c r="H959" i="5"/>
  <c r="I959" i="5"/>
  <c r="L959" i="5" s="1"/>
  <c r="N959" i="5"/>
  <c r="Q959" i="5"/>
  <c r="S959" i="5" s="1"/>
  <c r="R959" i="5"/>
  <c r="T959" i="5"/>
  <c r="B960" i="5"/>
  <c r="C960" i="5"/>
  <c r="D960" i="5"/>
  <c r="E960" i="5"/>
  <c r="F960" i="5"/>
  <c r="H960" i="5"/>
  <c r="I960" i="5"/>
  <c r="N960" i="5"/>
  <c r="Q960" i="5"/>
  <c r="S960" i="5" s="1"/>
  <c r="R960" i="5"/>
  <c r="T960" i="5"/>
  <c r="B961" i="5"/>
  <c r="C961" i="5"/>
  <c r="D961" i="5"/>
  <c r="E961" i="5"/>
  <c r="F961" i="5"/>
  <c r="H961" i="5"/>
  <c r="I961" i="5"/>
  <c r="N961" i="5"/>
  <c r="R961" i="5"/>
  <c r="Q961" i="5" s="1"/>
  <c r="S961" i="5" s="1"/>
  <c r="T961" i="5"/>
  <c r="B962" i="5"/>
  <c r="C962" i="5"/>
  <c r="D962" i="5"/>
  <c r="E962" i="5"/>
  <c r="F962" i="5"/>
  <c r="H962" i="5"/>
  <c r="I962" i="5"/>
  <c r="L962" i="5"/>
  <c r="N962" i="5"/>
  <c r="R962" i="5"/>
  <c r="Q962" i="5" s="1"/>
  <c r="S962" i="5" s="1"/>
  <c r="T962" i="5"/>
  <c r="B963" i="5"/>
  <c r="C963" i="5"/>
  <c r="L963" i="5" s="1"/>
  <c r="D963" i="5"/>
  <c r="E963" i="5"/>
  <c r="F963" i="5"/>
  <c r="H963" i="5"/>
  <c r="I963" i="5"/>
  <c r="N963" i="5"/>
  <c r="R963" i="5"/>
  <c r="Q963" i="5" s="1"/>
  <c r="S963" i="5" s="1"/>
  <c r="T963" i="5"/>
  <c r="B964" i="5"/>
  <c r="C964" i="5"/>
  <c r="D964" i="5"/>
  <c r="E964" i="5"/>
  <c r="F964" i="5"/>
  <c r="H964" i="5"/>
  <c r="I964" i="5"/>
  <c r="N964" i="5"/>
  <c r="Q964" i="5"/>
  <c r="R964" i="5"/>
  <c r="S964" i="5"/>
  <c r="T964" i="5"/>
  <c r="B965" i="5"/>
  <c r="C965" i="5"/>
  <c r="L965" i="5" s="1"/>
  <c r="D965" i="5"/>
  <c r="E965" i="5"/>
  <c r="F965" i="5"/>
  <c r="H965" i="5"/>
  <c r="I965" i="5"/>
  <c r="N965" i="5"/>
  <c r="Q965" i="5"/>
  <c r="S965" i="5" s="1"/>
  <c r="R965" i="5"/>
  <c r="T965" i="5"/>
  <c r="B966" i="5"/>
  <c r="C966" i="5"/>
  <c r="D966" i="5"/>
  <c r="E966" i="5"/>
  <c r="F966" i="5"/>
  <c r="H966" i="5"/>
  <c r="I966" i="5"/>
  <c r="N966" i="5"/>
  <c r="R966" i="5"/>
  <c r="Q966" i="5" s="1"/>
  <c r="S966" i="5"/>
  <c r="T966" i="5"/>
  <c r="B967" i="5"/>
  <c r="C967" i="5"/>
  <c r="L967" i="5" s="1"/>
  <c r="D967" i="5"/>
  <c r="E967" i="5"/>
  <c r="F967" i="5"/>
  <c r="H967" i="5"/>
  <c r="I967" i="5"/>
  <c r="N967" i="5"/>
  <c r="Q967" i="5"/>
  <c r="S967" i="5" s="1"/>
  <c r="R967" i="5"/>
  <c r="T967" i="5"/>
  <c r="B968" i="5"/>
  <c r="C968" i="5"/>
  <c r="D968" i="5"/>
  <c r="E968" i="5"/>
  <c r="F968" i="5"/>
  <c r="H968" i="5"/>
  <c r="I968" i="5"/>
  <c r="N968" i="5"/>
  <c r="Q968" i="5"/>
  <c r="S968" i="5" s="1"/>
  <c r="R968" i="5"/>
  <c r="T968" i="5"/>
  <c r="B969" i="5"/>
  <c r="C969" i="5"/>
  <c r="D969" i="5"/>
  <c r="E969" i="5"/>
  <c r="L969" i="5" s="1"/>
  <c r="F969" i="5"/>
  <c r="H969" i="5"/>
  <c r="I969" i="5"/>
  <c r="N969" i="5"/>
  <c r="R969" i="5"/>
  <c r="Q969" i="5" s="1"/>
  <c r="S969" i="5"/>
  <c r="T969" i="5"/>
  <c r="B970" i="5"/>
  <c r="C970" i="5"/>
  <c r="D970" i="5"/>
  <c r="E970" i="5"/>
  <c r="F970" i="5"/>
  <c r="H970" i="5"/>
  <c r="I970" i="5"/>
  <c r="L970" i="5" s="1"/>
  <c r="N970" i="5"/>
  <c r="R970" i="5"/>
  <c r="Q970" i="5" s="1"/>
  <c r="S970" i="5" s="1"/>
  <c r="T970" i="5"/>
  <c r="B971" i="5"/>
  <c r="C971" i="5"/>
  <c r="D971" i="5"/>
  <c r="E971" i="5"/>
  <c r="F971" i="5"/>
  <c r="H971" i="5"/>
  <c r="I971" i="5"/>
  <c r="N971" i="5"/>
  <c r="Q971" i="5"/>
  <c r="S971" i="5" s="1"/>
  <c r="R971" i="5"/>
  <c r="T971" i="5"/>
  <c r="B972" i="5"/>
  <c r="C972" i="5"/>
  <c r="D972" i="5"/>
  <c r="E972" i="5"/>
  <c r="F972" i="5"/>
  <c r="H972" i="5"/>
  <c r="I972" i="5"/>
  <c r="N972" i="5"/>
  <c r="Q972" i="5"/>
  <c r="R972" i="5"/>
  <c r="S972" i="5"/>
  <c r="T972" i="5"/>
  <c r="B973" i="5"/>
  <c r="C973" i="5"/>
  <c r="D973" i="5"/>
  <c r="E973" i="5"/>
  <c r="L973" i="5" s="1"/>
  <c r="F973" i="5"/>
  <c r="H973" i="5"/>
  <c r="I973" i="5"/>
  <c r="N973" i="5"/>
  <c r="Q973" i="5"/>
  <c r="R973" i="5"/>
  <c r="S973" i="5"/>
  <c r="T973" i="5"/>
  <c r="B974" i="5"/>
  <c r="C974" i="5"/>
  <c r="D974" i="5"/>
  <c r="E974" i="5"/>
  <c r="F974" i="5"/>
  <c r="H974" i="5"/>
  <c r="I974" i="5"/>
  <c r="N974" i="5"/>
  <c r="R974" i="5"/>
  <c r="Q974" i="5" s="1"/>
  <c r="S974" i="5"/>
  <c r="T974" i="5"/>
  <c r="B975" i="5"/>
  <c r="C975" i="5"/>
  <c r="D975" i="5"/>
  <c r="E975" i="5"/>
  <c r="F975" i="5"/>
  <c r="H975" i="5"/>
  <c r="I975" i="5"/>
  <c r="L975" i="5" s="1"/>
  <c r="N975" i="5"/>
  <c r="Q975" i="5"/>
  <c r="S975" i="5" s="1"/>
  <c r="R975" i="5"/>
  <c r="T975" i="5"/>
  <c r="B976" i="5"/>
  <c r="C976" i="5"/>
  <c r="D976" i="5"/>
  <c r="E976" i="5"/>
  <c r="F976" i="5"/>
  <c r="H976" i="5"/>
  <c r="I976" i="5"/>
  <c r="N976" i="5"/>
  <c r="Q976" i="5"/>
  <c r="S976" i="5" s="1"/>
  <c r="R976" i="5"/>
  <c r="T976" i="5"/>
  <c r="B977" i="5"/>
  <c r="C977" i="5"/>
  <c r="D977" i="5"/>
  <c r="E977" i="5"/>
  <c r="F977" i="5"/>
  <c r="H977" i="5"/>
  <c r="I977" i="5"/>
  <c r="L977" i="5"/>
  <c r="N977" i="5"/>
  <c r="R977" i="5"/>
  <c r="Q977" i="5" s="1"/>
  <c r="S977" i="5" s="1"/>
  <c r="T977" i="5"/>
  <c r="B978" i="5"/>
  <c r="C978" i="5"/>
  <c r="D978" i="5"/>
  <c r="E978" i="5"/>
  <c r="F978" i="5"/>
  <c r="H978" i="5"/>
  <c r="I978" i="5"/>
  <c r="L978" i="5"/>
  <c r="N978" i="5"/>
  <c r="R978" i="5"/>
  <c r="Q978" i="5" s="1"/>
  <c r="S978" i="5" s="1"/>
  <c r="T978" i="5"/>
  <c r="B979" i="5"/>
  <c r="C979" i="5"/>
  <c r="D979" i="5"/>
  <c r="E979" i="5"/>
  <c r="F979" i="5"/>
  <c r="H979" i="5"/>
  <c r="I979" i="5"/>
  <c r="N979" i="5"/>
  <c r="Q979" i="5"/>
  <c r="S979" i="5" s="1"/>
  <c r="R979" i="5"/>
  <c r="T979" i="5"/>
  <c r="B980" i="5"/>
  <c r="C980" i="5"/>
  <c r="L980" i="5" s="1"/>
  <c r="D980" i="5"/>
  <c r="E980" i="5"/>
  <c r="F980" i="5"/>
  <c r="H980" i="5"/>
  <c r="I980" i="5"/>
  <c r="N980" i="5"/>
  <c r="Q980" i="5"/>
  <c r="R980" i="5"/>
  <c r="S980" i="5"/>
  <c r="T980" i="5"/>
  <c r="B981" i="5"/>
  <c r="C981" i="5"/>
  <c r="L981" i="5" s="1"/>
  <c r="D981" i="5"/>
  <c r="E981" i="5"/>
  <c r="F981" i="5"/>
  <c r="H981" i="5"/>
  <c r="I981" i="5"/>
  <c r="N981" i="5"/>
  <c r="Q981" i="5"/>
  <c r="S981" i="5" s="1"/>
  <c r="R981" i="5"/>
  <c r="T981" i="5"/>
  <c r="B982" i="5"/>
  <c r="C982" i="5"/>
  <c r="D982" i="5"/>
  <c r="E982" i="5"/>
  <c r="F982" i="5"/>
  <c r="H982" i="5"/>
  <c r="I982" i="5"/>
  <c r="N982" i="5"/>
  <c r="R982" i="5"/>
  <c r="Q982" i="5" s="1"/>
  <c r="S982" i="5" s="1"/>
  <c r="T982" i="5"/>
  <c r="B983" i="5"/>
  <c r="C983" i="5"/>
  <c r="L983" i="5" s="1"/>
  <c r="D983" i="5"/>
  <c r="E983" i="5"/>
  <c r="F983" i="5"/>
  <c r="H983" i="5"/>
  <c r="I983" i="5"/>
  <c r="N983" i="5"/>
  <c r="Q983" i="5"/>
  <c r="S983" i="5" s="1"/>
  <c r="R983" i="5"/>
  <c r="T983" i="5"/>
  <c r="B984" i="5"/>
  <c r="C984" i="5"/>
  <c r="D984" i="5"/>
  <c r="E984" i="5"/>
  <c r="F984" i="5"/>
  <c r="H984" i="5"/>
  <c r="I984" i="5"/>
  <c r="N984" i="5"/>
  <c r="Q984" i="5"/>
  <c r="S984" i="5" s="1"/>
  <c r="R984" i="5"/>
  <c r="T984" i="5"/>
  <c r="B985" i="5"/>
  <c r="C985" i="5"/>
  <c r="D985" i="5"/>
  <c r="E985" i="5"/>
  <c r="F985" i="5"/>
  <c r="H985" i="5"/>
  <c r="I985" i="5"/>
  <c r="N985" i="5"/>
  <c r="R985" i="5"/>
  <c r="Q985" i="5" s="1"/>
  <c r="S985" i="5" s="1"/>
  <c r="T985" i="5"/>
  <c r="B986" i="5"/>
  <c r="C986" i="5"/>
  <c r="D986" i="5"/>
  <c r="L986" i="5" s="1"/>
  <c r="E986" i="5"/>
  <c r="F986" i="5"/>
  <c r="H986" i="5"/>
  <c r="I986" i="5"/>
  <c r="N986" i="5"/>
  <c r="R986" i="5"/>
  <c r="Q986" i="5" s="1"/>
  <c r="S986" i="5" s="1"/>
  <c r="T986" i="5"/>
  <c r="B987" i="5"/>
  <c r="C987" i="5"/>
  <c r="D987" i="5"/>
  <c r="E987" i="5"/>
  <c r="F987" i="5"/>
  <c r="H987" i="5"/>
  <c r="I987" i="5"/>
  <c r="N987" i="5"/>
  <c r="Q987" i="5"/>
  <c r="S987" i="5" s="1"/>
  <c r="R987" i="5"/>
  <c r="T987" i="5"/>
  <c r="B988" i="5"/>
  <c r="C988" i="5"/>
  <c r="D988" i="5"/>
  <c r="E988" i="5"/>
  <c r="F988" i="5"/>
  <c r="H988" i="5"/>
  <c r="I988" i="5"/>
  <c r="N988" i="5"/>
  <c r="Q988" i="5"/>
  <c r="R988" i="5"/>
  <c r="S988" i="5"/>
  <c r="T988" i="5"/>
  <c r="B989" i="5"/>
  <c r="C989" i="5"/>
  <c r="D989" i="5"/>
  <c r="E989" i="5"/>
  <c r="F989" i="5"/>
  <c r="H989" i="5"/>
  <c r="I989" i="5"/>
  <c r="L989" i="5"/>
  <c r="N989" i="5"/>
  <c r="Q989" i="5"/>
  <c r="R989" i="5"/>
  <c r="S989" i="5"/>
  <c r="T989" i="5"/>
  <c r="B990" i="5"/>
  <c r="C990" i="5"/>
  <c r="L990" i="5" s="1"/>
  <c r="D990" i="5"/>
  <c r="E990" i="5"/>
  <c r="F990" i="5"/>
  <c r="H990" i="5"/>
  <c r="I990" i="5"/>
  <c r="N990" i="5"/>
  <c r="R990" i="5"/>
  <c r="Q990" i="5" s="1"/>
  <c r="S990" i="5"/>
  <c r="T990" i="5"/>
  <c r="B991" i="5"/>
  <c r="C991" i="5"/>
  <c r="D991" i="5"/>
  <c r="E991" i="5"/>
  <c r="F991" i="5"/>
  <c r="H991" i="5"/>
  <c r="I991" i="5"/>
  <c r="L991" i="5" s="1"/>
  <c r="N991" i="5"/>
  <c r="Q991" i="5"/>
  <c r="S991" i="5" s="1"/>
  <c r="R991" i="5"/>
  <c r="T991" i="5"/>
  <c r="B992" i="5"/>
  <c r="C992" i="5"/>
  <c r="D992" i="5"/>
  <c r="E992" i="5"/>
  <c r="F992" i="5"/>
  <c r="H992" i="5"/>
  <c r="I992" i="5"/>
  <c r="N992" i="5"/>
  <c r="Q992" i="5"/>
  <c r="S992" i="5" s="1"/>
  <c r="R992" i="5"/>
  <c r="T992" i="5"/>
  <c r="B993" i="5"/>
  <c r="C993" i="5"/>
  <c r="D993" i="5"/>
  <c r="E993" i="5"/>
  <c r="F993" i="5"/>
  <c r="H993" i="5"/>
  <c r="I993" i="5"/>
  <c r="L993" i="5"/>
  <c r="N993" i="5"/>
  <c r="R993" i="5"/>
  <c r="Q993" i="5" s="1"/>
  <c r="S993" i="5" s="1"/>
  <c r="T993" i="5"/>
  <c r="B994" i="5"/>
  <c r="C994" i="5"/>
  <c r="D994" i="5"/>
  <c r="E994" i="5"/>
  <c r="F994" i="5"/>
  <c r="H994" i="5"/>
  <c r="I994" i="5"/>
  <c r="L994" i="5"/>
  <c r="N994" i="5"/>
  <c r="R994" i="5"/>
  <c r="Q994" i="5" s="1"/>
  <c r="S994" i="5" s="1"/>
  <c r="T994" i="5"/>
  <c r="B995" i="5"/>
  <c r="C995" i="5"/>
  <c r="L995" i="5" s="1"/>
  <c r="D995" i="5"/>
  <c r="E995" i="5"/>
  <c r="F995" i="5"/>
  <c r="H995" i="5"/>
  <c r="I995" i="5"/>
  <c r="N995" i="5"/>
  <c r="R995" i="5"/>
  <c r="Q995" i="5" s="1"/>
  <c r="S995" i="5" s="1"/>
  <c r="T995" i="5"/>
  <c r="B996" i="5"/>
  <c r="C996" i="5"/>
  <c r="D996" i="5"/>
  <c r="E996" i="5"/>
  <c r="F996" i="5"/>
  <c r="H996" i="5"/>
  <c r="I996" i="5"/>
  <c r="N996" i="5"/>
  <c r="Q996" i="5"/>
  <c r="R996" i="5"/>
  <c r="S996" i="5"/>
  <c r="T996" i="5"/>
  <c r="B997" i="5"/>
  <c r="C997" i="5"/>
  <c r="L997" i="5" s="1"/>
  <c r="D997" i="5"/>
  <c r="E997" i="5"/>
  <c r="F997" i="5"/>
  <c r="H997" i="5"/>
  <c r="I997" i="5"/>
  <c r="N997" i="5"/>
  <c r="Q997" i="5"/>
  <c r="S997" i="5" s="1"/>
  <c r="R997" i="5"/>
  <c r="T997" i="5"/>
  <c r="B998" i="5"/>
  <c r="C998" i="5"/>
  <c r="D998" i="5"/>
  <c r="E998" i="5"/>
  <c r="F998" i="5"/>
  <c r="H998" i="5"/>
  <c r="I998" i="5"/>
  <c r="N998" i="5"/>
  <c r="R998" i="5"/>
  <c r="Q998" i="5" s="1"/>
  <c r="S998" i="5"/>
  <c r="T998" i="5"/>
  <c r="B999" i="5"/>
  <c r="C999" i="5"/>
  <c r="L999" i="5" s="1"/>
  <c r="D999" i="5"/>
  <c r="E999" i="5"/>
  <c r="F999" i="5"/>
  <c r="H999" i="5"/>
  <c r="I999" i="5"/>
  <c r="N999" i="5"/>
  <c r="Q999" i="5"/>
  <c r="S999" i="5" s="1"/>
  <c r="R999" i="5"/>
  <c r="T999" i="5"/>
  <c r="B1000" i="5"/>
  <c r="C1000" i="5"/>
  <c r="D1000" i="5"/>
  <c r="E1000" i="5"/>
  <c r="F1000" i="5"/>
  <c r="H1000" i="5"/>
  <c r="I1000" i="5"/>
  <c r="N1000" i="5"/>
  <c r="Q1000" i="5"/>
  <c r="S1000" i="5" s="1"/>
  <c r="R1000" i="5"/>
  <c r="T1000" i="5"/>
  <c r="B1001" i="5"/>
  <c r="C1001" i="5"/>
  <c r="D1001" i="5"/>
  <c r="E1001" i="5"/>
  <c r="L1001" i="5" s="1"/>
  <c r="F1001" i="5"/>
  <c r="H1001" i="5"/>
  <c r="I1001" i="5"/>
  <c r="N1001" i="5"/>
  <c r="R1001" i="5"/>
  <c r="Q1001" i="5" s="1"/>
  <c r="S1001" i="5"/>
  <c r="T1001" i="5"/>
  <c r="B1002" i="5"/>
  <c r="C1002" i="5"/>
  <c r="D1002" i="5"/>
  <c r="E1002" i="5"/>
  <c r="F1002" i="5"/>
  <c r="H1002" i="5"/>
  <c r="I1002" i="5"/>
  <c r="L1002" i="5"/>
  <c r="N1002" i="5"/>
  <c r="R1002" i="5"/>
  <c r="Q1002" i="5" s="1"/>
  <c r="S1002" i="5" s="1"/>
  <c r="T1002" i="5"/>
  <c r="B1003" i="5"/>
  <c r="C1003" i="5"/>
  <c r="D1003" i="5"/>
  <c r="E1003" i="5"/>
  <c r="F1003" i="5"/>
  <c r="H1003" i="5"/>
  <c r="I1003" i="5"/>
  <c r="N1003" i="5"/>
  <c r="Q1003" i="5"/>
  <c r="S1003" i="5" s="1"/>
  <c r="R1003" i="5"/>
  <c r="T1003" i="5"/>
  <c r="B1004" i="5"/>
  <c r="C1004" i="5"/>
  <c r="D1004" i="5"/>
  <c r="E1004" i="5"/>
  <c r="F1004" i="5"/>
  <c r="H1004" i="5"/>
  <c r="I1004" i="5"/>
  <c r="N1004" i="5"/>
  <c r="Q1004" i="5"/>
  <c r="R1004" i="5"/>
  <c r="S1004" i="5"/>
  <c r="T1004" i="5"/>
  <c r="B1005" i="5"/>
  <c r="C1005" i="5"/>
  <c r="D1005" i="5"/>
  <c r="E1005" i="5"/>
  <c r="L1005" i="5" s="1"/>
  <c r="F1005" i="5"/>
  <c r="H1005" i="5"/>
  <c r="I1005" i="5"/>
  <c r="N1005" i="5"/>
  <c r="Q1005" i="5"/>
  <c r="R1005" i="5"/>
  <c r="S1005" i="5"/>
  <c r="T1005" i="5"/>
  <c r="B1006" i="5"/>
  <c r="C1006" i="5"/>
  <c r="L1006" i="5" s="1"/>
  <c r="D1006" i="5"/>
  <c r="E1006" i="5"/>
  <c r="F1006" i="5"/>
  <c r="H1006" i="5"/>
  <c r="I1006" i="5"/>
  <c r="N1006" i="5"/>
  <c r="R1006" i="5"/>
  <c r="Q1006" i="5" s="1"/>
  <c r="S1006" i="5"/>
  <c r="T1006" i="5"/>
  <c r="B1007" i="5"/>
  <c r="C1007" i="5"/>
  <c r="D1007" i="5"/>
  <c r="E1007" i="5"/>
  <c r="F1007" i="5"/>
  <c r="H1007" i="5"/>
  <c r="I1007" i="5"/>
  <c r="L1007" i="5" s="1"/>
  <c r="N1007" i="5"/>
  <c r="Q1007" i="5"/>
  <c r="S1007" i="5" s="1"/>
  <c r="R1007" i="5"/>
  <c r="T1007" i="5"/>
  <c r="B1008" i="5"/>
  <c r="C1008" i="5"/>
  <c r="D1008" i="5"/>
  <c r="E1008" i="5"/>
  <c r="F1008" i="5"/>
  <c r="H1008" i="5"/>
  <c r="I1008" i="5"/>
  <c r="N1008" i="5"/>
  <c r="Q1008" i="5"/>
  <c r="S1008" i="5" s="1"/>
  <c r="R1008" i="5"/>
  <c r="T1008" i="5"/>
  <c r="B1009" i="5"/>
  <c r="C1009" i="5"/>
  <c r="D1009" i="5"/>
  <c r="E1009" i="5"/>
  <c r="F1009" i="5"/>
  <c r="H1009" i="5"/>
  <c r="I1009" i="5"/>
  <c r="L1009" i="5"/>
  <c r="N1009" i="5"/>
  <c r="R1009" i="5"/>
  <c r="Q1009" i="5" s="1"/>
  <c r="S1009" i="5" s="1"/>
  <c r="T1009" i="5"/>
  <c r="B1010" i="5"/>
  <c r="C1010" i="5"/>
  <c r="D1010" i="5"/>
  <c r="E1010" i="5"/>
  <c r="F1010" i="5"/>
  <c r="H1010" i="5"/>
  <c r="I1010" i="5"/>
  <c r="L1010" i="5"/>
  <c r="N1010" i="5"/>
  <c r="R1010" i="5"/>
  <c r="Q1010" i="5" s="1"/>
  <c r="S1010" i="5" s="1"/>
  <c r="T1010" i="5"/>
  <c r="B1011" i="5"/>
  <c r="C1011" i="5"/>
  <c r="D1011" i="5"/>
  <c r="E1011" i="5"/>
  <c r="F1011" i="5"/>
  <c r="H1011" i="5"/>
  <c r="I1011" i="5"/>
  <c r="N1011" i="5"/>
  <c r="Q1011" i="5"/>
  <c r="R1011" i="5"/>
  <c r="S1011" i="5"/>
  <c r="T1011" i="5"/>
  <c r="B1012" i="5"/>
  <c r="C1012" i="5"/>
  <c r="D1012" i="5"/>
  <c r="E1012" i="5"/>
  <c r="F1012" i="5"/>
  <c r="H1012" i="5"/>
  <c r="I1012" i="5"/>
  <c r="N1012" i="5"/>
  <c r="Q1012" i="5"/>
  <c r="R1012" i="5"/>
  <c r="S1012" i="5"/>
  <c r="T1012" i="5"/>
  <c r="B1013" i="5"/>
  <c r="C1013" i="5"/>
  <c r="L1013" i="5" s="1"/>
  <c r="D1013" i="5"/>
  <c r="E1013" i="5"/>
  <c r="F1013" i="5"/>
  <c r="H1013" i="5"/>
  <c r="I1013" i="5"/>
  <c r="N1013" i="5"/>
  <c r="Q1013" i="5"/>
  <c r="S1013" i="5" s="1"/>
  <c r="R1013" i="5"/>
  <c r="T1013" i="5"/>
  <c r="B1014" i="5"/>
  <c r="C1014" i="5"/>
  <c r="L1014" i="5" s="1"/>
  <c r="D1014" i="5"/>
  <c r="E1014" i="5"/>
  <c r="F1014" i="5"/>
  <c r="H1014" i="5"/>
  <c r="I1014" i="5"/>
  <c r="N1014" i="5"/>
  <c r="R1014" i="5"/>
  <c r="Q1014" i="5" s="1"/>
  <c r="S1014" i="5" s="1"/>
  <c r="T1014" i="5"/>
  <c r="B1015" i="5"/>
  <c r="C1015" i="5"/>
  <c r="D1015" i="5"/>
  <c r="E1015" i="5"/>
  <c r="F1015" i="5"/>
  <c r="H1015" i="5"/>
  <c r="I1015" i="5"/>
  <c r="N1015" i="5"/>
  <c r="Q1015" i="5"/>
  <c r="S1015" i="5" s="1"/>
  <c r="R1015" i="5"/>
  <c r="T1015" i="5"/>
  <c r="B1016" i="5"/>
  <c r="C1016" i="5"/>
  <c r="D1016" i="5"/>
  <c r="E1016" i="5"/>
  <c r="F1016" i="5"/>
  <c r="H1016" i="5"/>
  <c r="I1016" i="5"/>
  <c r="N1016" i="5"/>
  <c r="Q1016" i="5"/>
  <c r="S1016" i="5" s="1"/>
  <c r="R1016" i="5"/>
  <c r="T1016" i="5"/>
  <c r="B1017" i="5"/>
  <c r="C1017" i="5"/>
  <c r="D1017" i="5"/>
  <c r="E1017" i="5"/>
  <c r="F1017" i="5"/>
  <c r="H1017" i="5"/>
  <c r="I1017" i="5"/>
  <c r="L1017" i="5"/>
  <c r="N1017" i="5"/>
  <c r="R1017" i="5"/>
  <c r="Q1017" i="5" s="1"/>
  <c r="S1017" i="5" s="1"/>
  <c r="T1017" i="5"/>
  <c r="B1018" i="5"/>
  <c r="C1018" i="5"/>
  <c r="D1018" i="5"/>
  <c r="L1018" i="5" s="1"/>
  <c r="E1018" i="5"/>
  <c r="F1018" i="5"/>
  <c r="H1018" i="5"/>
  <c r="I1018" i="5"/>
  <c r="N1018" i="5"/>
  <c r="R1018" i="5"/>
  <c r="Q1018" i="5" s="1"/>
  <c r="S1018" i="5" s="1"/>
  <c r="T1018" i="5"/>
  <c r="B1019" i="5"/>
  <c r="C1019" i="5"/>
  <c r="D1019" i="5"/>
  <c r="E1019" i="5"/>
  <c r="F1019" i="5"/>
  <c r="H1019" i="5"/>
  <c r="I1019" i="5"/>
  <c r="N1019" i="5"/>
  <c r="Q1019" i="5"/>
  <c r="R1019" i="5"/>
  <c r="S1019" i="5"/>
  <c r="T1019" i="5"/>
  <c r="B1020" i="5"/>
  <c r="C1020" i="5"/>
  <c r="D1020" i="5"/>
  <c r="E1020" i="5"/>
  <c r="F1020" i="5"/>
  <c r="H1020" i="5"/>
  <c r="I1020" i="5"/>
  <c r="N1020" i="5"/>
  <c r="Q1020" i="5"/>
  <c r="R1020" i="5"/>
  <c r="S1020" i="5"/>
  <c r="T1020" i="5"/>
  <c r="B1021" i="5"/>
  <c r="C1021" i="5"/>
  <c r="D1021" i="5"/>
  <c r="E1021" i="5"/>
  <c r="F1021" i="5"/>
  <c r="H1021" i="5"/>
  <c r="I1021" i="5"/>
  <c r="L1021" i="5"/>
  <c r="N1021" i="5"/>
  <c r="Q1021" i="5"/>
  <c r="R1021" i="5"/>
  <c r="S1021" i="5"/>
  <c r="T1021" i="5"/>
  <c r="B1022" i="5"/>
  <c r="C1022" i="5"/>
  <c r="D1022" i="5"/>
  <c r="E1022" i="5"/>
  <c r="F1022" i="5"/>
  <c r="H1022" i="5"/>
  <c r="I1022" i="5"/>
  <c r="N1022" i="5"/>
  <c r="R1022" i="5"/>
  <c r="Q1022" i="5" s="1"/>
  <c r="S1022" i="5"/>
  <c r="T1022" i="5"/>
  <c r="B1023" i="5"/>
  <c r="C1023" i="5"/>
  <c r="D1023" i="5"/>
  <c r="E1023" i="5"/>
  <c r="F1023" i="5"/>
  <c r="H1023" i="5"/>
  <c r="I1023" i="5"/>
  <c r="L1023" i="5"/>
  <c r="N1023" i="5"/>
  <c r="Q1023" i="5"/>
  <c r="S1023" i="5" s="1"/>
  <c r="R1023" i="5"/>
  <c r="T1023" i="5"/>
  <c r="B1024" i="5"/>
  <c r="C1024" i="5"/>
  <c r="D1024" i="5"/>
  <c r="E1024" i="5"/>
  <c r="F1024" i="5"/>
  <c r="H1024" i="5"/>
  <c r="I1024" i="5"/>
  <c r="N1024" i="5"/>
  <c r="Q1024" i="5"/>
  <c r="S1024" i="5" s="1"/>
  <c r="R1024" i="5"/>
  <c r="T1024" i="5"/>
  <c r="B1025" i="5"/>
  <c r="C1025" i="5"/>
  <c r="D1025" i="5"/>
  <c r="E1025" i="5"/>
  <c r="L1025" i="5" s="1"/>
  <c r="F1025" i="5"/>
  <c r="H1025" i="5"/>
  <c r="I1025" i="5"/>
  <c r="N1025" i="5"/>
  <c r="R1025" i="5"/>
  <c r="Q1025" i="5" s="1"/>
  <c r="S1025" i="5" s="1"/>
  <c r="T1025" i="5"/>
  <c r="B1026" i="5"/>
  <c r="C1026" i="5"/>
  <c r="D1026" i="5"/>
  <c r="E1026" i="5"/>
  <c r="F1026" i="5"/>
  <c r="H1026" i="5"/>
  <c r="I1026" i="5"/>
  <c r="L1026" i="5"/>
  <c r="N1026" i="5"/>
  <c r="R1026" i="5"/>
  <c r="Q1026" i="5" s="1"/>
  <c r="S1026" i="5" s="1"/>
  <c r="T1026" i="5"/>
  <c r="B1027" i="5"/>
  <c r="C1027" i="5"/>
  <c r="D1027" i="5"/>
  <c r="E1027" i="5"/>
  <c r="F1027" i="5"/>
  <c r="H1027" i="5"/>
  <c r="I1027" i="5"/>
  <c r="N1027" i="5"/>
  <c r="R1027" i="5"/>
  <c r="Q1027" i="5" s="1"/>
  <c r="S1027" i="5" s="1"/>
  <c r="T1027" i="5"/>
  <c r="B1028" i="5"/>
  <c r="C1028" i="5"/>
  <c r="D1028" i="5"/>
  <c r="E1028" i="5"/>
  <c r="F1028" i="5"/>
  <c r="H1028" i="5"/>
  <c r="I1028" i="5"/>
  <c r="N1028" i="5"/>
  <c r="Q1028" i="5"/>
  <c r="R1028" i="5"/>
  <c r="S1028" i="5"/>
  <c r="T1028" i="5"/>
  <c r="B1029" i="5"/>
  <c r="C1029" i="5"/>
  <c r="L1029" i="5" s="1"/>
  <c r="D1029" i="5"/>
  <c r="E1029" i="5"/>
  <c r="F1029" i="5"/>
  <c r="H1029" i="5"/>
  <c r="I1029" i="5"/>
  <c r="N1029" i="5"/>
  <c r="Q1029" i="5"/>
  <c r="S1029" i="5" s="1"/>
  <c r="R1029" i="5"/>
  <c r="T1029" i="5"/>
  <c r="B1030" i="5"/>
  <c r="C1030" i="5"/>
  <c r="L1030" i="5" s="1"/>
  <c r="D1030" i="5"/>
  <c r="E1030" i="5"/>
  <c r="F1030" i="5"/>
  <c r="H1030" i="5"/>
  <c r="I1030" i="5"/>
  <c r="N1030" i="5"/>
  <c r="R1030" i="5"/>
  <c r="Q1030" i="5" s="1"/>
  <c r="S1030" i="5"/>
  <c r="T1030" i="5"/>
  <c r="B1031" i="5"/>
  <c r="C1031" i="5"/>
  <c r="D1031" i="5"/>
  <c r="E1031" i="5"/>
  <c r="F1031" i="5"/>
  <c r="H1031" i="5"/>
  <c r="I1031" i="5"/>
  <c r="N1031" i="5"/>
  <c r="Q1031" i="5"/>
  <c r="S1031" i="5" s="1"/>
  <c r="R1031" i="5"/>
  <c r="T1031" i="5"/>
  <c r="B1032" i="5"/>
  <c r="C1032" i="5"/>
  <c r="D1032" i="5"/>
  <c r="E1032" i="5"/>
  <c r="F1032" i="5"/>
  <c r="H1032" i="5"/>
  <c r="I1032" i="5"/>
  <c r="N1032" i="5"/>
  <c r="Q1032" i="5"/>
  <c r="S1032" i="5" s="1"/>
  <c r="R1032" i="5"/>
  <c r="T1032" i="5"/>
  <c r="B1033" i="5"/>
  <c r="C1033" i="5"/>
  <c r="D1033" i="5"/>
  <c r="E1033" i="5"/>
  <c r="F1033" i="5"/>
  <c r="H1033" i="5"/>
  <c r="I1033" i="5"/>
  <c r="L1033" i="5"/>
  <c r="N1033" i="5"/>
  <c r="R1033" i="5"/>
  <c r="Q1033" i="5" s="1"/>
  <c r="S1033" i="5" s="1"/>
  <c r="T1033" i="5"/>
  <c r="B1034" i="5"/>
  <c r="C1034" i="5"/>
  <c r="D1034" i="5"/>
  <c r="E1034" i="5"/>
  <c r="F1034" i="5"/>
  <c r="H1034" i="5"/>
  <c r="I1034" i="5"/>
  <c r="L1034" i="5"/>
  <c r="N1034" i="5"/>
  <c r="R1034" i="5"/>
  <c r="Q1034" i="5" s="1"/>
  <c r="S1034" i="5" s="1"/>
  <c r="T1034" i="5"/>
  <c r="B1035" i="5"/>
  <c r="C1035" i="5"/>
  <c r="D1035" i="5"/>
  <c r="E1035" i="5"/>
  <c r="F1035" i="5"/>
  <c r="H1035" i="5"/>
  <c r="I1035" i="5"/>
  <c r="N1035" i="5"/>
  <c r="Q1035" i="5"/>
  <c r="R1035" i="5"/>
  <c r="S1035" i="5"/>
  <c r="T1035" i="5"/>
  <c r="B1036" i="5"/>
  <c r="C1036" i="5"/>
  <c r="D1036" i="5"/>
  <c r="E1036" i="5"/>
  <c r="F1036" i="5"/>
  <c r="H1036" i="5"/>
  <c r="I1036" i="5"/>
  <c r="N1036" i="5"/>
  <c r="Q1036" i="5"/>
  <c r="R1036" i="5"/>
  <c r="S1036" i="5"/>
  <c r="T1036" i="5"/>
  <c r="B1037" i="5"/>
  <c r="C1037" i="5"/>
  <c r="D1037" i="5"/>
  <c r="E1037" i="5"/>
  <c r="L1037" i="5" s="1"/>
  <c r="F1037" i="5"/>
  <c r="H1037" i="5"/>
  <c r="I1037" i="5"/>
  <c r="N1037" i="5"/>
  <c r="Q1037" i="5"/>
  <c r="R1037" i="5"/>
  <c r="S1037" i="5"/>
  <c r="T1037" i="5"/>
  <c r="B1038" i="5"/>
  <c r="C1038" i="5"/>
  <c r="D1038" i="5"/>
  <c r="E1038" i="5"/>
  <c r="F1038" i="5"/>
  <c r="H1038" i="5"/>
  <c r="I1038" i="5"/>
  <c r="N1038" i="5"/>
  <c r="R1038" i="5"/>
  <c r="Q1038" i="5" s="1"/>
  <c r="S1038" i="5"/>
  <c r="T1038" i="5"/>
  <c r="B1039" i="5"/>
  <c r="C1039" i="5"/>
  <c r="D1039" i="5"/>
  <c r="E1039" i="5"/>
  <c r="F1039" i="5"/>
  <c r="H1039" i="5"/>
  <c r="I1039" i="5"/>
  <c r="L1039" i="5" s="1"/>
  <c r="N1039" i="5"/>
  <c r="Q1039" i="5"/>
  <c r="S1039" i="5" s="1"/>
  <c r="R1039" i="5"/>
  <c r="T1039" i="5"/>
  <c r="B1040" i="5"/>
  <c r="C1040" i="5"/>
  <c r="D1040" i="5"/>
  <c r="E1040" i="5"/>
  <c r="F1040" i="5"/>
  <c r="H1040" i="5"/>
  <c r="I1040" i="5"/>
  <c r="N1040" i="5"/>
  <c r="Q1040" i="5"/>
  <c r="S1040" i="5" s="1"/>
  <c r="R1040" i="5"/>
  <c r="T1040" i="5"/>
  <c r="B1041" i="5"/>
  <c r="C1041" i="5"/>
  <c r="D1041" i="5"/>
  <c r="E1041" i="5"/>
  <c r="F1041" i="5"/>
  <c r="H1041" i="5"/>
  <c r="I1041" i="5"/>
  <c r="N1041" i="5"/>
  <c r="R1041" i="5"/>
  <c r="Q1041" i="5" s="1"/>
  <c r="S1041" i="5" s="1"/>
  <c r="T1041" i="5"/>
  <c r="B1042" i="5"/>
  <c r="C1042" i="5"/>
  <c r="D1042" i="5"/>
  <c r="E1042" i="5"/>
  <c r="F1042" i="5"/>
  <c r="H1042" i="5"/>
  <c r="I1042" i="5"/>
  <c r="L1042" i="5"/>
  <c r="N1042" i="5"/>
  <c r="R1042" i="5"/>
  <c r="Q1042" i="5" s="1"/>
  <c r="S1042" i="5" s="1"/>
  <c r="T1042" i="5"/>
  <c r="B1043" i="5"/>
  <c r="C1043" i="5"/>
  <c r="D1043" i="5"/>
  <c r="E1043" i="5"/>
  <c r="F1043" i="5"/>
  <c r="H1043" i="5"/>
  <c r="I1043" i="5"/>
  <c r="N1043" i="5"/>
  <c r="Q1043" i="5"/>
  <c r="S1043" i="5" s="1"/>
  <c r="R1043" i="5"/>
  <c r="T1043" i="5"/>
  <c r="B1044" i="5"/>
  <c r="C1044" i="5"/>
  <c r="L1044" i="5" s="1"/>
  <c r="D1044" i="5"/>
  <c r="E1044" i="5"/>
  <c r="F1044" i="5"/>
  <c r="H1044" i="5"/>
  <c r="I1044" i="5"/>
  <c r="N1044" i="5"/>
  <c r="Q1044" i="5"/>
  <c r="R1044" i="5"/>
  <c r="S1044" i="5"/>
  <c r="T1044" i="5"/>
  <c r="B1045" i="5"/>
  <c r="C1045" i="5"/>
  <c r="L1045" i="5" s="1"/>
  <c r="D1045" i="5"/>
  <c r="E1045" i="5"/>
  <c r="F1045" i="5"/>
  <c r="H1045" i="5"/>
  <c r="I1045" i="5"/>
  <c r="N1045" i="5"/>
  <c r="Q1045" i="5"/>
  <c r="S1045" i="5" s="1"/>
  <c r="R1045" i="5"/>
  <c r="T1045" i="5"/>
  <c r="B1046" i="5"/>
  <c r="C1046" i="5"/>
  <c r="D1046" i="5"/>
  <c r="E1046" i="5"/>
  <c r="F1046" i="5"/>
  <c r="H1046" i="5"/>
  <c r="I1046" i="5"/>
  <c r="N1046" i="5"/>
  <c r="R1046" i="5"/>
  <c r="Q1046" i="5" s="1"/>
  <c r="S1046" i="5" s="1"/>
  <c r="T1046" i="5"/>
  <c r="B1047" i="5"/>
  <c r="C1047" i="5"/>
  <c r="D1047" i="5"/>
  <c r="E1047" i="5"/>
  <c r="F1047" i="5"/>
  <c r="H1047" i="5"/>
  <c r="I1047" i="5"/>
  <c r="N1047" i="5"/>
  <c r="Q1047" i="5"/>
  <c r="S1047" i="5" s="1"/>
  <c r="R1047" i="5"/>
  <c r="T1047" i="5"/>
  <c r="B1048" i="5"/>
  <c r="C1048" i="5"/>
  <c r="D1048" i="5"/>
  <c r="E1048" i="5"/>
  <c r="F1048" i="5"/>
  <c r="H1048" i="5"/>
  <c r="I1048" i="5"/>
  <c r="N1048" i="5"/>
  <c r="Q1048" i="5"/>
  <c r="S1048" i="5" s="1"/>
  <c r="R1048" i="5"/>
  <c r="T1048" i="5"/>
  <c r="B1049" i="5"/>
  <c r="C1049" i="5"/>
  <c r="D1049" i="5"/>
  <c r="E1049" i="5"/>
  <c r="F1049" i="5"/>
  <c r="H1049" i="5"/>
  <c r="I1049" i="5"/>
  <c r="L1049" i="5"/>
  <c r="N1049" i="5"/>
  <c r="R1049" i="5"/>
  <c r="Q1049" i="5" s="1"/>
  <c r="S1049" i="5" s="1"/>
  <c r="T1049" i="5"/>
  <c r="B1050" i="5"/>
  <c r="C1050" i="5"/>
  <c r="D1050" i="5"/>
  <c r="E1050" i="5"/>
  <c r="F1050" i="5"/>
  <c r="H1050" i="5"/>
  <c r="I1050" i="5"/>
  <c r="L1050" i="5"/>
  <c r="N1050" i="5"/>
  <c r="R1050" i="5"/>
  <c r="Q1050" i="5" s="1"/>
  <c r="S1050" i="5" s="1"/>
  <c r="T1050" i="5"/>
  <c r="B1051" i="5"/>
  <c r="C1051" i="5"/>
  <c r="D1051" i="5"/>
  <c r="E1051" i="5"/>
  <c r="F1051" i="5"/>
  <c r="H1051" i="5"/>
  <c r="I1051" i="5"/>
  <c r="N1051" i="5"/>
  <c r="Q1051" i="5"/>
  <c r="R1051" i="5"/>
  <c r="S1051" i="5"/>
  <c r="T1051" i="5"/>
  <c r="B1052" i="5"/>
  <c r="C1052" i="5"/>
  <c r="D1052" i="5"/>
  <c r="E1052" i="5"/>
  <c r="F1052" i="5"/>
  <c r="H1052" i="5"/>
  <c r="I1052" i="5"/>
  <c r="N1052" i="5"/>
  <c r="Q1052" i="5"/>
  <c r="R1052" i="5"/>
  <c r="S1052" i="5"/>
  <c r="T1052" i="5"/>
  <c r="B1053" i="5"/>
  <c r="C1053" i="5"/>
  <c r="D1053" i="5"/>
  <c r="E1053" i="5"/>
  <c r="F1053" i="5"/>
  <c r="H1053" i="5"/>
  <c r="I1053" i="5"/>
  <c r="L1053" i="5"/>
  <c r="N1053" i="5"/>
  <c r="Q1053" i="5"/>
  <c r="R1053" i="5"/>
  <c r="S1053" i="5"/>
  <c r="T1053" i="5"/>
  <c r="B1054" i="5"/>
  <c r="C1054" i="5"/>
  <c r="D1054" i="5"/>
  <c r="E1054" i="5"/>
  <c r="F1054" i="5"/>
  <c r="H1054" i="5"/>
  <c r="I1054" i="5"/>
  <c r="N1054" i="5"/>
  <c r="R1054" i="5"/>
  <c r="Q1054" i="5" s="1"/>
  <c r="S1054" i="5"/>
  <c r="T1054" i="5"/>
  <c r="B1055" i="5"/>
  <c r="C1055" i="5"/>
  <c r="D1055" i="5"/>
  <c r="E1055" i="5"/>
  <c r="F1055" i="5"/>
  <c r="H1055" i="5"/>
  <c r="I1055" i="5"/>
  <c r="L1055" i="5"/>
  <c r="N1055" i="5"/>
  <c r="Q1055" i="5"/>
  <c r="S1055" i="5" s="1"/>
  <c r="R1055" i="5"/>
  <c r="T1055" i="5"/>
  <c r="B1057" i="5"/>
  <c r="C1057" i="5"/>
  <c r="D1057" i="5"/>
  <c r="E1057" i="5"/>
  <c r="F1057" i="5"/>
  <c r="G1057" i="5"/>
  <c r="H1057" i="5"/>
  <c r="I1057" i="5"/>
  <c r="J1057" i="5"/>
  <c r="K1057" i="5"/>
  <c r="N1057" i="5"/>
  <c r="O1057" i="5"/>
  <c r="P1057" i="5"/>
  <c r="R1057" i="5"/>
  <c r="T1057" i="5"/>
  <c r="B1058" i="5"/>
  <c r="C1058" i="5"/>
  <c r="D1058" i="5"/>
  <c r="E1058" i="5"/>
  <c r="F1058" i="5"/>
  <c r="G1058" i="5"/>
  <c r="H1058" i="5"/>
  <c r="I1058" i="5"/>
  <c r="J1058" i="5"/>
  <c r="K1058" i="5"/>
  <c r="N1058" i="5"/>
  <c r="O1058" i="5"/>
  <c r="P1058" i="5"/>
  <c r="R1058" i="5"/>
  <c r="T1058" i="5"/>
  <c r="B1059" i="5"/>
  <c r="C1059" i="5"/>
  <c r="D1059" i="5"/>
  <c r="E1059" i="5"/>
  <c r="F1059" i="5"/>
  <c r="G1059" i="5"/>
  <c r="H1059" i="5"/>
  <c r="I1059" i="5"/>
  <c r="J1059" i="5"/>
  <c r="K1059" i="5"/>
  <c r="N1059" i="5"/>
  <c r="O1059" i="5"/>
  <c r="P1059" i="5"/>
  <c r="Q1059" i="5"/>
  <c r="R1059" i="5"/>
  <c r="S1059" i="5"/>
  <c r="T1059" i="5"/>
  <c r="B1060" i="5"/>
  <c r="C1060" i="5"/>
  <c r="D1060" i="5"/>
  <c r="E1060" i="5"/>
  <c r="F1060" i="5"/>
  <c r="G1060" i="5"/>
  <c r="H1060" i="5"/>
  <c r="I1060" i="5"/>
  <c r="J1060" i="5"/>
  <c r="K1060" i="5"/>
  <c r="M1060" i="5"/>
  <c r="N1060" i="5"/>
  <c r="O1060" i="5"/>
  <c r="P1060" i="5"/>
  <c r="Q1060" i="5"/>
  <c r="R1060" i="5"/>
  <c r="S1060" i="5"/>
  <c r="T1060" i="5"/>
  <c r="B1061" i="5"/>
  <c r="C1061" i="5"/>
  <c r="D1061" i="5"/>
  <c r="E1061" i="5"/>
  <c r="F1061" i="5"/>
  <c r="G1061" i="5"/>
  <c r="H1061" i="5"/>
  <c r="I1061" i="5"/>
  <c r="J1061" i="5"/>
  <c r="K1061" i="5"/>
  <c r="M1061" i="5"/>
  <c r="N1061" i="5"/>
  <c r="O1061" i="5"/>
  <c r="P1061" i="5"/>
  <c r="Q1061" i="5"/>
  <c r="R1061" i="5"/>
  <c r="S1061" i="5"/>
  <c r="T1061" i="5"/>
  <c r="B1062" i="5"/>
  <c r="D1062" i="5"/>
  <c r="F1062" i="5"/>
  <c r="G1062" i="5"/>
  <c r="H1062" i="5"/>
  <c r="J1062" i="5"/>
  <c r="K1062" i="5"/>
  <c r="M1062" i="5"/>
  <c r="O1062" i="5"/>
  <c r="P1062" i="5"/>
  <c r="R1062" i="5"/>
  <c r="T1062" i="5"/>
  <c r="B1063" i="5"/>
  <c r="C1063" i="5"/>
  <c r="D1063" i="5"/>
  <c r="E1063" i="5"/>
  <c r="G1063" i="5"/>
  <c r="H1063" i="5"/>
  <c r="J1063" i="5"/>
  <c r="K1063" i="5"/>
  <c r="M1063" i="5"/>
  <c r="N1063" i="5"/>
  <c r="O1063" i="5"/>
  <c r="P1063" i="5"/>
  <c r="T1063" i="5"/>
  <c r="B1064" i="5"/>
  <c r="G1064" i="5"/>
  <c r="J1064" i="5"/>
  <c r="K1064" i="5"/>
  <c r="M1064" i="5"/>
  <c r="O1064" i="5"/>
  <c r="P1064" i="5"/>
  <c r="T1064" i="5"/>
  <c r="B1065" i="5"/>
  <c r="C1065" i="5"/>
  <c r="D1065" i="5"/>
  <c r="E1065" i="5"/>
  <c r="G1065" i="5"/>
  <c r="H1065" i="5"/>
  <c r="J1065" i="5"/>
  <c r="K1065" i="5"/>
  <c r="M1065" i="5"/>
  <c r="N1065" i="5"/>
  <c r="O1065" i="5"/>
  <c r="P1065" i="5"/>
  <c r="R1065" i="5"/>
  <c r="T1065" i="5"/>
  <c r="B1066" i="5"/>
  <c r="C1066" i="5"/>
  <c r="D1066" i="5"/>
  <c r="E1066" i="5"/>
  <c r="F1066" i="5"/>
  <c r="G1066" i="5"/>
  <c r="H1066" i="5"/>
  <c r="J1066" i="5"/>
  <c r="K1066" i="5"/>
  <c r="M1066" i="5"/>
  <c r="O1066" i="5"/>
  <c r="P1066" i="5"/>
  <c r="R1066" i="5"/>
  <c r="B1067" i="5"/>
  <c r="C1067" i="5"/>
  <c r="D1067" i="5"/>
  <c r="E1067" i="5"/>
  <c r="G1067" i="5"/>
  <c r="H1067" i="5"/>
  <c r="J1067" i="5"/>
  <c r="K1067" i="5"/>
  <c r="M1067" i="5"/>
  <c r="N1067" i="5"/>
  <c r="O1067" i="5"/>
  <c r="P1067" i="5"/>
  <c r="Q1067" i="5"/>
  <c r="R1067" i="5"/>
  <c r="T1067" i="5"/>
  <c r="B1068" i="5"/>
  <c r="E1068" i="5"/>
  <c r="F1068" i="5"/>
  <c r="G1068" i="5"/>
  <c r="H1068" i="5"/>
  <c r="J1068" i="5"/>
  <c r="K1068" i="5"/>
  <c r="M1068" i="5"/>
  <c r="N1068" i="5"/>
  <c r="O1068" i="5"/>
  <c r="P1068" i="5"/>
  <c r="T1068" i="5"/>
  <c r="B1069" i="5"/>
  <c r="D1069" i="5"/>
  <c r="E1069" i="5"/>
  <c r="G1069" i="5"/>
  <c r="I1069" i="5"/>
  <c r="J1069" i="5"/>
  <c r="K1069" i="5"/>
  <c r="M1069" i="5"/>
  <c r="N1069" i="5"/>
  <c r="O1069" i="5"/>
  <c r="P1069" i="5"/>
  <c r="Q1069" i="5"/>
  <c r="R1069" i="5"/>
  <c r="S1069" i="5"/>
  <c r="T1069" i="5"/>
  <c r="B1070" i="5"/>
  <c r="C1070" i="5"/>
  <c r="D1070" i="5"/>
  <c r="E1070" i="5"/>
  <c r="F1070" i="5"/>
  <c r="G1070" i="5"/>
  <c r="H1070" i="5"/>
  <c r="J1070" i="5"/>
  <c r="K1070" i="5"/>
  <c r="M1070" i="5"/>
  <c r="N1070" i="5"/>
  <c r="O1070" i="5"/>
  <c r="P1070" i="5"/>
  <c r="R1070" i="5"/>
  <c r="T1070" i="5"/>
  <c r="B1071" i="5"/>
  <c r="C1071" i="5"/>
  <c r="D1071" i="5"/>
  <c r="E1071" i="5"/>
  <c r="G1071" i="5"/>
  <c r="H1071" i="5"/>
  <c r="J1071" i="5"/>
  <c r="K1071" i="5"/>
  <c r="M1071" i="5"/>
  <c r="N1071" i="5"/>
  <c r="O1071" i="5"/>
  <c r="P1071" i="5"/>
  <c r="R1071" i="5"/>
  <c r="T1071" i="5"/>
  <c r="B1072" i="5"/>
  <c r="C1072" i="5"/>
  <c r="D1072" i="5"/>
  <c r="F1072" i="5"/>
  <c r="G1072" i="5"/>
  <c r="H1072" i="5"/>
  <c r="I1072" i="5"/>
  <c r="J1072" i="5"/>
  <c r="K1072" i="5"/>
  <c r="M1072" i="5"/>
  <c r="O1072" i="5"/>
  <c r="P1072" i="5"/>
  <c r="T1072" i="5"/>
  <c r="B1073" i="5"/>
  <c r="C1073" i="5"/>
  <c r="E1073" i="5"/>
  <c r="F1073" i="5"/>
  <c r="G1073" i="5"/>
  <c r="I1073" i="5"/>
  <c r="J1073" i="5"/>
  <c r="K1073" i="5"/>
  <c r="M1073" i="5"/>
  <c r="N1073" i="5"/>
  <c r="O1073" i="5"/>
  <c r="P1073" i="5"/>
  <c r="R1073" i="5"/>
  <c r="T1073" i="5"/>
  <c r="B1074" i="5"/>
  <c r="C1074" i="5"/>
  <c r="G1074" i="5"/>
  <c r="J1074" i="5"/>
  <c r="K1074" i="5"/>
  <c r="M1074" i="5"/>
  <c r="N1074" i="5"/>
  <c r="O1074" i="5"/>
  <c r="P1074" i="5"/>
  <c r="R1074" i="5"/>
  <c r="B1075" i="5"/>
  <c r="E1075" i="5"/>
  <c r="F1075" i="5"/>
  <c r="G1075" i="5"/>
  <c r="J1075" i="5"/>
  <c r="K1075" i="5"/>
  <c r="M1075" i="5"/>
  <c r="N1075" i="5"/>
  <c r="O1075" i="5"/>
  <c r="P1075" i="5"/>
  <c r="R1075" i="5"/>
  <c r="T1075" i="5"/>
  <c r="B1076" i="5"/>
  <c r="D1076" i="5"/>
  <c r="E1076" i="5"/>
  <c r="F1076" i="5"/>
  <c r="G1076" i="5"/>
  <c r="H1076" i="5"/>
  <c r="J1076" i="5"/>
  <c r="K1076" i="5"/>
  <c r="M1076" i="5"/>
  <c r="N1076" i="5"/>
  <c r="O1076" i="5"/>
  <c r="P1076" i="5"/>
  <c r="R1076" i="5"/>
  <c r="T1076" i="5"/>
  <c r="B1077" i="5"/>
  <c r="C1077" i="5"/>
  <c r="E1077" i="5"/>
  <c r="F1077" i="5"/>
  <c r="G1077" i="5"/>
  <c r="J1077" i="5"/>
  <c r="K1077" i="5"/>
  <c r="M1077" i="5"/>
  <c r="N1077" i="5"/>
  <c r="O1077" i="5"/>
  <c r="P1077" i="5"/>
  <c r="R1077" i="5"/>
  <c r="T1077" i="5"/>
  <c r="B1078" i="5"/>
  <c r="F1078" i="5"/>
  <c r="G1078" i="5"/>
  <c r="H1078" i="5"/>
  <c r="J1078" i="5"/>
  <c r="K1078" i="5"/>
  <c r="M1078" i="5"/>
  <c r="N1078" i="5"/>
  <c r="O1078" i="5"/>
  <c r="P1078" i="5"/>
  <c r="R1078" i="5"/>
  <c r="T1078" i="5"/>
  <c r="B1079" i="5"/>
  <c r="D1079" i="5"/>
  <c r="F1079" i="5"/>
  <c r="G1079" i="5"/>
  <c r="H1079" i="5"/>
  <c r="J1079" i="5"/>
  <c r="K1079" i="5"/>
  <c r="M1079" i="5"/>
  <c r="N1079" i="5"/>
  <c r="O1079" i="5"/>
  <c r="P1079" i="5"/>
  <c r="R1079" i="5"/>
  <c r="T1079" i="5"/>
  <c r="B1080" i="5"/>
  <c r="C1080" i="5"/>
  <c r="D1080" i="5"/>
  <c r="F1080" i="5"/>
  <c r="G1080" i="5"/>
  <c r="H1080" i="5"/>
  <c r="I1080" i="5"/>
  <c r="J1080" i="5"/>
  <c r="K1080" i="5"/>
  <c r="M1080" i="5"/>
  <c r="N1080" i="5"/>
  <c r="O1080" i="5"/>
  <c r="P1080" i="5"/>
  <c r="Q1080" i="5"/>
  <c r="R1080" i="5"/>
  <c r="T1080" i="5"/>
  <c r="A1081" i="5"/>
  <c r="B1081" i="5" s="1"/>
  <c r="D1081" i="5"/>
  <c r="E1081" i="5"/>
  <c r="F1081" i="5"/>
  <c r="G1081" i="5"/>
  <c r="H1081" i="5"/>
  <c r="J1081" i="5"/>
  <c r="K1081" i="5"/>
  <c r="M1081" i="5"/>
  <c r="N1081" i="5"/>
  <c r="O1081" i="5"/>
  <c r="P1081" i="5"/>
  <c r="T1081" i="5"/>
  <c r="A1082" i="5"/>
  <c r="A1083" i="5" s="1"/>
  <c r="B1083" i="5" s="1"/>
  <c r="B1082" i="5"/>
  <c r="D1082" i="5"/>
  <c r="E1082" i="5"/>
  <c r="F1082" i="5"/>
  <c r="G1082" i="5"/>
  <c r="I1082" i="5"/>
  <c r="J1082" i="5"/>
  <c r="K1082" i="5"/>
  <c r="M1082" i="5"/>
  <c r="N1082" i="5"/>
  <c r="O1082" i="5"/>
  <c r="P1082" i="5"/>
  <c r="R1082" i="5"/>
  <c r="T1082" i="5"/>
  <c r="C1083" i="5"/>
  <c r="D1083" i="5"/>
  <c r="E1083" i="5"/>
  <c r="F1083" i="5"/>
  <c r="G1083" i="5"/>
  <c r="H1083" i="5"/>
  <c r="J1083" i="5"/>
  <c r="K1083" i="5"/>
  <c r="M1083" i="5"/>
  <c r="N1083" i="5"/>
  <c r="O1083" i="5"/>
  <c r="P1083" i="5"/>
  <c r="R1083" i="5"/>
  <c r="T1083" i="5"/>
  <c r="A1084" i="5"/>
  <c r="C1084" i="5"/>
  <c r="E1084" i="5"/>
  <c r="F1084" i="5"/>
  <c r="G1084" i="5"/>
  <c r="H1084" i="5"/>
  <c r="I1084" i="5"/>
  <c r="J1084" i="5"/>
  <c r="K1084" i="5"/>
  <c r="M1084" i="5"/>
  <c r="N1084" i="5"/>
  <c r="O1084" i="5"/>
  <c r="P1084" i="5"/>
  <c r="Q1084" i="5"/>
  <c r="R1084" i="5"/>
  <c r="T1084" i="5"/>
  <c r="C1085" i="5"/>
  <c r="D1085" i="5"/>
  <c r="E1085" i="5"/>
  <c r="F1085" i="5"/>
  <c r="G1085" i="5"/>
  <c r="H1085" i="5"/>
  <c r="J1085" i="5"/>
  <c r="K1085" i="5"/>
  <c r="M1085" i="5"/>
  <c r="N1085" i="5"/>
  <c r="O1085" i="5"/>
  <c r="P1085" i="5"/>
  <c r="T1085" i="5"/>
  <c r="E1086" i="5"/>
  <c r="F1086" i="5"/>
  <c r="G1086" i="5"/>
  <c r="H1086" i="5"/>
  <c r="I1086" i="5"/>
  <c r="J1086" i="5"/>
  <c r="K1086" i="5"/>
  <c r="M1086" i="5"/>
  <c r="N1086" i="5"/>
  <c r="O1086" i="5"/>
  <c r="P1086" i="5"/>
  <c r="T1086" i="5"/>
  <c r="C1087" i="5"/>
  <c r="D1087" i="5"/>
  <c r="F1087" i="5"/>
  <c r="G1087" i="5"/>
  <c r="H1087" i="5"/>
  <c r="J1087" i="5"/>
  <c r="K1087" i="5"/>
  <c r="M1087" i="5"/>
  <c r="N1087" i="5"/>
  <c r="O1087" i="5"/>
  <c r="P1087" i="5"/>
  <c r="T1087" i="5"/>
  <c r="D1088" i="5"/>
  <c r="F1088" i="5"/>
  <c r="G1088" i="5"/>
  <c r="H1088" i="5"/>
  <c r="J1088" i="5"/>
  <c r="K1088" i="5"/>
  <c r="M1088" i="5"/>
  <c r="N1088" i="5"/>
  <c r="O1088" i="5"/>
  <c r="P1088" i="5"/>
  <c r="R1088" i="5"/>
  <c r="T1088" i="5"/>
  <c r="C1089" i="5"/>
  <c r="D1089" i="5"/>
  <c r="E1089" i="5"/>
  <c r="F1089" i="5"/>
  <c r="G1089" i="5"/>
  <c r="J1089" i="5"/>
  <c r="K1089" i="5"/>
  <c r="M1089" i="5"/>
  <c r="N1089" i="5"/>
  <c r="O1089" i="5"/>
  <c r="P1089" i="5"/>
  <c r="T1089" i="5"/>
  <c r="D1090" i="5"/>
  <c r="F1090" i="5"/>
  <c r="G1090" i="5"/>
  <c r="J1090" i="5"/>
  <c r="K1090" i="5"/>
  <c r="M1090" i="5"/>
  <c r="N1090" i="5"/>
  <c r="O1090" i="5"/>
  <c r="P1090" i="5"/>
  <c r="T1090" i="5"/>
  <c r="E1091" i="5"/>
  <c r="F1091" i="5"/>
  <c r="G1091" i="5"/>
  <c r="H1091" i="5"/>
  <c r="J1091" i="5"/>
  <c r="K1091" i="5"/>
  <c r="M1091" i="5"/>
  <c r="N1091" i="5"/>
  <c r="O1091" i="5"/>
  <c r="P1091" i="5"/>
  <c r="T1091" i="5"/>
  <c r="F1092" i="5"/>
  <c r="G1092" i="5"/>
  <c r="I1092" i="5"/>
  <c r="J1092" i="5"/>
  <c r="K1092" i="5"/>
  <c r="M1092" i="5"/>
  <c r="N1092" i="5"/>
  <c r="O1092" i="5"/>
  <c r="P1092" i="5"/>
  <c r="Q1092" i="5"/>
  <c r="R1092" i="5"/>
  <c r="T1092" i="5"/>
  <c r="E1093" i="5"/>
  <c r="F1093" i="5"/>
  <c r="G1093" i="5"/>
  <c r="J1093" i="5"/>
  <c r="K1093" i="5"/>
  <c r="M1093" i="5"/>
  <c r="N1093" i="5"/>
  <c r="O1093" i="5"/>
  <c r="P1093" i="5"/>
  <c r="T1093" i="5"/>
  <c r="D1094" i="5"/>
  <c r="F1094" i="5"/>
  <c r="G1094" i="5"/>
  <c r="I1094" i="5"/>
  <c r="J1094" i="5"/>
  <c r="K1094" i="5"/>
  <c r="M1094" i="5"/>
  <c r="N1094" i="5"/>
  <c r="O1094" i="5"/>
  <c r="P1094" i="5"/>
  <c r="T1094" i="5"/>
  <c r="F1095" i="5"/>
  <c r="G1095" i="5"/>
  <c r="J1095" i="5"/>
  <c r="K1095" i="5"/>
  <c r="M1095" i="5"/>
  <c r="N1095" i="5"/>
  <c r="O1095" i="5"/>
  <c r="P1095" i="5"/>
  <c r="T1095" i="5"/>
  <c r="D1096" i="5"/>
  <c r="F1096" i="5"/>
  <c r="G1096" i="5"/>
  <c r="I1096" i="5"/>
  <c r="J1096" i="5"/>
  <c r="K1096" i="5"/>
  <c r="M1096" i="5"/>
  <c r="N1096" i="5"/>
  <c r="O1096" i="5"/>
  <c r="P1096" i="5"/>
  <c r="T1096" i="5"/>
  <c r="F1097" i="5"/>
  <c r="G1097" i="5"/>
  <c r="H1097" i="5"/>
  <c r="J1097" i="5"/>
  <c r="K1097" i="5"/>
  <c r="M1097" i="5"/>
  <c r="N1097" i="5"/>
  <c r="O1097" i="5"/>
  <c r="P1097" i="5"/>
  <c r="D1098" i="5"/>
  <c r="G1098" i="5"/>
  <c r="H1098" i="5"/>
  <c r="J1098" i="5"/>
  <c r="K1098" i="5"/>
  <c r="M1098" i="5"/>
  <c r="O1098" i="5"/>
  <c r="P1098" i="5"/>
  <c r="R1098" i="5"/>
  <c r="T1098" i="5"/>
  <c r="E1099" i="5"/>
  <c r="F1099" i="5"/>
  <c r="G1099" i="5"/>
  <c r="H1099" i="5"/>
  <c r="J1099" i="5"/>
  <c r="K1099" i="5"/>
  <c r="M1099" i="5"/>
  <c r="N1099" i="5"/>
  <c r="O1099" i="5"/>
  <c r="P1099" i="5"/>
  <c r="E1100" i="5"/>
  <c r="G1100" i="5"/>
  <c r="H1100" i="5"/>
  <c r="J1100" i="5"/>
  <c r="K1100" i="5"/>
  <c r="M1100" i="5"/>
  <c r="O1100" i="5"/>
  <c r="P1100" i="5"/>
  <c r="R1100" i="5"/>
  <c r="C1101" i="5"/>
  <c r="D1101" i="5"/>
  <c r="E1101" i="5"/>
  <c r="G1101" i="5"/>
  <c r="H1101" i="5"/>
  <c r="J1101" i="5"/>
  <c r="K1101" i="5"/>
  <c r="M1101" i="5"/>
  <c r="N1101" i="5"/>
  <c r="O1101" i="5"/>
  <c r="P1101" i="5"/>
  <c r="C1102" i="5"/>
  <c r="E1102" i="5"/>
  <c r="G1102" i="5"/>
  <c r="H1102" i="5"/>
  <c r="J1102" i="5"/>
  <c r="K1102" i="5"/>
  <c r="M1102" i="5"/>
  <c r="O1102" i="5"/>
  <c r="P1102" i="5"/>
  <c r="T1102" i="5"/>
  <c r="C1103" i="5"/>
  <c r="E1103" i="5"/>
  <c r="F1103" i="5"/>
  <c r="G1103" i="5"/>
  <c r="H1103" i="5"/>
  <c r="J1103" i="5"/>
  <c r="K1103" i="5"/>
  <c r="M1103" i="5"/>
  <c r="N1103" i="5"/>
  <c r="O1103" i="5"/>
  <c r="P1103" i="5"/>
  <c r="T1103" i="5"/>
  <c r="C1104" i="5"/>
  <c r="E1104" i="5"/>
  <c r="G1104" i="5"/>
  <c r="H1104" i="5"/>
  <c r="J1104" i="5"/>
  <c r="K1104" i="5"/>
  <c r="M1104" i="5"/>
  <c r="O1104" i="5"/>
  <c r="P1104" i="5"/>
  <c r="R1104" i="5"/>
  <c r="C9" i="4"/>
  <c r="E9" i="4"/>
  <c r="K13" i="4"/>
  <c r="K14" i="4"/>
  <c r="B17" i="4"/>
  <c r="C17" i="4"/>
  <c r="D17" i="4"/>
  <c r="E17" i="4"/>
  <c r="F17" i="4"/>
  <c r="G17" i="4"/>
  <c r="H17" i="4"/>
  <c r="I17" i="4"/>
  <c r="J17" i="4"/>
  <c r="K17" i="4"/>
  <c r="L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Z18" i="4"/>
  <c r="AA18" i="4"/>
  <c r="AB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Z19" i="4"/>
  <c r="AA19" i="4"/>
  <c r="AB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D20" i="4" s="1"/>
  <c r="O20" i="4"/>
  <c r="P20" i="4"/>
  <c r="Q20" i="4"/>
  <c r="R20" i="4"/>
  <c r="S20" i="4"/>
  <c r="T20" i="4"/>
  <c r="U20" i="4"/>
  <c r="V20" i="4"/>
  <c r="W20" i="4"/>
  <c r="X20" i="4"/>
  <c r="Z20" i="4"/>
  <c r="AA20" i="4"/>
  <c r="AB20" i="4"/>
  <c r="AC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Z21" i="4"/>
  <c r="AA21" i="4"/>
  <c r="AB21" i="4"/>
  <c r="B22" i="4"/>
  <c r="C22" i="4"/>
  <c r="D22" i="4"/>
  <c r="E22" i="4"/>
  <c r="F22" i="4"/>
  <c r="G22" i="4"/>
  <c r="H22" i="4"/>
  <c r="I22" i="4"/>
  <c r="AC22" i="4" s="1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Z22" i="4"/>
  <c r="AA22" i="4"/>
  <c r="AB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Z23" i="4"/>
  <c r="AA23" i="4"/>
  <c r="AB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Z24" i="4"/>
  <c r="AA24" i="4"/>
  <c r="AB24" i="4"/>
  <c r="AC24" i="4"/>
  <c r="AD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AD25" i="4" s="1"/>
  <c r="Q25" i="4"/>
  <c r="R25" i="4"/>
  <c r="S25" i="4"/>
  <c r="T25" i="4"/>
  <c r="U25" i="4"/>
  <c r="V25" i="4"/>
  <c r="W25" i="4"/>
  <c r="Z25" i="4"/>
  <c r="AA25" i="4"/>
  <c r="AB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Z26" i="4"/>
  <c r="AA26" i="4"/>
  <c r="AB26" i="4"/>
  <c r="AD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Z27" i="4"/>
  <c r="AA27" i="4"/>
  <c r="AB27" i="4"/>
  <c r="AD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Z28" i="4"/>
  <c r="AA28" i="4"/>
  <c r="AB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Z29" i="4"/>
  <c r="AA29" i="4"/>
  <c r="AB29" i="4"/>
  <c r="AC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Z30" i="4"/>
  <c r="AA30" i="4"/>
  <c r="AB30" i="4"/>
  <c r="B31" i="4"/>
  <c r="C31" i="4"/>
  <c r="AC31" i="4" s="1"/>
  <c r="D31" i="4"/>
  <c r="E31" i="4"/>
  <c r="F31" i="4"/>
  <c r="G31" i="4"/>
  <c r="H31" i="4"/>
  <c r="I31" i="4"/>
  <c r="J31" i="4"/>
  <c r="K31" i="4"/>
  <c r="L31" i="4"/>
  <c r="M31" i="4"/>
  <c r="N31" i="4"/>
  <c r="O31" i="4"/>
  <c r="AD31" i="4" s="1"/>
  <c r="P31" i="4"/>
  <c r="Q31" i="4"/>
  <c r="R31" i="4"/>
  <c r="S31" i="4"/>
  <c r="T31" i="4"/>
  <c r="U31" i="4"/>
  <c r="V31" i="4"/>
  <c r="W31" i="4"/>
  <c r="X31" i="4"/>
  <c r="Z31" i="4"/>
  <c r="AA31" i="4"/>
  <c r="AB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Z32" i="4"/>
  <c r="AA32" i="4"/>
  <c r="AB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Z33" i="4"/>
  <c r="AA33" i="4"/>
  <c r="AB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Z34" i="4"/>
  <c r="AA34" i="4"/>
  <c r="AB34" i="4"/>
  <c r="B35" i="4"/>
  <c r="C35" i="4"/>
  <c r="D35" i="4"/>
  <c r="E35" i="4"/>
  <c r="F35" i="4"/>
  <c r="G35" i="4"/>
  <c r="H35" i="4"/>
  <c r="I35" i="4"/>
  <c r="J35" i="4"/>
  <c r="K35" i="4"/>
  <c r="L35" i="4"/>
  <c r="M35" i="4"/>
  <c r="AD35" i="4" s="1"/>
  <c r="N35" i="4"/>
  <c r="O35" i="4"/>
  <c r="P35" i="4"/>
  <c r="Q35" i="4"/>
  <c r="R35" i="4"/>
  <c r="S35" i="4"/>
  <c r="T35" i="4"/>
  <c r="U35" i="4"/>
  <c r="V35" i="4"/>
  <c r="W35" i="4"/>
  <c r="X35" i="4"/>
  <c r="Z35" i="4"/>
  <c r="AA35" i="4"/>
  <c r="AB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Z36" i="4"/>
  <c r="AA36" i="4"/>
  <c r="AB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Z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Z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Z39" i="4"/>
  <c r="AD39" i="4"/>
  <c r="B40" i="4"/>
  <c r="C40" i="4"/>
  <c r="D40" i="4"/>
  <c r="E40" i="4"/>
  <c r="F40" i="4"/>
  <c r="G40" i="4"/>
  <c r="H40" i="4"/>
  <c r="I40" i="4"/>
  <c r="AC40" i="4" s="1"/>
  <c r="J40" i="4"/>
  <c r="K40" i="4"/>
  <c r="L40" i="4"/>
  <c r="M40" i="4"/>
  <c r="AD40" i="4" s="1"/>
  <c r="N40" i="4"/>
  <c r="O40" i="4"/>
  <c r="P40" i="4"/>
  <c r="Q40" i="4"/>
  <c r="R40" i="4"/>
  <c r="S40" i="4"/>
  <c r="T40" i="4"/>
  <c r="U40" i="4"/>
  <c r="V40" i="4"/>
  <c r="W40" i="4"/>
  <c r="X40" i="4"/>
  <c r="Z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Z41" i="4"/>
  <c r="B42" i="4"/>
  <c r="C42" i="4"/>
  <c r="AC42" i="4" s="1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Z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Z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Z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AD45" i="4" s="1"/>
  <c r="Q45" i="4"/>
  <c r="R45" i="4"/>
  <c r="S45" i="4"/>
  <c r="T45" i="4"/>
  <c r="U45" i="4"/>
  <c r="V45" i="4"/>
  <c r="W45" i="4"/>
  <c r="X45" i="4"/>
  <c r="Z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Z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AD47" i="4" s="1"/>
  <c r="P47" i="4"/>
  <c r="Q47" i="4"/>
  <c r="R47" i="4"/>
  <c r="S47" i="4"/>
  <c r="T47" i="4"/>
  <c r="U47" i="4"/>
  <c r="V47" i="4"/>
  <c r="W47" i="4"/>
  <c r="X47" i="4"/>
  <c r="Z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Z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Z49" i="4"/>
  <c r="AC49" i="4"/>
  <c r="B50" i="4"/>
  <c r="C50" i="4"/>
  <c r="D50" i="4"/>
  <c r="E50" i="4"/>
  <c r="F50" i="4"/>
  <c r="G50" i="4"/>
  <c r="H50" i="4"/>
  <c r="I50" i="4"/>
  <c r="J50" i="4"/>
  <c r="K50" i="4"/>
  <c r="L50" i="4"/>
  <c r="M50" i="4"/>
  <c r="AD50" i="4" s="1"/>
  <c r="N50" i="4"/>
  <c r="O50" i="4"/>
  <c r="P50" i="4"/>
  <c r="Q50" i="4"/>
  <c r="R50" i="4"/>
  <c r="S50" i="4"/>
  <c r="T50" i="4"/>
  <c r="U50" i="4"/>
  <c r="V50" i="4"/>
  <c r="W50" i="4"/>
  <c r="X50" i="4"/>
  <c r="Z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Z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Z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B56" i="4"/>
  <c r="C56" i="4"/>
  <c r="D56" i="4"/>
  <c r="AC56" i="4" s="1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B57" i="4"/>
  <c r="C57" i="4"/>
  <c r="AC57" i="4" s="1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B60" i="4"/>
  <c r="B1061" i="4" s="1"/>
  <c r="C60" i="4"/>
  <c r="D60" i="4"/>
  <c r="E60" i="4"/>
  <c r="F60" i="4"/>
  <c r="G60" i="4"/>
  <c r="H60" i="4"/>
  <c r="I60" i="4"/>
  <c r="J60" i="4"/>
  <c r="J1061" i="4" s="1"/>
  <c r="K60" i="4"/>
  <c r="L60" i="4"/>
  <c r="M60" i="4"/>
  <c r="N60" i="4"/>
  <c r="AD60" i="4" s="1"/>
  <c r="O60" i="4"/>
  <c r="P60" i="4"/>
  <c r="Q60" i="4"/>
  <c r="R60" i="4"/>
  <c r="R1061" i="4" s="1"/>
  <c r="S60" i="4"/>
  <c r="T60" i="4"/>
  <c r="U60" i="4"/>
  <c r="V60" i="4"/>
  <c r="W60" i="4"/>
  <c r="X60" i="4"/>
  <c r="Y60" i="4"/>
  <c r="AC60" i="4"/>
  <c r="B61" i="4"/>
  <c r="C61" i="4"/>
  <c r="D61" i="4"/>
  <c r="E61" i="4"/>
  <c r="F61" i="4"/>
  <c r="G61" i="4"/>
  <c r="H61" i="4"/>
  <c r="I61" i="4"/>
  <c r="J61" i="4"/>
  <c r="K61" i="4"/>
  <c r="L61" i="4"/>
  <c r="M61" i="4"/>
  <c r="AD61" i="4" s="1"/>
  <c r="N61" i="4"/>
  <c r="O61" i="4"/>
  <c r="P61" i="4"/>
  <c r="Q61" i="4"/>
  <c r="R61" i="4"/>
  <c r="S61" i="4"/>
  <c r="T61" i="4"/>
  <c r="U61" i="4"/>
  <c r="V61" i="4"/>
  <c r="W61" i="4"/>
  <c r="X61" i="4"/>
  <c r="Y61" i="4"/>
  <c r="B62" i="4"/>
  <c r="C62" i="4"/>
  <c r="D62" i="4"/>
  <c r="E62" i="4"/>
  <c r="AC62" i="4" s="1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B70" i="4"/>
  <c r="C70" i="4"/>
  <c r="D70" i="4"/>
  <c r="AC70" i="4" s="1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AD74" i="4" s="1"/>
  <c r="P74" i="4"/>
  <c r="Q74" i="4"/>
  <c r="R74" i="4"/>
  <c r="S74" i="4"/>
  <c r="T74" i="4"/>
  <c r="U74" i="4"/>
  <c r="V74" i="4"/>
  <c r="W74" i="4"/>
  <c r="X74" i="4"/>
  <c r="Y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AD82" i="4"/>
  <c r="B83" i="4"/>
  <c r="C83" i="4"/>
  <c r="D83" i="4"/>
  <c r="E83" i="4"/>
  <c r="F83" i="4"/>
  <c r="G83" i="4"/>
  <c r="H83" i="4"/>
  <c r="I83" i="4"/>
  <c r="J83" i="4"/>
  <c r="K83" i="4"/>
  <c r="L83" i="4"/>
  <c r="M83" i="4"/>
  <c r="AD83" i="4" s="1"/>
  <c r="N83" i="4"/>
  <c r="O83" i="4"/>
  <c r="P83" i="4"/>
  <c r="Q83" i="4"/>
  <c r="R83" i="4"/>
  <c r="S83" i="4"/>
  <c r="T83" i="4"/>
  <c r="U83" i="4"/>
  <c r="V83" i="4"/>
  <c r="W83" i="4"/>
  <c r="X83" i="4"/>
  <c r="Y83" i="4"/>
  <c r="B84" i="4"/>
  <c r="C84" i="4"/>
  <c r="D84" i="4"/>
  <c r="E84" i="4"/>
  <c r="AC84" i="4" s="1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B86" i="4"/>
  <c r="C86" i="4"/>
  <c r="D86" i="4"/>
  <c r="AC86" i="4" s="1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B87" i="4"/>
  <c r="C87" i="4"/>
  <c r="AC87" i="4" s="1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AD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B93" i="4"/>
  <c r="C93" i="4"/>
  <c r="D93" i="4"/>
  <c r="E93" i="4"/>
  <c r="AC93" i="4" s="1"/>
  <c r="F93" i="4"/>
  <c r="G93" i="4"/>
  <c r="H93" i="4"/>
  <c r="I93" i="4"/>
  <c r="J93" i="4"/>
  <c r="K93" i="4"/>
  <c r="L93" i="4"/>
  <c r="M93" i="4"/>
  <c r="AD93" i="4" s="1"/>
  <c r="N93" i="4"/>
  <c r="O93" i="4"/>
  <c r="P93" i="4"/>
  <c r="Q93" i="4"/>
  <c r="R93" i="4"/>
  <c r="S93" i="4"/>
  <c r="T93" i="4"/>
  <c r="U93" i="4"/>
  <c r="V93" i="4"/>
  <c r="W93" i="4"/>
  <c r="X93" i="4"/>
  <c r="Y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B96" i="4"/>
  <c r="C96" i="4"/>
  <c r="D96" i="4"/>
  <c r="E96" i="4"/>
  <c r="F96" i="4"/>
  <c r="G96" i="4"/>
  <c r="G1064" i="4" s="1"/>
  <c r="H96" i="4"/>
  <c r="I96" i="4"/>
  <c r="J96" i="4"/>
  <c r="K96" i="4"/>
  <c r="L96" i="4"/>
  <c r="M96" i="4"/>
  <c r="N96" i="4"/>
  <c r="O96" i="4"/>
  <c r="O1064" i="4" s="1"/>
  <c r="P96" i="4"/>
  <c r="Q96" i="4"/>
  <c r="R96" i="4"/>
  <c r="S96" i="4"/>
  <c r="T96" i="4"/>
  <c r="U96" i="4"/>
  <c r="V96" i="4"/>
  <c r="W96" i="4"/>
  <c r="W1064" i="4" s="1"/>
  <c r="X96" i="4"/>
  <c r="Y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B100" i="4"/>
  <c r="C100" i="4"/>
  <c r="D100" i="4"/>
  <c r="AC100" i="4" s="1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B101" i="4"/>
  <c r="C101" i="4"/>
  <c r="AC101" i="4" s="1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AD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AD111" i="4" s="1"/>
  <c r="N111" i="4"/>
  <c r="O111" i="4"/>
  <c r="P111" i="4"/>
  <c r="Q111" i="4"/>
  <c r="R111" i="4"/>
  <c r="S111" i="4"/>
  <c r="T111" i="4"/>
  <c r="U111" i="4"/>
  <c r="V111" i="4"/>
  <c r="W111" i="4"/>
  <c r="X111" i="4"/>
  <c r="Y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B113" i="4"/>
  <c r="C113" i="4"/>
  <c r="D113" i="4"/>
  <c r="E113" i="4"/>
  <c r="AC113" i="4" s="1"/>
  <c r="F113" i="4"/>
  <c r="G113" i="4"/>
  <c r="H113" i="4"/>
  <c r="I113" i="4"/>
  <c r="J113" i="4"/>
  <c r="K113" i="4"/>
  <c r="L113" i="4"/>
  <c r="M113" i="4"/>
  <c r="AD113" i="4" s="1"/>
  <c r="N113" i="4"/>
  <c r="O113" i="4"/>
  <c r="P113" i="4"/>
  <c r="Q113" i="4"/>
  <c r="R113" i="4"/>
  <c r="S113" i="4"/>
  <c r="T113" i="4"/>
  <c r="U113" i="4"/>
  <c r="V113" i="4"/>
  <c r="W113" i="4"/>
  <c r="X113" i="4"/>
  <c r="Y113" i="4"/>
  <c r="B114" i="4"/>
  <c r="C114" i="4"/>
  <c r="D114" i="4"/>
  <c r="AC114" i="4" s="1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AD118" i="4" s="1"/>
  <c r="P118" i="4"/>
  <c r="Q118" i="4"/>
  <c r="R118" i="4"/>
  <c r="S118" i="4"/>
  <c r="T118" i="4"/>
  <c r="U118" i="4"/>
  <c r="V118" i="4"/>
  <c r="W118" i="4"/>
  <c r="X118" i="4"/>
  <c r="Y118" i="4"/>
  <c r="B119" i="4"/>
  <c r="B1066" i="4" s="1"/>
  <c r="C119" i="4"/>
  <c r="D119" i="4"/>
  <c r="E119" i="4"/>
  <c r="F119" i="4"/>
  <c r="G119" i="4"/>
  <c r="H119" i="4"/>
  <c r="I119" i="4"/>
  <c r="J119" i="4"/>
  <c r="J1066" i="4" s="1"/>
  <c r="K119" i="4"/>
  <c r="L119" i="4"/>
  <c r="M119" i="4"/>
  <c r="N119" i="4"/>
  <c r="O119" i="4"/>
  <c r="P119" i="4"/>
  <c r="Q119" i="4"/>
  <c r="R119" i="4"/>
  <c r="R1066" i="4" s="1"/>
  <c r="S119" i="4"/>
  <c r="T119" i="4"/>
  <c r="U119" i="4"/>
  <c r="V119" i="4"/>
  <c r="W119" i="4"/>
  <c r="X119" i="4"/>
  <c r="Y119" i="4"/>
  <c r="AC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AD123" i="4" s="1"/>
  <c r="N123" i="4"/>
  <c r="O123" i="4"/>
  <c r="P123" i="4"/>
  <c r="Q123" i="4"/>
  <c r="R123" i="4"/>
  <c r="S123" i="4"/>
  <c r="T123" i="4"/>
  <c r="U123" i="4"/>
  <c r="V123" i="4"/>
  <c r="W123" i="4"/>
  <c r="X123" i="4"/>
  <c r="Y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B126" i="4"/>
  <c r="C126" i="4"/>
  <c r="D126" i="4"/>
  <c r="AC126" i="4" s="1"/>
  <c r="E126" i="4"/>
  <c r="F126" i="4"/>
  <c r="G126" i="4"/>
  <c r="H126" i="4"/>
  <c r="I126" i="4"/>
  <c r="J126" i="4"/>
  <c r="K126" i="4"/>
  <c r="L126" i="4"/>
  <c r="M126" i="4"/>
  <c r="AD126" i="4" s="1"/>
  <c r="N126" i="4"/>
  <c r="O126" i="4"/>
  <c r="P126" i="4"/>
  <c r="Q126" i="4"/>
  <c r="R126" i="4"/>
  <c r="S126" i="4"/>
  <c r="T126" i="4"/>
  <c r="U126" i="4"/>
  <c r="V126" i="4"/>
  <c r="W126" i="4"/>
  <c r="X126" i="4"/>
  <c r="Y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AC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AD129" i="4" s="1"/>
  <c r="N129" i="4"/>
  <c r="O129" i="4"/>
  <c r="P129" i="4"/>
  <c r="Q129" i="4"/>
  <c r="R129" i="4"/>
  <c r="S129" i="4"/>
  <c r="T129" i="4"/>
  <c r="U129" i="4"/>
  <c r="V129" i="4"/>
  <c r="W129" i="4"/>
  <c r="X129" i="4"/>
  <c r="Y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B132" i="4"/>
  <c r="C132" i="4"/>
  <c r="D132" i="4"/>
  <c r="E132" i="4"/>
  <c r="AC132" i="4" s="1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AD138" i="4" s="1"/>
  <c r="N138" i="4"/>
  <c r="O138" i="4"/>
  <c r="P138" i="4"/>
  <c r="Q138" i="4"/>
  <c r="R138" i="4"/>
  <c r="S138" i="4"/>
  <c r="T138" i="4"/>
  <c r="U138" i="4"/>
  <c r="V138" i="4"/>
  <c r="W138" i="4"/>
  <c r="X138" i="4"/>
  <c r="Y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B141" i="4"/>
  <c r="C141" i="4"/>
  <c r="AC141" i="4" s="1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AD142" i="4" s="1"/>
  <c r="O142" i="4"/>
  <c r="P142" i="4"/>
  <c r="Q142" i="4"/>
  <c r="R142" i="4"/>
  <c r="S142" i="4"/>
  <c r="T142" i="4"/>
  <c r="U142" i="4"/>
  <c r="V142" i="4"/>
  <c r="W142" i="4"/>
  <c r="X142" i="4"/>
  <c r="Y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AD144" i="4" s="1"/>
  <c r="O144" i="4"/>
  <c r="P144" i="4"/>
  <c r="Q144" i="4"/>
  <c r="R144" i="4"/>
  <c r="S144" i="4"/>
  <c r="T144" i="4"/>
  <c r="U144" i="4"/>
  <c r="V144" i="4"/>
  <c r="W144" i="4"/>
  <c r="X144" i="4"/>
  <c r="Y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AC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AD149" i="4" s="1"/>
  <c r="N149" i="4"/>
  <c r="O149" i="4"/>
  <c r="P149" i="4"/>
  <c r="Q149" i="4"/>
  <c r="R149" i="4"/>
  <c r="S149" i="4"/>
  <c r="T149" i="4"/>
  <c r="U149" i="4"/>
  <c r="V149" i="4"/>
  <c r="W149" i="4"/>
  <c r="X149" i="4"/>
  <c r="Y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AD150" i="4" s="1"/>
  <c r="N150" i="4"/>
  <c r="O150" i="4"/>
  <c r="P150" i="4"/>
  <c r="Q150" i="4"/>
  <c r="R150" i="4"/>
  <c r="S150" i="4"/>
  <c r="T150" i="4"/>
  <c r="U150" i="4"/>
  <c r="V150" i="4"/>
  <c r="W150" i="4"/>
  <c r="X150" i="4"/>
  <c r="Y150" i="4"/>
  <c r="B151" i="4"/>
  <c r="C151" i="4"/>
  <c r="D151" i="4"/>
  <c r="AC151" i="4" s="1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B152" i="4"/>
  <c r="C152" i="4"/>
  <c r="AC152" i="4" s="1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AC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B158" i="4"/>
  <c r="C158" i="4"/>
  <c r="D158" i="4"/>
  <c r="E158" i="4"/>
  <c r="AC158" i="4" s="1"/>
  <c r="F158" i="4"/>
  <c r="G158" i="4"/>
  <c r="H158" i="4"/>
  <c r="I158" i="4"/>
  <c r="J158" i="4"/>
  <c r="K158" i="4"/>
  <c r="L158" i="4"/>
  <c r="M158" i="4"/>
  <c r="AD158" i="4" s="1"/>
  <c r="N158" i="4"/>
  <c r="O158" i="4"/>
  <c r="P158" i="4"/>
  <c r="Q158" i="4"/>
  <c r="R158" i="4"/>
  <c r="S158" i="4"/>
  <c r="T158" i="4"/>
  <c r="U158" i="4"/>
  <c r="V158" i="4"/>
  <c r="W158" i="4"/>
  <c r="X158" i="4"/>
  <c r="Y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B164" i="4"/>
  <c r="C164" i="4"/>
  <c r="D164" i="4"/>
  <c r="AC164" i="4" s="1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AC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AD169" i="4" s="1"/>
  <c r="N169" i="4"/>
  <c r="O169" i="4"/>
  <c r="P169" i="4"/>
  <c r="Q169" i="4"/>
  <c r="R169" i="4"/>
  <c r="S169" i="4"/>
  <c r="T169" i="4"/>
  <c r="U169" i="4"/>
  <c r="V169" i="4"/>
  <c r="W169" i="4"/>
  <c r="X169" i="4"/>
  <c r="Y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AD170" i="4" s="1"/>
  <c r="N170" i="4"/>
  <c r="O170" i="4"/>
  <c r="P170" i="4"/>
  <c r="Q170" i="4"/>
  <c r="R170" i="4"/>
  <c r="S170" i="4"/>
  <c r="T170" i="4"/>
  <c r="U170" i="4"/>
  <c r="V170" i="4"/>
  <c r="W170" i="4"/>
  <c r="X170" i="4"/>
  <c r="Y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B177" i="4"/>
  <c r="C177" i="4"/>
  <c r="D177" i="4"/>
  <c r="AC177" i="4" s="1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B178" i="4"/>
  <c r="C178" i="4"/>
  <c r="AC178" i="4" s="1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AC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AD182" i="4" s="1"/>
  <c r="N182" i="4"/>
  <c r="O182" i="4"/>
  <c r="P182" i="4"/>
  <c r="Q182" i="4"/>
  <c r="R182" i="4"/>
  <c r="S182" i="4"/>
  <c r="T182" i="4"/>
  <c r="U182" i="4"/>
  <c r="V182" i="4"/>
  <c r="W182" i="4"/>
  <c r="X182" i="4"/>
  <c r="Y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AC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B190" i="4"/>
  <c r="C190" i="4"/>
  <c r="D190" i="4"/>
  <c r="AC190" i="4" s="1"/>
  <c r="E190" i="4"/>
  <c r="F190" i="4"/>
  <c r="G190" i="4"/>
  <c r="H190" i="4"/>
  <c r="I190" i="4"/>
  <c r="J190" i="4"/>
  <c r="K190" i="4"/>
  <c r="L190" i="4"/>
  <c r="M190" i="4"/>
  <c r="N190" i="4"/>
  <c r="O190" i="4"/>
  <c r="P190" i="4"/>
  <c r="AD190" i="4" s="1"/>
  <c r="Q190" i="4"/>
  <c r="R190" i="4"/>
  <c r="S190" i="4"/>
  <c r="T190" i="4"/>
  <c r="U190" i="4"/>
  <c r="V190" i="4"/>
  <c r="W190" i="4"/>
  <c r="X190" i="4"/>
  <c r="Y190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AC196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AD198" i="4" s="1"/>
  <c r="Q198" i="4"/>
  <c r="R198" i="4"/>
  <c r="S198" i="4"/>
  <c r="T198" i="4"/>
  <c r="U198" i="4"/>
  <c r="V198" i="4"/>
  <c r="W198" i="4"/>
  <c r="X198" i="4"/>
  <c r="Y198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AD202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AC203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B205" i="4"/>
  <c r="C205" i="4"/>
  <c r="D205" i="4"/>
  <c r="E205" i="4"/>
  <c r="F205" i="4"/>
  <c r="G205" i="4"/>
  <c r="H205" i="4"/>
  <c r="AC205" i="4" s="1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AC209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AD214" i="4" s="1"/>
  <c r="P214" i="4"/>
  <c r="Q214" i="4"/>
  <c r="R214" i="4"/>
  <c r="S214" i="4"/>
  <c r="T214" i="4"/>
  <c r="U214" i="4"/>
  <c r="V214" i="4"/>
  <c r="W214" i="4"/>
  <c r="X214" i="4"/>
  <c r="Y214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AC215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AC216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B218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AC218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AC222" i="4"/>
  <c r="AD222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B228" i="4"/>
  <c r="C228" i="4"/>
  <c r="D228" i="4"/>
  <c r="E228" i="4"/>
  <c r="F228" i="4"/>
  <c r="G228" i="4"/>
  <c r="H228" i="4"/>
  <c r="AC228" i="4" s="1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AC229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AD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AD234" i="4" s="1"/>
  <c r="N234" i="4"/>
  <c r="O234" i="4"/>
  <c r="P234" i="4"/>
  <c r="Q234" i="4"/>
  <c r="R234" i="4"/>
  <c r="S234" i="4"/>
  <c r="T234" i="4"/>
  <c r="U234" i="4"/>
  <c r="V234" i="4"/>
  <c r="W234" i="4"/>
  <c r="X234" i="4"/>
  <c r="Y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B241" i="4"/>
  <c r="C241" i="4"/>
  <c r="D241" i="4"/>
  <c r="AC241" i="4" s="1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B242" i="4"/>
  <c r="C242" i="4"/>
  <c r="AC242" i="4" s="1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AC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AD246" i="4" s="1"/>
  <c r="N246" i="4"/>
  <c r="O246" i="4"/>
  <c r="P246" i="4"/>
  <c r="Q246" i="4"/>
  <c r="R246" i="4"/>
  <c r="S246" i="4"/>
  <c r="T246" i="4"/>
  <c r="U246" i="4"/>
  <c r="V246" i="4"/>
  <c r="W246" i="4"/>
  <c r="X246" i="4"/>
  <c r="Y246" i="4"/>
  <c r="B247" i="4"/>
  <c r="C247" i="4"/>
  <c r="D247" i="4"/>
  <c r="AC247" i="4" s="1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B252" i="4"/>
  <c r="C252" i="4"/>
  <c r="D252" i="4"/>
  <c r="E252" i="4"/>
  <c r="F252" i="4"/>
  <c r="G252" i="4"/>
  <c r="G1077" i="4" s="1"/>
  <c r="H252" i="4"/>
  <c r="I252" i="4"/>
  <c r="J252" i="4"/>
  <c r="K252" i="4"/>
  <c r="L252" i="4"/>
  <c r="M252" i="4"/>
  <c r="N252" i="4"/>
  <c r="O252" i="4"/>
  <c r="O1077" i="4" s="1"/>
  <c r="P252" i="4"/>
  <c r="Q252" i="4"/>
  <c r="R252" i="4"/>
  <c r="S252" i="4"/>
  <c r="T252" i="4"/>
  <c r="U252" i="4"/>
  <c r="V252" i="4"/>
  <c r="W252" i="4"/>
  <c r="W1077" i="4" s="1"/>
  <c r="X252" i="4"/>
  <c r="Y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AC254" i="4"/>
  <c r="AD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B260" i="4"/>
  <c r="C260" i="4"/>
  <c r="D260" i="4"/>
  <c r="AC260" i="4" s="1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B264" i="4"/>
  <c r="C264" i="4"/>
  <c r="D264" i="4"/>
  <c r="E264" i="4"/>
  <c r="F264" i="4"/>
  <c r="G264" i="4"/>
  <c r="H264" i="4"/>
  <c r="I264" i="4"/>
  <c r="J264" i="4"/>
  <c r="K264" i="4"/>
  <c r="L264" i="4"/>
  <c r="L1078" i="4" s="1"/>
  <c r="M264" i="4"/>
  <c r="N264" i="4"/>
  <c r="O264" i="4"/>
  <c r="P264" i="4"/>
  <c r="Q264" i="4"/>
  <c r="R264" i="4"/>
  <c r="S264" i="4"/>
  <c r="T264" i="4"/>
  <c r="T1078" i="4" s="1"/>
  <c r="U264" i="4"/>
  <c r="V264" i="4"/>
  <c r="W264" i="4"/>
  <c r="X264" i="4"/>
  <c r="Y264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AD266" i="4" s="1"/>
  <c r="N266" i="4"/>
  <c r="O266" i="4"/>
  <c r="P266" i="4"/>
  <c r="Q266" i="4"/>
  <c r="R266" i="4"/>
  <c r="S266" i="4"/>
  <c r="T266" i="4"/>
  <c r="U266" i="4"/>
  <c r="V266" i="4"/>
  <c r="W266" i="4"/>
  <c r="X266" i="4"/>
  <c r="Y266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AC267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AC269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AD271" i="4" s="1"/>
  <c r="N271" i="4"/>
  <c r="O271" i="4"/>
  <c r="P271" i="4"/>
  <c r="Q271" i="4"/>
  <c r="R271" i="4"/>
  <c r="S271" i="4"/>
  <c r="T271" i="4"/>
  <c r="U271" i="4"/>
  <c r="V271" i="4"/>
  <c r="W271" i="4"/>
  <c r="X271" i="4"/>
  <c r="Y271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B273" i="4"/>
  <c r="C273" i="4"/>
  <c r="D273" i="4"/>
  <c r="AC273" i="4" s="1"/>
  <c r="E273" i="4"/>
  <c r="F273" i="4"/>
  <c r="G273" i="4"/>
  <c r="H273" i="4"/>
  <c r="I273" i="4"/>
  <c r="J273" i="4"/>
  <c r="K273" i="4"/>
  <c r="L273" i="4"/>
  <c r="M273" i="4"/>
  <c r="AD273" i="4" s="1"/>
  <c r="N273" i="4"/>
  <c r="O273" i="4"/>
  <c r="P273" i="4"/>
  <c r="Q273" i="4"/>
  <c r="R273" i="4"/>
  <c r="S273" i="4"/>
  <c r="T273" i="4"/>
  <c r="U273" i="4"/>
  <c r="V273" i="4"/>
  <c r="W273" i="4"/>
  <c r="X273" i="4"/>
  <c r="Y273" i="4"/>
  <c r="B274" i="4"/>
  <c r="C274" i="4"/>
  <c r="AC274" i="4" s="1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B276" i="4"/>
  <c r="C276" i="4"/>
  <c r="D276" i="4"/>
  <c r="E276" i="4"/>
  <c r="F276" i="4"/>
  <c r="G276" i="4"/>
  <c r="G1079" i="4" s="1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AD278" i="4" s="1"/>
  <c r="P278" i="4"/>
  <c r="Q278" i="4"/>
  <c r="R278" i="4"/>
  <c r="S278" i="4"/>
  <c r="T278" i="4"/>
  <c r="U278" i="4"/>
  <c r="V278" i="4"/>
  <c r="W278" i="4"/>
  <c r="X278" i="4"/>
  <c r="Y278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AC279" i="4"/>
  <c r="B280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AC280" i="4"/>
  <c r="B281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B282" i="4"/>
  <c r="C282" i="4"/>
  <c r="D282" i="4"/>
  <c r="AC282" i="4" s="1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B283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B284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B285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B286" i="4"/>
  <c r="C286" i="4"/>
  <c r="AC286" i="4" s="1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AD286" i="4"/>
  <c r="B287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B288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B289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B290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B291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B292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AD292" i="4" s="1"/>
  <c r="O292" i="4"/>
  <c r="P292" i="4"/>
  <c r="Q292" i="4"/>
  <c r="R292" i="4"/>
  <c r="S292" i="4"/>
  <c r="T292" i="4"/>
  <c r="U292" i="4"/>
  <c r="V292" i="4"/>
  <c r="W292" i="4"/>
  <c r="X292" i="4"/>
  <c r="Y292" i="4"/>
  <c r="AC292" i="4"/>
  <c r="B293" i="4"/>
  <c r="C293" i="4"/>
  <c r="D293" i="4"/>
  <c r="AC293" i="4" s="1"/>
  <c r="E293" i="4"/>
  <c r="F293" i="4"/>
  <c r="G293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B294" i="4"/>
  <c r="C294" i="4"/>
  <c r="D294" i="4"/>
  <c r="E294" i="4"/>
  <c r="F294" i="4"/>
  <c r="G294" i="4"/>
  <c r="H294" i="4"/>
  <c r="I294" i="4"/>
  <c r="J294" i="4"/>
  <c r="K294" i="4"/>
  <c r="L294" i="4"/>
  <c r="M294" i="4"/>
  <c r="AD294" i="4" s="1"/>
  <c r="N294" i="4"/>
  <c r="O294" i="4"/>
  <c r="P294" i="4"/>
  <c r="Q294" i="4"/>
  <c r="R294" i="4"/>
  <c r="S294" i="4"/>
  <c r="T294" i="4"/>
  <c r="U294" i="4"/>
  <c r="V294" i="4"/>
  <c r="W294" i="4"/>
  <c r="X294" i="4"/>
  <c r="Y294" i="4"/>
  <c r="B295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B296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B297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B298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AD298" i="4" s="1"/>
  <c r="P298" i="4"/>
  <c r="Q298" i="4"/>
  <c r="R298" i="4"/>
  <c r="S298" i="4"/>
  <c r="T298" i="4"/>
  <c r="U298" i="4"/>
  <c r="V298" i="4"/>
  <c r="W298" i="4"/>
  <c r="X298" i="4"/>
  <c r="Y298" i="4"/>
  <c r="B299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B300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B301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B302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AD302" i="4" s="1"/>
  <c r="O302" i="4"/>
  <c r="P302" i="4"/>
  <c r="Q302" i="4"/>
  <c r="R302" i="4"/>
  <c r="S302" i="4"/>
  <c r="T302" i="4"/>
  <c r="U302" i="4"/>
  <c r="V302" i="4"/>
  <c r="W302" i="4"/>
  <c r="X302" i="4"/>
  <c r="Y302" i="4"/>
  <c r="B303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B304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AD304" i="4" s="1"/>
  <c r="O304" i="4"/>
  <c r="P304" i="4"/>
  <c r="Q304" i="4"/>
  <c r="R304" i="4"/>
  <c r="S304" i="4"/>
  <c r="T304" i="4"/>
  <c r="U304" i="4"/>
  <c r="V304" i="4"/>
  <c r="W304" i="4"/>
  <c r="X304" i="4"/>
  <c r="Y304" i="4"/>
  <c r="B305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AC305" i="4"/>
  <c r="B306" i="4"/>
  <c r="C306" i="4"/>
  <c r="D306" i="4"/>
  <c r="E306" i="4"/>
  <c r="AC306" i="4" s="1"/>
  <c r="F306" i="4"/>
  <c r="G306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B307" i="4"/>
  <c r="C307" i="4"/>
  <c r="D307" i="4"/>
  <c r="AC307" i="4" s="1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B308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B309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B310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B311" i="4"/>
  <c r="C311" i="4"/>
  <c r="AC311" i="4" s="1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B312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AC312" i="4"/>
  <c r="B313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B314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B315" i="4"/>
  <c r="C315" i="4"/>
  <c r="D315" i="4"/>
  <c r="E315" i="4"/>
  <c r="F315" i="4"/>
  <c r="G315" i="4"/>
  <c r="H315" i="4"/>
  <c r="I315" i="4"/>
  <c r="J315" i="4"/>
  <c r="K315" i="4"/>
  <c r="L315" i="4"/>
  <c r="M315" i="4"/>
  <c r="AD315" i="4" s="1"/>
  <c r="N315" i="4"/>
  <c r="O315" i="4"/>
  <c r="P315" i="4"/>
  <c r="Q315" i="4"/>
  <c r="R315" i="4"/>
  <c r="S315" i="4"/>
  <c r="T315" i="4"/>
  <c r="U315" i="4"/>
  <c r="V315" i="4"/>
  <c r="W315" i="4"/>
  <c r="X315" i="4"/>
  <c r="Y315" i="4"/>
  <c r="B316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B317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B318" i="4"/>
  <c r="C318" i="4"/>
  <c r="D318" i="4"/>
  <c r="E318" i="4"/>
  <c r="AC318" i="4" s="1"/>
  <c r="F318" i="4"/>
  <c r="G318" i="4"/>
  <c r="H318" i="4"/>
  <c r="I318" i="4"/>
  <c r="J318" i="4"/>
  <c r="K318" i="4"/>
  <c r="L318" i="4"/>
  <c r="M318" i="4"/>
  <c r="AD318" i="4" s="1"/>
  <c r="N318" i="4"/>
  <c r="O318" i="4"/>
  <c r="P318" i="4"/>
  <c r="Q318" i="4"/>
  <c r="R318" i="4"/>
  <c r="S318" i="4"/>
  <c r="T318" i="4"/>
  <c r="U318" i="4"/>
  <c r="V318" i="4"/>
  <c r="W318" i="4"/>
  <c r="X318" i="4"/>
  <c r="Y318" i="4"/>
  <c r="B319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B320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B321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B322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B323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B324" i="4"/>
  <c r="C324" i="4"/>
  <c r="D324" i="4"/>
  <c r="E324" i="4"/>
  <c r="F324" i="4"/>
  <c r="G324" i="4"/>
  <c r="H324" i="4"/>
  <c r="AC324" i="4" s="1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AC325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AD330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AC331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B333" i="4"/>
  <c r="C333" i="4"/>
  <c r="D333" i="4"/>
  <c r="E333" i="4"/>
  <c r="F333" i="4"/>
  <c r="G333" i="4"/>
  <c r="H333" i="4"/>
  <c r="AC333" i="4" s="1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AC337" i="4"/>
  <c r="B338" i="4"/>
  <c r="C338" i="4"/>
  <c r="AC338" i="4" s="1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AD342" i="4" s="1"/>
  <c r="Q342" i="4"/>
  <c r="R342" i="4"/>
  <c r="S342" i="4"/>
  <c r="T342" i="4"/>
  <c r="U342" i="4"/>
  <c r="V342" i="4"/>
  <c r="W342" i="4"/>
  <c r="X342" i="4"/>
  <c r="Y342" i="4"/>
  <c r="B343" i="4"/>
  <c r="C343" i="4"/>
  <c r="AC343" i="4" s="1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AC344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B346" i="4"/>
  <c r="C346" i="4"/>
  <c r="D346" i="4"/>
  <c r="E346" i="4"/>
  <c r="AC346" i="4" s="1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B350" i="4"/>
  <c r="C350" i="4"/>
  <c r="D350" i="4"/>
  <c r="AC350" i="4" s="1"/>
  <c r="E350" i="4"/>
  <c r="F350" i="4"/>
  <c r="G350" i="4"/>
  <c r="H350" i="4"/>
  <c r="I350" i="4"/>
  <c r="J350" i="4"/>
  <c r="K350" i="4"/>
  <c r="L350" i="4"/>
  <c r="M350" i="4"/>
  <c r="N350" i="4"/>
  <c r="O350" i="4"/>
  <c r="P350" i="4"/>
  <c r="AD350" i="4" s="1"/>
  <c r="Q350" i="4"/>
  <c r="R350" i="4"/>
  <c r="S350" i="4"/>
  <c r="T350" i="4"/>
  <c r="U350" i="4"/>
  <c r="V350" i="4"/>
  <c r="W350" i="4"/>
  <c r="X350" i="4"/>
  <c r="Y350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AC356" i="4"/>
  <c r="B357" i="4"/>
  <c r="C357" i="4"/>
  <c r="AC357" i="4" s="1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AD362" i="4" s="1"/>
  <c r="Q362" i="4"/>
  <c r="R362" i="4"/>
  <c r="S362" i="4"/>
  <c r="T362" i="4"/>
  <c r="U362" i="4"/>
  <c r="V362" i="4"/>
  <c r="W362" i="4"/>
  <c r="X362" i="4"/>
  <c r="Y362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AC369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AC370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AC371" i="4"/>
  <c r="B372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B373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P373" i="4"/>
  <c r="Q373" i="4"/>
  <c r="R373" i="4"/>
  <c r="S373" i="4"/>
  <c r="T373" i="4"/>
  <c r="U373" i="4"/>
  <c r="V373" i="4"/>
  <c r="W373" i="4"/>
  <c r="X373" i="4"/>
  <c r="Y373" i="4"/>
  <c r="B374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P374" i="4"/>
  <c r="Q374" i="4"/>
  <c r="R374" i="4"/>
  <c r="S374" i="4"/>
  <c r="T374" i="4"/>
  <c r="U374" i="4"/>
  <c r="V374" i="4"/>
  <c r="W374" i="4"/>
  <c r="X374" i="4"/>
  <c r="Y374" i="4"/>
  <c r="AD374" i="4"/>
  <c r="B375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V375" i="4"/>
  <c r="W375" i="4"/>
  <c r="X375" i="4"/>
  <c r="Y375" i="4"/>
  <c r="AC375" i="4"/>
  <c r="B376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V376" i="4"/>
  <c r="W376" i="4"/>
  <c r="X376" i="4"/>
  <c r="Y376" i="4"/>
  <c r="AC376" i="4"/>
  <c r="B377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B378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B379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B382" i="4"/>
  <c r="C382" i="4"/>
  <c r="D382" i="4"/>
  <c r="AC382" i="4" s="1"/>
  <c r="E382" i="4"/>
  <c r="F382" i="4"/>
  <c r="G382" i="4"/>
  <c r="H382" i="4"/>
  <c r="I382" i="4"/>
  <c r="J382" i="4"/>
  <c r="K382" i="4"/>
  <c r="L382" i="4"/>
  <c r="M382" i="4"/>
  <c r="N382" i="4"/>
  <c r="O382" i="4"/>
  <c r="P382" i="4"/>
  <c r="AD382" i="4" s="1"/>
  <c r="Q382" i="4"/>
  <c r="R382" i="4"/>
  <c r="S382" i="4"/>
  <c r="T382" i="4"/>
  <c r="U382" i="4"/>
  <c r="V382" i="4"/>
  <c r="W382" i="4"/>
  <c r="X382" i="4"/>
  <c r="Y382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AC384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B388" i="4"/>
  <c r="C388" i="4"/>
  <c r="D388" i="4"/>
  <c r="AC388" i="4" s="1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B389" i="4"/>
  <c r="C389" i="4"/>
  <c r="AC389" i="4" s="1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AD394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AC395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AC397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B401" i="4"/>
  <c r="C401" i="4"/>
  <c r="D401" i="4"/>
  <c r="AC401" i="4" s="1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AC402" i="4"/>
  <c r="B403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B404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B405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B406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B407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AC407" i="4"/>
  <c r="B408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AC408" i="4"/>
  <c r="B409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B410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AC410" i="4"/>
  <c r="B411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B412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B413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B414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AC414" i="4"/>
  <c r="AD414" i="4"/>
  <c r="B415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B416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AD416" i="4" s="1"/>
  <c r="O416" i="4"/>
  <c r="P416" i="4"/>
  <c r="Q416" i="4"/>
  <c r="R416" i="4"/>
  <c r="S416" i="4"/>
  <c r="T416" i="4"/>
  <c r="U416" i="4"/>
  <c r="V416" i="4"/>
  <c r="W416" i="4"/>
  <c r="X416" i="4"/>
  <c r="Y416" i="4"/>
  <c r="B417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B418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B419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B420" i="4"/>
  <c r="B1091" i="4" s="1"/>
  <c r="C420" i="4"/>
  <c r="D420" i="4"/>
  <c r="E420" i="4"/>
  <c r="F420" i="4"/>
  <c r="G420" i="4"/>
  <c r="H420" i="4"/>
  <c r="I420" i="4"/>
  <c r="J420" i="4"/>
  <c r="J1091" i="4" s="1"/>
  <c r="K420" i="4"/>
  <c r="L420" i="4"/>
  <c r="M420" i="4"/>
  <c r="N420" i="4"/>
  <c r="O420" i="4"/>
  <c r="P420" i="4"/>
  <c r="Q420" i="4"/>
  <c r="R420" i="4"/>
  <c r="R1091" i="4" s="1"/>
  <c r="S420" i="4"/>
  <c r="T420" i="4"/>
  <c r="U420" i="4"/>
  <c r="V420" i="4"/>
  <c r="W420" i="4"/>
  <c r="X420" i="4"/>
  <c r="Y420" i="4"/>
  <c r="AC420" i="4"/>
  <c r="B421" i="4"/>
  <c r="C421" i="4"/>
  <c r="AC421" i="4" s="1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B422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AD422" i="4" s="1"/>
  <c r="Q422" i="4"/>
  <c r="R422" i="4"/>
  <c r="S422" i="4"/>
  <c r="T422" i="4"/>
  <c r="U422" i="4"/>
  <c r="V422" i="4"/>
  <c r="W422" i="4"/>
  <c r="X422" i="4"/>
  <c r="Y422" i="4"/>
  <c r="B423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B424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B425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B426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AD426" i="4" s="1"/>
  <c r="Q426" i="4"/>
  <c r="R426" i="4"/>
  <c r="S426" i="4"/>
  <c r="T426" i="4"/>
  <c r="U426" i="4"/>
  <c r="V426" i="4"/>
  <c r="W426" i="4"/>
  <c r="X426" i="4"/>
  <c r="Y426" i="4"/>
  <c r="B427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B428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B429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B430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B431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B432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B433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AC433" i="4"/>
  <c r="B434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AC434" i="4"/>
  <c r="B435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B436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B437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B438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AD438" i="4" s="1"/>
  <c r="P438" i="4"/>
  <c r="Q438" i="4"/>
  <c r="R438" i="4"/>
  <c r="S438" i="4"/>
  <c r="T438" i="4"/>
  <c r="U438" i="4"/>
  <c r="V438" i="4"/>
  <c r="W438" i="4"/>
  <c r="X438" i="4"/>
  <c r="Y438" i="4"/>
  <c r="B439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AC439" i="4"/>
  <c r="B440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AC440" i="4"/>
  <c r="B441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B442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B443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B444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B445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B446" i="4"/>
  <c r="C446" i="4"/>
  <c r="D446" i="4"/>
  <c r="E446" i="4"/>
  <c r="F446" i="4"/>
  <c r="G446" i="4"/>
  <c r="H446" i="4"/>
  <c r="I446" i="4"/>
  <c r="J446" i="4"/>
  <c r="K446" i="4"/>
  <c r="L446" i="4"/>
  <c r="M446" i="4"/>
  <c r="AD446" i="4" s="1"/>
  <c r="N446" i="4"/>
  <c r="O446" i="4"/>
  <c r="P446" i="4"/>
  <c r="Q446" i="4"/>
  <c r="R446" i="4"/>
  <c r="S446" i="4"/>
  <c r="T446" i="4"/>
  <c r="U446" i="4"/>
  <c r="V446" i="4"/>
  <c r="W446" i="4"/>
  <c r="X446" i="4"/>
  <c r="Y446" i="4"/>
  <c r="B447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B448" i="4"/>
  <c r="C448" i="4"/>
  <c r="AC448" i="4" s="1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B449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B450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B45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B452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AD452" i="4" s="1"/>
  <c r="O452" i="4"/>
  <c r="P452" i="4"/>
  <c r="Q452" i="4"/>
  <c r="R452" i="4"/>
  <c r="S452" i="4"/>
  <c r="T452" i="4"/>
  <c r="U452" i="4"/>
  <c r="V452" i="4"/>
  <c r="W452" i="4"/>
  <c r="X452" i="4"/>
  <c r="Y452" i="4"/>
  <c r="AC452" i="4"/>
  <c r="B453" i="4"/>
  <c r="C453" i="4"/>
  <c r="D453" i="4"/>
  <c r="E453" i="4"/>
  <c r="AC453" i="4" s="1"/>
  <c r="F453" i="4"/>
  <c r="G453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B454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B455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B456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B457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B458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AD458" i="4" s="1"/>
  <c r="Q458" i="4"/>
  <c r="R458" i="4"/>
  <c r="S458" i="4"/>
  <c r="T458" i="4"/>
  <c r="U458" i="4"/>
  <c r="V458" i="4"/>
  <c r="W458" i="4"/>
  <c r="X458" i="4"/>
  <c r="Y458" i="4"/>
  <c r="B459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B460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B461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B462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B463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B464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B465" i="4"/>
  <c r="C465" i="4"/>
  <c r="AC465" i="4" s="1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B466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AD466" i="4" s="1"/>
  <c r="O466" i="4"/>
  <c r="P466" i="4"/>
  <c r="Q466" i="4"/>
  <c r="R466" i="4"/>
  <c r="S466" i="4"/>
  <c r="T466" i="4"/>
  <c r="U466" i="4"/>
  <c r="V466" i="4"/>
  <c r="W466" i="4"/>
  <c r="X466" i="4"/>
  <c r="Y466" i="4"/>
  <c r="AC466" i="4"/>
  <c r="B467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B468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B469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B470" i="4"/>
  <c r="C470" i="4"/>
  <c r="D470" i="4"/>
  <c r="E470" i="4"/>
  <c r="F470" i="4"/>
  <c r="G470" i="4"/>
  <c r="H470" i="4"/>
  <c r="I470" i="4"/>
  <c r="J470" i="4"/>
  <c r="K470" i="4"/>
  <c r="L470" i="4"/>
  <c r="M470" i="4"/>
  <c r="AD470" i="4" s="1"/>
  <c r="N470" i="4"/>
  <c r="O470" i="4"/>
  <c r="P470" i="4"/>
  <c r="Q470" i="4"/>
  <c r="R470" i="4"/>
  <c r="S470" i="4"/>
  <c r="T470" i="4"/>
  <c r="U470" i="4"/>
  <c r="V470" i="4"/>
  <c r="W470" i="4"/>
  <c r="X470" i="4"/>
  <c r="Y470" i="4"/>
  <c r="B471" i="4"/>
  <c r="C471" i="4"/>
  <c r="D471" i="4"/>
  <c r="AC471" i="4" s="1"/>
  <c r="E471" i="4"/>
  <c r="F471" i="4"/>
  <c r="G471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B472" i="4"/>
  <c r="C472" i="4"/>
  <c r="AC472" i="4" s="1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B473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B474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AC474" i="4"/>
  <c r="B475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B476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B477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B478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AC478" i="4"/>
  <c r="AD478" i="4"/>
  <c r="B479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B480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B481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B482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B483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B484" i="4"/>
  <c r="C484" i="4"/>
  <c r="D484" i="4"/>
  <c r="E484" i="4"/>
  <c r="F484" i="4"/>
  <c r="G484" i="4"/>
  <c r="H484" i="4"/>
  <c r="AC484" i="4" s="1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B485" i="4"/>
  <c r="C485" i="4"/>
  <c r="AC485" i="4" s="1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B486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AD486" i="4"/>
  <c r="B487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B488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B489" i="4"/>
  <c r="C489" i="4"/>
  <c r="D489" i="4"/>
  <c r="E489" i="4"/>
  <c r="F489" i="4"/>
  <c r="G489" i="4"/>
  <c r="H489" i="4"/>
  <c r="I489" i="4"/>
  <c r="J489" i="4"/>
  <c r="K489" i="4"/>
  <c r="L489" i="4"/>
  <c r="M489" i="4"/>
  <c r="AD489" i="4" s="1"/>
  <c r="N489" i="4"/>
  <c r="O489" i="4"/>
  <c r="P489" i="4"/>
  <c r="Q489" i="4"/>
  <c r="R489" i="4"/>
  <c r="S489" i="4"/>
  <c r="T489" i="4"/>
  <c r="U489" i="4"/>
  <c r="V489" i="4"/>
  <c r="W489" i="4"/>
  <c r="X489" i="4"/>
  <c r="Y489" i="4"/>
  <c r="B490" i="4"/>
  <c r="C490" i="4"/>
  <c r="D490" i="4"/>
  <c r="E490" i="4"/>
  <c r="F490" i="4"/>
  <c r="G490" i="4"/>
  <c r="H490" i="4"/>
  <c r="I490" i="4"/>
  <c r="J490" i="4"/>
  <c r="K490" i="4"/>
  <c r="L490" i="4"/>
  <c r="M490" i="4"/>
  <c r="AD490" i="4" s="1"/>
  <c r="N490" i="4"/>
  <c r="O490" i="4"/>
  <c r="P490" i="4"/>
  <c r="Q490" i="4"/>
  <c r="R490" i="4"/>
  <c r="S490" i="4"/>
  <c r="T490" i="4"/>
  <c r="U490" i="4"/>
  <c r="V490" i="4"/>
  <c r="W490" i="4"/>
  <c r="X490" i="4"/>
  <c r="Y490" i="4"/>
  <c r="B491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B492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B497" i="4"/>
  <c r="C497" i="4"/>
  <c r="D497" i="4"/>
  <c r="AC497" i="4" s="1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B498" i="4"/>
  <c r="C498" i="4"/>
  <c r="AC498" i="4" s="1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AC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AD502" i="4" s="1"/>
  <c r="N502" i="4"/>
  <c r="O502" i="4"/>
  <c r="P502" i="4"/>
  <c r="Q502" i="4"/>
  <c r="R502" i="4"/>
  <c r="S502" i="4"/>
  <c r="T502" i="4"/>
  <c r="U502" i="4"/>
  <c r="V502" i="4"/>
  <c r="W502" i="4"/>
  <c r="X502" i="4"/>
  <c r="Y502" i="4"/>
  <c r="B503" i="4"/>
  <c r="C503" i="4"/>
  <c r="D503" i="4"/>
  <c r="AC503" i="4" s="1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B504" i="4"/>
  <c r="C504" i="4"/>
  <c r="D504" i="4"/>
  <c r="E504" i="4"/>
  <c r="F504" i="4"/>
  <c r="G504" i="4"/>
  <c r="AC504" i="4" s="1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AD506" i="4" s="1"/>
  <c r="O506" i="4"/>
  <c r="P506" i="4"/>
  <c r="Q506" i="4"/>
  <c r="R506" i="4"/>
  <c r="S506" i="4"/>
  <c r="T506" i="4"/>
  <c r="U506" i="4"/>
  <c r="V506" i="4"/>
  <c r="W506" i="4"/>
  <c r="X506" i="4"/>
  <c r="Y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AD510" i="4" s="1"/>
  <c r="O510" i="4"/>
  <c r="P510" i="4"/>
  <c r="Q510" i="4"/>
  <c r="R510" i="4"/>
  <c r="S510" i="4"/>
  <c r="T510" i="4"/>
  <c r="U510" i="4"/>
  <c r="V510" i="4"/>
  <c r="W510" i="4"/>
  <c r="X510" i="4"/>
  <c r="Y510" i="4"/>
  <c r="AC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B512" i="4"/>
  <c r="C512" i="4"/>
  <c r="D512" i="4"/>
  <c r="E512" i="4"/>
  <c r="F512" i="4"/>
  <c r="G512" i="4"/>
  <c r="H512" i="4"/>
  <c r="AC512" i="4" s="1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B516" i="4"/>
  <c r="C516" i="4"/>
  <c r="D516" i="4"/>
  <c r="AC516" i="4" s="1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B517" i="4"/>
  <c r="C517" i="4"/>
  <c r="AC517" i="4" s="1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AD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B525" i="4"/>
  <c r="C525" i="4"/>
  <c r="D525" i="4"/>
  <c r="E525" i="4"/>
  <c r="AC525" i="4" s="1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B529" i="4"/>
  <c r="C529" i="4"/>
  <c r="D529" i="4"/>
  <c r="AC529" i="4" s="1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B530" i="4"/>
  <c r="C530" i="4"/>
  <c r="AC530" i="4" s="1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AD534" i="4"/>
  <c r="B535" i="4"/>
  <c r="C535" i="4"/>
  <c r="D535" i="4"/>
  <c r="E535" i="4"/>
  <c r="AC535" i="4" s="1"/>
  <c r="F535" i="4"/>
  <c r="G535" i="4"/>
  <c r="H535" i="4"/>
  <c r="I535" i="4"/>
  <c r="J535" i="4"/>
  <c r="K535" i="4"/>
  <c r="L535" i="4"/>
  <c r="M535" i="4"/>
  <c r="AD535" i="4" s="1"/>
  <c r="N535" i="4"/>
  <c r="O535" i="4"/>
  <c r="P535" i="4"/>
  <c r="Q535" i="4"/>
  <c r="R535" i="4"/>
  <c r="S535" i="4"/>
  <c r="T535" i="4"/>
  <c r="U535" i="4"/>
  <c r="V535" i="4"/>
  <c r="W535" i="4"/>
  <c r="X535" i="4"/>
  <c r="Y535" i="4"/>
  <c r="B536" i="4"/>
  <c r="C536" i="4"/>
  <c r="D536" i="4"/>
  <c r="E536" i="4"/>
  <c r="F536" i="4"/>
  <c r="G536" i="4"/>
  <c r="H536" i="4"/>
  <c r="AC536" i="4" s="1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AC542" i="4"/>
  <c r="AD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B548" i="4"/>
  <c r="C548" i="4"/>
  <c r="D548" i="4"/>
  <c r="AC548" i="4" s="1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B549" i="4"/>
  <c r="C549" i="4"/>
  <c r="AC549" i="4" s="1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AD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AD558" i="4" s="1"/>
  <c r="O558" i="4"/>
  <c r="P558" i="4"/>
  <c r="Q558" i="4"/>
  <c r="R558" i="4"/>
  <c r="S558" i="4"/>
  <c r="T558" i="4"/>
  <c r="U558" i="4"/>
  <c r="V558" i="4"/>
  <c r="W558" i="4"/>
  <c r="X558" i="4"/>
  <c r="Y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AC561" i="4"/>
  <c r="B562" i="4"/>
  <c r="C562" i="4"/>
  <c r="AC562" i="4" s="1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B564" i="4"/>
  <c r="C564" i="4"/>
  <c r="D564" i="4"/>
  <c r="E564" i="4"/>
  <c r="F564" i="4"/>
  <c r="G564" i="4"/>
  <c r="G1103" i="4" s="1"/>
  <c r="H564" i="4"/>
  <c r="I564" i="4"/>
  <c r="J564" i="4"/>
  <c r="K564" i="4"/>
  <c r="L564" i="4"/>
  <c r="M564" i="4"/>
  <c r="N564" i="4"/>
  <c r="O564" i="4"/>
  <c r="O1103" i="4" s="1"/>
  <c r="P564" i="4"/>
  <c r="Q564" i="4"/>
  <c r="R564" i="4"/>
  <c r="S564" i="4"/>
  <c r="T564" i="4"/>
  <c r="U564" i="4"/>
  <c r="V564" i="4"/>
  <c r="W564" i="4"/>
  <c r="W1103" i="4" s="1"/>
  <c r="X564" i="4"/>
  <c r="Y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AD566" i="4" s="1"/>
  <c r="P566" i="4"/>
  <c r="Q566" i="4"/>
  <c r="R566" i="4"/>
  <c r="S566" i="4"/>
  <c r="T566" i="4"/>
  <c r="U566" i="4"/>
  <c r="V566" i="4"/>
  <c r="W566" i="4"/>
  <c r="X566" i="4"/>
  <c r="Y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AC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AC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AD574" i="4" s="1"/>
  <c r="N574" i="4"/>
  <c r="O574" i="4"/>
  <c r="P574" i="4"/>
  <c r="Q574" i="4"/>
  <c r="R574" i="4"/>
  <c r="S574" i="4"/>
  <c r="T574" i="4"/>
  <c r="U574" i="4"/>
  <c r="V574" i="4"/>
  <c r="W574" i="4"/>
  <c r="X574" i="4"/>
  <c r="Y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B576" i="4"/>
  <c r="C576" i="4"/>
  <c r="AC576" i="4" s="1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B579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AC580" i="4"/>
  <c r="B581" i="4"/>
  <c r="C581" i="4"/>
  <c r="D581" i="4"/>
  <c r="E581" i="4"/>
  <c r="AC581" i="4" s="1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AD582" i="4" s="1"/>
  <c r="Q582" i="4"/>
  <c r="R582" i="4"/>
  <c r="S582" i="4"/>
  <c r="T582" i="4"/>
  <c r="U582" i="4"/>
  <c r="V582" i="4"/>
  <c r="W582" i="4"/>
  <c r="X582" i="4"/>
  <c r="Y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B585" i="4"/>
  <c r="C585" i="4"/>
  <c r="D585" i="4"/>
  <c r="E585" i="4"/>
  <c r="F585" i="4"/>
  <c r="G585" i="4"/>
  <c r="H585" i="4"/>
  <c r="I585" i="4"/>
  <c r="J585" i="4"/>
  <c r="K585" i="4"/>
  <c r="L585" i="4"/>
  <c r="M585" i="4"/>
  <c r="N585" i="4"/>
  <c r="O585" i="4"/>
  <c r="P585" i="4"/>
  <c r="Q585" i="4"/>
  <c r="R585" i="4"/>
  <c r="S585" i="4"/>
  <c r="T585" i="4"/>
  <c r="U585" i="4"/>
  <c r="V585" i="4"/>
  <c r="W585" i="4"/>
  <c r="X585" i="4"/>
  <c r="Y585" i="4"/>
  <c r="B586" i="4"/>
  <c r="C586" i="4"/>
  <c r="D586" i="4"/>
  <c r="E586" i="4"/>
  <c r="F586" i="4"/>
  <c r="G586" i="4"/>
  <c r="H586" i="4"/>
  <c r="I586" i="4"/>
  <c r="J586" i="4"/>
  <c r="K586" i="4"/>
  <c r="L586" i="4"/>
  <c r="M586" i="4"/>
  <c r="AD586" i="4" s="1"/>
  <c r="N586" i="4"/>
  <c r="O586" i="4"/>
  <c r="P586" i="4"/>
  <c r="Q586" i="4"/>
  <c r="R586" i="4"/>
  <c r="S586" i="4"/>
  <c r="T586" i="4"/>
  <c r="U586" i="4"/>
  <c r="V586" i="4"/>
  <c r="W586" i="4"/>
  <c r="X586" i="4"/>
  <c r="Y586" i="4"/>
  <c r="B587" i="4"/>
  <c r="C587" i="4"/>
  <c r="AC587" i="4" s="1"/>
  <c r="D587" i="4"/>
  <c r="E587" i="4"/>
  <c r="F587" i="4"/>
  <c r="G587" i="4"/>
  <c r="H587" i="4"/>
  <c r="I587" i="4"/>
  <c r="J587" i="4"/>
  <c r="K587" i="4"/>
  <c r="L587" i="4"/>
  <c r="M587" i="4"/>
  <c r="N587" i="4"/>
  <c r="O587" i="4"/>
  <c r="P587" i="4"/>
  <c r="Q587" i="4"/>
  <c r="R587" i="4"/>
  <c r="S587" i="4"/>
  <c r="T587" i="4"/>
  <c r="U587" i="4"/>
  <c r="V587" i="4"/>
  <c r="W587" i="4"/>
  <c r="X587" i="4"/>
  <c r="Y587" i="4"/>
  <c r="B588" i="4"/>
  <c r="C588" i="4"/>
  <c r="D588" i="4"/>
  <c r="E588" i="4"/>
  <c r="F588" i="4"/>
  <c r="G588" i="4"/>
  <c r="H588" i="4"/>
  <c r="I588" i="4"/>
  <c r="J588" i="4"/>
  <c r="K588" i="4"/>
  <c r="L588" i="4"/>
  <c r="M588" i="4"/>
  <c r="N588" i="4"/>
  <c r="O588" i="4"/>
  <c r="P588" i="4"/>
  <c r="Q588" i="4"/>
  <c r="R588" i="4"/>
  <c r="S588" i="4"/>
  <c r="T588" i="4"/>
  <c r="U588" i="4"/>
  <c r="V588" i="4"/>
  <c r="W588" i="4"/>
  <c r="X588" i="4"/>
  <c r="Y588" i="4"/>
  <c r="B589" i="4"/>
  <c r="C589" i="4"/>
  <c r="D589" i="4"/>
  <c r="E589" i="4"/>
  <c r="F589" i="4"/>
  <c r="G589" i="4"/>
  <c r="H589" i="4"/>
  <c r="I589" i="4"/>
  <c r="J589" i="4"/>
  <c r="K589" i="4"/>
  <c r="L589" i="4"/>
  <c r="M589" i="4"/>
  <c r="N589" i="4"/>
  <c r="O589" i="4"/>
  <c r="P589" i="4"/>
  <c r="Q589" i="4"/>
  <c r="R589" i="4"/>
  <c r="S589" i="4"/>
  <c r="T589" i="4"/>
  <c r="U589" i="4"/>
  <c r="V589" i="4"/>
  <c r="W589" i="4"/>
  <c r="X589" i="4"/>
  <c r="Y589" i="4"/>
  <c r="AC589" i="4"/>
  <c r="B590" i="4"/>
  <c r="C590" i="4"/>
  <c r="D590" i="4"/>
  <c r="E590" i="4"/>
  <c r="F590" i="4"/>
  <c r="G590" i="4"/>
  <c r="H590" i="4"/>
  <c r="I590" i="4"/>
  <c r="J590" i="4"/>
  <c r="K590" i="4"/>
  <c r="L590" i="4"/>
  <c r="M590" i="4"/>
  <c r="N590" i="4"/>
  <c r="O590" i="4"/>
  <c r="P590" i="4"/>
  <c r="Q590" i="4"/>
  <c r="R590" i="4"/>
  <c r="S590" i="4"/>
  <c r="T590" i="4"/>
  <c r="U590" i="4"/>
  <c r="V590" i="4"/>
  <c r="W590" i="4"/>
  <c r="X590" i="4"/>
  <c r="Y590" i="4"/>
  <c r="B591" i="4"/>
  <c r="C591" i="4"/>
  <c r="D591" i="4"/>
  <c r="E591" i="4"/>
  <c r="F591" i="4"/>
  <c r="G591" i="4"/>
  <c r="H591" i="4"/>
  <c r="I591" i="4"/>
  <c r="J591" i="4"/>
  <c r="K591" i="4"/>
  <c r="L591" i="4"/>
  <c r="M591" i="4"/>
  <c r="AD591" i="4" s="1"/>
  <c r="N591" i="4"/>
  <c r="O591" i="4"/>
  <c r="P591" i="4"/>
  <c r="Q591" i="4"/>
  <c r="R591" i="4"/>
  <c r="S591" i="4"/>
  <c r="T591" i="4"/>
  <c r="U591" i="4"/>
  <c r="V591" i="4"/>
  <c r="W591" i="4"/>
  <c r="X591" i="4"/>
  <c r="Y591" i="4"/>
  <c r="B592" i="4"/>
  <c r="C592" i="4"/>
  <c r="D592" i="4"/>
  <c r="E592" i="4"/>
  <c r="F592" i="4"/>
  <c r="G592" i="4"/>
  <c r="H592" i="4"/>
  <c r="I592" i="4"/>
  <c r="J592" i="4"/>
  <c r="K592" i="4"/>
  <c r="L592" i="4"/>
  <c r="M592" i="4"/>
  <c r="N592" i="4"/>
  <c r="O592" i="4"/>
  <c r="P592" i="4"/>
  <c r="Q592" i="4"/>
  <c r="R592" i="4"/>
  <c r="S592" i="4"/>
  <c r="T592" i="4"/>
  <c r="U592" i="4"/>
  <c r="V592" i="4"/>
  <c r="W592" i="4"/>
  <c r="X592" i="4"/>
  <c r="Y592" i="4"/>
  <c r="B593" i="4"/>
  <c r="C593" i="4"/>
  <c r="D593" i="4"/>
  <c r="E593" i="4"/>
  <c r="AC593" i="4" s="1"/>
  <c r="F593" i="4"/>
  <c r="G593" i="4"/>
  <c r="H593" i="4"/>
  <c r="I593" i="4"/>
  <c r="J593" i="4"/>
  <c r="K593" i="4"/>
  <c r="L593" i="4"/>
  <c r="M593" i="4"/>
  <c r="AD593" i="4" s="1"/>
  <c r="N593" i="4"/>
  <c r="O593" i="4"/>
  <c r="P593" i="4"/>
  <c r="Q593" i="4"/>
  <c r="R593" i="4"/>
  <c r="S593" i="4"/>
  <c r="T593" i="4"/>
  <c r="U593" i="4"/>
  <c r="V593" i="4"/>
  <c r="W593" i="4"/>
  <c r="X593" i="4"/>
  <c r="Y593" i="4"/>
  <c r="B594" i="4"/>
  <c r="C594" i="4"/>
  <c r="AC594" i="4" s="1"/>
  <c r="D594" i="4"/>
  <c r="E594" i="4"/>
  <c r="F594" i="4"/>
  <c r="G594" i="4"/>
  <c r="H594" i="4"/>
  <c r="I594" i="4"/>
  <c r="J594" i="4"/>
  <c r="K594" i="4"/>
  <c r="L594" i="4"/>
  <c r="M594" i="4"/>
  <c r="N594" i="4"/>
  <c r="O594" i="4"/>
  <c r="P594" i="4"/>
  <c r="Q594" i="4"/>
  <c r="R594" i="4"/>
  <c r="S594" i="4"/>
  <c r="T594" i="4"/>
  <c r="U594" i="4"/>
  <c r="V594" i="4"/>
  <c r="W594" i="4"/>
  <c r="X594" i="4"/>
  <c r="Y594" i="4"/>
  <c r="B595" i="4"/>
  <c r="C595" i="4"/>
  <c r="D595" i="4"/>
  <c r="E595" i="4"/>
  <c r="F595" i="4"/>
  <c r="G595" i="4"/>
  <c r="H595" i="4"/>
  <c r="I595" i="4"/>
  <c r="J595" i="4"/>
  <c r="K595" i="4"/>
  <c r="L595" i="4"/>
  <c r="M595" i="4"/>
  <c r="N595" i="4"/>
  <c r="O595" i="4"/>
  <c r="P595" i="4"/>
  <c r="Q595" i="4"/>
  <c r="R595" i="4"/>
  <c r="S595" i="4"/>
  <c r="T595" i="4"/>
  <c r="U595" i="4"/>
  <c r="V595" i="4"/>
  <c r="W595" i="4"/>
  <c r="X595" i="4"/>
  <c r="Y595" i="4"/>
  <c r="B596" i="4"/>
  <c r="C596" i="4"/>
  <c r="D596" i="4"/>
  <c r="E596" i="4"/>
  <c r="F596" i="4"/>
  <c r="G596" i="4"/>
  <c r="H596" i="4"/>
  <c r="I596" i="4"/>
  <c r="J596" i="4"/>
  <c r="K596" i="4"/>
  <c r="L596" i="4"/>
  <c r="M596" i="4"/>
  <c r="N596" i="4"/>
  <c r="O596" i="4"/>
  <c r="P596" i="4"/>
  <c r="Q596" i="4"/>
  <c r="R596" i="4"/>
  <c r="S596" i="4"/>
  <c r="T596" i="4"/>
  <c r="U596" i="4"/>
  <c r="V596" i="4"/>
  <c r="W596" i="4"/>
  <c r="X596" i="4"/>
  <c r="Y596" i="4"/>
  <c r="B597" i="4"/>
  <c r="C597" i="4"/>
  <c r="D597" i="4"/>
  <c r="E597" i="4"/>
  <c r="F597" i="4"/>
  <c r="G597" i="4"/>
  <c r="H597" i="4"/>
  <c r="I597" i="4"/>
  <c r="J597" i="4"/>
  <c r="K597" i="4"/>
  <c r="L597" i="4"/>
  <c r="M597" i="4"/>
  <c r="N597" i="4"/>
  <c r="O597" i="4"/>
  <c r="P597" i="4"/>
  <c r="Q597" i="4"/>
  <c r="R597" i="4"/>
  <c r="S597" i="4"/>
  <c r="T597" i="4"/>
  <c r="U597" i="4"/>
  <c r="V597" i="4"/>
  <c r="W597" i="4"/>
  <c r="X597" i="4"/>
  <c r="Y597" i="4"/>
  <c r="B598" i="4"/>
  <c r="C598" i="4"/>
  <c r="D598" i="4"/>
  <c r="E598" i="4"/>
  <c r="F598" i="4"/>
  <c r="G598" i="4"/>
  <c r="H598" i="4"/>
  <c r="I598" i="4"/>
  <c r="J598" i="4"/>
  <c r="K598" i="4"/>
  <c r="L598" i="4"/>
  <c r="M598" i="4"/>
  <c r="N598" i="4"/>
  <c r="O598" i="4"/>
  <c r="AD598" i="4" s="1"/>
  <c r="P598" i="4"/>
  <c r="Q598" i="4"/>
  <c r="R598" i="4"/>
  <c r="S598" i="4"/>
  <c r="T598" i="4"/>
  <c r="U598" i="4"/>
  <c r="V598" i="4"/>
  <c r="W598" i="4"/>
  <c r="X598" i="4"/>
  <c r="Y598" i="4"/>
  <c r="B599" i="4"/>
  <c r="C599" i="4"/>
  <c r="D599" i="4"/>
  <c r="E599" i="4"/>
  <c r="F599" i="4"/>
  <c r="G599" i="4"/>
  <c r="H599" i="4"/>
  <c r="I599" i="4"/>
  <c r="J599" i="4"/>
  <c r="K599" i="4"/>
  <c r="L599" i="4"/>
  <c r="M599" i="4"/>
  <c r="N599" i="4"/>
  <c r="O599" i="4"/>
  <c r="P599" i="4"/>
  <c r="Q599" i="4"/>
  <c r="R599" i="4"/>
  <c r="S599" i="4"/>
  <c r="T599" i="4"/>
  <c r="U599" i="4"/>
  <c r="V599" i="4"/>
  <c r="W599" i="4"/>
  <c r="X599" i="4"/>
  <c r="Y599" i="4"/>
  <c r="AC599" i="4"/>
  <c r="B600" i="4"/>
  <c r="C600" i="4"/>
  <c r="D600" i="4"/>
  <c r="E600" i="4"/>
  <c r="AC600" i="4" s="1"/>
  <c r="F600" i="4"/>
  <c r="G600" i="4"/>
  <c r="H600" i="4"/>
  <c r="I600" i="4"/>
  <c r="J600" i="4"/>
  <c r="K600" i="4"/>
  <c r="L600" i="4"/>
  <c r="M600" i="4"/>
  <c r="N600" i="4"/>
  <c r="O600" i="4"/>
  <c r="P600" i="4"/>
  <c r="Q600" i="4"/>
  <c r="R600" i="4"/>
  <c r="S600" i="4"/>
  <c r="T600" i="4"/>
  <c r="U600" i="4"/>
  <c r="V600" i="4"/>
  <c r="W600" i="4"/>
  <c r="X600" i="4"/>
  <c r="Y600" i="4"/>
  <c r="B601" i="4"/>
  <c r="C601" i="4"/>
  <c r="D601" i="4"/>
  <c r="E601" i="4"/>
  <c r="F601" i="4"/>
  <c r="G601" i="4"/>
  <c r="H601" i="4"/>
  <c r="I601" i="4"/>
  <c r="J601" i="4"/>
  <c r="K601" i="4"/>
  <c r="L601" i="4"/>
  <c r="M601" i="4"/>
  <c r="N601" i="4"/>
  <c r="O601" i="4"/>
  <c r="P601" i="4"/>
  <c r="Q601" i="4"/>
  <c r="R601" i="4"/>
  <c r="S601" i="4"/>
  <c r="T601" i="4"/>
  <c r="U601" i="4"/>
  <c r="V601" i="4"/>
  <c r="W601" i="4"/>
  <c r="X601" i="4"/>
  <c r="Y601" i="4"/>
  <c r="B602" i="4"/>
  <c r="C602" i="4"/>
  <c r="AC602" i="4" s="1"/>
  <c r="D602" i="4"/>
  <c r="E602" i="4"/>
  <c r="F602" i="4"/>
  <c r="G602" i="4"/>
  <c r="H602" i="4"/>
  <c r="I602" i="4"/>
  <c r="J602" i="4"/>
  <c r="K602" i="4"/>
  <c r="L602" i="4"/>
  <c r="M602" i="4"/>
  <c r="N602" i="4"/>
  <c r="O602" i="4"/>
  <c r="P602" i="4"/>
  <c r="Q602" i="4"/>
  <c r="R602" i="4"/>
  <c r="S602" i="4"/>
  <c r="T602" i="4"/>
  <c r="U602" i="4"/>
  <c r="V602" i="4"/>
  <c r="W602" i="4"/>
  <c r="X602" i="4"/>
  <c r="Y602" i="4"/>
  <c r="B603" i="4"/>
  <c r="C603" i="4"/>
  <c r="D603" i="4"/>
  <c r="E603" i="4"/>
  <c r="F603" i="4"/>
  <c r="G603" i="4"/>
  <c r="H603" i="4"/>
  <c r="I603" i="4"/>
  <c r="J603" i="4"/>
  <c r="K603" i="4"/>
  <c r="L603" i="4"/>
  <c r="M603" i="4"/>
  <c r="N603" i="4"/>
  <c r="O603" i="4"/>
  <c r="P603" i="4"/>
  <c r="Q603" i="4"/>
  <c r="R603" i="4"/>
  <c r="S603" i="4"/>
  <c r="T603" i="4"/>
  <c r="U603" i="4"/>
  <c r="V603" i="4"/>
  <c r="W603" i="4"/>
  <c r="X603" i="4"/>
  <c r="Y603" i="4"/>
  <c r="B604" i="4"/>
  <c r="C604" i="4"/>
  <c r="D604" i="4"/>
  <c r="E604" i="4"/>
  <c r="F604" i="4"/>
  <c r="G604" i="4"/>
  <c r="H604" i="4"/>
  <c r="I604" i="4"/>
  <c r="J604" i="4"/>
  <c r="K604" i="4"/>
  <c r="L604" i="4"/>
  <c r="M604" i="4"/>
  <c r="N604" i="4"/>
  <c r="O604" i="4"/>
  <c r="P604" i="4"/>
  <c r="Q604" i="4"/>
  <c r="R604" i="4"/>
  <c r="S604" i="4"/>
  <c r="T604" i="4"/>
  <c r="U604" i="4"/>
  <c r="V604" i="4"/>
  <c r="W604" i="4"/>
  <c r="X604" i="4"/>
  <c r="Y604" i="4"/>
  <c r="B605" i="4"/>
  <c r="C605" i="4"/>
  <c r="D605" i="4"/>
  <c r="E605" i="4"/>
  <c r="F605" i="4"/>
  <c r="G605" i="4"/>
  <c r="H605" i="4"/>
  <c r="I605" i="4"/>
  <c r="J605" i="4"/>
  <c r="K605" i="4"/>
  <c r="L605" i="4"/>
  <c r="M605" i="4"/>
  <c r="N605" i="4"/>
  <c r="O605" i="4"/>
  <c r="P605" i="4"/>
  <c r="Q605" i="4"/>
  <c r="R605" i="4"/>
  <c r="S605" i="4"/>
  <c r="T605" i="4"/>
  <c r="U605" i="4"/>
  <c r="V605" i="4"/>
  <c r="W605" i="4"/>
  <c r="X605" i="4"/>
  <c r="Y605" i="4"/>
  <c r="B606" i="4"/>
  <c r="C606" i="4"/>
  <c r="AC606" i="4" s="1"/>
  <c r="D606" i="4"/>
  <c r="E606" i="4"/>
  <c r="F606" i="4"/>
  <c r="G606" i="4"/>
  <c r="H606" i="4"/>
  <c r="I606" i="4"/>
  <c r="J606" i="4"/>
  <c r="K606" i="4"/>
  <c r="L606" i="4"/>
  <c r="M606" i="4"/>
  <c r="N606" i="4"/>
  <c r="O606" i="4"/>
  <c r="P606" i="4"/>
  <c r="Q606" i="4"/>
  <c r="R606" i="4"/>
  <c r="S606" i="4"/>
  <c r="T606" i="4"/>
  <c r="U606" i="4"/>
  <c r="V606" i="4"/>
  <c r="W606" i="4"/>
  <c r="X606" i="4"/>
  <c r="Y606" i="4"/>
  <c r="AD606" i="4"/>
  <c r="B607" i="4"/>
  <c r="C607" i="4"/>
  <c r="D607" i="4"/>
  <c r="E607" i="4"/>
  <c r="F607" i="4"/>
  <c r="G607" i="4"/>
  <c r="H607" i="4"/>
  <c r="I607" i="4"/>
  <c r="J607" i="4"/>
  <c r="K607" i="4"/>
  <c r="L607" i="4"/>
  <c r="M607" i="4"/>
  <c r="N607" i="4"/>
  <c r="O607" i="4"/>
  <c r="P607" i="4"/>
  <c r="Q607" i="4"/>
  <c r="R607" i="4"/>
  <c r="S607" i="4"/>
  <c r="T607" i="4"/>
  <c r="U607" i="4"/>
  <c r="V607" i="4"/>
  <c r="W607" i="4"/>
  <c r="X607" i="4"/>
  <c r="Y607" i="4"/>
  <c r="B608" i="4"/>
  <c r="C608" i="4"/>
  <c r="D608" i="4"/>
  <c r="E608" i="4"/>
  <c r="F608" i="4"/>
  <c r="G608" i="4"/>
  <c r="H608" i="4"/>
  <c r="I608" i="4"/>
  <c r="J608" i="4"/>
  <c r="K608" i="4"/>
  <c r="L608" i="4"/>
  <c r="M608" i="4"/>
  <c r="N608" i="4"/>
  <c r="O608" i="4"/>
  <c r="P608" i="4"/>
  <c r="Q608" i="4"/>
  <c r="R608" i="4"/>
  <c r="S608" i="4"/>
  <c r="T608" i="4"/>
  <c r="U608" i="4"/>
  <c r="V608" i="4"/>
  <c r="W608" i="4"/>
  <c r="X608" i="4"/>
  <c r="Y608" i="4"/>
  <c r="B609" i="4"/>
  <c r="C609" i="4"/>
  <c r="D609" i="4"/>
  <c r="E609" i="4"/>
  <c r="F609" i="4"/>
  <c r="G609" i="4"/>
  <c r="H609" i="4"/>
  <c r="I609" i="4"/>
  <c r="J609" i="4"/>
  <c r="K609" i="4"/>
  <c r="L609" i="4"/>
  <c r="M609" i="4"/>
  <c r="AD609" i="4" s="1"/>
  <c r="N609" i="4"/>
  <c r="O609" i="4"/>
  <c r="P609" i="4"/>
  <c r="Q609" i="4"/>
  <c r="R609" i="4"/>
  <c r="S609" i="4"/>
  <c r="T609" i="4"/>
  <c r="U609" i="4"/>
  <c r="V609" i="4"/>
  <c r="W609" i="4"/>
  <c r="X609" i="4"/>
  <c r="Y609" i="4"/>
  <c r="B610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O610" i="4"/>
  <c r="P610" i="4"/>
  <c r="Q610" i="4"/>
  <c r="R610" i="4"/>
  <c r="S610" i="4"/>
  <c r="T610" i="4"/>
  <c r="U610" i="4"/>
  <c r="V610" i="4"/>
  <c r="W610" i="4"/>
  <c r="X610" i="4"/>
  <c r="Y610" i="4"/>
  <c r="B611" i="4"/>
  <c r="C611" i="4"/>
  <c r="D611" i="4"/>
  <c r="E611" i="4"/>
  <c r="F611" i="4"/>
  <c r="G611" i="4"/>
  <c r="H611" i="4"/>
  <c r="I611" i="4"/>
  <c r="J611" i="4"/>
  <c r="K611" i="4"/>
  <c r="L611" i="4"/>
  <c r="M611" i="4"/>
  <c r="N611" i="4"/>
  <c r="O611" i="4"/>
  <c r="P611" i="4"/>
  <c r="Q611" i="4"/>
  <c r="R611" i="4"/>
  <c r="S611" i="4"/>
  <c r="T611" i="4"/>
  <c r="U611" i="4"/>
  <c r="V611" i="4"/>
  <c r="W611" i="4"/>
  <c r="X611" i="4"/>
  <c r="Y611" i="4"/>
  <c r="B612" i="4"/>
  <c r="C612" i="4"/>
  <c r="D612" i="4"/>
  <c r="E612" i="4"/>
  <c r="AC612" i="4" s="1"/>
  <c r="F612" i="4"/>
  <c r="G612" i="4"/>
  <c r="H612" i="4"/>
  <c r="I612" i="4"/>
  <c r="J612" i="4"/>
  <c r="K612" i="4"/>
  <c r="L612" i="4"/>
  <c r="M612" i="4"/>
  <c r="N612" i="4"/>
  <c r="O612" i="4"/>
  <c r="P612" i="4"/>
  <c r="Q612" i="4"/>
  <c r="R612" i="4"/>
  <c r="S612" i="4"/>
  <c r="T612" i="4"/>
  <c r="U612" i="4"/>
  <c r="V612" i="4"/>
  <c r="W612" i="4"/>
  <c r="X612" i="4"/>
  <c r="Y612" i="4"/>
  <c r="B613" i="4"/>
  <c r="C613" i="4"/>
  <c r="AC613" i="4" s="1"/>
  <c r="D613" i="4"/>
  <c r="E613" i="4"/>
  <c r="F613" i="4"/>
  <c r="G613" i="4"/>
  <c r="H613" i="4"/>
  <c r="I613" i="4"/>
  <c r="J613" i="4"/>
  <c r="K613" i="4"/>
  <c r="L613" i="4"/>
  <c r="M613" i="4"/>
  <c r="N613" i="4"/>
  <c r="O613" i="4"/>
  <c r="P613" i="4"/>
  <c r="Q613" i="4"/>
  <c r="R613" i="4"/>
  <c r="S613" i="4"/>
  <c r="T613" i="4"/>
  <c r="U613" i="4"/>
  <c r="V613" i="4"/>
  <c r="W613" i="4"/>
  <c r="X613" i="4"/>
  <c r="Y613" i="4"/>
  <c r="B614" i="4"/>
  <c r="C614" i="4"/>
  <c r="D614" i="4"/>
  <c r="E614" i="4"/>
  <c r="F614" i="4"/>
  <c r="G614" i="4"/>
  <c r="H614" i="4"/>
  <c r="I614" i="4"/>
  <c r="J614" i="4"/>
  <c r="K614" i="4"/>
  <c r="L614" i="4"/>
  <c r="M614" i="4"/>
  <c r="N614" i="4"/>
  <c r="O614" i="4"/>
  <c r="AD614" i="4" s="1"/>
  <c r="P614" i="4"/>
  <c r="Q614" i="4"/>
  <c r="R614" i="4"/>
  <c r="S614" i="4"/>
  <c r="T614" i="4"/>
  <c r="U614" i="4"/>
  <c r="V614" i="4"/>
  <c r="W614" i="4"/>
  <c r="X614" i="4"/>
  <c r="Y614" i="4"/>
  <c r="B615" i="4"/>
  <c r="C615" i="4"/>
  <c r="D615" i="4"/>
  <c r="E615" i="4"/>
  <c r="F615" i="4"/>
  <c r="G615" i="4"/>
  <c r="H615" i="4"/>
  <c r="I615" i="4"/>
  <c r="J615" i="4"/>
  <c r="K615" i="4"/>
  <c r="L615" i="4"/>
  <c r="M615" i="4"/>
  <c r="N615" i="4"/>
  <c r="O615" i="4"/>
  <c r="P615" i="4"/>
  <c r="Q615" i="4"/>
  <c r="R615" i="4"/>
  <c r="S615" i="4"/>
  <c r="T615" i="4"/>
  <c r="U615" i="4"/>
  <c r="V615" i="4"/>
  <c r="W615" i="4"/>
  <c r="X615" i="4"/>
  <c r="Y615" i="4"/>
  <c r="B616" i="4"/>
  <c r="C616" i="4"/>
  <c r="D616" i="4"/>
  <c r="E616" i="4"/>
  <c r="F616" i="4"/>
  <c r="G616" i="4"/>
  <c r="H616" i="4"/>
  <c r="I616" i="4"/>
  <c r="J616" i="4"/>
  <c r="K616" i="4"/>
  <c r="L616" i="4"/>
  <c r="M616" i="4"/>
  <c r="N616" i="4"/>
  <c r="O616" i="4"/>
  <c r="P616" i="4"/>
  <c r="Q616" i="4"/>
  <c r="R616" i="4"/>
  <c r="S616" i="4"/>
  <c r="T616" i="4"/>
  <c r="U616" i="4"/>
  <c r="V616" i="4"/>
  <c r="W616" i="4"/>
  <c r="X616" i="4"/>
  <c r="Y616" i="4"/>
  <c r="B617" i="4"/>
  <c r="C617" i="4"/>
  <c r="D617" i="4"/>
  <c r="E617" i="4"/>
  <c r="F617" i="4"/>
  <c r="G617" i="4"/>
  <c r="H617" i="4"/>
  <c r="I617" i="4"/>
  <c r="J617" i="4"/>
  <c r="K617" i="4"/>
  <c r="L617" i="4"/>
  <c r="M617" i="4"/>
  <c r="N617" i="4"/>
  <c r="O617" i="4"/>
  <c r="P617" i="4"/>
  <c r="Q617" i="4"/>
  <c r="R617" i="4"/>
  <c r="S617" i="4"/>
  <c r="T617" i="4"/>
  <c r="U617" i="4"/>
  <c r="V617" i="4"/>
  <c r="W617" i="4"/>
  <c r="X617" i="4"/>
  <c r="Y617" i="4"/>
  <c r="B618" i="4"/>
  <c r="C618" i="4"/>
  <c r="D618" i="4"/>
  <c r="E618" i="4"/>
  <c r="F618" i="4"/>
  <c r="G618" i="4"/>
  <c r="H618" i="4"/>
  <c r="I618" i="4"/>
  <c r="J618" i="4"/>
  <c r="K618" i="4"/>
  <c r="L618" i="4"/>
  <c r="M618" i="4"/>
  <c r="N618" i="4"/>
  <c r="O618" i="4"/>
  <c r="P618" i="4"/>
  <c r="Q618" i="4"/>
  <c r="R618" i="4"/>
  <c r="S618" i="4"/>
  <c r="T618" i="4"/>
  <c r="U618" i="4"/>
  <c r="V618" i="4"/>
  <c r="W618" i="4"/>
  <c r="X618" i="4"/>
  <c r="Y618" i="4"/>
  <c r="AD618" i="4"/>
  <c r="B619" i="4"/>
  <c r="C619" i="4"/>
  <c r="D619" i="4"/>
  <c r="E619" i="4"/>
  <c r="F619" i="4"/>
  <c r="G619" i="4"/>
  <c r="H619" i="4"/>
  <c r="I619" i="4"/>
  <c r="AC619" i="4" s="1"/>
  <c r="J619" i="4"/>
  <c r="K619" i="4"/>
  <c r="L619" i="4"/>
  <c r="M619" i="4"/>
  <c r="N619" i="4"/>
  <c r="O619" i="4"/>
  <c r="P619" i="4"/>
  <c r="Q619" i="4"/>
  <c r="R619" i="4"/>
  <c r="S619" i="4"/>
  <c r="T619" i="4"/>
  <c r="U619" i="4"/>
  <c r="V619" i="4"/>
  <c r="W619" i="4"/>
  <c r="X619" i="4"/>
  <c r="Y619" i="4"/>
  <c r="B620" i="4"/>
  <c r="C620" i="4"/>
  <c r="D620" i="4"/>
  <c r="E620" i="4"/>
  <c r="F620" i="4"/>
  <c r="G620" i="4"/>
  <c r="H620" i="4"/>
  <c r="I620" i="4"/>
  <c r="J620" i="4"/>
  <c r="K620" i="4"/>
  <c r="L620" i="4"/>
  <c r="M620" i="4"/>
  <c r="N620" i="4"/>
  <c r="O620" i="4"/>
  <c r="P620" i="4"/>
  <c r="Q620" i="4"/>
  <c r="R620" i="4"/>
  <c r="S620" i="4"/>
  <c r="T620" i="4"/>
  <c r="U620" i="4"/>
  <c r="V620" i="4"/>
  <c r="W620" i="4"/>
  <c r="X620" i="4"/>
  <c r="Y620" i="4"/>
  <c r="B621" i="4"/>
  <c r="C621" i="4"/>
  <c r="D621" i="4"/>
  <c r="E621" i="4"/>
  <c r="F621" i="4"/>
  <c r="G621" i="4"/>
  <c r="H621" i="4"/>
  <c r="I621" i="4"/>
  <c r="J621" i="4"/>
  <c r="K621" i="4"/>
  <c r="L621" i="4"/>
  <c r="M621" i="4"/>
  <c r="N621" i="4"/>
  <c r="O621" i="4"/>
  <c r="P621" i="4"/>
  <c r="Q621" i="4"/>
  <c r="R621" i="4"/>
  <c r="S621" i="4"/>
  <c r="T621" i="4"/>
  <c r="U621" i="4"/>
  <c r="V621" i="4"/>
  <c r="W621" i="4"/>
  <c r="X621" i="4"/>
  <c r="Y621" i="4"/>
  <c r="B622" i="4"/>
  <c r="C622" i="4"/>
  <c r="D622" i="4"/>
  <c r="E622" i="4"/>
  <c r="F622" i="4"/>
  <c r="G622" i="4"/>
  <c r="H622" i="4"/>
  <c r="I622" i="4"/>
  <c r="J622" i="4"/>
  <c r="K622" i="4"/>
  <c r="L622" i="4"/>
  <c r="M622" i="4"/>
  <c r="N622" i="4"/>
  <c r="O622" i="4"/>
  <c r="P622" i="4"/>
  <c r="Q622" i="4"/>
  <c r="R622" i="4"/>
  <c r="S622" i="4"/>
  <c r="T622" i="4"/>
  <c r="U622" i="4"/>
  <c r="V622" i="4"/>
  <c r="W622" i="4"/>
  <c r="X622" i="4"/>
  <c r="Y622" i="4"/>
  <c r="B623" i="4"/>
  <c r="C623" i="4"/>
  <c r="D623" i="4"/>
  <c r="E623" i="4"/>
  <c r="F623" i="4"/>
  <c r="G623" i="4"/>
  <c r="H623" i="4"/>
  <c r="I623" i="4"/>
  <c r="J623" i="4"/>
  <c r="K623" i="4"/>
  <c r="L623" i="4"/>
  <c r="M623" i="4"/>
  <c r="AD623" i="4" s="1"/>
  <c r="N623" i="4"/>
  <c r="O623" i="4"/>
  <c r="P623" i="4"/>
  <c r="Q623" i="4"/>
  <c r="R623" i="4"/>
  <c r="S623" i="4"/>
  <c r="T623" i="4"/>
  <c r="U623" i="4"/>
  <c r="V623" i="4"/>
  <c r="W623" i="4"/>
  <c r="X623" i="4"/>
  <c r="Y623" i="4"/>
  <c r="B624" i="4"/>
  <c r="C624" i="4"/>
  <c r="D624" i="4"/>
  <c r="E624" i="4"/>
  <c r="F624" i="4"/>
  <c r="G624" i="4"/>
  <c r="H624" i="4"/>
  <c r="I624" i="4"/>
  <c r="J624" i="4"/>
  <c r="K624" i="4"/>
  <c r="L624" i="4"/>
  <c r="M624" i="4"/>
  <c r="N624" i="4"/>
  <c r="O624" i="4"/>
  <c r="P624" i="4"/>
  <c r="Q624" i="4"/>
  <c r="R624" i="4"/>
  <c r="S624" i="4"/>
  <c r="T624" i="4"/>
  <c r="U624" i="4"/>
  <c r="V624" i="4"/>
  <c r="W624" i="4"/>
  <c r="X624" i="4"/>
  <c r="Y624" i="4"/>
  <c r="B625" i="4"/>
  <c r="C625" i="4"/>
  <c r="D625" i="4"/>
  <c r="E625" i="4"/>
  <c r="AC625" i="4" s="1"/>
  <c r="F625" i="4"/>
  <c r="G625" i="4"/>
  <c r="H625" i="4"/>
  <c r="I625" i="4"/>
  <c r="J625" i="4"/>
  <c r="K625" i="4"/>
  <c r="L625" i="4"/>
  <c r="M625" i="4"/>
  <c r="AD625" i="4" s="1"/>
  <c r="N625" i="4"/>
  <c r="O625" i="4"/>
  <c r="P625" i="4"/>
  <c r="Q625" i="4"/>
  <c r="R625" i="4"/>
  <c r="S625" i="4"/>
  <c r="T625" i="4"/>
  <c r="U625" i="4"/>
  <c r="V625" i="4"/>
  <c r="W625" i="4"/>
  <c r="X625" i="4"/>
  <c r="Y625" i="4"/>
  <c r="B626" i="4"/>
  <c r="C626" i="4"/>
  <c r="D626" i="4"/>
  <c r="AC626" i="4" s="1"/>
  <c r="E626" i="4"/>
  <c r="F626" i="4"/>
  <c r="G626" i="4"/>
  <c r="H626" i="4"/>
  <c r="I626" i="4"/>
  <c r="J626" i="4"/>
  <c r="K626" i="4"/>
  <c r="L626" i="4"/>
  <c r="M626" i="4"/>
  <c r="N626" i="4"/>
  <c r="O626" i="4"/>
  <c r="P626" i="4"/>
  <c r="Q626" i="4"/>
  <c r="R626" i="4"/>
  <c r="S626" i="4"/>
  <c r="T626" i="4"/>
  <c r="U626" i="4"/>
  <c r="V626" i="4"/>
  <c r="W626" i="4"/>
  <c r="X626" i="4"/>
  <c r="Y626" i="4"/>
  <c r="B627" i="4"/>
  <c r="C627" i="4"/>
  <c r="AC627" i="4" s="1"/>
  <c r="D627" i="4"/>
  <c r="E627" i="4"/>
  <c r="F627" i="4"/>
  <c r="G627" i="4"/>
  <c r="H627" i="4"/>
  <c r="I627" i="4"/>
  <c r="J627" i="4"/>
  <c r="K627" i="4"/>
  <c r="L627" i="4"/>
  <c r="M627" i="4"/>
  <c r="N627" i="4"/>
  <c r="O627" i="4"/>
  <c r="P627" i="4"/>
  <c r="Q627" i="4"/>
  <c r="R627" i="4"/>
  <c r="S627" i="4"/>
  <c r="T627" i="4"/>
  <c r="U627" i="4"/>
  <c r="V627" i="4"/>
  <c r="W627" i="4"/>
  <c r="X627" i="4"/>
  <c r="Y627" i="4"/>
  <c r="B628" i="4"/>
  <c r="C628" i="4"/>
  <c r="D628" i="4"/>
  <c r="E628" i="4"/>
  <c r="F628" i="4"/>
  <c r="G628" i="4"/>
  <c r="H628" i="4"/>
  <c r="I628" i="4"/>
  <c r="J628" i="4"/>
  <c r="K628" i="4"/>
  <c r="L628" i="4"/>
  <c r="M628" i="4"/>
  <c r="N628" i="4"/>
  <c r="O628" i="4"/>
  <c r="P628" i="4"/>
  <c r="Q628" i="4"/>
  <c r="R628" i="4"/>
  <c r="S628" i="4"/>
  <c r="T628" i="4"/>
  <c r="U628" i="4"/>
  <c r="V628" i="4"/>
  <c r="W628" i="4"/>
  <c r="X628" i="4"/>
  <c r="Y628" i="4"/>
  <c r="B629" i="4"/>
  <c r="C629" i="4"/>
  <c r="D629" i="4"/>
  <c r="E629" i="4"/>
  <c r="F629" i="4"/>
  <c r="G629" i="4"/>
  <c r="H629" i="4"/>
  <c r="I629" i="4"/>
  <c r="J629" i="4"/>
  <c r="K629" i="4"/>
  <c r="L629" i="4"/>
  <c r="M629" i="4"/>
  <c r="N629" i="4"/>
  <c r="O629" i="4"/>
  <c r="P629" i="4"/>
  <c r="Q629" i="4"/>
  <c r="R629" i="4"/>
  <c r="S629" i="4"/>
  <c r="T629" i="4"/>
  <c r="U629" i="4"/>
  <c r="V629" i="4"/>
  <c r="W629" i="4"/>
  <c r="X629" i="4"/>
  <c r="Y629" i="4"/>
  <c r="B630" i="4"/>
  <c r="C630" i="4"/>
  <c r="D630" i="4"/>
  <c r="E630" i="4"/>
  <c r="F630" i="4"/>
  <c r="G630" i="4"/>
  <c r="H630" i="4"/>
  <c r="I630" i="4"/>
  <c r="J630" i="4"/>
  <c r="K630" i="4"/>
  <c r="L630" i="4"/>
  <c r="M630" i="4"/>
  <c r="N630" i="4"/>
  <c r="O630" i="4"/>
  <c r="P630" i="4"/>
  <c r="Q630" i="4"/>
  <c r="R630" i="4"/>
  <c r="S630" i="4"/>
  <c r="T630" i="4"/>
  <c r="U630" i="4"/>
  <c r="V630" i="4"/>
  <c r="W630" i="4"/>
  <c r="X630" i="4"/>
  <c r="Y630" i="4"/>
  <c r="AD630" i="4"/>
  <c r="B631" i="4"/>
  <c r="C631" i="4"/>
  <c r="D631" i="4"/>
  <c r="E631" i="4"/>
  <c r="AC631" i="4" s="1"/>
  <c r="F631" i="4"/>
  <c r="G631" i="4"/>
  <c r="H631" i="4"/>
  <c r="I631" i="4"/>
  <c r="J631" i="4"/>
  <c r="K631" i="4"/>
  <c r="L631" i="4"/>
  <c r="M631" i="4"/>
  <c r="AD631" i="4" s="1"/>
  <c r="N631" i="4"/>
  <c r="O631" i="4"/>
  <c r="P631" i="4"/>
  <c r="Q631" i="4"/>
  <c r="R631" i="4"/>
  <c r="S631" i="4"/>
  <c r="T631" i="4"/>
  <c r="U631" i="4"/>
  <c r="V631" i="4"/>
  <c r="W631" i="4"/>
  <c r="X631" i="4"/>
  <c r="Y631" i="4"/>
  <c r="B632" i="4"/>
  <c r="C632" i="4"/>
  <c r="D632" i="4"/>
  <c r="AC632" i="4" s="1"/>
  <c r="E632" i="4"/>
  <c r="F632" i="4"/>
  <c r="G632" i="4"/>
  <c r="H632" i="4"/>
  <c r="I632" i="4"/>
  <c r="J632" i="4"/>
  <c r="K632" i="4"/>
  <c r="L632" i="4"/>
  <c r="M632" i="4"/>
  <c r="N632" i="4"/>
  <c r="O632" i="4"/>
  <c r="P632" i="4"/>
  <c r="Q632" i="4"/>
  <c r="R632" i="4"/>
  <c r="S632" i="4"/>
  <c r="T632" i="4"/>
  <c r="U632" i="4"/>
  <c r="V632" i="4"/>
  <c r="W632" i="4"/>
  <c r="X632" i="4"/>
  <c r="Y632" i="4"/>
  <c r="B633" i="4"/>
  <c r="C633" i="4"/>
  <c r="D633" i="4"/>
  <c r="E633" i="4"/>
  <c r="F633" i="4"/>
  <c r="G633" i="4"/>
  <c r="H633" i="4"/>
  <c r="I633" i="4"/>
  <c r="J633" i="4"/>
  <c r="K633" i="4"/>
  <c r="L633" i="4"/>
  <c r="M633" i="4"/>
  <c r="N633" i="4"/>
  <c r="O633" i="4"/>
  <c r="P633" i="4"/>
  <c r="Q633" i="4"/>
  <c r="R633" i="4"/>
  <c r="S633" i="4"/>
  <c r="T633" i="4"/>
  <c r="U633" i="4"/>
  <c r="V633" i="4"/>
  <c r="W633" i="4"/>
  <c r="X633" i="4"/>
  <c r="Y633" i="4"/>
  <c r="B634" i="4"/>
  <c r="C634" i="4"/>
  <c r="D634" i="4"/>
  <c r="E634" i="4"/>
  <c r="F634" i="4"/>
  <c r="G634" i="4"/>
  <c r="H634" i="4"/>
  <c r="I634" i="4"/>
  <c r="J634" i="4"/>
  <c r="K634" i="4"/>
  <c r="L634" i="4"/>
  <c r="M634" i="4"/>
  <c r="N634" i="4"/>
  <c r="O634" i="4"/>
  <c r="P634" i="4"/>
  <c r="Q634" i="4"/>
  <c r="R634" i="4"/>
  <c r="S634" i="4"/>
  <c r="T634" i="4"/>
  <c r="U634" i="4"/>
  <c r="V634" i="4"/>
  <c r="W634" i="4"/>
  <c r="X634" i="4"/>
  <c r="Y634" i="4"/>
  <c r="B635" i="4"/>
  <c r="C635" i="4"/>
  <c r="D635" i="4"/>
  <c r="E635" i="4"/>
  <c r="F635" i="4"/>
  <c r="G635" i="4"/>
  <c r="H635" i="4"/>
  <c r="I635" i="4"/>
  <c r="J635" i="4"/>
  <c r="K635" i="4"/>
  <c r="L635" i="4"/>
  <c r="M635" i="4"/>
  <c r="N635" i="4"/>
  <c r="O635" i="4"/>
  <c r="P635" i="4"/>
  <c r="Q635" i="4"/>
  <c r="R635" i="4"/>
  <c r="S635" i="4"/>
  <c r="T635" i="4"/>
  <c r="U635" i="4"/>
  <c r="V635" i="4"/>
  <c r="W635" i="4"/>
  <c r="X635" i="4"/>
  <c r="Y635" i="4"/>
  <c r="B636" i="4"/>
  <c r="C636" i="4"/>
  <c r="D636" i="4"/>
  <c r="E636" i="4"/>
  <c r="F636" i="4"/>
  <c r="G636" i="4"/>
  <c r="H636" i="4"/>
  <c r="I636" i="4"/>
  <c r="J636" i="4"/>
  <c r="K636" i="4"/>
  <c r="L636" i="4"/>
  <c r="M636" i="4"/>
  <c r="N636" i="4"/>
  <c r="O636" i="4"/>
  <c r="P636" i="4"/>
  <c r="Q636" i="4"/>
  <c r="R636" i="4"/>
  <c r="S636" i="4"/>
  <c r="T636" i="4"/>
  <c r="U636" i="4"/>
  <c r="V636" i="4"/>
  <c r="W636" i="4"/>
  <c r="X636" i="4"/>
  <c r="Y636" i="4"/>
  <c r="B637" i="4"/>
  <c r="C637" i="4"/>
  <c r="D637" i="4"/>
  <c r="E637" i="4"/>
  <c r="F637" i="4"/>
  <c r="G637" i="4"/>
  <c r="H637" i="4"/>
  <c r="I637" i="4"/>
  <c r="J637" i="4"/>
  <c r="K637" i="4"/>
  <c r="L637" i="4"/>
  <c r="M637" i="4"/>
  <c r="N637" i="4"/>
  <c r="O637" i="4"/>
  <c r="P637" i="4"/>
  <c r="Q637" i="4"/>
  <c r="R637" i="4"/>
  <c r="S637" i="4"/>
  <c r="T637" i="4"/>
  <c r="U637" i="4"/>
  <c r="V637" i="4"/>
  <c r="W637" i="4"/>
  <c r="X637" i="4"/>
  <c r="Y637" i="4"/>
  <c r="B638" i="4"/>
  <c r="C638" i="4"/>
  <c r="AC638" i="4" s="1"/>
  <c r="D638" i="4"/>
  <c r="E638" i="4"/>
  <c r="F638" i="4"/>
  <c r="G638" i="4"/>
  <c r="H638" i="4"/>
  <c r="I638" i="4"/>
  <c r="J638" i="4"/>
  <c r="K638" i="4"/>
  <c r="L638" i="4"/>
  <c r="M638" i="4"/>
  <c r="N638" i="4"/>
  <c r="O638" i="4"/>
  <c r="P638" i="4"/>
  <c r="Q638" i="4"/>
  <c r="R638" i="4"/>
  <c r="S638" i="4"/>
  <c r="T638" i="4"/>
  <c r="U638" i="4"/>
  <c r="V638" i="4"/>
  <c r="W638" i="4"/>
  <c r="X638" i="4"/>
  <c r="Y638" i="4"/>
  <c r="AD638" i="4"/>
  <c r="B639" i="4"/>
  <c r="C639" i="4"/>
  <c r="D639" i="4"/>
  <c r="E639" i="4"/>
  <c r="F639" i="4"/>
  <c r="G639" i="4"/>
  <c r="H639" i="4"/>
  <c r="I639" i="4"/>
  <c r="J639" i="4"/>
  <c r="K639" i="4"/>
  <c r="L639" i="4"/>
  <c r="M639" i="4"/>
  <c r="N639" i="4"/>
  <c r="O639" i="4"/>
  <c r="P639" i="4"/>
  <c r="Q639" i="4"/>
  <c r="R639" i="4"/>
  <c r="S639" i="4"/>
  <c r="T639" i="4"/>
  <c r="U639" i="4"/>
  <c r="V639" i="4"/>
  <c r="W639" i="4"/>
  <c r="X639" i="4"/>
  <c r="Y639" i="4"/>
  <c r="B640" i="4"/>
  <c r="C640" i="4"/>
  <c r="D640" i="4"/>
  <c r="E640" i="4"/>
  <c r="F640" i="4"/>
  <c r="G640" i="4"/>
  <c r="H640" i="4"/>
  <c r="I640" i="4"/>
  <c r="J640" i="4"/>
  <c r="K640" i="4"/>
  <c r="L640" i="4"/>
  <c r="M640" i="4"/>
  <c r="N640" i="4"/>
  <c r="O640" i="4"/>
  <c r="P640" i="4"/>
  <c r="Q640" i="4"/>
  <c r="R640" i="4"/>
  <c r="S640" i="4"/>
  <c r="T640" i="4"/>
  <c r="U640" i="4"/>
  <c r="V640" i="4"/>
  <c r="W640" i="4"/>
  <c r="X640" i="4"/>
  <c r="Y640" i="4"/>
  <c r="B641" i="4"/>
  <c r="C641" i="4"/>
  <c r="D641" i="4"/>
  <c r="E641" i="4"/>
  <c r="F641" i="4"/>
  <c r="G641" i="4"/>
  <c r="H641" i="4"/>
  <c r="I641" i="4"/>
  <c r="J641" i="4"/>
  <c r="K641" i="4"/>
  <c r="L641" i="4"/>
  <c r="M641" i="4"/>
  <c r="N641" i="4"/>
  <c r="O641" i="4"/>
  <c r="P641" i="4"/>
  <c r="Q641" i="4"/>
  <c r="R641" i="4"/>
  <c r="S641" i="4"/>
  <c r="T641" i="4"/>
  <c r="U641" i="4"/>
  <c r="V641" i="4"/>
  <c r="W641" i="4"/>
  <c r="X641" i="4"/>
  <c r="Y641" i="4"/>
  <c r="B642" i="4"/>
  <c r="C642" i="4"/>
  <c r="D642" i="4"/>
  <c r="E642" i="4"/>
  <c r="F642" i="4"/>
  <c r="G642" i="4"/>
  <c r="H642" i="4"/>
  <c r="I642" i="4"/>
  <c r="J642" i="4"/>
  <c r="K642" i="4"/>
  <c r="L642" i="4"/>
  <c r="M642" i="4"/>
  <c r="N642" i="4"/>
  <c r="O642" i="4"/>
  <c r="P642" i="4"/>
  <c r="Q642" i="4"/>
  <c r="R642" i="4"/>
  <c r="S642" i="4"/>
  <c r="T642" i="4"/>
  <c r="U642" i="4"/>
  <c r="V642" i="4"/>
  <c r="W642" i="4"/>
  <c r="X642" i="4"/>
  <c r="Y642" i="4"/>
  <c r="B643" i="4"/>
  <c r="C643" i="4"/>
  <c r="D643" i="4"/>
  <c r="E643" i="4"/>
  <c r="F643" i="4"/>
  <c r="G643" i="4"/>
  <c r="H643" i="4"/>
  <c r="I643" i="4"/>
  <c r="J643" i="4"/>
  <c r="K643" i="4"/>
  <c r="L643" i="4"/>
  <c r="M643" i="4"/>
  <c r="N643" i="4"/>
  <c r="O643" i="4"/>
  <c r="P643" i="4"/>
  <c r="Q643" i="4"/>
  <c r="R643" i="4"/>
  <c r="S643" i="4"/>
  <c r="T643" i="4"/>
  <c r="U643" i="4"/>
  <c r="V643" i="4"/>
  <c r="W643" i="4"/>
  <c r="X643" i="4"/>
  <c r="Y643" i="4"/>
  <c r="B644" i="4"/>
  <c r="C644" i="4"/>
  <c r="D644" i="4"/>
  <c r="E644" i="4"/>
  <c r="AC644" i="4" s="1"/>
  <c r="F644" i="4"/>
  <c r="G644" i="4"/>
  <c r="H644" i="4"/>
  <c r="I644" i="4"/>
  <c r="J644" i="4"/>
  <c r="K644" i="4"/>
  <c r="L644" i="4"/>
  <c r="M644" i="4"/>
  <c r="N644" i="4"/>
  <c r="O644" i="4"/>
  <c r="P644" i="4"/>
  <c r="Q644" i="4"/>
  <c r="R644" i="4"/>
  <c r="S644" i="4"/>
  <c r="T644" i="4"/>
  <c r="U644" i="4"/>
  <c r="V644" i="4"/>
  <c r="W644" i="4"/>
  <c r="X644" i="4"/>
  <c r="Y644" i="4"/>
  <c r="B645" i="4"/>
  <c r="C645" i="4"/>
  <c r="D645" i="4"/>
  <c r="AC645" i="4" s="1"/>
  <c r="E645" i="4"/>
  <c r="F645" i="4"/>
  <c r="G645" i="4"/>
  <c r="H645" i="4"/>
  <c r="I645" i="4"/>
  <c r="J645" i="4"/>
  <c r="K645" i="4"/>
  <c r="L645" i="4"/>
  <c r="M645" i="4"/>
  <c r="N645" i="4"/>
  <c r="O645" i="4"/>
  <c r="P645" i="4"/>
  <c r="Q645" i="4"/>
  <c r="R645" i="4"/>
  <c r="S645" i="4"/>
  <c r="T645" i="4"/>
  <c r="U645" i="4"/>
  <c r="V645" i="4"/>
  <c r="W645" i="4"/>
  <c r="X645" i="4"/>
  <c r="Y645" i="4"/>
  <c r="B646" i="4"/>
  <c r="C646" i="4"/>
  <c r="D646" i="4"/>
  <c r="E646" i="4"/>
  <c r="F646" i="4"/>
  <c r="G646" i="4"/>
  <c r="H646" i="4"/>
  <c r="I646" i="4"/>
  <c r="J646" i="4"/>
  <c r="K646" i="4"/>
  <c r="L646" i="4"/>
  <c r="M646" i="4"/>
  <c r="N646" i="4"/>
  <c r="O646" i="4"/>
  <c r="P646" i="4"/>
  <c r="Q646" i="4"/>
  <c r="R646" i="4"/>
  <c r="S646" i="4"/>
  <c r="T646" i="4"/>
  <c r="U646" i="4"/>
  <c r="V646" i="4"/>
  <c r="W646" i="4"/>
  <c r="X646" i="4"/>
  <c r="Y646" i="4"/>
  <c r="B647" i="4"/>
  <c r="C647" i="4"/>
  <c r="D647" i="4"/>
  <c r="E647" i="4"/>
  <c r="F647" i="4"/>
  <c r="G647" i="4"/>
  <c r="H647" i="4"/>
  <c r="I647" i="4"/>
  <c r="J647" i="4"/>
  <c r="K647" i="4"/>
  <c r="L647" i="4"/>
  <c r="M647" i="4"/>
  <c r="N647" i="4"/>
  <c r="O647" i="4"/>
  <c r="P647" i="4"/>
  <c r="Q647" i="4"/>
  <c r="R647" i="4"/>
  <c r="S647" i="4"/>
  <c r="T647" i="4"/>
  <c r="U647" i="4"/>
  <c r="V647" i="4"/>
  <c r="W647" i="4"/>
  <c r="X647" i="4"/>
  <c r="Y647" i="4"/>
  <c r="B648" i="4"/>
  <c r="C648" i="4"/>
  <c r="D648" i="4"/>
  <c r="E648" i="4"/>
  <c r="F648" i="4"/>
  <c r="G648" i="4"/>
  <c r="H648" i="4"/>
  <c r="I648" i="4"/>
  <c r="J648" i="4"/>
  <c r="K648" i="4"/>
  <c r="L648" i="4"/>
  <c r="M648" i="4"/>
  <c r="N648" i="4"/>
  <c r="O648" i="4"/>
  <c r="P648" i="4"/>
  <c r="Q648" i="4"/>
  <c r="R648" i="4"/>
  <c r="S648" i="4"/>
  <c r="T648" i="4"/>
  <c r="U648" i="4"/>
  <c r="V648" i="4"/>
  <c r="W648" i="4"/>
  <c r="X648" i="4"/>
  <c r="Y648" i="4"/>
  <c r="B649" i="4"/>
  <c r="C649" i="4"/>
  <c r="D649" i="4"/>
  <c r="E649" i="4"/>
  <c r="F649" i="4"/>
  <c r="G649" i="4"/>
  <c r="H649" i="4"/>
  <c r="I649" i="4"/>
  <c r="J649" i="4"/>
  <c r="K649" i="4"/>
  <c r="L649" i="4"/>
  <c r="M649" i="4"/>
  <c r="N649" i="4"/>
  <c r="O649" i="4"/>
  <c r="P649" i="4"/>
  <c r="Q649" i="4"/>
  <c r="R649" i="4"/>
  <c r="S649" i="4"/>
  <c r="T649" i="4"/>
  <c r="U649" i="4"/>
  <c r="V649" i="4"/>
  <c r="W649" i="4"/>
  <c r="X649" i="4"/>
  <c r="Y649" i="4"/>
  <c r="B650" i="4"/>
  <c r="C650" i="4"/>
  <c r="D650" i="4"/>
  <c r="E650" i="4"/>
  <c r="F650" i="4"/>
  <c r="G650" i="4"/>
  <c r="H650" i="4"/>
  <c r="I650" i="4"/>
  <c r="J650" i="4"/>
  <c r="K650" i="4"/>
  <c r="L650" i="4"/>
  <c r="M650" i="4"/>
  <c r="N650" i="4"/>
  <c r="O650" i="4"/>
  <c r="AD650" i="4" s="1"/>
  <c r="P650" i="4"/>
  <c r="Q650" i="4"/>
  <c r="R650" i="4"/>
  <c r="S650" i="4"/>
  <c r="T650" i="4"/>
  <c r="U650" i="4"/>
  <c r="V650" i="4"/>
  <c r="W650" i="4"/>
  <c r="X650" i="4"/>
  <c r="Y650" i="4"/>
  <c r="B651" i="4"/>
  <c r="C651" i="4"/>
  <c r="D651" i="4"/>
  <c r="E651" i="4"/>
  <c r="F651" i="4"/>
  <c r="G651" i="4"/>
  <c r="H651" i="4"/>
  <c r="I651" i="4"/>
  <c r="J651" i="4"/>
  <c r="K651" i="4"/>
  <c r="L651" i="4"/>
  <c r="M651" i="4"/>
  <c r="N651" i="4"/>
  <c r="O651" i="4"/>
  <c r="P651" i="4"/>
  <c r="Q651" i="4"/>
  <c r="R651" i="4"/>
  <c r="S651" i="4"/>
  <c r="T651" i="4"/>
  <c r="U651" i="4"/>
  <c r="V651" i="4"/>
  <c r="W651" i="4"/>
  <c r="X651" i="4"/>
  <c r="Y651" i="4"/>
  <c r="B652" i="4"/>
  <c r="C652" i="4"/>
  <c r="D652" i="4"/>
  <c r="E652" i="4"/>
  <c r="F652" i="4"/>
  <c r="G652" i="4"/>
  <c r="H652" i="4"/>
  <c r="I652" i="4"/>
  <c r="J652" i="4"/>
  <c r="K652" i="4"/>
  <c r="L652" i="4"/>
  <c r="M652" i="4"/>
  <c r="N652" i="4"/>
  <c r="O652" i="4"/>
  <c r="P652" i="4"/>
  <c r="Q652" i="4"/>
  <c r="R652" i="4"/>
  <c r="S652" i="4"/>
  <c r="T652" i="4"/>
  <c r="U652" i="4"/>
  <c r="V652" i="4"/>
  <c r="W652" i="4"/>
  <c r="X652" i="4"/>
  <c r="Y652" i="4"/>
  <c r="B653" i="4"/>
  <c r="C653" i="4"/>
  <c r="D653" i="4"/>
  <c r="E653" i="4"/>
  <c r="F653" i="4"/>
  <c r="G653" i="4"/>
  <c r="H653" i="4"/>
  <c r="I653" i="4"/>
  <c r="J653" i="4"/>
  <c r="K653" i="4"/>
  <c r="L653" i="4"/>
  <c r="M653" i="4"/>
  <c r="N653" i="4"/>
  <c r="O653" i="4"/>
  <c r="P653" i="4"/>
  <c r="Q653" i="4"/>
  <c r="R653" i="4"/>
  <c r="S653" i="4"/>
  <c r="T653" i="4"/>
  <c r="U653" i="4"/>
  <c r="V653" i="4"/>
  <c r="W653" i="4"/>
  <c r="X653" i="4"/>
  <c r="Y653" i="4"/>
  <c r="AC653" i="4"/>
  <c r="B654" i="4"/>
  <c r="C654" i="4"/>
  <c r="D654" i="4"/>
  <c r="E654" i="4"/>
  <c r="F654" i="4"/>
  <c r="G654" i="4"/>
  <c r="H654" i="4"/>
  <c r="I654" i="4"/>
  <c r="J654" i="4"/>
  <c r="K654" i="4"/>
  <c r="L654" i="4"/>
  <c r="M654" i="4"/>
  <c r="N654" i="4"/>
  <c r="O654" i="4"/>
  <c r="P654" i="4"/>
  <c r="Q654" i="4"/>
  <c r="R654" i="4"/>
  <c r="S654" i="4"/>
  <c r="T654" i="4"/>
  <c r="U654" i="4"/>
  <c r="V654" i="4"/>
  <c r="W654" i="4"/>
  <c r="X654" i="4"/>
  <c r="Y654" i="4"/>
  <c r="B655" i="4"/>
  <c r="C655" i="4"/>
  <c r="D655" i="4"/>
  <c r="E655" i="4"/>
  <c r="F655" i="4"/>
  <c r="G655" i="4"/>
  <c r="H655" i="4"/>
  <c r="I655" i="4"/>
  <c r="J655" i="4"/>
  <c r="K655" i="4"/>
  <c r="L655" i="4"/>
  <c r="M655" i="4"/>
  <c r="AD655" i="4" s="1"/>
  <c r="N655" i="4"/>
  <c r="O655" i="4"/>
  <c r="P655" i="4"/>
  <c r="Q655" i="4"/>
  <c r="R655" i="4"/>
  <c r="S655" i="4"/>
  <c r="T655" i="4"/>
  <c r="U655" i="4"/>
  <c r="V655" i="4"/>
  <c r="W655" i="4"/>
  <c r="X655" i="4"/>
  <c r="Y655" i="4"/>
  <c r="B656" i="4"/>
  <c r="C656" i="4"/>
  <c r="D656" i="4"/>
  <c r="E656" i="4"/>
  <c r="F656" i="4"/>
  <c r="G656" i="4"/>
  <c r="H656" i="4"/>
  <c r="I656" i="4"/>
  <c r="J656" i="4"/>
  <c r="K656" i="4"/>
  <c r="L656" i="4"/>
  <c r="M656" i="4"/>
  <c r="N656" i="4"/>
  <c r="O656" i="4"/>
  <c r="P656" i="4"/>
  <c r="Q656" i="4"/>
  <c r="R656" i="4"/>
  <c r="S656" i="4"/>
  <c r="T656" i="4"/>
  <c r="U656" i="4"/>
  <c r="V656" i="4"/>
  <c r="W656" i="4"/>
  <c r="X656" i="4"/>
  <c r="Y656" i="4"/>
  <c r="B657" i="4"/>
  <c r="C657" i="4"/>
  <c r="D657" i="4"/>
  <c r="E657" i="4"/>
  <c r="AC657" i="4" s="1"/>
  <c r="F657" i="4"/>
  <c r="G657" i="4"/>
  <c r="H657" i="4"/>
  <c r="I657" i="4"/>
  <c r="J657" i="4"/>
  <c r="K657" i="4"/>
  <c r="L657" i="4"/>
  <c r="M657" i="4"/>
  <c r="AD657" i="4" s="1"/>
  <c r="N657" i="4"/>
  <c r="O657" i="4"/>
  <c r="P657" i="4"/>
  <c r="Q657" i="4"/>
  <c r="R657" i="4"/>
  <c r="S657" i="4"/>
  <c r="T657" i="4"/>
  <c r="U657" i="4"/>
  <c r="V657" i="4"/>
  <c r="W657" i="4"/>
  <c r="X657" i="4"/>
  <c r="Y657" i="4"/>
  <c r="B658" i="4"/>
  <c r="C658" i="4"/>
  <c r="D658" i="4"/>
  <c r="E658" i="4"/>
  <c r="F658" i="4"/>
  <c r="G658" i="4"/>
  <c r="H658" i="4"/>
  <c r="I658" i="4"/>
  <c r="J658" i="4"/>
  <c r="K658" i="4"/>
  <c r="L658" i="4"/>
  <c r="M658" i="4"/>
  <c r="N658" i="4"/>
  <c r="O658" i="4"/>
  <c r="P658" i="4"/>
  <c r="Q658" i="4"/>
  <c r="R658" i="4"/>
  <c r="S658" i="4"/>
  <c r="T658" i="4"/>
  <c r="U658" i="4"/>
  <c r="V658" i="4"/>
  <c r="W658" i="4"/>
  <c r="X658" i="4"/>
  <c r="Y658" i="4"/>
  <c r="B659" i="4"/>
  <c r="C659" i="4"/>
  <c r="D659" i="4"/>
  <c r="E659" i="4"/>
  <c r="F659" i="4"/>
  <c r="G659" i="4"/>
  <c r="H659" i="4"/>
  <c r="I659" i="4"/>
  <c r="J659" i="4"/>
  <c r="K659" i="4"/>
  <c r="L659" i="4"/>
  <c r="M659" i="4"/>
  <c r="N659" i="4"/>
  <c r="O659" i="4"/>
  <c r="P659" i="4"/>
  <c r="Q659" i="4"/>
  <c r="R659" i="4"/>
  <c r="S659" i="4"/>
  <c r="T659" i="4"/>
  <c r="U659" i="4"/>
  <c r="V659" i="4"/>
  <c r="W659" i="4"/>
  <c r="X659" i="4"/>
  <c r="Y659" i="4"/>
  <c r="B660" i="4"/>
  <c r="C660" i="4"/>
  <c r="D660" i="4"/>
  <c r="E660" i="4"/>
  <c r="F660" i="4"/>
  <c r="G660" i="4"/>
  <c r="H660" i="4"/>
  <c r="I660" i="4"/>
  <c r="J660" i="4"/>
  <c r="K660" i="4"/>
  <c r="L660" i="4"/>
  <c r="M660" i="4"/>
  <c r="N660" i="4"/>
  <c r="O660" i="4"/>
  <c r="P660" i="4"/>
  <c r="Q660" i="4"/>
  <c r="R660" i="4"/>
  <c r="S660" i="4"/>
  <c r="T660" i="4"/>
  <c r="U660" i="4"/>
  <c r="V660" i="4"/>
  <c r="W660" i="4"/>
  <c r="X660" i="4"/>
  <c r="Y660" i="4"/>
  <c r="B661" i="4"/>
  <c r="C661" i="4"/>
  <c r="D661" i="4"/>
  <c r="E661" i="4"/>
  <c r="F661" i="4"/>
  <c r="G661" i="4"/>
  <c r="H661" i="4"/>
  <c r="I661" i="4"/>
  <c r="J661" i="4"/>
  <c r="K661" i="4"/>
  <c r="L661" i="4"/>
  <c r="M661" i="4"/>
  <c r="N661" i="4"/>
  <c r="O661" i="4"/>
  <c r="P661" i="4"/>
  <c r="Q661" i="4"/>
  <c r="R661" i="4"/>
  <c r="S661" i="4"/>
  <c r="T661" i="4"/>
  <c r="U661" i="4"/>
  <c r="V661" i="4"/>
  <c r="W661" i="4"/>
  <c r="X661" i="4"/>
  <c r="Y661" i="4"/>
  <c r="B662" i="4"/>
  <c r="C662" i="4"/>
  <c r="D662" i="4"/>
  <c r="E662" i="4"/>
  <c r="F662" i="4"/>
  <c r="G662" i="4"/>
  <c r="H662" i="4"/>
  <c r="I662" i="4"/>
  <c r="J662" i="4"/>
  <c r="K662" i="4"/>
  <c r="L662" i="4"/>
  <c r="M662" i="4"/>
  <c r="N662" i="4"/>
  <c r="O662" i="4"/>
  <c r="P662" i="4"/>
  <c r="AD662" i="4" s="1"/>
  <c r="Q662" i="4"/>
  <c r="R662" i="4"/>
  <c r="S662" i="4"/>
  <c r="T662" i="4"/>
  <c r="U662" i="4"/>
  <c r="V662" i="4"/>
  <c r="W662" i="4"/>
  <c r="X662" i="4"/>
  <c r="Y662" i="4"/>
  <c r="B663" i="4"/>
  <c r="C663" i="4"/>
  <c r="AC663" i="4" s="1"/>
  <c r="D663" i="4"/>
  <c r="E663" i="4"/>
  <c r="F663" i="4"/>
  <c r="G663" i="4"/>
  <c r="H663" i="4"/>
  <c r="I663" i="4"/>
  <c r="J663" i="4"/>
  <c r="K663" i="4"/>
  <c r="L663" i="4"/>
  <c r="M663" i="4"/>
  <c r="N663" i="4"/>
  <c r="O663" i="4"/>
  <c r="P663" i="4"/>
  <c r="Q663" i="4"/>
  <c r="R663" i="4"/>
  <c r="S663" i="4"/>
  <c r="T663" i="4"/>
  <c r="U663" i="4"/>
  <c r="V663" i="4"/>
  <c r="W663" i="4"/>
  <c r="X663" i="4"/>
  <c r="Y663" i="4"/>
  <c r="B664" i="4"/>
  <c r="C664" i="4"/>
  <c r="D664" i="4"/>
  <c r="E664" i="4"/>
  <c r="F664" i="4"/>
  <c r="G664" i="4"/>
  <c r="H664" i="4"/>
  <c r="I664" i="4"/>
  <c r="J664" i="4"/>
  <c r="K664" i="4"/>
  <c r="L664" i="4"/>
  <c r="M664" i="4"/>
  <c r="N664" i="4"/>
  <c r="O664" i="4"/>
  <c r="P664" i="4"/>
  <c r="Q664" i="4"/>
  <c r="R664" i="4"/>
  <c r="S664" i="4"/>
  <c r="T664" i="4"/>
  <c r="U664" i="4"/>
  <c r="V664" i="4"/>
  <c r="W664" i="4"/>
  <c r="X664" i="4"/>
  <c r="Y664" i="4"/>
  <c r="AC664" i="4"/>
  <c r="B665" i="4"/>
  <c r="C665" i="4"/>
  <c r="D665" i="4"/>
  <c r="E665" i="4"/>
  <c r="F665" i="4"/>
  <c r="G665" i="4"/>
  <c r="H665" i="4"/>
  <c r="I665" i="4"/>
  <c r="J665" i="4"/>
  <c r="K665" i="4"/>
  <c r="L665" i="4"/>
  <c r="M665" i="4"/>
  <c r="N665" i="4"/>
  <c r="O665" i="4"/>
  <c r="P665" i="4"/>
  <c r="Q665" i="4"/>
  <c r="R665" i="4"/>
  <c r="S665" i="4"/>
  <c r="T665" i="4"/>
  <c r="U665" i="4"/>
  <c r="V665" i="4"/>
  <c r="W665" i="4"/>
  <c r="X665" i="4"/>
  <c r="Y665" i="4"/>
  <c r="B666" i="4"/>
  <c r="C666" i="4"/>
  <c r="D666" i="4"/>
  <c r="E666" i="4"/>
  <c r="AC666" i="4" s="1"/>
  <c r="F666" i="4"/>
  <c r="G666" i="4"/>
  <c r="H666" i="4"/>
  <c r="I666" i="4"/>
  <c r="J666" i="4"/>
  <c r="K666" i="4"/>
  <c r="L666" i="4"/>
  <c r="M666" i="4"/>
  <c r="N666" i="4"/>
  <c r="O666" i="4"/>
  <c r="P666" i="4"/>
  <c r="Q666" i="4"/>
  <c r="R666" i="4"/>
  <c r="S666" i="4"/>
  <c r="T666" i="4"/>
  <c r="U666" i="4"/>
  <c r="V666" i="4"/>
  <c r="W666" i="4"/>
  <c r="X666" i="4"/>
  <c r="Y666" i="4"/>
  <c r="B667" i="4"/>
  <c r="C667" i="4"/>
  <c r="D667" i="4"/>
  <c r="E667" i="4"/>
  <c r="F667" i="4"/>
  <c r="G667" i="4"/>
  <c r="H667" i="4"/>
  <c r="I667" i="4"/>
  <c r="J667" i="4"/>
  <c r="K667" i="4"/>
  <c r="L667" i="4"/>
  <c r="M667" i="4"/>
  <c r="N667" i="4"/>
  <c r="O667" i="4"/>
  <c r="P667" i="4"/>
  <c r="Q667" i="4"/>
  <c r="R667" i="4"/>
  <c r="S667" i="4"/>
  <c r="T667" i="4"/>
  <c r="U667" i="4"/>
  <c r="V667" i="4"/>
  <c r="W667" i="4"/>
  <c r="X667" i="4"/>
  <c r="Y667" i="4"/>
  <c r="B668" i="4"/>
  <c r="C668" i="4"/>
  <c r="D668" i="4"/>
  <c r="E668" i="4"/>
  <c r="F668" i="4"/>
  <c r="G668" i="4"/>
  <c r="H668" i="4"/>
  <c r="I668" i="4"/>
  <c r="J668" i="4"/>
  <c r="K668" i="4"/>
  <c r="L668" i="4"/>
  <c r="M668" i="4"/>
  <c r="N668" i="4"/>
  <c r="O668" i="4"/>
  <c r="P668" i="4"/>
  <c r="Q668" i="4"/>
  <c r="R668" i="4"/>
  <c r="S668" i="4"/>
  <c r="T668" i="4"/>
  <c r="U668" i="4"/>
  <c r="V668" i="4"/>
  <c r="W668" i="4"/>
  <c r="X668" i="4"/>
  <c r="Y668" i="4"/>
  <c r="B669" i="4"/>
  <c r="C669" i="4"/>
  <c r="D669" i="4"/>
  <c r="E669" i="4"/>
  <c r="F669" i="4"/>
  <c r="G669" i="4"/>
  <c r="H669" i="4"/>
  <c r="I669" i="4"/>
  <c r="J669" i="4"/>
  <c r="K669" i="4"/>
  <c r="L669" i="4"/>
  <c r="M669" i="4"/>
  <c r="N669" i="4"/>
  <c r="O669" i="4"/>
  <c r="P669" i="4"/>
  <c r="Q669" i="4"/>
  <c r="R669" i="4"/>
  <c r="S669" i="4"/>
  <c r="T669" i="4"/>
  <c r="U669" i="4"/>
  <c r="V669" i="4"/>
  <c r="W669" i="4"/>
  <c r="X669" i="4"/>
  <c r="Y669" i="4"/>
  <c r="B670" i="4"/>
  <c r="C670" i="4"/>
  <c r="D670" i="4"/>
  <c r="AC670" i="4" s="1"/>
  <c r="E670" i="4"/>
  <c r="F670" i="4"/>
  <c r="G670" i="4"/>
  <c r="H670" i="4"/>
  <c r="I670" i="4"/>
  <c r="J670" i="4"/>
  <c r="K670" i="4"/>
  <c r="L670" i="4"/>
  <c r="M670" i="4"/>
  <c r="N670" i="4"/>
  <c r="O670" i="4"/>
  <c r="P670" i="4"/>
  <c r="AD670" i="4" s="1"/>
  <c r="Q670" i="4"/>
  <c r="R670" i="4"/>
  <c r="S670" i="4"/>
  <c r="T670" i="4"/>
  <c r="U670" i="4"/>
  <c r="V670" i="4"/>
  <c r="W670" i="4"/>
  <c r="X670" i="4"/>
  <c r="Y670" i="4"/>
  <c r="B671" i="4"/>
  <c r="C671" i="4"/>
  <c r="D671" i="4"/>
  <c r="E671" i="4"/>
  <c r="F671" i="4"/>
  <c r="G671" i="4"/>
  <c r="H671" i="4"/>
  <c r="I671" i="4"/>
  <c r="J671" i="4"/>
  <c r="K671" i="4"/>
  <c r="L671" i="4"/>
  <c r="M671" i="4"/>
  <c r="N671" i="4"/>
  <c r="O671" i="4"/>
  <c r="P671" i="4"/>
  <c r="Q671" i="4"/>
  <c r="R671" i="4"/>
  <c r="S671" i="4"/>
  <c r="T671" i="4"/>
  <c r="U671" i="4"/>
  <c r="V671" i="4"/>
  <c r="W671" i="4"/>
  <c r="X671" i="4"/>
  <c r="Y671" i="4"/>
  <c r="B672" i="4"/>
  <c r="C672" i="4"/>
  <c r="D672" i="4"/>
  <c r="E672" i="4"/>
  <c r="F672" i="4"/>
  <c r="G672" i="4"/>
  <c r="H672" i="4"/>
  <c r="I672" i="4"/>
  <c r="J672" i="4"/>
  <c r="K672" i="4"/>
  <c r="L672" i="4"/>
  <c r="M672" i="4"/>
  <c r="N672" i="4"/>
  <c r="O672" i="4"/>
  <c r="P672" i="4"/>
  <c r="Q672" i="4"/>
  <c r="R672" i="4"/>
  <c r="S672" i="4"/>
  <c r="T672" i="4"/>
  <c r="U672" i="4"/>
  <c r="V672" i="4"/>
  <c r="W672" i="4"/>
  <c r="X672" i="4"/>
  <c r="Y672" i="4"/>
  <c r="B673" i="4"/>
  <c r="C673" i="4"/>
  <c r="D673" i="4"/>
  <c r="E673" i="4"/>
  <c r="F673" i="4"/>
  <c r="G673" i="4"/>
  <c r="H673" i="4"/>
  <c r="I673" i="4"/>
  <c r="J673" i="4"/>
  <c r="K673" i="4"/>
  <c r="L673" i="4"/>
  <c r="M673" i="4"/>
  <c r="N673" i="4"/>
  <c r="O673" i="4"/>
  <c r="P673" i="4"/>
  <c r="Q673" i="4"/>
  <c r="R673" i="4"/>
  <c r="S673" i="4"/>
  <c r="T673" i="4"/>
  <c r="U673" i="4"/>
  <c r="V673" i="4"/>
  <c r="W673" i="4"/>
  <c r="X673" i="4"/>
  <c r="Y673" i="4"/>
  <c r="B674" i="4"/>
  <c r="C674" i="4"/>
  <c r="D674" i="4"/>
  <c r="E674" i="4"/>
  <c r="F674" i="4"/>
  <c r="G674" i="4"/>
  <c r="H674" i="4"/>
  <c r="I674" i="4"/>
  <c r="J674" i="4"/>
  <c r="K674" i="4"/>
  <c r="L674" i="4"/>
  <c r="M674" i="4"/>
  <c r="N674" i="4"/>
  <c r="O674" i="4"/>
  <c r="P674" i="4"/>
  <c r="Q674" i="4"/>
  <c r="R674" i="4"/>
  <c r="S674" i="4"/>
  <c r="T674" i="4"/>
  <c r="U674" i="4"/>
  <c r="V674" i="4"/>
  <c r="W674" i="4"/>
  <c r="X674" i="4"/>
  <c r="Y674" i="4"/>
  <c r="B675" i="4"/>
  <c r="C675" i="4"/>
  <c r="D675" i="4"/>
  <c r="E675" i="4"/>
  <c r="F675" i="4"/>
  <c r="G675" i="4"/>
  <c r="H675" i="4"/>
  <c r="I675" i="4"/>
  <c r="J675" i="4"/>
  <c r="K675" i="4"/>
  <c r="L675" i="4"/>
  <c r="M675" i="4"/>
  <c r="N675" i="4"/>
  <c r="O675" i="4"/>
  <c r="P675" i="4"/>
  <c r="Q675" i="4"/>
  <c r="R675" i="4"/>
  <c r="S675" i="4"/>
  <c r="T675" i="4"/>
  <c r="U675" i="4"/>
  <c r="V675" i="4"/>
  <c r="W675" i="4"/>
  <c r="X675" i="4"/>
  <c r="Y675" i="4"/>
  <c r="B676" i="4"/>
  <c r="C676" i="4"/>
  <c r="D676" i="4"/>
  <c r="E676" i="4"/>
  <c r="F676" i="4"/>
  <c r="G676" i="4"/>
  <c r="H676" i="4"/>
  <c r="I676" i="4"/>
  <c r="J676" i="4"/>
  <c r="K676" i="4"/>
  <c r="L676" i="4"/>
  <c r="M676" i="4"/>
  <c r="N676" i="4"/>
  <c r="O676" i="4"/>
  <c r="P676" i="4"/>
  <c r="Q676" i="4"/>
  <c r="R676" i="4"/>
  <c r="S676" i="4"/>
  <c r="T676" i="4"/>
  <c r="U676" i="4"/>
  <c r="V676" i="4"/>
  <c r="W676" i="4"/>
  <c r="X676" i="4"/>
  <c r="Y676" i="4"/>
  <c r="AC676" i="4"/>
  <c r="B677" i="4"/>
  <c r="C677" i="4"/>
  <c r="D677" i="4"/>
  <c r="E677" i="4"/>
  <c r="AC677" i="4" s="1"/>
  <c r="F677" i="4"/>
  <c r="G677" i="4"/>
  <c r="H677" i="4"/>
  <c r="I677" i="4"/>
  <c r="J677" i="4"/>
  <c r="K677" i="4"/>
  <c r="L677" i="4"/>
  <c r="M677" i="4"/>
  <c r="N677" i="4"/>
  <c r="O677" i="4"/>
  <c r="P677" i="4"/>
  <c r="Q677" i="4"/>
  <c r="R677" i="4"/>
  <c r="S677" i="4"/>
  <c r="T677" i="4"/>
  <c r="U677" i="4"/>
  <c r="V677" i="4"/>
  <c r="W677" i="4"/>
  <c r="X677" i="4"/>
  <c r="Y677" i="4"/>
  <c r="B678" i="4"/>
  <c r="C678" i="4"/>
  <c r="D678" i="4"/>
  <c r="E678" i="4"/>
  <c r="F678" i="4"/>
  <c r="G678" i="4"/>
  <c r="H678" i="4"/>
  <c r="I678" i="4"/>
  <c r="J678" i="4"/>
  <c r="K678" i="4"/>
  <c r="L678" i="4"/>
  <c r="M678" i="4"/>
  <c r="N678" i="4"/>
  <c r="O678" i="4"/>
  <c r="P678" i="4"/>
  <c r="AD678" i="4" s="1"/>
  <c r="Q678" i="4"/>
  <c r="R678" i="4"/>
  <c r="S678" i="4"/>
  <c r="T678" i="4"/>
  <c r="U678" i="4"/>
  <c r="V678" i="4"/>
  <c r="W678" i="4"/>
  <c r="X678" i="4"/>
  <c r="Y678" i="4"/>
  <c r="B679" i="4"/>
  <c r="C679" i="4"/>
  <c r="D679" i="4"/>
  <c r="E679" i="4"/>
  <c r="F679" i="4"/>
  <c r="G679" i="4"/>
  <c r="H679" i="4"/>
  <c r="I679" i="4"/>
  <c r="J679" i="4"/>
  <c r="K679" i="4"/>
  <c r="L679" i="4"/>
  <c r="M679" i="4"/>
  <c r="N679" i="4"/>
  <c r="O679" i="4"/>
  <c r="P679" i="4"/>
  <c r="Q679" i="4"/>
  <c r="R679" i="4"/>
  <c r="S679" i="4"/>
  <c r="T679" i="4"/>
  <c r="U679" i="4"/>
  <c r="V679" i="4"/>
  <c r="W679" i="4"/>
  <c r="X679" i="4"/>
  <c r="Y679" i="4"/>
  <c r="B680" i="4"/>
  <c r="C680" i="4"/>
  <c r="D680" i="4"/>
  <c r="E680" i="4"/>
  <c r="F680" i="4"/>
  <c r="G680" i="4"/>
  <c r="H680" i="4"/>
  <c r="I680" i="4"/>
  <c r="J680" i="4"/>
  <c r="K680" i="4"/>
  <c r="L680" i="4"/>
  <c r="M680" i="4"/>
  <c r="N680" i="4"/>
  <c r="O680" i="4"/>
  <c r="P680" i="4"/>
  <c r="Q680" i="4"/>
  <c r="R680" i="4"/>
  <c r="S680" i="4"/>
  <c r="T680" i="4"/>
  <c r="U680" i="4"/>
  <c r="V680" i="4"/>
  <c r="W680" i="4"/>
  <c r="X680" i="4"/>
  <c r="Y680" i="4"/>
  <c r="B681" i="4"/>
  <c r="C681" i="4"/>
  <c r="D681" i="4"/>
  <c r="E681" i="4"/>
  <c r="F681" i="4"/>
  <c r="G681" i="4"/>
  <c r="H681" i="4"/>
  <c r="I681" i="4"/>
  <c r="J681" i="4"/>
  <c r="K681" i="4"/>
  <c r="L681" i="4"/>
  <c r="M681" i="4"/>
  <c r="N681" i="4"/>
  <c r="O681" i="4"/>
  <c r="P681" i="4"/>
  <c r="Q681" i="4"/>
  <c r="R681" i="4"/>
  <c r="S681" i="4"/>
  <c r="T681" i="4"/>
  <c r="U681" i="4"/>
  <c r="V681" i="4"/>
  <c r="W681" i="4"/>
  <c r="X681" i="4"/>
  <c r="Y681" i="4"/>
  <c r="B682" i="4"/>
  <c r="C682" i="4"/>
  <c r="D682" i="4"/>
  <c r="E682" i="4"/>
  <c r="F682" i="4"/>
  <c r="G682" i="4"/>
  <c r="H682" i="4"/>
  <c r="I682" i="4"/>
  <c r="J682" i="4"/>
  <c r="K682" i="4"/>
  <c r="L682" i="4"/>
  <c r="M682" i="4"/>
  <c r="N682" i="4"/>
  <c r="O682" i="4"/>
  <c r="P682" i="4"/>
  <c r="AD682" i="4" s="1"/>
  <c r="Q682" i="4"/>
  <c r="R682" i="4"/>
  <c r="S682" i="4"/>
  <c r="T682" i="4"/>
  <c r="U682" i="4"/>
  <c r="V682" i="4"/>
  <c r="W682" i="4"/>
  <c r="X682" i="4"/>
  <c r="Y682" i="4"/>
  <c r="B683" i="4"/>
  <c r="C683" i="4"/>
  <c r="D683" i="4"/>
  <c r="E683" i="4"/>
  <c r="F683" i="4"/>
  <c r="G683" i="4"/>
  <c r="H683" i="4"/>
  <c r="I683" i="4"/>
  <c r="J683" i="4"/>
  <c r="K683" i="4"/>
  <c r="L683" i="4"/>
  <c r="M683" i="4"/>
  <c r="N683" i="4"/>
  <c r="O683" i="4"/>
  <c r="P683" i="4"/>
  <c r="Q683" i="4"/>
  <c r="R683" i="4"/>
  <c r="S683" i="4"/>
  <c r="T683" i="4"/>
  <c r="U683" i="4"/>
  <c r="V683" i="4"/>
  <c r="W683" i="4"/>
  <c r="X683" i="4"/>
  <c r="Y683" i="4"/>
  <c r="B684" i="4"/>
  <c r="C684" i="4"/>
  <c r="D684" i="4"/>
  <c r="E684" i="4"/>
  <c r="F684" i="4"/>
  <c r="G684" i="4"/>
  <c r="H684" i="4"/>
  <c r="I684" i="4"/>
  <c r="J684" i="4"/>
  <c r="K684" i="4"/>
  <c r="L684" i="4"/>
  <c r="M684" i="4"/>
  <c r="N684" i="4"/>
  <c r="O684" i="4"/>
  <c r="P684" i="4"/>
  <c r="Q684" i="4"/>
  <c r="R684" i="4"/>
  <c r="S684" i="4"/>
  <c r="T684" i="4"/>
  <c r="U684" i="4"/>
  <c r="V684" i="4"/>
  <c r="W684" i="4"/>
  <c r="X684" i="4"/>
  <c r="Y684" i="4"/>
  <c r="B685" i="4"/>
  <c r="C685" i="4"/>
  <c r="D685" i="4"/>
  <c r="E685" i="4"/>
  <c r="F685" i="4"/>
  <c r="G685" i="4"/>
  <c r="H685" i="4"/>
  <c r="I685" i="4"/>
  <c r="J685" i="4"/>
  <c r="K685" i="4"/>
  <c r="L685" i="4"/>
  <c r="M685" i="4"/>
  <c r="N685" i="4"/>
  <c r="O685" i="4"/>
  <c r="P685" i="4"/>
  <c r="Q685" i="4"/>
  <c r="R685" i="4"/>
  <c r="S685" i="4"/>
  <c r="T685" i="4"/>
  <c r="U685" i="4"/>
  <c r="V685" i="4"/>
  <c r="W685" i="4"/>
  <c r="X685" i="4"/>
  <c r="Y685" i="4"/>
  <c r="B686" i="4"/>
  <c r="C686" i="4"/>
  <c r="D686" i="4"/>
  <c r="E686" i="4"/>
  <c r="F686" i="4"/>
  <c r="G686" i="4"/>
  <c r="H686" i="4"/>
  <c r="I686" i="4"/>
  <c r="J686" i="4"/>
  <c r="K686" i="4"/>
  <c r="L686" i="4"/>
  <c r="M686" i="4"/>
  <c r="N686" i="4"/>
  <c r="O686" i="4"/>
  <c r="P686" i="4"/>
  <c r="Q686" i="4"/>
  <c r="R686" i="4"/>
  <c r="S686" i="4"/>
  <c r="T686" i="4"/>
  <c r="U686" i="4"/>
  <c r="V686" i="4"/>
  <c r="W686" i="4"/>
  <c r="X686" i="4"/>
  <c r="Y686" i="4"/>
  <c r="B687" i="4"/>
  <c r="C687" i="4"/>
  <c r="D687" i="4"/>
  <c r="E687" i="4"/>
  <c r="F687" i="4"/>
  <c r="G687" i="4"/>
  <c r="H687" i="4"/>
  <c r="I687" i="4"/>
  <c r="J687" i="4"/>
  <c r="K687" i="4"/>
  <c r="L687" i="4"/>
  <c r="M687" i="4"/>
  <c r="N687" i="4"/>
  <c r="O687" i="4"/>
  <c r="P687" i="4"/>
  <c r="Q687" i="4"/>
  <c r="R687" i="4"/>
  <c r="S687" i="4"/>
  <c r="T687" i="4"/>
  <c r="U687" i="4"/>
  <c r="V687" i="4"/>
  <c r="W687" i="4"/>
  <c r="X687" i="4"/>
  <c r="Y687" i="4"/>
  <c r="B688" i="4"/>
  <c r="C688" i="4"/>
  <c r="D688" i="4"/>
  <c r="E688" i="4"/>
  <c r="F688" i="4"/>
  <c r="G688" i="4"/>
  <c r="H688" i="4"/>
  <c r="I688" i="4"/>
  <c r="J688" i="4"/>
  <c r="K688" i="4"/>
  <c r="L688" i="4"/>
  <c r="M688" i="4"/>
  <c r="N688" i="4"/>
  <c r="O688" i="4"/>
  <c r="P688" i="4"/>
  <c r="Q688" i="4"/>
  <c r="R688" i="4"/>
  <c r="S688" i="4"/>
  <c r="T688" i="4"/>
  <c r="U688" i="4"/>
  <c r="V688" i="4"/>
  <c r="W688" i="4"/>
  <c r="X688" i="4"/>
  <c r="Y688" i="4"/>
  <c r="B689" i="4"/>
  <c r="C689" i="4"/>
  <c r="D689" i="4"/>
  <c r="E689" i="4"/>
  <c r="F689" i="4"/>
  <c r="G689" i="4"/>
  <c r="H689" i="4"/>
  <c r="I689" i="4"/>
  <c r="J689" i="4"/>
  <c r="K689" i="4"/>
  <c r="L689" i="4"/>
  <c r="M689" i="4"/>
  <c r="N689" i="4"/>
  <c r="O689" i="4"/>
  <c r="P689" i="4"/>
  <c r="Q689" i="4"/>
  <c r="R689" i="4"/>
  <c r="S689" i="4"/>
  <c r="T689" i="4"/>
  <c r="U689" i="4"/>
  <c r="V689" i="4"/>
  <c r="W689" i="4"/>
  <c r="X689" i="4"/>
  <c r="Y689" i="4"/>
  <c r="AC689" i="4"/>
  <c r="B690" i="4"/>
  <c r="C690" i="4"/>
  <c r="D690" i="4"/>
  <c r="E690" i="4"/>
  <c r="F690" i="4"/>
  <c r="G690" i="4"/>
  <c r="H690" i="4"/>
  <c r="I690" i="4"/>
  <c r="J690" i="4"/>
  <c r="K690" i="4"/>
  <c r="L690" i="4"/>
  <c r="M690" i="4"/>
  <c r="N690" i="4"/>
  <c r="O690" i="4"/>
  <c r="P690" i="4"/>
  <c r="Q690" i="4"/>
  <c r="R690" i="4"/>
  <c r="S690" i="4"/>
  <c r="T690" i="4"/>
  <c r="U690" i="4"/>
  <c r="V690" i="4"/>
  <c r="W690" i="4"/>
  <c r="X690" i="4"/>
  <c r="Y690" i="4"/>
  <c r="AC690" i="4"/>
  <c r="B691" i="4"/>
  <c r="C691" i="4"/>
  <c r="D691" i="4"/>
  <c r="E691" i="4"/>
  <c r="F691" i="4"/>
  <c r="G691" i="4"/>
  <c r="H691" i="4"/>
  <c r="I691" i="4"/>
  <c r="J691" i="4"/>
  <c r="K691" i="4"/>
  <c r="L691" i="4"/>
  <c r="M691" i="4"/>
  <c r="N691" i="4"/>
  <c r="O691" i="4"/>
  <c r="P691" i="4"/>
  <c r="Q691" i="4"/>
  <c r="R691" i="4"/>
  <c r="S691" i="4"/>
  <c r="T691" i="4"/>
  <c r="U691" i="4"/>
  <c r="V691" i="4"/>
  <c r="W691" i="4"/>
  <c r="X691" i="4"/>
  <c r="Y691" i="4"/>
  <c r="AC691" i="4"/>
  <c r="B692" i="4"/>
  <c r="C692" i="4"/>
  <c r="D692" i="4"/>
  <c r="E692" i="4"/>
  <c r="F692" i="4"/>
  <c r="G692" i="4"/>
  <c r="H692" i="4"/>
  <c r="I692" i="4"/>
  <c r="J692" i="4"/>
  <c r="K692" i="4"/>
  <c r="L692" i="4"/>
  <c r="M692" i="4"/>
  <c r="N692" i="4"/>
  <c r="O692" i="4"/>
  <c r="P692" i="4"/>
  <c r="Q692" i="4"/>
  <c r="R692" i="4"/>
  <c r="S692" i="4"/>
  <c r="T692" i="4"/>
  <c r="U692" i="4"/>
  <c r="V692" i="4"/>
  <c r="W692" i="4"/>
  <c r="X692" i="4"/>
  <c r="Y692" i="4"/>
  <c r="B693" i="4"/>
  <c r="C693" i="4"/>
  <c r="D693" i="4"/>
  <c r="E693" i="4"/>
  <c r="F693" i="4"/>
  <c r="G693" i="4"/>
  <c r="H693" i="4"/>
  <c r="I693" i="4"/>
  <c r="J693" i="4"/>
  <c r="K693" i="4"/>
  <c r="L693" i="4"/>
  <c r="M693" i="4"/>
  <c r="N693" i="4"/>
  <c r="O693" i="4"/>
  <c r="P693" i="4"/>
  <c r="Q693" i="4"/>
  <c r="R693" i="4"/>
  <c r="S693" i="4"/>
  <c r="T693" i="4"/>
  <c r="U693" i="4"/>
  <c r="V693" i="4"/>
  <c r="W693" i="4"/>
  <c r="X693" i="4"/>
  <c r="Y693" i="4"/>
  <c r="B694" i="4"/>
  <c r="C694" i="4"/>
  <c r="D694" i="4"/>
  <c r="E694" i="4"/>
  <c r="F694" i="4"/>
  <c r="G694" i="4"/>
  <c r="H694" i="4"/>
  <c r="I694" i="4"/>
  <c r="J694" i="4"/>
  <c r="K694" i="4"/>
  <c r="L694" i="4"/>
  <c r="M694" i="4"/>
  <c r="N694" i="4"/>
  <c r="O694" i="4"/>
  <c r="P694" i="4"/>
  <c r="Q694" i="4"/>
  <c r="R694" i="4"/>
  <c r="S694" i="4"/>
  <c r="T694" i="4"/>
  <c r="U694" i="4"/>
  <c r="V694" i="4"/>
  <c r="W694" i="4"/>
  <c r="X694" i="4"/>
  <c r="Y694" i="4"/>
  <c r="AD694" i="4"/>
  <c r="B695" i="4"/>
  <c r="C695" i="4"/>
  <c r="D695" i="4"/>
  <c r="E695" i="4"/>
  <c r="F695" i="4"/>
  <c r="G695" i="4"/>
  <c r="H695" i="4"/>
  <c r="I695" i="4"/>
  <c r="J695" i="4"/>
  <c r="K695" i="4"/>
  <c r="L695" i="4"/>
  <c r="M695" i="4"/>
  <c r="N695" i="4"/>
  <c r="O695" i="4"/>
  <c r="P695" i="4"/>
  <c r="Q695" i="4"/>
  <c r="R695" i="4"/>
  <c r="S695" i="4"/>
  <c r="T695" i="4"/>
  <c r="U695" i="4"/>
  <c r="V695" i="4"/>
  <c r="W695" i="4"/>
  <c r="X695" i="4"/>
  <c r="Y695" i="4"/>
  <c r="AC695" i="4"/>
  <c r="B696" i="4"/>
  <c r="C696" i="4"/>
  <c r="D696" i="4"/>
  <c r="E696" i="4"/>
  <c r="F696" i="4"/>
  <c r="G696" i="4"/>
  <c r="H696" i="4"/>
  <c r="I696" i="4"/>
  <c r="J696" i="4"/>
  <c r="K696" i="4"/>
  <c r="L696" i="4"/>
  <c r="M696" i="4"/>
  <c r="N696" i="4"/>
  <c r="O696" i="4"/>
  <c r="P696" i="4"/>
  <c r="Q696" i="4"/>
  <c r="R696" i="4"/>
  <c r="S696" i="4"/>
  <c r="T696" i="4"/>
  <c r="U696" i="4"/>
  <c r="V696" i="4"/>
  <c r="W696" i="4"/>
  <c r="X696" i="4"/>
  <c r="Y696" i="4"/>
  <c r="B697" i="4"/>
  <c r="C697" i="4"/>
  <c r="D697" i="4"/>
  <c r="E697" i="4"/>
  <c r="F697" i="4"/>
  <c r="G697" i="4"/>
  <c r="H697" i="4"/>
  <c r="I697" i="4"/>
  <c r="J697" i="4"/>
  <c r="K697" i="4"/>
  <c r="L697" i="4"/>
  <c r="M697" i="4"/>
  <c r="N697" i="4"/>
  <c r="O697" i="4"/>
  <c r="P697" i="4"/>
  <c r="Q697" i="4"/>
  <c r="R697" i="4"/>
  <c r="S697" i="4"/>
  <c r="T697" i="4"/>
  <c r="U697" i="4"/>
  <c r="V697" i="4"/>
  <c r="W697" i="4"/>
  <c r="X697" i="4"/>
  <c r="Y697" i="4"/>
  <c r="B698" i="4"/>
  <c r="C698" i="4"/>
  <c r="D698" i="4"/>
  <c r="E698" i="4"/>
  <c r="F698" i="4"/>
  <c r="G698" i="4"/>
  <c r="H698" i="4"/>
  <c r="I698" i="4"/>
  <c r="J698" i="4"/>
  <c r="K698" i="4"/>
  <c r="L698" i="4"/>
  <c r="M698" i="4"/>
  <c r="N698" i="4"/>
  <c r="O698" i="4"/>
  <c r="P698" i="4"/>
  <c r="Q698" i="4"/>
  <c r="R698" i="4"/>
  <c r="S698" i="4"/>
  <c r="T698" i="4"/>
  <c r="U698" i="4"/>
  <c r="V698" i="4"/>
  <c r="W698" i="4"/>
  <c r="X698" i="4"/>
  <c r="Y698" i="4"/>
  <c r="B699" i="4"/>
  <c r="C699" i="4"/>
  <c r="D699" i="4"/>
  <c r="E699" i="4"/>
  <c r="F699" i="4"/>
  <c r="G699" i="4"/>
  <c r="H699" i="4"/>
  <c r="I699" i="4"/>
  <c r="J699" i="4"/>
  <c r="K699" i="4"/>
  <c r="L699" i="4"/>
  <c r="M699" i="4"/>
  <c r="N699" i="4"/>
  <c r="O699" i="4"/>
  <c r="P699" i="4"/>
  <c r="Q699" i="4"/>
  <c r="R699" i="4"/>
  <c r="S699" i="4"/>
  <c r="T699" i="4"/>
  <c r="U699" i="4"/>
  <c r="V699" i="4"/>
  <c r="W699" i="4"/>
  <c r="X699" i="4"/>
  <c r="Y699" i="4"/>
  <c r="B700" i="4"/>
  <c r="C700" i="4"/>
  <c r="D700" i="4"/>
  <c r="E700" i="4"/>
  <c r="F700" i="4"/>
  <c r="G700" i="4"/>
  <c r="H700" i="4"/>
  <c r="I700" i="4"/>
  <c r="J700" i="4"/>
  <c r="K700" i="4"/>
  <c r="L700" i="4"/>
  <c r="M700" i="4"/>
  <c r="N700" i="4"/>
  <c r="O700" i="4"/>
  <c r="P700" i="4"/>
  <c r="Q700" i="4"/>
  <c r="R700" i="4"/>
  <c r="S700" i="4"/>
  <c r="T700" i="4"/>
  <c r="U700" i="4"/>
  <c r="V700" i="4"/>
  <c r="W700" i="4"/>
  <c r="X700" i="4"/>
  <c r="Y700" i="4"/>
  <c r="B701" i="4"/>
  <c r="C701" i="4"/>
  <c r="D701" i="4"/>
  <c r="E701" i="4"/>
  <c r="F701" i="4"/>
  <c r="G701" i="4"/>
  <c r="H701" i="4"/>
  <c r="I701" i="4"/>
  <c r="J701" i="4"/>
  <c r="K701" i="4"/>
  <c r="L701" i="4"/>
  <c r="M701" i="4"/>
  <c r="N701" i="4"/>
  <c r="O701" i="4"/>
  <c r="P701" i="4"/>
  <c r="Q701" i="4"/>
  <c r="R701" i="4"/>
  <c r="S701" i="4"/>
  <c r="T701" i="4"/>
  <c r="U701" i="4"/>
  <c r="V701" i="4"/>
  <c r="W701" i="4"/>
  <c r="X701" i="4"/>
  <c r="Y701" i="4"/>
  <c r="B702" i="4"/>
  <c r="C702" i="4"/>
  <c r="D702" i="4"/>
  <c r="E702" i="4"/>
  <c r="F702" i="4"/>
  <c r="G702" i="4"/>
  <c r="H702" i="4"/>
  <c r="AC702" i="4" s="1"/>
  <c r="I702" i="4"/>
  <c r="J702" i="4"/>
  <c r="K702" i="4"/>
  <c r="L702" i="4"/>
  <c r="M702" i="4"/>
  <c r="N702" i="4"/>
  <c r="O702" i="4"/>
  <c r="P702" i="4"/>
  <c r="AD702" i="4" s="1"/>
  <c r="Q702" i="4"/>
  <c r="R702" i="4"/>
  <c r="S702" i="4"/>
  <c r="T702" i="4"/>
  <c r="U702" i="4"/>
  <c r="V702" i="4"/>
  <c r="W702" i="4"/>
  <c r="X702" i="4"/>
  <c r="Y702" i="4"/>
  <c r="B703" i="4"/>
  <c r="C703" i="4"/>
  <c r="D703" i="4"/>
  <c r="E703" i="4"/>
  <c r="F703" i="4"/>
  <c r="G703" i="4"/>
  <c r="H703" i="4"/>
  <c r="I703" i="4"/>
  <c r="J703" i="4"/>
  <c r="K703" i="4"/>
  <c r="L703" i="4"/>
  <c r="M703" i="4"/>
  <c r="N703" i="4"/>
  <c r="O703" i="4"/>
  <c r="P703" i="4"/>
  <c r="Q703" i="4"/>
  <c r="R703" i="4"/>
  <c r="S703" i="4"/>
  <c r="T703" i="4"/>
  <c r="U703" i="4"/>
  <c r="V703" i="4"/>
  <c r="W703" i="4"/>
  <c r="X703" i="4"/>
  <c r="Y703" i="4"/>
  <c r="B704" i="4"/>
  <c r="C704" i="4"/>
  <c r="D704" i="4"/>
  <c r="E704" i="4"/>
  <c r="F704" i="4"/>
  <c r="G704" i="4"/>
  <c r="H704" i="4"/>
  <c r="I704" i="4"/>
  <c r="J704" i="4"/>
  <c r="K704" i="4"/>
  <c r="L704" i="4"/>
  <c r="M704" i="4"/>
  <c r="N704" i="4"/>
  <c r="O704" i="4"/>
  <c r="P704" i="4"/>
  <c r="Q704" i="4"/>
  <c r="R704" i="4"/>
  <c r="S704" i="4"/>
  <c r="T704" i="4"/>
  <c r="U704" i="4"/>
  <c r="V704" i="4"/>
  <c r="W704" i="4"/>
  <c r="X704" i="4"/>
  <c r="Y704" i="4"/>
  <c r="B705" i="4"/>
  <c r="C705" i="4"/>
  <c r="D705" i="4"/>
  <c r="E705" i="4"/>
  <c r="F705" i="4"/>
  <c r="G705" i="4"/>
  <c r="H705" i="4"/>
  <c r="I705" i="4"/>
  <c r="J705" i="4"/>
  <c r="K705" i="4"/>
  <c r="L705" i="4"/>
  <c r="M705" i="4"/>
  <c r="N705" i="4"/>
  <c r="O705" i="4"/>
  <c r="P705" i="4"/>
  <c r="Q705" i="4"/>
  <c r="R705" i="4"/>
  <c r="S705" i="4"/>
  <c r="T705" i="4"/>
  <c r="U705" i="4"/>
  <c r="V705" i="4"/>
  <c r="W705" i="4"/>
  <c r="X705" i="4"/>
  <c r="Y705" i="4"/>
  <c r="B706" i="4"/>
  <c r="C706" i="4"/>
  <c r="D706" i="4"/>
  <c r="E706" i="4"/>
  <c r="F706" i="4"/>
  <c r="G706" i="4"/>
  <c r="H706" i="4"/>
  <c r="I706" i="4"/>
  <c r="J706" i="4"/>
  <c r="K706" i="4"/>
  <c r="L706" i="4"/>
  <c r="M706" i="4"/>
  <c r="N706" i="4"/>
  <c r="O706" i="4"/>
  <c r="P706" i="4"/>
  <c r="Q706" i="4"/>
  <c r="R706" i="4"/>
  <c r="S706" i="4"/>
  <c r="T706" i="4"/>
  <c r="U706" i="4"/>
  <c r="V706" i="4"/>
  <c r="W706" i="4"/>
  <c r="X706" i="4"/>
  <c r="Y706" i="4"/>
  <c r="B707" i="4"/>
  <c r="C707" i="4"/>
  <c r="D707" i="4"/>
  <c r="E707" i="4"/>
  <c r="F707" i="4"/>
  <c r="G707" i="4"/>
  <c r="H707" i="4"/>
  <c r="I707" i="4"/>
  <c r="J707" i="4"/>
  <c r="K707" i="4"/>
  <c r="L707" i="4"/>
  <c r="M707" i="4"/>
  <c r="N707" i="4"/>
  <c r="O707" i="4"/>
  <c r="P707" i="4"/>
  <c r="Q707" i="4"/>
  <c r="R707" i="4"/>
  <c r="S707" i="4"/>
  <c r="T707" i="4"/>
  <c r="U707" i="4"/>
  <c r="V707" i="4"/>
  <c r="W707" i="4"/>
  <c r="X707" i="4"/>
  <c r="Y707" i="4"/>
  <c r="B708" i="4"/>
  <c r="C708" i="4"/>
  <c r="D708" i="4"/>
  <c r="E708" i="4"/>
  <c r="F708" i="4"/>
  <c r="G708" i="4"/>
  <c r="H708" i="4"/>
  <c r="I708" i="4"/>
  <c r="J708" i="4"/>
  <c r="K708" i="4"/>
  <c r="L708" i="4"/>
  <c r="M708" i="4"/>
  <c r="N708" i="4"/>
  <c r="O708" i="4"/>
  <c r="P708" i="4"/>
  <c r="Q708" i="4"/>
  <c r="R708" i="4"/>
  <c r="S708" i="4"/>
  <c r="T708" i="4"/>
  <c r="U708" i="4"/>
  <c r="V708" i="4"/>
  <c r="W708" i="4"/>
  <c r="X708" i="4"/>
  <c r="Y708" i="4"/>
  <c r="AC708" i="4"/>
  <c r="B709" i="4"/>
  <c r="C709" i="4"/>
  <c r="D709" i="4"/>
  <c r="E709" i="4"/>
  <c r="F709" i="4"/>
  <c r="G709" i="4"/>
  <c r="H709" i="4"/>
  <c r="I709" i="4"/>
  <c r="J709" i="4"/>
  <c r="K709" i="4"/>
  <c r="L709" i="4"/>
  <c r="M709" i="4"/>
  <c r="N709" i="4"/>
  <c r="O709" i="4"/>
  <c r="P709" i="4"/>
  <c r="Q709" i="4"/>
  <c r="R709" i="4"/>
  <c r="S709" i="4"/>
  <c r="T709" i="4"/>
  <c r="U709" i="4"/>
  <c r="V709" i="4"/>
  <c r="W709" i="4"/>
  <c r="X709" i="4"/>
  <c r="Y709" i="4"/>
  <c r="B710" i="4"/>
  <c r="C710" i="4"/>
  <c r="D710" i="4"/>
  <c r="E710" i="4"/>
  <c r="F710" i="4"/>
  <c r="G710" i="4"/>
  <c r="H710" i="4"/>
  <c r="I710" i="4"/>
  <c r="J710" i="4"/>
  <c r="K710" i="4"/>
  <c r="L710" i="4"/>
  <c r="M710" i="4"/>
  <c r="N710" i="4"/>
  <c r="O710" i="4"/>
  <c r="P710" i="4"/>
  <c r="Q710" i="4"/>
  <c r="R710" i="4"/>
  <c r="S710" i="4"/>
  <c r="T710" i="4"/>
  <c r="U710" i="4"/>
  <c r="V710" i="4"/>
  <c r="W710" i="4"/>
  <c r="X710" i="4"/>
  <c r="Y710" i="4"/>
  <c r="B711" i="4"/>
  <c r="C711" i="4"/>
  <c r="D711" i="4"/>
  <c r="E711" i="4"/>
  <c r="F711" i="4"/>
  <c r="G711" i="4"/>
  <c r="H711" i="4"/>
  <c r="I711" i="4"/>
  <c r="J711" i="4"/>
  <c r="K711" i="4"/>
  <c r="L711" i="4"/>
  <c r="M711" i="4"/>
  <c r="N711" i="4"/>
  <c r="O711" i="4"/>
  <c r="P711" i="4"/>
  <c r="Q711" i="4"/>
  <c r="R711" i="4"/>
  <c r="S711" i="4"/>
  <c r="T711" i="4"/>
  <c r="U711" i="4"/>
  <c r="V711" i="4"/>
  <c r="W711" i="4"/>
  <c r="X711" i="4"/>
  <c r="Y711" i="4"/>
  <c r="B712" i="4"/>
  <c r="C712" i="4"/>
  <c r="D712" i="4"/>
  <c r="E712" i="4"/>
  <c r="F712" i="4"/>
  <c r="G712" i="4"/>
  <c r="H712" i="4"/>
  <c r="I712" i="4"/>
  <c r="J712" i="4"/>
  <c r="K712" i="4"/>
  <c r="L712" i="4"/>
  <c r="M712" i="4"/>
  <c r="N712" i="4"/>
  <c r="O712" i="4"/>
  <c r="P712" i="4"/>
  <c r="Q712" i="4"/>
  <c r="R712" i="4"/>
  <c r="S712" i="4"/>
  <c r="T712" i="4"/>
  <c r="U712" i="4"/>
  <c r="V712" i="4"/>
  <c r="W712" i="4"/>
  <c r="X712" i="4"/>
  <c r="Y712" i="4"/>
  <c r="B713" i="4"/>
  <c r="C713" i="4"/>
  <c r="D713" i="4"/>
  <c r="E713" i="4"/>
  <c r="F713" i="4"/>
  <c r="G713" i="4"/>
  <c r="H713" i="4"/>
  <c r="I713" i="4"/>
  <c r="J713" i="4"/>
  <c r="K713" i="4"/>
  <c r="L713" i="4"/>
  <c r="M713" i="4"/>
  <c r="N713" i="4"/>
  <c r="O713" i="4"/>
  <c r="P713" i="4"/>
  <c r="Q713" i="4"/>
  <c r="R713" i="4"/>
  <c r="S713" i="4"/>
  <c r="T713" i="4"/>
  <c r="U713" i="4"/>
  <c r="V713" i="4"/>
  <c r="W713" i="4"/>
  <c r="X713" i="4"/>
  <c r="Y713" i="4"/>
  <c r="B714" i="4"/>
  <c r="C714" i="4"/>
  <c r="D714" i="4"/>
  <c r="E714" i="4"/>
  <c r="F714" i="4"/>
  <c r="G714" i="4"/>
  <c r="H714" i="4"/>
  <c r="I714" i="4"/>
  <c r="J714" i="4"/>
  <c r="K714" i="4"/>
  <c r="L714" i="4"/>
  <c r="M714" i="4"/>
  <c r="AD714" i="4" s="1"/>
  <c r="N714" i="4"/>
  <c r="O714" i="4"/>
  <c r="P714" i="4"/>
  <c r="Q714" i="4"/>
  <c r="R714" i="4"/>
  <c r="S714" i="4"/>
  <c r="T714" i="4"/>
  <c r="U714" i="4"/>
  <c r="V714" i="4"/>
  <c r="W714" i="4"/>
  <c r="X714" i="4"/>
  <c r="Y714" i="4"/>
  <c r="B715" i="4"/>
  <c r="C715" i="4"/>
  <c r="D715" i="4"/>
  <c r="E715" i="4"/>
  <c r="F715" i="4"/>
  <c r="G715" i="4"/>
  <c r="H715" i="4"/>
  <c r="I715" i="4"/>
  <c r="J715" i="4"/>
  <c r="K715" i="4"/>
  <c r="L715" i="4"/>
  <c r="M715" i="4"/>
  <c r="N715" i="4"/>
  <c r="O715" i="4"/>
  <c r="P715" i="4"/>
  <c r="Q715" i="4"/>
  <c r="R715" i="4"/>
  <c r="S715" i="4"/>
  <c r="T715" i="4"/>
  <c r="U715" i="4"/>
  <c r="V715" i="4"/>
  <c r="W715" i="4"/>
  <c r="X715" i="4"/>
  <c r="Y715" i="4"/>
  <c r="AC715" i="4"/>
  <c r="B716" i="4"/>
  <c r="C716" i="4"/>
  <c r="D716" i="4"/>
  <c r="E716" i="4"/>
  <c r="F716" i="4"/>
  <c r="G716" i="4"/>
  <c r="H716" i="4"/>
  <c r="I716" i="4"/>
  <c r="J716" i="4"/>
  <c r="K716" i="4"/>
  <c r="L716" i="4"/>
  <c r="M716" i="4"/>
  <c r="N716" i="4"/>
  <c r="O716" i="4"/>
  <c r="P716" i="4"/>
  <c r="Q716" i="4"/>
  <c r="R716" i="4"/>
  <c r="S716" i="4"/>
  <c r="T716" i="4"/>
  <c r="U716" i="4"/>
  <c r="V716" i="4"/>
  <c r="W716" i="4"/>
  <c r="X716" i="4"/>
  <c r="Y716" i="4"/>
  <c r="B717" i="4"/>
  <c r="C717" i="4"/>
  <c r="D717" i="4"/>
  <c r="E717" i="4"/>
  <c r="F717" i="4"/>
  <c r="G717" i="4"/>
  <c r="H717" i="4"/>
  <c r="I717" i="4"/>
  <c r="J717" i="4"/>
  <c r="K717" i="4"/>
  <c r="L717" i="4"/>
  <c r="M717" i="4"/>
  <c r="N717" i="4"/>
  <c r="O717" i="4"/>
  <c r="P717" i="4"/>
  <c r="Q717" i="4"/>
  <c r="R717" i="4"/>
  <c r="S717" i="4"/>
  <c r="T717" i="4"/>
  <c r="U717" i="4"/>
  <c r="V717" i="4"/>
  <c r="W717" i="4"/>
  <c r="X717" i="4"/>
  <c r="Y717" i="4"/>
  <c r="B718" i="4"/>
  <c r="C718" i="4"/>
  <c r="D718" i="4"/>
  <c r="E718" i="4"/>
  <c r="F718" i="4"/>
  <c r="G718" i="4"/>
  <c r="H718" i="4"/>
  <c r="I718" i="4"/>
  <c r="J718" i="4"/>
  <c r="K718" i="4"/>
  <c r="L718" i="4"/>
  <c r="M718" i="4"/>
  <c r="N718" i="4"/>
  <c r="AD718" i="4" s="1"/>
  <c r="O718" i="4"/>
  <c r="P718" i="4"/>
  <c r="Q718" i="4"/>
  <c r="R718" i="4"/>
  <c r="S718" i="4"/>
  <c r="T718" i="4"/>
  <c r="U718" i="4"/>
  <c r="V718" i="4"/>
  <c r="W718" i="4"/>
  <c r="X718" i="4"/>
  <c r="Y718" i="4"/>
  <c r="B719" i="4"/>
  <c r="C719" i="4"/>
  <c r="D719" i="4"/>
  <c r="E719" i="4"/>
  <c r="F719" i="4"/>
  <c r="G719" i="4"/>
  <c r="H719" i="4"/>
  <c r="I719" i="4"/>
  <c r="J719" i="4"/>
  <c r="K719" i="4"/>
  <c r="L719" i="4"/>
  <c r="M719" i="4"/>
  <c r="N719" i="4"/>
  <c r="O719" i="4"/>
  <c r="P719" i="4"/>
  <c r="Q719" i="4"/>
  <c r="R719" i="4"/>
  <c r="S719" i="4"/>
  <c r="T719" i="4"/>
  <c r="U719" i="4"/>
  <c r="V719" i="4"/>
  <c r="W719" i="4"/>
  <c r="X719" i="4"/>
  <c r="Y719" i="4"/>
  <c r="B720" i="4"/>
  <c r="C720" i="4"/>
  <c r="D720" i="4"/>
  <c r="E720" i="4"/>
  <c r="F720" i="4"/>
  <c r="G720" i="4"/>
  <c r="H720" i="4"/>
  <c r="I720" i="4"/>
  <c r="J720" i="4"/>
  <c r="K720" i="4"/>
  <c r="L720" i="4"/>
  <c r="M720" i="4"/>
  <c r="N720" i="4"/>
  <c r="AD720" i="4" s="1"/>
  <c r="O720" i="4"/>
  <c r="P720" i="4"/>
  <c r="Q720" i="4"/>
  <c r="R720" i="4"/>
  <c r="S720" i="4"/>
  <c r="T720" i="4"/>
  <c r="U720" i="4"/>
  <c r="V720" i="4"/>
  <c r="W720" i="4"/>
  <c r="X720" i="4"/>
  <c r="Y720" i="4"/>
  <c r="B721" i="4"/>
  <c r="C721" i="4"/>
  <c r="D721" i="4"/>
  <c r="E721" i="4"/>
  <c r="F721" i="4"/>
  <c r="G721" i="4"/>
  <c r="H721" i="4"/>
  <c r="I721" i="4"/>
  <c r="J721" i="4"/>
  <c r="K721" i="4"/>
  <c r="L721" i="4"/>
  <c r="M721" i="4"/>
  <c r="N721" i="4"/>
  <c r="O721" i="4"/>
  <c r="P721" i="4"/>
  <c r="Q721" i="4"/>
  <c r="R721" i="4"/>
  <c r="S721" i="4"/>
  <c r="T721" i="4"/>
  <c r="U721" i="4"/>
  <c r="V721" i="4"/>
  <c r="W721" i="4"/>
  <c r="X721" i="4"/>
  <c r="Y721" i="4"/>
  <c r="AC721" i="4"/>
  <c r="B722" i="4"/>
  <c r="C722" i="4"/>
  <c r="D722" i="4"/>
  <c r="E722" i="4"/>
  <c r="F722" i="4"/>
  <c r="G722" i="4"/>
  <c r="H722" i="4"/>
  <c r="I722" i="4"/>
  <c r="J722" i="4"/>
  <c r="K722" i="4"/>
  <c r="L722" i="4"/>
  <c r="M722" i="4"/>
  <c r="N722" i="4"/>
  <c r="O722" i="4"/>
  <c r="P722" i="4"/>
  <c r="Q722" i="4"/>
  <c r="R722" i="4"/>
  <c r="S722" i="4"/>
  <c r="T722" i="4"/>
  <c r="U722" i="4"/>
  <c r="V722" i="4"/>
  <c r="W722" i="4"/>
  <c r="X722" i="4"/>
  <c r="Y722" i="4"/>
  <c r="B723" i="4"/>
  <c r="C723" i="4"/>
  <c r="D723" i="4"/>
  <c r="E723" i="4"/>
  <c r="F723" i="4"/>
  <c r="G723" i="4"/>
  <c r="H723" i="4"/>
  <c r="I723" i="4"/>
  <c r="J723" i="4"/>
  <c r="K723" i="4"/>
  <c r="L723" i="4"/>
  <c r="M723" i="4"/>
  <c r="N723" i="4"/>
  <c r="O723" i="4"/>
  <c r="P723" i="4"/>
  <c r="Q723" i="4"/>
  <c r="R723" i="4"/>
  <c r="S723" i="4"/>
  <c r="T723" i="4"/>
  <c r="U723" i="4"/>
  <c r="V723" i="4"/>
  <c r="W723" i="4"/>
  <c r="X723" i="4"/>
  <c r="Y723" i="4"/>
  <c r="B724" i="4"/>
  <c r="C724" i="4"/>
  <c r="D724" i="4"/>
  <c r="E724" i="4"/>
  <c r="F724" i="4"/>
  <c r="G724" i="4"/>
  <c r="H724" i="4"/>
  <c r="I724" i="4"/>
  <c r="J724" i="4"/>
  <c r="K724" i="4"/>
  <c r="L724" i="4"/>
  <c r="M724" i="4"/>
  <c r="N724" i="4"/>
  <c r="O724" i="4"/>
  <c r="P724" i="4"/>
  <c r="Q724" i="4"/>
  <c r="R724" i="4"/>
  <c r="S724" i="4"/>
  <c r="T724" i="4"/>
  <c r="U724" i="4"/>
  <c r="V724" i="4"/>
  <c r="W724" i="4"/>
  <c r="X724" i="4"/>
  <c r="Y724" i="4"/>
  <c r="B725" i="4"/>
  <c r="C725" i="4"/>
  <c r="D725" i="4"/>
  <c r="E725" i="4"/>
  <c r="F725" i="4"/>
  <c r="G725" i="4"/>
  <c r="H725" i="4"/>
  <c r="I725" i="4"/>
  <c r="J725" i="4"/>
  <c r="K725" i="4"/>
  <c r="L725" i="4"/>
  <c r="M725" i="4"/>
  <c r="AD725" i="4" s="1"/>
  <c r="N725" i="4"/>
  <c r="O725" i="4"/>
  <c r="P725" i="4"/>
  <c r="Q725" i="4"/>
  <c r="R725" i="4"/>
  <c r="S725" i="4"/>
  <c r="T725" i="4"/>
  <c r="U725" i="4"/>
  <c r="V725" i="4"/>
  <c r="W725" i="4"/>
  <c r="X725" i="4"/>
  <c r="Y725" i="4"/>
  <c r="B726" i="4"/>
  <c r="C726" i="4"/>
  <c r="D726" i="4"/>
  <c r="E726" i="4"/>
  <c r="F726" i="4"/>
  <c r="G726" i="4"/>
  <c r="H726" i="4"/>
  <c r="I726" i="4"/>
  <c r="J726" i="4"/>
  <c r="K726" i="4"/>
  <c r="L726" i="4"/>
  <c r="M726" i="4"/>
  <c r="AD726" i="4" s="1"/>
  <c r="N726" i="4"/>
  <c r="O726" i="4"/>
  <c r="P726" i="4"/>
  <c r="Q726" i="4"/>
  <c r="R726" i="4"/>
  <c r="S726" i="4"/>
  <c r="T726" i="4"/>
  <c r="U726" i="4"/>
  <c r="V726" i="4"/>
  <c r="W726" i="4"/>
  <c r="X726" i="4"/>
  <c r="Y726" i="4"/>
  <c r="B727" i="4"/>
  <c r="C727" i="4"/>
  <c r="D727" i="4"/>
  <c r="AC727" i="4" s="1"/>
  <c r="E727" i="4"/>
  <c r="F727" i="4"/>
  <c r="G727" i="4"/>
  <c r="H727" i="4"/>
  <c r="I727" i="4"/>
  <c r="J727" i="4"/>
  <c r="K727" i="4"/>
  <c r="L727" i="4"/>
  <c r="M727" i="4"/>
  <c r="N727" i="4"/>
  <c r="O727" i="4"/>
  <c r="P727" i="4"/>
  <c r="Q727" i="4"/>
  <c r="R727" i="4"/>
  <c r="S727" i="4"/>
  <c r="T727" i="4"/>
  <c r="U727" i="4"/>
  <c r="V727" i="4"/>
  <c r="W727" i="4"/>
  <c r="X727" i="4"/>
  <c r="Y727" i="4"/>
  <c r="B728" i="4"/>
  <c r="C728" i="4"/>
  <c r="D728" i="4"/>
  <c r="E728" i="4"/>
  <c r="F728" i="4"/>
  <c r="G728" i="4"/>
  <c r="H728" i="4"/>
  <c r="I728" i="4"/>
  <c r="J728" i="4"/>
  <c r="K728" i="4"/>
  <c r="L728" i="4"/>
  <c r="M728" i="4"/>
  <c r="N728" i="4"/>
  <c r="O728" i="4"/>
  <c r="P728" i="4"/>
  <c r="Q728" i="4"/>
  <c r="R728" i="4"/>
  <c r="S728" i="4"/>
  <c r="T728" i="4"/>
  <c r="U728" i="4"/>
  <c r="V728" i="4"/>
  <c r="W728" i="4"/>
  <c r="X728" i="4"/>
  <c r="Y728" i="4"/>
  <c r="AC728" i="4"/>
  <c r="B729" i="4"/>
  <c r="C729" i="4"/>
  <c r="D729" i="4"/>
  <c r="E729" i="4"/>
  <c r="F729" i="4"/>
  <c r="G729" i="4"/>
  <c r="H729" i="4"/>
  <c r="I729" i="4"/>
  <c r="J729" i="4"/>
  <c r="K729" i="4"/>
  <c r="L729" i="4"/>
  <c r="M729" i="4"/>
  <c r="N729" i="4"/>
  <c r="O729" i="4"/>
  <c r="P729" i="4"/>
  <c r="Q729" i="4"/>
  <c r="R729" i="4"/>
  <c r="S729" i="4"/>
  <c r="T729" i="4"/>
  <c r="U729" i="4"/>
  <c r="V729" i="4"/>
  <c r="W729" i="4"/>
  <c r="X729" i="4"/>
  <c r="Y729" i="4"/>
  <c r="B730" i="4"/>
  <c r="C730" i="4"/>
  <c r="D730" i="4"/>
  <c r="E730" i="4"/>
  <c r="F730" i="4"/>
  <c r="G730" i="4"/>
  <c r="H730" i="4"/>
  <c r="I730" i="4"/>
  <c r="J730" i="4"/>
  <c r="K730" i="4"/>
  <c r="L730" i="4"/>
  <c r="M730" i="4"/>
  <c r="N730" i="4"/>
  <c r="O730" i="4"/>
  <c r="P730" i="4"/>
  <c r="Q730" i="4"/>
  <c r="R730" i="4"/>
  <c r="S730" i="4"/>
  <c r="T730" i="4"/>
  <c r="U730" i="4"/>
  <c r="V730" i="4"/>
  <c r="W730" i="4"/>
  <c r="X730" i="4"/>
  <c r="Y730" i="4"/>
  <c r="AC730" i="4"/>
  <c r="B731" i="4"/>
  <c r="C731" i="4"/>
  <c r="D731" i="4"/>
  <c r="E731" i="4"/>
  <c r="F731" i="4"/>
  <c r="G731" i="4"/>
  <c r="H731" i="4"/>
  <c r="I731" i="4"/>
  <c r="J731" i="4"/>
  <c r="K731" i="4"/>
  <c r="L731" i="4"/>
  <c r="M731" i="4"/>
  <c r="N731" i="4"/>
  <c r="O731" i="4"/>
  <c r="P731" i="4"/>
  <c r="Q731" i="4"/>
  <c r="R731" i="4"/>
  <c r="S731" i="4"/>
  <c r="T731" i="4"/>
  <c r="U731" i="4"/>
  <c r="V731" i="4"/>
  <c r="W731" i="4"/>
  <c r="X731" i="4"/>
  <c r="Y731" i="4"/>
  <c r="B732" i="4"/>
  <c r="C732" i="4"/>
  <c r="D732" i="4"/>
  <c r="E732" i="4"/>
  <c r="F732" i="4"/>
  <c r="G732" i="4"/>
  <c r="H732" i="4"/>
  <c r="I732" i="4"/>
  <c r="J732" i="4"/>
  <c r="K732" i="4"/>
  <c r="L732" i="4"/>
  <c r="M732" i="4"/>
  <c r="N732" i="4"/>
  <c r="O732" i="4"/>
  <c r="P732" i="4"/>
  <c r="Q732" i="4"/>
  <c r="R732" i="4"/>
  <c r="S732" i="4"/>
  <c r="T732" i="4"/>
  <c r="U732" i="4"/>
  <c r="V732" i="4"/>
  <c r="W732" i="4"/>
  <c r="X732" i="4"/>
  <c r="Y732" i="4"/>
  <c r="B733" i="4"/>
  <c r="C733" i="4"/>
  <c r="D733" i="4"/>
  <c r="E733" i="4"/>
  <c r="F733" i="4"/>
  <c r="G733" i="4"/>
  <c r="H733" i="4"/>
  <c r="I733" i="4"/>
  <c r="J733" i="4"/>
  <c r="K733" i="4"/>
  <c r="L733" i="4"/>
  <c r="M733" i="4"/>
  <c r="N733" i="4"/>
  <c r="O733" i="4"/>
  <c r="P733" i="4"/>
  <c r="Q733" i="4"/>
  <c r="R733" i="4"/>
  <c r="S733" i="4"/>
  <c r="T733" i="4"/>
  <c r="U733" i="4"/>
  <c r="V733" i="4"/>
  <c r="W733" i="4"/>
  <c r="X733" i="4"/>
  <c r="Y733" i="4"/>
  <c r="B734" i="4"/>
  <c r="C734" i="4"/>
  <c r="D734" i="4"/>
  <c r="E734" i="4"/>
  <c r="F734" i="4"/>
  <c r="G734" i="4"/>
  <c r="H734" i="4"/>
  <c r="I734" i="4"/>
  <c r="J734" i="4"/>
  <c r="K734" i="4"/>
  <c r="L734" i="4"/>
  <c r="M734" i="4"/>
  <c r="N734" i="4"/>
  <c r="O734" i="4"/>
  <c r="P734" i="4"/>
  <c r="Q734" i="4"/>
  <c r="R734" i="4"/>
  <c r="S734" i="4"/>
  <c r="T734" i="4"/>
  <c r="U734" i="4"/>
  <c r="V734" i="4"/>
  <c r="W734" i="4"/>
  <c r="X734" i="4"/>
  <c r="Y734" i="4"/>
  <c r="AC734" i="4"/>
  <c r="AD734" i="4"/>
  <c r="B735" i="4"/>
  <c r="C735" i="4"/>
  <c r="D735" i="4"/>
  <c r="E735" i="4"/>
  <c r="F735" i="4"/>
  <c r="G735" i="4"/>
  <c r="H735" i="4"/>
  <c r="I735" i="4"/>
  <c r="J735" i="4"/>
  <c r="K735" i="4"/>
  <c r="L735" i="4"/>
  <c r="M735" i="4"/>
  <c r="N735" i="4"/>
  <c r="O735" i="4"/>
  <c r="P735" i="4"/>
  <c r="Q735" i="4"/>
  <c r="R735" i="4"/>
  <c r="S735" i="4"/>
  <c r="T735" i="4"/>
  <c r="U735" i="4"/>
  <c r="V735" i="4"/>
  <c r="W735" i="4"/>
  <c r="X735" i="4"/>
  <c r="Y735" i="4"/>
  <c r="B736" i="4"/>
  <c r="C736" i="4"/>
  <c r="D736" i="4"/>
  <c r="E736" i="4"/>
  <c r="F736" i="4"/>
  <c r="G736" i="4"/>
  <c r="H736" i="4"/>
  <c r="I736" i="4"/>
  <c r="J736" i="4"/>
  <c r="K736" i="4"/>
  <c r="L736" i="4"/>
  <c r="M736" i="4"/>
  <c r="N736" i="4"/>
  <c r="O736" i="4"/>
  <c r="P736" i="4"/>
  <c r="Q736" i="4"/>
  <c r="R736" i="4"/>
  <c r="S736" i="4"/>
  <c r="T736" i="4"/>
  <c r="U736" i="4"/>
  <c r="V736" i="4"/>
  <c r="W736" i="4"/>
  <c r="X736" i="4"/>
  <c r="Y736" i="4"/>
  <c r="B737" i="4"/>
  <c r="C737" i="4"/>
  <c r="D737" i="4"/>
  <c r="E737" i="4"/>
  <c r="F737" i="4"/>
  <c r="G737" i="4"/>
  <c r="H737" i="4"/>
  <c r="I737" i="4"/>
  <c r="J737" i="4"/>
  <c r="K737" i="4"/>
  <c r="L737" i="4"/>
  <c r="M737" i="4"/>
  <c r="N737" i="4"/>
  <c r="O737" i="4"/>
  <c r="P737" i="4"/>
  <c r="Q737" i="4"/>
  <c r="R737" i="4"/>
  <c r="S737" i="4"/>
  <c r="T737" i="4"/>
  <c r="U737" i="4"/>
  <c r="V737" i="4"/>
  <c r="W737" i="4"/>
  <c r="X737" i="4"/>
  <c r="Y737" i="4"/>
  <c r="B738" i="4"/>
  <c r="C738" i="4"/>
  <c r="D738" i="4"/>
  <c r="E738" i="4"/>
  <c r="F738" i="4"/>
  <c r="G738" i="4"/>
  <c r="H738" i="4"/>
  <c r="I738" i="4"/>
  <c r="J738" i="4"/>
  <c r="K738" i="4"/>
  <c r="L738" i="4"/>
  <c r="M738" i="4"/>
  <c r="N738" i="4"/>
  <c r="O738" i="4"/>
  <c r="P738" i="4"/>
  <c r="Q738" i="4"/>
  <c r="R738" i="4"/>
  <c r="S738" i="4"/>
  <c r="T738" i="4"/>
  <c r="U738" i="4"/>
  <c r="V738" i="4"/>
  <c r="W738" i="4"/>
  <c r="X738" i="4"/>
  <c r="Y738" i="4"/>
  <c r="B739" i="4"/>
  <c r="C739" i="4"/>
  <c r="D739" i="4"/>
  <c r="E739" i="4"/>
  <c r="F739" i="4"/>
  <c r="G739" i="4"/>
  <c r="H739" i="4"/>
  <c r="I739" i="4"/>
  <c r="J739" i="4"/>
  <c r="K739" i="4"/>
  <c r="L739" i="4"/>
  <c r="M739" i="4"/>
  <c r="N739" i="4"/>
  <c r="O739" i="4"/>
  <c r="P739" i="4"/>
  <c r="Q739" i="4"/>
  <c r="R739" i="4"/>
  <c r="S739" i="4"/>
  <c r="T739" i="4"/>
  <c r="U739" i="4"/>
  <c r="V739" i="4"/>
  <c r="W739" i="4"/>
  <c r="X739" i="4"/>
  <c r="Y739" i="4"/>
  <c r="B740" i="4"/>
  <c r="C740" i="4"/>
  <c r="D740" i="4"/>
  <c r="E740" i="4"/>
  <c r="F740" i="4"/>
  <c r="G740" i="4"/>
  <c r="H740" i="4"/>
  <c r="I740" i="4"/>
  <c r="J740" i="4"/>
  <c r="K740" i="4"/>
  <c r="L740" i="4"/>
  <c r="M740" i="4"/>
  <c r="N740" i="4"/>
  <c r="O740" i="4"/>
  <c r="P740" i="4"/>
  <c r="Q740" i="4"/>
  <c r="R740" i="4"/>
  <c r="S740" i="4"/>
  <c r="T740" i="4"/>
  <c r="U740" i="4"/>
  <c r="V740" i="4"/>
  <c r="W740" i="4"/>
  <c r="X740" i="4"/>
  <c r="Y740" i="4"/>
  <c r="AC740" i="4"/>
  <c r="B741" i="4"/>
  <c r="C741" i="4"/>
  <c r="D741" i="4"/>
  <c r="E741" i="4"/>
  <c r="F741" i="4"/>
  <c r="G741" i="4"/>
  <c r="H741" i="4"/>
  <c r="I741" i="4"/>
  <c r="J741" i="4"/>
  <c r="K741" i="4"/>
  <c r="L741" i="4"/>
  <c r="M741" i="4"/>
  <c r="N741" i="4"/>
  <c r="O741" i="4"/>
  <c r="P741" i="4"/>
  <c r="Q741" i="4"/>
  <c r="R741" i="4"/>
  <c r="S741" i="4"/>
  <c r="T741" i="4"/>
  <c r="U741" i="4"/>
  <c r="V741" i="4"/>
  <c r="W741" i="4"/>
  <c r="X741" i="4"/>
  <c r="Y741" i="4"/>
  <c r="AC741" i="4"/>
  <c r="B742" i="4"/>
  <c r="C742" i="4"/>
  <c r="D742" i="4"/>
  <c r="E742" i="4"/>
  <c r="F742" i="4"/>
  <c r="G742" i="4"/>
  <c r="H742" i="4"/>
  <c r="I742" i="4"/>
  <c r="J742" i="4"/>
  <c r="K742" i="4"/>
  <c r="L742" i="4"/>
  <c r="M742" i="4"/>
  <c r="N742" i="4"/>
  <c r="O742" i="4"/>
  <c r="P742" i="4"/>
  <c r="Q742" i="4"/>
  <c r="R742" i="4"/>
  <c r="S742" i="4"/>
  <c r="T742" i="4"/>
  <c r="U742" i="4"/>
  <c r="V742" i="4"/>
  <c r="W742" i="4"/>
  <c r="X742" i="4"/>
  <c r="Y742" i="4"/>
  <c r="AD742" i="4"/>
  <c r="B743" i="4"/>
  <c r="C743" i="4"/>
  <c r="D743" i="4"/>
  <c r="E743" i="4"/>
  <c r="F743" i="4"/>
  <c r="G743" i="4"/>
  <c r="H743" i="4"/>
  <c r="I743" i="4"/>
  <c r="J743" i="4"/>
  <c r="K743" i="4"/>
  <c r="L743" i="4"/>
  <c r="M743" i="4"/>
  <c r="N743" i="4"/>
  <c r="O743" i="4"/>
  <c r="P743" i="4"/>
  <c r="Q743" i="4"/>
  <c r="R743" i="4"/>
  <c r="S743" i="4"/>
  <c r="T743" i="4"/>
  <c r="U743" i="4"/>
  <c r="V743" i="4"/>
  <c r="W743" i="4"/>
  <c r="X743" i="4"/>
  <c r="Y743" i="4"/>
  <c r="B744" i="4"/>
  <c r="C744" i="4"/>
  <c r="D744" i="4"/>
  <c r="E744" i="4"/>
  <c r="F744" i="4"/>
  <c r="G744" i="4"/>
  <c r="H744" i="4"/>
  <c r="I744" i="4"/>
  <c r="J744" i="4"/>
  <c r="K744" i="4"/>
  <c r="L744" i="4"/>
  <c r="M744" i="4"/>
  <c r="N744" i="4"/>
  <c r="O744" i="4"/>
  <c r="P744" i="4"/>
  <c r="Q744" i="4"/>
  <c r="R744" i="4"/>
  <c r="S744" i="4"/>
  <c r="T744" i="4"/>
  <c r="U744" i="4"/>
  <c r="V744" i="4"/>
  <c r="W744" i="4"/>
  <c r="X744" i="4"/>
  <c r="Y744" i="4"/>
  <c r="B745" i="4"/>
  <c r="C745" i="4"/>
  <c r="D745" i="4"/>
  <c r="E745" i="4"/>
  <c r="F745" i="4"/>
  <c r="G745" i="4"/>
  <c r="H745" i="4"/>
  <c r="I745" i="4"/>
  <c r="J745" i="4"/>
  <c r="K745" i="4"/>
  <c r="L745" i="4"/>
  <c r="M745" i="4"/>
  <c r="N745" i="4"/>
  <c r="O745" i="4"/>
  <c r="P745" i="4"/>
  <c r="Q745" i="4"/>
  <c r="R745" i="4"/>
  <c r="S745" i="4"/>
  <c r="T745" i="4"/>
  <c r="U745" i="4"/>
  <c r="V745" i="4"/>
  <c r="W745" i="4"/>
  <c r="X745" i="4"/>
  <c r="Y745" i="4"/>
  <c r="B746" i="4"/>
  <c r="C746" i="4"/>
  <c r="D746" i="4"/>
  <c r="E746" i="4"/>
  <c r="F746" i="4"/>
  <c r="G746" i="4"/>
  <c r="H746" i="4"/>
  <c r="I746" i="4"/>
  <c r="J746" i="4"/>
  <c r="K746" i="4"/>
  <c r="L746" i="4"/>
  <c r="M746" i="4"/>
  <c r="N746" i="4"/>
  <c r="O746" i="4"/>
  <c r="P746" i="4"/>
  <c r="AD746" i="4" s="1"/>
  <c r="Q746" i="4"/>
  <c r="R746" i="4"/>
  <c r="S746" i="4"/>
  <c r="T746" i="4"/>
  <c r="U746" i="4"/>
  <c r="V746" i="4"/>
  <c r="W746" i="4"/>
  <c r="X746" i="4"/>
  <c r="Y746" i="4"/>
  <c r="B747" i="4"/>
  <c r="C747" i="4"/>
  <c r="D747" i="4"/>
  <c r="E747" i="4"/>
  <c r="F747" i="4"/>
  <c r="G747" i="4"/>
  <c r="H747" i="4"/>
  <c r="I747" i="4"/>
  <c r="J747" i="4"/>
  <c r="K747" i="4"/>
  <c r="L747" i="4"/>
  <c r="M747" i="4"/>
  <c r="N747" i="4"/>
  <c r="O747" i="4"/>
  <c r="P747" i="4"/>
  <c r="Q747" i="4"/>
  <c r="R747" i="4"/>
  <c r="S747" i="4"/>
  <c r="T747" i="4"/>
  <c r="U747" i="4"/>
  <c r="V747" i="4"/>
  <c r="W747" i="4"/>
  <c r="X747" i="4"/>
  <c r="Y747" i="4"/>
  <c r="B748" i="4"/>
  <c r="C748" i="4"/>
  <c r="D748" i="4"/>
  <c r="E748" i="4"/>
  <c r="F748" i="4"/>
  <c r="G748" i="4"/>
  <c r="H748" i="4"/>
  <c r="I748" i="4"/>
  <c r="J748" i="4"/>
  <c r="K748" i="4"/>
  <c r="L748" i="4"/>
  <c r="M748" i="4"/>
  <c r="N748" i="4"/>
  <c r="O748" i="4"/>
  <c r="P748" i="4"/>
  <c r="Q748" i="4"/>
  <c r="R748" i="4"/>
  <c r="S748" i="4"/>
  <c r="T748" i="4"/>
  <c r="U748" i="4"/>
  <c r="V748" i="4"/>
  <c r="W748" i="4"/>
  <c r="X748" i="4"/>
  <c r="Y748" i="4"/>
  <c r="B749" i="4"/>
  <c r="C749" i="4"/>
  <c r="D749" i="4"/>
  <c r="E749" i="4"/>
  <c r="F749" i="4"/>
  <c r="G749" i="4"/>
  <c r="H749" i="4"/>
  <c r="I749" i="4"/>
  <c r="J749" i="4"/>
  <c r="K749" i="4"/>
  <c r="L749" i="4"/>
  <c r="M749" i="4"/>
  <c r="N749" i="4"/>
  <c r="O749" i="4"/>
  <c r="P749" i="4"/>
  <c r="Q749" i="4"/>
  <c r="R749" i="4"/>
  <c r="S749" i="4"/>
  <c r="T749" i="4"/>
  <c r="U749" i="4"/>
  <c r="V749" i="4"/>
  <c r="W749" i="4"/>
  <c r="X749" i="4"/>
  <c r="Y749" i="4"/>
  <c r="B750" i="4"/>
  <c r="C750" i="4"/>
  <c r="D750" i="4"/>
  <c r="E750" i="4"/>
  <c r="F750" i="4"/>
  <c r="G750" i="4"/>
  <c r="H750" i="4"/>
  <c r="I750" i="4"/>
  <c r="J750" i="4"/>
  <c r="K750" i="4"/>
  <c r="L750" i="4"/>
  <c r="M750" i="4"/>
  <c r="N750" i="4"/>
  <c r="O750" i="4"/>
  <c r="P750" i="4"/>
  <c r="Q750" i="4"/>
  <c r="R750" i="4"/>
  <c r="S750" i="4"/>
  <c r="T750" i="4"/>
  <c r="U750" i="4"/>
  <c r="V750" i="4"/>
  <c r="W750" i="4"/>
  <c r="X750" i="4"/>
  <c r="Y750" i="4"/>
  <c r="B751" i="4"/>
  <c r="C751" i="4"/>
  <c r="D751" i="4"/>
  <c r="E751" i="4"/>
  <c r="F751" i="4"/>
  <c r="G751" i="4"/>
  <c r="H751" i="4"/>
  <c r="I751" i="4"/>
  <c r="J751" i="4"/>
  <c r="K751" i="4"/>
  <c r="L751" i="4"/>
  <c r="M751" i="4"/>
  <c r="N751" i="4"/>
  <c r="O751" i="4"/>
  <c r="P751" i="4"/>
  <c r="Q751" i="4"/>
  <c r="R751" i="4"/>
  <c r="S751" i="4"/>
  <c r="T751" i="4"/>
  <c r="U751" i="4"/>
  <c r="V751" i="4"/>
  <c r="W751" i="4"/>
  <c r="X751" i="4"/>
  <c r="Y751" i="4"/>
  <c r="B752" i="4"/>
  <c r="C752" i="4"/>
  <c r="D752" i="4"/>
  <c r="E752" i="4"/>
  <c r="F752" i="4"/>
  <c r="G752" i="4"/>
  <c r="H752" i="4"/>
  <c r="I752" i="4"/>
  <c r="J752" i="4"/>
  <c r="K752" i="4"/>
  <c r="L752" i="4"/>
  <c r="M752" i="4"/>
  <c r="N752" i="4"/>
  <c r="O752" i="4"/>
  <c r="P752" i="4"/>
  <c r="Q752" i="4"/>
  <c r="R752" i="4"/>
  <c r="S752" i="4"/>
  <c r="T752" i="4"/>
  <c r="U752" i="4"/>
  <c r="V752" i="4"/>
  <c r="W752" i="4"/>
  <c r="X752" i="4"/>
  <c r="Y752" i="4"/>
  <c r="B753" i="4"/>
  <c r="C753" i="4"/>
  <c r="D753" i="4"/>
  <c r="E753" i="4"/>
  <c r="F753" i="4"/>
  <c r="G753" i="4"/>
  <c r="H753" i="4"/>
  <c r="AC753" i="4" s="1"/>
  <c r="I753" i="4"/>
  <c r="J753" i="4"/>
  <c r="K753" i="4"/>
  <c r="L753" i="4"/>
  <c r="M753" i="4"/>
  <c r="N753" i="4"/>
  <c r="O753" i="4"/>
  <c r="P753" i="4"/>
  <c r="Q753" i="4"/>
  <c r="R753" i="4"/>
  <c r="S753" i="4"/>
  <c r="T753" i="4"/>
  <c r="U753" i="4"/>
  <c r="V753" i="4"/>
  <c r="W753" i="4"/>
  <c r="X753" i="4"/>
  <c r="Y753" i="4"/>
  <c r="B754" i="4"/>
  <c r="C754" i="4"/>
  <c r="D754" i="4"/>
  <c r="E754" i="4"/>
  <c r="F754" i="4"/>
  <c r="G754" i="4"/>
  <c r="H754" i="4"/>
  <c r="I754" i="4"/>
  <c r="J754" i="4"/>
  <c r="K754" i="4"/>
  <c r="L754" i="4"/>
  <c r="M754" i="4"/>
  <c r="N754" i="4"/>
  <c r="O754" i="4"/>
  <c r="P754" i="4"/>
  <c r="Q754" i="4"/>
  <c r="R754" i="4"/>
  <c r="S754" i="4"/>
  <c r="T754" i="4"/>
  <c r="U754" i="4"/>
  <c r="V754" i="4"/>
  <c r="W754" i="4"/>
  <c r="X754" i="4"/>
  <c r="Y754" i="4"/>
  <c r="AC754" i="4"/>
  <c r="B755" i="4"/>
  <c r="C755" i="4"/>
  <c r="D755" i="4"/>
  <c r="E755" i="4"/>
  <c r="F755" i="4"/>
  <c r="G755" i="4"/>
  <c r="H755" i="4"/>
  <c r="I755" i="4"/>
  <c r="J755" i="4"/>
  <c r="K755" i="4"/>
  <c r="L755" i="4"/>
  <c r="M755" i="4"/>
  <c r="N755" i="4"/>
  <c r="O755" i="4"/>
  <c r="P755" i="4"/>
  <c r="Q755" i="4"/>
  <c r="R755" i="4"/>
  <c r="S755" i="4"/>
  <c r="T755" i="4"/>
  <c r="U755" i="4"/>
  <c r="V755" i="4"/>
  <c r="W755" i="4"/>
  <c r="X755" i="4"/>
  <c r="Y755" i="4"/>
  <c r="AC755" i="4"/>
  <c r="B756" i="4"/>
  <c r="C756" i="4"/>
  <c r="D756" i="4"/>
  <c r="E756" i="4"/>
  <c r="F756" i="4"/>
  <c r="G756" i="4"/>
  <c r="H756" i="4"/>
  <c r="I756" i="4"/>
  <c r="J756" i="4"/>
  <c r="K756" i="4"/>
  <c r="L756" i="4"/>
  <c r="M756" i="4"/>
  <c r="N756" i="4"/>
  <c r="O756" i="4"/>
  <c r="P756" i="4"/>
  <c r="Q756" i="4"/>
  <c r="R756" i="4"/>
  <c r="S756" i="4"/>
  <c r="T756" i="4"/>
  <c r="U756" i="4"/>
  <c r="V756" i="4"/>
  <c r="W756" i="4"/>
  <c r="X756" i="4"/>
  <c r="Y756" i="4"/>
  <c r="B757" i="4"/>
  <c r="C757" i="4"/>
  <c r="D757" i="4"/>
  <c r="E757" i="4"/>
  <c r="F757" i="4"/>
  <c r="G757" i="4"/>
  <c r="H757" i="4"/>
  <c r="I757" i="4"/>
  <c r="J757" i="4"/>
  <c r="K757" i="4"/>
  <c r="L757" i="4"/>
  <c r="M757" i="4"/>
  <c r="N757" i="4"/>
  <c r="O757" i="4"/>
  <c r="P757" i="4"/>
  <c r="Q757" i="4"/>
  <c r="R757" i="4"/>
  <c r="S757" i="4"/>
  <c r="T757" i="4"/>
  <c r="U757" i="4"/>
  <c r="V757" i="4"/>
  <c r="W757" i="4"/>
  <c r="X757" i="4"/>
  <c r="Y757" i="4"/>
  <c r="B758" i="4"/>
  <c r="C758" i="4"/>
  <c r="D758" i="4"/>
  <c r="E758" i="4"/>
  <c r="F758" i="4"/>
  <c r="G758" i="4"/>
  <c r="H758" i="4"/>
  <c r="I758" i="4"/>
  <c r="J758" i="4"/>
  <c r="K758" i="4"/>
  <c r="L758" i="4"/>
  <c r="M758" i="4"/>
  <c r="AD758" i="4" s="1"/>
  <c r="N758" i="4"/>
  <c r="O758" i="4"/>
  <c r="P758" i="4"/>
  <c r="Q758" i="4"/>
  <c r="R758" i="4"/>
  <c r="S758" i="4"/>
  <c r="T758" i="4"/>
  <c r="U758" i="4"/>
  <c r="V758" i="4"/>
  <c r="W758" i="4"/>
  <c r="X758" i="4"/>
  <c r="Y758" i="4"/>
  <c r="B759" i="4"/>
  <c r="C759" i="4"/>
  <c r="D759" i="4"/>
  <c r="E759" i="4"/>
  <c r="F759" i="4"/>
  <c r="G759" i="4"/>
  <c r="H759" i="4"/>
  <c r="I759" i="4"/>
  <c r="J759" i="4"/>
  <c r="K759" i="4"/>
  <c r="L759" i="4"/>
  <c r="M759" i="4"/>
  <c r="N759" i="4"/>
  <c r="O759" i="4"/>
  <c r="P759" i="4"/>
  <c r="Q759" i="4"/>
  <c r="R759" i="4"/>
  <c r="S759" i="4"/>
  <c r="T759" i="4"/>
  <c r="U759" i="4"/>
  <c r="V759" i="4"/>
  <c r="W759" i="4"/>
  <c r="X759" i="4"/>
  <c r="Y759" i="4"/>
  <c r="AC759" i="4"/>
  <c r="B760" i="4"/>
  <c r="C760" i="4"/>
  <c r="D760" i="4"/>
  <c r="E760" i="4"/>
  <c r="F760" i="4"/>
  <c r="G760" i="4"/>
  <c r="H760" i="4"/>
  <c r="I760" i="4"/>
  <c r="J760" i="4"/>
  <c r="K760" i="4"/>
  <c r="L760" i="4"/>
  <c r="M760" i="4"/>
  <c r="N760" i="4"/>
  <c r="O760" i="4"/>
  <c r="P760" i="4"/>
  <c r="Q760" i="4"/>
  <c r="R760" i="4"/>
  <c r="S760" i="4"/>
  <c r="T760" i="4"/>
  <c r="U760" i="4"/>
  <c r="V760" i="4"/>
  <c r="W760" i="4"/>
  <c r="X760" i="4"/>
  <c r="Y760" i="4"/>
  <c r="B761" i="4"/>
  <c r="C761" i="4"/>
  <c r="D761" i="4"/>
  <c r="E761" i="4"/>
  <c r="F761" i="4"/>
  <c r="G761" i="4"/>
  <c r="H761" i="4"/>
  <c r="I761" i="4"/>
  <c r="J761" i="4"/>
  <c r="K761" i="4"/>
  <c r="L761" i="4"/>
  <c r="M761" i="4"/>
  <c r="N761" i="4"/>
  <c r="O761" i="4"/>
  <c r="P761" i="4"/>
  <c r="Q761" i="4"/>
  <c r="R761" i="4"/>
  <c r="S761" i="4"/>
  <c r="T761" i="4"/>
  <c r="U761" i="4"/>
  <c r="V761" i="4"/>
  <c r="W761" i="4"/>
  <c r="X761" i="4"/>
  <c r="Y761" i="4"/>
  <c r="B762" i="4"/>
  <c r="C762" i="4"/>
  <c r="D762" i="4"/>
  <c r="E762" i="4"/>
  <c r="F762" i="4"/>
  <c r="G762" i="4"/>
  <c r="H762" i="4"/>
  <c r="I762" i="4"/>
  <c r="J762" i="4"/>
  <c r="K762" i="4"/>
  <c r="L762" i="4"/>
  <c r="M762" i="4"/>
  <c r="N762" i="4"/>
  <c r="O762" i="4"/>
  <c r="P762" i="4"/>
  <c r="Q762" i="4"/>
  <c r="R762" i="4"/>
  <c r="S762" i="4"/>
  <c r="T762" i="4"/>
  <c r="U762" i="4"/>
  <c r="V762" i="4"/>
  <c r="W762" i="4"/>
  <c r="X762" i="4"/>
  <c r="Y762" i="4"/>
  <c r="B763" i="4"/>
  <c r="C763" i="4"/>
  <c r="D763" i="4"/>
  <c r="E763" i="4"/>
  <c r="F763" i="4"/>
  <c r="G763" i="4"/>
  <c r="H763" i="4"/>
  <c r="I763" i="4"/>
  <c r="J763" i="4"/>
  <c r="K763" i="4"/>
  <c r="L763" i="4"/>
  <c r="M763" i="4"/>
  <c r="N763" i="4"/>
  <c r="O763" i="4"/>
  <c r="P763" i="4"/>
  <c r="Q763" i="4"/>
  <c r="R763" i="4"/>
  <c r="S763" i="4"/>
  <c r="T763" i="4"/>
  <c r="U763" i="4"/>
  <c r="V763" i="4"/>
  <c r="W763" i="4"/>
  <c r="X763" i="4"/>
  <c r="Y763" i="4"/>
  <c r="B764" i="4"/>
  <c r="C764" i="4"/>
  <c r="D764" i="4"/>
  <c r="E764" i="4"/>
  <c r="F764" i="4"/>
  <c r="G764" i="4"/>
  <c r="H764" i="4"/>
  <c r="I764" i="4"/>
  <c r="J764" i="4"/>
  <c r="K764" i="4"/>
  <c r="L764" i="4"/>
  <c r="M764" i="4"/>
  <c r="N764" i="4"/>
  <c r="O764" i="4"/>
  <c r="P764" i="4"/>
  <c r="Q764" i="4"/>
  <c r="R764" i="4"/>
  <c r="S764" i="4"/>
  <c r="T764" i="4"/>
  <c r="U764" i="4"/>
  <c r="V764" i="4"/>
  <c r="W764" i="4"/>
  <c r="X764" i="4"/>
  <c r="Y764" i="4"/>
  <c r="B765" i="4"/>
  <c r="C765" i="4"/>
  <c r="D765" i="4"/>
  <c r="E765" i="4"/>
  <c r="F765" i="4"/>
  <c r="G765" i="4"/>
  <c r="H765" i="4"/>
  <c r="I765" i="4"/>
  <c r="J765" i="4"/>
  <c r="K765" i="4"/>
  <c r="L765" i="4"/>
  <c r="M765" i="4"/>
  <c r="N765" i="4"/>
  <c r="O765" i="4"/>
  <c r="P765" i="4"/>
  <c r="Q765" i="4"/>
  <c r="R765" i="4"/>
  <c r="S765" i="4"/>
  <c r="T765" i="4"/>
  <c r="U765" i="4"/>
  <c r="V765" i="4"/>
  <c r="W765" i="4"/>
  <c r="X765" i="4"/>
  <c r="Y765" i="4"/>
  <c r="B766" i="4"/>
  <c r="C766" i="4"/>
  <c r="D766" i="4"/>
  <c r="E766" i="4"/>
  <c r="F766" i="4"/>
  <c r="G766" i="4"/>
  <c r="H766" i="4"/>
  <c r="I766" i="4"/>
  <c r="J766" i="4"/>
  <c r="K766" i="4"/>
  <c r="L766" i="4"/>
  <c r="M766" i="4"/>
  <c r="N766" i="4"/>
  <c r="O766" i="4"/>
  <c r="P766" i="4"/>
  <c r="Q766" i="4"/>
  <c r="R766" i="4"/>
  <c r="S766" i="4"/>
  <c r="T766" i="4"/>
  <c r="U766" i="4"/>
  <c r="V766" i="4"/>
  <c r="W766" i="4"/>
  <c r="X766" i="4"/>
  <c r="Y766" i="4"/>
  <c r="AC766" i="4"/>
  <c r="AD766" i="4"/>
  <c r="B767" i="4"/>
  <c r="C767" i="4"/>
  <c r="D767" i="4"/>
  <c r="E767" i="4"/>
  <c r="F767" i="4"/>
  <c r="G767" i="4"/>
  <c r="H767" i="4"/>
  <c r="I767" i="4"/>
  <c r="J767" i="4"/>
  <c r="K767" i="4"/>
  <c r="L767" i="4"/>
  <c r="M767" i="4"/>
  <c r="N767" i="4"/>
  <c r="O767" i="4"/>
  <c r="P767" i="4"/>
  <c r="Q767" i="4"/>
  <c r="R767" i="4"/>
  <c r="S767" i="4"/>
  <c r="T767" i="4"/>
  <c r="U767" i="4"/>
  <c r="V767" i="4"/>
  <c r="W767" i="4"/>
  <c r="X767" i="4"/>
  <c r="Y767" i="4"/>
  <c r="B768" i="4"/>
  <c r="C768" i="4"/>
  <c r="D768" i="4"/>
  <c r="E768" i="4"/>
  <c r="F768" i="4"/>
  <c r="G768" i="4"/>
  <c r="H768" i="4"/>
  <c r="AC768" i="4" s="1"/>
  <c r="I768" i="4"/>
  <c r="J768" i="4"/>
  <c r="K768" i="4"/>
  <c r="L768" i="4"/>
  <c r="M768" i="4"/>
  <c r="N768" i="4"/>
  <c r="O768" i="4"/>
  <c r="P768" i="4"/>
  <c r="Q768" i="4"/>
  <c r="R768" i="4"/>
  <c r="S768" i="4"/>
  <c r="T768" i="4"/>
  <c r="U768" i="4"/>
  <c r="V768" i="4"/>
  <c r="W768" i="4"/>
  <c r="X768" i="4"/>
  <c r="Y768" i="4"/>
  <c r="B769" i="4"/>
  <c r="C769" i="4"/>
  <c r="D769" i="4"/>
  <c r="E769" i="4"/>
  <c r="F769" i="4"/>
  <c r="G769" i="4"/>
  <c r="H769" i="4"/>
  <c r="I769" i="4"/>
  <c r="J769" i="4"/>
  <c r="K769" i="4"/>
  <c r="L769" i="4"/>
  <c r="M769" i="4"/>
  <c r="N769" i="4"/>
  <c r="O769" i="4"/>
  <c r="P769" i="4"/>
  <c r="Q769" i="4"/>
  <c r="R769" i="4"/>
  <c r="S769" i="4"/>
  <c r="T769" i="4"/>
  <c r="U769" i="4"/>
  <c r="V769" i="4"/>
  <c r="W769" i="4"/>
  <c r="X769" i="4"/>
  <c r="Y769" i="4"/>
  <c r="B770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O770" i="4"/>
  <c r="P770" i="4"/>
  <c r="Q770" i="4"/>
  <c r="R770" i="4"/>
  <c r="S770" i="4"/>
  <c r="T770" i="4"/>
  <c r="U770" i="4"/>
  <c r="V770" i="4"/>
  <c r="W770" i="4"/>
  <c r="X770" i="4"/>
  <c r="Y770" i="4"/>
  <c r="B771" i="4"/>
  <c r="C771" i="4"/>
  <c r="D771" i="4"/>
  <c r="E771" i="4"/>
  <c r="F771" i="4"/>
  <c r="G771" i="4"/>
  <c r="H771" i="4"/>
  <c r="I771" i="4"/>
  <c r="J771" i="4"/>
  <c r="K771" i="4"/>
  <c r="L771" i="4"/>
  <c r="M771" i="4"/>
  <c r="N771" i="4"/>
  <c r="O771" i="4"/>
  <c r="P771" i="4"/>
  <c r="Q771" i="4"/>
  <c r="R771" i="4"/>
  <c r="S771" i="4"/>
  <c r="T771" i="4"/>
  <c r="U771" i="4"/>
  <c r="V771" i="4"/>
  <c r="W771" i="4"/>
  <c r="X771" i="4"/>
  <c r="Y771" i="4"/>
  <c r="B772" i="4"/>
  <c r="C772" i="4"/>
  <c r="D772" i="4"/>
  <c r="AC772" i="4" s="1"/>
  <c r="E772" i="4"/>
  <c r="F772" i="4"/>
  <c r="G772" i="4"/>
  <c r="H772" i="4"/>
  <c r="I772" i="4"/>
  <c r="J772" i="4"/>
  <c r="K772" i="4"/>
  <c r="L772" i="4"/>
  <c r="M772" i="4"/>
  <c r="N772" i="4"/>
  <c r="O772" i="4"/>
  <c r="P772" i="4"/>
  <c r="Q772" i="4"/>
  <c r="R772" i="4"/>
  <c r="S772" i="4"/>
  <c r="T772" i="4"/>
  <c r="U772" i="4"/>
  <c r="V772" i="4"/>
  <c r="W772" i="4"/>
  <c r="X772" i="4"/>
  <c r="Y772" i="4"/>
  <c r="B773" i="4"/>
  <c r="C773" i="4"/>
  <c r="D773" i="4"/>
  <c r="E773" i="4"/>
  <c r="F773" i="4"/>
  <c r="G773" i="4"/>
  <c r="H773" i="4"/>
  <c r="I773" i="4"/>
  <c r="J773" i="4"/>
  <c r="K773" i="4"/>
  <c r="L773" i="4"/>
  <c r="M773" i="4"/>
  <c r="N773" i="4"/>
  <c r="O773" i="4"/>
  <c r="P773" i="4"/>
  <c r="Q773" i="4"/>
  <c r="R773" i="4"/>
  <c r="S773" i="4"/>
  <c r="T773" i="4"/>
  <c r="U773" i="4"/>
  <c r="V773" i="4"/>
  <c r="W773" i="4"/>
  <c r="X773" i="4"/>
  <c r="Y773" i="4"/>
  <c r="B774" i="4"/>
  <c r="C774" i="4"/>
  <c r="D774" i="4"/>
  <c r="E774" i="4"/>
  <c r="F774" i="4"/>
  <c r="G774" i="4"/>
  <c r="H774" i="4"/>
  <c r="I774" i="4"/>
  <c r="J774" i="4"/>
  <c r="K774" i="4"/>
  <c r="L774" i="4"/>
  <c r="M774" i="4"/>
  <c r="N774" i="4"/>
  <c r="O774" i="4"/>
  <c r="P774" i="4"/>
  <c r="Q774" i="4"/>
  <c r="R774" i="4"/>
  <c r="S774" i="4"/>
  <c r="T774" i="4"/>
  <c r="U774" i="4"/>
  <c r="V774" i="4"/>
  <c r="W774" i="4"/>
  <c r="X774" i="4"/>
  <c r="Y774" i="4"/>
  <c r="B775" i="4"/>
  <c r="C775" i="4"/>
  <c r="D775" i="4"/>
  <c r="E775" i="4"/>
  <c r="F775" i="4"/>
  <c r="G775" i="4"/>
  <c r="H775" i="4"/>
  <c r="I775" i="4"/>
  <c r="J775" i="4"/>
  <c r="K775" i="4"/>
  <c r="L775" i="4"/>
  <c r="M775" i="4"/>
  <c r="N775" i="4"/>
  <c r="O775" i="4"/>
  <c r="P775" i="4"/>
  <c r="Q775" i="4"/>
  <c r="R775" i="4"/>
  <c r="S775" i="4"/>
  <c r="T775" i="4"/>
  <c r="U775" i="4"/>
  <c r="V775" i="4"/>
  <c r="W775" i="4"/>
  <c r="X775" i="4"/>
  <c r="Y775" i="4"/>
  <c r="B776" i="4"/>
  <c r="C776" i="4"/>
  <c r="D776" i="4"/>
  <c r="E776" i="4"/>
  <c r="F776" i="4"/>
  <c r="G776" i="4"/>
  <c r="H776" i="4"/>
  <c r="I776" i="4"/>
  <c r="J776" i="4"/>
  <c r="K776" i="4"/>
  <c r="L776" i="4"/>
  <c r="M776" i="4"/>
  <c r="N776" i="4"/>
  <c r="O776" i="4"/>
  <c r="P776" i="4"/>
  <c r="Q776" i="4"/>
  <c r="R776" i="4"/>
  <c r="S776" i="4"/>
  <c r="T776" i="4"/>
  <c r="U776" i="4"/>
  <c r="V776" i="4"/>
  <c r="W776" i="4"/>
  <c r="X776" i="4"/>
  <c r="Y776" i="4"/>
  <c r="B777" i="4"/>
  <c r="C777" i="4"/>
  <c r="D777" i="4"/>
  <c r="E777" i="4"/>
  <c r="F777" i="4"/>
  <c r="G777" i="4"/>
  <c r="H777" i="4"/>
  <c r="I777" i="4"/>
  <c r="J777" i="4"/>
  <c r="K777" i="4"/>
  <c r="L777" i="4"/>
  <c r="M777" i="4"/>
  <c r="N777" i="4"/>
  <c r="O777" i="4"/>
  <c r="P777" i="4"/>
  <c r="Q777" i="4"/>
  <c r="R777" i="4"/>
  <c r="S777" i="4"/>
  <c r="T777" i="4"/>
  <c r="U777" i="4"/>
  <c r="V777" i="4"/>
  <c r="W777" i="4"/>
  <c r="X777" i="4"/>
  <c r="Y777" i="4"/>
  <c r="B778" i="4"/>
  <c r="C778" i="4"/>
  <c r="D778" i="4"/>
  <c r="E778" i="4"/>
  <c r="F778" i="4"/>
  <c r="G778" i="4"/>
  <c r="H778" i="4"/>
  <c r="I778" i="4"/>
  <c r="J778" i="4"/>
  <c r="K778" i="4"/>
  <c r="L778" i="4"/>
  <c r="M778" i="4"/>
  <c r="N778" i="4"/>
  <c r="O778" i="4"/>
  <c r="AD778" i="4" s="1"/>
  <c r="P778" i="4"/>
  <c r="Q778" i="4"/>
  <c r="R778" i="4"/>
  <c r="S778" i="4"/>
  <c r="T778" i="4"/>
  <c r="U778" i="4"/>
  <c r="V778" i="4"/>
  <c r="W778" i="4"/>
  <c r="X778" i="4"/>
  <c r="Y778" i="4"/>
  <c r="B779" i="4"/>
  <c r="C779" i="4"/>
  <c r="D779" i="4"/>
  <c r="E779" i="4"/>
  <c r="F779" i="4"/>
  <c r="G779" i="4"/>
  <c r="H779" i="4"/>
  <c r="I779" i="4"/>
  <c r="J779" i="4"/>
  <c r="K779" i="4"/>
  <c r="L779" i="4"/>
  <c r="M779" i="4"/>
  <c r="N779" i="4"/>
  <c r="O779" i="4"/>
  <c r="P779" i="4"/>
  <c r="Q779" i="4"/>
  <c r="R779" i="4"/>
  <c r="S779" i="4"/>
  <c r="T779" i="4"/>
  <c r="U779" i="4"/>
  <c r="V779" i="4"/>
  <c r="W779" i="4"/>
  <c r="X779" i="4"/>
  <c r="Y779" i="4"/>
  <c r="AC779" i="4"/>
  <c r="B780" i="4"/>
  <c r="C780" i="4"/>
  <c r="D780" i="4"/>
  <c r="E780" i="4"/>
  <c r="F780" i="4"/>
  <c r="G780" i="4"/>
  <c r="H780" i="4"/>
  <c r="I780" i="4"/>
  <c r="J780" i="4"/>
  <c r="K780" i="4"/>
  <c r="L780" i="4"/>
  <c r="M780" i="4"/>
  <c r="N780" i="4"/>
  <c r="O780" i="4"/>
  <c r="P780" i="4"/>
  <c r="Q780" i="4"/>
  <c r="R780" i="4"/>
  <c r="S780" i="4"/>
  <c r="T780" i="4"/>
  <c r="U780" i="4"/>
  <c r="V780" i="4"/>
  <c r="W780" i="4"/>
  <c r="X780" i="4"/>
  <c r="Y780" i="4"/>
  <c r="B781" i="4"/>
  <c r="C781" i="4"/>
  <c r="D781" i="4"/>
  <c r="E781" i="4"/>
  <c r="F781" i="4"/>
  <c r="G781" i="4"/>
  <c r="H781" i="4"/>
  <c r="I781" i="4"/>
  <c r="J781" i="4"/>
  <c r="K781" i="4"/>
  <c r="L781" i="4"/>
  <c r="M781" i="4"/>
  <c r="N781" i="4"/>
  <c r="O781" i="4"/>
  <c r="P781" i="4"/>
  <c r="Q781" i="4"/>
  <c r="R781" i="4"/>
  <c r="S781" i="4"/>
  <c r="T781" i="4"/>
  <c r="U781" i="4"/>
  <c r="V781" i="4"/>
  <c r="W781" i="4"/>
  <c r="X781" i="4"/>
  <c r="Y781" i="4"/>
  <c r="AC781" i="4"/>
  <c r="B782" i="4"/>
  <c r="C782" i="4"/>
  <c r="D782" i="4"/>
  <c r="E782" i="4"/>
  <c r="F782" i="4"/>
  <c r="G782" i="4"/>
  <c r="H782" i="4"/>
  <c r="I782" i="4"/>
  <c r="J782" i="4"/>
  <c r="K782" i="4"/>
  <c r="L782" i="4"/>
  <c r="M782" i="4"/>
  <c r="N782" i="4"/>
  <c r="O782" i="4"/>
  <c r="P782" i="4"/>
  <c r="Q782" i="4"/>
  <c r="R782" i="4"/>
  <c r="S782" i="4"/>
  <c r="T782" i="4"/>
  <c r="U782" i="4"/>
  <c r="V782" i="4"/>
  <c r="W782" i="4"/>
  <c r="X782" i="4"/>
  <c r="Y782" i="4"/>
  <c r="B783" i="4"/>
  <c r="C783" i="4"/>
  <c r="D783" i="4"/>
  <c r="E783" i="4"/>
  <c r="F783" i="4"/>
  <c r="G783" i="4"/>
  <c r="H783" i="4"/>
  <c r="I783" i="4"/>
  <c r="J783" i="4"/>
  <c r="K783" i="4"/>
  <c r="L783" i="4"/>
  <c r="M783" i="4"/>
  <c r="N783" i="4"/>
  <c r="O783" i="4"/>
  <c r="P783" i="4"/>
  <c r="Q783" i="4"/>
  <c r="R783" i="4"/>
  <c r="S783" i="4"/>
  <c r="T783" i="4"/>
  <c r="U783" i="4"/>
  <c r="V783" i="4"/>
  <c r="W783" i="4"/>
  <c r="X783" i="4"/>
  <c r="Y783" i="4"/>
  <c r="B784" i="4"/>
  <c r="C784" i="4"/>
  <c r="D784" i="4"/>
  <c r="E784" i="4"/>
  <c r="F784" i="4"/>
  <c r="G784" i="4"/>
  <c r="H784" i="4"/>
  <c r="I784" i="4"/>
  <c r="J784" i="4"/>
  <c r="K784" i="4"/>
  <c r="L784" i="4"/>
  <c r="M784" i="4"/>
  <c r="N784" i="4"/>
  <c r="O784" i="4"/>
  <c r="P784" i="4"/>
  <c r="Q784" i="4"/>
  <c r="R784" i="4"/>
  <c r="S784" i="4"/>
  <c r="T784" i="4"/>
  <c r="U784" i="4"/>
  <c r="V784" i="4"/>
  <c r="W784" i="4"/>
  <c r="X784" i="4"/>
  <c r="Y784" i="4"/>
  <c r="B785" i="4"/>
  <c r="C785" i="4"/>
  <c r="D785" i="4"/>
  <c r="AC785" i="4" s="1"/>
  <c r="E785" i="4"/>
  <c r="F785" i="4"/>
  <c r="G785" i="4"/>
  <c r="H785" i="4"/>
  <c r="I785" i="4"/>
  <c r="J785" i="4"/>
  <c r="K785" i="4"/>
  <c r="L785" i="4"/>
  <c r="M785" i="4"/>
  <c r="N785" i="4"/>
  <c r="O785" i="4"/>
  <c r="P785" i="4"/>
  <c r="Q785" i="4"/>
  <c r="R785" i="4"/>
  <c r="S785" i="4"/>
  <c r="T785" i="4"/>
  <c r="U785" i="4"/>
  <c r="V785" i="4"/>
  <c r="W785" i="4"/>
  <c r="X785" i="4"/>
  <c r="Y785" i="4"/>
  <c r="B786" i="4"/>
  <c r="C786" i="4"/>
  <c r="D786" i="4"/>
  <c r="E786" i="4"/>
  <c r="F786" i="4"/>
  <c r="G786" i="4"/>
  <c r="H786" i="4"/>
  <c r="I786" i="4"/>
  <c r="J786" i="4"/>
  <c r="K786" i="4"/>
  <c r="L786" i="4"/>
  <c r="M786" i="4"/>
  <c r="N786" i="4"/>
  <c r="O786" i="4"/>
  <c r="P786" i="4"/>
  <c r="Q786" i="4"/>
  <c r="R786" i="4"/>
  <c r="S786" i="4"/>
  <c r="T786" i="4"/>
  <c r="U786" i="4"/>
  <c r="V786" i="4"/>
  <c r="W786" i="4"/>
  <c r="X786" i="4"/>
  <c r="Y786" i="4"/>
  <c r="B787" i="4"/>
  <c r="C787" i="4"/>
  <c r="D787" i="4"/>
  <c r="E787" i="4"/>
  <c r="F787" i="4"/>
  <c r="G787" i="4"/>
  <c r="H787" i="4"/>
  <c r="I787" i="4"/>
  <c r="J787" i="4"/>
  <c r="K787" i="4"/>
  <c r="L787" i="4"/>
  <c r="M787" i="4"/>
  <c r="N787" i="4"/>
  <c r="O787" i="4"/>
  <c r="P787" i="4"/>
  <c r="Q787" i="4"/>
  <c r="R787" i="4"/>
  <c r="S787" i="4"/>
  <c r="T787" i="4"/>
  <c r="U787" i="4"/>
  <c r="V787" i="4"/>
  <c r="W787" i="4"/>
  <c r="X787" i="4"/>
  <c r="Y787" i="4"/>
  <c r="B788" i="4"/>
  <c r="C788" i="4"/>
  <c r="D788" i="4"/>
  <c r="E788" i="4"/>
  <c r="F788" i="4"/>
  <c r="G788" i="4"/>
  <c r="H788" i="4"/>
  <c r="I788" i="4"/>
  <c r="J788" i="4"/>
  <c r="K788" i="4"/>
  <c r="L788" i="4"/>
  <c r="M788" i="4"/>
  <c r="N788" i="4"/>
  <c r="O788" i="4"/>
  <c r="P788" i="4"/>
  <c r="Q788" i="4"/>
  <c r="R788" i="4"/>
  <c r="S788" i="4"/>
  <c r="T788" i="4"/>
  <c r="U788" i="4"/>
  <c r="V788" i="4"/>
  <c r="W788" i="4"/>
  <c r="X788" i="4"/>
  <c r="Y788" i="4"/>
  <c r="B789" i="4"/>
  <c r="C789" i="4"/>
  <c r="D789" i="4"/>
  <c r="E789" i="4"/>
  <c r="F789" i="4"/>
  <c r="G789" i="4"/>
  <c r="H789" i="4"/>
  <c r="I789" i="4"/>
  <c r="J789" i="4"/>
  <c r="K789" i="4"/>
  <c r="L789" i="4"/>
  <c r="M789" i="4"/>
  <c r="N789" i="4"/>
  <c r="O789" i="4"/>
  <c r="P789" i="4"/>
  <c r="Q789" i="4"/>
  <c r="R789" i="4"/>
  <c r="S789" i="4"/>
  <c r="T789" i="4"/>
  <c r="U789" i="4"/>
  <c r="V789" i="4"/>
  <c r="W789" i="4"/>
  <c r="X789" i="4"/>
  <c r="Y789" i="4"/>
  <c r="B790" i="4"/>
  <c r="C790" i="4"/>
  <c r="D790" i="4"/>
  <c r="E790" i="4"/>
  <c r="F790" i="4"/>
  <c r="G790" i="4"/>
  <c r="H790" i="4"/>
  <c r="I790" i="4"/>
  <c r="J790" i="4"/>
  <c r="K790" i="4"/>
  <c r="L790" i="4"/>
  <c r="M790" i="4"/>
  <c r="N790" i="4"/>
  <c r="O790" i="4"/>
  <c r="P790" i="4"/>
  <c r="AD790" i="4" s="1"/>
  <c r="Q790" i="4"/>
  <c r="R790" i="4"/>
  <c r="S790" i="4"/>
  <c r="T790" i="4"/>
  <c r="U790" i="4"/>
  <c r="V790" i="4"/>
  <c r="W790" i="4"/>
  <c r="X790" i="4"/>
  <c r="Y790" i="4"/>
  <c r="B791" i="4"/>
  <c r="C791" i="4"/>
  <c r="D791" i="4"/>
  <c r="E791" i="4"/>
  <c r="F791" i="4"/>
  <c r="G791" i="4"/>
  <c r="H791" i="4"/>
  <c r="I791" i="4"/>
  <c r="J791" i="4"/>
  <c r="K791" i="4"/>
  <c r="L791" i="4"/>
  <c r="M791" i="4"/>
  <c r="N791" i="4"/>
  <c r="O791" i="4"/>
  <c r="P791" i="4"/>
  <c r="Q791" i="4"/>
  <c r="R791" i="4"/>
  <c r="S791" i="4"/>
  <c r="T791" i="4"/>
  <c r="U791" i="4"/>
  <c r="V791" i="4"/>
  <c r="W791" i="4"/>
  <c r="X791" i="4"/>
  <c r="Y791" i="4"/>
  <c r="AC791" i="4"/>
  <c r="B792" i="4"/>
  <c r="C792" i="4"/>
  <c r="D792" i="4"/>
  <c r="E792" i="4"/>
  <c r="F792" i="4"/>
  <c r="G792" i="4"/>
  <c r="H792" i="4"/>
  <c r="I792" i="4"/>
  <c r="J792" i="4"/>
  <c r="K792" i="4"/>
  <c r="L792" i="4"/>
  <c r="M792" i="4"/>
  <c r="N792" i="4"/>
  <c r="O792" i="4"/>
  <c r="P792" i="4"/>
  <c r="Q792" i="4"/>
  <c r="R792" i="4"/>
  <c r="S792" i="4"/>
  <c r="T792" i="4"/>
  <c r="U792" i="4"/>
  <c r="V792" i="4"/>
  <c r="W792" i="4"/>
  <c r="X792" i="4"/>
  <c r="Y792" i="4"/>
  <c r="AC792" i="4"/>
  <c r="B793" i="4"/>
  <c r="C793" i="4"/>
  <c r="D793" i="4"/>
  <c r="E793" i="4"/>
  <c r="F793" i="4"/>
  <c r="G793" i="4"/>
  <c r="H793" i="4"/>
  <c r="I793" i="4"/>
  <c r="J793" i="4"/>
  <c r="K793" i="4"/>
  <c r="L793" i="4"/>
  <c r="M793" i="4"/>
  <c r="N793" i="4"/>
  <c r="O793" i="4"/>
  <c r="P793" i="4"/>
  <c r="Q793" i="4"/>
  <c r="R793" i="4"/>
  <c r="S793" i="4"/>
  <c r="T793" i="4"/>
  <c r="U793" i="4"/>
  <c r="V793" i="4"/>
  <c r="W793" i="4"/>
  <c r="X793" i="4"/>
  <c r="Y793" i="4"/>
  <c r="B794" i="4"/>
  <c r="C794" i="4"/>
  <c r="D794" i="4"/>
  <c r="E794" i="4"/>
  <c r="F794" i="4"/>
  <c r="G794" i="4"/>
  <c r="H794" i="4"/>
  <c r="I794" i="4"/>
  <c r="J794" i="4"/>
  <c r="K794" i="4"/>
  <c r="L794" i="4"/>
  <c r="M794" i="4"/>
  <c r="N794" i="4"/>
  <c r="O794" i="4"/>
  <c r="P794" i="4"/>
  <c r="Q794" i="4"/>
  <c r="R794" i="4"/>
  <c r="S794" i="4"/>
  <c r="T794" i="4"/>
  <c r="U794" i="4"/>
  <c r="V794" i="4"/>
  <c r="W794" i="4"/>
  <c r="X794" i="4"/>
  <c r="Y794" i="4"/>
  <c r="B795" i="4"/>
  <c r="C795" i="4"/>
  <c r="D795" i="4"/>
  <c r="E795" i="4"/>
  <c r="F795" i="4"/>
  <c r="G795" i="4"/>
  <c r="H795" i="4"/>
  <c r="I795" i="4"/>
  <c r="J795" i="4"/>
  <c r="K795" i="4"/>
  <c r="L795" i="4"/>
  <c r="M795" i="4"/>
  <c r="N795" i="4"/>
  <c r="O795" i="4"/>
  <c r="P795" i="4"/>
  <c r="Q795" i="4"/>
  <c r="R795" i="4"/>
  <c r="S795" i="4"/>
  <c r="T795" i="4"/>
  <c r="U795" i="4"/>
  <c r="V795" i="4"/>
  <c r="W795" i="4"/>
  <c r="X795" i="4"/>
  <c r="Y795" i="4"/>
  <c r="B796" i="4"/>
  <c r="C796" i="4"/>
  <c r="D796" i="4"/>
  <c r="E796" i="4"/>
  <c r="F796" i="4"/>
  <c r="G796" i="4"/>
  <c r="H796" i="4"/>
  <c r="I796" i="4"/>
  <c r="J796" i="4"/>
  <c r="K796" i="4"/>
  <c r="L796" i="4"/>
  <c r="M796" i="4"/>
  <c r="N796" i="4"/>
  <c r="O796" i="4"/>
  <c r="P796" i="4"/>
  <c r="Q796" i="4"/>
  <c r="R796" i="4"/>
  <c r="S796" i="4"/>
  <c r="T796" i="4"/>
  <c r="U796" i="4"/>
  <c r="V796" i="4"/>
  <c r="W796" i="4"/>
  <c r="X796" i="4"/>
  <c r="Y796" i="4"/>
  <c r="B797" i="4"/>
  <c r="C797" i="4"/>
  <c r="D797" i="4"/>
  <c r="E797" i="4"/>
  <c r="F797" i="4"/>
  <c r="G797" i="4"/>
  <c r="H797" i="4"/>
  <c r="I797" i="4"/>
  <c r="J797" i="4"/>
  <c r="K797" i="4"/>
  <c r="L797" i="4"/>
  <c r="M797" i="4"/>
  <c r="N797" i="4"/>
  <c r="O797" i="4"/>
  <c r="P797" i="4"/>
  <c r="Q797" i="4"/>
  <c r="R797" i="4"/>
  <c r="S797" i="4"/>
  <c r="T797" i="4"/>
  <c r="U797" i="4"/>
  <c r="V797" i="4"/>
  <c r="W797" i="4"/>
  <c r="X797" i="4"/>
  <c r="Y797" i="4"/>
  <c r="B798" i="4"/>
  <c r="C798" i="4"/>
  <c r="D798" i="4"/>
  <c r="AC798" i="4" s="1"/>
  <c r="E798" i="4"/>
  <c r="F798" i="4"/>
  <c r="G798" i="4"/>
  <c r="H798" i="4"/>
  <c r="I798" i="4"/>
  <c r="J798" i="4"/>
  <c r="K798" i="4"/>
  <c r="L798" i="4"/>
  <c r="M798" i="4"/>
  <c r="N798" i="4"/>
  <c r="O798" i="4"/>
  <c r="P798" i="4"/>
  <c r="AD798" i="4" s="1"/>
  <c r="Q798" i="4"/>
  <c r="R798" i="4"/>
  <c r="S798" i="4"/>
  <c r="T798" i="4"/>
  <c r="U798" i="4"/>
  <c r="V798" i="4"/>
  <c r="W798" i="4"/>
  <c r="X798" i="4"/>
  <c r="Y798" i="4"/>
  <c r="B799" i="4"/>
  <c r="C799" i="4"/>
  <c r="D799" i="4"/>
  <c r="E799" i="4"/>
  <c r="F799" i="4"/>
  <c r="G799" i="4"/>
  <c r="H799" i="4"/>
  <c r="I799" i="4"/>
  <c r="J799" i="4"/>
  <c r="K799" i="4"/>
  <c r="L799" i="4"/>
  <c r="M799" i="4"/>
  <c r="N799" i="4"/>
  <c r="O799" i="4"/>
  <c r="P799" i="4"/>
  <c r="Q799" i="4"/>
  <c r="R799" i="4"/>
  <c r="S799" i="4"/>
  <c r="T799" i="4"/>
  <c r="U799" i="4"/>
  <c r="V799" i="4"/>
  <c r="W799" i="4"/>
  <c r="X799" i="4"/>
  <c r="Y799" i="4"/>
  <c r="B800" i="4"/>
  <c r="C800" i="4"/>
  <c r="D800" i="4"/>
  <c r="E800" i="4"/>
  <c r="F800" i="4"/>
  <c r="G800" i="4"/>
  <c r="H800" i="4"/>
  <c r="I800" i="4"/>
  <c r="J800" i="4"/>
  <c r="K800" i="4"/>
  <c r="L800" i="4"/>
  <c r="M800" i="4"/>
  <c r="N800" i="4"/>
  <c r="O800" i="4"/>
  <c r="P800" i="4"/>
  <c r="Q800" i="4"/>
  <c r="R800" i="4"/>
  <c r="S800" i="4"/>
  <c r="T800" i="4"/>
  <c r="U800" i="4"/>
  <c r="V800" i="4"/>
  <c r="W800" i="4"/>
  <c r="X800" i="4"/>
  <c r="Y800" i="4"/>
  <c r="B801" i="4"/>
  <c r="C801" i="4"/>
  <c r="D801" i="4"/>
  <c r="E801" i="4"/>
  <c r="F801" i="4"/>
  <c r="G801" i="4"/>
  <c r="H801" i="4"/>
  <c r="I801" i="4"/>
  <c r="J801" i="4"/>
  <c r="K801" i="4"/>
  <c r="L801" i="4"/>
  <c r="M801" i="4"/>
  <c r="N801" i="4"/>
  <c r="O801" i="4"/>
  <c r="P801" i="4"/>
  <c r="Q801" i="4"/>
  <c r="R801" i="4"/>
  <c r="S801" i="4"/>
  <c r="T801" i="4"/>
  <c r="U801" i="4"/>
  <c r="V801" i="4"/>
  <c r="W801" i="4"/>
  <c r="X801" i="4"/>
  <c r="Y801" i="4"/>
  <c r="B802" i="4"/>
  <c r="C802" i="4"/>
  <c r="D802" i="4"/>
  <c r="E802" i="4"/>
  <c r="F802" i="4"/>
  <c r="G802" i="4"/>
  <c r="H802" i="4"/>
  <c r="I802" i="4"/>
  <c r="J802" i="4"/>
  <c r="K802" i="4"/>
  <c r="L802" i="4"/>
  <c r="M802" i="4"/>
  <c r="N802" i="4"/>
  <c r="O802" i="4"/>
  <c r="P802" i="4"/>
  <c r="Q802" i="4"/>
  <c r="R802" i="4"/>
  <c r="S802" i="4"/>
  <c r="T802" i="4"/>
  <c r="U802" i="4"/>
  <c r="V802" i="4"/>
  <c r="W802" i="4"/>
  <c r="X802" i="4"/>
  <c r="Y802" i="4"/>
  <c r="B803" i="4"/>
  <c r="C803" i="4"/>
  <c r="D803" i="4"/>
  <c r="E803" i="4"/>
  <c r="F803" i="4"/>
  <c r="G803" i="4"/>
  <c r="H803" i="4"/>
  <c r="I803" i="4"/>
  <c r="J803" i="4"/>
  <c r="K803" i="4"/>
  <c r="L803" i="4"/>
  <c r="M803" i="4"/>
  <c r="N803" i="4"/>
  <c r="O803" i="4"/>
  <c r="P803" i="4"/>
  <c r="Q803" i="4"/>
  <c r="R803" i="4"/>
  <c r="S803" i="4"/>
  <c r="T803" i="4"/>
  <c r="U803" i="4"/>
  <c r="V803" i="4"/>
  <c r="W803" i="4"/>
  <c r="X803" i="4"/>
  <c r="Y803" i="4"/>
  <c r="B804" i="4"/>
  <c r="C804" i="4"/>
  <c r="D804" i="4"/>
  <c r="E804" i="4"/>
  <c r="F804" i="4"/>
  <c r="G804" i="4"/>
  <c r="H804" i="4"/>
  <c r="I804" i="4"/>
  <c r="J804" i="4"/>
  <c r="K804" i="4"/>
  <c r="L804" i="4"/>
  <c r="M804" i="4"/>
  <c r="N804" i="4"/>
  <c r="O804" i="4"/>
  <c r="P804" i="4"/>
  <c r="Q804" i="4"/>
  <c r="R804" i="4"/>
  <c r="S804" i="4"/>
  <c r="T804" i="4"/>
  <c r="U804" i="4"/>
  <c r="V804" i="4"/>
  <c r="W804" i="4"/>
  <c r="X804" i="4"/>
  <c r="Y804" i="4"/>
  <c r="AC804" i="4"/>
  <c r="B805" i="4"/>
  <c r="C805" i="4"/>
  <c r="D805" i="4"/>
  <c r="E805" i="4"/>
  <c r="F805" i="4"/>
  <c r="G805" i="4"/>
  <c r="H805" i="4"/>
  <c r="I805" i="4"/>
  <c r="J805" i="4"/>
  <c r="K805" i="4"/>
  <c r="L805" i="4"/>
  <c r="M805" i="4"/>
  <c r="N805" i="4"/>
  <c r="O805" i="4"/>
  <c r="P805" i="4"/>
  <c r="Q805" i="4"/>
  <c r="R805" i="4"/>
  <c r="S805" i="4"/>
  <c r="T805" i="4"/>
  <c r="U805" i="4"/>
  <c r="V805" i="4"/>
  <c r="W805" i="4"/>
  <c r="X805" i="4"/>
  <c r="Y805" i="4"/>
  <c r="AC805" i="4"/>
  <c r="B806" i="4"/>
  <c r="C806" i="4"/>
  <c r="D806" i="4"/>
  <c r="E806" i="4"/>
  <c r="F806" i="4"/>
  <c r="G806" i="4"/>
  <c r="H806" i="4"/>
  <c r="I806" i="4"/>
  <c r="J806" i="4"/>
  <c r="K806" i="4"/>
  <c r="L806" i="4"/>
  <c r="M806" i="4"/>
  <c r="N806" i="4"/>
  <c r="O806" i="4"/>
  <c r="P806" i="4"/>
  <c r="AD806" i="4" s="1"/>
  <c r="Q806" i="4"/>
  <c r="R806" i="4"/>
  <c r="S806" i="4"/>
  <c r="T806" i="4"/>
  <c r="U806" i="4"/>
  <c r="V806" i="4"/>
  <c r="W806" i="4"/>
  <c r="X806" i="4"/>
  <c r="Y806" i="4"/>
  <c r="B807" i="4"/>
  <c r="C807" i="4"/>
  <c r="D807" i="4"/>
  <c r="E807" i="4"/>
  <c r="F807" i="4"/>
  <c r="G807" i="4"/>
  <c r="H807" i="4"/>
  <c r="I807" i="4"/>
  <c r="J807" i="4"/>
  <c r="K807" i="4"/>
  <c r="L807" i="4"/>
  <c r="M807" i="4"/>
  <c r="N807" i="4"/>
  <c r="O807" i="4"/>
  <c r="P807" i="4"/>
  <c r="Q807" i="4"/>
  <c r="R807" i="4"/>
  <c r="S807" i="4"/>
  <c r="T807" i="4"/>
  <c r="U807" i="4"/>
  <c r="V807" i="4"/>
  <c r="W807" i="4"/>
  <c r="X807" i="4"/>
  <c r="Y807" i="4"/>
  <c r="B808" i="4"/>
  <c r="C808" i="4"/>
  <c r="D808" i="4"/>
  <c r="E808" i="4"/>
  <c r="F808" i="4"/>
  <c r="G808" i="4"/>
  <c r="H808" i="4"/>
  <c r="I808" i="4"/>
  <c r="J808" i="4"/>
  <c r="K808" i="4"/>
  <c r="L808" i="4"/>
  <c r="M808" i="4"/>
  <c r="N808" i="4"/>
  <c r="O808" i="4"/>
  <c r="P808" i="4"/>
  <c r="Q808" i="4"/>
  <c r="R808" i="4"/>
  <c r="S808" i="4"/>
  <c r="T808" i="4"/>
  <c r="U808" i="4"/>
  <c r="V808" i="4"/>
  <c r="W808" i="4"/>
  <c r="X808" i="4"/>
  <c r="Y808" i="4"/>
  <c r="B809" i="4"/>
  <c r="C809" i="4"/>
  <c r="D809" i="4"/>
  <c r="E809" i="4"/>
  <c r="F809" i="4"/>
  <c r="G809" i="4"/>
  <c r="H809" i="4"/>
  <c r="I809" i="4"/>
  <c r="J809" i="4"/>
  <c r="K809" i="4"/>
  <c r="L809" i="4"/>
  <c r="M809" i="4"/>
  <c r="N809" i="4"/>
  <c r="O809" i="4"/>
  <c r="P809" i="4"/>
  <c r="Q809" i="4"/>
  <c r="R809" i="4"/>
  <c r="S809" i="4"/>
  <c r="T809" i="4"/>
  <c r="U809" i="4"/>
  <c r="V809" i="4"/>
  <c r="W809" i="4"/>
  <c r="X809" i="4"/>
  <c r="Y809" i="4"/>
  <c r="B810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O810" i="4"/>
  <c r="P810" i="4"/>
  <c r="Q810" i="4"/>
  <c r="R810" i="4"/>
  <c r="S810" i="4"/>
  <c r="T810" i="4"/>
  <c r="U810" i="4"/>
  <c r="V810" i="4"/>
  <c r="W810" i="4"/>
  <c r="X810" i="4"/>
  <c r="Y810" i="4"/>
  <c r="B811" i="4"/>
  <c r="C811" i="4"/>
  <c r="D811" i="4"/>
  <c r="E811" i="4"/>
  <c r="F811" i="4"/>
  <c r="G811" i="4"/>
  <c r="H811" i="4"/>
  <c r="I811" i="4"/>
  <c r="J811" i="4"/>
  <c r="K811" i="4"/>
  <c r="L811" i="4"/>
  <c r="M811" i="4"/>
  <c r="N811" i="4"/>
  <c r="O811" i="4"/>
  <c r="P811" i="4"/>
  <c r="Q811" i="4"/>
  <c r="R811" i="4"/>
  <c r="S811" i="4"/>
  <c r="T811" i="4"/>
  <c r="U811" i="4"/>
  <c r="V811" i="4"/>
  <c r="W811" i="4"/>
  <c r="X811" i="4"/>
  <c r="Y811" i="4"/>
  <c r="B812" i="4"/>
  <c r="C812" i="4"/>
  <c r="D812" i="4"/>
  <c r="E812" i="4"/>
  <c r="F812" i="4"/>
  <c r="G812" i="4"/>
  <c r="H812" i="4"/>
  <c r="I812" i="4"/>
  <c r="J812" i="4"/>
  <c r="K812" i="4"/>
  <c r="L812" i="4"/>
  <c r="M812" i="4"/>
  <c r="N812" i="4"/>
  <c r="O812" i="4"/>
  <c r="P812" i="4"/>
  <c r="Q812" i="4"/>
  <c r="R812" i="4"/>
  <c r="S812" i="4"/>
  <c r="T812" i="4"/>
  <c r="U812" i="4"/>
  <c r="V812" i="4"/>
  <c r="W812" i="4"/>
  <c r="X812" i="4"/>
  <c r="Y812" i="4"/>
  <c r="B813" i="4"/>
  <c r="C813" i="4"/>
  <c r="D813" i="4"/>
  <c r="E813" i="4"/>
  <c r="F813" i="4"/>
  <c r="G813" i="4"/>
  <c r="H813" i="4"/>
  <c r="I813" i="4"/>
  <c r="J813" i="4"/>
  <c r="K813" i="4"/>
  <c r="L813" i="4"/>
  <c r="M813" i="4"/>
  <c r="N813" i="4"/>
  <c r="O813" i="4"/>
  <c r="P813" i="4"/>
  <c r="Q813" i="4"/>
  <c r="R813" i="4"/>
  <c r="S813" i="4"/>
  <c r="T813" i="4"/>
  <c r="U813" i="4"/>
  <c r="V813" i="4"/>
  <c r="W813" i="4"/>
  <c r="X813" i="4"/>
  <c r="Y813" i="4"/>
  <c r="B814" i="4"/>
  <c r="C814" i="4"/>
  <c r="D814" i="4"/>
  <c r="E814" i="4"/>
  <c r="F814" i="4"/>
  <c r="G814" i="4"/>
  <c r="H814" i="4"/>
  <c r="I814" i="4"/>
  <c r="J814" i="4"/>
  <c r="K814" i="4"/>
  <c r="L814" i="4"/>
  <c r="M814" i="4"/>
  <c r="N814" i="4"/>
  <c r="O814" i="4"/>
  <c r="P814" i="4"/>
  <c r="Q814" i="4"/>
  <c r="R814" i="4"/>
  <c r="S814" i="4"/>
  <c r="T814" i="4"/>
  <c r="U814" i="4"/>
  <c r="V814" i="4"/>
  <c r="W814" i="4"/>
  <c r="X814" i="4"/>
  <c r="Y814" i="4"/>
  <c r="B815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O815" i="4"/>
  <c r="P815" i="4"/>
  <c r="Q815" i="4"/>
  <c r="R815" i="4"/>
  <c r="S815" i="4"/>
  <c r="T815" i="4"/>
  <c r="U815" i="4"/>
  <c r="V815" i="4"/>
  <c r="W815" i="4"/>
  <c r="X815" i="4"/>
  <c r="Y815" i="4"/>
  <c r="B816" i="4"/>
  <c r="C816" i="4"/>
  <c r="D816" i="4"/>
  <c r="E816" i="4"/>
  <c r="F816" i="4"/>
  <c r="G816" i="4"/>
  <c r="H816" i="4"/>
  <c r="I816" i="4"/>
  <c r="J816" i="4"/>
  <c r="K816" i="4"/>
  <c r="L816" i="4"/>
  <c r="M816" i="4"/>
  <c r="N816" i="4"/>
  <c r="O816" i="4"/>
  <c r="P816" i="4"/>
  <c r="Q816" i="4"/>
  <c r="R816" i="4"/>
  <c r="S816" i="4"/>
  <c r="T816" i="4"/>
  <c r="U816" i="4"/>
  <c r="V816" i="4"/>
  <c r="W816" i="4"/>
  <c r="X816" i="4"/>
  <c r="Y816" i="4"/>
  <c r="B817" i="4"/>
  <c r="C817" i="4"/>
  <c r="D817" i="4"/>
  <c r="AC817" i="4" s="1"/>
  <c r="E817" i="4"/>
  <c r="F817" i="4"/>
  <c r="G817" i="4"/>
  <c r="H817" i="4"/>
  <c r="I817" i="4"/>
  <c r="J817" i="4"/>
  <c r="K817" i="4"/>
  <c r="L817" i="4"/>
  <c r="M817" i="4"/>
  <c r="N817" i="4"/>
  <c r="O817" i="4"/>
  <c r="P817" i="4"/>
  <c r="Q817" i="4"/>
  <c r="R817" i="4"/>
  <c r="S817" i="4"/>
  <c r="T817" i="4"/>
  <c r="U817" i="4"/>
  <c r="V817" i="4"/>
  <c r="W817" i="4"/>
  <c r="X817" i="4"/>
  <c r="Y817" i="4"/>
  <c r="B818" i="4"/>
  <c r="C818" i="4"/>
  <c r="AC818" i="4" s="1"/>
  <c r="D818" i="4"/>
  <c r="E818" i="4"/>
  <c r="F818" i="4"/>
  <c r="G818" i="4"/>
  <c r="H818" i="4"/>
  <c r="I818" i="4"/>
  <c r="J818" i="4"/>
  <c r="K818" i="4"/>
  <c r="L818" i="4"/>
  <c r="M818" i="4"/>
  <c r="N818" i="4"/>
  <c r="O818" i="4"/>
  <c r="P818" i="4"/>
  <c r="Q818" i="4"/>
  <c r="R818" i="4"/>
  <c r="S818" i="4"/>
  <c r="T818" i="4"/>
  <c r="U818" i="4"/>
  <c r="V818" i="4"/>
  <c r="W818" i="4"/>
  <c r="X818" i="4"/>
  <c r="Y818" i="4"/>
  <c r="B819" i="4"/>
  <c r="C819" i="4"/>
  <c r="D819" i="4"/>
  <c r="E819" i="4"/>
  <c r="F819" i="4"/>
  <c r="G819" i="4"/>
  <c r="H819" i="4"/>
  <c r="I819" i="4"/>
  <c r="J819" i="4"/>
  <c r="K819" i="4"/>
  <c r="L819" i="4"/>
  <c r="M819" i="4"/>
  <c r="N819" i="4"/>
  <c r="O819" i="4"/>
  <c r="P819" i="4"/>
  <c r="Q819" i="4"/>
  <c r="R819" i="4"/>
  <c r="S819" i="4"/>
  <c r="T819" i="4"/>
  <c r="U819" i="4"/>
  <c r="V819" i="4"/>
  <c r="W819" i="4"/>
  <c r="X819" i="4"/>
  <c r="Y819" i="4"/>
  <c r="AC819" i="4"/>
  <c r="B820" i="4"/>
  <c r="C820" i="4"/>
  <c r="D820" i="4"/>
  <c r="E820" i="4"/>
  <c r="F820" i="4"/>
  <c r="G820" i="4"/>
  <c r="H820" i="4"/>
  <c r="I820" i="4"/>
  <c r="J820" i="4"/>
  <c r="K820" i="4"/>
  <c r="L820" i="4"/>
  <c r="M820" i="4"/>
  <c r="N820" i="4"/>
  <c r="O820" i="4"/>
  <c r="P820" i="4"/>
  <c r="Q820" i="4"/>
  <c r="R820" i="4"/>
  <c r="S820" i="4"/>
  <c r="T820" i="4"/>
  <c r="U820" i="4"/>
  <c r="V820" i="4"/>
  <c r="W820" i="4"/>
  <c r="X820" i="4"/>
  <c r="Y820" i="4"/>
  <c r="B821" i="4"/>
  <c r="C821" i="4"/>
  <c r="D821" i="4"/>
  <c r="E821" i="4"/>
  <c r="F821" i="4"/>
  <c r="G821" i="4"/>
  <c r="H821" i="4"/>
  <c r="I821" i="4"/>
  <c r="J821" i="4"/>
  <c r="K821" i="4"/>
  <c r="L821" i="4"/>
  <c r="M821" i="4"/>
  <c r="N821" i="4"/>
  <c r="O821" i="4"/>
  <c r="P821" i="4"/>
  <c r="Q821" i="4"/>
  <c r="R821" i="4"/>
  <c r="S821" i="4"/>
  <c r="T821" i="4"/>
  <c r="U821" i="4"/>
  <c r="V821" i="4"/>
  <c r="W821" i="4"/>
  <c r="X821" i="4"/>
  <c r="Y821" i="4"/>
  <c r="B822" i="4"/>
  <c r="C822" i="4"/>
  <c r="D822" i="4"/>
  <c r="E822" i="4"/>
  <c r="F822" i="4"/>
  <c r="G822" i="4"/>
  <c r="H822" i="4"/>
  <c r="I822" i="4"/>
  <c r="J822" i="4"/>
  <c r="K822" i="4"/>
  <c r="L822" i="4"/>
  <c r="M822" i="4"/>
  <c r="AD822" i="4" s="1"/>
  <c r="N822" i="4"/>
  <c r="O822" i="4"/>
  <c r="P822" i="4"/>
  <c r="Q822" i="4"/>
  <c r="R822" i="4"/>
  <c r="S822" i="4"/>
  <c r="T822" i="4"/>
  <c r="U822" i="4"/>
  <c r="V822" i="4"/>
  <c r="W822" i="4"/>
  <c r="X822" i="4"/>
  <c r="Y822" i="4"/>
  <c r="B823" i="4"/>
  <c r="C823" i="4"/>
  <c r="D823" i="4"/>
  <c r="AC823" i="4" s="1"/>
  <c r="E823" i="4"/>
  <c r="F823" i="4"/>
  <c r="G823" i="4"/>
  <c r="H823" i="4"/>
  <c r="I823" i="4"/>
  <c r="J823" i="4"/>
  <c r="K823" i="4"/>
  <c r="L823" i="4"/>
  <c r="M823" i="4"/>
  <c r="N823" i="4"/>
  <c r="O823" i="4"/>
  <c r="P823" i="4"/>
  <c r="Q823" i="4"/>
  <c r="R823" i="4"/>
  <c r="S823" i="4"/>
  <c r="T823" i="4"/>
  <c r="U823" i="4"/>
  <c r="V823" i="4"/>
  <c r="W823" i="4"/>
  <c r="X823" i="4"/>
  <c r="Y823" i="4"/>
  <c r="B824" i="4"/>
  <c r="C824" i="4"/>
  <c r="D824" i="4"/>
  <c r="E824" i="4"/>
  <c r="F824" i="4"/>
  <c r="G824" i="4"/>
  <c r="H824" i="4"/>
  <c r="I824" i="4"/>
  <c r="J824" i="4"/>
  <c r="K824" i="4"/>
  <c r="L824" i="4"/>
  <c r="M824" i="4"/>
  <c r="N824" i="4"/>
  <c r="O824" i="4"/>
  <c r="P824" i="4"/>
  <c r="Q824" i="4"/>
  <c r="R824" i="4"/>
  <c r="S824" i="4"/>
  <c r="T824" i="4"/>
  <c r="U824" i="4"/>
  <c r="V824" i="4"/>
  <c r="W824" i="4"/>
  <c r="X824" i="4"/>
  <c r="Y824" i="4"/>
  <c r="B825" i="4"/>
  <c r="C825" i="4"/>
  <c r="D825" i="4"/>
  <c r="E825" i="4"/>
  <c r="F825" i="4"/>
  <c r="G825" i="4"/>
  <c r="H825" i="4"/>
  <c r="I825" i="4"/>
  <c r="J825" i="4"/>
  <c r="K825" i="4"/>
  <c r="L825" i="4"/>
  <c r="M825" i="4"/>
  <c r="N825" i="4"/>
  <c r="O825" i="4"/>
  <c r="P825" i="4"/>
  <c r="Q825" i="4"/>
  <c r="R825" i="4"/>
  <c r="S825" i="4"/>
  <c r="T825" i="4"/>
  <c r="U825" i="4"/>
  <c r="V825" i="4"/>
  <c r="W825" i="4"/>
  <c r="X825" i="4"/>
  <c r="Y825" i="4"/>
  <c r="B826" i="4"/>
  <c r="C826" i="4"/>
  <c r="D826" i="4"/>
  <c r="E826" i="4"/>
  <c r="F826" i="4"/>
  <c r="G826" i="4"/>
  <c r="H826" i="4"/>
  <c r="I826" i="4"/>
  <c r="J826" i="4"/>
  <c r="K826" i="4"/>
  <c r="L826" i="4"/>
  <c r="M826" i="4"/>
  <c r="N826" i="4"/>
  <c r="O826" i="4"/>
  <c r="P826" i="4"/>
  <c r="Q826" i="4"/>
  <c r="R826" i="4"/>
  <c r="S826" i="4"/>
  <c r="T826" i="4"/>
  <c r="U826" i="4"/>
  <c r="V826" i="4"/>
  <c r="W826" i="4"/>
  <c r="X826" i="4"/>
  <c r="Y826" i="4"/>
  <c r="B827" i="4"/>
  <c r="C827" i="4"/>
  <c r="D827" i="4"/>
  <c r="E827" i="4"/>
  <c r="F827" i="4"/>
  <c r="G827" i="4"/>
  <c r="H827" i="4"/>
  <c r="I827" i="4"/>
  <c r="J827" i="4"/>
  <c r="K827" i="4"/>
  <c r="L827" i="4"/>
  <c r="M827" i="4"/>
  <c r="N827" i="4"/>
  <c r="O827" i="4"/>
  <c r="P827" i="4"/>
  <c r="Q827" i="4"/>
  <c r="R827" i="4"/>
  <c r="S827" i="4"/>
  <c r="T827" i="4"/>
  <c r="U827" i="4"/>
  <c r="V827" i="4"/>
  <c r="W827" i="4"/>
  <c r="X827" i="4"/>
  <c r="Y827" i="4"/>
  <c r="B828" i="4"/>
  <c r="C828" i="4"/>
  <c r="D828" i="4"/>
  <c r="E828" i="4"/>
  <c r="F828" i="4"/>
  <c r="G828" i="4"/>
  <c r="H828" i="4"/>
  <c r="I828" i="4"/>
  <c r="J828" i="4"/>
  <c r="K828" i="4"/>
  <c r="L828" i="4"/>
  <c r="M828" i="4"/>
  <c r="N828" i="4"/>
  <c r="O828" i="4"/>
  <c r="P828" i="4"/>
  <c r="Q828" i="4"/>
  <c r="R828" i="4"/>
  <c r="S828" i="4"/>
  <c r="T828" i="4"/>
  <c r="U828" i="4"/>
  <c r="V828" i="4"/>
  <c r="W828" i="4"/>
  <c r="X828" i="4"/>
  <c r="Y828" i="4"/>
  <c r="B829" i="4"/>
  <c r="C829" i="4"/>
  <c r="D829" i="4"/>
  <c r="E829" i="4"/>
  <c r="F829" i="4"/>
  <c r="G829" i="4"/>
  <c r="AC829" i="4" s="1"/>
  <c r="H829" i="4"/>
  <c r="I829" i="4"/>
  <c r="J829" i="4"/>
  <c r="K829" i="4"/>
  <c r="L829" i="4"/>
  <c r="M829" i="4"/>
  <c r="N829" i="4"/>
  <c r="O829" i="4"/>
  <c r="P829" i="4"/>
  <c r="Q829" i="4"/>
  <c r="R829" i="4"/>
  <c r="S829" i="4"/>
  <c r="T829" i="4"/>
  <c r="U829" i="4"/>
  <c r="V829" i="4"/>
  <c r="W829" i="4"/>
  <c r="X829" i="4"/>
  <c r="Y829" i="4"/>
  <c r="B830" i="4"/>
  <c r="C830" i="4"/>
  <c r="D830" i="4"/>
  <c r="E830" i="4"/>
  <c r="F830" i="4"/>
  <c r="G830" i="4"/>
  <c r="H830" i="4"/>
  <c r="I830" i="4"/>
  <c r="J830" i="4"/>
  <c r="K830" i="4"/>
  <c r="L830" i="4"/>
  <c r="M830" i="4"/>
  <c r="N830" i="4"/>
  <c r="O830" i="4"/>
  <c r="P830" i="4"/>
  <c r="Q830" i="4"/>
  <c r="R830" i="4"/>
  <c r="S830" i="4"/>
  <c r="T830" i="4"/>
  <c r="U830" i="4"/>
  <c r="V830" i="4"/>
  <c r="W830" i="4"/>
  <c r="X830" i="4"/>
  <c r="Y830" i="4"/>
  <c r="AC830" i="4"/>
  <c r="AD830" i="4"/>
  <c r="B831" i="4"/>
  <c r="C831" i="4"/>
  <c r="D831" i="4"/>
  <c r="E831" i="4"/>
  <c r="F831" i="4"/>
  <c r="G831" i="4"/>
  <c r="H831" i="4"/>
  <c r="I831" i="4"/>
  <c r="J831" i="4"/>
  <c r="K831" i="4"/>
  <c r="L831" i="4"/>
  <c r="M831" i="4"/>
  <c r="N831" i="4"/>
  <c r="O831" i="4"/>
  <c r="P831" i="4"/>
  <c r="Q831" i="4"/>
  <c r="R831" i="4"/>
  <c r="S831" i="4"/>
  <c r="T831" i="4"/>
  <c r="U831" i="4"/>
  <c r="V831" i="4"/>
  <c r="W831" i="4"/>
  <c r="X831" i="4"/>
  <c r="Y831" i="4"/>
  <c r="B832" i="4"/>
  <c r="C832" i="4"/>
  <c r="D832" i="4"/>
  <c r="E832" i="4"/>
  <c r="F832" i="4"/>
  <c r="G832" i="4"/>
  <c r="H832" i="4"/>
  <c r="I832" i="4"/>
  <c r="J832" i="4"/>
  <c r="K832" i="4"/>
  <c r="L832" i="4"/>
  <c r="M832" i="4"/>
  <c r="N832" i="4"/>
  <c r="O832" i="4"/>
  <c r="P832" i="4"/>
  <c r="Q832" i="4"/>
  <c r="R832" i="4"/>
  <c r="S832" i="4"/>
  <c r="T832" i="4"/>
  <c r="U832" i="4"/>
  <c r="V832" i="4"/>
  <c r="W832" i="4"/>
  <c r="X832" i="4"/>
  <c r="Y832" i="4"/>
  <c r="B833" i="4"/>
  <c r="C833" i="4"/>
  <c r="D833" i="4"/>
  <c r="E833" i="4"/>
  <c r="F833" i="4"/>
  <c r="G833" i="4"/>
  <c r="H833" i="4"/>
  <c r="I833" i="4"/>
  <c r="J833" i="4"/>
  <c r="K833" i="4"/>
  <c r="L833" i="4"/>
  <c r="M833" i="4"/>
  <c r="N833" i="4"/>
  <c r="O833" i="4"/>
  <c r="P833" i="4"/>
  <c r="Q833" i="4"/>
  <c r="R833" i="4"/>
  <c r="S833" i="4"/>
  <c r="T833" i="4"/>
  <c r="U833" i="4"/>
  <c r="V833" i="4"/>
  <c r="W833" i="4"/>
  <c r="X833" i="4"/>
  <c r="Y833" i="4"/>
  <c r="B834" i="4"/>
  <c r="C834" i="4"/>
  <c r="D834" i="4"/>
  <c r="E834" i="4"/>
  <c r="F834" i="4"/>
  <c r="G834" i="4"/>
  <c r="H834" i="4"/>
  <c r="I834" i="4"/>
  <c r="J834" i="4"/>
  <c r="K834" i="4"/>
  <c r="L834" i="4"/>
  <c r="M834" i="4"/>
  <c r="N834" i="4"/>
  <c r="O834" i="4"/>
  <c r="P834" i="4"/>
  <c r="Q834" i="4"/>
  <c r="R834" i="4"/>
  <c r="S834" i="4"/>
  <c r="T834" i="4"/>
  <c r="U834" i="4"/>
  <c r="V834" i="4"/>
  <c r="W834" i="4"/>
  <c r="X834" i="4"/>
  <c r="Y834" i="4"/>
  <c r="B835" i="4"/>
  <c r="C835" i="4"/>
  <c r="D835" i="4"/>
  <c r="E835" i="4"/>
  <c r="F835" i="4"/>
  <c r="G835" i="4"/>
  <c r="H835" i="4"/>
  <c r="I835" i="4"/>
  <c r="J835" i="4"/>
  <c r="K835" i="4"/>
  <c r="L835" i="4"/>
  <c r="M835" i="4"/>
  <c r="N835" i="4"/>
  <c r="O835" i="4"/>
  <c r="P835" i="4"/>
  <c r="Q835" i="4"/>
  <c r="R835" i="4"/>
  <c r="S835" i="4"/>
  <c r="T835" i="4"/>
  <c r="U835" i="4"/>
  <c r="V835" i="4"/>
  <c r="W835" i="4"/>
  <c r="X835" i="4"/>
  <c r="Y835" i="4"/>
  <c r="B836" i="4"/>
  <c r="C836" i="4"/>
  <c r="D836" i="4"/>
  <c r="E836" i="4"/>
  <c r="F836" i="4"/>
  <c r="G836" i="4"/>
  <c r="H836" i="4"/>
  <c r="I836" i="4"/>
  <c r="J836" i="4"/>
  <c r="K836" i="4"/>
  <c r="L836" i="4"/>
  <c r="M836" i="4"/>
  <c r="N836" i="4"/>
  <c r="O836" i="4"/>
  <c r="P836" i="4"/>
  <c r="Q836" i="4"/>
  <c r="R836" i="4"/>
  <c r="S836" i="4"/>
  <c r="T836" i="4"/>
  <c r="U836" i="4"/>
  <c r="V836" i="4"/>
  <c r="W836" i="4"/>
  <c r="X836" i="4"/>
  <c r="Y836" i="4"/>
  <c r="AC836" i="4"/>
  <c r="B837" i="4"/>
  <c r="C837" i="4"/>
  <c r="AC837" i="4" s="1"/>
  <c r="D837" i="4"/>
  <c r="E837" i="4"/>
  <c r="F837" i="4"/>
  <c r="G837" i="4"/>
  <c r="H837" i="4"/>
  <c r="I837" i="4"/>
  <c r="J837" i="4"/>
  <c r="K837" i="4"/>
  <c r="L837" i="4"/>
  <c r="M837" i="4"/>
  <c r="N837" i="4"/>
  <c r="O837" i="4"/>
  <c r="P837" i="4"/>
  <c r="Q837" i="4"/>
  <c r="R837" i="4"/>
  <c r="S837" i="4"/>
  <c r="T837" i="4"/>
  <c r="U837" i="4"/>
  <c r="V837" i="4"/>
  <c r="W837" i="4"/>
  <c r="X837" i="4"/>
  <c r="Y837" i="4"/>
  <c r="B838" i="4"/>
  <c r="C838" i="4"/>
  <c r="D838" i="4"/>
  <c r="E838" i="4"/>
  <c r="F838" i="4"/>
  <c r="G838" i="4"/>
  <c r="H838" i="4"/>
  <c r="I838" i="4"/>
  <c r="J838" i="4"/>
  <c r="K838" i="4"/>
  <c r="L838" i="4"/>
  <c r="M838" i="4"/>
  <c r="N838" i="4"/>
  <c r="O838" i="4"/>
  <c r="P838" i="4"/>
  <c r="AD838" i="4" s="1"/>
  <c r="Q838" i="4"/>
  <c r="R838" i="4"/>
  <c r="S838" i="4"/>
  <c r="T838" i="4"/>
  <c r="U838" i="4"/>
  <c r="V838" i="4"/>
  <c r="W838" i="4"/>
  <c r="X838" i="4"/>
  <c r="Y838" i="4"/>
  <c r="B839" i="4"/>
  <c r="C839" i="4"/>
  <c r="D839" i="4"/>
  <c r="E839" i="4"/>
  <c r="F839" i="4"/>
  <c r="G839" i="4"/>
  <c r="H839" i="4"/>
  <c r="I839" i="4"/>
  <c r="J839" i="4"/>
  <c r="K839" i="4"/>
  <c r="L839" i="4"/>
  <c r="M839" i="4"/>
  <c r="N839" i="4"/>
  <c r="O839" i="4"/>
  <c r="P839" i="4"/>
  <c r="Q839" i="4"/>
  <c r="R839" i="4"/>
  <c r="S839" i="4"/>
  <c r="T839" i="4"/>
  <c r="U839" i="4"/>
  <c r="V839" i="4"/>
  <c r="W839" i="4"/>
  <c r="X839" i="4"/>
  <c r="Y839" i="4"/>
  <c r="B840" i="4"/>
  <c r="C840" i="4"/>
  <c r="D840" i="4"/>
  <c r="E840" i="4"/>
  <c r="F840" i="4"/>
  <c r="G840" i="4"/>
  <c r="H840" i="4"/>
  <c r="I840" i="4"/>
  <c r="J840" i="4"/>
  <c r="K840" i="4"/>
  <c r="L840" i="4"/>
  <c r="M840" i="4"/>
  <c r="N840" i="4"/>
  <c r="O840" i="4"/>
  <c r="P840" i="4"/>
  <c r="Q840" i="4"/>
  <c r="R840" i="4"/>
  <c r="S840" i="4"/>
  <c r="T840" i="4"/>
  <c r="U840" i="4"/>
  <c r="V840" i="4"/>
  <c r="W840" i="4"/>
  <c r="X840" i="4"/>
  <c r="Y840" i="4"/>
  <c r="B841" i="4"/>
  <c r="C841" i="4"/>
  <c r="D841" i="4"/>
  <c r="E841" i="4"/>
  <c r="F841" i="4"/>
  <c r="G841" i="4"/>
  <c r="H841" i="4"/>
  <c r="I841" i="4"/>
  <c r="J841" i="4"/>
  <c r="K841" i="4"/>
  <c r="L841" i="4"/>
  <c r="M841" i="4"/>
  <c r="N841" i="4"/>
  <c r="O841" i="4"/>
  <c r="P841" i="4"/>
  <c r="Q841" i="4"/>
  <c r="R841" i="4"/>
  <c r="S841" i="4"/>
  <c r="T841" i="4"/>
  <c r="U841" i="4"/>
  <c r="V841" i="4"/>
  <c r="W841" i="4"/>
  <c r="X841" i="4"/>
  <c r="Y841" i="4"/>
  <c r="B842" i="4"/>
  <c r="C842" i="4"/>
  <c r="D842" i="4"/>
  <c r="AC842" i="4" s="1"/>
  <c r="E842" i="4"/>
  <c r="F842" i="4"/>
  <c r="G842" i="4"/>
  <c r="H842" i="4"/>
  <c r="I842" i="4"/>
  <c r="J842" i="4"/>
  <c r="K842" i="4"/>
  <c r="L842" i="4"/>
  <c r="M842" i="4"/>
  <c r="AD842" i="4" s="1"/>
  <c r="N842" i="4"/>
  <c r="O842" i="4"/>
  <c r="P842" i="4"/>
  <c r="Q842" i="4"/>
  <c r="R842" i="4"/>
  <c r="S842" i="4"/>
  <c r="T842" i="4"/>
  <c r="U842" i="4"/>
  <c r="V842" i="4"/>
  <c r="W842" i="4"/>
  <c r="X842" i="4"/>
  <c r="Y842" i="4"/>
  <c r="B843" i="4"/>
  <c r="C843" i="4"/>
  <c r="D843" i="4"/>
  <c r="E843" i="4"/>
  <c r="F843" i="4"/>
  <c r="G843" i="4"/>
  <c r="H843" i="4"/>
  <c r="I843" i="4"/>
  <c r="J843" i="4"/>
  <c r="K843" i="4"/>
  <c r="L843" i="4"/>
  <c r="M843" i="4"/>
  <c r="N843" i="4"/>
  <c r="O843" i="4"/>
  <c r="P843" i="4"/>
  <c r="Q843" i="4"/>
  <c r="R843" i="4"/>
  <c r="S843" i="4"/>
  <c r="T843" i="4"/>
  <c r="U843" i="4"/>
  <c r="V843" i="4"/>
  <c r="W843" i="4"/>
  <c r="X843" i="4"/>
  <c r="Y843" i="4"/>
  <c r="B844" i="4"/>
  <c r="C844" i="4"/>
  <c r="D844" i="4"/>
  <c r="E844" i="4"/>
  <c r="F844" i="4"/>
  <c r="G844" i="4"/>
  <c r="H844" i="4"/>
  <c r="I844" i="4"/>
  <c r="J844" i="4"/>
  <c r="K844" i="4"/>
  <c r="L844" i="4"/>
  <c r="M844" i="4"/>
  <c r="N844" i="4"/>
  <c r="O844" i="4"/>
  <c r="P844" i="4"/>
  <c r="Q844" i="4"/>
  <c r="R844" i="4"/>
  <c r="S844" i="4"/>
  <c r="T844" i="4"/>
  <c r="U844" i="4"/>
  <c r="V844" i="4"/>
  <c r="W844" i="4"/>
  <c r="X844" i="4"/>
  <c r="Y844" i="4"/>
  <c r="B845" i="4"/>
  <c r="C845" i="4"/>
  <c r="D845" i="4"/>
  <c r="E845" i="4"/>
  <c r="F845" i="4"/>
  <c r="G845" i="4"/>
  <c r="H845" i="4"/>
  <c r="I845" i="4"/>
  <c r="J845" i="4"/>
  <c r="K845" i="4"/>
  <c r="L845" i="4"/>
  <c r="M845" i="4"/>
  <c r="N845" i="4"/>
  <c r="O845" i="4"/>
  <c r="P845" i="4"/>
  <c r="Q845" i="4"/>
  <c r="R845" i="4"/>
  <c r="S845" i="4"/>
  <c r="T845" i="4"/>
  <c r="U845" i="4"/>
  <c r="V845" i="4"/>
  <c r="W845" i="4"/>
  <c r="X845" i="4"/>
  <c r="Y845" i="4"/>
  <c r="AC845" i="4"/>
  <c r="B846" i="4"/>
  <c r="C846" i="4"/>
  <c r="D846" i="4"/>
  <c r="E846" i="4"/>
  <c r="F846" i="4"/>
  <c r="G846" i="4"/>
  <c r="H846" i="4"/>
  <c r="I846" i="4"/>
  <c r="J846" i="4"/>
  <c r="K846" i="4"/>
  <c r="L846" i="4"/>
  <c r="M846" i="4"/>
  <c r="N846" i="4"/>
  <c r="O846" i="4"/>
  <c r="P846" i="4"/>
  <c r="Q846" i="4"/>
  <c r="R846" i="4"/>
  <c r="S846" i="4"/>
  <c r="T846" i="4"/>
  <c r="U846" i="4"/>
  <c r="V846" i="4"/>
  <c r="W846" i="4"/>
  <c r="X846" i="4"/>
  <c r="Y846" i="4"/>
  <c r="B847" i="4"/>
  <c r="C847" i="4"/>
  <c r="D847" i="4"/>
  <c r="E847" i="4"/>
  <c r="F847" i="4"/>
  <c r="G847" i="4"/>
  <c r="H847" i="4"/>
  <c r="I847" i="4"/>
  <c r="J847" i="4"/>
  <c r="K847" i="4"/>
  <c r="L847" i="4"/>
  <c r="M847" i="4"/>
  <c r="AD847" i="4" s="1"/>
  <c r="N847" i="4"/>
  <c r="O847" i="4"/>
  <c r="P847" i="4"/>
  <c r="Q847" i="4"/>
  <c r="R847" i="4"/>
  <c r="S847" i="4"/>
  <c r="T847" i="4"/>
  <c r="U847" i="4"/>
  <c r="V847" i="4"/>
  <c r="W847" i="4"/>
  <c r="X847" i="4"/>
  <c r="Y847" i="4"/>
  <c r="B848" i="4"/>
  <c r="C848" i="4"/>
  <c r="D848" i="4"/>
  <c r="E848" i="4"/>
  <c r="F848" i="4"/>
  <c r="G848" i="4"/>
  <c r="H848" i="4"/>
  <c r="I848" i="4"/>
  <c r="J848" i="4"/>
  <c r="K848" i="4"/>
  <c r="L848" i="4"/>
  <c r="M848" i="4"/>
  <c r="N848" i="4"/>
  <c r="O848" i="4"/>
  <c r="P848" i="4"/>
  <c r="Q848" i="4"/>
  <c r="R848" i="4"/>
  <c r="S848" i="4"/>
  <c r="T848" i="4"/>
  <c r="U848" i="4"/>
  <c r="V848" i="4"/>
  <c r="W848" i="4"/>
  <c r="X848" i="4"/>
  <c r="Y848" i="4"/>
  <c r="B849" i="4"/>
  <c r="C849" i="4"/>
  <c r="D849" i="4"/>
  <c r="E849" i="4"/>
  <c r="F849" i="4"/>
  <c r="G849" i="4"/>
  <c r="H849" i="4"/>
  <c r="I849" i="4"/>
  <c r="J849" i="4"/>
  <c r="K849" i="4"/>
  <c r="L849" i="4"/>
  <c r="M849" i="4"/>
  <c r="AD849" i="4" s="1"/>
  <c r="N849" i="4"/>
  <c r="O849" i="4"/>
  <c r="P849" i="4"/>
  <c r="Q849" i="4"/>
  <c r="R849" i="4"/>
  <c r="S849" i="4"/>
  <c r="T849" i="4"/>
  <c r="U849" i="4"/>
  <c r="V849" i="4"/>
  <c r="W849" i="4"/>
  <c r="X849" i="4"/>
  <c r="Y849" i="4"/>
  <c r="B850" i="4"/>
  <c r="C850" i="4"/>
  <c r="D850" i="4"/>
  <c r="E850" i="4"/>
  <c r="F850" i="4"/>
  <c r="G850" i="4"/>
  <c r="H850" i="4"/>
  <c r="I850" i="4"/>
  <c r="J850" i="4"/>
  <c r="K850" i="4"/>
  <c r="L850" i="4"/>
  <c r="M850" i="4"/>
  <c r="N850" i="4"/>
  <c r="O850" i="4"/>
  <c r="P850" i="4"/>
  <c r="Q850" i="4"/>
  <c r="R850" i="4"/>
  <c r="S850" i="4"/>
  <c r="T850" i="4"/>
  <c r="U850" i="4"/>
  <c r="V850" i="4"/>
  <c r="W850" i="4"/>
  <c r="X850" i="4"/>
  <c r="Y850" i="4"/>
  <c r="B851" i="4"/>
  <c r="C851" i="4"/>
  <c r="D851" i="4"/>
  <c r="E851" i="4"/>
  <c r="F851" i="4"/>
  <c r="G851" i="4"/>
  <c r="H851" i="4"/>
  <c r="I851" i="4"/>
  <c r="J851" i="4"/>
  <c r="K851" i="4"/>
  <c r="L851" i="4"/>
  <c r="M851" i="4"/>
  <c r="N851" i="4"/>
  <c r="O851" i="4"/>
  <c r="P851" i="4"/>
  <c r="Q851" i="4"/>
  <c r="R851" i="4"/>
  <c r="S851" i="4"/>
  <c r="T851" i="4"/>
  <c r="U851" i="4"/>
  <c r="V851" i="4"/>
  <c r="W851" i="4"/>
  <c r="X851" i="4"/>
  <c r="Y851" i="4"/>
  <c r="B852" i="4"/>
  <c r="C852" i="4"/>
  <c r="D852" i="4"/>
  <c r="E852" i="4"/>
  <c r="F852" i="4"/>
  <c r="G852" i="4"/>
  <c r="H852" i="4"/>
  <c r="I852" i="4"/>
  <c r="J852" i="4"/>
  <c r="K852" i="4"/>
  <c r="L852" i="4"/>
  <c r="M852" i="4"/>
  <c r="N852" i="4"/>
  <c r="O852" i="4"/>
  <c r="P852" i="4"/>
  <c r="Q852" i="4"/>
  <c r="R852" i="4"/>
  <c r="S852" i="4"/>
  <c r="T852" i="4"/>
  <c r="U852" i="4"/>
  <c r="V852" i="4"/>
  <c r="W852" i="4"/>
  <c r="X852" i="4"/>
  <c r="Y852" i="4"/>
  <c r="B853" i="4"/>
  <c r="C853" i="4"/>
  <c r="D853" i="4"/>
  <c r="E853" i="4"/>
  <c r="F853" i="4"/>
  <c r="G853" i="4"/>
  <c r="H853" i="4"/>
  <c r="I853" i="4"/>
  <c r="J853" i="4"/>
  <c r="K853" i="4"/>
  <c r="L853" i="4"/>
  <c r="M853" i="4"/>
  <c r="N853" i="4"/>
  <c r="O853" i="4"/>
  <c r="P853" i="4"/>
  <c r="Q853" i="4"/>
  <c r="R853" i="4"/>
  <c r="S853" i="4"/>
  <c r="T853" i="4"/>
  <c r="U853" i="4"/>
  <c r="V853" i="4"/>
  <c r="W853" i="4"/>
  <c r="X853" i="4"/>
  <c r="Y853" i="4"/>
  <c r="B854" i="4"/>
  <c r="C854" i="4"/>
  <c r="D854" i="4"/>
  <c r="E854" i="4"/>
  <c r="F854" i="4"/>
  <c r="G854" i="4"/>
  <c r="H854" i="4"/>
  <c r="I854" i="4"/>
  <c r="J854" i="4"/>
  <c r="K854" i="4"/>
  <c r="L854" i="4"/>
  <c r="M854" i="4"/>
  <c r="AD854" i="4" s="1"/>
  <c r="N854" i="4"/>
  <c r="O854" i="4"/>
  <c r="P854" i="4"/>
  <c r="Q854" i="4"/>
  <c r="R854" i="4"/>
  <c r="S854" i="4"/>
  <c r="T854" i="4"/>
  <c r="U854" i="4"/>
  <c r="V854" i="4"/>
  <c r="W854" i="4"/>
  <c r="X854" i="4"/>
  <c r="Y854" i="4"/>
  <c r="B855" i="4"/>
  <c r="C855" i="4"/>
  <c r="D855" i="4"/>
  <c r="AC855" i="4" s="1"/>
  <c r="E855" i="4"/>
  <c r="F855" i="4"/>
  <c r="G855" i="4"/>
  <c r="H855" i="4"/>
  <c r="I855" i="4"/>
  <c r="J855" i="4"/>
  <c r="K855" i="4"/>
  <c r="L855" i="4"/>
  <c r="M855" i="4"/>
  <c r="N855" i="4"/>
  <c r="O855" i="4"/>
  <c r="P855" i="4"/>
  <c r="Q855" i="4"/>
  <c r="R855" i="4"/>
  <c r="S855" i="4"/>
  <c r="T855" i="4"/>
  <c r="U855" i="4"/>
  <c r="V855" i="4"/>
  <c r="W855" i="4"/>
  <c r="X855" i="4"/>
  <c r="Y855" i="4"/>
  <c r="B856" i="4"/>
  <c r="C856" i="4"/>
  <c r="D856" i="4"/>
  <c r="E856" i="4"/>
  <c r="F856" i="4"/>
  <c r="G856" i="4"/>
  <c r="H856" i="4"/>
  <c r="I856" i="4"/>
  <c r="J856" i="4"/>
  <c r="K856" i="4"/>
  <c r="L856" i="4"/>
  <c r="M856" i="4"/>
  <c r="N856" i="4"/>
  <c r="O856" i="4"/>
  <c r="P856" i="4"/>
  <c r="Q856" i="4"/>
  <c r="R856" i="4"/>
  <c r="S856" i="4"/>
  <c r="T856" i="4"/>
  <c r="U856" i="4"/>
  <c r="V856" i="4"/>
  <c r="W856" i="4"/>
  <c r="X856" i="4"/>
  <c r="Y856" i="4"/>
  <c r="B857" i="4"/>
  <c r="C857" i="4"/>
  <c r="D857" i="4"/>
  <c r="E857" i="4"/>
  <c r="F857" i="4"/>
  <c r="G857" i="4"/>
  <c r="H857" i="4"/>
  <c r="I857" i="4"/>
  <c r="J857" i="4"/>
  <c r="K857" i="4"/>
  <c r="L857" i="4"/>
  <c r="M857" i="4"/>
  <c r="N857" i="4"/>
  <c r="O857" i="4"/>
  <c r="P857" i="4"/>
  <c r="Q857" i="4"/>
  <c r="R857" i="4"/>
  <c r="S857" i="4"/>
  <c r="T857" i="4"/>
  <c r="U857" i="4"/>
  <c r="V857" i="4"/>
  <c r="W857" i="4"/>
  <c r="X857" i="4"/>
  <c r="Y857" i="4"/>
  <c r="B858" i="4"/>
  <c r="C858" i="4"/>
  <c r="AC858" i="4" s="1"/>
  <c r="D858" i="4"/>
  <c r="E858" i="4"/>
  <c r="F858" i="4"/>
  <c r="G858" i="4"/>
  <c r="H858" i="4"/>
  <c r="I858" i="4"/>
  <c r="J858" i="4"/>
  <c r="K858" i="4"/>
  <c r="L858" i="4"/>
  <c r="M858" i="4"/>
  <c r="N858" i="4"/>
  <c r="O858" i="4"/>
  <c r="P858" i="4"/>
  <c r="Q858" i="4"/>
  <c r="R858" i="4"/>
  <c r="S858" i="4"/>
  <c r="T858" i="4"/>
  <c r="U858" i="4"/>
  <c r="V858" i="4"/>
  <c r="W858" i="4"/>
  <c r="X858" i="4"/>
  <c r="Y858" i="4"/>
  <c r="B859" i="4"/>
  <c r="C859" i="4"/>
  <c r="D859" i="4"/>
  <c r="E859" i="4"/>
  <c r="F859" i="4"/>
  <c r="G859" i="4"/>
  <c r="H859" i="4"/>
  <c r="I859" i="4"/>
  <c r="J859" i="4"/>
  <c r="K859" i="4"/>
  <c r="L859" i="4"/>
  <c r="M859" i="4"/>
  <c r="N859" i="4"/>
  <c r="O859" i="4"/>
  <c r="P859" i="4"/>
  <c r="Q859" i="4"/>
  <c r="R859" i="4"/>
  <c r="S859" i="4"/>
  <c r="T859" i="4"/>
  <c r="U859" i="4"/>
  <c r="V859" i="4"/>
  <c r="W859" i="4"/>
  <c r="X859" i="4"/>
  <c r="Y859" i="4"/>
  <c r="B860" i="4"/>
  <c r="C860" i="4"/>
  <c r="D860" i="4"/>
  <c r="E860" i="4"/>
  <c r="F860" i="4"/>
  <c r="G860" i="4"/>
  <c r="H860" i="4"/>
  <c r="I860" i="4"/>
  <c r="J860" i="4"/>
  <c r="K860" i="4"/>
  <c r="L860" i="4"/>
  <c r="M860" i="4"/>
  <c r="N860" i="4"/>
  <c r="O860" i="4"/>
  <c r="P860" i="4"/>
  <c r="Q860" i="4"/>
  <c r="R860" i="4"/>
  <c r="S860" i="4"/>
  <c r="T860" i="4"/>
  <c r="U860" i="4"/>
  <c r="V860" i="4"/>
  <c r="W860" i="4"/>
  <c r="X860" i="4"/>
  <c r="Y860" i="4"/>
  <c r="B861" i="4"/>
  <c r="C861" i="4"/>
  <c r="D861" i="4"/>
  <c r="E861" i="4"/>
  <c r="F861" i="4"/>
  <c r="G861" i="4"/>
  <c r="H861" i="4"/>
  <c r="I861" i="4"/>
  <c r="J861" i="4"/>
  <c r="K861" i="4"/>
  <c r="L861" i="4"/>
  <c r="M861" i="4"/>
  <c r="N861" i="4"/>
  <c r="O861" i="4"/>
  <c r="P861" i="4"/>
  <c r="Q861" i="4"/>
  <c r="R861" i="4"/>
  <c r="S861" i="4"/>
  <c r="T861" i="4"/>
  <c r="U861" i="4"/>
  <c r="V861" i="4"/>
  <c r="W861" i="4"/>
  <c r="X861" i="4"/>
  <c r="Y861" i="4"/>
  <c r="AC861" i="4"/>
  <c r="B862" i="4"/>
  <c r="C862" i="4"/>
  <c r="D862" i="4"/>
  <c r="E862" i="4"/>
  <c r="F862" i="4"/>
  <c r="G862" i="4"/>
  <c r="H862" i="4"/>
  <c r="I862" i="4"/>
  <c r="AC862" i="4" s="1"/>
  <c r="J862" i="4"/>
  <c r="K862" i="4"/>
  <c r="L862" i="4"/>
  <c r="M862" i="4"/>
  <c r="AD862" i="4" s="1"/>
  <c r="N862" i="4"/>
  <c r="O862" i="4"/>
  <c r="P862" i="4"/>
  <c r="Q862" i="4"/>
  <c r="R862" i="4"/>
  <c r="S862" i="4"/>
  <c r="T862" i="4"/>
  <c r="U862" i="4"/>
  <c r="V862" i="4"/>
  <c r="W862" i="4"/>
  <c r="X862" i="4"/>
  <c r="Y862" i="4"/>
  <c r="B863" i="4"/>
  <c r="C863" i="4"/>
  <c r="D863" i="4"/>
  <c r="E863" i="4"/>
  <c r="F863" i="4"/>
  <c r="G863" i="4"/>
  <c r="H863" i="4"/>
  <c r="I863" i="4"/>
  <c r="J863" i="4"/>
  <c r="K863" i="4"/>
  <c r="L863" i="4"/>
  <c r="M863" i="4"/>
  <c r="N863" i="4"/>
  <c r="O863" i="4"/>
  <c r="P863" i="4"/>
  <c r="Q863" i="4"/>
  <c r="R863" i="4"/>
  <c r="S863" i="4"/>
  <c r="T863" i="4"/>
  <c r="U863" i="4"/>
  <c r="V863" i="4"/>
  <c r="W863" i="4"/>
  <c r="X863" i="4"/>
  <c r="Y863" i="4"/>
  <c r="B864" i="4"/>
  <c r="C864" i="4"/>
  <c r="D864" i="4"/>
  <c r="E864" i="4"/>
  <c r="F864" i="4"/>
  <c r="G864" i="4"/>
  <c r="H864" i="4"/>
  <c r="I864" i="4"/>
  <c r="J864" i="4"/>
  <c r="K864" i="4"/>
  <c r="L864" i="4"/>
  <c r="M864" i="4"/>
  <c r="N864" i="4"/>
  <c r="O864" i="4"/>
  <c r="P864" i="4"/>
  <c r="Q864" i="4"/>
  <c r="R864" i="4"/>
  <c r="S864" i="4"/>
  <c r="T864" i="4"/>
  <c r="U864" i="4"/>
  <c r="V864" i="4"/>
  <c r="W864" i="4"/>
  <c r="X864" i="4"/>
  <c r="Y864" i="4"/>
  <c r="B865" i="4"/>
  <c r="C865" i="4"/>
  <c r="D865" i="4"/>
  <c r="E865" i="4"/>
  <c r="F865" i="4"/>
  <c r="G865" i="4"/>
  <c r="H865" i="4"/>
  <c r="I865" i="4"/>
  <c r="J865" i="4"/>
  <c r="K865" i="4"/>
  <c r="L865" i="4"/>
  <c r="M865" i="4"/>
  <c r="N865" i="4"/>
  <c r="O865" i="4"/>
  <c r="P865" i="4"/>
  <c r="Q865" i="4"/>
  <c r="R865" i="4"/>
  <c r="S865" i="4"/>
  <c r="T865" i="4"/>
  <c r="U865" i="4"/>
  <c r="V865" i="4"/>
  <c r="W865" i="4"/>
  <c r="X865" i="4"/>
  <c r="Y865" i="4"/>
  <c r="B866" i="4"/>
  <c r="C866" i="4"/>
  <c r="D866" i="4"/>
  <c r="E866" i="4"/>
  <c r="F866" i="4"/>
  <c r="G866" i="4"/>
  <c r="H866" i="4"/>
  <c r="I866" i="4"/>
  <c r="J866" i="4"/>
  <c r="K866" i="4"/>
  <c r="L866" i="4"/>
  <c r="M866" i="4"/>
  <c r="N866" i="4"/>
  <c r="O866" i="4"/>
  <c r="P866" i="4"/>
  <c r="AD866" i="4" s="1"/>
  <c r="Q866" i="4"/>
  <c r="R866" i="4"/>
  <c r="S866" i="4"/>
  <c r="T866" i="4"/>
  <c r="U866" i="4"/>
  <c r="V866" i="4"/>
  <c r="W866" i="4"/>
  <c r="X866" i="4"/>
  <c r="Y866" i="4"/>
  <c r="B867" i="4"/>
  <c r="C867" i="4"/>
  <c r="D867" i="4"/>
  <c r="E867" i="4"/>
  <c r="F867" i="4"/>
  <c r="G867" i="4"/>
  <c r="H867" i="4"/>
  <c r="I867" i="4"/>
  <c r="J867" i="4"/>
  <c r="K867" i="4"/>
  <c r="L867" i="4"/>
  <c r="M867" i="4"/>
  <c r="N867" i="4"/>
  <c r="O867" i="4"/>
  <c r="P867" i="4"/>
  <c r="Q867" i="4"/>
  <c r="R867" i="4"/>
  <c r="S867" i="4"/>
  <c r="T867" i="4"/>
  <c r="U867" i="4"/>
  <c r="V867" i="4"/>
  <c r="W867" i="4"/>
  <c r="X867" i="4"/>
  <c r="Y867" i="4"/>
  <c r="B868" i="4"/>
  <c r="C868" i="4"/>
  <c r="D868" i="4"/>
  <c r="E868" i="4"/>
  <c r="F868" i="4"/>
  <c r="G868" i="4"/>
  <c r="H868" i="4"/>
  <c r="I868" i="4"/>
  <c r="J868" i="4"/>
  <c r="K868" i="4"/>
  <c r="L868" i="4"/>
  <c r="M868" i="4"/>
  <c r="N868" i="4"/>
  <c r="O868" i="4"/>
  <c r="P868" i="4"/>
  <c r="Q868" i="4"/>
  <c r="R868" i="4"/>
  <c r="S868" i="4"/>
  <c r="T868" i="4"/>
  <c r="U868" i="4"/>
  <c r="V868" i="4"/>
  <c r="W868" i="4"/>
  <c r="X868" i="4"/>
  <c r="Y868" i="4"/>
  <c r="B869" i="4"/>
  <c r="C869" i="4"/>
  <c r="D869" i="4"/>
  <c r="E869" i="4"/>
  <c r="F869" i="4"/>
  <c r="G869" i="4"/>
  <c r="H869" i="4"/>
  <c r="I869" i="4"/>
  <c r="J869" i="4"/>
  <c r="K869" i="4"/>
  <c r="L869" i="4"/>
  <c r="M869" i="4"/>
  <c r="N869" i="4"/>
  <c r="O869" i="4"/>
  <c r="P869" i="4"/>
  <c r="Q869" i="4"/>
  <c r="R869" i="4"/>
  <c r="S869" i="4"/>
  <c r="T869" i="4"/>
  <c r="U869" i="4"/>
  <c r="V869" i="4"/>
  <c r="W869" i="4"/>
  <c r="X869" i="4"/>
  <c r="Y869" i="4"/>
  <c r="B870" i="4"/>
  <c r="C870" i="4"/>
  <c r="D870" i="4"/>
  <c r="E870" i="4"/>
  <c r="F870" i="4"/>
  <c r="G870" i="4"/>
  <c r="H870" i="4"/>
  <c r="I870" i="4"/>
  <c r="J870" i="4"/>
  <c r="K870" i="4"/>
  <c r="L870" i="4"/>
  <c r="M870" i="4"/>
  <c r="N870" i="4"/>
  <c r="O870" i="4"/>
  <c r="AD870" i="4" s="1"/>
  <c r="P870" i="4"/>
  <c r="Q870" i="4"/>
  <c r="R870" i="4"/>
  <c r="S870" i="4"/>
  <c r="T870" i="4"/>
  <c r="U870" i="4"/>
  <c r="V870" i="4"/>
  <c r="W870" i="4"/>
  <c r="X870" i="4"/>
  <c r="Y870" i="4"/>
  <c r="B871" i="4"/>
  <c r="C871" i="4"/>
  <c r="AC871" i="4" s="1"/>
  <c r="D871" i="4"/>
  <c r="E871" i="4"/>
  <c r="F871" i="4"/>
  <c r="G871" i="4"/>
  <c r="H871" i="4"/>
  <c r="I871" i="4"/>
  <c r="J871" i="4"/>
  <c r="K871" i="4"/>
  <c r="L871" i="4"/>
  <c r="M871" i="4"/>
  <c r="N871" i="4"/>
  <c r="O871" i="4"/>
  <c r="P871" i="4"/>
  <c r="Q871" i="4"/>
  <c r="R871" i="4"/>
  <c r="S871" i="4"/>
  <c r="T871" i="4"/>
  <c r="U871" i="4"/>
  <c r="V871" i="4"/>
  <c r="W871" i="4"/>
  <c r="X871" i="4"/>
  <c r="Y871" i="4"/>
  <c r="B872" i="4"/>
  <c r="C872" i="4"/>
  <c r="D872" i="4"/>
  <c r="E872" i="4"/>
  <c r="F872" i="4"/>
  <c r="G872" i="4"/>
  <c r="H872" i="4"/>
  <c r="I872" i="4"/>
  <c r="J872" i="4"/>
  <c r="K872" i="4"/>
  <c r="L872" i="4"/>
  <c r="M872" i="4"/>
  <c r="N872" i="4"/>
  <c r="O872" i="4"/>
  <c r="P872" i="4"/>
  <c r="Q872" i="4"/>
  <c r="R872" i="4"/>
  <c r="S872" i="4"/>
  <c r="T872" i="4"/>
  <c r="U872" i="4"/>
  <c r="V872" i="4"/>
  <c r="W872" i="4"/>
  <c r="X872" i="4"/>
  <c r="Y872" i="4"/>
  <c r="B873" i="4"/>
  <c r="C873" i="4"/>
  <c r="D873" i="4"/>
  <c r="E873" i="4"/>
  <c r="F873" i="4"/>
  <c r="G873" i="4"/>
  <c r="H873" i="4"/>
  <c r="I873" i="4"/>
  <c r="J873" i="4"/>
  <c r="K873" i="4"/>
  <c r="L873" i="4"/>
  <c r="M873" i="4"/>
  <c r="N873" i="4"/>
  <c r="O873" i="4"/>
  <c r="P873" i="4"/>
  <c r="Q873" i="4"/>
  <c r="R873" i="4"/>
  <c r="S873" i="4"/>
  <c r="T873" i="4"/>
  <c r="U873" i="4"/>
  <c r="V873" i="4"/>
  <c r="W873" i="4"/>
  <c r="X873" i="4"/>
  <c r="Y873" i="4"/>
  <c r="B874" i="4"/>
  <c r="C874" i="4"/>
  <c r="D874" i="4"/>
  <c r="E874" i="4"/>
  <c r="F874" i="4"/>
  <c r="G874" i="4"/>
  <c r="H874" i="4"/>
  <c r="I874" i="4"/>
  <c r="J874" i="4"/>
  <c r="K874" i="4"/>
  <c r="L874" i="4"/>
  <c r="M874" i="4"/>
  <c r="N874" i="4"/>
  <c r="O874" i="4"/>
  <c r="P874" i="4"/>
  <c r="Q874" i="4"/>
  <c r="R874" i="4"/>
  <c r="S874" i="4"/>
  <c r="T874" i="4"/>
  <c r="U874" i="4"/>
  <c r="V874" i="4"/>
  <c r="W874" i="4"/>
  <c r="X874" i="4"/>
  <c r="Y874" i="4"/>
  <c r="B875" i="4"/>
  <c r="C875" i="4"/>
  <c r="D875" i="4"/>
  <c r="E875" i="4"/>
  <c r="F875" i="4"/>
  <c r="G875" i="4"/>
  <c r="H875" i="4"/>
  <c r="I875" i="4"/>
  <c r="J875" i="4"/>
  <c r="K875" i="4"/>
  <c r="L875" i="4"/>
  <c r="M875" i="4"/>
  <c r="N875" i="4"/>
  <c r="O875" i="4"/>
  <c r="P875" i="4"/>
  <c r="Q875" i="4"/>
  <c r="R875" i="4"/>
  <c r="S875" i="4"/>
  <c r="T875" i="4"/>
  <c r="U875" i="4"/>
  <c r="V875" i="4"/>
  <c r="W875" i="4"/>
  <c r="X875" i="4"/>
  <c r="Y875" i="4"/>
  <c r="AD875" i="4"/>
  <c r="B876" i="4"/>
  <c r="C876" i="4"/>
  <c r="D876" i="4"/>
  <c r="E876" i="4"/>
  <c r="F876" i="4"/>
  <c r="G876" i="4"/>
  <c r="H876" i="4"/>
  <c r="I876" i="4"/>
  <c r="J876" i="4"/>
  <c r="K876" i="4"/>
  <c r="L876" i="4"/>
  <c r="M876" i="4"/>
  <c r="AD876" i="4" s="1"/>
  <c r="N876" i="4"/>
  <c r="O876" i="4"/>
  <c r="P876" i="4"/>
  <c r="Q876" i="4"/>
  <c r="R876" i="4"/>
  <c r="S876" i="4"/>
  <c r="T876" i="4"/>
  <c r="U876" i="4"/>
  <c r="V876" i="4"/>
  <c r="W876" i="4"/>
  <c r="X876" i="4"/>
  <c r="Y876" i="4"/>
  <c r="B877" i="4"/>
  <c r="C877" i="4"/>
  <c r="D877" i="4"/>
  <c r="E877" i="4"/>
  <c r="F877" i="4"/>
  <c r="G877" i="4"/>
  <c r="H877" i="4"/>
  <c r="I877" i="4"/>
  <c r="J877" i="4"/>
  <c r="K877" i="4"/>
  <c r="L877" i="4"/>
  <c r="M877" i="4"/>
  <c r="N877" i="4"/>
  <c r="O877" i="4"/>
  <c r="P877" i="4"/>
  <c r="Q877" i="4"/>
  <c r="R877" i="4"/>
  <c r="S877" i="4"/>
  <c r="T877" i="4"/>
  <c r="U877" i="4"/>
  <c r="V877" i="4"/>
  <c r="W877" i="4"/>
  <c r="X877" i="4"/>
  <c r="Y877" i="4"/>
  <c r="B878" i="4"/>
  <c r="C878" i="4"/>
  <c r="D878" i="4"/>
  <c r="E878" i="4"/>
  <c r="F878" i="4"/>
  <c r="G878" i="4"/>
  <c r="H878" i="4"/>
  <c r="I878" i="4"/>
  <c r="J878" i="4"/>
  <c r="K878" i="4"/>
  <c r="L878" i="4"/>
  <c r="M878" i="4"/>
  <c r="N878" i="4"/>
  <c r="O878" i="4"/>
  <c r="P878" i="4"/>
  <c r="Q878" i="4"/>
  <c r="R878" i="4"/>
  <c r="S878" i="4"/>
  <c r="T878" i="4"/>
  <c r="U878" i="4"/>
  <c r="V878" i="4"/>
  <c r="W878" i="4"/>
  <c r="X878" i="4"/>
  <c r="Y878" i="4"/>
  <c r="AD878" i="4"/>
  <c r="B879" i="4"/>
  <c r="C879" i="4"/>
  <c r="D879" i="4"/>
  <c r="E879" i="4"/>
  <c r="F879" i="4"/>
  <c r="G879" i="4"/>
  <c r="H879" i="4"/>
  <c r="I879" i="4"/>
  <c r="J879" i="4"/>
  <c r="K879" i="4"/>
  <c r="L879" i="4"/>
  <c r="M879" i="4"/>
  <c r="AD879" i="4" s="1"/>
  <c r="N879" i="4"/>
  <c r="O879" i="4"/>
  <c r="P879" i="4"/>
  <c r="Q879" i="4"/>
  <c r="R879" i="4"/>
  <c r="S879" i="4"/>
  <c r="T879" i="4"/>
  <c r="U879" i="4"/>
  <c r="V879" i="4"/>
  <c r="W879" i="4"/>
  <c r="X879" i="4"/>
  <c r="Y879" i="4"/>
  <c r="B880" i="4"/>
  <c r="C880" i="4"/>
  <c r="D880" i="4"/>
  <c r="E880" i="4"/>
  <c r="F880" i="4"/>
  <c r="G880" i="4"/>
  <c r="H880" i="4"/>
  <c r="I880" i="4"/>
  <c r="J880" i="4"/>
  <c r="K880" i="4"/>
  <c r="L880" i="4"/>
  <c r="M880" i="4"/>
  <c r="N880" i="4"/>
  <c r="O880" i="4"/>
  <c r="P880" i="4"/>
  <c r="Q880" i="4"/>
  <c r="R880" i="4"/>
  <c r="S880" i="4"/>
  <c r="T880" i="4"/>
  <c r="U880" i="4"/>
  <c r="V880" i="4"/>
  <c r="W880" i="4"/>
  <c r="X880" i="4"/>
  <c r="Y880" i="4"/>
  <c r="B881" i="4"/>
  <c r="C881" i="4"/>
  <c r="D881" i="4"/>
  <c r="E881" i="4"/>
  <c r="F881" i="4"/>
  <c r="G881" i="4"/>
  <c r="H881" i="4"/>
  <c r="I881" i="4"/>
  <c r="J881" i="4"/>
  <c r="K881" i="4"/>
  <c r="L881" i="4"/>
  <c r="M881" i="4"/>
  <c r="N881" i="4"/>
  <c r="O881" i="4"/>
  <c r="P881" i="4"/>
  <c r="Q881" i="4"/>
  <c r="R881" i="4"/>
  <c r="S881" i="4"/>
  <c r="T881" i="4"/>
  <c r="U881" i="4"/>
  <c r="V881" i="4"/>
  <c r="W881" i="4"/>
  <c r="X881" i="4"/>
  <c r="Y881" i="4"/>
  <c r="B882" i="4"/>
  <c r="C882" i="4"/>
  <c r="D882" i="4"/>
  <c r="E882" i="4"/>
  <c r="F882" i="4"/>
  <c r="G882" i="4"/>
  <c r="H882" i="4"/>
  <c r="I882" i="4"/>
  <c r="J882" i="4"/>
  <c r="K882" i="4"/>
  <c r="L882" i="4"/>
  <c r="M882" i="4"/>
  <c r="N882" i="4"/>
  <c r="O882" i="4"/>
  <c r="P882" i="4"/>
  <c r="Q882" i="4"/>
  <c r="R882" i="4"/>
  <c r="S882" i="4"/>
  <c r="T882" i="4"/>
  <c r="U882" i="4"/>
  <c r="V882" i="4"/>
  <c r="W882" i="4"/>
  <c r="X882" i="4"/>
  <c r="Y882" i="4"/>
  <c r="B883" i="4"/>
  <c r="C883" i="4"/>
  <c r="D883" i="4"/>
  <c r="E883" i="4"/>
  <c r="F883" i="4"/>
  <c r="G883" i="4"/>
  <c r="H883" i="4"/>
  <c r="I883" i="4"/>
  <c r="J883" i="4"/>
  <c r="K883" i="4"/>
  <c r="L883" i="4"/>
  <c r="M883" i="4"/>
  <c r="N883" i="4"/>
  <c r="O883" i="4"/>
  <c r="P883" i="4"/>
  <c r="Q883" i="4"/>
  <c r="R883" i="4"/>
  <c r="S883" i="4"/>
  <c r="T883" i="4"/>
  <c r="U883" i="4"/>
  <c r="V883" i="4"/>
  <c r="W883" i="4"/>
  <c r="X883" i="4"/>
  <c r="Y883" i="4"/>
  <c r="B884" i="4"/>
  <c r="C884" i="4"/>
  <c r="D884" i="4"/>
  <c r="E884" i="4"/>
  <c r="F884" i="4"/>
  <c r="G884" i="4"/>
  <c r="H884" i="4"/>
  <c r="I884" i="4"/>
  <c r="J884" i="4"/>
  <c r="K884" i="4"/>
  <c r="L884" i="4"/>
  <c r="M884" i="4"/>
  <c r="N884" i="4"/>
  <c r="O884" i="4"/>
  <c r="P884" i="4"/>
  <c r="AD884" i="4" s="1"/>
  <c r="Q884" i="4"/>
  <c r="R884" i="4"/>
  <c r="S884" i="4"/>
  <c r="T884" i="4"/>
  <c r="U884" i="4"/>
  <c r="V884" i="4"/>
  <c r="W884" i="4"/>
  <c r="X884" i="4"/>
  <c r="Y884" i="4"/>
  <c r="B885" i="4"/>
  <c r="C885" i="4"/>
  <c r="D885" i="4"/>
  <c r="E885" i="4"/>
  <c r="F885" i="4"/>
  <c r="G885" i="4"/>
  <c r="H885" i="4"/>
  <c r="I885" i="4"/>
  <c r="J885" i="4"/>
  <c r="K885" i="4"/>
  <c r="L885" i="4"/>
  <c r="M885" i="4"/>
  <c r="N885" i="4"/>
  <c r="O885" i="4"/>
  <c r="P885" i="4"/>
  <c r="Q885" i="4"/>
  <c r="R885" i="4"/>
  <c r="S885" i="4"/>
  <c r="T885" i="4"/>
  <c r="U885" i="4"/>
  <c r="V885" i="4"/>
  <c r="W885" i="4"/>
  <c r="X885" i="4"/>
  <c r="Y885" i="4"/>
  <c r="B886" i="4"/>
  <c r="C886" i="4"/>
  <c r="D886" i="4"/>
  <c r="E886" i="4"/>
  <c r="F886" i="4"/>
  <c r="G886" i="4"/>
  <c r="H886" i="4"/>
  <c r="I886" i="4"/>
  <c r="J886" i="4"/>
  <c r="K886" i="4"/>
  <c r="L886" i="4"/>
  <c r="M886" i="4"/>
  <c r="AD886" i="4" s="1"/>
  <c r="N886" i="4"/>
  <c r="O886" i="4"/>
  <c r="P886" i="4"/>
  <c r="Q886" i="4"/>
  <c r="R886" i="4"/>
  <c r="S886" i="4"/>
  <c r="T886" i="4"/>
  <c r="U886" i="4"/>
  <c r="V886" i="4"/>
  <c r="W886" i="4"/>
  <c r="X886" i="4"/>
  <c r="Y886" i="4"/>
  <c r="B887" i="4"/>
  <c r="C887" i="4"/>
  <c r="D887" i="4"/>
  <c r="E887" i="4"/>
  <c r="F887" i="4"/>
  <c r="G887" i="4"/>
  <c r="H887" i="4"/>
  <c r="I887" i="4"/>
  <c r="J887" i="4"/>
  <c r="K887" i="4"/>
  <c r="L887" i="4"/>
  <c r="M887" i="4"/>
  <c r="N887" i="4"/>
  <c r="O887" i="4"/>
  <c r="P887" i="4"/>
  <c r="Q887" i="4"/>
  <c r="R887" i="4"/>
  <c r="S887" i="4"/>
  <c r="T887" i="4"/>
  <c r="U887" i="4"/>
  <c r="V887" i="4"/>
  <c r="W887" i="4"/>
  <c r="X887" i="4"/>
  <c r="Y887" i="4"/>
  <c r="AD887" i="4"/>
  <c r="B888" i="4"/>
  <c r="C888" i="4"/>
  <c r="D888" i="4"/>
  <c r="E888" i="4"/>
  <c r="F888" i="4"/>
  <c r="G888" i="4"/>
  <c r="H888" i="4"/>
  <c r="I888" i="4"/>
  <c r="J888" i="4"/>
  <c r="K888" i="4"/>
  <c r="L888" i="4"/>
  <c r="M888" i="4"/>
  <c r="N888" i="4"/>
  <c r="O888" i="4"/>
  <c r="P888" i="4"/>
  <c r="Q888" i="4"/>
  <c r="R888" i="4"/>
  <c r="S888" i="4"/>
  <c r="T888" i="4"/>
  <c r="U888" i="4"/>
  <c r="V888" i="4"/>
  <c r="W888" i="4"/>
  <c r="X888" i="4"/>
  <c r="Y888" i="4"/>
  <c r="B889" i="4"/>
  <c r="C889" i="4"/>
  <c r="D889" i="4"/>
  <c r="E889" i="4"/>
  <c r="F889" i="4"/>
  <c r="G889" i="4"/>
  <c r="H889" i="4"/>
  <c r="I889" i="4"/>
  <c r="J889" i="4"/>
  <c r="K889" i="4"/>
  <c r="L889" i="4"/>
  <c r="M889" i="4"/>
  <c r="N889" i="4"/>
  <c r="O889" i="4"/>
  <c r="P889" i="4"/>
  <c r="Q889" i="4"/>
  <c r="R889" i="4"/>
  <c r="S889" i="4"/>
  <c r="T889" i="4"/>
  <c r="U889" i="4"/>
  <c r="V889" i="4"/>
  <c r="W889" i="4"/>
  <c r="X889" i="4"/>
  <c r="Y889" i="4"/>
  <c r="B890" i="4"/>
  <c r="C890" i="4"/>
  <c r="D890" i="4"/>
  <c r="E890" i="4"/>
  <c r="F890" i="4"/>
  <c r="G890" i="4"/>
  <c r="H890" i="4"/>
  <c r="I890" i="4"/>
  <c r="J890" i="4"/>
  <c r="K890" i="4"/>
  <c r="L890" i="4"/>
  <c r="M890" i="4"/>
  <c r="AD890" i="4" s="1"/>
  <c r="N890" i="4"/>
  <c r="O890" i="4"/>
  <c r="P890" i="4"/>
  <c r="Q890" i="4"/>
  <c r="R890" i="4"/>
  <c r="S890" i="4"/>
  <c r="T890" i="4"/>
  <c r="U890" i="4"/>
  <c r="V890" i="4"/>
  <c r="W890" i="4"/>
  <c r="X890" i="4"/>
  <c r="Y890" i="4"/>
  <c r="B891" i="4"/>
  <c r="C891" i="4"/>
  <c r="D891" i="4"/>
  <c r="E891" i="4"/>
  <c r="F891" i="4"/>
  <c r="G891" i="4"/>
  <c r="H891" i="4"/>
  <c r="I891" i="4"/>
  <c r="J891" i="4"/>
  <c r="K891" i="4"/>
  <c r="L891" i="4"/>
  <c r="M891" i="4"/>
  <c r="N891" i="4"/>
  <c r="O891" i="4"/>
  <c r="P891" i="4"/>
  <c r="Q891" i="4"/>
  <c r="R891" i="4"/>
  <c r="S891" i="4"/>
  <c r="T891" i="4"/>
  <c r="U891" i="4"/>
  <c r="V891" i="4"/>
  <c r="W891" i="4"/>
  <c r="X891" i="4"/>
  <c r="Y891" i="4"/>
  <c r="B892" i="4"/>
  <c r="C892" i="4"/>
  <c r="D892" i="4"/>
  <c r="E892" i="4"/>
  <c r="F892" i="4"/>
  <c r="G892" i="4"/>
  <c r="H892" i="4"/>
  <c r="I892" i="4"/>
  <c r="J892" i="4"/>
  <c r="K892" i="4"/>
  <c r="L892" i="4"/>
  <c r="M892" i="4"/>
  <c r="N892" i="4"/>
  <c r="O892" i="4"/>
  <c r="P892" i="4"/>
  <c r="Q892" i="4"/>
  <c r="R892" i="4"/>
  <c r="S892" i="4"/>
  <c r="T892" i="4"/>
  <c r="U892" i="4"/>
  <c r="V892" i="4"/>
  <c r="W892" i="4"/>
  <c r="X892" i="4"/>
  <c r="Y892" i="4"/>
  <c r="B893" i="4"/>
  <c r="C893" i="4"/>
  <c r="D893" i="4"/>
  <c r="E893" i="4"/>
  <c r="F893" i="4"/>
  <c r="G893" i="4"/>
  <c r="H893" i="4"/>
  <c r="I893" i="4"/>
  <c r="J893" i="4"/>
  <c r="K893" i="4"/>
  <c r="L893" i="4"/>
  <c r="M893" i="4"/>
  <c r="N893" i="4"/>
  <c r="O893" i="4"/>
  <c r="P893" i="4"/>
  <c r="Q893" i="4"/>
  <c r="R893" i="4"/>
  <c r="S893" i="4"/>
  <c r="T893" i="4"/>
  <c r="U893" i="4"/>
  <c r="V893" i="4"/>
  <c r="W893" i="4"/>
  <c r="X893" i="4"/>
  <c r="Y893" i="4"/>
  <c r="B894" i="4"/>
  <c r="C894" i="4"/>
  <c r="D894" i="4"/>
  <c r="E894" i="4"/>
  <c r="F894" i="4"/>
  <c r="G894" i="4"/>
  <c r="H894" i="4"/>
  <c r="I894" i="4"/>
  <c r="J894" i="4"/>
  <c r="K894" i="4"/>
  <c r="L894" i="4"/>
  <c r="M894" i="4"/>
  <c r="N894" i="4"/>
  <c r="O894" i="4"/>
  <c r="P894" i="4"/>
  <c r="AD894" i="4" s="1"/>
  <c r="Q894" i="4"/>
  <c r="R894" i="4"/>
  <c r="S894" i="4"/>
  <c r="T894" i="4"/>
  <c r="U894" i="4"/>
  <c r="V894" i="4"/>
  <c r="W894" i="4"/>
  <c r="X894" i="4"/>
  <c r="Y894" i="4"/>
  <c r="B895" i="4"/>
  <c r="C895" i="4"/>
  <c r="D895" i="4"/>
  <c r="E895" i="4"/>
  <c r="F895" i="4"/>
  <c r="G895" i="4"/>
  <c r="H895" i="4"/>
  <c r="I895" i="4"/>
  <c r="J895" i="4"/>
  <c r="K895" i="4"/>
  <c r="L895" i="4"/>
  <c r="M895" i="4"/>
  <c r="N895" i="4"/>
  <c r="O895" i="4"/>
  <c r="P895" i="4"/>
  <c r="Q895" i="4"/>
  <c r="R895" i="4"/>
  <c r="S895" i="4"/>
  <c r="T895" i="4"/>
  <c r="U895" i="4"/>
  <c r="V895" i="4"/>
  <c r="W895" i="4"/>
  <c r="X895" i="4"/>
  <c r="Y895" i="4"/>
  <c r="B896" i="4"/>
  <c r="C896" i="4"/>
  <c r="D896" i="4"/>
  <c r="E896" i="4"/>
  <c r="F896" i="4"/>
  <c r="G896" i="4"/>
  <c r="H896" i="4"/>
  <c r="I896" i="4"/>
  <c r="J896" i="4"/>
  <c r="K896" i="4"/>
  <c r="L896" i="4"/>
  <c r="M896" i="4"/>
  <c r="N896" i="4"/>
  <c r="O896" i="4"/>
  <c r="P896" i="4"/>
  <c r="Q896" i="4"/>
  <c r="R896" i="4"/>
  <c r="S896" i="4"/>
  <c r="T896" i="4"/>
  <c r="U896" i="4"/>
  <c r="V896" i="4"/>
  <c r="W896" i="4"/>
  <c r="X896" i="4"/>
  <c r="Y896" i="4"/>
  <c r="B897" i="4"/>
  <c r="C897" i="4"/>
  <c r="D897" i="4"/>
  <c r="E897" i="4"/>
  <c r="F897" i="4"/>
  <c r="G897" i="4"/>
  <c r="H897" i="4"/>
  <c r="I897" i="4"/>
  <c r="J897" i="4"/>
  <c r="K897" i="4"/>
  <c r="L897" i="4"/>
  <c r="M897" i="4"/>
  <c r="N897" i="4"/>
  <c r="O897" i="4"/>
  <c r="P897" i="4"/>
  <c r="Q897" i="4"/>
  <c r="R897" i="4"/>
  <c r="S897" i="4"/>
  <c r="T897" i="4"/>
  <c r="U897" i="4"/>
  <c r="V897" i="4"/>
  <c r="W897" i="4"/>
  <c r="X897" i="4"/>
  <c r="Y897" i="4"/>
  <c r="B898" i="4"/>
  <c r="C898" i="4"/>
  <c r="D898" i="4"/>
  <c r="E898" i="4"/>
  <c r="F898" i="4"/>
  <c r="G898" i="4"/>
  <c r="H898" i="4"/>
  <c r="I898" i="4"/>
  <c r="J898" i="4"/>
  <c r="K898" i="4"/>
  <c r="L898" i="4"/>
  <c r="M898" i="4"/>
  <c r="N898" i="4"/>
  <c r="O898" i="4"/>
  <c r="AD898" i="4" s="1"/>
  <c r="P898" i="4"/>
  <c r="Q898" i="4"/>
  <c r="R898" i="4"/>
  <c r="S898" i="4"/>
  <c r="T898" i="4"/>
  <c r="U898" i="4"/>
  <c r="V898" i="4"/>
  <c r="W898" i="4"/>
  <c r="X898" i="4"/>
  <c r="Y898" i="4"/>
  <c r="B899" i="4"/>
  <c r="C899" i="4"/>
  <c r="AC899" i="4" s="1"/>
  <c r="D899" i="4"/>
  <c r="E899" i="4"/>
  <c r="F899" i="4"/>
  <c r="G899" i="4"/>
  <c r="H899" i="4"/>
  <c r="I899" i="4"/>
  <c r="J899" i="4"/>
  <c r="K899" i="4"/>
  <c r="L899" i="4"/>
  <c r="M899" i="4"/>
  <c r="N899" i="4"/>
  <c r="O899" i="4"/>
  <c r="P899" i="4"/>
  <c r="Q899" i="4"/>
  <c r="R899" i="4"/>
  <c r="S899" i="4"/>
  <c r="T899" i="4"/>
  <c r="U899" i="4"/>
  <c r="V899" i="4"/>
  <c r="W899" i="4"/>
  <c r="X899" i="4"/>
  <c r="Y899" i="4"/>
  <c r="B900" i="4"/>
  <c r="C900" i="4"/>
  <c r="D900" i="4"/>
  <c r="E900" i="4"/>
  <c r="F900" i="4"/>
  <c r="G900" i="4"/>
  <c r="H900" i="4"/>
  <c r="I900" i="4"/>
  <c r="J900" i="4"/>
  <c r="K900" i="4"/>
  <c r="L900" i="4"/>
  <c r="M900" i="4"/>
  <c r="N900" i="4"/>
  <c r="O900" i="4"/>
  <c r="P900" i="4"/>
  <c r="Q900" i="4"/>
  <c r="R900" i="4"/>
  <c r="S900" i="4"/>
  <c r="T900" i="4"/>
  <c r="U900" i="4"/>
  <c r="V900" i="4"/>
  <c r="W900" i="4"/>
  <c r="X900" i="4"/>
  <c r="Y900" i="4"/>
  <c r="B901" i="4"/>
  <c r="C901" i="4"/>
  <c r="D901" i="4"/>
  <c r="E901" i="4"/>
  <c r="F901" i="4"/>
  <c r="G901" i="4"/>
  <c r="H901" i="4"/>
  <c r="I901" i="4"/>
  <c r="J901" i="4"/>
  <c r="K901" i="4"/>
  <c r="L901" i="4"/>
  <c r="M901" i="4"/>
  <c r="N901" i="4"/>
  <c r="O901" i="4"/>
  <c r="P901" i="4"/>
  <c r="Q901" i="4"/>
  <c r="R901" i="4"/>
  <c r="S901" i="4"/>
  <c r="T901" i="4"/>
  <c r="U901" i="4"/>
  <c r="V901" i="4"/>
  <c r="W901" i="4"/>
  <c r="X901" i="4"/>
  <c r="Y901" i="4"/>
  <c r="B902" i="4"/>
  <c r="C902" i="4"/>
  <c r="D902" i="4"/>
  <c r="E902" i="4"/>
  <c r="F902" i="4"/>
  <c r="G902" i="4"/>
  <c r="H902" i="4"/>
  <c r="I902" i="4"/>
  <c r="J902" i="4"/>
  <c r="K902" i="4"/>
  <c r="L902" i="4"/>
  <c r="M902" i="4"/>
  <c r="N902" i="4"/>
  <c r="O902" i="4"/>
  <c r="P902" i="4"/>
  <c r="Q902" i="4"/>
  <c r="R902" i="4"/>
  <c r="S902" i="4"/>
  <c r="T902" i="4"/>
  <c r="U902" i="4"/>
  <c r="V902" i="4"/>
  <c r="W902" i="4"/>
  <c r="X902" i="4"/>
  <c r="Y902" i="4"/>
  <c r="B903" i="4"/>
  <c r="C903" i="4"/>
  <c r="D903" i="4"/>
  <c r="E903" i="4"/>
  <c r="F903" i="4"/>
  <c r="G903" i="4"/>
  <c r="H903" i="4"/>
  <c r="I903" i="4"/>
  <c r="J903" i="4"/>
  <c r="K903" i="4"/>
  <c r="L903" i="4"/>
  <c r="M903" i="4"/>
  <c r="N903" i="4"/>
  <c r="O903" i="4"/>
  <c r="P903" i="4"/>
  <c r="Q903" i="4"/>
  <c r="R903" i="4"/>
  <c r="S903" i="4"/>
  <c r="T903" i="4"/>
  <c r="U903" i="4"/>
  <c r="V903" i="4"/>
  <c r="W903" i="4"/>
  <c r="X903" i="4"/>
  <c r="Y903" i="4"/>
  <c r="B904" i="4"/>
  <c r="C904" i="4"/>
  <c r="D904" i="4"/>
  <c r="E904" i="4"/>
  <c r="F904" i="4"/>
  <c r="G904" i="4"/>
  <c r="H904" i="4"/>
  <c r="I904" i="4"/>
  <c r="J904" i="4"/>
  <c r="K904" i="4"/>
  <c r="L904" i="4"/>
  <c r="M904" i="4"/>
  <c r="N904" i="4"/>
  <c r="O904" i="4"/>
  <c r="P904" i="4"/>
  <c r="Q904" i="4"/>
  <c r="R904" i="4"/>
  <c r="S904" i="4"/>
  <c r="T904" i="4"/>
  <c r="U904" i="4"/>
  <c r="V904" i="4"/>
  <c r="W904" i="4"/>
  <c r="X904" i="4"/>
  <c r="Y904" i="4"/>
  <c r="B905" i="4"/>
  <c r="C905" i="4"/>
  <c r="D905" i="4"/>
  <c r="E905" i="4"/>
  <c r="F905" i="4"/>
  <c r="G905" i="4"/>
  <c r="H905" i="4"/>
  <c r="I905" i="4"/>
  <c r="J905" i="4"/>
  <c r="K905" i="4"/>
  <c r="L905" i="4"/>
  <c r="M905" i="4"/>
  <c r="N905" i="4"/>
  <c r="O905" i="4"/>
  <c r="P905" i="4"/>
  <c r="Q905" i="4"/>
  <c r="R905" i="4"/>
  <c r="S905" i="4"/>
  <c r="T905" i="4"/>
  <c r="U905" i="4"/>
  <c r="V905" i="4"/>
  <c r="W905" i="4"/>
  <c r="X905" i="4"/>
  <c r="Y905" i="4"/>
  <c r="B906" i="4"/>
  <c r="C906" i="4"/>
  <c r="D906" i="4"/>
  <c r="E906" i="4"/>
  <c r="F906" i="4"/>
  <c r="G906" i="4"/>
  <c r="H906" i="4"/>
  <c r="I906" i="4"/>
  <c r="J906" i="4"/>
  <c r="K906" i="4"/>
  <c r="L906" i="4"/>
  <c r="M906" i="4"/>
  <c r="N906" i="4"/>
  <c r="O906" i="4"/>
  <c r="P906" i="4"/>
  <c r="Q906" i="4"/>
  <c r="R906" i="4"/>
  <c r="S906" i="4"/>
  <c r="T906" i="4"/>
  <c r="U906" i="4"/>
  <c r="V906" i="4"/>
  <c r="W906" i="4"/>
  <c r="X906" i="4"/>
  <c r="Y906" i="4"/>
  <c r="B907" i="4"/>
  <c r="C907" i="4"/>
  <c r="D907" i="4"/>
  <c r="E907" i="4"/>
  <c r="F907" i="4"/>
  <c r="G907" i="4"/>
  <c r="H907" i="4"/>
  <c r="I907" i="4"/>
  <c r="J907" i="4"/>
  <c r="K907" i="4"/>
  <c r="L907" i="4"/>
  <c r="M907" i="4"/>
  <c r="N907" i="4"/>
  <c r="O907" i="4"/>
  <c r="P907" i="4"/>
  <c r="Q907" i="4"/>
  <c r="R907" i="4"/>
  <c r="S907" i="4"/>
  <c r="T907" i="4"/>
  <c r="U907" i="4"/>
  <c r="V907" i="4"/>
  <c r="W907" i="4"/>
  <c r="X907" i="4"/>
  <c r="Y907" i="4"/>
  <c r="AD907" i="4"/>
  <c r="B908" i="4"/>
  <c r="C908" i="4"/>
  <c r="D908" i="4"/>
  <c r="E908" i="4"/>
  <c r="F908" i="4"/>
  <c r="G908" i="4"/>
  <c r="H908" i="4"/>
  <c r="I908" i="4"/>
  <c r="J908" i="4"/>
  <c r="K908" i="4"/>
  <c r="L908" i="4"/>
  <c r="M908" i="4"/>
  <c r="N908" i="4"/>
  <c r="O908" i="4"/>
  <c r="P908" i="4"/>
  <c r="Q908" i="4"/>
  <c r="R908" i="4"/>
  <c r="S908" i="4"/>
  <c r="T908" i="4"/>
  <c r="U908" i="4"/>
  <c r="V908" i="4"/>
  <c r="W908" i="4"/>
  <c r="X908" i="4"/>
  <c r="Y908" i="4"/>
  <c r="B909" i="4"/>
  <c r="C909" i="4"/>
  <c r="D909" i="4"/>
  <c r="E909" i="4"/>
  <c r="F909" i="4"/>
  <c r="G909" i="4"/>
  <c r="H909" i="4"/>
  <c r="I909" i="4"/>
  <c r="J909" i="4"/>
  <c r="K909" i="4"/>
  <c r="L909" i="4"/>
  <c r="M909" i="4"/>
  <c r="N909" i="4"/>
  <c r="O909" i="4"/>
  <c r="P909" i="4"/>
  <c r="Q909" i="4"/>
  <c r="R909" i="4"/>
  <c r="S909" i="4"/>
  <c r="T909" i="4"/>
  <c r="U909" i="4"/>
  <c r="V909" i="4"/>
  <c r="W909" i="4"/>
  <c r="X909" i="4"/>
  <c r="Y909" i="4"/>
  <c r="B910" i="4"/>
  <c r="C910" i="4"/>
  <c r="D910" i="4"/>
  <c r="E910" i="4"/>
  <c r="F910" i="4"/>
  <c r="G910" i="4"/>
  <c r="H910" i="4"/>
  <c r="I910" i="4"/>
  <c r="J910" i="4"/>
  <c r="K910" i="4"/>
  <c r="L910" i="4"/>
  <c r="M910" i="4"/>
  <c r="N910" i="4"/>
  <c r="O910" i="4"/>
  <c r="P910" i="4"/>
  <c r="Q910" i="4"/>
  <c r="R910" i="4"/>
  <c r="S910" i="4"/>
  <c r="T910" i="4"/>
  <c r="U910" i="4"/>
  <c r="V910" i="4"/>
  <c r="W910" i="4"/>
  <c r="X910" i="4"/>
  <c r="Y910" i="4"/>
  <c r="B911" i="4"/>
  <c r="C911" i="4"/>
  <c r="D911" i="4"/>
  <c r="E911" i="4"/>
  <c r="F911" i="4"/>
  <c r="G911" i="4"/>
  <c r="H911" i="4"/>
  <c r="I911" i="4"/>
  <c r="J911" i="4"/>
  <c r="K911" i="4"/>
  <c r="L911" i="4"/>
  <c r="M911" i="4"/>
  <c r="AD911" i="4" s="1"/>
  <c r="N911" i="4"/>
  <c r="O911" i="4"/>
  <c r="P911" i="4"/>
  <c r="Q911" i="4"/>
  <c r="R911" i="4"/>
  <c r="S911" i="4"/>
  <c r="T911" i="4"/>
  <c r="U911" i="4"/>
  <c r="V911" i="4"/>
  <c r="W911" i="4"/>
  <c r="X911" i="4"/>
  <c r="Y911" i="4"/>
  <c r="AC911" i="4"/>
  <c r="B912" i="4"/>
  <c r="C912" i="4"/>
  <c r="D912" i="4"/>
  <c r="E912" i="4"/>
  <c r="F912" i="4"/>
  <c r="G912" i="4"/>
  <c r="H912" i="4"/>
  <c r="I912" i="4"/>
  <c r="J912" i="4"/>
  <c r="K912" i="4"/>
  <c r="L912" i="4"/>
  <c r="M912" i="4"/>
  <c r="N912" i="4"/>
  <c r="O912" i="4"/>
  <c r="P912" i="4"/>
  <c r="Q912" i="4"/>
  <c r="R912" i="4"/>
  <c r="S912" i="4"/>
  <c r="T912" i="4"/>
  <c r="U912" i="4"/>
  <c r="V912" i="4"/>
  <c r="W912" i="4"/>
  <c r="X912" i="4"/>
  <c r="Y912" i="4"/>
  <c r="B913" i="4"/>
  <c r="C913" i="4"/>
  <c r="D913" i="4"/>
  <c r="E913" i="4"/>
  <c r="F913" i="4"/>
  <c r="G913" i="4"/>
  <c r="H913" i="4"/>
  <c r="I913" i="4"/>
  <c r="J913" i="4"/>
  <c r="K913" i="4"/>
  <c r="L913" i="4"/>
  <c r="M913" i="4"/>
  <c r="N913" i="4"/>
  <c r="O913" i="4"/>
  <c r="P913" i="4"/>
  <c r="Q913" i="4"/>
  <c r="R913" i="4"/>
  <c r="S913" i="4"/>
  <c r="T913" i="4"/>
  <c r="U913" i="4"/>
  <c r="V913" i="4"/>
  <c r="W913" i="4"/>
  <c r="X913" i="4"/>
  <c r="Y913" i="4"/>
  <c r="B914" i="4"/>
  <c r="C914" i="4"/>
  <c r="D914" i="4"/>
  <c r="E914" i="4"/>
  <c r="F914" i="4"/>
  <c r="G914" i="4"/>
  <c r="H914" i="4"/>
  <c r="I914" i="4"/>
  <c r="J914" i="4"/>
  <c r="K914" i="4"/>
  <c r="L914" i="4"/>
  <c r="M914" i="4"/>
  <c r="AD914" i="4" s="1"/>
  <c r="N914" i="4"/>
  <c r="O914" i="4"/>
  <c r="P914" i="4"/>
  <c r="Q914" i="4"/>
  <c r="R914" i="4"/>
  <c r="S914" i="4"/>
  <c r="T914" i="4"/>
  <c r="U914" i="4"/>
  <c r="V914" i="4"/>
  <c r="W914" i="4"/>
  <c r="X914" i="4"/>
  <c r="Y914" i="4"/>
  <c r="B915" i="4"/>
  <c r="C915" i="4"/>
  <c r="D915" i="4"/>
  <c r="E915" i="4"/>
  <c r="F915" i="4"/>
  <c r="G915" i="4"/>
  <c r="H915" i="4"/>
  <c r="I915" i="4"/>
  <c r="J915" i="4"/>
  <c r="K915" i="4"/>
  <c r="L915" i="4"/>
  <c r="M915" i="4"/>
  <c r="N915" i="4"/>
  <c r="O915" i="4"/>
  <c r="AD915" i="4" s="1"/>
  <c r="P915" i="4"/>
  <c r="Q915" i="4"/>
  <c r="R915" i="4"/>
  <c r="S915" i="4"/>
  <c r="T915" i="4"/>
  <c r="U915" i="4"/>
  <c r="V915" i="4"/>
  <c r="W915" i="4"/>
  <c r="X915" i="4"/>
  <c r="Y915" i="4"/>
  <c r="B916" i="4"/>
  <c r="C916" i="4"/>
  <c r="D916" i="4"/>
  <c r="E916" i="4"/>
  <c r="F916" i="4"/>
  <c r="G916" i="4"/>
  <c r="H916" i="4"/>
  <c r="I916" i="4"/>
  <c r="J916" i="4"/>
  <c r="K916" i="4"/>
  <c r="L916" i="4"/>
  <c r="M916" i="4"/>
  <c r="N916" i="4"/>
  <c r="O916" i="4"/>
  <c r="AD916" i="4" s="1"/>
  <c r="P916" i="4"/>
  <c r="Q916" i="4"/>
  <c r="R916" i="4"/>
  <c r="S916" i="4"/>
  <c r="T916" i="4"/>
  <c r="U916" i="4"/>
  <c r="V916" i="4"/>
  <c r="W916" i="4"/>
  <c r="X916" i="4"/>
  <c r="Y916" i="4"/>
  <c r="B917" i="4"/>
  <c r="C917" i="4"/>
  <c r="D917" i="4"/>
  <c r="E917" i="4"/>
  <c r="F917" i="4"/>
  <c r="G917" i="4"/>
  <c r="H917" i="4"/>
  <c r="I917" i="4"/>
  <c r="J917" i="4"/>
  <c r="K917" i="4"/>
  <c r="L917" i="4"/>
  <c r="M917" i="4"/>
  <c r="N917" i="4"/>
  <c r="O917" i="4"/>
  <c r="P917" i="4"/>
  <c r="Q917" i="4"/>
  <c r="R917" i="4"/>
  <c r="S917" i="4"/>
  <c r="T917" i="4"/>
  <c r="U917" i="4"/>
  <c r="V917" i="4"/>
  <c r="W917" i="4"/>
  <c r="X917" i="4"/>
  <c r="Y917" i="4"/>
  <c r="B918" i="4"/>
  <c r="C918" i="4"/>
  <c r="D918" i="4"/>
  <c r="E918" i="4"/>
  <c r="F918" i="4"/>
  <c r="G918" i="4"/>
  <c r="H918" i="4"/>
  <c r="I918" i="4"/>
  <c r="J918" i="4"/>
  <c r="K918" i="4"/>
  <c r="L918" i="4"/>
  <c r="M918" i="4"/>
  <c r="N918" i="4"/>
  <c r="O918" i="4"/>
  <c r="AD918" i="4" s="1"/>
  <c r="P918" i="4"/>
  <c r="Q918" i="4"/>
  <c r="R918" i="4"/>
  <c r="S918" i="4"/>
  <c r="T918" i="4"/>
  <c r="U918" i="4"/>
  <c r="V918" i="4"/>
  <c r="W918" i="4"/>
  <c r="X918" i="4"/>
  <c r="Y918" i="4"/>
  <c r="B919" i="4"/>
  <c r="C919" i="4"/>
  <c r="D919" i="4"/>
  <c r="E919" i="4"/>
  <c r="F919" i="4"/>
  <c r="G919" i="4"/>
  <c r="H919" i="4"/>
  <c r="I919" i="4"/>
  <c r="J919" i="4"/>
  <c r="K919" i="4"/>
  <c r="L919" i="4"/>
  <c r="M919" i="4"/>
  <c r="N919" i="4"/>
  <c r="O919" i="4"/>
  <c r="AD919" i="4" s="1"/>
  <c r="P919" i="4"/>
  <c r="Q919" i="4"/>
  <c r="R919" i="4"/>
  <c r="S919" i="4"/>
  <c r="T919" i="4"/>
  <c r="U919" i="4"/>
  <c r="V919" i="4"/>
  <c r="W919" i="4"/>
  <c r="X919" i="4"/>
  <c r="Y919" i="4"/>
  <c r="B920" i="4"/>
  <c r="C920" i="4"/>
  <c r="D920" i="4"/>
  <c r="E920" i="4"/>
  <c r="F920" i="4"/>
  <c r="G920" i="4"/>
  <c r="H920" i="4"/>
  <c r="I920" i="4"/>
  <c r="J920" i="4"/>
  <c r="K920" i="4"/>
  <c r="L920" i="4"/>
  <c r="M920" i="4"/>
  <c r="N920" i="4"/>
  <c r="O920" i="4"/>
  <c r="P920" i="4"/>
  <c r="Q920" i="4"/>
  <c r="R920" i="4"/>
  <c r="S920" i="4"/>
  <c r="T920" i="4"/>
  <c r="U920" i="4"/>
  <c r="V920" i="4"/>
  <c r="W920" i="4"/>
  <c r="X920" i="4"/>
  <c r="Y920" i="4"/>
  <c r="B921" i="4"/>
  <c r="C921" i="4"/>
  <c r="D921" i="4"/>
  <c r="E921" i="4"/>
  <c r="F921" i="4"/>
  <c r="G921" i="4"/>
  <c r="H921" i="4"/>
  <c r="I921" i="4"/>
  <c r="J921" i="4"/>
  <c r="K921" i="4"/>
  <c r="L921" i="4"/>
  <c r="M921" i="4"/>
  <c r="N921" i="4"/>
  <c r="O921" i="4"/>
  <c r="P921" i="4"/>
  <c r="Q921" i="4"/>
  <c r="R921" i="4"/>
  <c r="S921" i="4"/>
  <c r="T921" i="4"/>
  <c r="U921" i="4"/>
  <c r="V921" i="4"/>
  <c r="W921" i="4"/>
  <c r="X921" i="4"/>
  <c r="Y921" i="4"/>
  <c r="B922" i="4"/>
  <c r="C922" i="4"/>
  <c r="D922" i="4"/>
  <c r="E922" i="4"/>
  <c r="F922" i="4"/>
  <c r="G922" i="4"/>
  <c r="H922" i="4"/>
  <c r="I922" i="4"/>
  <c r="J922" i="4"/>
  <c r="K922" i="4"/>
  <c r="L922" i="4"/>
  <c r="M922" i="4"/>
  <c r="N922" i="4"/>
  <c r="O922" i="4"/>
  <c r="P922" i="4"/>
  <c r="Q922" i="4"/>
  <c r="R922" i="4"/>
  <c r="S922" i="4"/>
  <c r="T922" i="4"/>
  <c r="U922" i="4"/>
  <c r="V922" i="4"/>
  <c r="W922" i="4"/>
  <c r="X922" i="4"/>
  <c r="Y922" i="4"/>
  <c r="B923" i="4"/>
  <c r="C923" i="4"/>
  <c r="D923" i="4"/>
  <c r="E923" i="4"/>
  <c r="F923" i="4"/>
  <c r="G923" i="4"/>
  <c r="H923" i="4"/>
  <c r="I923" i="4"/>
  <c r="J923" i="4"/>
  <c r="K923" i="4"/>
  <c r="L923" i="4"/>
  <c r="M923" i="4"/>
  <c r="AD923" i="4" s="1"/>
  <c r="N923" i="4"/>
  <c r="O923" i="4"/>
  <c r="P923" i="4"/>
  <c r="Q923" i="4"/>
  <c r="R923" i="4"/>
  <c r="S923" i="4"/>
  <c r="T923" i="4"/>
  <c r="U923" i="4"/>
  <c r="V923" i="4"/>
  <c r="W923" i="4"/>
  <c r="X923" i="4"/>
  <c r="Y923" i="4"/>
  <c r="B924" i="4"/>
  <c r="C924" i="4"/>
  <c r="D924" i="4"/>
  <c r="E924" i="4"/>
  <c r="F924" i="4"/>
  <c r="G924" i="4"/>
  <c r="H924" i="4"/>
  <c r="I924" i="4"/>
  <c r="J924" i="4"/>
  <c r="K924" i="4"/>
  <c r="L924" i="4"/>
  <c r="M924" i="4"/>
  <c r="AD924" i="4" s="1"/>
  <c r="N924" i="4"/>
  <c r="O924" i="4"/>
  <c r="P924" i="4"/>
  <c r="Q924" i="4"/>
  <c r="R924" i="4"/>
  <c r="S924" i="4"/>
  <c r="T924" i="4"/>
  <c r="U924" i="4"/>
  <c r="V924" i="4"/>
  <c r="W924" i="4"/>
  <c r="X924" i="4"/>
  <c r="Y924" i="4"/>
  <c r="B925" i="4"/>
  <c r="C925" i="4"/>
  <c r="D925" i="4"/>
  <c r="E925" i="4"/>
  <c r="F925" i="4"/>
  <c r="G925" i="4"/>
  <c r="H925" i="4"/>
  <c r="I925" i="4"/>
  <c r="J925" i="4"/>
  <c r="K925" i="4"/>
  <c r="L925" i="4"/>
  <c r="M925" i="4"/>
  <c r="N925" i="4"/>
  <c r="O925" i="4"/>
  <c r="P925" i="4"/>
  <c r="Q925" i="4"/>
  <c r="R925" i="4"/>
  <c r="S925" i="4"/>
  <c r="T925" i="4"/>
  <c r="U925" i="4"/>
  <c r="V925" i="4"/>
  <c r="W925" i="4"/>
  <c r="X925" i="4"/>
  <c r="Y925" i="4"/>
  <c r="B926" i="4"/>
  <c r="C926" i="4"/>
  <c r="D926" i="4"/>
  <c r="E926" i="4"/>
  <c r="F926" i="4"/>
  <c r="G926" i="4"/>
  <c r="H926" i="4"/>
  <c r="I926" i="4"/>
  <c r="J926" i="4"/>
  <c r="K926" i="4"/>
  <c r="L926" i="4"/>
  <c r="M926" i="4"/>
  <c r="N926" i="4"/>
  <c r="O926" i="4"/>
  <c r="AD926" i="4" s="1"/>
  <c r="P926" i="4"/>
  <c r="Q926" i="4"/>
  <c r="R926" i="4"/>
  <c r="S926" i="4"/>
  <c r="T926" i="4"/>
  <c r="U926" i="4"/>
  <c r="V926" i="4"/>
  <c r="W926" i="4"/>
  <c r="X926" i="4"/>
  <c r="Y926" i="4"/>
  <c r="B927" i="4"/>
  <c r="C927" i="4"/>
  <c r="D927" i="4"/>
  <c r="E927" i="4"/>
  <c r="F927" i="4"/>
  <c r="G927" i="4"/>
  <c r="H927" i="4"/>
  <c r="I927" i="4"/>
  <c r="J927" i="4"/>
  <c r="K927" i="4"/>
  <c r="L927" i="4"/>
  <c r="M927" i="4"/>
  <c r="N927" i="4"/>
  <c r="O927" i="4"/>
  <c r="P927" i="4"/>
  <c r="Q927" i="4"/>
  <c r="R927" i="4"/>
  <c r="S927" i="4"/>
  <c r="T927" i="4"/>
  <c r="U927" i="4"/>
  <c r="V927" i="4"/>
  <c r="W927" i="4"/>
  <c r="X927" i="4"/>
  <c r="Y927" i="4"/>
  <c r="B928" i="4"/>
  <c r="C928" i="4"/>
  <c r="D928" i="4"/>
  <c r="E928" i="4"/>
  <c r="F928" i="4"/>
  <c r="G928" i="4"/>
  <c r="H928" i="4"/>
  <c r="I928" i="4"/>
  <c r="J928" i="4"/>
  <c r="K928" i="4"/>
  <c r="L928" i="4"/>
  <c r="M928" i="4"/>
  <c r="N928" i="4"/>
  <c r="O928" i="4"/>
  <c r="AD928" i="4" s="1"/>
  <c r="P928" i="4"/>
  <c r="Q928" i="4"/>
  <c r="R928" i="4"/>
  <c r="S928" i="4"/>
  <c r="T928" i="4"/>
  <c r="U928" i="4"/>
  <c r="V928" i="4"/>
  <c r="W928" i="4"/>
  <c r="X928" i="4"/>
  <c r="Y928" i="4"/>
  <c r="B929" i="4"/>
  <c r="C929" i="4"/>
  <c r="D929" i="4"/>
  <c r="E929" i="4"/>
  <c r="F929" i="4"/>
  <c r="G929" i="4"/>
  <c r="H929" i="4"/>
  <c r="I929" i="4"/>
  <c r="J929" i="4"/>
  <c r="K929" i="4"/>
  <c r="L929" i="4"/>
  <c r="M929" i="4"/>
  <c r="N929" i="4"/>
  <c r="O929" i="4"/>
  <c r="P929" i="4"/>
  <c r="Q929" i="4"/>
  <c r="R929" i="4"/>
  <c r="S929" i="4"/>
  <c r="T929" i="4"/>
  <c r="U929" i="4"/>
  <c r="V929" i="4"/>
  <c r="W929" i="4"/>
  <c r="X929" i="4"/>
  <c r="Y929" i="4"/>
  <c r="B930" i="4"/>
  <c r="C930" i="4"/>
  <c r="D930" i="4"/>
  <c r="E930" i="4"/>
  <c r="F930" i="4"/>
  <c r="G930" i="4"/>
  <c r="H930" i="4"/>
  <c r="I930" i="4"/>
  <c r="J930" i="4"/>
  <c r="K930" i="4"/>
  <c r="L930" i="4"/>
  <c r="M930" i="4"/>
  <c r="N930" i="4"/>
  <c r="O930" i="4"/>
  <c r="P930" i="4"/>
  <c r="Q930" i="4"/>
  <c r="R930" i="4"/>
  <c r="S930" i="4"/>
  <c r="T930" i="4"/>
  <c r="U930" i="4"/>
  <c r="V930" i="4"/>
  <c r="W930" i="4"/>
  <c r="X930" i="4"/>
  <c r="Y930" i="4"/>
  <c r="B931" i="4"/>
  <c r="C931" i="4"/>
  <c r="D931" i="4"/>
  <c r="E931" i="4"/>
  <c r="F931" i="4"/>
  <c r="G931" i="4"/>
  <c r="H931" i="4"/>
  <c r="I931" i="4"/>
  <c r="J931" i="4"/>
  <c r="K931" i="4"/>
  <c r="L931" i="4"/>
  <c r="M931" i="4"/>
  <c r="N931" i="4"/>
  <c r="O931" i="4"/>
  <c r="P931" i="4"/>
  <c r="Q931" i="4"/>
  <c r="R931" i="4"/>
  <c r="S931" i="4"/>
  <c r="T931" i="4"/>
  <c r="U931" i="4"/>
  <c r="V931" i="4"/>
  <c r="W931" i="4"/>
  <c r="X931" i="4"/>
  <c r="Y931" i="4"/>
  <c r="B932" i="4"/>
  <c r="C932" i="4"/>
  <c r="D932" i="4"/>
  <c r="E932" i="4"/>
  <c r="F932" i="4"/>
  <c r="G932" i="4"/>
  <c r="H932" i="4"/>
  <c r="I932" i="4"/>
  <c r="J932" i="4"/>
  <c r="K932" i="4"/>
  <c r="L932" i="4"/>
  <c r="M932" i="4"/>
  <c r="AD932" i="4" s="1"/>
  <c r="N932" i="4"/>
  <c r="O932" i="4"/>
  <c r="P932" i="4"/>
  <c r="Q932" i="4"/>
  <c r="R932" i="4"/>
  <c r="S932" i="4"/>
  <c r="T932" i="4"/>
  <c r="U932" i="4"/>
  <c r="V932" i="4"/>
  <c r="W932" i="4"/>
  <c r="X932" i="4"/>
  <c r="Y932" i="4"/>
  <c r="B933" i="4"/>
  <c r="C933" i="4"/>
  <c r="D933" i="4"/>
  <c r="E933" i="4"/>
  <c r="F933" i="4"/>
  <c r="G933" i="4"/>
  <c r="H933" i="4"/>
  <c r="I933" i="4"/>
  <c r="J933" i="4"/>
  <c r="K933" i="4"/>
  <c r="L933" i="4"/>
  <c r="M933" i="4"/>
  <c r="N933" i="4"/>
  <c r="O933" i="4"/>
  <c r="P933" i="4"/>
  <c r="Q933" i="4"/>
  <c r="R933" i="4"/>
  <c r="S933" i="4"/>
  <c r="T933" i="4"/>
  <c r="U933" i="4"/>
  <c r="V933" i="4"/>
  <c r="W933" i="4"/>
  <c r="X933" i="4"/>
  <c r="Y933" i="4"/>
  <c r="B934" i="4"/>
  <c r="C934" i="4"/>
  <c r="D934" i="4"/>
  <c r="E934" i="4"/>
  <c r="F934" i="4"/>
  <c r="G934" i="4"/>
  <c r="H934" i="4"/>
  <c r="I934" i="4"/>
  <c r="J934" i="4"/>
  <c r="K934" i="4"/>
  <c r="L934" i="4"/>
  <c r="M934" i="4"/>
  <c r="N934" i="4"/>
  <c r="O934" i="4"/>
  <c r="P934" i="4"/>
  <c r="Q934" i="4"/>
  <c r="R934" i="4"/>
  <c r="S934" i="4"/>
  <c r="T934" i="4"/>
  <c r="U934" i="4"/>
  <c r="V934" i="4"/>
  <c r="W934" i="4"/>
  <c r="X934" i="4"/>
  <c r="Y934" i="4"/>
  <c r="AD934" i="4"/>
  <c r="B935" i="4"/>
  <c r="C935" i="4"/>
  <c r="D935" i="4"/>
  <c r="E935" i="4"/>
  <c r="F935" i="4"/>
  <c r="G935" i="4"/>
  <c r="H935" i="4"/>
  <c r="I935" i="4"/>
  <c r="J935" i="4"/>
  <c r="K935" i="4"/>
  <c r="L935" i="4"/>
  <c r="M935" i="4"/>
  <c r="N935" i="4"/>
  <c r="O935" i="4"/>
  <c r="P935" i="4"/>
  <c r="Q935" i="4"/>
  <c r="R935" i="4"/>
  <c r="S935" i="4"/>
  <c r="T935" i="4"/>
  <c r="U935" i="4"/>
  <c r="V935" i="4"/>
  <c r="W935" i="4"/>
  <c r="X935" i="4"/>
  <c r="Y935" i="4"/>
  <c r="AD935" i="4"/>
  <c r="B936" i="4"/>
  <c r="C936" i="4"/>
  <c r="D936" i="4"/>
  <c r="E936" i="4"/>
  <c r="F936" i="4"/>
  <c r="G936" i="4"/>
  <c r="H936" i="4"/>
  <c r="I936" i="4"/>
  <c r="J936" i="4"/>
  <c r="K936" i="4"/>
  <c r="L936" i="4"/>
  <c r="M936" i="4"/>
  <c r="N936" i="4"/>
  <c r="O936" i="4"/>
  <c r="P936" i="4"/>
  <c r="Q936" i="4"/>
  <c r="R936" i="4"/>
  <c r="S936" i="4"/>
  <c r="T936" i="4"/>
  <c r="U936" i="4"/>
  <c r="V936" i="4"/>
  <c r="W936" i="4"/>
  <c r="X936" i="4"/>
  <c r="Y936" i="4"/>
  <c r="B937" i="4"/>
  <c r="C937" i="4"/>
  <c r="D937" i="4"/>
  <c r="E937" i="4"/>
  <c r="F937" i="4"/>
  <c r="G937" i="4"/>
  <c r="H937" i="4"/>
  <c r="I937" i="4"/>
  <c r="J937" i="4"/>
  <c r="K937" i="4"/>
  <c r="L937" i="4"/>
  <c r="M937" i="4"/>
  <c r="N937" i="4"/>
  <c r="O937" i="4"/>
  <c r="P937" i="4"/>
  <c r="Q937" i="4"/>
  <c r="R937" i="4"/>
  <c r="S937" i="4"/>
  <c r="T937" i="4"/>
  <c r="U937" i="4"/>
  <c r="V937" i="4"/>
  <c r="W937" i="4"/>
  <c r="X937" i="4"/>
  <c r="Y937" i="4"/>
  <c r="B938" i="4"/>
  <c r="C938" i="4"/>
  <c r="D938" i="4"/>
  <c r="E938" i="4"/>
  <c r="F938" i="4"/>
  <c r="G938" i="4"/>
  <c r="H938" i="4"/>
  <c r="I938" i="4"/>
  <c r="J938" i="4"/>
  <c r="K938" i="4"/>
  <c r="L938" i="4"/>
  <c r="M938" i="4"/>
  <c r="N938" i="4"/>
  <c r="O938" i="4"/>
  <c r="P938" i="4"/>
  <c r="Q938" i="4"/>
  <c r="R938" i="4"/>
  <c r="S938" i="4"/>
  <c r="T938" i="4"/>
  <c r="U938" i="4"/>
  <c r="V938" i="4"/>
  <c r="W938" i="4"/>
  <c r="X938" i="4"/>
  <c r="Y938" i="4"/>
  <c r="B939" i="4"/>
  <c r="C939" i="4"/>
  <c r="D939" i="4"/>
  <c r="AC939" i="4" s="1"/>
  <c r="E939" i="4"/>
  <c r="F939" i="4"/>
  <c r="G939" i="4"/>
  <c r="H939" i="4"/>
  <c r="I939" i="4"/>
  <c r="J939" i="4"/>
  <c r="K939" i="4"/>
  <c r="L939" i="4"/>
  <c r="M939" i="4"/>
  <c r="N939" i="4"/>
  <c r="O939" i="4"/>
  <c r="P939" i="4"/>
  <c r="AD939" i="4" s="1"/>
  <c r="Q939" i="4"/>
  <c r="R939" i="4"/>
  <c r="S939" i="4"/>
  <c r="T939" i="4"/>
  <c r="U939" i="4"/>
  <c r="V939" i="4"/>
  <c r="W939" i="4"/>
  <c r="X939" i="4"/>
  <c r="Y939" i="4"/>
  <c r="B940" i="4"/>
  <c r="C940" i="4"/>
  <c r="D940" i="4"/>
  <c r="E940" i="4"/>
  <c r="F940" i="4"/>
  <c r="G940" i="4"/>
  <c r="H940" i="4"/>
  <c r="I940" i="4"/>
  <c r="J940" i="4"/>
  <c r="K940" i="4"/>
  <c r="L940" i="4"/>
  <c r="M940" i="4"/>
  <c r="N940" i="4"/>
  <c r="O940" i="4"/>
  <c r="P940" i="4"/>
  <c r="Q940" i="4"/>
  <c r="R940" i="4"/>
  <c r="S940" i="4"/>
  <c r="T940" i="4"/>
  <c r="U940" i="4"/>
  <c r="V940" i="4"/>
  <c r="W940" i="4"/>
  <c r="X940" i="4"/>
  <c r="Y940" i="4"/>
  <c r="B941" i="4"/>
  <c r="C941" i="4"/>
  <c r="D941" i="4"/>
  <c r="E941" i="4"/>
  <c r="F941" i="4"/>
  <c r="G941" i="4"/>
  <c r="H941" i="4"/>
  <c r="I941" i="4"/>
  <c r="J941" i="4"/>
  <c r="K941" i="4"/>
  <c r="L941" i="4"/>
  <c r="M941" i="4"/>
  <c r="N941" i="4"/>
  <c r="O941" i="4"/>
  <c r="P941" i="4"/>
  <c r="Q941" i="4"/>
  <c r="R941" i="4"/>
  <c r="S941" i="4"/>
  <c r="T941" i="4"/>
  <c r="U941" i="4"/>
  <c r="V941" i="4"/>
  <c r="W941" i="4"/>
  <c r="X941" i="4"/>
  <c r="Y941" i="4"/>
  <c r="B942" i="4"/>
  <c r="C942" i="4"/>
  <c r="D942" i="4"/>
  <c r="E942" i="4"/>
  <c r="F942" i="4"/>
  <c r="G942" i="4"/>
  <c r="H942" i="4"/>
  <c r="I942" i="4"/>
  <c r="J942" i="4"/>
  <c r="K942" i="4"/>
  <c r="L942" i="4"/>
  <c r="M942" i="4"/>
  <c r="N942" i="4"/>
  <c r="O942" i="4"/>
  <c r="P942" i="4"/>
  <c r="Q942" i="4"/>
  <c r="R942" i="4"/>
  <c r="S942" i="4"/>
  <c r="T942" i="4"/>
  <c r="U942" i="4"/>
  <c r="V942" i="4"/>
  <c r="W942" i="4"/>
  <c r="X942" i="4"/>
  <c r="Y942" i="4"/>
  <c r="B943" i="4"/>
  <c r="C943" i="4"/>
  <c r="D943" i="4"/>
  <c r="E943" i="4"/>
  <c r="F943" i="4"/>
  <c r="G943" i="4"/>
  <c r="H943" i="4"/>
  <c r="I943" i="4"/>
  <c r="J943" i="4"/>
  <c r="K943" i="4"/>
  <c r="L943" i="4"/>
  <c r="M943" i="4"/>
  <c r="N943" i="4"/>
  <c r="O943" i="4"/>
  <c r="P943" i="4"/>
  <c r="Q943" i="4"/>
  <c r="R943" i="4"/>
  <c r="S943" i="4"/>
  <c r="T943" i="4"/>
  <c r="U943" i="4"/>
  <c r="V943" i="4"/>
  <c r="W943" i="4"/>
  <c r="X943" i="4"/>
  <c r="Y943" i="4"/>
  <c r="AD943" i="4"/>
  <c r="B944" i="4"/>
  <c r="C944" i="4"/>
  <c r="D944" i="4"/>
  <c r="E944" i="4"/>
  <c r="F944" i="4"/>
  <c r="G944" i="4"/>
  <c r="H944" i="4"/>
  <c r="I944" i="4"/>
  <c r="J944" i="4"/>
  <c r="K944" i="4"/>
  <c r="L944" i="4"/>
  <c r="M944" i="4"/>
  <c r="N944" i="4"/>
  <c r="O944" i="4"/>
  <c r="P944" i="4"/>
  <c r="Q944" i="4"/>
  <c r="R944" i="4"/>
  <c r="S944" i="4"/>
  <c r="T944" i="4"/>
  <c r="U944" i="4"/>
  <c r="V944" i="4"/>
  <c r="W944" i="4"/>
  <c r="X944" i="4"/>
  <c r="Y944" i="4"/>
  <c r="B945" i="4"/>
  <c r="C945" i="4"/>
  <c r="D945" i="4"/>
  <c r="E945" i="4"/>
  <c r="F945" i="4"/>
  <c r="G945" i="4"/>
  <c r="H945" i="4"/>
  <c r="I945" i="4"/>
  <c r="J945" i="4"/>
  <c r="K945" i="4"/>
  <c r="L945" i="4"/>
  <c r="M945" i="4"/>
  <c r="AD945" i="4" s="1"/>
  <c r="N945" i="4"/>
  <c r="O945" i="4"/>
  <c r="P945" i="4"/>
  <c r="Q945" i="4"/>
  <c r="R945" i="4"/>
  <c r="S945" i="4"/>
  <c r="T945" i="4"/>
  <c r="U945" i="4"/>
  <c r="V945" i="4"/>
  <c r="W945" i="4"/>
  <c r="X945" i="4"/>
  <c r="Y945" i="4"/>
  <c r="B946" i="4"/>
  <c r="C946" i="4"/>
  <c r="D946" i="4"/>
  <c r="E946" i="4"/>
  <c r="F946" i="4"/>
  <c r="G946" i="4"/>
  <c r="H946" i="4"/>
  <c r="I946" i="4"/>
  <c r="J946" i="4"/>
  <c r="K946" i="4"/>
  <c r="L946" i="4"/>
  <c r="M946" i="4"/>
  <c r="AD946" i="4" s="1"/>
  <c r="N946" i="4"/>
  <c r="O946" i="4"/>
  <c r="P946" i="4"/>
  <c r="Q946" i="4"/>
  <c r="R946" i="4"/>
  <c r="S946" i="4"/>
  <c r="T946" i="4"/>
  <c r="U946" i="4"/>
  <c r="V946" i="4"/>
  <c r="W946" i="4"/>
  <c r="X946" i="4"/>
  <c r="Y946" i="4"/>
  <c r="B947" i="4"/>
  <c r="C947" i="4"/>
  <c r="D947" i="4"/>
  <c r="E947" i="4"/>
  <c r="F947" i="4"/>
  <c r="G947" i="4"/>
  <c r="H947" i="4"/>
  <c r="I947" i="4"/>
  <c r="J947" i="4"/>
  <c r="K947" i="4"/>
  <c r="L947" i="4"/>
  <c r="M947" i="4"/>
  <c r="AD947" i="4" s="1"/>
  <c r="N947" i="4"/>
  <c r="O947" i="4"/>
  <c r="P947" i="4"/>
  <c r="Q947" i="4"/>
  <c r="R947" i="4"/>
  <c r="S947" i="4"/>
  <c r="T947" i="4"/>
  <c r="U947" i="4"/>
  <c r="V947" i="4"/>
  <c r="W947" i="4"/>
  <c r="X947" i="4"/>
  <c r="Y947" i="4"/>
  <c r="B948" i="4"/>
  <c r="C948" i="4"/>
  <c r="D948" i="4"/>
  <c r="E948" i="4"/>
  <c r="F948" i="4"/>
  <c r="G948" i="4"/>
  <c r="H948" i="4"/>
  <c r="I948" i="4"/>
  <c r="J948" i="4"/>
  <c r="K948" i="4"/>
  <c r="L948" i="4"/>
  <c r="M948" i="4"/>
  <c r="N948" i="4"/>
  <c r="O948" i="4"/>
  <c r="P948" i="4"/>
  <c r="AD948" i="4" s="1"/>
  <c r="Q948" i="4"/>
  <c r="R948" i="4"/>
  <c r="S948" i="4"/>
  <c r="T948" i="4"/>
  <c r="U948" i="4"/>
  <c r="V948" i="4"/>
  <c r="W948" i="4"/>
  <c r="X948" i="4"/>
  <c r="Y948" i="4"/>
  <c r="B949" i="4"/>
  <c r="C949" i="4"/>
  <c r="D949" i="4"/>
  <c r="E949" i="4"/>
  <c r="F949" i="4"/>
  <c r="G949" i="4"/>
  <c r="H949" i="4"/>
  <c r="I949" i="4"/>
  <c r="J949" i="4"/>
  <c r="K949" i="4"/>
  <c r="L949" i="4"/>
  <c r="M949" i="4"/>
  <c r="N949" i="4"/>
  <c r="O949" i="4"/>
  <c r="P949" i="4"/>
  <c r="Q949" i="4"/>
  <c r="R949" i="4"/>
  <c r="S949" i="4"/>
  <c r="T949" i="4"/>
  <c r="U949" i="4"/>
  <c r="V949" i="4"/>
  <c r="W949" i="4"/>
  <c r="X949" i="4"/>
  <c r="Y949" i="4"/>
  <c r="B950" i="4"/>
  <c r="C950" i="4"/>
  <c r="D950" i="4"/>
  <c r="E950" i="4"/>
  <c r="F950" i="4"/>
  <c r="G950" i="4"/>
  <c r="H950" i="4"/>
  <c r="I950" i="4"/>
  <c r="J950" i="4"/>
  <c r="K950" i="4"/>
  <c r="L950" i="4"/>
  <c r="M950" i="4"/>
  <c r="N950" i="4"/>
  <c r="O950" i="4"/>
  <c r="AD950" i="4" s="1"/>
  <c r="P950" i="4"/>
  <c r="Q950" i="4"/>
  <c r="R950" i="4"/>
  <c r="S950" i="4"/>
  <c r="T950" i="4"/>
  <c r="U950" i="4"/>
  <c r="V950" i="4"/>
  <c r="W950" i="4"/>
  <c r="X950" i="4"/>
  <c r="Y950" i="4"/>
  <c r="B951" i="4"/>
  <c r="C951" i="4"/>
  <c r="D951" i="4"/>
  <c r="E951" i="4"/>
  <c r="F951" i="4"/>
  <c r="G951" i="4"/>
  <c r="H951" i="4"/>
  <c r="I951" i="4"/>
  <c r="J951" i="4"/>
  <c r="K951" i="4"/>
  <c r="L951" i="4"/>
  <c r="M951" i="4"/>
  <c r="N951" i="4"/>
  <c r="O951" i="4"/>
  <c r="P951" i="4"/>
  <c r="Q951" i="4"/>
  <c r="R951" i="4"/>
  <c r="S951" i="4"/>
  <c r="T951" i="4"/>
  <c r="U951" i="4"/>
  <c r="V951" i="4"/>
  <c r="W951" i="4"/>
  <c r="X951" i="4"/>
  <c r="Y951" i="4"/>
  <c r="B952" i="4"/>
  <c r="C952" i="4"/>
  <c r="D952" i="4"/>
  <c r="E952" i="4"/>
  <c r="F952" i="4"/>
  <c r="G952" i="4"/>
  <c r="H952" i="4"/>
  <c r="I952" i="4"/>
  <c r="J952" i="4"/>
  <c r="K952" i="4"/>
  <c r="L952" i="4"/>
  <c r="M952" i="4"/>
  <c r="N952" i="4"/>
  <c r="O952" i="4"/>
  <c r="P952" i="4"/>
  <c r="Q952" i="4"/>
  <c r="R952" i="4"/>
  <c r="S952" i="4"/>
  <c r="T952" i="4"/>
  <c r="U952" i="4"/>
  <c r="V952" i="4"/>
  <c r="W952" i="4"/>
  <c r="X952" i="4"/>
  <c r="Y952" i="4"/>
  <c r="B953" i="4"/>
  <c r="C953" i="4"/>
  <c r="D953" i="4"/>
  <c r="E953" i="4"/>
  <c r="F953" i="4"/>
  <c r="G953" i="4"/>
  <c r="H953" i="4"/>
  <c r="I953" i="4"/>
  <c r="J953" i="4"/>
  <c r="K953" i="4"/>
  <c r="L953" i="4"/>
  <c r="M953" i="4"/>
  <c r="N953" i="4"/>
  <c r="O953" i="4"/>
  <c r="P953" i="4"/>
  <c r="Q953" i="4"/>
  <c r="R953" i="4"/>
  <c r="S953" i="4"/>
  <c r="T953" i="4"/>
  <c r="U953" i="4"/>
  <c r="V953" i="4"/>
  <c r="W953" i="4"/>
  <c r="X953" i="4"/>
  <c r="Y953" i="4"/>
  <c r="B954" i="4"/>
  <c r="C954" i="4"/>
  <c r="D954" i="4"/>
  <c r="E954" i="4"/>
  <c r="F954" i="4"/>
  <c r="G954" i="4"/>
  <c r="H954" i="4"/>
  <c r="I954" i="4"/>
  <c r="J954" i="4"/>
  <c r="K954" i="4"/>
  <c r="L954" i="4"/>
  <c r="M954" i="4"/>
  <c r="N954" i="4"/>
  <c r="O954" i="4"/>
  <c r="P954" i="4"/>
  <c r="Q954" i="4"/>
  <c r="R954" i="4"/>
  <c r="S954" i="4"/>
  <c r="T954" i="4"/>
  <c r="U954" i="4"/>
  <c r="V954" i="4"/>
  <c r="W954" i="4"/>
  <c r="X954" i="4"/>
  <c r="Y954" i="4"/>
  <c r="AD954" i="4"/>
  <c r="B955" i="4"/>
  <c r="C955" i="4"/>
  <c r="D955" i="4"/>
  <c r="E955" i="4"/>
  <c r="F955" i="4"/>
  <c r="G955" i="4"/>
  <c r="H955" i="4"/>
  <c r="I955" i="4"/>
  <c r="J955" i="4"/>
  <c r="K955" i="4"/>
  <c r="L955" i="4"/>
  <c r="M955" i="4"/>
  <c r="AD955" i="4" s="1"/>
  <c r="N955" i="4"/>
  <c r="O955" i="4"/>
  <c r="P955" i="4"/>
  <c r="Q955" i="4"/>
  <c r="R955" i="4"/>
  <c r="S955" i="4"/>
  <c r="T955" i="4"/>
  <c r="U955" i="4"/>
  <c r="V955" i="4"/>
  <c r="W955" i="4"/>
  <c r="X955" i="4"/>
  <c r="Y955" i="4"/>
  <c r="B956" i="4"/>
  <c r="C956" i="4"/>
  <c r="D956" i="4"/>
  <c r="E956" i="4"/>
  <c r="F956" i="4"/>
  <c r="G956" i="4"/>
  <c r="H956" i="4"/>
  <c r="I956" i="4"/>
  <c r="J956" i="4"/>
  <c r="K956" i="4"/>
  <c r="L956" i="4"/>
  <c r="M956" i="4"/>
  <c r="N956" i="4"/>
  <c r="O956" i="4"/>
  <c r="P956" i="4"/>
  <c r="Q956" i="4"/>
  <c r="R956" i="4"/>
  <c r="S956" i="4"/>
  <c r="T956" i="4"/>
  <c r="U956" i="4"/>
  <c r="V956" i="4"/>
  <c r="W956" i="4"/>
  <c r="X956" i="4"/>
  <c r="Y956" i="4"/>
  <c r="B957" i="4"/>
  <c r="C957" i="4"/>
  <c r="D957" i="4"/>
  <c r="E957" i="4"/>
  <c r="F957" i="4"/>
  <c r="G957" i="4"/>
  <c r="H957" i="4"/>
  <c r="I957" i="4"/>
  <c r="J957" i="4"/>
  <c r="K957" i="4"/>
  <c r="L957" i="4"/>
  <c r="M957" i="4"/>
  <c r="N957" i="4"/>
  <c r="O957" i="4"/>
  <c r="P957" i="4"/>
  <c r="Q957" i="4"/>
  <c r="R957" i="4"/>
  <c r="S957" i="4"/>
  <c r="T957" i="4"/>
  <c r="U957" i="4"/>
  <c r="V957" i="4"/>
  <c r="W957" i="4"/>
  <c r="X957" i="4"/>
  <c r="Y957" i="4"/>
  <c r="B958" i="4"/>
  <c r="C958" i="4"/>
  <c r="D958" i="4"/>
  <c r="E958" i="4"/>
  <c r="F958" i="4"/>
  <c r="G958" i="4"/>
  <c r="H958" i="4"/>
  <c r="I958" i="4"/>
  <c r="J958" i="4"/>
  <c r="K958" i="4"/>
  <c r="L958" i="4"/>
  <c r="M958" i="4"/>
  <c r="N958" i="4"/>
  <c r="O958" i="4"/>
  <c r="P958" i="4"/>
  <c r="Q958" i="4"/>
  <c r="R958" i="4"/>
  <c r="S958" i="4"/>
  <c r="T958" i="4"/>
  <c r="U958" i="4"/>
  <c r="V958" i="4"/>
  <c r="W958" i="4"/>
  <c r="X958" i="4"/>
  <c r="Y958" i="4"/>
  <c r="B959" i="4"/>
  <c r="C959" i="4"/>
  <c r="D959" i="4"/>
  <c r="E959" i="4"/>
  <c r="F959" i="4"/>
  <c r="G959" i="4"/>
  <c r="H959" i="4"/>
  <c r="I959" i="4"/>
  <c r="J959" i="4"/>
  <c r="K959" i="4"/>
  <c r="L959" i="4"/>
  <c r="M959" i="4"/>
  <c r="N959" i="4"/>
  <c r="O959" i="4"/>
  <c r="P959" i="4"/>
  <c r="Q959" i="4"/>
  <c r="R959" i="4"/>
  <c r="S959" i="4"/>
  <c r="T959" i="4"/>
  <c r="U959" i="4"/>
  <c r="V959" i="4"/>
  <c r="W959" i="4"/>
  <c r="X959" i="4"/>
  <c r="Y959" i="4"/>
  <c r="AC959" i="4"/>
  <c r="AD959" i="4"/>
  <c r="B960" i="4"/>
  <c r="C960" i="4"/>
  <c r="D960" i="4"/>
  <c r="E960" i="4"/>
  <c r="F960" i="4"/>
  <c r="G960" i="4"/>
  <c r="H960" i="4"/>
  <c r="I960" i="4"/>
  <c r="J960" i="4"/>
  <c r="K960" i="4"/>
  <c r="L960" i="4"/>
  <c r="M960" i="4"/>
  <c r="N960" i="4"/>
  <c r="O960" i="4"/>
  <c r="P960" i="4"/>
  <c r="Q960" i="4"/>
  <c r="R960" i="4"/>
  <c r="S960" i="4"/>
  <c r="T960" i="4"/>
  <c r="U960" i="4"/>
  <c r="V960" i="4"/>
  <c r="W960" i="4"/>
  <c r="X960" i="4"/>
  <c r="Y960" i="4"/>
  <c r="B961" i="4"/>
  <c r="C961" i="4"/>
  <c r="D961" i="4"/>
  <c r="E961" i="4"/>
  <c r="F961" i="4"/>
  <c r="G961" i="4"/>
  <c r="H961" i="4"/>
  <c r="I961" i="4"/>
  <c r="J961" i="4"/>
  <c r="K961" i="4"/>
  <c r="L961" i="4"/>
  <c r="M961" i="4"/>
  <c r="N961" i="4"/>
  <c r="O961" i="4"/>
  <c r="P961" i="4"/>
  <c r="Q961" i="4"/>
  <c r="R961" i="4"/>
  <c r="S961" i="4"/>
  <c r="T961" i="4"/>
  <c r="U961" i="4"/>
  <c r="V961" i="4"/>
  <c r="W961" i="4"/>
  <c r="X961" i="4"/>
  <c r="Y961" i="4"/>
  <c r="B962" i="4"/>
  <c r="C962" i="4"/>
  <c r="D962" i="4"/>
  <c r="E962" i="4"/>
  <c r="F962" i="4"/>
  <c r="G962" i="4"/>
  <c r="H962" i="4"/>
  <c r="I962" i="4"/>
  <c r="J962" i="4"/>
  <c r="K962" i="4"/>
  <c r="L962" i="4"/>
  <c r="M962" i="4"/>
  <c r="AD962" i="4" s="1"/>
  <c r="N962" i="4"/>
  <c r="O962" i="4"/>
  <c r="P962" i="4"/>
  <c r="Q962" i="4"/>
  <c r="R962" i="4"/>
  <c r="S962" i="4"/>
  <c r="T962" i="4"/>
  <c r="U962" i="4"/>
  <c r="V962" i="4"/>
  <c r="W962" i="4"/>
  <c r="X962" i="4"/>
  <c r="Y962" i="4"/>
  <c r="B963" i="4"/>
  <c r="C963" i="4"/>
  <c r="D963" i="4"/>
  <c r="E963" i="4"/>
  <c r="F963" i="4"/>
  <c r="G963" i="4"/>
  <c r="H963" i="4"/>
  <c r="I963" i="4"/>
  <c r="J963" i="4"/>
  <c r="K963" i="4"/>
  <c r="L963" i="4"/>
  <c r="M963" i="4"/>
  <c r="N963" i="4"/>
  <c r="O963" i="4"/>
  <c r="P963" i="4"/>
  <c r="Q963" i="4"/>
  <c r="R963" i="4"/>
  <c r="S963" i="4"/>
  <c r="T963" i="4"/>
  <c r="U963" i="4"/>
  <c r="V963" i="4"/>
  <c r="W963" i="4"/>
  <c r="X963" i="4"/>
  <c r="Y963" i="4"/>
  <c r="AD963" i="4"/>
  <c r="B964" i="4"/>
  <c r="C964" i="4"/>
  <c r="D964" i="4"/>
  <c r="E964" i="4"/>
  <c r="F964" i="4"/>
  <c r="G964" i="4"/>
  <c r="H964" i="4"/>
  <c r="I964" i="4"/>
  <c r="J964" i="4"/>
  <c r="K964" i="4"/>
  <c r="L964" i="4"/>
  <c r="M964" i="4"/>
  <c r="N964" i="4"/>
  <c r="O964" i="4"/>
  <c r="P964" i="4"/>
  <c r="Q964" i="4"/>
  <c r="R964" i="4"/>
  <c r="S964" i="4"/>
  <c r="T964" i="4"/>
  <c r="U964" i="4"/>
  <c r="V964" i="4"/>
  <c r="W964" i="4"/>
  <c r="X964" i="4"/>
  <c r="Y964" i="4"/>
  <c r="AD964" i="4"/>
  <c r="B965" i="4"/>
  <c r="C965" i="4"/>
  <c r="D965" i="4"/>
  <c r="E965" i="4"/>
  <c r="F965" i="4"/>
  <c r="G965" i="4"/>
  <c r="H965" i="4"/>
  <c r="I965" i="4"/>
  <c r="J965" i="4"/>
  <c r="K965" i="4"/>
  <c r="L965" i="4"/>
  <c r="M965" i="4"/>
  <c r="N965" i="4"/>
  <c r="O965" i="4"/>
  <c r="P965" i="4"/>
  <c r="Q965" i="4"/>
  <c r="R965" i="4"/>
  <c r="S965" i="4"/>
  <c r="T965" i="4"/>
  <c r="U965" i="4"/>
  <c r="V965" i="4"/>
  <c r="W965" i="4"/>
  <c r="X965" i="4"/>
  <c r="Y965" i="4"/>
  <c r="B966" i="4"/>
  <c r="C966" i="4"/>
  <c r="D966" i="4"/>
  <c r="E966" i="4"/>
  <c r="F966" i="4"/>
  <c r="G966" i="4"/>
  <c r="H966" i="4"/>
  <c r="I966" i="4"/>
  <c r="J966" i="4"/>
  <c r="K966" i="4"/>
  <c r="L966" i="4"/>
  <c r="M966" i="4"/>
  <c r="N966" i="4"/>
  <c r="O966" i="4"/>
  <c r="AD966" i="4" s="1"/>
  <c r="P966" i="4"/>
  <c r="Q966" i="4"/>
  <c r="R966" i="4"/>
  <c r="S966" i="4"/>
  <c r="T966" i="4"/>
  <c r="U966" i="4"/>
  <c r="V966" i="4"/>
  <c r="W966" i="4"/>
  <c r="X966" i="4"/>
  <c r="Y966" i="4"/>
  <c r="B967" i="4"/>
  <c r="C967" i="4"/>
  <c r="D967" i="4"/>
  <c r="E967" i="4"/>
  <c r="F967" i="4"/>
  <c r="G967" i="4"/>
  <c r="H967" i="4"/>
  <c r="I967" i="4"/>
  <c r="J967" i="4"/>
  <c r="K967" i="4"/>
  <c r="L967" i="4"/>
  <c r="M967" i="4"/>
  <c r="N967" i="4"/>
  <c r="O967" i="4"/>
  <c r="AD967" i="4" s="1"/>
  <c r="P967" i="4"/>
  <c r="Q967" i="4"/>
  <c r="R967" i="4"/>
  <c r="S967" i="4"/>
  <c r="T967" i="4"/>
  <c r="U967" i="4"/>
  <c r="V967" i="4"/>
  <c r="W967" i="4"/>
  <c r="X967" i="4"/>
  <c r="Y967" i="4"/>
  <c r="B968" i="4"/>
  <c r="C968" i="4"/>
  <c r="D968" i="4"/>
  <c r="E968" i="4"/>
  <c r="F968" i="4"/>
  <c r="G968" i="4"/>
  <c r="H968" i="4"/>
  <c r="I968" i="4"/>
  <c r="J968" i="4"/>
  <c r="K968" i="4"/>
  <c r="L968" i="4"/>
  <c r="M968" i="4"/>
  <c r="N968" i="4"/>
  <c r="O968" i="4"/>
  <c r="P968" i="4"/>
  <c r="Q968" i="4"/>
  <c r="R968" i="4"/>
  <c r="S968" i="4"/>
  <c r="T968" i="4"/>
  <c r="U968" i="4"/>
  <c r="V968" i="4"/>
  <c r="W968" i="4"/>
  <c r="X968" i="4"/>
  <c r="Y968" i="4"/>
  <c r="B969" i="4"/>
  <c r="C969" i="4"/>
  <c r="D969" i="4"/>
  <c r="E969" i="4"/>
  <c r="F969" i="4"/>
  <c r="G969" i="4"/>
  <c r="H969" i="4"/>
  <c r="I969" i="4"/>
  <c r="J969" i="4"/>
  <c r="K969" i="4"/>
  <c r="L969" i="4"/>
  <c r="M969" i="4"/>
  <c r="N969" i="4"/>
  <c r="O969" i="4"/>
  <c r="P969" i="4"/>
  <c r="Q969" i="4"/>
  <c r="R969" i="4"/>
  <c r="S969" i="4"/>
  <c r="T969" i="4"/>
  <c r="U969" i="4"/>
  <c r="V969" i="4"/>
  <c r="W969" i="4"/>
  <c r="X969" i="4"/>
  <c r="Y969" i="4"/>
  <c r="B970" i="4"/>
  <c r="C970" i="4"/>
  <c r="D970" i="4"/>
  <c r="E970" i="4"/>
  <c r="F970" i="4"/>
  <c r="G970" i="4"/>
  <c r="H970" i="4"/>
  <c r="I970" i="4"/>
  <c r="J970" i="4"/>
  <c r="K970" i="4"/>
  <c r="L970" i="4"/>
  <c r="M970" i="4"/>
  <c r="N970" i="4"/>
  <c r="O970" i="4"/>
  <c r="P970" i="4"/>
  <c r="Q970" i="4"/>
  <c r="R970" i="4"/>
  <c r="S970" i="4"/>
  <c r="T970" i="4"/>
  <c r="U970" i="4"/>
  <c r="V970" i="4"/>
  <c r="W970" i="4"/>
  <c r="X970" i="4"/>
  <c r="Y970" i="4"/>
  <c r="B971" i="4"/>
  <c r="C971" i="4"/>
  <c r="D971" i="4"/>
  <c r="E971" i="4"/>
  <c r="F971" i="4"/>
  <c r="G971" i="4"/>
  <c r="H971" i="4"/>
  <c r="I971" i="4"/>
  <c r="J971" i="4"/>
  <c r="K971" i="4"/>
  <c r="L971" i="4"/>
  <c r="M971" i="4"/>
  <c r="N971" i="4"/>
  <c r="O971" i="4"/>
  <c r="P971" i="4"/>
  <c r="Q971" i="4"/>
  <c r="R971" i="4"/>
  <c r="S971" i="4"/>
  <c r="T971" i="4"/>
  <c r="U971" i="4"/>
  <c r="V971" i="4"/>
  <c r="W971" i="4"/>
  <c r="X971" i="4"/>
  <c r="Y971" i="4"/>
  <c r="B972" i="4"/>
  <c r="C972" i="4"/>
  <c r="D972" i="4"/>
  <c r="E972" i="4"/>
  <c r="F972" i="4"/>
  <c r="G972" i="4"/>
  <c r="H972" i="4"/>
  <c r="I972" i="4"/>
  <c r="J972" i="4"/>
  <c r="K972" i="4"/>
  <c r="L972" i="4"/>
  <c r="M972" i="4"/>
  <c r="N972" i="4"/>
  <c r="O972" i="4"/>
  <c r="P972" i="4"/>
  <c r="Q972" i="4"/>
  <c r="R972" i="4"/>
  <c r="S972" i="4"/>
  <c r="T972" i="4"/>
  <c r="U972" i="4"/>
  <c r="V972" i="4"/>
  <c r="W972" i="4"/>
  <c r="X972" i="4"/>
  <c r="Y972" i="4"/>
  <c r="AD972" i="4"/>
  <c r="B973" i="4"/>
  <c r="C973" i="4"/>
  <c r="D973" i="4"/>
  <c r="E973" i="4"/>
  <c r="F973" i="4"/>
  <c r="G973" i="4"/>
  <c r="H973" i="4"/>
  <c r="I973" i="4"/>
  <c r="J973" i="4"/>
  <c r="K973" i="4"/>
  <c r="L973" i="4"/>
  <c r="M973" i="4"/>
  <c r="N973" i="4"/>
  <c r="O973" i="4"/>
  <c r="P973" i="4"/>
  <c r="Q973" i="4"/>
  <c r="R973" i="4"/>
  <c r="S973" i="4"/>
  <c r="T973" i="4"/>
  <c r="U973" i="4"/>
  <c r="V973" i="4"/>
  <c r="W973" i="4"/>
  <c r="X973" i="4"/>
  <c r="Y973" i="4"/>
  <c r="B974" i="4"/>
  <c r="C974" i="4"/>
  <c r="D974" i="4"/>
  <c r="E974" i="4"/>
  <c r="F974" i="4"/>
  <c r="G974" i="4"/>
  <c r="H974" i="4"/>
  <c r="I974" i="4"/>
  <c r="J974" i="4"/>
  <c r="K974" i="4"/>
  <c r="L974" i="4"/>
  <c r="M974" i="4"/>
  <c r="N974" i="4"/>
  <c r="O974" i="4"/>
  <c r="P974" i="4"/>
  <c r="Q974" i="4"/>
  <c r="R974" i="4"/>
  <c r="S974" i="4"/>
  <c r="T974" i="4"/>
  <c r="U974" i="4"/>
  <c r="V974" i="4"/>
  <c r="W974" i="4"/>
  <c r="X974" i="4"/>
  <c r="Y974" i="4"/>
  <c r="AD974" i="4"/>
  <c r="B975" i="4"/>
  <c r="C975" i="4"/>
  <c r="D975" i="4"/>
  <c r="E975" i="4"/>
  <c r="F975" i="4"/>
  <c r="G975" i="4"/>
  <c r="H975" i="4"/>
  <c r="I975" i="4"/>
  <c r="J975" i="4"/>
  <c r="K975" i="4"/>
  <c r="L975" i="4"/>
  <c r="M975" i="4"/>
  <c r="N975" i="4"/>
  <c r="O975" i="4"/>
  <c r="P975" i="4"/>
  <c r="Q975" i="4"/>
  <c r="R975" i="4"/>
  <c r="S975" i="4"/>
  <c r="T975" i="4"/>
  <c r="U975" i="4"/>
  <c r="V975" i="4"/>
  <c r="W975" i="4"/>
  <c r="X975" i="4"/>
  <c r="Y975" i="4"/>
  <c r="AD975" i="4"/>
  <c r="B976" i="4"/>
  <c r="C976" i="4"/>
  <c r="D976" i="4"/>
  <c r="E976" i="4"/>
  <c r="F976" i="4"/>
  <c r="G976" i="4"/>
  <c r="H976" i="4"/>
  <c r="I976" i="4"/>
  <c r="J976" i="4"/>
  <c r="K976" i="4"/>
  <c r="L976" i="4"/>
  <c r="M976" i="4"/>
  <c r="N976" i="4"/>
  <c r="O976" i="4"/>
  <c r="P976" i="4"/>
  <c r="Q976" i="4"/>
  <c r="R976" i="4"/>
  <c r="S976" i="4"/>
  <c r="T976" i="4"/>
  <c r="U976" i="4"/>
  <c r="V976" i="4"/>
  <c r="W976" i="4"/>
  <c r="X976" i="4"/>
  <c r="Y976" i="4"/>
  <c r="B977" i="4"/>
  <c r="C977" i="4"/>
  <c r="D977" i="4"/>
  <c r="E977" i="4"/>
  <c r="F977" i="4"/>
  <c r="G977" i="4"/>
  <c r="H977" i="4"/>
  <c r="I977" i="4"/>
  <c r="J977" i="4"/>
  <c r="K977" i="4"/>
  <c r="L977" i="4"/>
  <c r="M977" i="4"/>
  <c r="N977" i="4"/>
  <c r="O977" i="4"/>
  <c r="P977" i="4"/>
  <c r="Q977" i="4"/>
  <c r="R977" i="4"/>
  <c r="S977" i="4"/>
  <c r="T977" i="4"/>
  <c r="U977" i="4"/>
  <c r="V977" i="4"/>
  <c r="W977" i="4"/>
  <c r="X977" i="4"/>
  <c r="Y977" i="4"/>
  <c r="B978" i="4"/>
  <c r="C978" i="4"/>
  <c r="D978" i="4"/>
  <c r="E978" i="4"/>
  <c r="F978" i="4"/>
  <c r="G978" i="4"/>
  <c r="H978" i="4"/>
  <c r="I978" i="4"/>
  <c r="J978" i="4"/>
  <c r="K978" i="4"/>
  <c r="L978" i="4"/>
  <c r="M978" i="4"/>
  <c r="N978" i="4"/>
  <c r="O978" i="4"/>
  <c r="P978" i="4"/>
  <c r="Q978" i="4"/>
  <c r="R978" i="4"/>
  <c r="S978" i="4"/>
  <c r="T978" i="4"/>
  <c r="U978" i="4"/>
  <c r="V978" i="4"/>
  <c r="W978" i="4"/>
  <c r="X978" i="4"/>
  <c r="Y978" i="4"/>
  <c r="AD978" i="4"/>
  <c r="B979" i="4"/>
  <c r="C979" i="4"/>
  <c r="D979" i="4"/>
  <c r="E979" i="4"/>
  <c r="F979" i="4"/>
  <c r="G979" i="4"/>
  <c r="H979" i="4"/>
  <c r="I979" i="4"/>
  <c r="J979" i="4"/>
  <c r="K979" i="4"/>
  <c r="L979" i="4"/>
  <c r="M979" i="4"/>
  <c r="AD979" i="4" s="1"/>
  <c r="N979" i="4"/>
  <c r="O979" i="4"/>
  <c r="P979" i="4"/>
  <c r="Q979" i="4"/>
  <c r="R979" i="4"/>
  <c r="S979" i="4"/>
  <c r="T979" i="4"/>
  <c r="U979" i="4"/>
  <c r="V979" i="4"/>
  <c r="W979" i="4"/>
  <c r="X979" i="4"/>
  <c r="Y979" i="4"/>
  <c r="B980" i="4"/>
  <c r="C980" i="4"/>
  <c r="D980" i="4"/>
  <c r="E980" i="4"/>
  <c r="F980" i="4"/>
  <c r="G980" i="4"/>
  <c r="H980" i="4"/>
  <c r="I980" i="4"/>
  <c r="J980" i="4"/>
  <c r="K980" i="4"/>
  <c r="L980" i="4"/>
  <c r="M980" i="4"/>
  <c r="N980" i="4"/>
  <c r="O980" i="4"/>
  <c r="P980" i="4"/>
  <c r="Q980" i="4"/>
  <c r="R980" i="4"/>
  <c r="S980" i="4"/>
  <c r="T980" i="4"/>
  <c r="U980" i="4"/>
  <c r="V980" i="4"/>
  <c r="W980" i="4"/>
  <c r="X980" i="4"/>
  <c r="Y980" i="4"/>
  <c r="B981" i="4"/>
  <c r="C981" i="4"/>
  <c r="D981" i="4"/>
  <c r="E981" i="4"/>
  <c r="F981" i="4"/>
  <c r="G981" i="4"/>
  <c r="H981" i="4"/>
  <c r="I981" i="4"/>
  <c r="J981" i="4"/>
  <c r="K981" i="4"/>
  <c r="L981" i="4"/>
  <c r="M981" i="4"/>
  <c r="N981" i="4"/>
  <c r="O981" i="4"/>
  <c r="P981" i="4"/>
  <c r="Q981" i="4"/>
  <c r="R981" i="4"/>
  <c r="S981" i="4"/>
  <c r="T981" i="4"/>
  <c r="U981" i="4"/>
  <c r="V981" i="4"/>
  <c r="W981" i="4"/>
  <c r="X981" i="4"/>
  <c r="Y981" i="4"/>
  <c r="B982" i="4"/>
  <c r="C982" i="4"/>
  <c r="D982" i="4"/>
  <c r="E982" i="4"/>
  <c r="F982" i="4"/>
  <c r="G982" i="4"/>
  <c r="H982" i="4"/>
  <c r="I982" i="4"/>
  <c r="J982" i="4"/>
  <c r="K982" i="4"/>
  <c r="L982" i="4"/>
  <c r="M982" i="4"/>
  <c r="AD982" i="4" s="1"/>
  <c r="N982" i="4"/>
  <c r="O982" i="4"/>
  <c r="P982" i="4"/>
  <c r="Q982" i="4"/>
  <c r="R982" i="4"/>
  <c r="S982" i="4"/>
  <c r="T982" i="4"/>
  <c r="U982" i="4"/>
  <c r="V982" i="4"/>
  <c r="W982" i="4"/>
  <c r="X982" i="4"/>
  <c r="Y982" i="4"/>
  <c r="B983" i="4"/>
  <c r="C983" i="4"/>
  <c r="D983" i="4"/>
  <c r="E983" i="4"/>
  <c r="F983" i="4"/>
  <c r="G983" i="4"/>
  <c r="H983" i="4"/>
  <c r="AC983" i="4" s="1"/>
  <c r="I983" i="4"/>
  <c r="J983" i="4"/>
  <c r="K983" i="4"/>
  <c r="L983" i="4"/>
  <c r="M983" i="4"/>
  <c r="N983" i="4"/>
  <c r="O983" i="4"/>
  <c r="P983" i="4"/>
  <c r="Q983" i="4"/>
  <c r="R983" i="4"/>
  <c r="S983" i="4"/>
  <c r="T983" i="4"/>
  <c r="U983" i="4"/>
  <c r="V983" i="4"/>
  <c r="W983" i="4"/>
  <c r="X983" i="4"/>
  <c r="Y983" i="4"/>
  <c r="B984" i="4"/>
  <c r="C984" i="4"/>
  <c r="D984" i="4"/>
  <c r="E984" i="4"/>
  <c r="F984" i="4"/>
  <c r="G984" i="4"/>
  <c r="H984" i="4"/>
  <c r="I984" i="4"/>
  <c r="J984" i="4"/>
  <c r="K984" i="4"/>
  <c r="L984" i="4"/>
  <c r="M984" i="4"/>
  <c r="N984" i="4"/>
  <c r="O984" i="4"/>
  <c r="P984" i="4"/>
  <c r="Q984" i="4"/>
  <c r="R984" i="4"/>
  <c r="S984" i="4"/>
  <c r="T984" i="4"/>
  <c r="U984" i="4"/>
  <c r="V984" i="4"/>
  <c r="W984" i="4"/>
  <c r="X984" i="4"/>
  <c r="Y984" i="4"/>
  <c r="B985" i="4"/>
  <c r="C985" i="4"/>
  <c r="D985" i="4"/>
  <c r="E985" i="4"/>
  <c r="F985" i="4"/>
  <c r="G985" i="4"/>
  <c r="H985" i="4"/>
  <c r="I985" i="4"/>
  <c r="J985" i="4"/>
  <c r="K985" i="4"/>
  <c r="L985" i="4"/>
  <c r="M985" i="4"/>
  <c r="N985" i="4"/>
  <c r="O985" i="4"/>
  <c r="P985" i="4"/>
  <c r="Q985" i="4"/>
  <c r="R985" i="4"/>
  <c r="S985" i="4"/>
  <c r="T985" i="4"/>
  <c r="U985" i="4"/>
  <c r="V985" i="4"/>
  <c r="W985" i="4"/>
  <c r="X985" i="4"/>
  <c r="Y985" i="4"/>
  <c r="B986" i="4"/>
  <c r="C986" i="4"/>
  <c r="D986" i="4"/>
  <c r="E986" i="4"/>
  <c r="F986" i="4"/>
  <c r="G986" i="4"/>
  <c r="H986" i="4"/>
  <c r="I986" i="4"/>
  <c r="J986" i="4"/>
  <c r="K986" i="4"/>
  <c r="L986" i="4"/>
  <c r="M986" i="4"/>
  <c r="N986" i="4"/>
  <c r="O986" i="4"/>
  <c r="AD986" i="4" s="1"/>
  <c r="P986" i="4"/>
  <c r="Q986" i="4"/>
  <c r="R986" i="4"/>
  <c r="S986" i="4"/>
  <c r="T986" i="4"/>
  <c r="U986" i="4"/>
  <c r="V986" i="4"/>
  <c r="W986" i="4"/>
  <c r="X986" i="4"/>
  <c r="Y986" i="4"/>
  <c r="B987" i="4"/>
  <c r="C987" i="4"/>
  <c r="D987" i="4"/>
  <c r="E987" i="4"/>
  <c r="F987" i="4"/>
  <c r="G987" i="4"/>
  <c r="AC987" i="4" s="1"/>
  <c r="H987" i="4"/>
  <c r="I987" i="4"/>
  <c r="J987" i="4"/>
  <c r="K987" i="4"/>
  <c r="L987" i="4"/>
  <c r="M987" i="4"/>
  <c r="N987" i="4"/>
  <c r="O987" i="4"/>
  <c r="P987" i="4"/>
  <c r="Q987" i="4"/>
  <c r="R987" i="4"/>
  <c r="S987" i="4"/>
  <c r="T987" i="4"/>
  <c r="U987" i="4"/>
  <c r="V987" i="4"/>
  <c r="W987" i="4"/>
  <c r="X987" i="4"/>
  <c r="Y987" i="4"/>
  <c r="AD987" i="4"/>
  <c r="B988" i="4"/>
  <c r="C988" i="4"/>
  <c r="D988" i="4"/>
  <c r="E988" i="4"/>
  <c r="F988" i="4"/>
  <c r="G988" i="4"/>
  <c r="H988" i="4"/>
  <c r="I988" i="4"/>
  <c r="J988" i="4"/>
  <c r="K988" i="4"/>
  <c r="L988" i="4"/>
  <c r="M988" i="4"/>
  <c r="N988" i="4"/>
  <c r="O988" i="4"/>
  <c r="P988" i="4"/>
  <c r="Q988" i="4"/>
  <c r="R988" i="4"/>
  <c r="S988" i="4"/>
  <c r="T988" i="4"/>
  <c r="U988" i="4"/>
  <c r="V988" i="4"/>
  <c r="W988" i="4"/>
  <c r="X988" i="4"/>
  <c r="Y988" i="4"/>
  <c r="B989" i="4"/>
  <c r="C989" i="4"/>
  <c r="D989" i="4"/>
  <c r="E989" i="4"/>
  <c r="F989" i="4"/>
  <c r="G989" i="4"/>
  <c r="H989" i="4"/>
  <c r="I989" i="4"/>
  <c r="J989" i="4"/>
  <c r="K989" i="4"/>
  <c r="L989" i="4"/>
  <c r="M989" i="4"/>
  <c r="N989" i="4"/>
  <c r="O989" i="4"/>
  <c r="P989" i="4"/>
  <c r="Q989" i="4"/>
  <c r="R989" i="4"/>
  <c r="S989" i="4"/>
  <c r="T989" i="4"/>
  <c r="U989" i="4"/>
  <c r="V989" i="4"/>
  <c r="W989" i="4"/>
  <c r="X989" i="4"/>
  <c r="Y989" i="4"/>
  <c r="B990" i="4"/>
  <c r="C990" i="4"/>
  <c r="D990" i="4"/>
  <c r="E990" i="4"/>
  <c r="F990" i="4"/>
  <c r="G990" i="4"/>
  <c r="H990" i="4"/>
  <c r="I990" i="4"/>
  <c r="J990" i="4"/>
  <c r="K990" i="4"/>
  <c r="L990" i="4"/>
  <c r="M990" i="4"/>
  <c r="N990" i="4"/>
  <c r="O990" i="4"/>
  <c r="P990" i="4"/>
  <c r="Q990" i="4"/>
  <c r="R990" i="4"/>
  <c r="S990" i="4"/>
  <c r="T990" i="4"/>
  <c r="U990" i="4"/>
  <c r="V990" i="4"/>
  <c r="W990" i="4"/>
  <c r="X990" i="4"/>
  <c r="Y990" i="4"/>
  <c r="B991" i="4"/>
  <c r="C991" i="4"/>
  <c r="D991" i="4"/>
  <c r="E991" i="4"/>
  <c r="F991" i="4"/>
  <c r="G991" i="4"/>
  <c r="H991" i="4"/>
  <c r="I991" i="4"/>
  <c r="J991" i="4"/>
  <c r="K991" i="4"/>
  <c r="L991" i="4"/>
  <c r="M991" i="4"/>
  <c r="AD991" i="4" s="1"/>
  <c r="N991" i="4"/>
  <c r="O991" i="4"/>
  <c r="P991" i="4"/>
  <c r="Q991" i="4"/>
  <c r="R991" i="4"/>
  <c r="S991" i="4"/>
  <c r="T991" i="4"/>
  <c r="U991" i="4"/>
  <c r="V991" i="4"/>
  <c r="W991" i="4"/>
  <c r="X991" i="4"/>
  <c r="Y991" i="4"/>
  <c r="B992" i="4"/>
  <c r="C992" i="4"/>
  <c r="D992" i="4"/>
  <c r="E992" i="4"/>
  <c r="F992" i="4"/>
  <c r="G992" i="4"/>
  <c r="H992" i="4"/>
  <c r="I992" i="4"/>
  <c r="J992" i="4"/>
  <c r="K992" i="4"/>
  <c r="L992" i="4"/>
  <c r="M992" i="4"/>
  <c r="N992" i="4"/>
  <c r="O992" i="4"/>
  <c r="P992" i="4"/>
  <c r="Q992" i="4"/>
  <c r="R992" i="4"/>
  <c r="S992" i="4"/>
  <c r="T992" i="4"/>
  <c r="U992" i="4"/>
  <c r="V992" i="4"/>
  <c r="W992" i="4"/>
  <c r="X992" i="4"/>
  <c r="Y992" i="4"/>
  <c r="B993" i="4"/>
  <c r="C993" i="4"/>
  <c r="D993" i="4"/>
  <c r="E993" i="4"/>
  <c r="F993" i="4"/>
  <c r="G993" i="4"/>
  <c r="H993" i="4"/>
  <c r="I993" i="4"/>
  <c r="J993" i="4"/>
  <c r="K993" i="4"/>
  <c r="L993" i="4"/>
  <c r="M993" i="4"/>
  <c r="AD993" i="4" s="1"/>
  <c r="N993" i="4"/>
  <c r="O993" i="4"/>
  <c r="P993" i="4"/>
  <c r="Q993" i="4"/>
  <c r="R993" i="4"/>
  <c r="S993" i="4"/>
  <c r="T993" i="4"/>
  <c r="U993" i="4"/>
  <c r="V993" i="4"/>
  <c r="W993" i="4"/>
  <c r="X993" i="4"/>
  <c r="Y993" i="4"/>
  <c r="B994" i="4"/>
  <c r="C994" i="4"/>
  <c r="D994" i="4"/>
  <c r="E994" i="4"/>
  <c r="F994" i="4"/>
  <c r="G994" i="4"/>
  <c r="H994" i="4"/>
  <c r="I994" i="4"/>
  <c r="J994" i="4"/>
  <c r="K994" i="4"/>
  <c r="L994" i="4"/>
  <c r="M994" i="4"/>
  <c r="AD994" i="4" s="1"/>
  <c r="N994" i="4"/>
  <c r="O994" i="4"/>
  <c r="P994" i="4"/>
  <c r="Q994" i="4"/>
  <c r="R994" i="4"/>
  <c r="S994" i="4"/>
  <c r="T994" i="4"/>
  <c r="U994" i="4"/>
  <c r="V994" i="4"/>
  <c r="W994" i="4"/>
  <c r="X994" i="4"/>
  <c r="Y994" i="4"/>
  <c r="B995" i="4"/>
  <c r="C995" i="4"/>
  <c r="D995" i="4"/>
  <c r="E995" i="4"/>
  <c r="F995" i="4"/>
  <c r="G995" i="4"/>
  <c r="H995" i="4"/>
  <c r="I995" i="4"/>
  <c r="J995" i="4"/>
  <c r="K995" i="4"/>
  <c r="L995" i="4"/>
  <c r="M995" i="4"/>
  <c r="AD995" i="4" s="1"/>
  <c r="N995" i="4"/>
  <c r="O995" i="4"/>
  <c r="P995" i="4"/>
  <c r="Q995" i="4"/>
  <c r="R995" i="4"/>
  <c r="S995" i="4"/>
  <c r="T995" i="4"/>
  <c r="U995" i="4"/>
  <c r="V995" i="4"/>
  <c r="W995" i="4"/>
  <c r="X995" i="4"/>
  <c r="Y995" i="4"/>
  <c r="B996" i="4"/>
  <c r="C996" i="4"/>
  <c r="D996" i="4"/>
  <c r="E996" i="4"/>
  <c r="F996" i="4"/>
  <c r="G996" i="4"/>
  <c r="H996" i="4"/>
  <c r="I996" i="4"/>
  <c r="J996" i="4"/>
  <c r="K996" i="4"/>
  <c r="L996" i="4"/>
  <c r="M996" i="4"/>
  <c r="N996" i="4"/>
  <c r="O996" i="4"/>
  <c r="P996" i="4"/>
  <c r="AD996" i="4" s="1"/>
  <c r="Q996" i="4"/>
  <c r="R996" i="4"/>
  <c r="S996" i="4"/>
  <c r="T996" i="4"/>
  <c r="U996" i="4"/>
  <c r="V996" i="4"/>
  <c r="W996" i="4"/>
  <c r="X996" i="4"/>
  <c r="Y996" i="4"/>
  <c r="B997" i="4"/>
  <c r="C997" i="4"/>
  <c r="D997" i="4"/>
  <c r="E997" i="4"/>
  <c r="F997" i="4"/>
  <c r="G997" i="4"/>
  <c r="H997" i="4"/>
  <c r="I997" i="4"/>
  <c r="J997" i="4"/>
  <c r="K997" i="4"/>
  <c r="L997" i="4"/>
  <c r="M997" i="4"/>
  <c r="N997" i="4"/>
  <c r="O997" i="4"/>
  <c r="P997" i="4"/>
  <c r="Q997" i="4"/>
  <c r="R997" i="4"/>
  <c r="S997" i="4"/>
  <c r="T997" i="4"/>
  <c r="U997" i="4"/>
  <c r="V997" i="4"/>
  <c r="W997" i="4"/>
  <c r="X997" i="4"/>
  <c r="Y997" i="4"/>
  <c r="B998" i="4"/>
  <c r="C998" i="4"/>
  <c r="D998" i="4"/>
  <c r="E998" i="4"/>
  <c r="F998" i="4"/>
  <c r="G998" i="4"/>
  <c r="H998" i="4"/>
  <c r="I998" i="4"/>
  <c r="J998" i="4"/>
  <c r="K998" i="4"/>
  <c r="L998" i="4"/>
  <c r="M998" i="4"/>
  <c r="N998" i="4"/>
  <c r="O998" i="4"/>
  <c r="P998" i="4"/>
  <c r="Q998" i="4"/>
  <c r="R998" i="4"/>
  <c r="S998" i="4"/>
  <c r="T998" i="4"/>
  <c r="U998" i="4"/>
  <c r="V998" i="4"/>
  <c r="W998" i="4"/>
  <c r="X998" i="4"/>
  <c r="Y998" i="4"/>
  <c r="B999" i="4"/>
  <c r="C999" i="4"/>
  <c r="D999" i="4"/>
  <c r="E999" i="4"/>
  <c r="F999" i="4"/>
  <c r="G999" i="4"/>
  <c r="H999" i="4"/>
  <c r="I999" i="4"/>
  <c r="J999" i="4"/>
  <c r="K999" i="4"/>
  <c r="L999" i="4"/>
  <c r="M999" i="4"/>
  <c r="N999" i="4"/>
  <c r="O999" i="4"/>
  <c r="AD999" i="4" s="1"/>
  <c r="P999" i="4"/>
  <c r="Q999" i="4"/>
  <c r="R999" i="4"/>
  <c r="S999" i="4"/>
  <c r="T999" i="4"/>
  <c r="U999" i="4"/>
  <c r="V999" i="4"/>
  <c r="W999" i="4"/>
  <c r="X999" i="4"/>
  <c r="Y999" i="4"/>
  <c r="B1000" i="4"/>
  <c r="C1000" i="4"/>
  <c r="D1000" i="4"/>
  <c r="E1000" i="4"/>
  <c r="F1000" i="4"/>
  <c r="G1000" i="4"/>
  <c r="H1000" i="4"/>
  <c r="I1000" i="4"/>
  <c r="J1000" i="4"/>
  <c r="K1000" i="4"/>
  <c r="L1000" i="4"/>
  <c r="M1000" i="4"/>
  <c r="N1000" i="4"/>
  <c r="O1000" i="4"/>
  <c r="P1000" i="4"/>
  <c r="Q1000" i="4"/>
  <c r="R1000" i="4"/>
  <c r="S1000" i="4"/>
  <c r="T1000" i="4"/>
  <c r="U1000" i="4"/>
  <c r="V1000" i="4"/>
  <c r="W1000" i="4"/>
  <c r="X1000" i="4"/>
  <c r="Y1000" i="4"/>
  <c r="B1001" i="4"/>
  <c r="C1001" i="4"/>
  <c r="D1001" i="4"/>
  <c r="E1001" i="4"/>
  <c r="F1001" i="4"/>
  <c r="G1001" i="4"/>
  <c r="H1001" i="4"/>
  <c r="I1001" i="4"/>
  <c r="J1001" i="4"/>
  <c r="K1001" i="4"/>
  <c r="L1001" i="4"/>
  <c r="M1001" i="4"/>
  <c r="N1001" i="4"/>
  <c r="O1001" i="4"/>
  <c r="P1001" i="4"/>
  <c r="Q1001" i="4"/>
  <c r="R1001" i="4"/>
  <c r="S1001" i="4"/>
  <c r="T1001" i="4"/>
  <c r="U1001" i="4"/>
  <c r="V1001" i="4"/>
  <c r="W1001" i="4"/>
  <c r="X1001" i="4"/>
  <c r="Y1001" i="4"/>
  <c r="B1002" i="4"/>
  <c r="C1002" i="4"/>
  <c r="D1002" i="4"/>
  <c r="E1002" i="4"/>
  <c r="F1002" i="4"/>
  <c r="G1002" i="4"/>
  <c r="H1002" i="4"/>
  <c r="I1002" i="4"/>
  <c r="J1002" i="4"/>
  <c r="K1002" i="4"/>
  <c r="L1002" i="4"/>
  <c r="M1002" i="4"/>
  <c r="N1002" i="4"/>
  <c r="O1002" i="4"/>
  <c r="AD1002" i="4" s="1"/>
  <c r="P1002" i="4"/>
  <c r="Q1002" i="4"/>
  <c r="R1002" i="4"/>
  <c r="S1002" i="4"/>
  <c r="T1002" i="4"/>
  <c r="U1002" i="4"/>
  <c r="V1002" i="4"/>
  <c r="W1002" i="4"/>
  <c r="X1002" i="4"/>
  <c r="Y1002" i="4"/>
  <c r="B1003" i="4"/>
  <c r="C1003" i="4"/>
  <c r="D1003" i="4"/>
  <c r="E1003" i="4"/>
  <c r="F1003" i="4"/>
  <c r="G1003" i="4"/>
  <c r="H1003" i="4"/>
  <c r="I1003" i="4"/>
  <c r="J1003" i="4"/>
  <c r="K1003" i="4"/>
  <c r="L1003" i="4"/>
  <c r="M1003" i="4"/>
  <c r="N1003" i="4"/>
  <c r="O1003" i="4"/>
  <c r="P1003" i="4"/>
  <c r="Q1003" i="4"/>
  <c r="R1003" i="4"/>
  <c r="S1003" i="4"/>
  <c r="T1003" i="4"/>
  <c r="U1003" i="4"/>
  <c r="V1003" i="4"/>
  <c r="W1003" i="4"/>
  <c r="X1003" i="4"/>
  <c r="Y1003" i="4"/>
  <c r="AD1003" i="4"/>
  <c r="B1004" i="4"/>
  <c r="C1004" i="4"/>
  <c r="D1004" i="4"/>
  <c r="E1004" i="4"/>
  <c r="F1004" i="4"/>
  <c r="G1004" i="4"/>
  <c r="H1004" i="4"/>
  <c r="I1004" i="4"/>
  <c r="J1004" i="4"/>
  <c r="K1004" i="4"/>
  <c r="L1004" i="4"/>
  <c r="M1004" i="4"/>
  <c r="N1004" i="4"/>
  <c r="O1004" i="4"/>
  <c r="P1004" i="4"/>
  <c r="Q1004" i="4"/>
  <c r="R1004" i="4"/>
  <c r="S1004" i="4"/>
  <c r="T1004" i="4"/>
  <c r="U1004" i="4"/>
  <c r="V1004" i="4"/>
  <c r="W1004" i="4"/>
  <c r="X1004" i="4"/>
  <c r="Y1004" i="4"/>
  <c r="B1005" i="4"/>
  <c r="C1005" i="4"/>
  <c r="D1005" i="4"/>
  <c r="E1005" i="4"/>
  <c r="F1005" i="4"/>
  <c r="G1005" i="4"/>
  <c r="H1005" i="4"/>
  <c r="I1005" i="4"/>
  <c r="J1005" i="4"/>
  <c r="K1005" i="4"/>
  <c r="L1005" i="4"/>
  <c r="M1005" i="4"/>
  <c r="N1005" i="4"/>
  <c r="O1005" i="4"/>
  <c r="P1005" i="4"/>
  <c r="Q1005" i="4"/>
  <c r="R1005" i="4"/>
  <c r="S1005" i="4"/>
  <c r="T1005" i="4"/>
  <c r="U1005" i="4"/>
  <c r="V1005" i="4"/>
  <c r="W1005" i="4"/>
  <c r="X1005" i="4"/>
  <c r="Y1005" i="4"/>
  <c r="B1006" i="4"/>
  <c r="C1006" i="4"/>
  <c r="D1006" i="4"/>
  <c r="E1006" i="4"/>
  <c r="F1006" i="4"/>
  <c r="G1006" i="4"/>
  <c r="H1006" i="4"/>
  <c r="I1006" i="4"/>
  <c r="J1006" i="4"/>
  <c r="K1006" i="4"/>
  <c r="L1006" i="4"/>
  <c r="M1006" i="4"/>
  <c r="AD1006" i="4" s="1"/>
  <c r="N1006" i="4"/>
  <c r="O1006" i="4"/>
  <c r="P1006" i="4"/>
  <c r="Q1006" i="4"/>
  <c r="R1006" i="4"/>
  <c r="S1006" i="4"/>
  <c r="T1006" i="4"/>
  <c r="U1006" i="4"/>
  <c r="V1006" i="4"/>
  <c r="W1006" i="4"/>
  <c r="X1006" i="4"/>
  <c r="Y1006" i="4"/>
  <c r="B1007" i="4"/>
  <c r="C1007" i="4"/>
  <c r="D1007" i="4"/>
  <c r="E1007" i="4"/>
  <c r="F1007" i="4"/>
  <c r="G1007" i="4"/>
  <c r="H1007" i="4"/>
  <c r="I1007" i="4"/>
  <c r="J1007" i="4"/>
  <c r="K1007" i="4"/>
  <c r="L1007" i="4"/>
  <c r="M1007" i="4"/>
  <c r="N1007" i="4"/>
  <c r="O1007" i="4"/>
  <c r="P1007" i="4"/>
  <c r="Q1007" i="4"/>
  <c r="R1007" i="4"/>
  <c r="S1007" i="4"/>
  <c r="T1007" i="4"/>
  <c r="U1007" i="4"/>
  <c r="V1007" i="4"/>
  <c r="W1007" i="4"/>
  <c r="X1007" i="4"/>
  <c r="Y1007" i="4"/>
  <c r="B1008" i="4"/>
  <c r="C1008" i="4"/>
  <c r="D1008" i="4"/>
  <c r="E1008" i="4"/>
  <c r="F1008" i="4"/>
  <c r="G1008" i="4"/>
  <c r="H1008" i="4"/>
  <c r="I1008" i="4"/>
  <c r="J1008" i="4"/>
  <c r="K1008" i="4"/>
  <c r="L1008" i="4"/>
  <c r="M1008" i="4"/>
  <c r="N1008" i="4"/>
  <c r="O1008" i="4"/>
  <c r="P1008" i="4"/>
  <c r="Q1008" i="4"/>
  <c r="R1008" i="4"/>
  <c r="S1008" i="4"/>
  <c r="T1008" i="4"/>
  <c r="U1008" i="4"/>
  <c r="V1008" i="4"/>
  <c r="W1008" i="4"/>
  <c r="X1008" i="4"/>
  <c r="Y1008" i="4"/>
  <c r="B1009" i="4"/>
  <c r="C1009" i="4"/>
  <c r="D1009" i="4"/>
  <c r="E1009" i="4"/>
  <c r="F1009" i="4"/>
  <c r="G1009" i="4"/>
  <c r="H1009" i="4"/>
  <c r="I1009" i="4"/>
  <c r="J1009" i="4"/>
  <c r="K1009" i="4"/>
  <c r="L1009" i="4"/>
  <c r="M1009" i="4"/>
  <c r="N1009" i="4"/>
  <c r="O1009" i="4"/>
  <c r="P1009" i="4"/>
  <c r="Q1009" i="4"/>
  <c r="R1009" i="4"/>
  <c r="S1009" i="4"/>
  <c r="T1009" i="4"/>
  <c r="U1009" i="4"/>
  <c r="V1009" i="4"/>
  <c r="W1009" i="4"/>
  <c r="X1009" i="4"/>
  <c r="Y1009" i="4"/>
  <c r="B1010" i="4"/>
  <c r="C1010" i="4"/>
  <c r="D1010" i="4"/>
  <c r="E1010" i="4"/>
  <c r="F1010" i="4"/>
  <c r="G1010" i="4"/>
  <c r="H1010" i="4"/>
  <c r="I1010" i="4"/>
  <c r="J1010" i="4"/>
  <c r="K1010" i="4"/>
  <c r="L1010" i="4"/>
  <c r="M1010" i="4"/>
  <c r="N1010" i="4"/>
  <c r="O1010" i="4"/>
  <c r="P1010" i="4"/>
  <c r="Q1010" i="4"/>
  <c r="R1010" i="4"/>
  <c r="S1010" i="4"/>
  <c r="T1010" i="4"/>
  <c r="U1010" i="4"/>
  <c r="V1010" i="4"/>
  <c r="W1010" i="4"/>
  <c r="X1010" i="4"/>
  <c r="Y1010" i="4"/>
  <c r="B1011" i="4"/>
  <c r="C1011" i="4"/>
  <c r="D1011" i="4"/>
  <c r="AC1011" i="4" s="1"/>
  <c r="E1011" i="4"/>
  <c r="F1011" i="4"/>
  <c r="G1011" i="4"/>
  <c r="H1011" i="4"/>
  <c r="I1011" i="4"/>
  <c r="J1011" i="4"/>
  <c r="K1011" i="4"/>
  <c r="L1011" i="4"/>
  <c r="M1011" i="4"/>
  <c r="N1011" i="4"/>
  <c r="O1011" i="4"/>
  <c r="P1011" i="4"/>
  <c r="Q1011" i="4"/>
  <c r="R1011" i="4"/>
  <c r="S1011" i="4"/>
  <c r="T1011" i="4"/>
  <c r="U1011" i="4"/>
  <c r="V1011" i="4"/>
  <c r="W1011" i="4"/>
  <c r="X1011" i="4"/>
  <c r="Y1011" i="4"/>
  <c r="B1012" i="4"/>
  <c r="C1012" i="4"/>
  <c r="D1012" i="4"/>
  <c r="E1012" i="4"/>
  <c r="F1012" i="4"/>
  <c r="G1012" i="4"/>
  <c r="H1012" i="4"/>
  <c r="I1012" i="4"/>
  <c r="J1012" i="4"/>
  <c r="K1012" i="4"/>
  <c r="L1012" i="4"/>
  <c r="M1012" i="4"/>
  <c r="N1012" i="4"/>
  <c r="O1012" i="4"/>
  <c r="AD1012" i="4" s="1"/>
  <c r="P1012" i="4"/>
  <c r="Q1012" i="4"/>
  <c r="R1012" i="4"/>
  <c r="S1012" i="4"/>
  <c r="T1012" i="4"/>
  <c r="U1012" i="4"/>
  <c r="V1012" i="4"/>
  <c r="W1012" i="4"/>
  <c r="X1012" i="4"/>
  <c r="Y1012" i="4"/>
  <c r="B1013" i="4"/>
  <c r="C1013" i="4"/>
  <c r="D1013" i="4"/>
  <c r="E1013" i="4"/>
  <c r="F1013" i="4"/>
  <c r="G1013" i="4"/>
  <c r="H1013" i="4"/>
  <c r="I1013" i="4"/>
  <c r="J1013" i="4"/>
  <c r="K1013" i="4"/>
  <c r="L1013" i="4"/>
  <c r="M1013" i="4"/>
  <c r="N1013" i="4"/>
  <c r="O1013" i="4"/>
  <c r="P1013" i="4"/>
  <c r="Q1013" i="4"/>
  <c r="R1013" i="4"/>
  <c r="S1013" i="4"/>
  <c r="T1013" i="4"/>
  <c r="U1013" i="4"/>
  <c r="V1013" i="4"/>
  <c r="W1013" i="4"/>
  <c r="X1013" i="4"/>
  <c r="Y1013" i="4"/>
  <c r="B1014" i="4"/>
  <c r="C1014" i="4"/>
  <c r="D1014" i="4"/>
  <c r="E1014" i="4"/>
  <c r="F1014" i="4"/>
  <c r="G1014" i="4"/>
  <c r="H1014" i="4"/>
  <c r="I1014" i="4"/>
  <c r="J1014" i="4"/>
  <c r="K1014" i="4"/>
  <c r="L1014" i="4"/>
  <c r="M1014" i="4"/>
  <c r="N1014" i="4"/>
  <c r="O1014" i="4"/>
  <c r="P1014" i="4"/>
  <c r="Q1014" i="4"/>
  <c r="R1014" i="4"/>
  <c r="S1014" i="4"/>
  <c r="T1014" i="4"/>
  <c r="U1014" i="4"/>
  <c r="V1014" i="4"/>
  <c r="W1014" i="4"/>
  <c r="X1014" i="4"/>
  <c r="Y1014" i="4"/>
  <c r="AD1014" i="4"/>
  <c r="B1015" i="4"/>
  <c r="C1015" i="4"/>
  <c r="D1015" i="4"/>
  <c r="E1015" i="4"/>
  <c r="F1015" i="4"/>
  <c r="G1015" i="4"/>
  <c r="H1015" i="4"/>
  <c r="I1015" i="4"/>
  <c r="J1015" i="4"/>
  <c r="K1015" i="4"/>
  <c r="L1015" i="4"/>
  <c r="M1015" i="4"/>
  <c r="AD1015" i="4" s="1"/>
  <c r="N1015" i="4"/>
  <c r="O1015" i="4"/>
  <c r="P1015" i="4"/>
  <c r="Q1015" i="4"/>
  <c r="R1015" i="4"/>
  <c r="S1015" i="4"/>
  <c r="T1015" i="4"/>
  <c r="U1015" i="4"/>
  <c r="V1015" i="4"/>
  <c r="W1015" i="4"/>
  <c r="X1015" i="4"/>
  <c r="Y1015" i="4"/>
  <c r="B1016" i="4"/>
  <c r="C1016" i="4"/>
  <c r="D1016" i="4"/>
  <c r="E1016" i="4"/>
  <c r="F1016" i="4"/>
  <c r="G1016" i="4"/>
  <c r="H1016" i="4"/>
  <c r="I1016" i="4"/>
  <c r="J1016" i="4"/>
  <c r="K1016" i="4"/>
  <c r="L1016" i="4"/>
  <c r="M1016" i="4"/>
  <c r="N1016" i="4"/>
  <c r="O1016" i="4"/>
  <c r="P1016" i="4"/>
  <c r="Q1016" i="4"/>
  <c r="R1016" i="4"/>
  <c r="S1016" i="4"/>
  <c r="T1016" i="4"/>
  <c r="U1016" i="4"/>
  <c r="V1016" i="4"/>
  <c r="W1016" i="4"/>
  <c r="X1016" i="4"/>
  <c r="Y1016" i="4"/>
  <c r="B1017" i="4"/>
  <c r="C1017" i="4"/>
  <c r="D1017" i="4"/>
  <c r="E1017" i="4"/>
  <c r="F1017" i="4"/>
  <c r="G1017" i="4"/>
  <c r="H1017" i="4"/>
  <c r="I1017" i="4"/>
  <c r="J1017" i="4"/>
  <c r="K1017" i="4"/>
  <c r="L1017" i="4"/>
  <c r="M1017" i="4"/>
  <c r="N1017" i="4"/>
  <c r="O1017" i="4"/>
  <c r="P1017" i="4"/>
  <c r="Q1017" i="4"/>
  <c r="R1017" i="4"/>
  <c r="S1017" i="4"/>
  <c r="T1017" i="4"/>
  <c r="U1017" i="4"/>
  <c r="V1017" i="4"/>
  <c r="W1017" i="4"/>
  <c r="X1017" i="4"/>
  <c r="Y1017" i="4"/>
  <c r="B1018" i="4"/>
  <c r="C1018" i="4"/>
  <c r="D1018" i="4"/>
  <c r="E1018" i="4"/>
  <c r="F1018" i="4"/>
  <c r="G1018" i="4"/>
  <c r="H1018" i="4"/>
  <c r="I1018" i="4"/>
  <c r="J1018" i="4"/>
  <c r="K1018" i="4"/>
  <c r="L1018" i="4"/>
  <c r="M1018" i="4"/>
  <c r="N1018" i="4"/>
  <c r="O1018" i="4"/>
  <c r="P1018" i="4"/>
  <c r="Q1018" i="4"/>
  <c r="R1018" i="4"/>
  <c r="S1018" i="4"/>
  <c r="T1018" i="4"/>
  <c r="U1018" i="4"/>
  <c r="V1018" i="4"/>
  <c r="W1018" i="4"/>
  <c r="X1018" i="4"/>
  <c r="Y1018" i="4"/>
  <c r="B1019" i="4"/>
  <c r="C1019" i="4"/>
  <c r="D1019" i="4"/>
  <c r="E1019" i="4"/>
  <c r="F1019" i="4"/>
  <c r="G1019" i="4"/>
  <c r="H1019" i="4"/>
  <c r="I1019" i="4"/>
  <c r="J1019" i="4"/>
  <c r="K1019" i="4"/>
  <c r="L1019" i="4"/>
  <c r="M1019" i="4"/>
  <c r="AD1019" i="4" s="1"/>
  <c r="N1019" i="4"/>
  <c r="O1019" i="4"/>
  <c r="P1019" i="4"/>
  <c r="Q1019" i="4"/>
  <c r="R1019" i="4"/>
  <c r="S1019" i="4"/>
  <c r="T1019" i="4"/>
  <c r="U1019" i="4"/>
  <c r="V1019" i="4"/>
  <c r="W1019" i="4"/>
  <c r="X1019" i="4"/>
  <c r="Y1019" i="4"/>
  <c r="B1020" i="4"/>
  <c r="C1020" i="4"/>
  <c r="D1020" i="4"/>
  <c r="E1020" i="4"/>
  <c r="F1020" i="4"/>
  <c r="G1020" i="4"/>
  <c r="H1020" i="4"/>
  <c r="I1020" i="4"/>
  <c r="J1020" i="4"/>
  <c r="K1020" i="4"/>
  <c r="L1020" i="4"/>
  <c r="M1020" i="4"/>
  <c r="N1020" i="4"/>
  <c r="O1020" i="4"/>
  <c r="P1020" i="4"/>
  <c r="Q1020" i="4"/>
  <c r="R1020" i="4"/>
  <c r="S1020" i="4"/>
  <c r="T1020" i="4"/>
  <c r="U1020" i="4"/>
  <c r="V1020" i="4"/>
  <c r="W1020" i="4"/>
  <c r="X1020" i="4"/>
  <c r="Y1020" i="4"/>
  <c r="B1021" i="4"/>
  <c r="C1021" i="4"/>
  <c r="D1021" i="4"/>
  <c r="E1021" i="4"/>
  <c r="F1021" i="4"/>
  <c r="G1021" i="4"/>
  <c r="H1021" i="4"/>
  <c r="I1021" i="4"/>
  <c r="J1021" i="4"/>
  <c r="K1021" i="4"/>
  <c r="L1021" i="4"/>
  <c r="M1021" i="4"/>
  <c r="N1021" i="4"/>
  <c r="O1021" i="4"/>
  <c r="P1021" i="4"/>
  <c r="Q1021" i="4"/>
  <c r="R1021" i="4"/>
  <c r="S1021" i="4"/>
  <c r="T1021" i="4"/>
  <c r="U1021" i="4"/>
  <c r="V1021" i="4"/>
  <c r="W1021" i="4"/>
  <c r="X1021" i="4"/>
  <c r="Y1021" i="4"/>
  <c r="B1022" i="4"/>
  <c r="C1022" i="4"/>
  <c r="D1022" i="4"/>
  <c r="E1022" i="4"/>
  <c r="F1022" i="4"/>
  <c r="G1022" i="4"/>
  <c r="H1022" i="4"/>
  <c r="I1022" i="4"/>
  <c r="J1022" i="4"/>
  <c r="K1022" i="4"/>
  <c r="L1022" i="4"/>
  <c r="M1022" i="4"/>
  <c r="N1022" i="4"/>
  <c r="O1022" i="4"/>
  <c r="P1022" i="4"/>
  <c r="Q1022" i="4"/>
  <c r="R1022" i="4"/>
  <c r="S1022" i="4"/>
  <c r="T1022" i="4"/>
  <c r="U1022" i="4"/>
  <c r="V1022" i="4"/>
  <c r="W1022" i="4"/>
  <c r="X1022" i="4"/>
  <c r="Y1022" i="4"/>
  <c r="B1023" i="4"/>
  <c r="C1023" i="4"/>
  <c r="D1023" i="4"/>
  <c r="E1023" i="4"/>
  <c r="F1023" i="4"/>
  <c r="G1023" i="4"/>
  <c r="H1023" i="4"/>
  <c r="I1023" i="4"/>
  <c r="J1023" i="4"/>
  <c r="K1023" i="4"/>
  <c r="L1023" i="4"/>
  <c r="M1023" i="4"/>
  <c r="N1023" i="4"/>
  <c r="O1023" i="4"/>
  <c r="P1023" i="4"/>
  <c r="Q1023" i="4"/>
  <c r="R1023" i="4"/>
  <c r="S1023" i="4"/>
  <c r="T1023" i="4"/>
  <c r="U1023" i="4"/>
  <c r="V1023" i="4"/>
  <c r="W1023" i="4"/>
  <c r="X1023" i="4"/>
  <c r="Y1023" i="4"/>
  <c r="B1024" i="4"/>
  <c r="C1024" i="4"/>
  <c r="D1024" i="4"/>
  <c r="E1024" i="4"/>
  <c r="F1024" i="4"/>
  <c r="G1024" i="4"/>
  <c r="H1024" i="4"/>
  <c r="I1024" i="4"/>
  <c r="J1024" i="4"/>
  <c r="K1024" i="4"/>
  <c r="L1024" i="4"/>
  <c r="M1024" i="4"/>
  <c r="N1024" i="4"/>
  <c r="O1024" i="4"/>
  <c r="P1024" i="4"/>
  <c r="Q1024" i="4"/>
  <c r="R1024" i="4"/>
  <c r="S1024" i="4"/>
  <c r="T1024" i="4"/>
  <c r="U1024" i="4"/>
  <c r="V1024" i="4"/>
  <c r="W1024" i="4"/>
  <c r="X1024" i="4"/>
  <c r="Y1024" i="4"/>
  <c r="B1025" i="4"/>
  <c r="C1025" i="4"/>
  <c r="D1025" i="4"/>
  <c r="E1025" i="4"/>
  <c r="F1025" i="4"/>
  <c r="G1025" i="4"/>
  <c r="H1025" i="4"/>
  <c r="I1025" i="4"/>
  <c r="J1025" i="4"/>
  <c r="K1025" i="4"/>
  <c r="L1025" i="4"/>
  <c r="M1025" i="4"/>
  <c r="N1025" i="4"/>
  <c r="O1025" i="4"/>
  <c r="P1025" i="4"/>
  <c r="Q1025" i="4"/>
  <c r="R1025" i="4"/>
  <c r="S1025" i="4"/>
  <c r="T1025" i="4"/>
  <c r="U1025" i="4"/>
  <c r="V1025" i="4"/>
  <c r="W1025" i="4"/>
  <c r="X1025" i="4"/>
  <c r="Y1025" i="4"/>
  <c r="B1026" i="4"/>
  <c r="C1026" i="4"/>
  <c r="D1026" i="4"/>
  <c r="E1026" i="4"/>
  <c r="F1026" i="4"/>
  <c r="G1026" i="4"/>
  <c r="H1026" i="4"/>
  <c r="I1026" i="4"/>
  <c r="J1026" i="4"/>
  <c r="K1026" i="4"/>
  <c r="L1026" i="4"/>
  <c r="M1026" i="4"/>
  <c r="N1026" i="4"/>
  <c r="O1026" i="4"/>
  <c r="P1026" i="4"/>
  <c r="AD1026" i="4" s="1"/>
  <c r="Q1026" i="4"/>
  <c r="R1026" i="4"/>
  <c r="S1026" i="4"/>
  <c r="T1026" i="4"/>
  <c r="U1026" i="4"/>
  <c r="V1026" i="4"/>
  <c r="W1026" i="4"/>
  <c r="X1026" i="4"/>
  <c r="Y1026" i="4"/>
  <c r="B1027" i="4"/>
  <c r="C1027" i="4"/>
  <c r="D1027" i="4"/>
  <c r="E1027" i="4"/>
  <c r="F1027" i="4"/>
  <c r="G1027" i="4"/>
  <c r="H1027" i="4"/>
  <c r="I1027" i="4"/>
  <c r="J1027" i="4"/>
  <c r="K1027" i="4"/>
  <c r="L1027" i="4"/>
  <c r="M1027" i="4"/>
  <c r="N1027" i="4"/>
  <c r="O1027" i="4"/>
  <c r="P1027" i="4"/>
  <c r="Q1027" i="4"/>
  <c r="R1027" i="4"/>
  <c r="S1027" i="4"/>
  <c r="T1027" i="4"/>
  <c r="U1027" i="4"/>
  <c r="V1027" i="4"/>
  <c r="W1027" i="4"/>
  <c r="X1027" i="4"/>
  <c r="Y1027" i="4"/>
  <c r="B1028" i="4"/>
  <c r="C1028" i="4"/>
  <c r="D1028" i="4"/>
  <c r="E1028" i="4"/>
  <c r="F1028" i="4"/>
  <c r="G1028" i="4"/>
  <c r="H1028" i="4"/>
  <c r="I1028" i="4"/>
  <c r="J1028" i="4"/>
  <c r="K1028" i="4"/>
  <c r="L1028" i="4"/>
  <c r="M1028" i="4"/>
  <c r="N1028" i="4"/>
  <c r="O1028" i="4"/>
  <c r="P1028" i="4"/>
  <c r="Q1028" i="4"/>
  <c r="R1028" i="4"/>
  <c r="S1028" i="4"/>
  <c r="T1028" i="4"/>
  <c r="U1028" i="4"/>
  <c r="V1028" i="4"/>
  <c r="W1028" i="4"/>
  <c r="X1028" i="4"/>
  <c r="Y1028" i="4"/>
  <c r="B1029" i="4"/>
  <c r="C1029" i="4"/>
  <c r="D1029" i="4"/>
  <c r="E1029" i="4"/>
  <c r="F1029" i="4"/>
  <c r="G1029" i="4"/>
  <c r="H1029" i="4"/>
  <c r="I1029" i="4"/>
  <c r="J1029" i="4"/>
  <c r="K1029" i="4"/>
  <c r="L1029" i="4"/>
  <c r="M1029" i="4"/>
  <c r="N1029" i="4"/>
  <c r="O1029" i="4"/>
  <c r="P1029" i="4"/>
  <c r="Q1029" i="4"/>
  <c r="R1029" i="4"/>
  <c r="S1029" i="4"/>
  <c r="T1029" i="4"/>
  <c r="U1029" i="4"/>
  <c r="V1029" i="4"/>
  <c r="W1029" i="4"/>
  <c r="X1029" i="4"/>
  <c r="Y1029" i="4"/>
  <c r="B1030" i="4"/>
  <c r="C1030" i="4"/>
  <c r="D1030" i="4"/>
  <c r="E1030" i="4"/>
  <c r="F1030" i="4"/>
  <c r="G1030" i="4"/>
  <c r="H1030" i="4"/>
  <c r="I1030" i="4"/>
  <c r="J1030" i="4"/>
  <c r="K1030" i="4"/>
  <c r="L1030" i="4"/>
  <c r="M1030" i="4"/>
  <c r="N1030" i="4"/>
  <c r="O1030" i="4"/>
  <c r="AD1030" i="4" s="1"/>
  <c r="P1030" i="4"/>
  <c r="Q1030" i="4"/>
  <c r="R1030" i="4"/>
  <c r="S1030" i="4"/>
  <c r="T1030" i="4"/>
  <c r="U1030" i="4"/>
  <c r="V1030" i="4"/>
  <c r="W1030" i="4"/>
  <c r="X1030" i="4"/>
  <c r="Y1030" i="4"/>
  <c r="B1031" i="4"/>
  <c r="C1031" i="4"/>
  <c r="D1031" i="4"/>
  <c r="E1031" i="4"/>
  <c r="F1031" i="4"/>
  <c r="G1031" i="4"/>
  <c r="H1031" i="4"/>
  <c r="I1031" i="4"/>
  <c r="J1031" i="4"/>
  <c r="K1031" i="4"/>
  <c r="L1031" i="4"/>
  <c r="M1031" i="4"/>
  <c r="N1031" i="4"/>
  <c r="O1031" i="4"/>
  <c r="P1031" i="4"/>
  <c r="Q1031" i="4"/>
  <c r="R1031" i="4"/>
  <c r="S1031" i="4"/>
  <c r="T1031" i="4"/>
  <c r="U1031" i="4"/>
  <c r="V1031" i="4"/>
  <c r="W1031" i="4"/>
  <c r="X1031" i="4"/>
  <c r="Y1031" i="4"/>
  <c r="AD1031" i="4"/>
  <c r="B1032" i="4"/>
  <c r="C1032" i="4"/>
  <c r="D1032" i="4"/>
  <c r="E1032" i="4"/>
  <c r="F1032" i="4"/>
  <c r="G1032" i="4"/>
  <c r="H1032" i="4"/>
  <c r="I1032" i="4"/>
  <c r="J1032" i="4"/>
  <c r="K1032" i="4"/>
  <c r="L1032" i="4"/>
  <c r="M1032" i="4"/>
  <c r="N1032" i="4"/>
  <c r="O1032" i="4"/>
  <c r="P1032" i="4"/>
  <c r="Q1032" i="4"/>
  <c r="R1032" i="4"/>
  <c r="S1032" i="4"/>
  <c r="T1032" i="4"/>
  <c r="U1032" i="4"/>
  <c r="V1032" i="4"/>
  <c r="W1032" i="4"/>
  <c r="X1032" i="4"/>
  <c r="Y1032" i="4"/>
  <c r="B1033" i="4"/>
  <c r="C1033" i="4"/>
  <c r="D1033" i="4"/>
  <c r="E1033" i="4"/>
  <c r="F1033" i="4"/>
  <c r="G1033" i="4"/>
  <c r="H1033" i="4"/>
  <c r="I1033" i="4"/>
  <c r="J1033" i="4"/>
  <c r="K1033" i="4"/>
  <c r="L1033" i="4"/>
  <c r="M1033" i="4"/>
  <c r="N1033" i="4"/>
  <c r="O1033" i="4"/>
  <c r="P1033" i="4"/>
  <c r="Q1033" i="4"/>
  <c r="R1033" i="4"/>
  <c r="S1033" i="4"/>
  <c r="T1033" i="4"/>
  <c r="U1033" i="4"/>
  <c r="V1033" i="4"/>
  <c r="W1033" i="4"/>
  <c r="X1033" i="4"/>
  <c r="Y1033" i="4"/>
  <c r="B1034" i="4"/>
  <c r="C1034" i="4"/>
  <c r="D1034" i="4"/>
  <c r="E1034" i="4"/>
  <c r="F1034" i="4"/>
  <c r="G1034" i="4"/>
  <c r="H1034" i="4"/>
  <c r="I1034" i="4"/>
  <c r="J1034" i="4"/>
  <c r="K1034" i="4"/>
  <c r="L1034" i="4"/>
  <c r="M1034" i="4"/>
  <c r="AD1034" i="4" s="1"/>
  <c r="N1034" i="4"/>
  <c r="O1034" i="4"/>
  <c r="P1034" i="4"/>
  <c r="Q1034" i="4"/>
  <c r="R1034" i="4"/>
  <c r="S1034" i="4"/>
  <c r="T1034" i="4"/>
  <c r="U1034" i="4"/>
  <c r="V1034" i="4"/>
  <c r="W1034" i="4"/>
  <c r="X1034" i="4"/>
  <c r="Y1034" i="4"/>
  <c r="B1035" i="4"/>
  <c r="C1035" i="4"/>
  <c r="D1035" i="4"/>
  <c r="E1035" i="4"/>
  <c r="F1035" i="4"/>
  <c r="G1035" i="4"/>
  <c r="H1035" i="4"/>
  <c r="I1035" i="4"/>
  <c r="J1035" i="4"/>
  <c r="K1035" i="4"/>
  <c r="L1035" i="4"/>
  <c r="M1035" i="4"/>
  <c r="AD1035" i="4" s="1"/>
  <c r="N1035" i="4"/>
  <c r="O1035" i="4"/>
  <c r="P1035" i="4"/>
  <c r="Q1035" i="4"/>
  <c r="R1035" i="4"/>
  <c r="S1035" i="4"/>
  <c r="T1035" i="4"/>
  <c r="U1035" i="4"/>
  <c r="V1035" i="4"/>
  <c r="W1035" i="4"/>
  <c r="X1035" i="4"/>
  <c r="Y1035" i="4"/>
  <c r="B1036" i="4"/>
  <c r="C1036" i="4"/>
  <c r="D1036" i="4"/>
  <c r="E1036" i="4"/>
  <c r="F1036" i="4"/>
  <c r="G1036" i="4"/>
  <c r="H1036" i="4"/>
  <c r="I1036" i="4"/>
  <c r="J1036" i="4"/>
  <c r="K1036" i="4"/>
  <c r="L1036" i="4"/>
  <c r="M1036" i="4"/>
  <c r="N1036" i="4"/>
  <c r="O1036" i="4"/>
  <c r="P1036" i="4"/>
  <c r="Q1036" i="4"/>
  <c r="R1036" i="4"/>
  <c r="S1036" i="4"/>
  <c r="T1036" i="4"/>
  <c r="U1036" i="4"/>
  <c r="V1036" i="4"/>
  <c r="W1036" i="4"/>
  <c r="X1036" i="4"/>
  <c r="Y1036" i="4"/>
  <c r="B1037" i="4"/>
  <c r="C1037" i="4"/>
  <c r="D1037" i="4"/>
  <c r="E1037" i="4"/>
  <c r="F1037" i="4"/>
  <c r="G1037" i="4"/>
  <c r="H1037" i="4"/>
  <c r="I1037" i="4"/>
  <c r="J1037" i="4"/>
  <c r="K1037" i="4"/>
  <c r="L1037" i="4"/>
  <c r="M1037" i="4"/>
  <c r="N1037" i="4"/>
  <c r="O1037" i="4"/>
  <c r="P1037" i="4"/>
  <c r="AD1037" i="4" s="1"/>
  <c r="Q1037" i="4"/>
  <c r="R1037" i="4"/>
  <c r="S1037" i="4"/>
  <c r="T1037" i="4"/>
  <c r="U1037" i="4"/>
  <c r="V1037" i="4"/>
  <c r="W1037" i="4"/>
  <c r="X1037" i="4"/>
  <c r="Y1037" i="4"/>
  <c r="B1038" i="4"/>
  <c r="C1038" i="4"/>
  <c r="AC1038" i="4" s="1"/>
  <c r="D1038" i="4"/>
  <c r="E1038" i="4"/>
  <c r="F1038" i="4"/>
  <c r="G1038" i="4"/>
  <c r="H1038" i="4"/>
  <c r="I1038" i="4"/>
  <c r="J1038" i="4"/>
  <c r="K1038" i="4"/>
  <c r="L1038" i="4"/>
  <c r="M1038" i="4"/>
  <c r="N1038" i="4"/>
  <c r="O1038" i="4"/>
  <c r="AD1038" i="4" s="1"/>
  <c r="P1038" i="4"/>
  <c r="Q1038" i="4"/>
  <c r="R1038" i="4"/>
  <c r="S1038" i="4"/>
  <c r="T1038" i="4"/>
  <c r="U1038" i="4"/>
  <c r="V1038" i="4"/>
  <c r="W1038" i="4"/>
  <c r="X1038" i="4"/>
  <c r="Y1038" i="4"/>
  <c r="B1039" i="4"/>
  <c r="C1039" i="4"/>
  <c r="D1039" i="4"/>
  <c r="E1039" i="4"/>
  <c r="F1039" i="4"/>
  <c r="G1039" i="4"/>
  <c r="H1039" i="4"/>
  <c r="I1039" i="4"/>
  <c r="J1039" i="4"/>
  <c r="K1039" i="4"/>
  <c r="L1039" i="4"/>
  <c r="M1039" i="4"/>
  <c r="N1039" i="4"/>
  <c r="O1039" i="4"/>
  <c r="P1039" i="4"/>
  <c r="Q1039" i="4"/>
  <c r="R1039" i="4"/>
  <c r="S1039" i="4"/>
  <c r="T1039" i="4"/>
  <c r="U1039" i="4"/>
  <c r="V1039" i="4"/>
  <c r="W1039" i="4"/>
  <c r="X1039" i="4"/>
  <c r="Y1039" i="4"/>
  <c r="B1040" i="4"/>
  <c r="C1040" i="4"/>
  <c r="D1040" i="4"/>
  <c r="E1040" i="4"/>
  <c r="F1040" i="4"/>
  <c r="G1040" i="4"/>
  <c r="H1040" i="4"/>
  <c r="I1040" i="4"/>
  <c r="J1040" i="4"/>
  <c r="K1040" i="4"/>
  <c r="L1040" i="4"/>
  <c r="M1040" i="4"/>
  <c r="N1040" i="4"/>
  <c r="AD1040" i="4" s="1"/>
  <c r="O1040" i="4"/>
  <c r="P1040" i="4"/>
  <c r="Q1040" i="4"/>
  <c r="R1040" i="4"/>
  <c r="S1040" i="4"/>
  <c r="T1040" i="4"/>
  <c r="U1040" i="4"/>
  <c r="V1040" i="4"/>
  <c r="W1040" i="4"/>
  <c r="X1040" i="4"/>
  <c r="Y1040" i="4"/>
  <c r="B1041" i="4"/>
  <c r="C1041" i="4"/>
  <c r="D1041" i="4"/>
  <c r="E1041" i="4"/>
  <c r="F1041" i="4"/>
  <c r="G1041" i="4"/>
  <c r="H1041" i="4"/>
  <c r="I1041" i="4"/>
  <c r="J1041" i="4"/>
  <c r="K1041" i="4"/>
  <c r="L1041" i="4"/>
  <c r="M1041" i="4"/>
  <c r="N1041" i="4"/>
  <c r="O1041" i="4"/>
  <c r="P1041" i="4"/>
  <c r="Q1041" i="4"/>
  <c r="R1041" i="4"/>
  <c r="S1041" i="4"/>
  <c r="T1041" i="4"/>
  <c r="U1041" i="4"/>
  <c r="V1041" i="4"/>
  <c r="W1041" i="4"/>
  <c r="X1041" i="4"/>
  <c r="Y1041" i="4"/>
  <c r="AC1041" i="4"/>
  <c r="B1042" i="4"/>
  <c r="C1042" i="4"/>
  <c r="D1042" i="4"/>
  <c r="E1042" i="4"/>
  <c r="F1042" i="4"/>
  <c r="G1042" i="4"/>
  <c r="H1042" i="4"/>
  <c r="I1042" i="4"/>
  <c r="J1042" i="4"/>
  <c r="K1042" i="4"/>
  <c r="L1042" i="4"/>
  <c r="M1042" i="4"/>
  <c r="AD1042" i="4" s="1"/>
  <c r="N1042" i="4"/>
  <c r="O1042" i="4"/>
  <c r="P1042" i="4"/>
  <c r="Q1042" i="4"/>
  <c r="R1042" i="4"/>
  <c r="S1042" i="4"/>
  <c r="T1042" i="4"/>
  <c r="U1042" i="4"/>
  <c r="V1042" i="4"/>
  <c r="W1042" i="4"/>
  <c r="X1042" i="4"/>
  <c r="Y1042" i="4"/>
  <c r="B1043" i="4"/>
  <c r="C1043" i="4"/>
  <c r="D1043" i="4"/>
  <c r="E1043" i="4"/>
  <c r="F1043" i="4"/>
  <c r="G1043" i="4"/>
  <c r="H1043" i="4"/>
  <c r="I1043" i="4"/>
  <c r="J1043" i="4"/>
  <c r="K1043" i="4"/>
  <c r="L1043" i="4"/>
  <c r="M1043" i="4"/>
  <c r="N1043" i="4"/>
  <c r="O1043" i="4"/>
  <c r="P1043" i="4"/>
  <c r="Q1043" i="4"/>
  <c r="R1043" i="4"/>
  <c r="S1043" i="4"/>
  <c r="T1043" i="4"/>
  <c r="U1043" i="4"/>
  <c r="V1043" i="4"/>
  <c r="W1043" i="4"/>
  <c r="X1043" i="4"/>
  <c r="Y1043" i="4"/>
  <c r="B1044" i="4"/>
  <c r="C1044" i="4"/>
  <c r="D1044" i="4"/>
  <c r="E1044" i="4"/>
  <c r="F1044" i="4"/>
  <c r="G1044" i="4"/>
  <c r="H1044" i="4"/>
  <c r="I1044" i="4"/>
  <c r="J1044" i="4"/>
  <c r="K1044" i="4"/>
  <c r="L1044" i="4"/>
  <c r="M1044" i="4"/>
  <c r="N1044" i="4"/>
  <c r="O1044" i="4"/>
  <c r="P1044" i="4"/>
  <c r="Q1044" i="4"/>
  <c r="R1044" i="4"/>
  <c r="S1044" i="4"/>
  <c r="T1044" i="4"/>
  <c r="U1044" i="4"/>
  <c r="V1044" i="4"/>
  <c r="W1044" i="4"/>
  <c r="X1044" i="4"/>
  <c r="Y1044" i="4"/>
  <c r="B1045" i="4"/>
  <c r="C1045" i="4"/>
  <c r="D1045" i="4"/>
  <c r="E1045" i="4"/>
  <c r="F1045" i="4"/>
  <c r="G1045" i="4"/>
  <c r="H1045" i="4"/>
  <c r="I1045" i="4"/>
  <c r="J1045" i="4"/>
  <c r="K1045" i="4"/>
  <c r="L1045" i="4"/>
  <c r="M1045" i="4"/>
  <c r="N1045" i="4"/>
  <c r="O1045" i="4"/>
  <c r="P1045" i="4"/>
  <c r="Q1045" i="4"/>
  <c r="R1045" i="4"/>
  <c r="S1045" i="4"/>
  <c r="T1045" i="4"/>
  <c r="U1045" i="4"/>
  <c r="V1045" i="4"/>
  <c r="W1045" i="4"/>
  <c r="X1045" i="4"/>
  <c r="Y1045" i="4"/>
  <c r="B1046" i="4"/>
  <c r="C1046" i="4"/>
  <c r="D1046" i="4"/>
  <c r="E1046" i="4"/>
  <c r="F1046" i="4"/>
  <c r="G1046" i="4"/>
  <c r="H1046" i="4"/>
  <c r="I1046" i="4"/>
  <c r="J1046" i="4"/>
  <c r="K1046" i="4"/>
  <c r="L1046" i="4"/>
  <c r="M1046" i="4"/>
  <c r="N1046" i="4"/>
  <c r="O1046" i="4"/>
  <c r="P1046" i="4"/>
  <c r="AD1046" i="4" s="1"/>
  <c r="Q1046" i="4"/>
  <c r="R1046" i="4"/>
  <c r="S1046" i="4"/>
  <c r="T1046" i="4"/>
  <c r="U1046" i="4"/>
  <c r="V1046" i="4"/>
  <c r="W1046" i="4"/>
  <c r="X1046" i="4"/>
  <c r="Y1046" i="4"/>
  <c r="B1047" i="4"/>
  <c r="C1047" i="4"/>
  <c r="D1047" i="4"/>
  <c r="E1047" i="4"/>
  <c r="F1047" i="4"/>
  <c r="G1047" i="4"/>
  <c r="H1047" i="4"/>
  <c r="I1047" i="4"/>
  <c r="J1047" i="4"/>
  <c r="K1047" i="4"/>
  <c r="L1047" i="4"/>
  <c r="M1047" i="4"/>
  <c r="N1047" i="4"/>
  <c r="O1047" i="4"/>
  <c r="AD1047" i="4" s="1"/>
  <c r="P1047" i="4"/>
  <c r="Q1047" i="4"/>
  <c r="R1047" i="4"/>
  <c r="S1047" i="4"/>
  <c r="T1047" i="4"/>
  <c r="U1047" i="4"/>
  <c r="V1047" i="4"/>
  <c r="W1047" i="4"/>
  <c r="X1047" i="4"/>
  <c r="Y1047" i="4"/>
  <c r="B1048" i="4"/>
  <c r="C1048" i="4"/>
  <c r="D1048" i="4"/>
  <c r="E1048" i="4"/>
  <c r="F1048" i="4"/>
  <c r="G1048" i="4"/>
  <c r="H1048" i="4"/>
  <c r="I1048" i="4"/>
  <c r="J1048" i="4"/>
  <c r="K1048" i="4"/>
  <c r="L1048" i="4"/>
  <c r="M1048" i="4"/>
  <c r="N1048" i="4"/>
  <c r="O1048" i="4"/>
  <c r="P1048" i="4"/>
  <c r="Q1048" i="4"/>
  <c r="R1048" i="4"/>
  <c r="S1048" i="4"/>
  <c r="T1048" i="4"/>
  <c r="U1048" i="4"/>
  <c r="V1048" i="4"/>
  <c r="W1048" i="4"/>
  <c r="X1048" i="4"/>
  <c r="Y1048" i="4"/>
  <c r="AD1048" i="4"/>
  <c r="B1049" i="4"/>
  <c r="C1049" i="4"/>
  <c r="D1049" i="4"/>
  <c r="E1049" i="4"/>
  <c r="F1049" i="4"/>
  <c r="G1049" i="4"/>
  <c r="H1049" i="4"/>
  <c r="I1049" i="4"/>
  <c r="J1049" i="4"/>
  <c r="K1049" i="4"/>
  <c r="L1049" i="4"/>
  <c r="M1049" i="4"/>
  <c r="N1049" i="4"/>
  <c r="O1049" i="4"/>
  <c r="P1049" i="4"/>
  <c r="Q1049" i="4"/>
  <c r="R1049" i="4"/>
  <c r="S1049" i="4"/>
  <c r="T1049" i="4"/>
  <c r="U1049" i="4"/>
  <c r="V1049" i="4"/>
  <c r="W1049" i="4"/>
  <c r="X1049" i="4"/>
  <c r="Y1049" i="4"/>
  <c r="B1050" i="4"/>
  <c r="C1050" i="4"/>
  <c r="D1050" i="4"/>
  <c r="E1050" i="4"/>
  <c r="F1050" i="4"/>
  <c r="G1050" i="4"/>
  <c r="H1050" i="4"/>
  <c r="I1050" i="4"/>
  <c r="J1050" i="4"/>
  <c r="K1050" i="4"/>
  <c r="L1050" i="4"/>
  <c r="M1050" i="4"/>
  <c r="N1050" i="4"/>
  <c r="O1050" i="4"/>
  <c r="P1050" i="4"/>
  <c r="Q1050" i="4"/>
  <c r="R1050" i="4"/>
  <c r="S1050" i="4"/>
  <c r="T1050" i="4"/>
  <c r="U1050" i="4"/>
  <c r="V1050" i="4"/>
  <c r="W1050" i="4"/>
  <c r="X1050" i="4"/>
  <c r="Y1050" i="4"/>
  <c r="B1051" i="4"/>
  <c r="C1051" i="4"/>
  <c r="D1051" i="4"/>
  <c r="E1051" i="4"/>
  <c r="F1051" i="4"/>
  <c r="G1051" i="4"/>
  <c r="H1051" i="4"/>
  <c r="I1051" i="4"/>
  <c r="J1051" i="4"/>
  <c r="K1051" i="4"/>
  <c r="L1051" i="4"/>
  <c r="M1051" i="4"/>
  <c r="AD1051" i="4" s="1"/>
  <c r="N1051" i="4"/>
  <c r="O1051" i="4"/>
  <c r="P1051" i="4"/>
  <c r="Q1051" i="4"/>
  <c r="R1051" i="4"/>
  <c r="S1051" i="4"/>
  <c r="T1051" i="4"/>
  <c r="U1051" i="4"/>
  <c r="V1051" i="4"/>
  <c r="W1051" i="4"/>
  <c r="X1051" i="4"/>
  <c r="Y1051" i="4"/>
  <c r="B1052" i="4"/>
  <c r="C1052" i="4"/>
  <c r="D1052" i="4"/>
  <c r="E1052" i="4"/>
  <c r="F1052" i="4"/>
  <c r="G1052" i="4"/>
  <c r="H1052" i="4"/>
  <c r="I1052" i="4"/>
  <c r="J1052" i="4"/>
  <c r="K1052" i="4"/>
  <c r="L1052" i="4"/>
  <c r="M1052" i="4"/>
  <c r="N1052" i="4"/>
  <c r="O1052" i="4"/>
  <c r="P1052" i="4"/>
  <c r="Q1052" i="4"/>
  <c r="R1052" i="4"/>
  <c r="S1052" i="4"/>
  <c r="T1052" i="4"/>
  <c r="U1052" i="4"/>
  <c r="V1052" i="4"/>
  <c r="W1052" i="4"/>
  <c r="X1052" i="4"/>
  <c r="Y1052" i="4"/>
  <c r="B1053" i="4"/>
  <c r="C1053" i="4"/>
  <c r="D1053" i="4"/>
  <c r="E1053" i="4"/>
  <c r="F1053" i="4"/>
  <c r="G1053" i="4"/>
  <c r="H1053" i="4"/>
  <c r="I1053" i="4"/>
  <c r="J1053" i="4"/>
  <c r="K1053" i="4"/>
  <c r="L1053" i="4"/>
  <c r="M1053" i="4"/>
  <c r="N1053" i="4"/>
  <c r="O1053" i="4"/>
  <c r="P1053" i="4"/>
  <c r="Q1053" i="4"/>
  <c r="R1053" i="4"/>
  <c r="S1053" i="4"/>
  <c r="T1053" i="4"/>
  <c r="U1053" i="4"/>
  <c r="V1053" i="4"/>
  <c r="W1053" i="4"/>
  <c r="X1053" i="4"/>
  <c r="Y1053" i="4"/>
  <c r="B1054" i="4"/>
  <c r="C1054" i="4"/>
  <c r="D1054" i="4"/>
  <c r="E1054" i="4"/>
  <c r="F1054" i="4"/>
  <c r="G1054" i="4"/>
  <c r="H1054" i="4"/>
  <c r="I1054" i="4"/>
  <c r="J1054" i="4"/>
  <c r="K1054" i="4"/>
  <c r="L1054" i="4"/>
  <c r="M1054" i="4"/>
  <c r="N1054" i="4"/>
  <c r="O1054" i="4"/>
  <c r="P1054" i="4"/>
  <c r="Q1054" i="4"/>
  <c r="R1054" i="4"/>
  <c r="S1054" i="4"/>
  <c r="T1054" i="4"/>
  <c r="U1054" i="4"/>
  <c r="V1054" i="4"/>
  <c r="W1054" i="4"/>
  <c r="X1054" i="4"/>
  <c r="Y1054" i="4"/>
  <c r="B1055" i="4"/>
  <c r="C1055" i="4"/>
  <c r="D1055" i="4"/>
  <c r="E1055" i="4"/>
  <c r="F1055" i="4"/>
  <c r="G1055" i="4"/>
  <c r="H1055" i="4"/>
  <c r="I1055" i="4"/>
  <c r="J1055" i="4"/>
  <c r="K1055" i="4"/>
  <c r="L1055" i="4"/>
  <c r="M1055" i="4"/>
  <c r="N1055" i="4"/>
  <c r="O1055" i="4"/>
  <c r="P1055" i="4"/>
  <c r="Q1055" i="4"/>
  <c r="R1055" i="4"/>
  <c r="S1055" i="4"/>
  <c r="T1055" i="4"/>
  <c r="U1055" i="4"/>
  <c r="V1055" i="4"/>
  <c r="W1055" i="4"/>
  <c r="X1055" i="4"/>
  <c r="Y1055" i="4"/>
  <c r="B1056" i="4"/>
  <c r="C1056" i="4"/>
  <c r="D1056" i="4"/>
  <c r="E1056" i="4"/>
  <c r="F1056" i="4"/>
  <c r="G1056" i="4"/>
  <c r="H1056" i="4"/>
  <c r="I1056" i="4"/>
  <c r="J1056" i="4"/>
  <c r="K1056" i="4"/>
  <c r="L1056" i="4"/>
  <c r="M1056" i="4"/>
  <c r="N1056" i="4"/>
  <c r="O1056" i="4"/>
  <c r="P1056" i="4"/>
  <c r="Q1056" i="4"/>
  <c r="R1056" i="4"/>
  <c r="S1056" i="4"/>
  <c r="T1056" i="4"/>
  <c r="U1056" i="4"/>
  <c r="V1056" i="4"/>
  <c r="W1056" i="4"/>
  <c r="X1056" i="4"/>
  <c r="Y1056" i="4"/>
  <c r="B1058" i="4"/>
  <c r="C1058" i="4"/>
  <c r="D1058" i="4"/>
  <c r="E1058" i="4"/>
  <c r="F1058" i="4"/>
  <c r="G1058" i="4"/>
  <c r="H1058" i="4"/>
  <c r="J1058" i="4"/>
  <c r="L1058" i="4"/>
  <c r="M1058" i="4"/>
  <c r="O1058" i="4"/>
  <c r="P1058" i="4"/>
  <c r="Q1058" i="4"/>
  <c r="R1058" i="4"/>
  <c r="S1058" i="4"/>
  <c r="T1058" i="4"/>
  <c r="U1058" i="4"/>
  <c r="W1058" i="4"/>
  <c r="X1058" i="4"/>
  <c r="Z1058" i="4"/>
  <c r="AA1058" i="4"/>
  <c r="AB1058" i="4"/>
  <c r="B1059" i="4"/>
  <c r="C1059" i="4"/>
  <c r="F1059" i="4"/>
  <c r="G1059" i="4"/>
  <c r="H1059" i="4"/>
  <c r="I1059" i="4"/>
  <c r="J1059" i="4"/>
  <c r="L1059" i="4"/>
  <c r="M1059" i="4"/>
  <c r="P1059" i="4"/>
  <c r="Q1059" i="4"/>
  <c r="R1059" i="4"/>
  <c r="S1059" i="4"/>
  <c r="T1059" i="4"/>
  <c r="U1059" i="4"/>
  <c r="W1059" i="4"/>
  <c r="X1059" i="4"/>
  <c r="Z1059" i="4"/>
  <c r="AA1059" i="4"/>
  <c r="AB1059" i="4"/>
  <c r="C1060" i="4"/>
  <c r="D1060" i="4"/>
  <c r="E1060" i="4"/>
  <c r="F1060" i="4"/>
  <c r="G1060" i="4"/>
  <c r="H1060" i="4"/>
  <c r="I1060" i="4"/>
  <c r="L1060" i="4"/>
  <c r="M1060" i="4"/>
  <c r="N1060" i="4"/>
  <c r="P1060" i="4"/>
  <c r="Q1060" i="4"/>
  <c r="R1060" i="4"/>
  <c r="S1060" i="4"/>
  <c r="T1060" i="4"/>
  <c r="U1060" i="4"/>
  <c r="V1060" i="4"/>
  <c r="X1060" i="4"/>
  <c r="Z1060" i="4"/>
  <c r="C1061" i="4"/>
  <c r="E1061" i="4"/>
  <c r="F1061" i="4"/>
  <c r="G1061" i="4"/>
  <c r="H1061" i="4"/>
  <c r="K1061" i="4"/>
  <c r="M1061" i="4"/>
  <c r="N1061" i="4"/>
  <c r="O1061" i="4"/>
  <c r="P1061" i="4"/>
  <c r="S1061" i="4"/>
  <c r="U1061" i="4"/>
  <c r="V1061" i="4"/>
  <c r="W1061" i="4"/>
  <c r="Y1061" i="4"/>
  <c r="C1062" i="4"/>
  <c r="D1062" i="4"/>
  <c r="E1062" i="4"/>
  <c r="H1062" i="4"/>
  <c r="I1062" i="4"/>
  <c r="K1062" i="4"/>
  <c r="L1062" i="4"/>
  <c r="M1062" i="4"/>
  <c r="N1062" i="4"/>
  <c r="Q1062" i="4"/>
  <c r="R1062" i="4"/>
  <c r="S1062" i="4"/>
  <c r="T1062" i="4"/>
  <c r="U1062" i="4"/>
  <c r="V1062" i="4"/>
  <c r="Y1062" i="4"/>
  <c r="B1063" i="4"/>
  <c r="C1063" i="4"/>
  <c r="D1063" i="4"/>
  <c r="F1063" i="4"/>
  <c r="G1063" i="4"/>
  <c r="J1063" i="4"/>
  <c r="K1063" i="4"/>
  <c r="L1063" i="4"/>
  <c r="N1063" i="4"/>
  <c r="O1063" i="4"/>
  <c r="R1063" i="4"/>
  <c r="S1063" i="4"/>
  <c r="T1063" i="4"/>
  <c r="V1063" i="4"/>
  <c r="W1063" i="4"/>
  <c r="X1063" i="4"/>
  <c r="Y1063" i="4"/>
  <c r="E1064" i="4"/>
  <c r="F1064" i="4"/>
  <c r="H1064" i="4"/>
  <c r="I1064" i="4"/>
  <c r="M1064" i="4"/>
  <c r="N1064" i="4"/>
  <c r="P1064" i="4"/>
  <c r="Q1064" i="4"/>
  <c r="T1064" i="4"/>
  <c r="U1064" i="4"/>
  <c r="V1064" i="4"/>
  <c r="X1064" i="4"/>
  <c r="D1065" i="4"/>
  <c r="E1065" i="4"/>
  <c r="F1065" i="4"/>
  <c r="G1065" i="4"/>
  <c r="I1065" i="4"/>
  <c r="K1065" i="4"/>
  <c r="M1065" i="4"/>
  <c r="N1065" i="4"/>
  <c r="O1065" i="4"/>
  <c r="Q1065" i="4"/>
  <c r="S1065" i="4"/>
  <c r="T1065" i="4"/>
  <c r="V1065" i="4"/>
  <c r="W1065" i="4"/>
  <c r="D1066" i="4"/>
  <c r="E1066" i="4"/>
  <c r="F1066" i="4"/>
  <c r="G1066" i="4"/>
  <c r="H1066" i="4"/>
  <c r="L1066" i="4"/>
  <c r="M1066" i="4"/>
  <c r="O1066" i="4"/>
  <c r="P1066" i="4"/>
  <c r="T1066" i="4"/>
  <c r="U1066" i="4"/>
  <c r="V1066" i="4"/>
  <c r="X1066" i="4"/>
  <c r="B1067" i="4"/>
  <c r="C1067" i="4"/>
  <c r="D1067" i="4"/>
  <c r="E1067" i="4"/>
  <c r="F1067" i="4"/>
  <c r="I1067" i="4"/>
  <c r="J1067" i="4"/>
  <c r="K1067" i="4"/>
  <c r="L1067" i="4"/>
  <c r="M1067" i="4"/>
  <c r="N1067" i="4"/>
  <c r="O1067" i="4"/>
  <c r="R1067" i="4"/>
  <c r="S1067" i="4"/>
  <c r="T1067" i="4"/>
  <c r="U1067" i="4"/>
  <c r="V1067" i="4"/>
  <c r="W1067" i="4"/>
  <c r="B1068" i="4"/>
  <c r="C1068" i="4"/>
  <c r="F1068" i="4"/>
  <c r="H1068" i="4"/>
  <c r="I1068" i="4"/>
  <c r="K1068" i="4"/>
  <c r="L1068" i="4"/>
  <c r="N1068" i="4"/>
  <c r="P1068" i="4"/>
  <c r="Q1068" i="4"/>
  <c r="R1068" i="4"/>
  <c r="V1068" i="4"/>
  <c r="X1068" i="4"/>
  <c r="D1069" i="4"/>
  <c r="G1069" i="4"/>
  <c r="H1069" i="4"/>
  <c r="I1069" i="4"/>
  <c r="K1069" i="4"/>
  <c r="M1069" i="4"/>
  <c r="O1069" i="4"/>
  <c r="P1069" i="4"/>
  <c r="Q1069" i="4"/>
  <c r="S1069" i="4"/>
  <c r="T1069" i="4"/>
  <c r="W1069" i="4"/>
  <c r="X1069" i="4"/>
  <c r="C1070" i="4"/>
  <c r="D1070" i="4"/>
  <c r="G1070" i="4"/>
  <c r="H1070" i="4"/>
  <c r="I1070" i="4"/>
  <c r="J1070" i="4"/>
  <c r="K1070" i="4"/>
  <c r="L1070" i="4"/>
  <c r="N1070" i="4"/>
  <c r="O1070" i="4"/>
  <c r="P1070" i="4"/>
  <c r="Q1070" i="4"/>
  <c r="S1070" i="4"/>
  <c r="T1070" i="4"/>
  <c r="V1070" i="4"/>
  <c r="W1070" i="4"/>
  <c r="C1071" i="4"/>
  <c r="E1071" i="4"/>
  <c r="F1071" i="4"/>
  <c r="G1071" i="4"/>
  <c r="I1071" i="4"/>
  <c r="K1071" i="4"/>
  <c r="M1071" i="4"/>
  <c r="N1071" i="4"/>
  <c r="O1071" i="4"/>
  <c r="P1071" i="4"/>
  <c r="R1071" i="4"/>
  <c r="S1071" i="4"/>
  <c r="U1071" i="4"/>
  <c r="V1071" i="4"/>
  <c r="W1071" i="4"/>
  <c r="X1071" i="4"/>
  <c r="B1072" i="4"/>
  <c r="D1072" i="4"/>
  <c r="E1072" i="4"/>
  <c r="I1072" i="4"/>
  <c r="L1072" i="4"/>
  <c r="M1072" i="4"/>
  <c r="O1072" i="4"/>
  <c r="P1072" i="4"/>
  <c r="Q1072" i="4"/>
  <c r="R1072" i="4"/>
  <c r="U1072" i="4"/>
  <c r="E1073" i="4"/>
  <c r="F1073" i="4"/>
  <c r="G1073" i="4"/>
  <c r="H1073" i="4"/>
  <c r="I1073" i="4"/>
  <c r="L1073" i="4"/>
  <c r="N1073" i="4"/>
  <c r="O1073" i="4"/>
  <c r="P1073" i="4"/>
  <c r="Q1073" i="4"/>
  <c r="T1073" i="4"/>
  <c r="U1073" i="4"/>
  <c r="V1073" i="4"/>
  <c r="W1073" i="4"/>
  <c r="X1073" i="4"/>
  <c r="B1074" i="4"/>
  <c r="C1074" i="4"/>
  <c r="D1074" i="4"/>
  <c r="E1074" i="4"/>
  <c r="G1074" i="4"/>
  <c r="H1074" i="4"/>
  <c r="K1074" i="4"/>
  <c r="L1074" i="4"/>
  <c r="M1074" i="4"/>
  <c r="P1074" i="4"/>
  <c r="R1074" i="4"/>
  <c r="S1074" i="4"/>
  <c r="T1074" i="4"/>
  <c r="U1074" i="4"/>
  <c r="W1074" i="4"/>
  <c r="B1075" i="4"/>
  <c r="C1075" i="4"/>
  <c r="D1075" i="4"/>
  <c r="E1075" i="4"/>
  <c r="F1075" i="4"/>
  <c r="G1075" i="4"/>
  <c r="I1075" i="4"/>
  <c r="K1075" i="4"/>
  <c r="L1075" i="4"/>
  <c r="M1075" i="4"/>
  <c r="N1075" i="4"/>
  <c r="O1075" i="4"/>
  <c r="Q1075" i="4"/>
  <c r="S1075" i="4"/>
  <c r="T1075" i="4"/>
  <c r="U1075" i="4"/>
  <c r="V1075" i="4"/>
  <c r="W1075" i="4"/>
  <c r="C1076" i="4"/>
  <c r="E1076" i="4"/>
  <c r="F1076" i="4"/>
  <c r="H1076" i="4"/>
  <c r="I1076" i="4"/>
  <c r="M1076" i="4"/>
  <c r="N1076" i="4"/>
  <c r="P1076" i="4"/>
  <c r="Q1076" i="4"/>
  <c r="R1076" i="4"/>
  <c r="S1076" i="4"/>
  <c r="U1076" i="4"/>
  <c r="V1076" i="4"/>
  <c r="W1076" i="4"/>
  <c r="B1077" i="4"/>
  <c r="D1077" i="4"/>
  <c r="E1077" i="4"/>
  <c r="F1077" i="4"/>
  <c r="H1077" i="4"/>
  <c r="I1077" i="4"/>
  <c r="L1077" i="4"/>
  <c r="M1077" i="4"/>
  <c r="N1077" i="4"/>
  <c r="P1077" i="4"/>
  <c r="Q1077" i="4"/>
  <c r="T1077" i="4"/>
  <c r="U1077" i="4"/>
  <c r="V1077" i="4"/>
  <c r="X1077" i="4"/>
  <c r="C1078" i="4"/>
  <c r="E1078" i="4"/>
  <c r="F1078" i="4"/>
  <c r="G1078" i="4"/>
  <c r="H1078" i="4"/>
  <c r="I1078" i="4"/>
  <c r="K1078" i="4"/>
  <c r="M1078" i="4"/>
  <c r="N1078" i="4"/>
  <c r="O1078" i="4"/>
  <c r="P1078" i="4"/>
  <c r="Q1078" i="4"/>
  <c r="S1078" i="4"/>
  <c r="U1078" i="4"/>
  <c r="V1078" i="4"/>
  <c r="W1078" i="4"/>
  <c r="B1079" i="4"/>
  <c r="C1079" i="4"/>
  <c r="E1079" i="4"/>
  <c r="F1079" i="4"/>
  <c r="H1079" i="4"/>
  <c r="M1079" i="4"/>
  <c r="O1079" i="4"/>
  <c r="P1079" i="4"/>
  <c r="U1079" i="4"/>
  <c r="W1079" i="4"/>
  <c r="X1079" i="4"/>
  <c r="C1080" i="4"/>
  <c r="D1080" i="4"/>
  <c r="E1080" i="4"/>
  <c r="F1080" i="4"/>
  <c r="G1080" i="4"/>
  <c r="I1080" i="4"/>
  <c r="J1080" i="4"/>
  <c r="K1080" i="4"/>
  <c r="L1080" i="4"/>
  <c r="M1080" i="4"/>
  <c r="N1080" i="4"/>
  <c r="O1080" i="4"/>
  <c r="Q1080" i="4"/>
  <c r="R1080" i="4"/>
  <c r="S1080" i="4"/>
  <c r="T1080" i="4"/>
  <c r="U1080" i="4"/>
  <c r="V1080" i="4"/>
  <c r="W1080" i="4"/>
  <c r="C1081" i="4"/>
  <c r="E1081" i="4"/>
  <c r="F1081" i="4"/>
  <c r="G1081" i="4"/>
  <c r="I1081" i="4"/>
  <c r="K1081" i="4"/>
  <c r="M1081" i="4"/>
  <c r="N1081" i="4"/>
  <c r="O1081" i="4"/>
  <c r="Q1081" i="4"/>
  <c r="R1081" i="4"/>
  <c r="S1081" i="4"/>
  <c r="U1081" i="4"/>
  <c r="V1081" i="4"/>
  <c r="W1081" i="4"/>
  <c r="A1082" i="4"/>
  <c r="C1082" i="4"/>
  <c r="E1082" i="4"/>
  <c r="F1082" i="4"/>
  <c r="G1082" i="4"/>
  <c r="H1082" i="4"/>
  <c r="I1082" i="4"/>
  <c r="K1082" i="4"/>
  <c r="L1082" i="4"/>
  <c r="M1082" i="4"/>
  <c r="N1082" i="4"/>
  <c r="O1082" i="4"/>
  <c r="P1082" i="4"/>
  <c r="Q1082" i="4"/>
  <c r="S1082" i="4"/>
  <c r="U1082" i="4"/>
  <c r="V1082" i="4"/>
  <c r="W1082" i="4"/>
  <c r="X1082" i="4"/>
  <c r="A1083" i="4"/>
  <c r="A1084" i="4" s="1"/>
  <c r="B1083" i="4"/>
  <c r="D1083" i="4"/>
  <c r="E1083" i="4"/>
  <c r="F1083" i="4"/>
  <c r="L1083" i="4"/>
  <c r="M1083" i="4"/>
  <c r="N1083" i="4"/>
  <c r="O1083" i="4"/>
  <c r="Q1083" i="4"/>
  <c r="T1083" i="4"/>
  <c r="U1083" i="4"/>
  <c r="V1083" i="4"/>
  <c r="X1083" i="4"/>
  <c r="D1084" i="4"/>
  <c r="E1084" i="4"/>
  <c r="F1084" i="4"/>
  <c r="G1084" i="4"/>
  <c r="H1084" i="4"/>
  <c r="L1084" i="4"/>
  <c r="M1084" i="4"/>
  <c r="N1084" i="4"/>
  <c r="O1084" i="4"/>
  <c r="P1084" i="4"/>
  <c r="R1084" i="4"/>
  <c r="S1084" i="4"/>
  <c r="T1084" i="4"/>
  <c r="U1084" i="4"/>
  <c r="V1084" i="4"/>
  <c r="W1084" i="4"/>
  <c r="X1084" i="4"/>
  <c r="A1085" i="4"/>
  <c r="A1086" i="4" s="1"/>
  <c r="A1087" i="4" s="1"/>
  <c r="A1088" i="4" s="1"/>
  <c r="C1085" i="4"/>
  <c r="D1085" i="4"/>
  <c r="E1085" i="4"/>
  <c r="F1085" i="4"/>
  <c r="I1085" i="4"/>
  <c r="K1085" i="4"/>
  <c r="L1085" i="4"/>
  <c r="M1085" i="4"/>
  <c r="N1085" i="4"/>
  <c r="Q1085" i="4"/>
  <c r="S1085" i="4"/>
  <c r="T1085" i="4"/>
  <c r="U1085" i="4"/>
  <c r="V1085" i="4"/>
  <c r="C1086" i="4"/>
  <c r="D1086" i="4"/>
  <c r="F1086" i="4"/>
  <c r="G1086" i="4"/>
  <c r="H1086" i="4"/>
  <c r="I1086" i="4"/>
  <c r="K1086" i="4"/>
  <c r="L1086" i="4"/>
  <c r="N1086" i="4"/>
  <c r="O1086" i="4"/>
  <c r="Q1086" i="4"/>
  <c r="S1086" i="4"/>
  <c r="T1086" i="4"/>
  <c r="V1086" i="4"/>
  <c r="W1086" i="4"/>
  <c r="B1087" i="4"/>
  <c r="D1087" i="4"/>
  <c r="E1087" i="4"/>
  <c r="G1087" i="4"/>
  <c r="H1087" i="4"/>
  <c r="I1087" i="4"/>
  <c r="J1087" i="4"/>
  <c r="L1087" i="4"/>
  <c r="M1087" i="4"/>
  <c r="O1087" i="4"/>
  <c r="P1087" i="4"/>
  <c r="Q1087" i="4"/>
  <c r="R1087" i="4"/>
  <c r="T1087" i="4"/>
  <c r="U1087" i="4"/>
  <c r="V1087" i="4"/>
  <c r="W1087" i="4"/>
  <c r="X1087" i="4"/>
  <c r="B1088" i="4"/>
  <c r="D1088" i="4"/>
  <c r="E1088" i="4"/>
  <c r="F1088" i="4"/>
  <c r="G1088" i="4"/>
  <c r="L1088" i="4"/>
  <c r="M1088" i="4"/>
  <c r="N1088" i="4"/>
  <c r="O1088" i="4"/>
  <c r="T1088" i="4"/>
  <c r="U1088" i="4"/>
  <c r="V1088" i="4"/>
  <c r="W1088" i="4"/>
  <c r="A1089" i="4"/>
  <c r="A1090" i="4" s="1"/>
  <c r="A1091" i="4" s="1"/>
  <c r="A1092" i="4" s="1"/>
  <c r="E1089" i="4"/>
  <c r="F1089" i="4"/>
  <c r="G1089" i="4"/>
  <c r="H1089" i="4"/>
  <c r="I1089" i="4"/>
  <c r="J1089" i="4"/>
  <c r="M1089" i="4"/>
  <c r="N1089" i="4"/>
  <c r="O1089" i="4"/>
  <c r="P1089" i="4"/>
  <c r="Q1089" i="4"/>
  <c r="S1089" i="4"/>
  <c r="U1089" i="4"/>
  <c r="V1089" i="4"/>
  <c r="W1089" i="4"/>
  <c r="X1089" i="4"/>
  <c r="C1090" i="4"/>
  <c r="D1090" i="4"/>
  <c r="H1090" i="4"/>
  <c r="I1090" i="4"/>
  <c r="K1090" i="4"/>
  <c r="L1090" i="4"/>
  <c r="N1090" i="4"/>
  <c r="P1090" i="4"/>
  <c r="Q1090" i="4"/>
  <c r="S1090" i="4"/>
  <c r="T1090" i="4"/>
  <c r="X1090" i="4"/>
  <c r="C1091" i="4"/>
  <c r="D1091" i="4"/>
  <c r="E1091" i="4"/>
  <c r="F1091" i="4"/>
  <c r="G1091" i="4"/>
  <c r="H1091" i="4"/>
  <c r="I1091" i="4"/>
  <c r="K1091" i="4"/>
  <c r="L1091" i="4"/>
  <c r="M1091" i="4"/>
  <c r="N1091" i="4"/>
  <c r="O1091" i="4"/>
  <c r="P1091" i="4"/>
  <c r="Q1091" i="4"/>
  <c r="S1091" i="4"/>
  <c r="T1091" i="4"/>
  <c r="U1091" i="4"/>
  <c r="V1091" i="4"/>
  <c r="W1091" i="4"/>
  <c r="X1091" i="4"/>
  <c r="B1092" i="4"/>
  <c r="C1092" i="4"/>
  <c r="D1092" i="4"/>
  <c r="E1092" i="4"/>
  <c r="G1092" i="4"/>
  <c r="J1092" i="4"/>
  <c r="L1092" i="4"/>
  <c r="M1092" i="4"/>
  <c r="N1092" i="4"/>
  <c r="O1092" i="4"/>
  <c r="R1092" i="4"/>
  <c r="S1092" i="4"/>
  <c r="T1092" i="4"/>
  <c r="U1092" i="4"/>
  <c r="V1092" i="4"/>
  <c r="W1092" i="4"/>
  <c r="A1093" i="4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B1093" i="4"/>
  <c r="C1093" i="4"/>
  <c r="E1093" i="4"/>
  <c r="F1093" i="4"/>
  <c r="I1093" i="4"/>
  <c r="J1093" i="4"/>
  <c r="K1093" i="4"/>
  <c r="M1093" i="4"/>
  <c r="N1093" i="4"/>
  <c r="P1093" i="4"/>
  <c r="Q1093" i="4"/>
  <c r="R1093" i="4"/>
  <c r="S1093" i="4"/>
  <c r="U1093" i="4"/>
  <c r="V1093" i="4"/>
  <c r="X1093" i="4"/>
  <c r="B1094" i="4"/>
  <c r="C1094" i="4"/>
  <c r="E1094" i="4"/>
  <c r="F1094" i="4"/>
  <c r="G1094" i="4"/>
  <c r="I1094" i="4"/>
  <c r="K1094" i="4"/>
  <c r="M1094" i="4"/>
  <c r="N1094" i="4"/>
  <c r="O1094" i="4"/>
  <c r="Q1094" i="4"/>
  <c r="S1094" i="4"/>
  <c r="U1094" i="4"/>
  <c r="V1094" i="4"/>
  <c r="W1094" i="4"/>
  <c r="B1095" i="4"/>
  <c r="D1095" i="4"/>
  <c r="E1095" i="4"/>
  <c r="F1095" i="4"/>
  <c r="G1095" i="4"/>
  <c r="H1095" i="4"/>
  <c r="I1095" i="4"/>
  <c r="J1095" i="4"/>
  <c r="L1095" i="4"/>
  <c r="M1095" i="4"/>
  <c r="N1095" i="4"/>
  <c r="O1095" i="4"/>
  <c r="P1095" i="4"/>
  <c r="Q1095" i="4"/>
  <c r="R1095" i="4"/>
  <c r="T1095" i="4"/>
  <c r="U1095" i="4"/>
  <c r="V1095" i="4"/>
  <c r="W1095" i="4"/>
  <c r="X1095" i="4"/>
  <c r="B1096" i="4"/>
  <c r="C1096" i="4"/>
  <c r="D1096" i="4"/>
  <c r="F1096" i="4"/>
  <c r="G1096" i="4"/>
  <c r="H1096" i="4"/>
  <c r="I1096" i="4"/>
  <c r="J1096" i="4"/>
  <c r="K1096" i="4"/>
  <c r="L1096" i="4"/>
  <c r="N1096" i="4"/>
  <c r="O1096" i="4"/>
  <c r="P1096" i="4"/>
  <c r="Q1096" i="4"/>
  <c r="R1096" i="4"/>
  <c r="S1096" i="4"/>
  <c r="T1096" i="4"/>
  <c r="V1096" i="4"/>
  <c r="W1096" i="4"/>
  <c r="X1096" i="4"/>
  <c r="B1097" i="4"/>
  <c r="C1097" i="4"/>
  <c r="E1097" i="4"/>
  <c r="F1097" i="4"/>
  <c r="G1097" i="4"/>
  <c r="H1097" i="4"/>
  <c r="I1097" i="4"/>
  <c r="J1097" i="4"/>
  <c r="K1097" i="4"/>
  <c r="M1097" i="4"/>
  <c r="N1097" i="4"/>
  <c r="O1097" i="4"/>
  <c r="P1097" i="4"/>
  <c r="Q1097" i="4"/>
  <c r="R1097" i="4"/>
  <c r="S1097" i="4"/>
  <c r="U1097" i="4"/>
  <c r="V1097" i="4"/>
  <c r="W1097" i="4"/>
  <c r="X1097" i="4"/>
  <c r="B1098" i="4"/>
  <c r="C1098" i="4"/>
  <c r="D1098" i="4"/>
  <c r="E1098" i="4"/>
  <c r="F1098" i="4"/>
  <c r="G1098" i="4"/>
  <c r="H1098" i="4"/>
  <c r="I1098" i="4"/>
  <c r="J1098" i="4"/>
  <c r="K1098" i="4"/>
  <c r="L1098" i="4"/>
  <c r="M1098" i="4"/>
  <c r="N1098" i="4"/>
  <c r="O1098" i="4"/>
  <c r="P1098" i="4"/>
  <c r="Q1098" i="4"/>
  <c r="R1098" i="4"/>
  <c r="S1098" i="4"/>
  <c r="T1098" i="4"/>
  <c r="U1098" i="4"/>
  <c r="V1098" i="4"/>
  <c r="W1098" i="4"/>
  <c r="X1098" i="4"/>
  <c r="D1099" i="4"/>
  <c r="E1099" i="4"/>
  <c r="F1099" i="4"/>
  <c r="G1099" i="4"/>
  <c r="I1099" i="4"/>
  <c r="L1099" i="4"/>
  <c r="M1099" i="4"/>
  <c r="N1099" i="4"/>
  <c r="O1099" i="4"/>
  <c r="Q1099" i="4"/>
  <c r="R1099" i="4"/>
  <c r="T1099" i="4"/>
  <c r="U1099" i="4"/>
  <c r="V1099" i="4"/>
  <c r="W1099" i="4"/>
  <c r="B1100" i="4"/>
  <c r="C1100" i="4"/>
  <c r="D1100" i="4"/>
  <c r="F1100" i="4"/>
  <c r="G1100" i="4"/>
  <c r="H1100" i="4"/>
  <c r="J1100" i="4"/>
  <c r="K1100" i="4"/>
  <c r="L1100" i="4"/>
  <c r="M1100" i="4"/>
  <c r="N1100" i="4"/>
  <c r="O1100" i="4"/>
  <c r="P1100" i="4"/>
  <c r="R1100" i="4"/>
  <c r="S1100" i="4"/>
  <c r="T1100" i="4"/>
  <c r="U1100" i="4"/>
  <c r="V1100" i="4"/>
  <c r="W1100" i="4"/>
  <c r="X1100" i="4"/>
  <c r="C1101" i="4"/>
  <c r="D1101" i="4"/>
  <c r="E1101" i="4"/>
  <c r="F1101" i="4"/>
  <c r="H1101" i="4"/>
  <c r="I1101" i="4"/>
  <c r="J1101" i="4"/>
  <c r="K1101" i="4"/>
  <c r="L1101" i="4"/>
  <c r="M1101" i="4"/>
  <c r="N1101" i="4"/>
  <c r="P1101" i="4"/>
  <c r="Q1101" i="4"/>
  <c r="R1101" i="4"/>
  <c r="S1101" i="4"/>
  <c r="U1101" i="4"/>
  <c r="V1101" i="4"/>
  <c r="X1101" i="4"/>
  <c r="B1102" i="4"/>
  <c r="C1102" i="4"/>
  <c r="D1102" i="4"/>
  <c r="F1102" i="4"/>
  <c r="G1102" i="4"/>
  <c r="H1102" i="4"/>
  <c r="I1102" i="4"/>
  <c r="J1102" i="4"/>
  <c r="K1102" i="4"/>
  <c r="L1102" i="4"/>
  <c r="N1102" i="4"/>
  <c r="O1102" i="4"/>
  <c r="P1102" i="4"/>
  <c r="Q1102" i="4"/>
  <c r="R1102" i="4"/>
  <c r="S1102" i="4"/>
  <c r="T1102" i="4"/>
  <c r="V1102" i="4"/>
  <c r="W1102" i="4"/>
  <c r="X1102" i="4"/>
  <c r="B1103" i="4"/>
  <c r="D1103" i="4"/>
  <c r="E1103" i="4"/>
  <c r="F1103" i="4"/>
  <c r="L1103" i="4"/>
  <c r="M1103" i="4"/>
  <c r="N1103" i="4"/>
  <c r="P1103" i="4"/>
  <c r="T1103" i="4"/>
  <c r="U1103" i="4"/>
  <c r="V1103" i="4"/>
  <c r="X1103" i="4"/>
  <c r="C1104" i="4"/>
  <c r="E1104" i="4"/>
  <c r="F1104" i="4"/>
  <c r="G1104" i="4"/>
  <c r="H1104" i="4"/>
  <c r="J1104" i="4"/>
  <c r="M1104" i="4"/>
  <c r="N1104" i="4"/>
  <c r="O1104" i="4"/>
  <c r="U1104" i="4"/>
  <c r="V1104" i="4"/>
  <c r="W1104" i="4"/>
  <c r="B1105" i="4"/>
  <c r="E1105" i="4"/>
  <c r="F1105" i="4"/>
  <c r="G1105" i="4"/>
  <c r="H1105" i="4"/>
  <c r="I1105" i="4"/>
  <c r="J1105" i="4"/>
  <c r="M1105" i="4"/>
  <c r="N1105" i="4"/>
  <c r="O1105" i="4"/>
  <c r="P1105" i="4"/>
  <c r="Q1105" i="4"/>
  <c r="R1105" i="4"/>
  <c r="U1105" i="4"/>
  <c r="V1105" i="4"/>
  <c r="W1105" i="4"/>
  <c r="X1105" i="4"/>
  <c r="E9" i="3"/>
  <c r="G9" i="3"/>
  <c r="J12" i="3"/>
  <c r="J13" i="3"/>
  <c r="J14" i="3"/>
  <c r="J15" i="3"/>
  <c r="J16" i="3"/>
  <c r="B17" i="3"/>
  <c r="C17" i="3"/>
  <c r="D17" i="3"/>
  <c r="E17" i="3"/>
  <c r="F17" i="3"/>
  <c r="G17" i="3"/>
  <c r="H17" i="3"/>
  <c r="I17" i="3"/>
  <c r="J17" i="3"/>
  <c r="B18" i="3"/>
  <c r="C18" i="3"/>
  <c r="D18" i="3"/>
  <c r="E18" i="3"/>
  <c r="F18" i="3"/>
  <c r="G18" i="3"/>
  <c r="H18" i="3"/>
  <c r="I18" i="3"/>
  <c r="J18" i="3"/>
  <c r="B19" i="3"/>
  <c r="C19" i="3"/>
  <c r="D19" i="3"/>
  <c r="E19" i="3"/>
  <c r="F19" i="3"/>
  <c r="G19" i="3"/>
  <c r="H19" i="3"/>
  <c r="I19" i="3"/>
  <c r="J19" i="3"/>
  <c r="B20" i="3"/>
  <c r="C20" i="3"/>
  <c r="D20" i="3"/>
  <c r="E20" i="3"/>
  <c r="F20" i="3"/>
  <c r="G20" i="3"/>
  <c r="H20" i="3"/>
  <c r="I20" i="3"/>
  <c r="J20" i="3"/>
  <c r="B21" i="3"/>
  <c r="C21" i="3"/>
  <c r="D21" i="3"/>
  <c r="E21" i="3"/>
  <c r="F21" i="3"/>
  <c r="G21" i="3"/>
  <c r="H21" i="3"/>
  <c r="I21" i="3"/>
  <c r="J21" i="3"/>
  <c r="B22" i="3"/>
  <c r="C22" i="3"/>
  <c r="D22" i="3"/>
  <c r="E22" i="3"/>
  <c r="F22" i="3"/>
  <c r="G22" i="3"/>
  <c r="H22" i="3"/>
  <c r="I22" i="3"/>
  <c r="J22" i="3"/>
  <c r="B23" i="3"/>
  <c r="C23" i="3"/>
  <c r="D23" i="3"/>
  <c r="E23" i="3"/>
  <c r="F23" i="3"/>
  <c r="F1057" i="3" s="1"/>
  <c r="G23" i="3"/>
  <c r="H23" i="3"/>
  <c r="I23" i="3"/>
  <c r="J23" i="3"/>
  <c r="B24" i="3"/>
  <c r="C24" i="3"/>
  <c r="D24" i="3"/>
  <c r="E24" i="3"/>
  <c r="F24" i="3"/>
  <c r="G24" i="3"/>
  <c r="H24" i="3"/>
  <c r="I24" i="3"/>
  <c r="J24" i="3"/>
  <c r="B25" i="3"/>
  <c r="C25" i="3"/>
  <c r="D25" i="3"/>
  <c r="E25" i="3"/>
  <c r="F25" i="3"/>
  <c r="G25" i="3"/>
  <c r="H25" i="3"/>
  <c r="I25" i="3"/>
  <c r="J25" i="3"/>
  <c r="B26" i="3"/>
  <c r="C26" i="3"/>
  <c r="D26" i="3"/>
  <c r="E26" i="3"/>
  <c r="F26" i="3"/>
  <c r="G26" i="3"/>
  <c r="H26" i="3"/>
  <c r="I26" i="3"/>
  <c r="J26" i="3"/>
  <c r="B27" i="3"/>
  <c r="C27" i="3"/>
  <c r="D27" i="3"/>
  <c r="E27" i="3"/>
  <c r="F27" i="3"/>
  <c r="G27" i="3"/>
  <c r="H27" i="3"/>
  <c r="I27" i="3"/>
  <c r="J27" i="3"/>
  <c r="B28" i="3"/>
  <c r="C28" i="3"/>
  <c r="D28" i="3"/>
  <c r="E28" i="3"/>
  <c r="F28" i="3"/>
  <c r="G28" i="3"/>
  <c r="H28" i="3"/>
  <c r="I28" i="3"/>
  <c r="J28" i="3"/>
  <c r="B29" i="3"/>
  <c r="C29" i="3"/>
  <c r="D29" i="3"/>
  <c r="E29" i="3"/>
  <c r="F29" i="3"/>
  <c r="G29" i="3"/>
  <c r="H29" i="3"/>
  <c r="I29" i="3"/>
  <c r="J29" i="3"/>
  <c r="B30" i="3"/>
  <c r="C30" i="3"/>
  <c r="D30" i="3"/>
  <c r="E30" i="3"/>
  <c r="F30" i="3"/>
  <c r="G30" i="3"/>
  <c r="H30" i="3"/>
  <c r="I30" i="3"/>
  <c r="J30" i="3"/>
  <c r="B31" i="3"/>
  <c r="C31" i="3"/>
  <c r="D31" i="3"/>
  <c r="E31" i="3"/>
  <c r="F31" i="3"/>
  <c r="G31" i="3"/>
  <c r="H31" i="3"/>
  <c r="I31" i="3"/>
  <c r="J31" i="3"/>
  <c r="B32" i="3"/>
  <c r="C32" i="3"/>
  <c r="D32" i="3"/>
  <c r="E32" i="3"/>
  <c r="F32" i="3"/>
  <c r="G32" i="3"/>
  <c r="H32" i="3"/>
  <c r="I32" i="3"/>
  <c r="J32" i="3"/>
  <c r="B33" i="3"/>
  <c r="C33" i="3"/>
  <c r="D33" i="3"/>
  <c r="E33" i="3"/>
  <c r="F33" i="3"/>
  <c r="G33" i="3"/>
  <c r="H33" i="3"/>
  <c r="I33" i="3"/>
  <c r="J33" i="3"/>
  <c r="B34" i="3"/>
  <c r="C34" i="3"/>
  <c r="D34" i="3"/>
  <c r="E34" i="3"/>
  <c r="F34" i="3"/>
  <c r="G34" i="3"/>
  <c r="H34" i="3"/>
  <c r="I34" i="3"/>
  <c r="J34" i="3"/>
  <c r="B35" i="3"/>
  <c r="C35" i="3"/>
  <c r="D35" i="3"/>
  <c r="E35" i="3"/>
  <c r="F35" i="3"/>
  <c r="G35" i="3"/>
  <c r="H35" i="3"/>
  <c r="I35" i="3"/>
  <c r="J35" i="3"/>
  <c r="B36" i="3"/>
  <c r="C36" i="3"/>
  <c r="D36" i="3"/>
  <c r="E36" i="3"/>
  <c r="F36" i="3"/>
  <c r="G36" i="3"/>
  <c r="H36" i="3"/>
  <c r="I36" i="3"/>
  <c r="J36" i="3"/>
  <c r="B37" i="3"/>
  <c r="C37" i="3"/>
  <c r="D37" i="3"/>
  <c r="E37" i="3"/>
  <c r="F37" i="3"/>
  <c r="G37" i="3"/>
  <c r="H37" i="3"/>
  <c r="I37" i="3"/>
  <c r="J37" i="3"/>
  <c r="B38" i="3"/>
  <c r="C38" i="3"/>
  <c r="D38" i="3"/>
  <c r="E38" i="3"/>
  <c r="F38" i="3"/>
  <c r="G38" i="3"/>
  <c r="H38" i="3"/>
  <c r="I38" i="3"/>
  <c r="J38" i="3"/>
  <c r="B39" i="3"/>
  <c r="C39" i="3"/>
  <c r="D39" i="3"/>
  <c r="E39" i="3"/>
  <c r="F39" i="3"/>
  <c r="G39" i="3"/>
  <c r="H39" i="3"/>
  <c r="I39" i="3"/>
  <c r="J39" i="3"/>
  <c r="B40" i="3"/>
  <c r="C40" i="3"/>
  <c r="D40" i="3"/>
  <c r="E40" i="3"/>
  <c r="F40" i="3"/>
  <c r="G40" i="3"/>
  <c r="H40" i="3"/>
  <c r="I40" i="3"/>
  <c r="J40" i="3"/>
  <c r="B41" i="3"/>
  <c r="C41" i="3"/>
  <c r="D41" i="3"/>
  <c r="E41" i="3"/>
  <c r="F41" i="3"/>
  <c r="G41" i="3"/>
  <c r="H41" i="3"/>
  <c r="I41" i="3"/>
  <c r="J41" i="3"/>
  <c r="B42" i="3"/>
  <c r="C42" i="3"/>
  <c r="D42" i="3"/>
  <c r="E42" i="3"/>
  <c r="F42" i="3"/>
  <c r="G42" i="3"/>
  <c r="H42" i="3"/>
  <c r="I42" i="3"/>
  <c r="J42" i="3"/>
  <c r="B43" i="3"/>
  <c r="C43" i="3"/>
  <c r="D43" i="3"/>
  <c r="E43" i="3"/>
  <c r="F43" i="3"/>
  <c r="G43" i="3"/>
  <c r="H43" i="3"/>
  <c r="I43" i="3"/>
  <c r="J43" i="3"/>
  <c r="J1059" i="3" s="1"/>
  <c r="B44" i="3"/>
  <c r="C44" i="3"/>
  <c r="D44" i="3"/>
  <c r="E44" i="3"/>
  <c r="F44" i="3"/>
  <c r="G44" i="3"/>
  <c r="H44" i="3"/>
  <c r="I44" i="3"/>
  <c r="J44" i="3"/>
  <c r="B45" i="3"/>
  <c r="C45" i="3"/>
  <c r="D45" i="3"/>
  <c r="E45" i="3"/>
  <c r="F45" i="3"/>
  <c r="G45" i="3"/>
  <c r="H45" i="3"/>
  <c r="I45" i="3"/>
  <c r="J45" i="3"/>
  <c r="B46" i="3"/>
  <c r="C46" i="3"/>
  <c r="D46" i="3"/>
  <c r="E46" i="3"/>
  <c r="F46" i="3"/>
  <c r="G46" i="3"/>
  <c r="H46" i="3"/>
  <c r="I46" i="3"/>
  <c r="J46" i="3"/>
  <c r="B47" i="3"/>
  <c r="C47" i="3"/>
  <c r="D47" i="3"/>
  <c r="E47" i="3"/>
  <c r="F47" i="3"/>
  <c r="G47" i="3"/>
  <c r="H47" i="3"/>
  <c r="I47" i="3"/>
  <c r="J47" i="3"/>
  <c r="B48" i="3"/>
  <c r="C48" i="3"/>
  <c r="D48" i="3"/>
  <c r="E48" i="3"/>
  <c r="F48" i="3"/>
  <c r="G48" i="3"/>
  <c r="H48" i="3"/>
  <c r="I48" i="3"/>
  <c r="J48" i="3"/>
  <c r="B49" i="3"/>
  <c r="C49" i="3"/>
  <c r="D49" i="3"/>
  <c r="E49" i="3"/>
  <c r="F49" i="3"/>
  <c r="G49" i="3"/>
  <c r="H49" i="3"/>
  <c r="I49" i="3"/>
  <c r="J49" i="3"/>
  <c r="B50" i="3"/>
  <c r="C50" i="3"/>
  <c r="D50" i="3"/>
  <c r="E50" i="3"/>
  <c r="F50" i="3"/>
  <c r="G50" i="3"/>
  <c r="H50" i="3"/>
  <c r="I50" i="3"/>
  <c r="J50" i="3"/>
  <c r="B51" i="3"/>
  <c r="C51" i="3"/>
  <c r="D51" i="3"/>
  <c r="E51" i="3"/>
  <c r="F51" i="3"/>
  <c r="G51" i="3"/>
  <c r="H51" i="3"/>
  <c r="I51" i="3"/>
  <c r="J51" i="3"/>
  <c r="J1060" i="3" s="1"/>
  <c r="B52" i="3"/>
  <c r="C52" i="3"/>
  <c r="D52" i="3"/>
  <c r="E52" i="3"/>
  <c r="F52" i="3"/>
  <c r="G52" i="3"/>
  <c r="H52" i="3"/>
  <c r="I52" i="3"/>
  <c r="J52" i="3"/>
  <c r="B53" i="3"/>
  <c r="C53" i="3"/>
  <c r="D53" i="3"/>
  <c r="E53" i="3"/>
  <c r="F53" i="3"/>
  <c r="G53" i="3"/>
  <c r="H53" i="3"/>
  <c r="I53" i="3"/>
  <c r="J53" i="3"/>
  <c r="B54" i="3"/>
  <c r="C54" i="3"/>
  <c r="D54" i="3"/>
  <c r="E54" i="3"/>
  <c r="F54" i="3"/>
  <c r="G54" i="3"/>
  <c r="H54" i="3"/>
  <c r="I54" i="3"/>
  <c r="J54" i="3"/>
  <c r="B55" i="3"/>
  <c r="C55" i="3"/>
  <c r="D55" i="3"/>
  <c r="E55" i="3"/>
  <c r="F55" i="3"/>
  <c r="G55" i="3"/>
  <c r="H55" i="3"/>
  <c r="I55" i="3"/>
  <c r="J55" i="3"/>
  <c r="B56" i="3"/>
  <c r="C56" i="3"/>
  <c r="D56" i="3"/>
  <c r="E56" i="3"/>
  <c r="F56" i="3"/>
  <c r="G56" i="3"/>
  <c r="H56" i="3"/>
  <c r="I56" i="3"/>
  <c r="J56" i="3"/>
  <c r="B57" i="3"/>
  <c r="C57" i="3"/>
  <c r="D57" i="3"/>
  <c r="E57" i="3"/>
  <c r="F57" i="3"/>
  <c r="G57" i="3"/>
  <c r="H57" i="3"/>
  <c r="I57" i="3"/>
  <c r="J57" i="3"/>
  <c r="B58" i="3"/>
  <c r="C58" i="3"/>
  <c r="D58" i="3"/>
  <c r="E58" i="3"/>
  <c r="F58" i="3"/>
  <c r="G58" i="3"/>
  <c r="H58" i="3"/>
  <c r="I58" i="3"/>
  <c r="J58" i="3"/>
  <c r="B59" i="3"/>
  <c r="C59" i="3"/>
  <c r="D59" i="3"/>
  <c r="E59" i="3"/>
  <c r="F59" i="3"/>
  <c r="G59" i="3"/>
  <c r="H59" i="3"/>
  <c r="I59" i="3"/>
  <c r="J59" i="3"/>
  <c r="B60" i="3"/>
  <c r="C60" i="3"/>
  <c r="D60" i="3"/>
  <c r="E60" i="3"/>
  <c r="F60" i="3"/>
  <c r="G60" i="3"/>
  <c r="H60" i="3"/>
  <c r="I60" i="3"/>
  <c r="J60" i="3"/>
  <c r="B61" i="3"/>
  <c r="C61" i="3"/>
  <c r="D61" i="3"/>
  <c r="E61" i="3"/>
  <c r="F61" i="3"/>
  <c r="G61" i="3"/>
  <c r="H61" i="3"/>
  <c r="I61" i="3"/>
  <c r="J61" i="3"/>
  <c r="B62" i="3"/>
  <c r="C62" i="3"/>
  <c r="D62" i="3"/>
  <c r="E62" i="3"/>
  <c r="F62" i="3"/>
  <c r="G62" i="3"/>
  <c r="H62" i="3"/>
  <c r="I62" i="3"/>
  <c r="J62" i="3"/>
  <c r="B63" i="3"/>
  <c r="C63" i="3"/>
  <c r="D63" i="3"/>
  <c r="E63" i="3"/>
  <c r="F63" i="3"/>
  <c r="G63" i="3"/>
  <c r="H63" i="3"/>
  <c r="I63" i="3"/>
  <c r="J63" i="3"/>
  <c r="B64" i="3"/>
  <c r="C64" i="3"/>
  <c r="D64" i="3"/>
  <c r="E64" i="3"/>
  <c r="F64" i="3"/>
  <c r="G64" i="3"/>
  <c r="H64" i="3"/>
  <c r="I64" i="3"/>
  <c r="J64" i="3"/>
  <c r="B65" i="3"/>
  <c r="C65" i="3"/>
  <c r="D65" i="3"/>
  <c r="E65" i="3"/>
  <c r="F65" i="3"/>
  <c r="G65" i="3"/>
  <c r="H65" i="3"/>
  <c r="I65" i="3"/>
  <c r="J65" i="3"/>
  <c r="B66" i="3"/>
  <c r="C66" i="3"/>
  <c r="D66" i="3"/>
  <c r="E66" i="3"/>
  <c r="F66" i="3"/>
  <c r="G66" i="3"/>
  <c r="H66" i="3"/>
  <c r="I66" i="3"/>
  <c r="J66" i="3"/>
  <c r="B67" i="3"/>
  <c r="C67" i="3"/>
  <c r="D67" i="3"/>
  <c r="E67" i="3"/>
  <c r="F67" i="3"/>
  <c r="G67" i="3"/>
  <c r="H67" i="3"/>
  <c r="I67" i="3"/>
  <c r="J67" i="3"/>
  <c r="J1061" i="3" s="1"/>
  <c r="B68" i="3"/>
  <c r="C68" i="3"/>
  <c r="D68" i="3"/>
  <c r="E68" i="3"/>
  <c r="F68" i="3"/>
  <c r="G68" i="3"/>
  <c r="H68" i="3"/>
  <c r="I68" i="3"/>
  <c r="J68" i="3"/>
  <c r="B69" i="3"/>
  <c r="C69" i="3"/>
  <c r="D69" i="3"/>
  <c r="E69" i="3"/>
  <c r="F69" i="3"/>
  <c r="G69" i="3"/>
  <c r="H69" i="3"/>
  <c r="I69" i="3"/>
  <c r="J69" i="3"/>
  <c r="B70" i="3"/>
  <c r="C70" i="3"/>
  <c r="D70" i="3"/>
  <c r="E70" i="3"/>
  <c r="F70" i="3"/>
  <c r="G70" i="3"/>
  <c r="H70" i="3"/>
  <c r="I70" i="3"/>
  <c r="J70" i="3"/>
  <c r="B71" i="3"/>
  <c r="C71" i="3"/>
  <c r="D71" i="3"/>
  <c r="E71" i="3"/>
  <c r="F71" i="3"/>
  <c r="G71" i="3"/>
  <c r="H71" i="3"/>
  <c r="I71" i="3"/>
  <c r="J71" i="3"/>
  <c r="B72" i="3"/>
  <c r="C72" i="3"/>
  <c r="D72" i="3"/>
  <c r="E72" i="3"/>
  <c r="F72" i="3"/>
  <c r="G72" i="3"/>
  <c r="H72" i="3"/>
  <c r="I72" i="3"/>
  <c r="J72" i="3"/>
  <c r="B73" i="3"/>
  <c r="C73" i="3"/>
  <c r="D73" i="3"/>
  <c r="E73" i="3"/>
  <c r="F73" i="3"/>
  <c r="G73" i="3"/>
  <c r="H73" i="3"/>
  <c r="I73" i="3"/>
  <c r="J73" i="3"/>
  <c r="B74" i="3"/>
  <c r="C74" i="3"/>
  <c r="D74" i="3"/>
  <c r="E74" i="3"/>
  <c r="F74" i="3"/>
  <c r="G74" i="3"/>
  <c r="H74" i="3"/>
  <c r="I74" i="3"/>
  <c r="J74" i="3"/>
  <c r="B75" i="3"/>
  <c r="C75" i="3"/>
  <c r="D75" i="3"/>
  <c r="E75" i="3"/>
  <c r="F75" i="3"/>
  <c r="G75" i="3"/>
  <c r="H75" i="3"/>
  <c r="I75" i="3"/>
  <c r="J75" i="3"/>
  <c r="B76" i="3"/>
  <c r="C76" i="3"/>
  <c r="D76" i="3"/>
  <c r="E76" i="3"/>
  <c r="F76" i="3"/>
  <c r="G76" i="3"/>
  <c r="H76" i="3"/>
  <c r="I76" i="3"/>
  <c r="J76" i="3"/>
  <c r="B77" i="3"/>
  <c r="C77" i="3"/>
  <c r="D77" i="3"/>
  <c r="E77" i="3"/>
  <c r="F77" i="3"/>
  <c r="G77" i="3"/>
  <c r="H77" i="3"/>
  <c r="I77" i="3"/>
  <c r="J77" i="3"/>
  <c r="B78" i="3"/>
  <c r="C78" i="3"/>
  <c r="D78" i="3"/>
  <c r="E78" i="3"/>
  <c r="F78" i="3"/>
  <c r="G78" i="3"/>
  <c r="H78" i="3"/>
  <c r="I78" i="3"/>
  <c r="J78" i="3"/>
  <c r="B79" i="3"/>
  <c r="C79" i="3"/>
  <c r="D79" i="3"/>
  <c r="E79" i="3"/>
  <c r="F79" i="3"/>
  <c r="G79" i="3"/>
  <c r="H79" i="3"/>
  <c r="I79" i="3"/>
  <c r="J79" i="3"/>
  <c r="B80" i="3"/>
  <c r="C80" i="3"/>
  <c r="D80" i="3"/>
  <c r="E80" i="3"/>
  <c r="F80" i="3"/>
  <c r="G80" i="3"/>
  <c r="H80" i="3"/>
  <c r="I80" i="3"/>
  <c r="J80" i="3"/>
  <c r="B81" i="3"/>
  <c r="C81" i="3"/>
  <c r="D81" i="3"/>
  <c r="E81" i="3"/>
  <c r="F81" i="3"/>
  <c r="G81" i="3"/>
  <c r="H81" i="3"/>
  <c r="I81" i="3"/>
  <c r="J81" i="3"/>
  <c r="B82" i="3"/>
  <c r="C82" i="3"/>
  <c r="D82" i="3"/>
  <c r="E82" i="3"/>
  <c r="F82" i="3"/>
  <c r="G82" i="3"/>
  <c r="H82" i="3"/>
  <c r="I82" i="3"/>
  <c r="J82" i="3"/>
  <c r="B83" i="3"/>
  <c r="C83" i="3"/>
  <c r="D83" i="3"/>
  <c r="E83" i="3"/>
  <c r="F83" i="3"/>
  <c r="G83" i="3"/>
  <c r="H83" i="3"/>
  <c r="I83" i="3"/>
  <c r="J83" i="3"/>
  <c r="B84" i="3"/>
  <c r="C84" i="3"/>
  <c r="D84" i="3"/>
  <c r="E84" i="3"/>
  <c r="F84" i="3"/>
  <c r="G84" i="3"/>
  <c r="H84" i="3"/>
  <c r="I84" i="3"/>
  <c r="J84" i="3"/>
  <c r="B85" i="3"/>
  <c r="C85" i="3"/>
  <c r="D85" i="3"/>
  <c r="E85" i="3"/>
  <c r="F85" i="3"/>
  <c r="G85" i="3"/>
  <c r="H85" i="3"/>
  <c r="I85" i="3"/>
  <c r="J85" i="3"/>
  <c r="B86" i="3"/>
  <c r="C86" i="3"/>
  <c r="D86" i="3"/>
  <c r="E86" i="3"/>
  <c r="F86" i="3"/>
  <c r="G86" i="3"/>
  <c r="H86" i="3"/>
  <c r="I86" i="3"/>
  <c r="J86" i="3"/>
  <c r="B87" i="3"/>
  <c r="C87" i="3"/>
  <c r="D87" i="3"/>
  <c r="E87" i="3"/>
  <c r="F87" i="3"/>
  <c r="G87" i="3"/>
  <c r="H87" i="3"/>
  <c r="I87" i="3"/>
  <c r="J87" i="3"/>
  <c r="B88" i="3"/>
  <c r="C88" i="3"/>
  <c r="D88" i="3"/>
  <c r="E88" i="3"/>
  <c r="F88" i="3"/>
  <c r="G88" i="3"/>
  <c r="H88" i="3"/>
  <c r="I88" i="3"/>
  <c r="J88" i="3"/>
  <c r="B89" i="3"/>
  <c r="C89" i="3"/>
  <c r="D89" i="3"/>
  <c r="E89" i="3"/>
  <c r="F89" i="3"/>
  <c r="G89" i="3"/>
  <c r="H89" i="3"/>
  <c r="I89" i="3"/>
  <c r="J89" i="3"/>
  <c r="B90" i="3"/>
  <c r="C90" i="3"/>
  <c r="D90" i="3"/>
  <c r="E90" i="3"/>
  <c r="F90" i="3"/>
  <c r="G90" i="3"/>
  <c r="H90" i="3"/>
  <c r="I90" i="3"/>
  <c r="J90" i="3"/>
  <c r="B91" i="3"/>
  <c r="C91" i="3"/>
  <c r="D91" i="3"/>
  <c r="E91" i="3"/>
  <c r="F91" i="3"/>
  <c r="G91" i="3"/>
  <c r="H91" i="3"/>
  <c r="I91" i="3"/>
  <c r="J91" i="3"/>
  <c r="J1063" i="3" s="1"/>
  <c r="B92" i="3"/>
  <c r="C92" i="3"/>
  <c r="D92" i="3"/>
  <c r="E92" i="3"/>
  <c r="F92" i="3"/>
  <c r="G92" i="3"/>
  <c r="H92" i="3"/>
  <c r="I92" i="3"/>
  <c r="J92" i="3"/>
  <c r="B93" i="3"/>
  <c r="C93" i="3"/>
  <c r="D93" i="3"/>
  <c r="E93" i="3"/>
  <c r="F93" i="3"/>
  <c r="G93" i="3"/>
  <c r="H93" i="3"/>
  <c r="I93" i="3"/>
  <c r="J93" i="3"/>
  <c r="B94" i="3"/>
  <c r="C94" i="3"/>
  <c r="D94" i="3"/>
  <c r="E94" i="3"/>
  <c r="F94" i="3"/>
  <c r="G94" i="3"/>
  <c r="H94" i="3"/>
  <c r="I94" i="3"/>
  <c r="J94" i="3"/>
  <c r="B95" i="3"/>
  <c r="C95" i="3"/>
  <c r="D95" i="3"/>
  <c r="E95" i="3"/>
  <c r="F95" i="3"/>
  <c r="G95" i="3"/>
  <c r="H95" i="3"/>
  <c r="I95" i="3"/>
  <c r="J95" i="3"/>
  <c r="B96" i="3"/>
  <c r="C96" i="3"/>
  <c r="D96" i="3"/>
  <c r="E96" i="3"/>
  <c r="F96" i="3"/>
  <c r="G96" i="3"/>
  <c r="H96" i="3"/>
  <c r="I96" i="3"/>
  <c r="J96" i="3"/>
  <c r="B97" i="3"/>
  <c r="C97" i="3"/>
  <c r="D97" i="3"/>
  <c r="E97" i="3"/>
  <c r="F97" i="3"/>
  <c r="G97" i="3"/>
  <c r="H97" i="3"/>
  <c r="I97" i="3"/>
  <c r="J97" i="3"/>
  <c r="B98" i="3"/>
  <c r="C98" i="3"/>
  <c r="D98" i="3"/>
  <c r="E98" i="3"/>
  <c r="F98" i="3"/>
  <c r="G98" i="3"/>
  <c r="H98" i="3"/>
  <c r="I98" i="3"/>
  <c r="J98" i="3"/>
  <c r="B99" i="3"/>
  <c r="C99" i="3"/>
  <c r="D99" i="3"/>
  <c r="E99" i="3"/>
  <c r="F99" i="3"/>
  <c r="G99" i="3"/>
  <c r="H99" i="3"/>
  <c r="I99" i="3"/>
  <c r="J99" i="3"/>
  <c r="B100" i="3"/>
  <c r="C100" i="3"/>
  <c r="D100" i="3"/>
  <c r="E100" i="3"/>
  <c r="F100" i="3"/>
  <c r="G100" i="3"/>
  <c r="H100" i="3"/>
  <c r="I100" i="3"/>
  <c r="J100" i="3"/>
  <c r="B101" i="3"/>
  <c r="C101" i="3"/>
  <c r="D101" i="3"/>
  <c r="E101" i="3"/>
  <c r="F101" i="3"/>
  <c r="G101" i="3"/>
  <c r="H101" i="3"/>
  <c r="I101" i="3"/>
  <c r="J101" i="3"/>
  <c r="B102" i="3"/>
  <c r="C102" i="3"/>
  <c r="D102" i="3"/>
  <c r="E102" i="3"/>
  <c r="F102" i="3"/>
  <c r="G102" i="3"/>
  <c r="H102" i="3"/>
  <c r="I102" i="3"/>
  <c r="J102" i="3"/>
  <c r="B103" i="3"/>
  <c r="C103" i="3"/>
  <c r="D103" i="3"/>
  <c r="E103" i="3"/>
  <c r="F103" i="3"/>
  <c r="G103" i="3"/>
  <c r="H103" i="3"/>
  <c r="I103" i="3"/>
  <c r="J103" i="3"/>
  <c r="B104" i="3"/>
  <c r="C104" i="3"/>
  <c r="D104" i="3"/>
  <c r="E104" i="3"/>
  <c r="F104" i="3"/>
  <c r="G104" i="3"/>
  <c r="H104" i="3"/>
  <c r="I104" i="3"/>
  <c r="J104" i="3"/>
  <c r="B105" i="3"/>
  <c r="C105" i="3"/>
  <c r="D105" i="3"/>
  <c r="E105" i="3"/>
  <c r="F105" i="3"/>
  <c r="G105" i="3"/>
  <c r="H105" i="3"/>
  <c r="I105" i="3"/>
  <c r="J105" i="3"/>
  <c r="B106" i="3"/>
  <c r="C106" i="3"/>
  <c r="D106" i="3"/>
  <c r="E106" i="3"/>
  <c r="F106" i="3"/>
  <c r="G106" i="3"/>
  <c r="H106" i="3"/>
  <c r="I106" i="3"/>
  <c r="J106" i="3"/>
  <c r="B107" i="3"/>
  <c r="C107" i="3"/>
  <c r="D107" i="3"/>
  <c r="E107" i="3"/>
  <c r="F107" i="3"/>
  <c r="G107" i="3"/>
  <c r="H107" i="3"/>
  <c r="I107" i="3"/>
  <c r="J107" i="3"/>
  <c r="B108" i="3"/>
  <c r="C108" i="3"/>
  <c r="D108" i="3"/>
  <c r="E108" i="3"/>
  <c r="F108" i="3"/>
  <c r="G108" i="3"/>
  <c r="H108" i="3"/>
  <c r="I108" i="3"/>
  <c r="J108" i="3"/>
  <c r="B109" i="3"/>
  <c r="C109" i="3"/>
  <c r="D109" i="3"/>
  <c r="E109" i="3"/>
  <c r="F109" i="3"/>
  <c r="G109" i="3"/>
  <c r="H109" i="3"/>
  <c r="I109" i="3"/>
  <c r="J109" i="3"/>
  <c r="B110" i="3"/>
  <c r="C110" i="3"/>
  <c r="D110" i="3"/>
  <c r="E110" i="3"/>
  <c r="F110" i="3"/>
  <c r="G110" i="3"/>
  <c r="H110" i="3"/>
  <c r="I110" i="3"/>
  <c r="J110" i="3"/>
  <c r="B111" i="3"/>
  <c r="C111" i="3"/>
  <c r="D111" i="3"/>
  <c r="E111" i="3"/>
  <c r="F111" i="3"/>
  <c r="G111" i="3"/>
  <c r="H111" i="3"/>
  <c r="I111" i="3"/>
  <c r="J111" i="3"/>
  <c r="B112" i="3"/>
  <c r="C112" i="3"/>
  <c r="D112" i="3"/>
  <c r="E112" i="3"/>
  <c r="F112" i="3"/>
  <c r="G112" i="3"/>
  <c r="H112" i="3"/>
  <c r="I112" i="3"/>
  <c r="J112" i="3"/>
  <c r="B113" i="3"/>
  <c r="C113" i="3"/>
  <c r="D113" i="3"/>
  <c r="E113" i="3"/>
  <c r="F113" i="3"/>
  <c r="G113" i="3"/>
  <c r="H113" i="3"/>
  <c r="I113" i="3"/>
  <c r="J113" i="3"/>
  <c r="B114" i="3"/>
  <c r="C114" i="3"/>
  <c r="D114" i="3"/>
  <c r="E114" i="3"/>
  <c r="F114" i="3"/>
  <c r="G114" i="3"/>
  <c r="H114" i="3"/>
  <c r="I114" i="3"/>
  <c r="J114" i="3"/>
  <c r="B115" i="3"/>
  <c r="C115" i="3"/>
  <c r="D115" i="3"/>
  <c r="E115" i="3"/>
  <c r="F115" i="3"/>
  <c r="G115" i="3"/>
  <c r="H115" i="3"/>
  <c r="I115" i="3"/>
  <c r="J115" i="3"/>
  <c r="B116" i="3"/>
  <c r="C116" i="3"/>
  <c r="D116" i="3"/>
  <c r="E116" i="3"/>
  <c r="F116" i="3"/>
  <c r="G116" i="3"/>
  <c r="H116" i="3"/>
  <c r="I116" i="3"/>
  <c r="J116" i="3"/>
  <c r="B117" i="3"/>
  <c r="C117" i="3"/>
  <c r="D117" i="3"/>
  <c r="E117" i="3"/>
  <c r="F117" i="3"/>
  <c r="G117" i="3"/>
  <c r="H117" i="3"/>
  <c r="I117" i="3"/>
  <c r="J117" i="3"/>
  <c r="B118" i="3"/>
  <c r="C118" i="3"/>
  <c r="D118" i="3"/>
  <c r="E118" i="3"/>
  <c r="F118" i="3"/>
  <c r="G118" i="3"/>
  <c r="H118" i="3"/>
  <c r="I118" i="3"/>
  <c r="J118" i="3"/>
  <c r="B119" i="3"/>
  <c r="C119" i="3"/>
  <c r="D119" i="3"/>
  <c r="E119" i="3"/>
  <c r="F119" i="3"/>
  <c r="G119" i="3"/>
  <c r="H119" i="3"/>
  <c r="I119" i="3"/>
  <c r="J119" i="3"/>
  <c r="B120" i="3"/>
  <c r="C120" i="3"/>
  <c r="D120" i="3"/>
  <c r="E120" i="3"/>
  <c r="F120" i="3"/>
  <c r="G120" i="3"/>
  <c r="H120" i="3"/>
  <c r="I120" i="3"/>
  <c r="J120" i="3"/>
  <c r="B121" i="3"/>
  <c r="C121" i="3"/>
  <c r="D121" i="3"/>
  <c r="E121" i="3"/>
  <c r="F121" i="3"/>
  <c r="G121" i="3"/>
  <c r="H121" i="3"/>
  <c r="I121" i="3"/>
  <c r="J121" i="3"/>
  <c r="B122" i="3"/>
  <c r="C122" i="3"/>
  <c r="D122" i="3"/>
  <c r="E122" i="3"/>
  <c r="F122" i="3"/>
  <c r="G122" i="3"/>
  <c r="H122" i="3"/>
  <c r="I122" i="3"/>
  <c r="J122" i="3"/>
  <c r="B123" i="3"/>
  <c r="C123" i="3"/>
  <c r="D123" i="3"/>
  <c r="E123" i="3"/>
  <c r="F123" i="3"/>
  <c r="G123" i="3"/>
  <c r="H123" i="3"/>
  <c r="I123" i="3"/>
  <c r="J123" i="3"/>
  <c r="B124" i="3"/>
  <c r="C124" i="3"/>
  <c r="D124" i="3"/>
  <c r="E124" i="3"/>
  <c r="F124" i="3"/>
  <c r="G124" i="3"/>
  <c r="H124" i="3"/>
  <c r="I124" i="3"/>
  <c r="J124" i="3"/>
  <c r="B125" i="3"/>
  <c r="C125" i="3"/>
  <c r="D125" i="3"/>
  <c r="E125" i="3"/>
  <c r="F125" i="3"/>
  <c r="G125" i="3"/>
  <c r="H125" i="3"/>
  <c r="I125" i="3"/>
  <c r="J125" i="3"/>
  <c r="B126" i="3"/>
  <c r="C126" i="3"/>
  <c r="D126" i="3"/>
  <c r="E126" i="3"/>
  <c r="F126" i="3"/>
  <c r="G126" i="3"/>
  <c r="H126" i="3"/>
  <c r="I126" i="3"/>
  <c r="J126" i="3"/>
  <c r="B127" i="3"/>
  <c r="C127" i="3"/>
  <c r="D127" i="3"/>
  <c r="E127" i="3"/>
  <c r="F127" i="3"/>
  <c r="G127" i="3"/>
  <c r="H127" i="3"/>
  <c r="I127" i="3"/>
  <c r="J127" i="3"/>
  <c r="B128" i="3"/>
  <c r="C128" i="3"/>
  <c r="D128" i="3"/>
  <c r="E128" i="3"/>
  <c r="F128" i="3"/>
  <c r="G128" i="3"/>
  <c r="H128" i="3"/>
  <c r="I128" i="3"/>
  <c r="J128" i="3"/>
  <c r="B129" i="3"/>
  <c r="C129" i="3"/>
  <c r="D129" i="3"/>
  <c r="E129" i="3"/>
  <c r="F129" i="3"/>
  <c r="G129" i="3"/>
  <c r="H129" i="3"/>
  <c r="I129" i="3"/>
  <c r="J129" i="3"/>
  <c r="B130" i="3"/>
  <c r="C130" i="3"/>
  <c r="D130" i="3"/>
  <c r="E130" i="3"/>
  <c r="F130" i="3"/>
  <c r="G130" i="3"/>
  <c r="H130" i="3"/>
  <c r="I130" i="3"/>
  <c r="J130" i="3"/>
  <c r="B131" i="3"/>
  <c r="C131" i="3"/>
  <c r="D131" i="3"/>
  <c r="E131" i="3"/>
  <c r="F131" i="3"/>
  <c r="G131" i="3"/>
  <c r="H131" i="3"/>
  <c r="I131" i="3"/>
  <c r="J131" i="3"/>
  <c r="B132" i="3"/>
  <c r="C132" i="3"/>
  <c r="D132" i="3"/>
  <c r="E132" i="3"/>
  <c r="F132" i="3"/>
  <c r="G132" i="3"/>
  <c r="H132" i="3"/>
  <c r="I132" i="3"/>
  <c r="J132" i="3"/>
  <c r="J1067" i="3" s="1"/>
  <c r="B133" i="3"/>
  <c r="C133" i="3"/>
  <c r="D133" i="3"/>
  <c r="E133" i="3"/>
  <c r="F133" i="3"/>
  <c r="G133" i="3"/>
  <c r="H133" i="3"/>
  <c r="I133" i="3"/>
  <c r="J133" i="3"/>
  <c r="B134" i="3"/>
  <c r="C134" i="3"/>
  <c r="D134" i="3"/>
  <c r="E134" i="3"/>
  <c r="F134" i="3"/>
  <c r="G134" i="3"/>
  <c r="H134" i="3"/>
  <c r="I134" i="3"/>
  <c r="J134" i="3"/>
  <c r="B135" i="3"/>
  <c r="C135" i="3"/>
  <c r="D135" i="3"/>
  <c r="E135" i="3"/>
  <c r="F135" i="3"/>
  <c r="G135" i="3"/>
  <c r="H135" i="3"/>
  <c r="I135" i="3"/>
  <c r="J135" i="3"/>
  <c r="B136" i="3"/>
  <c r="C136" i="3"/>
  <c r="D136" i="3"/>
  <c r="E136" i="3"/>
  <c r="F136" i="3"/>
  <c r="G136" i="3"/>
  <c r="H136" i="3"/>
  <c r="I136" i="3"/>
  <c r="J136" i="3"/>
  <c r="B137" i="3"/>
  <c r="C137" i="3"/>
  <c r="D137" i="3"/>
  <c r="E137" i="3"/>
  <c r="F137" i="3"/>
  <c r="G137" i="3"/>
  <c r="H137" i="3"/>
  <c r="I137" i="3"/>
  <c r="J137" i="3"/>
  <c r="B138" i="3"/>
  <c r="C138" i="3"/>
  <c r="D138" i="3"/>
  <c r="E138" i="3"/>
  <c r="F138" i="3"/>
  <c r="G138" i="3"/>
  <c r="H138" i="3"/>
  <c r="I138" i="3"/>
  <c r="J138" i="3"/>
  <c r="B139" i="3"/>
  <c r="C139" i="3"/>
  <c r="D139" i="3"/>
  <c r="E139" i="3"/>
  <c r="F139" i="3"/>
  <c r="G139" i="3"/>
  <c r="H139" i="3"/>
  <c r="I139" i="3"/>
  <c r="J139" i="3"/>
  <c r="B140" i="3"/>
  <c r="C140" i="3"/>
  <c r="D140" i="3"/>
  <c r="E140" i="3"/>
  <c r="F140" i="3"/>
  <c r="G140" i="3"/>
  <c r="H140" i="3"/>
  <c r="I140" i="3"/>
  <c r="J140" i="3"/>
  <c r="B141" i="3"/>
  <c r="C141" i="3"/>
  <c r="D141" i="3"/>
  <c r="E141" i="3"/>
  <c r="F141" i="3"/>
  <c r="G141" i="3"/>
  <c r="H141" i="3"/>
  <c r="I141" i="3"/>
  <c r="J141" i="3"/>
  <c r="B142" i="3"/>
  <c r="C142" i="3"/>
  <c r="D142" i="3"/>
  <c r="E142" i="3"/>
  <c r="F142" i="3"/>
  <c r="G142" i="3"/>
  <c r="H142" i="3"/>
  <c r="I142" i="3"/>
  <c r="J142" i="3"/>
  <c r="B143" i="3"/>
  <c r="C143" i="3"/>
  <c r="D143" i="3"/>
  <c r="E143" i="3"/>
  <c r="F143" i="3"/>
  <c r="G143" i="3"/>
  <c r="H143" i="3"/>
  <c r="I143" i="3"/>
  <c r="J143" i="3"/>
  <c r="B144" i="3"/>
  <c r="C144" i="3"/>
  <c r="D144" i="3"/>
  <c r="E144" i="3"/>
  <c r="F144" i="3"/>
  <c r="G144" i="3"/>
  <c r="H144" i="3"/>
  <c r="I144" i="3"/>
  <c r="J144" i="3"/>
  <c r="B145" i="3"/>
  <c r="C145" i="3"/>
  <c r="D145" i="3"/>
  <c r="E145" i="3"/>
  <c r="F145" i="3"/>
  <c r="G145" i="3"/>
  <c r="H145" i="3"/>
  <c r="I145" i="3"/>
  <c r="J145" i="3"/>
  <c r="B146" i="3"/>
  <c r="C146" i="3"/>
  <c r="D146" i="3"/>
  <c r="E146" i="3"/>
  <c r="F146" i="3"/>
  <c r="G146" i="3"/>
  <c r="H146" i="3"/>
  <c r="I146" i="3"/>
  <c r="J146" i="3"/>
  <c r="B147" i="3"/>
  <c r="C147" i="3"/>
  <c r="D147" i="3"/>
  <c r="E147" i="3"/>
  <c r="F147" i="3"/>
  <c r="G147" i="3"/>
  <c r="H147" i="3"/>
  <c r="I147" i="3"/>
  <c r="J147" i="3"/>
  <c r="J1068" i="3" s="1"/>
  <c r="B148" i="3"/>
  <c r="C148" i="3"/>
  <c r="D148" i="3"/>
  <c r="E148" i="3"/>
  <c r="F148" i="3"/>
  <c r="G148" i="3"/>
  <c r="H148" i="3"/>
  <c r="I148" i="3"/>
  <c r="J148" i="3"/>
  <c r="B149" i="3"/>
  <c r="C149" i="3"/>
  <c r="D149" i="3"/>
  <c r="E149" i="3"/>
  <c r="F149" i="3"/>
  <c r="G149" i="3"/>
  <c r="H149" i="3"/>
  <c r="I149" i="3"/>
  <c r="J149" i="3"/>
  <c r="B150" i="3"/>
  <c r="C150" i="3"/>
  <c r="D150" i="3"/>
  <c r="E150" i="3"/>
  <c r="F150" i="3"/>
  <c r="G150" i="3"/>
  <c r="H150" i="3"/>
  <c r="I150" i="3"/>
  <c r="J150" i="3"/>
  <c r="B151" i="3"/>
  <c r="C151" i="3"/>
  <c r="D151" i="3"/>
  <c r="E151" i="3"/>
  <c r="F151" i="3"/>
  <c r="G151" i="3"/>
  <c r="H151" i="3"/>
  <c r="I151" i="3"/>
  <c r="J151" i="3"/>
  <c r="B152" i="3"/>
  <c r="C152" i="3"/>
  <c r="D152" i="3"/>
  <c r="E152" i="3"/>
  <c r="F152" i="3"/>
  <c r="G152" i="3"/>
  <c r="H152" i="3"/>
  <c r="I152" i="3"/>
  <c r="J152" i="3"/>
  <c r="B153" i="3"/>
  <c r="C153" i="3"/>
  <c r="D153" i="3"/>
  <c r="E153" i="3"/>
  <c r="F153" i="3"/>
  <c r="G153" i="3"/>
  <c r="H153" i="3"/>
  <c r="I153" i="3"/>
  <c r="J153" i="3"/>
  <c r="B154" i="3"/>
  <c r="C154" i="3"/>
  <c r="D154" i="3"/>
  <c r="E154" i="3"/>
  <c r="F154" i="3"/>
  <c r="G154" i="3"/>
  <c r="H154" i="3"/>
  <c r="I154" i="3"/>
  <c r="J154" i="3"/>
  <c r="B155" i="3"/>
  <c r="C155" i="3"/>
  <c r="D155" i="3"/>
  <c r="E155" i="3"/>
  <c r="F155" i="3"/>
  <c r="G155" i="3"/>
  <c r="H155" i="3"/>
  <c r="I155" i="3"/>
  <c r="J155" i="3"/>
  <c r="B156" i="3"/>
  <c r="C156" i="3"/>
  <c r="D156" i="3"/>
  <c r="E156" i="3"/>
  <c r="F156" i="3"/>
  <c r="G156" i="3"/>
  <c r="H156" i="3"/>
  <c r="I156" i="3"/>
  <c r="J156" i="3"/>
  <c r="B157" i="3"/>
  <c r="C157" i="3"/>
  <c r="D157" i="3"/>
  <c r="E157" i="3"/>
  <c r="F157" i="3"/>
  <c r="G157" i="3"/>
  <c r="H157" i="3"/>
  <c r="I157" i="3"/>
  <c r="J157" i="3"/>
  <c r="B158" i="3"/>
  <c r="C158" i="3"/>
  <c r="D158" i="3"/>
  <c r="E158" i="3"/>
  <c r="F158" i="3"/>
  <c r="G158" i="3"/>
  <c r="H158" i="3"/>
  <c r="I158" i="3"/>
  <c r="J158" i="3"/>
  <c r="B159" i="3"/>
  <c r="C159" i="3"/>
  <c r="D159" i="3"/>
  <c r="E159" i="3"/>
  <c r="F159" i="3"/>
  <c r="G159" i="3"/>
  <c r="H159" i="3"/>
  <c r="I159" i="3"/>
  <c r="J159" i="3"/>
  <c r="B160" i="3"/>
  <c r="C160" i="3"/>
  <c r="D160" i="3"/>
  <c r="E160" i="3"/>
  <c r="F160" i="3"/>
  <c r="G160" i="3"/>
  <c r="H160" i="3"/>
  <c r="I160" i="3"/>
  <c r="J160" i="3"/>
  <c r="B161" i="3"/>
  <c r="C161" i="3"/>
  <c r="D161" i="3"/>
  <c r="E161" i="3"/>
  <c r="F161" i="3"/>
  <c r="G161" i="3"/>
  <c r="H161" i="3"/>
  <c r="I161" i="3"/>
  <c r="J161" i="3"/>
  <c r="B162" i="3"/>
  <c r="C162" i="3"/>
  <c r="D162" i="3"/>
  <c r="E162" i="3"/>
  <c r="F162" i="3"/>
  <c r="G162" i="3"/>
  <c r="H162" i="3"/>
  <c r="I162" i="3"/>
  <c r="J162" i="3"/>
  <c r="B163" i="3"/>
  <c r="C163" i="3"/>
  <c r="D163" i="3"/>
  <c r="E163" i="3"/>
  <c r="F163" i="3"/>
  <c r="G163" i="3"/>
  <c r="H163" i="3"/>
  <c r="I163" i="3"/>
  <c r="J163" i="3"/>
  <c r="J1069" i="3" s="1"/>
  <c r="B164" i="3"/>
  <c r="C164" i="3"/>
  <c r="D164" i="3"/>
  <c r="E164" i="3"/>
  <c r="F164" i="3"/>
  <c r="G164" i="3"/>
  <c r="H164" i="3"/>
  <c r="I164" i="3"/>
  <c r="J164" i="3"/>
  <c r="B165" i="3"/>
  <c r="C165" i="3"/>
  <c r="D165" i="3"/>
  <c r="E165" i="3"/>
  <c r="F165" i="3"/>
  <c r="G165" i="3"/>
  <c r="H165" i="3"/>
  <c r="I165" i="3"/>
  <c r="J165" i="3"/>
  <c r="B166" i="3"/>
  <c r="C166" i="3"/>
  <c r="D166" i="3"/>
  <c r="E166" i="3"/>
  <c r="F166" i="3"/>
  <c r="G166" i="3"/>
  <c r="H166" i="3"/>
  <c r="I166" i="3"/>
  <c r="J166" i="3"/>
  <c r="B167" i="3"/>
  <c r="C167" i="3"/>
  <c r="D167" i="3"/>
  <c r="E167" i="3"/>
  <c r="F167" i="3"/>
  <c r="G167" i="3"/>
  <c r="H167" i="3"/>
  <c r="I167" i="3"/>
  <c r="J167" i="3"/>
  <c r="B168" i="3"/>
  <c r="C168" i="3"/>
  <c r="D168" i="3"/>
  <c r="E168" i="3"/>
  <c r="F168" i="3"/>
  <c r="G168" i="3"/>
  <c r="H168" i="3"/>
  <c r="I168" i="3"/>
  <c r="J168" i="3"/>
  <c r="B169" i="3"/>
  <c r="C169" i="3"/>
  <c r="D169" i="3"/>
  <c r="E169" i="3"/>
  <c r="F169" i="3"/>
  <c r="G169" i="3"/>
  <c r="H169" i="3"/>
  <c r="I169" i="3"/>
  <c r="J169" i="3"/>
  <c r="B170" i="3"/>
  <c r="C170" i="3"/>
  <c r="D170" i="3"/>
  <c r="E170" i="3"/>
  <c r="F170" i="3"/>
  <c r="G170" i="3"/>
  <c r="H170" i="3"/>
  <c r="I170" i="3"/>
  <c r="J170" i="3"/>
  <c r="B171" i="3"/>
  <c r="C171" i="3"/>
  <c r="D171" i="3"/>
  <c r="E171" i="3"/>
  <c r="F171" i="3"/>
  <c r="G171" i="3"/>
  <c r="H171" i="3"/>
  <c r="I171" i="3"/>
  <c r="J171" i="3"/>
  <c r="B172" i="3"/>
  <c r="C172" i="3"/>
  <c r="D172" i="3"/>
  <c r="E172" i="3"/>
  <c r="F172" i="3"/>
  <c r="G172" i="3"/>
  <c r="H172" i="3"/>
  <c r="I172" i="3"/>
  <c r="J172" i="3"/>
  <c r="B173" i="3"/>
  <c r="C173" i="3"/>
  <c r="D173" i="3"/>
  <c r="E173" i="3"/>
  <c r="F173" i="3"/>
  <c r="G173" i="3"/>
  <c r="H173" i="3"/>
  <c r="I173" i="3"/>
  <c r="J173" i="3"/>
  <c r="B174" i="3"/>
  <c r="C174" i="3"/>
  <c r="D174" i="3"/>
  <c r="E174" i="3"/>
  <c r="F174" i="3"/>
  <c r="G174" i="3"/>
  <c r="H174" i="3"/>
  <c r="I174" i="3"/>
  <c r="J174" i="3"/>
  <c r="B175" i="3"/>
  <c r="C175" i="3"/>
  <c r="D175" i="3"/>
  <c r="E175" i="3"/>
  <c r="F175" i="3"/>
  <c r="G175" i="3"/>
  <c r="H175" i="3"/>
  <c r="I175" i="3"/>
  <c r="J175" i="3"/>
  <c r="B176" i="3"/>
  <c r="C176" i="3"/>
  <c r="D176" i="3"/>
  <c r="E176" i="3"/>
  <c r="F176" i="3"/>
  <c r="G176" i="3"/>
  <c r="H176" i="3"/>
  <c r="I176" i="3"/>
  <c r="J176" i="3"/>
  <c r="B177" i="3"/>
  <c r="C177" i="3"/>
  <c r="D177" i="3"/>
  <c r="E177" i="3"/>
  <c r="F177" i="3"/>
  <c r="G177" i="3"/>
  <c r="H177" i="3"/>
  <c r="I177" i="3"/>
  <c r="J177" i="3"/>
  <c r="B178" i="3"/>
  <c r="C178" i="3"/>
  <c r="D178" i="3"/>
  <c r="E178" i="3"/>
  <c r="F178" i="3"/>
  <c r="G178" i="3"/>
  <c r="H178" i="3"/>
  <c r="I178" i="3"/>
  <c r="J178" i="3"/>
  <c r="B179" i="3"/>
  <c r="C179" i="3"/>
  <c r="D179" i="3"/>
  <c r="E179" i="3"/>
  <c r="F179" i="3"/>
  <c r="G179" i="3"/>
  <c r="H179" i="3"/>
  <c r="I179" i="3"/>
  <c r="J179" i="3"/>
  <c r="B180" i="3"/>
  <c r="C180" i="3"/>
  <c r="D180" i="3"/>
  <c r="E180" i="3"/>
  <c r="F180" i="3"/>
  <c r="G180" i="3"/>
  <c r="H180" i="3"/>
  <c r="I180" i="3"/>
  <c r="J180" i="3"/>
  <c r="B181" i="3"/>
  <c r="C181" i="3"/>
  <c r="D181" i="3"/>
  <c r="E181" i="3"/>
  <c r="F181" i="3"/>
  <c r="G181" i="3"/>
  <c r="H181" i="3"/>
  <c r="I181" i="3"/>
  <c r="J181" i="3"/>
  <c r="B182" i="3"/>
  <c r="C182" i="3"/>
  <c r="D182" i="3"/>
  <c r="E182" i="3"/>
  <c r="F182" i="3"/>
  <c r="G182" i="3"/>
  <c r="H182" i="3"/>
  <c r="I182" i="3"/>
  <c r="J182" i="3"/>
  <c r="B183" i="3"/>
  <c r="C183" i="3"/>
  <c r="D183" i="3"/>
  <c r="E183" i="3"/>
  <c r="F183" i="3"/>
  <c r="G183" i="3"/>
  <c r="H183" i="3"/>
  <c r="I183" i="3"/>
  <c r="J183" i="3"/>
  <c r="B184" i="3"/>
  <c r="C184" i="3"/>
  <c r="D184" i="3"/>
  <c r="E184" i="3"/>
  <c r="F184" i="3"/>
  <c r="G184" i="3"/>
  <c r="H184" i="3"/>
  <c r="I184" i="3"/>
  <c r="J184" i="3"/>
  <c r="B185" i="3"/>
  <c r="C185" i="3"/>
  <c r="D185" i="3"/>
  <c r="E185" i="3"/>
  <c r="F185" i="3"/>
  <c r="G185" i="3"/>
  <c r="H185" i="3"/>
  <c r="I185" i="3"/>
  <c r="J185" i="3"/>
  <c r="B186" i="3"/>
  <c r="C186" i="3"/>
  <c r="D186" i="3"/>
  <c r="E186" i="3"/>
  <c r="F186" i="3"/>
  <c r="G186" i="3"/>
  <c r="H186" i="3"/>
  <c r="I186" i="3"/>
  <c r="J186" i="3"/>
  <c r="B187" i="3"/>
  <c r="C187" i="3"/>
  <c r="D187" i="3"/>
  <c r="E187" i="3"/>
  <c r="F187" i="3"/>
  <c r="G187" i="3"/>
  <c r="H187" i="3"/>
  <c r="I187" i="3"/>
  <c r="J187" i="3"/>
  <c r="B188" i="3"/>
  <c r="C188" i="3"/>
  <c r="D188" i="3"/>
  <c r="E188" i="3"/>
  <c r="F188" i="3"/>
  <c r="G188" i="3"/>
  <c r="H188" i="3"/>
  <c r="I188" i="3"/>
  <c r="J188" i="3"/>
  <c r="B189" i="3"/>
  <c r="C189" i="3"/>
  <c r="D189" i="3"/>
  <c r="E189" i="3"/>
  <c r="F189" i="3"/>
  <c r="G189" i="3"/>
  <c r="H189" i="3"/>
  <c r="I189" i="3"/>
  <c r="J189" i="3"/>
  <c r="B190" i="3"/>
  <c r="C190" i="3"/>
  <c r="D190" i="3"/>
  <c r="E190" i="3"/>
  <c r="F190" i="3"/>
  <c r="G190" i="3"/>
  <c r="H190" i="3"/>
  <c r="I190" i="3"/>
  <c r="J190" i="3"/>
  <c r="B191" i="3"/>
  <c r="C191" i="3"/>
  <c r="D191" i="3"/>
  <c r="E191" i="3"/>
  <c r="F191" i="3"/>
  <c r="G191" i="3"/>
  <c r="H191" i="3"/>
  <c r="I191" i="3"/>
  <c r="J191" i="3"/>
  <c r="B192" i="3"/>
  <c r="C192" i="3"/>
  <c r="D192" i="3"/>
  <c r="E192" i="3"/>
  <c r="F192" i="3"/>
  <c r="G192" i="3"/>
  <c r="H192" i="3"/>
  <c r="I192" i="3"/>
  <c r="J192" i="3"/>
  <c r="B193" i="3"/>
  <c r="C193" i="3"/>
  <c r="D193" i="3"/>
  <c r="E193" i="3"/>
  <c r="F193" i="3"/>
  <c r="G193" i="3"/>
  <c r="H193" i="3"/>
  <c r="I193" i="3"/>
  <c r="J193" i="3"/>
  <c r="B194" i="3"/>
  <c r="C194" i="3"/>
  <c r="D194" i="3"/>
  <c r="E194" i="3"/>
  <c r="F194" i="3"/>
  <c r="G194" i="3"/>
  <c r="H194" i="3"/>
  <c r="I194" i="3"/>
  <c r="J194" i="3"/>
  <c r="B195" i="3"/>
  <c r="C195" i="3"/>
  <c r="D195" i="3"/>
  <c r="E195" i="3"/>
  <c r="F195" i="3"/>
  <c r="G195" i="3"/>
  <c r="H195" i="3"/>
  <c r="I195" i="3"/>
  <c r="J195" i="3"/>
  <c r="B196" i="3"/>
  <c r="C196" i="3"/>
  <c r="D196" i="3"/>
  <c r="E196" i="3"/>
  <c r="F196" i="3"/>
  <c r="G196" i="3"/>
  <c r="H196" i="3"/>
  <c r="I196" i="3"/>
  <c r="J196" i="3"/>
  <c r="B197" i="3"/>
  <c r="C197" i="3"/>
  <c r="D197" i="3"/>
  <c r="E197" i="3"/>
  <c r="F197" i="3"/>
  <c r="G197" i="3"/>
  <c r="H197" i="3"/>
  <c r="I197" i="3"/>
  <c r="J197" i="3"/>
  <c r="B198" i="3"/>
  <c r="C198" i="3"/>
  <c r="D198" i="3"/>
  <c r="E198" i="3"/>
  <c r="F198" i="3"/>
  <c r="G198" i="3"/>
  <c r="H198" i="3"/>
  <c r="I198" i="3"/>
  <c r="J198" i="3"/>
  <c r="B199" i="3"/>
  <c r="C199" i="3"/>
  <c r="D199" i="3"/>
  <c r="E199" i="3"/>
  <c r="F199" i="3"/>
  <c r="G199" i="3"/>
  <c r="H199" i="3"/>
  <c r="I199" i="3"/>
  <c r="J199" i="3"/>
  <c r="B200" i="3"/>
  <c r="C200" i="3"/>
  <c r="D200" i="3"/>
  <c r="E200" i="3"/>
  <c r="F200" i="3"/>
  <c r="G200" i="3"/>
  <c r="H200" i="3"/>
  <c r="I200" i="3"/>
  <c r="J200" i="3"/>
  <c r="B201" i="3"/>
  <c r="C201" i="3"/>
  <c r="D201" i="3"/>
  <c r="E201" i="3"/>
  <c r="F201" i="3"/>
  <c r="G201" i="3"/>
  <c r="H201" i="3"/>
  <c r="I201" i="3"/>
  <c r="J201" i="3"/>
  <c r="B202" i="3"/>
  <c r="C202" i="3"/>
  <c r="D202" i="3"/>
  <c r="E202" i="3"/>
  <c r="F202" i="3"/>
  <c r="G202" i="3"/>
  <c r="H202" i="3"/>
  <c r="I202" i="3"/>
  <c r="J202" i="3"/>
  <c r="B203" i="3"/>
  <c r="C203" i="3"/>
  <c r="D203" i="3"/>
  <c r="E203" i="3"/>
  <c r="F203" i="3"/>
  <c r="G203" i="3"/>
  <c r="H203" i="3"/>
  <c r="I203" i="3"/>
  <c r="J203" i="3"/>
  <c r="B204" i="3"/>
  <c r="C204" i="3"/>
  <c r="D204" i="3"/>
  <c r="E204" i="3"/>
  <c r="F204" i="3"/>
  <c r="G204" i="3"/>
  <c r="H204" i="3"/>
  <c r="I204" i="3"/>
  <c r="J204" i="3"/>
  <c r="B205" i="3"/>
  <c r="C205" i="3"/>
  <c r="D205" i="3"/>
  <c r="E205" i="3"/>
  <c r="F205" i="3"/>
  <c r="G205" i="3"/>
  <c r="H205" i="3"/>
  <c r="I205" i="3"/>
  <c r="J205" i="3"/>
  <c r="B206" i="3"/>
  <c r="C206" i="3"/>
  <c r="D206" i="3"/>
  <c r="E206" i="3"/>
  <c r="F206" i="3"/>
  <c r="G206" i="3"/>
  <c r="H206" i="3"/>
  <c r="I206" i="3"/>
  <c r="J206" i="3"/>
  <c r="B207" i="3"/>
  <c r="C207" i="3"/>
  <c r="D207" i="3"/>
  <c r="E207" i="3"/>
  <c r="F207" i="3"/>
  <c r="G207" i="3"/>
  <c r="H207" i="3"/>
  <c r="I207" i="3"/>
  <c r="J207" i="3"/>
  <c r="B208" i="3"/>
  <c r="C208" i="3"/>
  <c r="D208" i="3"/>
  <c r="E208" i="3"/>
  <c r="F208" i="3"/>
  <c r="G208" i="3"/>
  <c r="H208" i="3"/>
  <c r="I208" i="3"/>
  <c r="J208" i="3"/>
  <c r="B209" i="3"/>
  <c r="C209" i="3"/>
  <c r="D209" i="3"/>
  <c r="E209" i="3"/>
  <c r="F209" i="3"/>
  <c r="G209" i="3"/>
  <c r="H209" i="3"/>
  <c r="I209" i="3"/>
  <c r="J209" i="3"/>
  <c r="B210" i="3"/>
  <c r="C210" i="3"/>
  <c r="D210" i="3"/>
  <c r="E210" i="3"/>
  <c r="F210" i="3"/>
  <c r="G210" i="3"/>
  <c r="H210" i="3"/>
  <c r="I210" i="3"/>
  <c r="J210" i="3"/>
  <c r="B211" i="3"/>
  <c r="C211" i="3"/>
  <c r="D211" i="3"/>
  <c r="E211" i="3"/>
  <c r="F211" i="3"/>
  <c r="G211" i="3"/>
  <c r="H211" i="3"/>
  <c r="I211" i="3"/>
  <c r="J211" i="3"/>
  <c r="B212" i="3"/>
  <c r="C212" i="3"/>
  <c r="D212" i="3"/>
  <c r="E212" i="3"/>
  <c r="F212" i="3"/>
  <c r="G212" i="3"/>
  <c r="H212" i="3"/>
  <c r="I212" i="3"/>
  <c r="J212" i="3"/>
  <c r="B213" i="3"/>
  <c r="C213" i="3"/>
  <c r="D213" i="3"/>
  <c r="E213" i="3"/>
  <c r="F213" i="3"/>
  <c r="G213" i="3"/>
  <c r="H213" i="3"/>
  <c r="I213" i="3"/>
  <c r="J213" i="3"/>
  <c r="B214" i="3"/>
  <c r="C214" i="3"/>
  <c r="D214" i="3"/>
  <c r="E214" i="3"/>
  <c r="F214" i="3"/>
  <c r="G214" i="3"/>
  <c r="H214" i="3"/>
  <c r="I214" i="3"/>
  <c r="J214" i="3"/>
  <c r="B215" i="3"/>
  <c r="C215" i="3"/>
  <c r="D215" i="3"/>
  <c r="E215" i="3"/>
  <c r="F215" i="3"/>
  <c r="G215" i="3"/>
  <c r="H215" i="3"/>
  <c r="I215" i="3"/>
  <c r="J215" i="3"/>
  <c r="B216" i="3"/>
  <c r="C216" i="3"/>
  <c r="D216" i="3"/>
  <c r="E216" i="3"/>
  <c r="F216" i="3"/>
  <c r="G216" i="3"/>
  <c r="H216" i="3"/>
  <c r="I216" i="3"/>
  <c r="J216" i="3"/>
  <c r="B217" i="3"/>
  <c r="C217" i="3"/>
  <c r="D217" i="3"/>
  <c r="E217" i="3"/>
  <c r="F217" i="3"/>
  <c r="G217" i="3"/>
  <c r="H217" i="3"/>
  <c r="I217" i="3"/>
  <c r="J217" i="3"/>
  <c r="B218" i="3"/>
  <c r="C218" i="3"/>
  <c r="D218" i="3"/>
  <c r="E218" i="3"/>
  <c r="F218" i="3"/>
  <c r="G218" i="3"/>
  <c r="H218" i="3"/>
  <c r="I218" i="3"/>
  <c r="J218" i="3"/>
  <c r="B219" i="3"/>
  <c r="C219" i="3"/>
  <c r="D219" i="3"/>
  <c r="E219" i="3"/>
  <c r="F219" i="3"/>
  <c r="G219" i="3"/>
  <c r="H219" i="3"/>
  <c r="I219" i="3"/>
  <c r="J219" i="3"/>
  <c r="B220" i="3"/>
  <c r="C220" i="3"/>
  <c r="D220" i="3"/>
  <c r="E220" i="3"/>
  <c r="F220" i="3"/>
  <c r="G220" i="3"/>
  <c r="H220" i="3"/>
  <c r="I220" i="3"/>
  <c r="J220" i="3"/>
  <c r="B221" i="3"/>
  <c r="C221" i="3"/>
  <c r="D221" i="3"/>
  <c r="E221" i="3"/>
  <c r="F221" i="3"/>
  <c r="G221" i="3"/>
  <c r="H221" i="3"/>
  <c r="I221" i="3"/>
  <c r="J221" i="3"/>
  <c r="B222" i="3"/>
  <c r="C222" i="3"/>
  <c r="D222" i="3"/>
  <c r="E222" i="3"/>
  <c r="F222" i="3"/>
  <c r="G222" i="3"/>
  <c r="H222" i="3"/>
  <c r="I222" i="3"/>
  <c r="J222" i="3"/>
  <c r="B223" i="3"/>
  <c r="C223" i="3"/>
  <c r="D223" i="3"/>
  <c r="E223" i="3"/>
  <c r="F223" i="3"/>
  <c r="G223" i="3"/>
  <c r="H223" i="3"/>
  <c r="I223" i="3"/>
  <c r="J223" i="3"/>
  <c r="B224" i="3"/>
  <c r="C224" i="3"/>
  <c r="D224" i="3"/>
  <c r="E224" i="3"/>
  <c r="F224" i="3"/>
  <c r="G224" i="3"/>
  <c r="H224" i="3"/>
  <c r="I224" i="3"/>
  <c r="J224" i="3"/>
  <c r="B225" i="3"/>
  <c r="C225" i="3"/>
  <c r="D225" i="3"/>
  <c r="E225" i="3"/>
  <c r="F225" i="3"/>
  <c r="G225" i="3"/>
  <c r="H225" i="3"/>
  <c r="I225" i="3"/>
  <c r="J225" i="3"/>
  <c r="B226" i="3"/>
  <c r="C226" i="3"/>
  <c r="D226" i="3"/>
  <c r="E226" i="3"/>
  <c r="F226" i="3"/>
  <c r="G226" i="3"/>
  <c r="H226" i="3"/>
  <c r="I226" i="3"/>
  <c r="J226" i="3"/>
  <c r="B227" i="3"/>
  <c r="C227" i="3"/>
  <c r="D227" i="3"/>
  <c r="E227" i="3"/>
  <c r="F227" i="3"/>
  <c r="G227" i="3"/>
  <c r="H227" i="3"/>
  <c r="I227" i="3"/>
  <c r="J227" i="3"/>
  <c r="B228" i="3"/>
  <c r="C228" i="3"/>
  <c r="D228" i="3"/>
  <c r="E228" i="3"/>
  <c r="F228" i="3"/>
  <c r="G228" i="3"/>
  <c r="H228" i="3"/>
  <c r="I228" i="3"/>
  <c r="J228" i="3"/>
  <c r="B229" i="3"/>
  <c r="C229" i="3"/>
  <c r="D229" i="3"/>
  <c r="E229" i="3"/>
  <c r="F229" i="3"/>
  <c r="G229" i="3"/>
  <c r="H229" i="3"/>
  <c r="I229" i="3"/>
  <c r="J229" i="3"/>
  <c r="B230" i="3"/>
  <c r="C230" i="3"/>
  <c r="D230" i="3"/>
  <c r="E230" i="3"/>
  <c r="F230" i="3"/>
  <c r="G230" i="3"/>
  <c r="H230" i="3"/>
  <c r="I230" i="3"/>
  <c r="J230" i="3"/>
  <c r="B231" i="3"/>
  <c r="C231" i="3"/>
  <c r="D231" i="3"/>
  <c r="E231" i="3"/>
  <c r="F231" i="3"/>
  <c r="G231" i="3"/>
  <c r="H231" i="3"/>
  <c r="I231" i="3"/>
  <c r="J231" i="3"/>
  <c r="B232" i="3"/>
  <c r="C232" i="3"/>
  <c r="D232" i="3"/>
  <c r="E232" i="3"/>
  <c r="F232" i="3"/>
  <c r="G232" i="3"/>
  <c r="H232" i="3"/>
  <c r="I232" i="3"/>
  <c r="J232" i="3"/>
  <c r="B233" i="3"/>
  <c r="C233" i="3"/>
  <c r="D233" i="3"/>
  <c r="E233" i="3"/>
  <c r="F233" i="3"/>
  <c r="G233" i="3"/>
  <c r="H233" i="3"/>
  <c r="I233" i="3"/>
  <c r="J233" i="3"/>
  <c r="B234" i="3"/>
  <c r="C234" i="3"/>
  <c r="D234" i="3"/>
  <c r="E234" i="3"/>
  <c r="F234" i="3"/>
  <c r="G234" i="3"/>
  <c r="H234" i="3"/>
  <c r="I234" i="3"/>
  <c r="J234" i="3"/>
  <c r="B235" i="3"/>
  <c r="C235" i="3"/>
  <c r="D235" i="3"/>
  <c r="E235" i="3"/>
  <c r="F235" i="3"/>
  <c r="G235" i="3"/>
  <c r="H235" i="3"/>
  <c r="I235" i="3"/>
  <c r="J235" i="3"/>
  <c r="J1075" i="3" s="1"/>
  <c r="B236" i="3"/>
  <c r="C236" i="3"/>
  <c r="D236" i="3"/>
  <c r="E236" i="3"/>
  <c r="F236" i="3"/>
  <c r="G236" i="3"/>
  <c r="H236" i="3"/>
  <c r="I236" i="3"/>
  <c r="J236" i="3"/>
  <c r="B237" i="3"/>
  <c r="C237" i="3"/>
  <c r="D237" i="3"/>
  <c r="E237" i="3"/>
  <c r="F237" i="3"/>
  <c r="G237" i="3"/>
  <c r="H237" i="3"/>
  <c r="I237" i="3"/>
  <c r="J237" i="3"/>
  <c r="B238" i="3"/>
  <c r="C238" i="3"/>
  <c r="D238" i="3"/>
  <c r="E238" i="3"/>
  <c r="F238" i="3"/>
  <c r="G238" i="3"/>
  <c r="H238" i="3"/>
  <c r="I238" i="3"/>
  <c r="J238" i="3"/>
  <c r="B239" i="3"/>
  <c r="C239" i="3"/>
  <c r="D239" i="3"/>
  <c r="E239" i="3"/>
  <c r="F239" i="3"/>
  <c r="G239" i="3"/>
  <c r="H239" i="3"/>
  <c r="I239" i="3"/>
  <c r="J239" i="3"/>
  <c r="B240" i="3"/>
  <c r="C240" i="3"/>
  <c r="D240" i="3"/>
  <c r="E240" i="3"/>
  <c r="F240" i="3"/>
  <c r="G240" i="3"/>
  <c r="H240" i="3"/>
  <c r="I240" i="3"/>
  <c r="J240" i="3"/>
  <c r="B241" i="3"/>
  <c r="C241" i="3"/>
  <c r="D241" i="3"/>
  <c r="E241" i="3"/>
  <c r="F241" i="3"/>
  <c r="G241" i="3"/>
  <c r="H241" i="3"/>
  <c r="I241" i="3"/>
  <c r="J241" i="3"/>
  <c r="B242" i="3"/>
  <c r="C242" i="3"/>
  <c r="D242" i="3"/>
  <c r="E242" i="3"/>
  <c r="F242" i="3"/>
  <c r="G242" i="3"/>
  <c r="H242" i="3"/>
  <c r="I242" i="3"/>
  <c r="J242" i="3"/>
  <c r="B243" i="3"/>
  <c r="C243" i="3"/>
  <c r="D243" i="3"/>
  <c r="E243" i="3"/>
  <c r="F243" i="3"/>
  <c r="G243" i="3"/>
  <c r="H243" i="3"/>
  <c r="I243" i="3"/>
  <c r="J243" i="3"/>
  <c r="J1076" i="3" s="1"/>
  <c r="B244" i="3"/>
  <c r="C244" i="3"/>
  <c r="D244" i="3"/>
  <c r="E244" i="3"/>
  <c r="F244" i="3"/>
  <c r="G244" i="3"/>
  <c r="H244" i="3"/>
  <c r="I244" i="3"/>
  <c r="J244" i="3"/>
  <c r="B245" i="3"/>
  <c r="C245" i="3"/>
  <c r="D245" i="3"/>
  <c r="E245" i="3"/>
  <c r="F245" i="3"/>
  <c r="G245" i="3"/>
  <c r="H245" i="3"/>
  <c r="I245" i="3"/>
  <c r="J245" i="3"/>
  <c r="B246" i="3"/>
  <c r="C246" i="3"/>
  <c r="D246" i="3"/>
  <c r="E246" i="3"/>
  <c r="F246" i="3"/>
  <c r="G246" i="3"/>
  <c r="H246" i="3"/>
  <c r="I246" i="3"/>
  <c r="J246" i="3"/>
  <c r="B247" i="3"/>
  <c r="C247" i="3"/>
  <c r="D247" i="3"/>
  <c r="E247" i="3"/>
  <c r="F247" i="3"/>
  <c r="G247" i="3"/>
  <c r="H247" i="3"/>
  <c r="I247" i="3"/>
  <c r="J247" i="3"/>
  <c r="B248" i="3"/>
  <c r="C248" i="3"/>
  <c r="D248" i="3"/>
  <c r="E248" i="3"/>
  <c r="F248" i="3"/>
  <c r="G248" i="3"/>
  <c r="H248" i="3"/>
  <c r="I248" i="3"/>
  <c r="J248" i="3"/>
  <c r="B249" i="3"/>
  <c r="C249" i="3"/>
  <c r="D249" i="3"/>
  <c r="E249" i="3"/>
  <c r="F249" i="3"/>
  <c r="G249" i="3"/>
  <c r="H249" i="3"/>
  <c r="I249" i="3"/>
  <c r="J249" i="3"/>
  <c r="B250" i="3"/>
  <c r="C250" i="3"/>
  <c r="D250" i="3"/>
  <c r="E250" i="3"/>
  <c r="F250" i="3"/>
  <c r="G250" i="3"/>
  <c r="H250" i="3"/>
  <c r="I250" i="3"/>
  <c r="J250" i="3"/>
  <c r="B251" i="3"/>
  <c r="C251" i="3"/>
  <c r="D251" i="3"/>
  <c r="E251" i="3"/>
  <c r="F251" i="3"/>
  <c r="G251" i="3"/>
  <c r="H251" i="3"/>
  <c r="I251" i="3"/>
  <c r="J251" i="3"/>
  <c r="B252" i="3"/>
  <c r="C252" i="3"/>
  <c r="D252" i="3"/>
  <c r="E252" i="3"/>
  <c r="F252" i="3"/>
  <c r="G252" i="3"/>
  <c r="H252" i="3"/>
  <c r="I252" i="3"/>
  <c r="J252" i="3"/>
  <c r="B253" i="3"/>
  <c r="C253" i="3"/>
  <c r="D253" i="3"/>
  <c r="E253" i="3"/>
  <c r="F253" i="3"/>
  <c r="G253" i="3"/>
  <c r="H253" i="3"/>
  <c r="I253" i="3"/>
  <c r="J253" i="3"/>
  <c r="B254" i="3"/>
  <c r="C254" i="3"/>
  <c r="D254" i="3"/>
  <c r="E254" i="3"/>
  <c r="F254" i="3"/>
  <c r="G254" i="3"/>
  <c r="H254" i="3"/>
  <c r="I254" i="3"/>
  <c r="J254" i="3"/>
  <c r="B255" i="3"/>
  <c r="C255" i="3"/>
  <c r="D255" i="3"/>
  <c r="E255" i="3"/>
  <c r="F255" i="3"/>
  <c r="G255" i="3"/>
  <c r="H255" i="3"/>
  <c r="I255" i="3"/>
  <c r="J255" i="3"/>
  <c r="B256" i="3"/>
  <c r="C256" i="3"/>
  <c r="D256" i="3"/>
  <c r="E256" i="3"/>
  <c r="F256" i="3"/>
  <c r="G256" i="3"/>
  <c r="H256" i="3"/>
  <c r="I256" i="3"/>
  <c r="J256" i="3"/>
  <c r="B257" i="3"/>
  <c r="C257" i="3"/>
  <c r="D257" i="3"/>
  <c r="E257" i="3"/>
  <c r="F257" i="3"/>
  <c r="G257" i="3"/>
  <c r="H257" i="3"/>
  <c r="I257" i="3"/>
  <c r="J257" i="3"/>
  <c r="B258" i="3"/>
  <c r="C258" i="3"/>
  <c r="D258" i="3"/>
  <c r="E258" i="3"/>
  <c r="F258" i="3"/>
  <c r="G258" i="3"/>
  <c r="H258" i="3"/>
  <c r="I258" i="3"/>
  <c r="J258" i="3"/>
  <c r="B259" i="3"/>
  <c r="C259" i="3"/>
  <c r="D259" i="3"/>
  <c r="E259" i="3"/>
  <c r="F259" i="3"/>
  <c r="G259" i="3"/>
  <c r="H259" i="3"/>
  <c r="I259" i="3"/>
  <c r="J259" i="3"/>
  <c r="J1077" i="3" s="1"/>
  <c r="B260" i="3"/>
  <c r="C260" i="3"/>
  <c r="D260" i="3"/>
  <c r="E260" i="3"/>
  <c r="F260" i="3"/>
  <c r="G260" i="3"/>
  <c r="H260" i="3"/>
  <c r="I260" i="3"/>
  <c r="J260" i="3"/>
  <c r="B261" i="3"/>
  <c r="C261" i="3"/>
  <c r="D261" i="3"/>
  <c r="E261" i="3"/>
  <c r="F261" i="3"/>
  <c r="G261" i="3"/>
  <c r="H261" i="3"/>
  <c r="I261" i="3"/>
  <c r="J261" i="3"/>
  <c r="B262" i="3"/>
  <c r="C262" i="3"/>
  <c r="D262" i="3"/>
  <c r="E262" i="3"/>
  <c r="F262" i="3"/>
  <c r="G262" i="3"/>
  <c r="H262" i="3"/>
  <c r="I262" i="3"/>
  <c r="J262" i="3"/>
  <c r="B263" i="3"/>
  <c r="C263" i="3"/>
  <c r="D263" i="3"/>
  <c r="E263" i="3"/>
  <c r="F263" i="3"/>
  <c r="G263" i="3"/>
  <c r="H263" i="3"/>
  <c r="I263" i="3"/>
  <c r="J263" i="3"/>
  <c r="B264" i="3"/>
  <c r="C264" i="3"/>
  <c r="D264" i="3"/>
  <c r="E264" i="3"/>
  <c r="F264" i="3"/>
  <c r="G264" i="3"/>
  <c r="H264" i="3"/>
  <c r="I264" i="3"/>
  <c r="J264" i="3"/>
  <c r="B265" i="3"/>
  <c r="C265" i="3"/>
  <c r="D265" i="3"/>
  <c r="E265" i="3"/>
  <c r="F265" i="3"/>
  <c r="G265" i="3"/>
  <c r="H265" i="3"/>
  <c r="I265" i="3"/>
  <c r="J265" i="3"/>
  <c r="B266" i="3"/>
  <c r="C266" i="3"/>
  <c r="D266" i="3"/>
  <c r="E266" i="3"/>
  <c r="F266" i="3"/>
  <c r="G266" i="3"/>
  <c r="H266" i="3"/>
  <c r="I266" i="3"/>
  <c r="J266" i="3"/>
  <c r="B267" i="3"/>
  <c r="C267" i="3"/>
  <c r="D267" i="3"/>
  <c r="E267" i="3"/>
  <c r="F267" i="3"/>
  <c r="G267" i="3"/>
  <c r="H267" i="3"/>
  <c r="I267" i="3"/>
  <c r="J267" i="3"/>
  <c r="B268" i="3"/>
  <c r="C268" i="3"/>
  <c r="D268" i="3"/>
  <c r="E268" i="3"/>
  <c r="F268" i="3"/>
  <c r="G268" i="3"/>
  <c r="H268" i="3"/>
  <c r="I268" i="3"/>
  <c r="J268" i="3"/>
  <c r="B269" i="3"/>
  <c r="C269" i="3"/>
  <c r="D269" i="3"/>
  <c r="E269" i="3"/>
  <c r="F269" i="3"/>
  <c r="G269" i="3"/>
  <c r="H269" i="3"/>
  <c r="I269" i="3"/>
  <c r="J269" i="3"/>
  <c r="B270" i="3"/>
  <c r="C270" i="3"/>
  <c r="D270" i="3"/>
  <c r="E270" i="3"/>
  <c r="F270" i="3"/>
  <c r="G270" i="3"/>
  <c r="H270" i="3"/>
  <c r="I270" i="3"/>
  <c r="J270" i="3"/>
  <c r="B271" i="3"/>
  <c r="C271" i="3"/>
  <c r="D271" i="3"/>
  <c r="E271" i="3"/>
  <c r="F271" i="3"/>
  <c r="G271" i="3"/>
  <c r="H271" i="3"/>
  <c r="I271" i="3"/>
  <c r="J271" i="3"/>
  <c r="B272" i="3"/>
  <c r="C272" i="3"/>
  <c r="D272" i="3"/>
  <c r="E272" i="3"/>
  <c r="F272" i="3"/>
  <c r="G272" i="3"/>
  <c r="H272" i="3"/>
  <c r="I272" i="3"/>
  <c r="J272" i="3"/>
  <c r="B273" i="3"/>
  <c r="C273" i="3"/>
  <c r="D273" i="3"/>
  <c r="E273" i="3"/>
  <c r="F273" i="3"/>
  <c r="G273" i="3"/>
  <c r="H273" i="3"/>
  <c r="I273" i="3"/>
  <c r="J273" i="3"/>
  <c r="B274" i="3"/>
  <c r="C274" i="3"/>
  <c r="D274" i="3"/>
  <c r="E274" i="3"/>
  <c r="F274" i="3"/>
  <c r="G274" i="3"/>
  <c r="H274" i="3"/>
  <c r="I274" i="3"/>
  <c r="J274" i="3"/>
  <c r="B275" i="3"/>
  <c r="C275" i="3"/>
  <c r="D275" i="3"/>
  <c r="E275" i="3"/>
  <c r="F275" i="3"/>
  <c r="G275" i="3"/>
  <c r="H275" i="3"/>
  <c r="I275" i="3"/>
  <c r="J275" i="3"/>
  <c r="B276" i="3"/>
  <c r="C276" i="3"/>
  <c r="D276" i="3"/>
  <c r="E276" i="3"/>
  <c r="F276" i="3"/>
  <c r="G276" i="3"/>
  <c r="H276" i="3"/>
  <c r="I276" i="3"/>
  <c r="J276" i="3"/>
  <c r="J1079" i="3" s="1"/>
  <c r="B277" i="3"/>
  <c r="C277" i="3"/>
  <c r="D277" i="3"/>
  <c r="E277" i="3"/>
  <c r="F277" i="3"/>
  <c r="G277" i="3"/>
  <c r="H277" i="3"/>
  <c r="I277" i="3"/>
  <c r="J277" i="3"/>
  <c r="B278" i="3"/>
  <c r="C278" i="3"/>
  <c r="D278" i="3"/>
  <c r="E278" i="3"/>
  <c r="F278" i="3"/>
  <c r="G278" i="3"/>
  <c r="H278" i="3"/>
  <c r="I278" i="3"/>
  <c r="J278" i="3"/>
  <c r="B279" i="3"/>
  <c r="C279" i="3"/>
  <c r="D279" i="3"/>
  <c r="E279" i="3"/>
  <c r="F279" i="3"/>
  <c r="G279" i="3"/>
  <c r="H279" i="3"/>
  <c r="I279" i="3"/>
  <c r="J279" i="3"/>
  <c r="B280" i="3"/>
  <c r="C280" i="3"/>
  <c r="D280" i="3"/>
  <c r="E280" i="3"/>
  <c r="F280" i="3"/>
  <c r="G280" i="3"/>
  <c r="H280" i="3"/>
  <c r="I280" i="3"/>
  <c r="J280" i="3"/>
  <c r="B281" i="3"/>
  <c r="C281" i="3"/>
  <c r="D281" i="3"/>
  <c r="E281" i="3"/>
  <c r="F281" i="3"/>
  <c r="G281" i="3"/>
  <c r="H281" i="3"/>
  <c r="I281" i="3"/>
  <c r="J281" i="3"/>
  <c r="B282" i="3"/>
  <c r="C282" i="3"/>
  <c r="D282" i="3"/>
  <c r="E282" i="3"/>
  <c r="F282" i="3"/>
  <c r="G282" i="3"/>
  <c r="H282" i="3"/>
  <c r="I282" i="3"/>
  <c r="J282" i="3"/>
  <c r="B283" i="3"/>
  <c r="C283" i="3"/>
  <c r="D283" i="3"/>
  <c r="E283" i="3"/>
  <c r="F283" i="3"/>
  <c r="G283" i="3"/>
  <c r="H283" i="3"/>
  <c r="I283" i="3"/>
  <c r="J283" i="3"/>
  <c r="B284" i="3"/>
  <c r="C284" i="3"/>
  <c r="D284" i="3"/>
  <c r="E284" i="3"/>
  <c r="F284" i="3"/>
  <c r="G284" i="3"/>
  <c r="H284" i="3"/>
  <c r="I284" i="3"/>
  <c r="J284" i="3"/>
  <c r="B285" i="3"/>
  <c r="C285" i="3"/>
  <c r="D285" i="3"/>
  <c r="E285" i="3"/>
  <c r="F285" i="3"/>
  <c r="G285" i="3"/>
  <c r="H285" i="3"/>
  <c r="I285" i="3"/>
  <c r="J285" i="3"/>
  <c r="B286" i="3"/>
  <c r="C286" i="3"/>
  <c r="D286" i="3"/>
  <c r="E286" i="3"/>
  <c r="F286" i="3"/>
  <c r="G286" i="3"/>
  <c r="H286" i="3"/>
  <c r="I286" i="3"/>
  <c r="J286" i="3"/>
  <c r="B287" i="3"/>
  <c r="C287" i="3"/>
  <c r="D287" i="3"/>
  <c r="E287" i="3"/>
  <c r="F287" i="3"/>
  <c r="G287" i="3"/>
  <c r="H287" i="3"/>
  <c r="I287" i="3"/>
  <c r="J287" i="3"/>
  <c r="B288" i="3"/>
  <c r="C288" i="3"/>
  <c r="D288" i="3"/>
  <c r="E288" i="3"/>
  <c r="F288" i="3"/>
  <c r="G288" i="3"/>
  <c r="H288" i="3"/>
  <c r="I288" i="3"/>
  <c r="J288" i="3"/>
  <c r="B289" i="3"/>
  <c r="C289" i="3"/>
  <c r="D289" i="3"/>
  <c r="E289" i="3"/>
  <c r="F289" i="3"/>
  <c r="G289" i="3"/>
  <c r="H289" i="3"/>
  <c r="I289" i="3"/>
  <c r="J289" i="3"/>
  <c r="B290" i="3"/>
  <c r="C290" i="3"/>
  <c r="D290" i="3"/>
  <c r="E290" i="3"/>
  <c r="F290" i="3"/>
  <c r="G290" i="3"/>
  <c r="H290" i="3"/>
  <c r="I290" i="3"/>
  <c r="J290" i="3"/>
  <c r="B291" i="3"/>
  <c r="C291" i="3"/>
  <c r="D291" i="3"/>
  <c r="E291" i="3"/>
  <c r="F291" i="3"/>
  <c r="G291" i="3"/>
  <c r="H291" i="3"/>
  <c r="I291" i="3"/>
  <c r="J291" i="3"/>
  <c r="B292" i="3"/>
  <c r="C292" i="3"/>
  <c r="D292" i="3"/>
  <c r="E292" i="3"/>
  <c r="F292" i="3"/>
  <c r="G292" i="3"/>
  <c r="H292" i="3"/>
  <c r="I292" i="3"/>
  <c r="J292" i="3"/>
  <c r="B293" i="3"/>
  <c r="C293" i="3"/>
  <c r="D293" i="3"/>
  <c r="E293" i="3"/>
  <c r="F293" i="3"/>
  <c r="G293" i="3"/>
  <c r="H293" i="3"/>
  <c r="I293" i="3"/>
  <c r="J293" i="3"/>
  <c r="B294" i="3"/>
  <c r="C294" i="3"/>
  <c r="D294" i="3"/>
  <c r="E294" i="3"/>
  <c r="F294" i="3"/>
  <c r="G294" i="3"/>
  <c r="H294" i="3"/>
  <c r="I294" i="3"/>
  <c r="J294" i="3"/>
  <c r="B295" i="3"/>
  <c r="C295" i="3"/>
  <c r="D295" i="3"/>
  <c r="E295" i="3"/>
  <c r="F295" i="3"/>
  <c r="G295" i="3"/>
  <c r="H295" i="3"/>
  <c r="I295" i="3"/>
  <c r="J295" i="3"/>
  <c r="B296" i="3"/>
  <c r="C296" i="3"/>
  <c r="D296" i="3"/>
  <c r="E296" i="3"/>
  <c r="F296" i="3"/>
  <c r="G296" i="3"/>
  <c r="H296" i="3"/>
  <c r="I296" i="3"/>
  <c r="J296" i="3"/>
  <c r="B297" i="3"/>
  <c r="C297" i="3"/>
  <c r="D297" i="3"/>
  <c r="E297" i="3"/>
  <c r="F297" i="3"/>
  <c r="G297" i="3"/>
  <c r="H297" i="3"/>
  <c r="I297" i="3"/>
  <c r="J297" i="3"/>
  <c r="B298" i="3"/>
  <c r="C298" i="3"/>
  <c r="D298" i="3"/>
  <c r="E298" i="3"/>
  <c r="F298" i="3"/>
  <c r="G298" i="3"/>
  <c r="H298" i="3"/>
  <c r="I298" i="3"/>
  <c r="J298" i="3"/>
  <c r="B299" i="3"/>
  <c r="C299" i="3"/>
  <c r="D299" i="3"/>
  <c r="E299" i="3"/>
  <c r="F299" i="3"/>
  <c r="G299" i="3"/>
  <c r="H299" i="3"/>
  <c r="I299" i="3"/>
  <c r="J299" i="3"/>
  <c r="B300" i="3"/>
  <c r="C300" i="3"/>
  <c r="D300" i="3"/>
  <c r="E300" i="3"/>
  <c r="F300" i="3"/>
  <c r="G300" i="3"/>
  <c r="H300" i="3"/>
  <c r="I300" i="3"/>
  <c r="J300" i="3"/>
  <c r="B301" i="3"/>
  <c r="C301" i="3"/>
  <c r="D301" i="3"/>
  <c r="E301" i="3"/>
  <c r="F301" i="3"/>
  <c r="G301" i="3"/>
  <c r="H301" i="3"/>
  <c r="I301" i="3"/>
  <c r="J301" i="3"/>
  <c r="B302" i="3"/>
  <c r="C302" i="3"/>
  <c r="D302" i="3"/>
  <c r="E302" i="3"/>
  <c r="F302" i="3"/>
  <c r="G302" i="3"/>
  <c r="H302" i="3"/>
  <c r="I302" i="3"/>
  <c r="J302" i="3"/>
  <c r="B303" i="3"/>
  <c r="C303" i="3"/>
  <c r="D303" i="3"/>
  <c r="E303" i="3"/>
  <c r="F303" i="3"/>
  <c r="G303" i="3"/>
  <c r="H303" i="3"/>
  <c r="I303" i="3"/>
  <c r="J303" i="3"/>
  <c r="B304" i="3"/>
  <c r="C304" i="3"/>
  <c r="D304" i="3"/>
  <c r="E304" i="3"/>
  <c r="F304" i="3"/>
  <c r="G304" i="3"/>
  <c r="H304" i="3"/>
  <c r="I304" i="3"/>
  <c r="J304" i="3"/>
  <c r="B305" i="3"/>
  <c r="C305" i="3"/>
  <c r="D305" i="3"/>
  <c r="E305" i="3"/>
  <c r="F305" i="3"/>
  <c r="G305" i="3"/>
  <c r="H305" i="3"/>
  <c r="I305" i="3"/>
  <c r="J305" i="3"/>
  <c r="B306" i="3"/>
  <c r="C306" i="3"/>
  <c r="D306" i="3"/>
  <c r="E306" i="3"/>
  <c r="F306" i="3"/>
  <c r="G306" i="3"/>
  <c r="H306" i="3"/>
  <c r="I306" i="3"/>
  <c r="J306" i="3"/>
  <c r="B307" i="3"/>
  <c r="C307" i="3"/>
  <c r="D307" i="3"/>
  <c r="E307" i="3"/>
  <c r="F307" i="3"/>
  <c r="G307" i="3"/>
  <c r="H307" i="3"/>
  <c r="I307" i="3"/>
  <c r="J307" i="3"/>
  <c r="B308" i="3"/>
  <c r="C308" i="3"/>
  <c r="D308" i="3"/>
  <c r="E308" i="3"/>
  <c r="F308" i="3"/>
  <c r="G308" i="3"/>
  <c r="H308" i="3"/>
  <c r="I308" i="3"/>
  <c r="J308" i="3"/>
  <c r="B309" i="3"/>
  <c r="C309" i="3"/>
  <c r="D309" i="3"/>
  <c r="E309" i="3"/>
  <c r="F309" i="3"/>
  <c r="G309" i="3"/>
  <c r="H309" i="3"/>
  <c r="I309" i="3"/>
  <c r="J309" i="3"/>
  <c r="B310" i="3"/>
  <c r="C310" i="3"/>
  <c r="D310" i="3"/>
  <c r="E310" i="3"/>
  <c r="F310" i="3"/>
  <c r="G310" i="3"/>
  <c r="H310" i="3"/>
  <c r="I310" i="3"/>
  <c r="J310" i="3"/>
  <c r="B311" i="3"/>
  <c r="C311" i="3"/>
  <c r="D311" i="3"/>
  <c r="E311" i="3"/>
  <c r="F311" i="3"/>
  <c r="G311" i="3"/>
  <c r="H311" i="3"/>
  <c r="I311" i="3"/>
  <c r="J311" i="3"/>
  <c r="B312" i="3"/>
  <c r="C312" i="3"/>
  <c r="D312" i="3"/>
  <c r="E312" i="3"/>
  <c r="F312" i="3"/>
  <c r="G312" i="3"/>
  <c r="H312" i="3"/>
  <c r="I312" i="3"/>
  <c r="J312" i="3"/>
  <c r="B313" i="3"/>
  <c r="C313" i="3"/>
  <c r="D313" i="3"/>
  <c r="E313" i="3"/>
  <c r="F313" i="3"/>
  <c r="G313" i="3"/>
  <c r="H313" i="3"/>
  <c r="I313" i="3"/>
  <c r="J313" i="3"/>
  <c r="B314" i="3"/>
  <c r="C314" i="3"/>
  <c r="D314" i="3"/>
  <c r="E314" i="3"/>
  <c r="F314" i="3"/>
  <c r="G314" i="3"/>
  <c r="H314" i="3"/>
  <c r="I314" i="3"/>
  <c r="J314" i="3"/>
  <c r="B315" i="3"/>
  <c r="C315" i="3"/>
  <c r="D315" i="3"/>
  <c r="E315" i="3"/>
  <c r="F315" i="3"/>
  <c r="G315" i="3"/>
  <c r="H315" i="3"/>
  <c r="I315" i="3"/>
  <c r="J315" i="3"/>
  <c r="J1082" i="3" s="1"/>
  <c r="B316" i="3"/>
  <c r="C316" i="3"/>
  <c r="D316" i="3"/>
  <c r="E316" i="3"/>
  <c r="F316" i="3"/>
  <c r="G316" i="3"/>
  <c r="H316" i="3"/>
  <c r="I316" i="3"/>
  <c r="J316" i="3"/>
  <c r="B317" i="3"/>
  <c r="C317" i="3"/>
  <c r="D317" i="3"/>
  <c r="E317" i="3"/>
  <c r="F317" i="3"/>
  <c r="G317" i="3"/>
  <c r="H317" i="3"/>
  <c r="I317" i="3"/>
  <c r="J317" i="3"/>
  <c r="B318" i="3"/>
  <c r="C318" i="3"/>
  <c r="D318" i="3"/>
  <c r="E318" i="3"/>
  <c r="F318" i="3"/>
  <c r="G318" i="3"/>
  <c r="H318" i="3"/>
  <c r="I318" i="3"/>
  <c r="J318" i="3"/>
  <c r="B319" i="3"/>
  <c r="C319" i="3"/>
  <c r="D319" i="3"/>
  <c r="E319" i="3"/>
  <c r="F319" i="3"/>
  <c r="G319" i="3"/>
  <c r="H319" i="3"/>
  <c r="I319" i="3"/>
  <c r="J319" i="3"/>
  <c r="B320" i="3"/>
  <c r="C320" i="3"/>
  <c r="D320" i="3"/>
  <c r="E320" i="3"/>
  <c r="F320" i="3"/>
  <c r="G320" i="3"/>
  <c r="H320" i="3"/>
  <c r="I320" i="3"/>
  <c r="J320" i="3"/>
  <c r="B321" i="3"/>
  <c r="C321" i="3"/>
  <c r="D321" i="3"/>
  <c r="E321" i="3"/>
  <c r="F321" i="3"/>
  <c r="G321" i="3"/>
  <c r="H321" i="3"/>
  <c r="I321" i="3"/>
  <c r="J321" i="3"/>
  <c r="B322" i="3"/>
  <c r="C322" i="3"/>
  <c r="D322" i="3"/>
  <c r="E322" i="3"/>
  <c r="F322" i="3"/>
  <c r="G322" i="3"/>
  <c r="H322" i="3"/>
  <c r="I322" i="3"/>
  <c r="J322" i="3"/>
  <c r="B323" i="3"/>
  <c r="C323" i="3"/>
  <c r="D323" i="3"/>
  <c r="E323" i="3"/>
  <c r="F323" i="3"/>
  <c r="G323" i="3"/>
  <c r="H323" i="3"/>
  <c r="I323" i="3"/>
  <c r="J323" i="3"/>
  <c r="B324" i="3"/>
  <c r="C324" i="3"/>
  <c r="D324" i="3"/>
  <c r="E324" i="3"/>
  <c r="F324" i="3"/>
  <c r="G324" i="3"/>
  <c r="H324" i="3"/>
  <c r="I324" i="3"/>
  <c r="J324" i="3"/>
  <c r="B325" i="3"/>
  <c r="C325" i="3"/>
  <c r="D325" i="3"/>
  <c r="E325" i="3"/>
  <c r="F325" i="3"/>
  <c r="G325" i="3"/>
  <c r="H325" i="3"/>
  <c r="I325" i="3"/>
  <c r="J325" i="3"/>
  <c r="B326" i="3"/>
  <c r="C326" i="3"/>
  <c r="D326" i="3"/>
  <c r="E326" i="3"/>
  <c r="F326" i="3"/>
  <c r="G326" i="3"/>
  <c r="H326" i="3"/>
  <c r="I326" i="3"/>
  <c r="J326" i="3"/>
  <c r="B327" i="3"/>
  <c r="C327" i="3"/>
  <c r="D327" i="3"/>
  <c r="E327" i="3"/>
  <c r="F327" i="3"/>
  <c r="G327" i="3"/>
  <c r="H327" i="3"/>
  <c r="I327" i="3"/>
  <c r="J327" i="3"/>
  <c r="B328" i="3"/>
  <c r="C328" i="3"/>
  <c r="D328" i="3"/>
  <c r="E328" i="3"/>
  <c r="F328" i="3"/>
  <c r="G328" i="3"/>
  <c r="H328" i="3"/>
  <c r="I328" i="3"/>
  <c r="J328" i="3"/>
  <c r="B329" i="3"/>
  <c r="C329" i="3"/>
  <c r="D329" i="3"/>
  <c r="E329" i="3"/>
  <c r="F329" i="3"/>
  <c r="G329" i="3"/>
  <c r="H329" i="3"/>
  <c r="I329" i="3"/>
  <c r="J329" i="3"/>
  <c r="B330" i="3"/>
  <c r="C330" i="3"/>
  <c r="D330" i="3"/>
  <c r="E330" i="3"/>
  <c r="F330" i="3"/>
  <c r="G330" i="3"/>
  <c r="H330" i="3"/>
  <c r="I330" i="3"/>
  <c r="J330" i="3"/>
  <c r="B331" i="3"/>
  <c r="C331" i="3"/>
  <c r="D331" i="3"/>
  <c r="E331" i="3"/>
  <c r="F331" i="3"/>
  <c r="G331" i="3"/>
  <c r="H331" i="3"/>
  <c r="I331" i="3"/>
  <c r="J331" i="3"/>
  <c r="B332" i="3"/>
  <c r="C332" i="3"/>
  <c r="D332" i="3"/>
  <c r="E332" i="3"/>
  <c r="F332" i="3"/>
  <c r="G332" i="3"/>
  <c r="H332" i="3"/>
  <c r="I332" i="3"/>
  <c r="J332" i="3"/>
  <c r="B333" i="3"/>
  <c r="C333" i="3"/>
  <c r="D333" i="3"/>
  <c r="E333" i="3"/>
  <c r="F333" i="3"/>
  <c r="G333" i="3"/>
  <c r="H333" i="3"/>
  <c r="I333" i="3"/>
  <c r="J333" i="3"/>
  <c r="B334" i="3"/>
  <c r="C334" i="3"/>
  <c r="D334" i="3"/>
  <c r="E334" i="3"/>
  <c r="F334" i="3"/>
  <c r="G334" i="3"/>
  <c r="H334" i="3"/>
  <c r="I334" i="3"/>
  <c r="J334" i="3"/>
  <c r="B335" i="3"/>
  <c r="C335" i="3"/>
  <c r="D335" i="3"/>
  <c r="E335" i="3"/>
  <c r="F335" i="3"/>
  <c r="G335" i="3"/>
  <c r="H335" i="3"/>
  <c r="I335" i="3"/>
  <c r="J335" i="3"/>
  <c r="B336" i="3"/>
  <c r="C336" i="3"/>
  <c r="D336" i="3"/>
  <c r="E336" i="3"/>
  <c r="F336" i="3"/>
  <c r="G336" i="3"/>
  <c r="H336" i="3"/>
  <c r="I336" i="3"/>
  <c r="J336" i="3"/>
  <c r="B337" i="3"/>
  <c r="C337" i="3"/>
  <c r="D337" i="3"/>
  <c r="E337" i="3"/>
  <c r="F337" i="3"/>
  <c r="G337" i="3"/>
  <c r="H337" i="3"/>
  <c r="I337" i="3"/>
  <c r="J337" i="3"/>
  <c r="B338" i="3"/>
  <c r="C338" i="3"/>
  <c r="D338" i="3"/>
  <c r="E338" i="3"/>
  <c r="F338" i="3"/>
  <c r="G338" i="3"/>
  <c r="H338" i="3"/>
  <c r="I338" i="3"/>
  <c r="J338" i="3"/>
  <c r="B339" i="3"/>
  <c r="C339" i="3"/>
  <c r="D339" i="3"/>
  <c r="E339" i="3"/>
  <c r="F339" i="3"/>
  <c r="G339" i="3"/>
  <c r="H339" i="3"/>
  <c r="I339" i="3"/>
  <c r="J339" i="3"/>
  <c r="B340" i="3"/>
  <c r="C340" i="3"/>
  <c r="D340" i="3"/>
  <c r="E340" i="3"/>
  <c r="F340" i="3"/>
  <c r="G340" i="3"/>
  <c r="H340" i="3"/>
  <c r="I340" i="3"/>
  <c r="J340" i="3"/>
  <c r="B341" i="3"/>
  <c r="C341" i="3"/>
  <c r="D341" i="3"/>
  <c r="E341" i="3"/>
  <c r="F341" i="3"/>
  <c r="G341" i="3"/>
  <c r="H341" i="3"/>
  <c r="I341" i="3"/>
  <c r="J341" i="3"/>
  <c r="B342" i="3"/>
  <c r="C342" i="3"/>
  <c r="D342" i="3"/>
  <c r="E342" i="3"/>
  <c r="F342" i="3"/>
  <c r="G342" i="3"/>
  <c r="H342" i="3"/>
  <c r="I342" i="3"/>
  <c r="J342" i="3"/>
  <c r="B343" i="3"/>
  <c r="C343" i="3"/>
  <c r="D343" i="3"/>
  <c r="E343" i="3"/>
  <c r="F343" i="3"/>
  <c r="G343" i="3"/>
  <c r="H343" i="3"/>
  <c r="I343" i="3"/>
  <c r="J343" i="3"/>
  <c r="B344" i="3"/>
  <c r="C344" i="3"/>
  <c r="D344" i="3"/>
  <c r="E344" i="3"/>
  <c r="F344" i="3"/>
  <c r="G344" i="3"/>
  <c r="H344" i="3"/>
  <c r="I344" i="3"/>
  <c r="J344" i="3"/>
  <c r="B345" i="3"/>
  <c r="C345" i="3"/>
  <c r="D345" i="3"/>
  <c r="E345" i="3"/>
  <c r="F345" i="3"/>
  <c r="G345" i="3"/>
  <c r="H345" i="3"/>
  <c r="I345" i="3"/>
  <c r="J345" i="3"/>
  <c r="B346" i="3"/>
  <c r="C346" i="3"/>
  <c r="D346" i="3"/>
  <c r="E346" i="3"/>
  <c r="F346" i="3"/>
  <c r="G346" i="3"/>
  <c r="H346" i="3"/>
  <c r="I346" i="3"/>
  <c r="J346" i="3"/>
  <c r="B347" i="3"/>
  <c r="C347" i="3"/>
  <c r="D347" i="3"/>
  <c r="E347" i="3"/>
  <c r="F347" i="3"/>
  <c r="G347" i="3"/>
  <c r="H347" i="3"/>
  <c r="I347" i="3"/>
  <c r="J347" i="3"/>
  <c r="B348" i="3"/>
  <c r="C348" i="3"/>
  <c r="D348" i="3"/>
  <c r="E348" i="3"/>
  <c r="F348" i="3"/>
  <c r="G348" i="3"/>
  <c r="H348" i="3"/>
  <c r="I348" i="3"/>
  <c r="J348" i="3"/>
  <c r="B349" i="3"/>
  <c r="C349" i="3"/>
  <c r="D349" i="3"/>
  <c r="E349" i="3"/>
  <c r="F349" i="3"/>
  <c r="G349" i="3"/>
  <c r="H349" i="3"/>
  <c r="I349" i="3"/>
  <c r="J349" i="3"/>
  <c r="B350" i="3"/>
  <c r="C350" i="3"/>
  <c r="D350" i="3"/>
  <c r="E350" i="3"/>
  <c r="F350" i="3"/>
  <c r="G350" i="3"/>
  <c r="H350" i="3"/>
  <c r="I350" i="3"/>
  <c r="J350" i="3"/>
  <c r="B351" i="3"/>
  <c r="C351" i="3"/>
  <c r="D351" i="3"/>
  <c r="E351" i="3"/>
  <c r="F351" i="3"/>
  <c r="G351" i="3"/>
  <c r="H351" i="3"/>
  <c r="I351" i="3"/>
  <c r="J351" i="3"/>
  <c r="B352" i="3"/>
  <c r="C352" i="3"/>
  <c r="D352" i="3"/>
  <c r="E352" i="3"/>
  <c r="F352" i="3"/>
  <c r="G352" i="3"/>
  <c r="H352" i="3"/>
  <c r="I352" i="3"/>
  <c r="J352" i="3"/>
  <c r="B353" i="3"/>
  <c r="C353" i="3"/>
  <c r="D353" i="3"/>
  <c r="E353" i="3"/>
  <c r="F353" i="3"/>
  <c r="G353" i="3"/>
  <c r="H353" i="3"/>
  <c r="I353" i="3"/>
  <c r="J353" i="3"/>
  <c r="B354" i="3"/>
  <c r="C354" i="3"/>
  <c r="D354" i="3"/>
  <c r="E354" i="3"/>
  <c r="F354" i="3"/>
  <c r="G354" i="3"/>
  <c r="H354" i="3"/>
  <c r="I354" i="3"/>
  <c r="J354" i="3"/>
  <c r="B355" i="3"/>
  <c r="C355" i="3"/>
  <c r="D355" i="3"/>
  <c r="E355" i="3"/>
  <c r="F355" i="3"/>
  <c r="G355" i="3"/>
  <c r="H355" i="3"/>
  <c r="I355" i="3"/>
  <c r="J355" i="3"/>
  <c r="B356" i="3"/>
  <c r="C356" i="3"/>
  <c r="D356" i="3"/>
  <c r="E356" i="3"/>
  <c r="F356" i="3"/>
  <c r="G356" i="3"/>
  <c r="H356" i="3"/>
  <c r="I356" i="3"/>
  <c r="J356" i="3"/>
  <c r="B357" i="3"/>
  <c r="C357" i="3"/>
  <c r="D357" i="3"/>
  <c r="E357" i="3"/>
  <c r="F357" i="3"/>
  <c r="G357" i="3"/>
  <c r="H357" i="3"/>
  <c r="I357" i="3"/>
  <c r="J357" i="3"/>
  <c r="B358" i="3"/>
  <c r="C358" i="3"/>
  <c r="D358" i="3"/>
  <c r="E358" i="3"/>
  <c r="F358" i="3"/>
  <c r="G358" i="3"/>
  <c r="H358" i="3"/>
  <c r="I358" i="3"/>
  <c r="J358" i="3"/>
  <c r="B359" i="3"/>
  <c r="C359" i="3"/>
  <c r="D359" i="3"/>
  <c r="E359" i="3"/>
  <c r="F359" i="3"/>
  <c r="G359" i="3"/>
  <c r="H359" i="3"/>
  <c r="I359" i="3"/>
  <c r="J359" i="3"/>
  <c r="B360" i="3"/>
  <c r="C360" i="3"/>
  <c r="D360" i="3"/>
  <c r="E360" i="3"/>
  <c r="F360" i="3"/>
  <c r="G360" i="3"/>
  <c r="H360" i="3"/>
  <c r="I360" i="3"/>
  <c r="J360" i="3"/>
  <c r="B361" i="3"/>
  <c r="C361" i="3"/>
  <c r="D361" i="3"/>
  <c r="E361" i="3"/>
  <c r="F361" i="3"/>
  <c r="G361" i="3"/>
  <c r="H361" i="3"/>
  <c r="I361" i="3"/>
  <c r="J361" i="3"/>
  <c r="B362" i="3"/>
  <c r="C362" i="3"/>
  <c r="D362" i="3"/>
  <c r="E362" i="3"/>
  <c r="F362" i="3"/>
  <c r="G362" i="3"/>
  <c r="H362" i="3"/>
  <c r="I362" i="3"/>
  <c r="J362" i="3"/>
  <c r="B363" i="3"/>
  <c r="C363" i="3"/>
  <c r="D363" i="3"/>
  <c r="E363" i="3"/>
  <c r="F363" i="3"/>
  <c r="G363" i="3"/>
  <c r="H363" i="3"/>
  <c r="I363" i="3"/>
  <c r="J363" i="3"/>
  <c r="J1086" i="3" s="1"/>
  <c r="B364" i="3"/>
  <c r="C364" i="3"/>
  <c r="D364" i="3"/>
  <c r="E364" i="3"/>
  <c r="F364" i="3"/>
  <c r="G364" i="3"/>
  <c r="H364" i="3"/>
  <c r="I364" i="3"/>
  <c r="J364" i="3"/>
  <c r="B365" i="3"/>
  <c r="C365" i="3"/>
  <c r="D365" i="3"/>
  <c r="E365" i="3"/>
  <c r="F365" i="3"/>
  <c r="G365" i="3"/>
  <c r="H365" i="3"/>
  <c r="I365" i="3"/>
  <c r="J365" i="3"/>
  <c r="B366" i="3"/>
  <c r="C366" i="3"/>
  <c r="D366" i="3"/>
  <c r="E366" i="3"/>
  <c r="F366" i="3"/>
  <c r="G366" i="3"/>
  <c r="H366" i="3"/>
  <c r="I366" i="3"/>
  <c r="J366" i="3"/>
  <c r="B367" i="3"/>
  <c r="C367" i="3"/>
  <c r="D367" i="3"/>
  <c r="E367" i="3"/>
  <c r="F367" i="3"/>
  <c r="G367" i="3"/>
  <c r="H367" i="3"/>
  <c r="I367" i="3"/>
  <c r="J367" i="3"/>
  <c r="B368" i="3"/>
  <c r="C368" i="3"/>
  <c r="D368" i="3"/>
  <c r="E368" i="3"/>
  <c r="F368" i="3"/>
  <c r="G368" i="3"/>
  <c r="H368" i="3"/>
  <c r="I368" i="3"/>
  <c r="J368" i="3"/>
  <c r="B369" i="3"/>
  <c r="C369" i="3"/>
  <c r="D369" i="3"/>
  <c r="E369" i="3"/>
  <c r="F369" i="3"/>
  <c r="G369" i="3"/>
  <c r="H369" i="3"/>
  <c r="I369" i="3"/>
  <c r="J369" i="3"/>
  <c r="B370" i="3"/>
  <c r="C370" i="3"/>
  <c r="D370" i="3"/>
  <c r="E370" i="3"/>
  <c r="F370" i="3"/>
  <c r="G370" i="3"/>
  <c r="H370" i="3"/>
  <c r="I370" i="3"/>
  <c r="J370" i="3"/>
  <c r="B371" i="3"/>
  <c r="C371" i="3"/>
  <c r="D371" i="3"/>
  <c r="E371" i="3"/>
  <c r="F371" i="3"/>
  <c r="G371" i="3"/>
  <c r="H371" i="3"/>
  <c r="I371" i="3"/>
  <c r="J371" i="3"/>
  <c r="B372" i="3"/>
  <c r="C372" i="3"/>
  <c r="D372" i="3"/>
  <c r="E372" i="3"/>
  <c r="F372" i="3"/>
  <c r="G372" i="3"/>
  <c r="H372" i="3"/>
  <c r="I372" i="3"/>
  <c r="J372" i="3"/>
  <c r="B373" i="3"/>
  <c r="C373" i="3"/>
  <c r="D373" i="3"/>
  <c r="E373" i="3"/>
  <c r="F373" i="3"/>
  <c r="G373" i="3"/>
  <c r="H373" i="3"/>
  <c r="I373" i="3"/>
  <c r="J373" i="3"/>
  <c r="B374" i="3"/>
  <c r="C374" i="3"/>
  <c r="D374" i="3"/>
  <c r="E374" i="3"/>
  <c r="F374" i="3"/>
  <c r="G374" i="3"/>
  <c r="H374" i="3"/>
  <c r="I374" i="3"/>
  <c r="J374" i="3"/>
  <c r="B375" i="3"/>
  <c r="C375" i="3"/>
  <c r="D375" i="3"/>
  <c r="E375" i="3"/>
  <c r="F375" i="3"/>
  <c r="G375" i="3"/>
  <c r="H375" i="3"/>
  <c r="I375" i="3"/>
  <c r="J375" i="3"/>
  <c r="B376" i="3"/>
  <c r="C376" i="3"/>
  <c r="D376" i="3"/>
  <c r="E376" i="3"/>
  <c r="F376" i="3"/>
  <c r="G376" i="3"/>
  <c r="H376" i="3"/>
  <c r="I376" i="3"/>
  <c r="J376" i="3"/>
  <c r="B377" i="3"/>
  <c r="C377" i="3"/>
  <c r="D377" i="3"/>
  <c r="E377" i="3"/>
  <c r="F377" i="3"/>
  <c r="G377" i="3"/>
  <c r="H377" i="3"/>
  <c r="I377" i="3"/>
  <c r="J377" i="3"/>
  <c r="B378" i="3"/>
  <c r="C378" i="3"/>
  <c r="D378" i="3"/>
  <c r="E378" i="3"/>
  <c r="F378" i="3"/>
  <c r="G378" i="3"/>
  <c r="H378" i="3"/>
  <c r="I378" i="3"/>
  <c r="J378" i="3"/>
  <c r="B379" i="3"/>
  <c r="C379" i="3"/>
  <c r="D379" i="3"/>
  <c r="E379" i="3"/>
  <c r="F379" i="3"/>
  <c r="G379" i="3"/>
  <c r="H379" i="3"/>
  <c r="I379" i="3"/>
  <c r="J379" i="3"/>
  <c r="B380" i="3"/>
  <c r="C380" i="3"/>
  <c r="D380" i="3"/>
  <c r="E380" i="3"/>
  <c r="F380" i="3"/>
  <c r="G380" i="3"/>
  <c r="H380" i="3"/>
  <c r="I380" i="3"/>
  <c r="J380" i="3"/>
  <c r="B381" i="3"/>
  <c r="C381" i="3"/>
  <c r="D381" i="3"/>
  <c r="E381" i="3"/>
  <c r="F381" i="3"/>
  <c r="G381" i="3"/>
  <c r="H381" i="3"/>
  <c r="I381" i="3"/>
  <c r="J381" i="3"/>
  <c r="B382" i="3"/>
  <c r="C382" i="3"/>
  <c r="D382" i="3"/>
  <c r="E382" i="3"/>
  <c r="F382" i="3"/>
  <c r="G382" i="3"/>
  <c r="H382" i="3"/>
  <c r="I382" i="3"/>
  <c r="J382" i="3"/>
  <c r="B383" i="3"/>
  <c r="C383" i="3"/>
  <c r="D383" i="3"/>
  <c r="E383" i="3"/>
  <c r="F383" i="3"/>
  <c r="G383" i="3"/>
  <c r="H383" i="3"/>
  <c r="I383" i="3"/>
  <c r="J383" i="3"/>
  <c r="B384" i="3"/>
  <c r="C384" i="3"/>
  <c r="D384" i="3"/>
  <c r="E384" i="3"/>
  <c r="F384" i="3"/>
  <c r="G384" i="3"/>
  <c r="H384" i="3"/>
  <c r="I384" i="3"/>
  <c r="J384" i="3"/>
  <c r="B385" i="3"/>
  <c r="C385" i="3"/>
  <c r="D385" i="3"/>
  <c r="E385" i="3"/>
  <c r="F385" i="3"/>
  <c r="G385" i="3"/>
  <c r="H385" i="3"/>
  <c r="I385" i="3"/>
  <c r="J385" i="3"/>
  <c r="B386" i="3"/>
  <c r="C386" i="3"/>
  <c r="D386" i="3"/>
  <c r="E386" i="3"/>
  <c r="F386" i="3"/>
  <c r="G386" i="3"/>
  <c r="H386" i="3"/>
  <c r="I386" i="3"/>
  <c r="J386" i="3"/>
  <c r="B387" i="3"/>
  <c r="C387" i="3"/>
  <c r="D387" i="3"/>
  <c r="E387" i="3"/>
  <c r="F387" i="3"/>
  <c r="G387" i="3"/>
  <c r="H387" i="3"/>
  <c r="I387" i="3"/>
  <c r="J387" i="3"/>
  <c r="B388" i="3"/>
  <c r="C388" i="3"/>
  <c r="D388" i="3"/>
  <c r="E388" i="3"/>
  <c r="F388" i="3"/>
  <c r="G388" i="3"/>
  <c r="H388" i="3"/>
  <c r="I388" i="3"/>
  <c r="J388" i="3"/>
  <c r="B389" i="3"/>
  <c r="C389" i="3"/>
  <c r="D389" i="3"/>
  <c r="E389" i="3"/>
  <c r="F389" i="3"/>
  <c r="G389" i="3"/>
  <c r="H389" i="3"/>
  <c r="I389" i="3"/>
  <c r="J389" i="3"/>
  <c r="B390" i="3"/>
  <c r="C390" i="3"/>
  <c r="D390" i="3"/>
  <c r="E390" i="3"/>
  <c r="F390" i="3"/>
  <c r="G390" i="3"/>
  <c r="H390" i="3"/>
  <c r="I390" i="3"/>
  <c r="J390" i="3"/>
  <c r="B391" i="3"/>
  <c r="C391" i="3"/>
  <c r="D391" i="3"/>
  <c r="E391" i="3"/>
  <c r="F391" i="3"/>
  <c r="G391" i="3"/>
  <c r="H391" i="3"/>
  <c r="I391" i="3"/>
  <c r="J391" i="3"/>
  <c r="B392" i="3"/>
  <c r="C392" i="3"/>
  <c r="D392" i="3"/>
  <c r="E392" i="3"/>
  <c r="F392" i="3"/>
  <c r="G392" i="3"/>
  <c r="H392" i="3"/>
  <c r="I392" i="3"/>
  <c r="J392" i="3"/>
  <c r="B393" i="3"/>
  <c r="C393" i="3"/>
  <c r="D393" i="3"/>
  <c r="E393" i="3"/>
  <c r="F393" i="3"/>
  <c r="G393" i="3"/>
  <c r="H393" i="3"/>
  <c r="I393" i="3"/>
  <c r="J393" i="3"/>
  <c r="B394" i="3"/>
  <c r="C394" i="3"/>
  <c r="D394" i="3"/>
  <c r="E394" i="3"/>
  <c r="F394" i="3"/>
  <c r="G394" i="3"/>
  <c r="H394" i="3"/>
  <c r="I394" i="3"/>
  <c r="J394" i="3"/>
  <c r="B395" i="3"/>
  <c r="C395" i="3"/>
  <c r="D395" i="3"/>
  <c r="E395" i="3"/>
  <c r="F395" i="3"/>
  <c r="G395" i="3"/>
  <c r="H395" i="3"/>
  <c r="I395" i="3"/>
  <c r="J395" i="3"/>
  <c r="B396" i="3"/>
  <c r="C396" i="3"/>
  <c r="D396" i="3"/>
  <c r="E396" i="3"/>
  <c r="F396" i="3"/>
  <c r="G396" i="3"/>
  <c r="H396" i="3"/>
  <c r="I396" i="3"/>
  <c r="J396" i="3"/>
  <c r="B397" i="3"/>
  <c r="C397" i="3"/>
  <c r="D397" i="3"/>
  <c r="E397" i="3"/>
  <c r="F397" i="3"/>
  <c r="G397" i="3"/>
  <c r="H397" i="3"/>
  <c r="I397" i="3"/>
  <c r="J397" i="3"/>
  <c r="B398" i="3"/>
  <c r="C398" i="3"/>
  <c r="D398" i="3"/>
  <c r="E398" i="3"/>
  <c r="F398" i="3"/>
  <c r="G398" i="3"/>
  <c r="H398" i="3"/>
  <c r="I398" i="3"/>
  <c r="J398" i="3"/>
  <c r="B399" i="3"/>
  <c r="C399" i="3"/>
  <c r="D399" i="3"/>
  <c r="E399" i="3"/>
  <c r="F399" i="3"/>
  <c r="G399" i="3"/>
  <c r="H399" i="3"/>
  <c r="I399" i="3"/>
  <c r="J399" i="3"/>
  <c r="B400" i="3"/>
  <c r="C400" i="3"/>
  <c r="D400" i="3"/>
  <c r="E400" i="3"/>
  <c r="F400" i="3"/>
  <c r="G400" i="3"/>
  <c r="H400" i="3"/>
  <c r="I400" i="3"/>
  <c r="J400" i="3"/>
  <c r="B401" i="3"/>
  <c r="C401" i="3"/>
  <c r="D401" i="3"/>
  <c r="E401" i="3"/>
  <c r="F401" i="3"/>
  <c r="G401" i="3"/>
  <c r="H401" i="3"/>
  <c r="I401" i="3"/>
  <c r="J401" i="3"/>
  <c r="B402" i="3"/>
  <c r="C402" i="3"/>
  <c r="D402" i="3"/>
  <c r="E402" i="3"/>
  <c r="F402" i="3"/>
  <c r="G402" i="3"/>
  <c r="H402" i="3"/>
  <c r="I402" i="3"/>
  <c r="J402" i="3"/>
  <c r="B403" i="3"/>
  <c r="C403" i="3"/>
  <c r="D403" i="3"/>
  <c r="E403" i="3"/>
  <c r="F403" i="3"/>
  <c r="G403" i="3"/>
  <c r="H403" i="3"/>
  <c r="I403" i="3"/>
  <c r="J403" i="3"/>
  <c r="B404" i="3"/>
  <c r="C404" i="3"/>
  <c r="D404" i="3"/>
  <c r="E404" i="3"/>
  <c r="F404" i="3"/>
  <c r="G404" i="3"/>
  <c r="H404" i="3"/>
  <c r="I404" i="3"/>
  <c r="J404" i="3"/>
  <c r="B405" i="3"/>
  <c r="C405" i="3"/>
  <c r="D405" i="3"/>
  <c r="E405" i="3"/>
  <c r="F405" i="3"/>
  <c r="G405" i="3"/>
  <c r="H405" i="3"/>
  <c r="I405" i="3"/>
  <c r="J405" i="3"/>
  <c r="B406" i="3"/>
  <c r="C406" i="3"/>
  <c r="D406" i="3"/>
  <c r="E406" i="3"/>
  <c r="F406" i="3"/>
  <c r="G406" i="3"/>
  <c r="H406" i="3"/>
  <c r="I406" i="3"/>
  <c r="J406" i="3"/>
  <c r="B407" i="3"/>
  <c r="C407" i="3"/>
  <c r="D407" i="3"/>
  <c r="E407" i="3"/>
  <c r="F407" i="3"/>
  <c r="G407" i="3"/>
  <c r="H407" i="3"/>
  <c r="I407" i="3"/>
  <c r="J407" i="3"/>
  <c r="B408" i="3"/>
  <c r="C408" i="3"/>
  <c r="D408" i="3"/>
  <c r="E408" i="3"/>
  <c r="F408" i="3"/>
  <c r="G408" i="3"/>
  <c r="H408" i="3"/>
  <c r="I408" i="3"/>
  <c r="J408" i="3"/>
  <c r="B409" i="3"/>
  <c r="C409" i="3"/>
  <c r="D409" i="3"/>
  <c r="E409" i="3"/>
  <c r="F409" i="3"/>
  <c r="G409" i="3"/>
  <c r="H409" i="3"/>
  <c r="I409" i="3"/>
  <c r="J409" i="3"/>
  <c r="B410" i="3"/>
  <c r="C410" i="3"/>
  <c r="D410" i="3"/>
  <c r="E410" i="3"/>
  <c r="F410" i="3"/>
  <c r="G410" i="3"/>
  <c r="H410" i="3"/>
  <c r="I410" i="3"/>
  <c r="J410" i="3"/>
  <c r="B411" i="3"/>
  <c r="C411" i="3"/>
  <c r="D411" i="3"/>
  <c r="E411" i="3"/>
  <c r="F411" i="3"/>
  <c r="G411" i="3"/>
  <c r="H411" i="3"/>
  <c r="I411" i="3"/>
  <c r="J411" i="3"/>
  <c r="J1090" i="3" s="1"/>
  <c r="B412" i="3"/>
  <c r="C412" i="3"/>
  <c r="D412" i="3"/>
  <c r="E412" i="3"/>
  <c r="F412" i="3"/>
  <c r="G412" i="3"/>
  <c r="H412" i="3"/>
  <c r="I412" i="3"/>
  <c r="J412" i="3"/>
  <c r="B413" i="3"/>
  <c r="C413" i="3"/>
  <c r="D413" i="3"/>
  <c r="E413" i="3"/>
  <c r="F413" i="3"/>
  <c r="G413" i="3"/>
  <c r="H413" i="3"/>
  <c r="I413" i="3"/>
  <c r="J413" i="3"/>
  <c r="B414" i="3"/>
  <c r="C414" i="3"/>
  <c r="D414" i="3"/>
  <c r="E414" i="3"/>
  <c r="F414" i="3"/>
  <c r="G414" i="3"/>
  <c r="H414" i="3"/>
  <c r="I414" i="3"/>
  <c r="J414" i="3"/>
  <c r="B415" i="3"/>
  <c r="C415" i="3"/>
  <c r="D415" i="3"/>
  <c r="E415" i="3"/>
  <c r="F415" i="3"/>
  <c r="G415" i="3"/>
  <c r="H415" i="3"/>
  <c r="I415" i="3"/>
  <c r="J415" i="3"/>
  <c r="B416" i="3"/>
  <c r="C416" i="3"/>
  <c r="D416" i="3"/>
  <c r="E416" i="3"/>
  <c r="F416" i="3"/>
  <c r="G416" i="3"/>
  <c r="H416" i="3"/>
  <c r="I416" i="3"/>
  <c r="J416" i="3"/>
  <c r="B417" i="3"/>
  <c r="C417" i="3"/>
  <c r="D417" i="3"/>
  <c r="E417" i="3"/>
  <c r="F417" i="3"/>
  <c r="G417" i="3"/>
  <c r="H417" i="3"/>
  <c r="I417" i="3"/>
  <c r="J417" i="3"/>
  <c r="B418" i="3"/>
  <c r="C418" i="3"/>
  <c r="D418" i="3"/>
  <c r="E418" i="3"/>
  <c r="F418" i="3"/>
  <c r="G418" i="3"/>
  <c r="H418" i="3"/>
  <c r="I418" i="3"/>
  <c r="J418" i="3"/>
  <c r="B419" i="3"/>
  <c r="C419" i="3"/>
  <c r="D419" i="3"/>
  <c r="E419" i="3"/>
  <c r="F419" i="3"/>
  <c r="G419" i="3"/>
  <c r="H419" i="3"/>
  <c r="I419" i="3"/>
  <c r="J419" i="3"/>
  <c r="B420" i="3"/>
  <c r="C420" i="3"/>
  <c r="D420" i="3"/>
  <c r="E420" i="3"/>
  <c r="F420" i="3"/>
  <c r="G420" i="3"/>
  <c r="H420" i="3"/>
  <c r="I420" i="3"/>
  <c r="J420" i="3"/>
  <c r="B421" i="3"/>
  <c r="C421" i="3"/>
  <c r="D421" i="3"/>
  <c r="E421" i="3"/>
  <c r="F421" i="3"/>
  <c r="G421" i="3"/>
  <c r="H421" i="3"/>
  <c r="I421" i="3"/>
  <c r="J421" i="3"/>
  <c r="B422" i="3"/>
  <c r="C422" i="3"/>
  <c r="D422" i="3"/>
  <c r="E422" i="3"/>
  <c r="F422" i="3"/>
  <c r="G422" i="3"/>
  <c r="H422" i="3"/>
  <c r="I422" i="3"/>
  <c r="J422" i="3"/>
  <c r="B423" i="3"/>
  <c r="C423" i="3"/>
  <c r="D423" i="3"/>
  <c r="E423" i="3"/>
  <c r="F423" i="3"/>
  <c r="G423" i="3"/>
  <c r="H423" i="3"/>
  <c r="I423" i="3"/>
  <c r="J423" i="3"/>
  <c r="B424" i="3"/>
  <c r="C424" i="3"/>
  <c r="D424" i="3"/>
  <c r="E424" i="3"/>
  <c r="F424" i="3"/>
  <c r="G424" i="3"/>
  <c r="H424" i="3"/>
  <c r="I424" i="3"/>
  <c r="J424" i="3"/>
  <c r="B425" i="3"/>
  <c r="C425" i="3"/>
  <c r="D425" i="3"/>
  <c r="E425" i="3"/>
  <c r="F425" i="3"/>
  <c r="G425" i="3"/>
  <c r="H425" i="3"/>
  <c r="I425" i="3"/>
  <c r="J425" i="3"/>
  <c r="B426" i="3"/>
  <c r="C426" i="3"/>
  <c r="D426" i="3"/>
  <c r="E426" i="3"/>
  <c r="F426" i="3"/>
  <c r="G426" i="3"/>
  <c r="H426" i="3"/>
  <c r="I426" i="3"/>
  <c r="J426" i="3"/>
  <c r="B427" i="3"/>
  <c r="C427" i="3"/>
  <c r="D427" i="3"/>
  <c r="E427" i="3"/>
  <c r="F427" i="3"/>
  <c r="G427" i="3"/>
  <c r="H427" i="3"/>
  <c r="I427" i="3"/>
  <c r="J427" i="3"/>
  <c r="B428" i="3"/>
  <c r="C428" i="3"/>
  <c r="D428" i="3"/>
  <c r="E428" i="3"/>
  <c r="F428" i="3"/>
  <c r="G428" i="3"/>
  <c r="H428" i="3"/>
  <c r="I428" i="3"/>
  <c r="J428" i="3"/>
  <c r="B429" i="3"/>
  <c r="C429" i="3"/>
  <c r="D429" i="3"/>
  <c r="E429" i="3"/>
  <c r="F429" i="3"/>
  <c r="G429" i="3"/>
  <c r="H429" i="3"/>
  <c r="I429" i="3"/>
  <c r="J429" i="3"/>
  <c r="B430" i="3"/>
  <c r="C430" i="3"/>
  <c r="D430" i="3"/>
  <c r="E430" i="3"/>
  <c r="F430" i="3"/>
  <c r="G430" i="3"/>
  <c r="H430" i="3"/>
  <c r="I430" i="3"/>
  <c r="J430" i="3"/>
  <c r="B431" i="3"/>
  <c r="C431" i="3"/>
  <c r="D431" i="3"/>
  <c r="E431" i="3"/>
  <c r="F431" i="3"/>
  <c r="G431" i="3"/>
  <c r="H431" i="3"/>
  <c r="I431" i="3"/>
  <c r="J431" i="3"/>
  <c r="B432" i="3"/>
  <c r="C432" i="3"/>
  <c r="D432" i="3"/>
  <c r="E432" i="3"/>
  <c r="F432" i="3"/>
  <c r="G432" i="3"/>
  <c r="H432" i="3"/>
  <c r="I432" i="3"/>
  <c r="J432" i="3"/>
  <c r="B433" i="3"/>
  <c r="C433" i="3"/>
  <c r="D433" i="3"/>
  <c r="E433" i="3"/>
  <c r="F433" i="3"/>
  <c r="G433" i="3"/>
  <c r="H433" i="3"/>
  <c r="I433" i="3"/>
  <c r="J433" i="3"/>
  <c r="B434" i="3"/>
  <c r="C434" i="3"/>
  <c r="D434" i="3"/>
  <c r="E434" i="3"/>
  <c r="F434" i="3"/>
  <c r="G434" i="3"/>
  <c r="H434" i="3"/>
  <c r="I434" i="3"/>
  <c r="J434" i="3"/>
  <c r="B435" i="3"/>
  <c r="C435" i="3"/>
  <c r="D435" i="3"/>
  <c r="E435" i="3"/>
  <c r="F435" i="3"/>
  <c r="G435" i="3"/>
  <c r="H435" i="3"/>
  <c r="I435" i="3"/>
  <c r="J435" i="3"/>
  <c r="B436" i="3"/>
  <c r="C436" i="3"/>
  <c r="D436" i="3"/>
  <c r="E436" i="3"/>
  <c r="F436" i="3"/>
  <c r="G436" i="3"/>
  <c r="H436" i="3"/>
  <c r="I436" i="3"/>
  <c r="J436" i="3"/>
  <c r="B437" i="3"/>
  <c r="C437" i="3"/>
  <c r="D437" i="3"/>
  <c r="E437" i="3"/>
  <c r="F437" i="3"/>
  <c r="G437" i="3"/>
  <c r="H437" i="3"/>
  <c r="I437" i="3"/>
  <c r="J437" i="3"/>
  <c r="B438" i="3"/>
  <c r="C438" i="3"/>
  <c r="D438" i="3"/>
  <c r="E438" i="3"/>
  <c r="F438" i="3"/>
  <c r="G438" i="3"/>
  <c r="H438" i="3"/>
  <c r="I438" i="3"/>
  <c r="J438" i="3"/>
  <c r="B439" i="3"/>
  <c r="C439" i="3"/>
  <c r="D439" i="3"/>
  <c r="E439" i="3"/>
  <c r="F439" i="3"/>
  <c r="G439" i="3"/>
  <c r="H439" i="3"/>
  <c r="I439" i="3"/>
  <c r="J439" i="3"/>
  <c r="B440" i="3"/>
  <c r="C440" i="3"/>
  <c r="D440" i="3"/>
  <c r="E440" i="3"/>
  <c r="F440" i="3"/>
  <c r="G440" i="3"/>
  <c r="H440" i="3"/>
  <c r="I440" i="3"/>
  <c r="J440" i="3"/>
  <c r="B441" i="3"/>
  <c r="C441" i="3"/>
  <c r="D441" i="3"/>
  <c r="E441" i="3"/>
  <c r="F441" i="3"/>
  <c r="G441" i="3"/>
  <c r="H441" i="3"/>
  <c r="I441" i="3"/>
  <c r="J441" i="3"/>
  <c r="B442" i="3"/>
  <c r="C442" i="3"/>
  <c r="D442" i="3"/>
  <c r="E442" i="3"/>
  <c r="F442" i="3"/>
  <c r="G442" i="3"/>
  <c r="H442" i="3"/>
  <c r="I442" i="3"/>
  <c r="J442" i="3"/>
  <c r="B443" i="3"/>
  <c r="C443" i="3"/>
  <c r="D443" i="3"/>
  <c r="E443" i="3"/>
  <c r="F443" i="3"/>
  <c r="G443" i="3"/>
  <c r="H443" i="3"/>
  <c r="I443" i="3"/>
  <c r="J443" i="3"/>
  <c r="B444" i="3"/>
  <c r="C444" i="3"/>
  <c r="D444" i="3"/>
  <c r="E444" i="3"/>
  <c r="F444" i="3"/>
  <c r="G444" i="3"/>
  <c r="H444" i="3"/>
  <c r="I444" i="3"/>
  <c r="J444" i="3"/>
  <c r="B445" i="3"/>
  <c r="C445" i="3"/>
  <c r="D445" i="3"/>
  <c r="E445" i="3"/>
  <c r="F445" i="3"/>
  <c r="G445" i="3"/>
  <c r="H445" i="3"/>
  <c r="I445" i="3"/>
  <c r="J445" i="3"/>
  <c r="B446" i="3"/>
  <c r="C446" i="3"/>
  <c r="D446" i="3"/>
  <c r="E446" i="3"/>
  <c r="F446" i="3"/>
  <c r="G446" i="3"/>
  <c r="H446" i="3"/>
  <c r="I446" i="3"/>
  <c r="J446" i="3"/>
  <c r="B447" i="3"/>
  <c r="C447" i="3"/>
  <c r="D447" i="3"/>
  <c r="E447" i="3"/>
  <c r="F447" i="3"/>
  <c r="G447" i="3"/>
  <c r="H447" i="3"/>
  <c r="I447" i="3"/>
  <c r="J447" i="3"/>
  <c r="B448" i="3"/>
  <c r="C448" i="3"/>
  <c r="D448" i="3"/>
  <c r="E448" i="3"/>
  <c r="F448" i="3"/>
  <c r="G448" i="3"/>
  <c r="H448" i="3"/>
  <c r="I448" i="3"/>
  <c r="J448" i="3"/>
  <c r="B449" i="3"/>
  <c r="C449" i="3"/>
  <c r="D449" i="3"/>
  <c r="E449" i="3"/>
  <c r="F449" i="3"/>
  <c r="G449" i="3"/>
  <c r="H449" i="3"/>
  <c r="I449" i="3"/>
  <c r="J449" i="3"/>
  <c r="B450" i="3"/>
  <c r="C450" i="3"/>
  <c r="D450" i="3"/>
  <c r="E450" i="3"/>
  <c r="F450" i="3"/>
  <c r="G450" i="3"/>
  <c r="H450" i="3"/>
  <c r="I450" i="3"/>
  <c r="J450" i="3"/>
  <c r="B451" i="3"/>
  <c r="C451" i="3"/>
  <c r="D451" i="3"/>
  <c r="E451" i="3"/>
  <c r="F451" i="3"/>
  <c r="G451" i="3"/>
  <c r="H451" i="3"/>
  <c r="I451" i="3"/>
  <c r="J451" i="3"/>
  <c r="B452" i="3"/>
  <c r="C452" i="3"/>
  <c r="D452" i="3"/>
  <c r="E452" i="3"/>
  <c r="F452" i="3"/>
  <c r="G452" i="3"/>
  <c r="H452" i="3"/>
  <c r="I452" i="3"/>
  <c r="J452" i="3"/>
  <c r="B453" i="3"/>
  <c r="C453" i="3"/>
  <c r="D453" i="3"/>
  <c r="E453" i="3"/>
  <c r="F453" i="3"/>
  <c r="G453" i="3"/>
  <c r="H453" i="3"/>
  <c r="I453" i="3"/>
  <c r="J453" i="3"/>
  <c r="B454" i="3"/>
  <c r="C454" i="3"/>
  <c r="D454" i="3"/>
  <c r="E454" i="3"/>
  <c r="F454" i="3"/>
  <c r="G454" i="3"/>
  <c r="H454" i="3"/>
  <c r="I454" i="3"/>
  <c r="J454" i="3"/>
  <c r="B455" i="3"/>
  <c r="C455" i="3"/>
  <c r="D455" i="3"/>
  <c r="E455" i="3"/>
  <c r="F455" i="3"/>
  <c r="G455" i="3"/>
  <c r="H455" i="3"/>
  <c r="I455" i="3"/>
  <c r="J455" i="3"/>
  <c r="B456" i="3"/>
  <c r="C456" i="3"/>
  <c r="D456" i="3"/>
  <c r="E456" i="3"/>
  <c r="F456" i="3"/>
  <c r="G456" i="3"/>
  <c r="H456" i="3"/>
  <c r="I456" i="3"/>
  <c r="J456" i="3"/>
  <c r="B457" i="3"/>
  <c r="C457" i="3"/>
  <c r="D457" i="3"/>
  <c r="E457" i="3"/>
  <c r="F457" i="3"/>
  <c r="G457" i="3"/>
  <c r="H457" i="3"/>
  <c r="I457" i="3"/>
  <c r="J457" i="3"/>
  <c r="B458" i="3"/>
  <c r="C458" i="3"/>
  <c r="D458" i="3"/>
  <c r="E458" i="3"/>
  <c r="F458" i="3"/>
  <c r="G458" i="3"/>
  <c r="H458" i="3"/>
  <c r="I458" i="3"/>
  <c r="J458" i="3"/>
  <c r="B459" i="3"/>
  <c r="C459" i="3"/>
  <c r="D459" i="3"/>
  <c r="E459" i="3"/>
  <c r="F459" i="3"/>
  <c r="G459" i="3"/>
  <c r="H459" i="3"/>
  <c r="I459" i="3"/>
  <c r="J459" i="3"/>
  <c r="J1094" i="3" s="1"/>
  <c r="B460" i="3"/>
  <c r="C460" i="3"/>
  <c r="D460" i="3"/>
  <c r="E460" i="3"/>
  <c r="F460" i="3"/>
  <c r="G460" i="3"/>
  <c r="H460" i="3"/>
  <c r="I460" i="3"/>
  <c r="J460" i="3"/>
  <c r="B461" i="3"/>
  <c r="C461" i="3"/>
  <c r="D461" i="3"/>
  <c r="E461" i="3"/>
  <c r="F461" i="3"/>
  <c r="G461" i="3"/>
  <c r="H461" i="3"/>
  <c r="I461" i="3"/>
  <c r="J461" i="3"/>
  <c r="B462" i="3"/>
  <c r="C462" i="3"/>
  <c r="D462" i="3"/>
  <c r="E462" i="3"/>
  <c r="F462" i="3"/>
  <c r="G462" i="3"/>
  <c r="H462" i="3"/>
  <c r="I462" i="3"/>
  <c r="J462" i="3"/>
  <c r="B463" i="3"/>
  <c r="C463" i="3"/>
  <c r="D463" i="3"/>
  <c r="E463" i="3"/>
  <c r="F463" i="3"/>
  <c r="G463" i="3"/>
  <c r="H463" i="3"/>
  <c r="I463" i="3"/>
  <c r="J463" i="3"/>
  <c r="B464" i="3"/>
  <c r="C464" i="3"/>
  <c r="D464" i="3"/>
  <c r="E464" i="3"/>
  <c r="F464" i="3"/>
  <c r="G464" i="3"/>
  <c r="H464" i="3"/>
  <c r="I464" i="3"/>
  <c r="J464" i="3"/>
  <c r="B465" i="3"/>
  <c r="C465" i="3"/>
  <c r="D465" i="3"/>
  <c r="E465" i="3"/>
  <c r="F465" i="3"/>
  <c r="G465" i="3"/>
  <c r="H465" i="3"/>
  <c r="I465" i="3"/>
  <c r="J465" i="3"/>
  <c r="B466" i="3"/>
  <c r="C466" i="3"/>
  <c r="D466" i="3"/>
  <c r="E466" i="3"/>
  <c r="F466" i="3"/>
  <c r="G466" i="3"/>
  <c r="H466" i="3"/>
  <c r="I466" i="3"/>
  <c r="J466" i="3"/>
  <c r="B467" i="3"/>
  <c r="C467" i="3"/>
  <c r="D467" i="3"/>
  <c r="E467" i="3"/>
  <c r="F467" i="3"/>
  <c r="G467" i="3"/>
  <c r="H467" i="3"/>
  <c r="I467" i="3"/>
  <c r="J467" i="3"/>
  <c r="B468" i="3"/>
  <c r="C468" i="3"/>
  <c r="D468" i="3"/>
  <c r="E468" i="3"/>
  <c r="F468" i="3"/>
  <c r="G468" i="3"/>
  <c r="H468" i="3"/>
  <c r="I468" i="3"/>
  <c r="J468" i="3"/>
  <c r="B469" i="3"/>
  <c r="C469" i="3"/>
  <c r="D469" i="3"/>
  <c r="E469" i="3"/>
  <c r="F469" i="3"/>
  <c r="G469" i="3"/>
  <c r="H469" i="3"/>
  <c r="I469" i="3"/>
  <c r="J469" i="3"/>
  <c r="B470" i="3"/>
  <c r="C470" i="3"/>
  <c r="D470" i="3"/>
  <c r="E470" i="3"/>
  <c r="F470" i="3"/>
  <c r="G470" i="3"/>
  <c r="H470" i="3"/>
  <c r="I470" i="3"/>
  <c r="J470" i="3"/>
  <c r="B471" i="3"/>
  <c r="C471" i="3"/>
  <c r="D471" i="3"/>
  <c r="E471" i="3"/>
  <c r="F471" i="3"/>
  <c r="G471" i="3"/>
  <c r="H471" i="3"/>
  <c r="I471" i="3"/>
  <c r="J471" i="3"/>
  <c r="B472" i="3"/>
  <c r="C472" i="3"/>
  <c r="D472" i="3"/>
  <c r="E472" i="3"/>
  <c r="F472" i="3"/>
  <c r="G472" i="3"/>
  <c r="H472" i="3"/>
  <c r="I472" i="3"/>
  <c r="J472" i="3"/>
  <c r="B473" i="3"/>
  <c r="C473" i="3"/>
  <c r="D473" i="3"/>
  <c r="E473" i="3"/>
  <c r="F473" i="3"/>
  <c r="G473" i="3"/>
  <c r="H473" i="3"/>
  <c r="I473" i="3"/>
  <c r="J473" i="3"/>
  <c r="B474" i="3"/>
  <c r="C474" i="3"/>
  <c r="D474" i="3"/>
  <c r="E474" i="3"/>
  <c r="F474" i="3"/>
  <c r="G474" i="3"/>
  <c r="H474" i="3"/>
  <c r="I474" i="3"/>
  <c r="J474" i="3"/>
  <c r="B475" i="3"/>
  <c r="C475" i="3"/>
  <c r="D475" i="3"/>
  <c r="E475" i="3"/>
  <c r="F475" i="3"/>
  <c r="G475" i="3"/>
  <c r="H475" i="3"/>
  <c r="I475" i="3"/>
  <c r="J475" i="3"/>
  <c r="B476" i="3"/>
  <c r="C476" i="3"/>
  <c r="D476" i="3"/>
  <c r="E476" i="3"/>
  <c r="F476" i="3"/>
  <c r="G476" i="3"/>
  <c r="H476" i="3"/>
  <c r="I476" i="3"/>
  <c r="J476" i="3"/>
  <c r="B477" i="3"/>
  <c r="C477" i="3"/>
  <c r="D477" i="3"/>
  <c r="E477" i="3"/>
  <c r="F477" i="3"/>
  <c r="G477" i="3"/>
  <c r="H477" i="3"/>
  <c r="I477" i="3"/>
  <c r="J477" i="3"/>
  <c r="B478" i="3"/>
  <c r="C478" i="3"/>
  <c r="D478" i="3"/>
  <c r="E478" i="3"/>
  <c r="F478" i="3"/>
  <c r="G478" i="3"/>
  <c r="H478" i="3"/>
  <c r="I478" i="3"/>
  <c r="J478" i="3"/>
  <c r="B479" i="3"/>
  <c r="C479" i="3"/>
  <c r="D479" i="3"/>
  <c r="E479" i="3"/>
  <c r="F479" i="3"/>
  <c r="G479" i="3"/>
  <c r="H479" i="3"/>
  <c r="I479" i="3"/>
  <c r="J479" i="3"/>
  <c r="B480" i="3"/>
  <c r="C480" i="3"/>
  <c r="D480" i="3"/>
  <c r="E480" i="3"/>
  <c r="F480" i="3"/>
  <c r="G480" i="3"/>
  <c r="H480" i="3"/>
  <c r="I480" i="3"/>
  <c r="J480" i="3"/>
  <c r="B481" i="3"/>
  <c r="C481" i="3"/>
  <c r="D481" i="3"/>
  <c r="E481" i="3"/>
  <c r="F481" i="3"/>
  <c r="G481" i="3"/>
  <c r="H481" i="3"/>
  <c r="I481" i="3"/>
  <c r="J481" i="3"/>
  <c r="B482" i="3"/>
  <c r="C482" i="3"/>
  <c r="D482" i="3"/>
  <c r="E482" i="3"/>
  <c r="F482" i="3"/>
  <c r="G482" i="3"/>
  <c r="H482" i="3"/>
  <c r="I482" i="3"/>
  <c r="J482" i="3"/>
  <c r="B483" i="3"/>
  <c r="C483" i="3"/>
  <c r="D483" i="3"/>
  <c r="E483" i="3"/>
  <c r="F483" i="3"/>
  <c r="G483" i="3"/>
  <c r="H483" i="3"/>
  <c r="I483" i="3"/>
  <c r="J483" i="3"/>
  <c r="B484" i="3"/>
  <c r="C484" i="3"/>
  <c r="D484" i="3"/>
  <c r="E484" i="3"/>
  <c r="F484" i="3"/>
  <c r="G484" i="3"/>
  <c r="H484" i="3"/>
  <c r="I484" i="3"/>
  <c r="J484" i="3"/>
  <c r="B485" i="3"/>
  <c r="C485" i="3"/>
  <c r="D485" i="3"/>
  <c r="E485" i="3"/>
  <c r="F485" i="3"/>
  <c r="G485" i="3"/>
  <c r="H485" i="3"/>
  <c r="I485" i="3"/>
  <c r="J485" i="3"/>
  <c r="B486" i="3"/>
  <c r="C486" i="3"/>
  <c r="D486" i="3"/>
  <c r="E486" i="3"/>
  <c r="F486" i="3"/>
  <c r="G486" i="3"/>
  <c r="H486" i="3"/>
  <c r="I486" i="3"/>
  <c r="J486" i="3"/>
  <c r="B487" i="3"/>
  <c r="C487" i="3"/>
  <c r="D487" i="3"/>
  <c r="E487" i="3"/>
  <c r="F487" i="3"/>
  <c r="G487" i="3"/>
  <c r="H487" i="3"/>
  <c r="I487" i="3"/>
  <c r="J487" i="3"/>
  <c r="B488" i="3"/>
  <c r="C488" i="3"/>
  <c r="D488" i="3"/>
  <c r="E488" i="3"/>
  <c r="F488" i="3"/>
  <c r="G488" i="3"/>
  <c r="H488" i="3"/>
  <c r="I488" i="3"/>
  <c r="J488" i="3"/>
  <c r="B489" i="3"/>
  <c r="C489" i="3"/>
  <c r="D489" i="3"/>
  <c r="E489" i="3"/>
  <c r="F489" i="3"/>
  <c r="G489" i="3"/>
  <c r="H489" i="3"/>
  <c r="I489" i="3"/>
  <c r="J489" i="3"/>
  <c r="B490" i="3"/>
  <c r="C490" i="3"/>
  <c r="D490" i="3"/>
  <c r="E490" i="3"/>
  <c r="F490" i="3"/>
  <c r="G490" i="3"/>
  <c r="H490" i="3"/>
  <c r="I490" i="3"/>
  <c r="J490" i="3"/>
  <c r="B491" i="3"/>
  <c r="C491" i="3"/>
  <c r="D491" i="3"/>
  <c r="E491" i="3"/>
  <c r="F491" i="3"/>
  <c r="G491" i="3"/>
  <c r="H491" i="3"/>
  <c r="I491" i="3"/>
  <c r="J491" i="3"/>
  <c r="B492" i="3"/>
  <c r="C492" i="3"/>
  <c r="D492" i="3"/>
  <c r="E492" i="3"/>
  <c r="F492" i="3"/>
  <c r="G492" i="3"/>
  <c r="H492" i="3"/>
  <c r="I492" i="3"/>
  <c r="J492" i="3"/>
  <c r="B493" i="3"/>
  <c r="C493" i="3"/>
  <c r="D493" i="3"/>
  <c r="E493" i="3"/>
  <c r="F493" i="3"/>
  <c r="G493" i="3"/>
  <c r="H493" i="3"/>
  <c r="I493" i="3"/>
  <c r="J493" i="3"/>
  <c r="B494" i="3"/>
  <c r="C494" i="3"/>
  <c r="D494" i="3"/>
  <c r="E494" i="3"/>
  <c r="F494" i="3"/>
  <c r="G494" i="3"/>
  <c r="H494" i="3"/>
  <c r="I494" i="3"/>
  <c r="J494" i="3"/>
  <c r="B495" i="3"/>
  <c r="C495" i="3"/>
  <c r="D495" i="3"/>
  <c r="E495" i="3"/>
  <c r="F495" i="3"/>
  <c r="G495" i="3"/>
  <c r="H495" i="3"/>
  <c r="I495" i="3"/>
  <c r="J495" i="3"/>
  <c r="B496" i="3"/>
  <c r="C496" i="3"/>
  <c r="D496" i="3"/>
  <c r="E496" i="3"/>
  <c r="F496" i="3"/>
  <c r="G496" i="3"/>
  <c r="H496" i="3"/>
  <c r="I496" i="3"/>
  <c r="J496" i="3"/>
  <c r="B497" i="3"/>
  <c r="C497" i="3"/>
  <c r="D497" i="3"/>
  <c r="E497" i="3"/>
  <c r="F497" i="3"/>
  <c r="G497" i="3"/>
  <c r="H497" i="3"/>
  <c r="I497" i="3"/>
  <c r="J497" i="3"/>
  <c r="B498" i="3"/>
  <c r="C498" i="3"/>
  <c r="D498" i="3"/>
  <c r="E498" i="3"/>
  <c r="F498" i="3"/>
  <c r="G498" i="3"/>
  <c r="H498" i="3"/>
  <c r="I498" i="3"/>
  <c r="J498" i="3"/>
  <c r="B499" i="3"/>
  <c r="C499" i="3"/>
  <c r="D499" i="3"/>
  <c r="E499" i="3"/>
  <c r="F499" i="3"/>
  <c r="G499" i="3"/>
  <c r="H499" i="3"/>
  <c r="I499" i="3"/>
  <c r="J499" i="3"/>
  <c r="B500" i="3"/>
  <c r="C500" i="3"/>
  <c r="D500" i="3"/>
  <c r="E500" i="3"/>
  <c r="F500" i="3"/>
  <c r="G500" i="3"/>
  <c r="H500" i="3"/>
  <c r="I500" i="3"/>
  <c r="J500" i="3"/>
  <c r="B501" i="3"/>
  <c r="C501" i="3"/>
  <c r="D501" i="3"/>
  <c r="E501" i="3"/>
  <c r="F501" i="3"/>
  <c r="G501" i="3"/>
  <c r="H501" i="3"/>
  <c r="I501" i="3"/>
  <c r="J501" i="3"/>
  <c r="B502" i="3"/>
  <c r="C502" i="3"/>
  <c r="D502" i="3"/>
  <c r="E502" i="3"/>
  <c r="F502" i="3"/>
  <c r="G502" i="3"/>
  <c r="H502" i="3"/>
  <c r="I502" i="3"/>
  <c r="J502" i="3"/>
  <c r="B503" i="3"/>
  <c r="C503" i="3"/>
  <c r="D503" i="3"/>
  <c r="E503" i="3"/>
  <c r="F503" i="3"/>
  <c r="G503" i="3"/>
  <c r="H503" i="3"/>
  <c r="I503" i="3"/>
  <c r="J503" i="3"/>
  <c r="B504" i="3"/>
  <c r="C504" i="3"/>
  <c r="D504" i="3"/>
  <c r="E504" i="3"/>
  <c r="F504" i="3"/>
  <c r="G504" i="3"/>
  <c r="H504" i="3"/>
  <c r="I504" i="3"/>
  <c r="J504" i="3"/>
  <c r="B505" i="3"/>
  <c r="C505" i="3"/>
  <c r="D505" i="3"/>
  <c r="E505" i="3"/>
  <c r="F505" i="3"/>
  <c r="G505" i="3"/>
  <c r="H505" i="3"/>
  <c r="I505" i="3"/>
  <c r="J505" i="3"/>
  <c r="B506" i="3"/>
  <c r="C506" i="3"/>
  <c r="D506" i="3"/>
  <c r="E506" i="3"/>
  <c r="F506" i="3"/>
  <c r="G506" i="3"/>
  <c r="H506" i="3"/>
  <c r="I506" i="3"/>
  <c r="J506" i="3"/>
  <c r="B507" i="3"/>
  <c r="C507" i="3"/>
  <c r="D507" i="3"/>
  <c r="E507" i="3"/>
  <c r="F507" i="3"/>
  <c r="G507" i="3"/>
  <c r="H507" i="3"/>
  <c r="I507" i="3"/>
  <c r="J507" i="3"/>
  <c r="J1098" i="3" s="1"/>
  <c r="B508" i="3"/>
  <c r="C508" i="3"/>
  <c r="D508" i="3"/>
  <c r="E508" i="3"/>
  <c r="F508" i="3"/>
  <c r="G508" i="3"/>
  <c r="H508" i="3"/>
  <c r="I508" i="3"/>
  <c r="J508" i="3"/>
  <c r="B509" i="3"/>
  <c r="C509" i="3"/>
  <c r="D509" i="3"/>
  <c r="E509" i="3"/>
  <c r="F509" i="3"/>
  <c r="G509" i="3"/>
  <c r="H509" i="3"/>
  <c r="I509" i="3"/>
  <c r="J509" i="3"/>
  <c r="B510" i="3"/>
  <c r="C510" i="3"/>
  <c r="D510" i="3"/>
  <c r="E510" i="3"/>
  <c r="F510" i="3"/>
  <c r="G510" i="3"/>
  <c r="H510" i="3"/>
  <c r="I510" i="3"/>
  <c r="J510" i="3"/>
  <c r="B511" i="3"/>
  <c r="C511" i="3"/>
  <c r="D511" i="3"/>
  <c r="E511" i="3"/>
  <c r="F511" i="3"/>
  <c r="G511" i="3"/>
  <c r="H511" i="3"/>
  <c r="I511" i="3"/>
  <c r="J511" i="3"/>
  <c r="B512" i="3"/>
  <c r="C512" i="3"/>
  <c r="D512" i="3"/>
  <c r="E512" i="3"/>
  <c r="F512" i="3"/>
  <c r="G512" i="3"/>
  <c r="H512" i="3"/>
  <c r="I512" i="3"/>
  <c r="J512" i="3"/>
  <c r="B513" i="3"/>
  <c r="C513" i="3"/>
  <c r="D513" i="3"/>
  <c r="E513" i="3"/>
  <c r="F513" i="3"/>
  <c r="G513" i="3"/>
  <c r="H513" i="3"/>
  <c r="I513" i="3"/>
  <c r="J513" i="3"/>
  <c r="B514" i="3"/>
  <c r="C514" i="3"/>
  <c r="D514" i="3"/>
  <c r="E514" i="3"/>
  <c r="F514" i="3"/>
  <c r="G514" i="3"/>
  <c r="H514" i="3"/>
  <c r="I514" i="3"/>
  <c r="J514" i="3"/>
  <c r="B515" i="3"/>
  <c r="C515" i="3"/>
  <c r="D515" i="3"/>
  <c r="E515" i="3"/>
  <c r="F515" i="3"/>
  <c r="G515" i="3"/>
  <c r="H515" i="3"/>
  <c r="I515" i="3"/>
  <c r="J515" i="3"/>
  <c r="B516" i="3"/>
  <c r="C516" i="3"/>
  <c r="D516" i="3"/>
  <c r="E516" i="3"/>
  <c r="F516" i="3"/>
  <c r="G516" i="3"/>
  <c r="H516" i="3"/>
  <c r="I516" i="3"/>
  <c r="J516" i="3"/>
  <c r="B517" i="3"/>
  <c r="C517" i="3"/>
  <c r="D517" i="3"/>
  <c r="E517" i="3"/>
  <c r="F517" i="3"/>
  <c r="G517" i="3"/>
  <c r="H517" i="3"/>
  <c r="I517" i="3"/>
  <c r="J517" i="3"/>
  <c r="B518" i="3"/>
  <c r="C518" i="3"/>
  <c r="D518" i="3"/>
  <c r="E518" i="3"/>
  <c r="F518" i="3"/>
  <c r="G518" i="3"/>
  <c r="H518" i="3"/>
  <c r="I518" i="3"/>
  <c r="J518" i="3"/>
  <c r="B519" i="3"/>
  <c r="C519" i="3"/>
  <c r="D519" i="3"/>
  <c r="E519" i="3"/>
  <c r="F519" i="3"/>
  <c r="G519" i="3"/>
  <c r="H519" i="3"/>
  <c r="I519" i="3"/>
  <c r="J519" i="3"/>
  <c r="B520" i="3"/>
  <c r="C520" i="3"/>
  <c r="D520" i="3"/>
  <c r="E520" i="3"/>
  <c r="F520" i="3"/>
  <c r="G520" i="3"/>
  <c r="H520" i="3"/>
  <c r="I520" i="3"/>
  <c r="J520" i="3"/>
  <c r="B521" i="3"/>
  <c r="C521" i="3"/>
  <c r="D521" i="3"/>
  <c r="E521" i="3"/>
  <c r="F521" i="3"/>
  <c r="G521" i="3"/>
  <c r="H521" i="3"/>
  <c r="I521" i="3"/>
  <c r="J521" i="3"/>
  <c r="B522" i="3"/>
  <c r="C522" i="3"/>
  <c r="D522" i="3"/>
  <c r="E522" i="3"/>
  <c r="F522" i="3"/>
  <c r="G522" i="3"/>
  <c r="H522" i="3"/>
  <c r="I522" i="3"/>
  <c r="J522" i="3"/>
  <c r="B523" i="3"/>
  <c r="C523" i="3"/>
  <c r="D523" i="3"/>
  <c r="E523" i="3"/>
  <c r="F523" i="3"/>
  <c r="G523" i="3"/>
  <c r="H523" i="3"/>
  <c r="I523" i="3"/>
  <c r="J523" i="3"/>
  <c r="B524" i="3"/>
  <c r="C524" i="3"/>
  <c r="D524" i="3"/>
  <c r="E524" i="3"/>
  <c r="F524" i="3"/>
  <c r="G524" i="3"/>
  <c r="H524" i="3"/>
  <c r="I524" i="3"/>
  <c r="J524" i="3"/>
  <c r="B525" i="3"/>
  <c r="C525" i="3"/>
  <c r="D525" i="3"/>
  <c r="E525" i="3"/>
  <c r="F525" i="3"/>
  <c r="G525" i="3"/>
  <c r="H525" i="3"/>
  <c r="I525" i="3"/>
  <c r="J525" i="3"/>
  <c r="B526" i="3"/>
  <c r="C526" i="3"/>
  <c r="D526" i="3"/>
  <c r="E526" i="3"/>
  <c r="F526" i="3"/>
  <c r="G526" i="3"/>
  <c r="H526" i="3"/>
  <c r="I526" i="3"/>
  <c r="J526" i="3"/>
  <c r="B527" i="3"/>
  <c r="C527" i="3"/>
  <c r="D527" i="3"/>
  <c r="E527" i="3"/>
  <c r="F527" i="3"/>
  <c r="G527" i="3"/>
  <c r="H527" i="3"/>
  <c r="I527" i="3"/>
  <c r="J527" i="3"/>
  <c r="B528" i="3"/>
  <c r="C528" i="3"/>
  <c r="D528" i="3"/>
  <c r="E528" i="3"/>
  <c r="F528" i="3"/>
  <c r="G528" i="3"/>
  <c r="H528" i="3"/>
  <c r="I528" i="3"/>
  <c r="J528" i="3"/>
  <c r="B529" i="3"/>
  <c r="C529" i="3"/>
  <c r="D529" i="3"/>
  <c r="E529" i="3"/>
  <c r="F529" i="3"/>
  <c r="G529" i="3"/>
  <c r="H529" i="3"/>
  <c r="I529" i="3"/>
  <c r="J529" i="3"/>
  <c r="B530" i="3"/>
  <c r="C530" i="3"/>
  <c r="D530" i="3"/>
  <c r="E530" i="3"/>
  <c r="F530" i="3"/>
  <c r="G530" i="3"/>
  <c r="H530" i="3"/>
  <c r="I530" i="3"/>
  <c r="J530" i="3"/>
  <c r="B531" i="3"/>
  <c r="C531" i="3"/>
  <c r="D531" i="3"/>
  <c r="E531" i="3"/>
  <c r="F531" i="3"/>
  <c r="G531" i="3"/>
  <c r="H531" i="3"/>
  <c r="I531" i="3"/>
  <c r="J531" i="3"/>
  <c r="B532" i="3"/>
  <c r="C532" i="3"/>
  <c r="D532" i="3"/>
  <c r="E532" i="3"/>
  <c r="F532" i="3"/>
  <c r="G532" i="3"/>
  <c r="H532" i="3"/>
  <c r="I532" i="3"/>
  <c r="J532" i="3"/>
  <c r="B533" i="3"/>
  <c r="C533" i="3"/>
  <c r="D533" i="3"/>
  <c r="E533" i="3"/>
  <c r="F533" i="3"/>
  <c r="G533" i="3"/>
  <c r="H533" i="3"/>
  <c r="I533" i="3"/>
  <c r="J533" i="3"/>
  <c r="B534" i="3"/>
  <c r="C534" i="3"/>
  <c r="D534" i="3"/>
  <c r="E534" i="3"/>
  <c r="F534" i="3"/>
  <c r="G534" i="3"/>
  <c r="H534" i="3"/>
  <c r="I534" i="3"/>
  <c r="J534" i="3"/>
  <c r="B535" i="3"/>
  <c r="C535" i="3"/>
  <c r="D535" i="3"/>
  <c r="E535" i="3"/>
  <c r="F535" i="3"/>
  <c r="G535" i="3"/>
  <c r="H535" i="3"/>
  <c r="I535" i="3"/>
  <c r="J535" i="3"/>
  <c r="B536" i="3"/>
  <c r="C536" i="3"/>
  <c r="D536" i="3"/>
  <c r="E536" i="3"/>
  <c r="F536" i="3"/>
  <c r="G536" i="3"/>
  <c r="H536" i="3"/>
  <c r="I536" i="3"/>
  <c r="J536" i="3"/>
  <c r="B537" i="3"/>
  <c r="C537" i="3"/>
  <c r="D537" i="3"/>
  <c r="E537" i="3"/>
  <c r="F537" i="3"/>
  <c r="G537" i="3"/>
  <c r="H537" i="3"/>
  <c r="I537" i="3"/>
  <c r="J537" i="3"/>
  <c r="B538" i="3"/>
  <c r="C538" i="3"/>
  <c r="D538" i="3"/>
  <c r="E538" i="3"/>
  <c r="F538" i="3"/>
  <c r="G538" i="3"/>
  <c r="H538" i="3"/>
  <c r="I538" i="3"/>
  <c r="J538" i="3"/>
  <c r="B539" i="3"/>
  <c r="C539" i="3"/>
  <c r="D539" i="3"/>
  <c r="E539" i="3"/>
  <c r="F539" i="3"/>
  <c r="G539" i="3"/>
  <c r="H539" i="3"/>
  <c r="I539" i="3"/>
  <c r="J539" i="3"/>
  <c r="B540" i="3"/>
  <c r="C540" i="3"/>
  <c r="D540" i="3"/>
  <c r="E540" i="3"/>
  <c r="F540" i="3"/>
  <c r="G540" i="3"/>
  <c r="H540" i="3"/>
  <c r="I540" i="3"/>
  <c r="J540" i="3"/>
  <c r="B541" i="3"/>
  <c r="C541" i="3"/>
  <c r="D541" i="3"/>
  <c r="E541" i="3"/>
  <c r="F541" i="3"/>
  <c r="G541" i="3"/>
  <c r="H541" i="3"/>
  <c r="I541" i="3"/>
  <c r="J541" i="3"/>
  <c r="B542" i="3"/>
  <c r="C542" i="3"/>
  <c r="D542" i="3"/>
  <c r="E542" i="3"/>
  <c r="F542" i="3"/>
  <c r="G542" i="3"/>
  <c r="H542" i="3"/>
  <c r="I542" i="3"/>
  <c r="J542" i="3"/>
  <c r="B543" i="3"/>
  <c r="C543" i="3"/>
  <c r="D543" i="3"/>
  <c r="E543" i="3"/>
  <c r="F543" i="3"/>
  <c r="G543" i="3"/>
  <c r="H543" i="3"/>
  <c r="I543" i="3"/>
  <c r="J543" i="3"/>
  <c r="B544" i="3"/>
  <c r="C544" i="3"/>
  <c r="D544" i="3"/>
  <c r="E544" i="3"/>
  <c r="F544" i="3"/>
  <c r="G544" i="3"/>
  <c r="H544" i="3"/>
  <c r="I544" i="3"/>
  <c r="J544" i="3"/>
  <c r="B545" i="3"/>
  <c r="C545" i="3"/>
  <c r="D545" i="3"/>
  <c r="E545" i="3"/>
  <c r="F545" i="3"/>
  <c r="G545" i="3"/>
  <c r="H545" i="3"/>
  <c r="I545" i="3"/>
  <c r="J545" i="3"/>
  <c r="B546" i="3"/>
  <c r="C546" i="3"/>
  <c r="D546" i="3"/>
  <c r="E546" i="3"/>
  <c r="F546" i="3"/>
  <c r="G546" i="3"/>
  <c r="H546" i="3"/>
  <c r="I546" i="3"/>
  <c r="J546" i="3"/>
  <c r="B547" i="3"/>
  <c r="C547" i="3"/>
  <c r="D547" i="3"/>
  <c r="E547" i="3"/>
  <c r="F547" i="3"/>
  <c r="G547" i="3"/>
  <c r="H547" i="3"/>
  <c r="I547" i="3"/>
  <c r="J547" i="3"/>
  <c r="B548" i="3"/>
  <c r="C548" i="3"/>
  <c r="D548" i="3"/>
  <c r="E548" i="3"/>
  <c r="F548" i="3"/>
  <c r="G548" i="3"/>
  <c r="H548" i="3"/>
  <c r="I548" i="3"/>
  <c r="J548" i="3"/>
  <c r="B549" i="3"/>
  <c r="C549" i="3"/>
  <c r="D549" i="3"/>
  <c r="E549" i="3"/>
  <c r="F549" i="3"/>
  <c r="G549" i="3"/>
  <c r="H549" i="3"/>
  <c r="I549" i="3"/>
  <c r="J549" i="3"/>
  <c r="B550" i="3"/>
  <c r="C550" i="3"/>
  <c r="D550" i="3"/>
  <c r="E550" i="3"/>
  <c r="F550" i="3"/>
  <c r="G550" i="3"/>
  <c r="H550" i="3"/>
  <c r="I550" i="3"/>
  <c r="J550" i="3"/>
  <c r="B551" i="3"/>
  <c r="C551" i="3"/>
  <c r="D551" i="3"/>
  <c r="E551" i="3"/>
  <c r="F551" i="3"/>
  <c r="G551" i="3"/>
  <c r="H551" i="3"/>
  <c r="I551" i="3"/>
  <c r="J551" i="3"/>
  <c r="B552" i="3"/>
  <c r="C552" i="3"/>
  <c r="D552" i="3"/>
  <c r="E552" i="3"/>
  <c r="F552" i="3"/>
  <c r="G552" i="3"/>
  <c r="H552" i="3"/>
  <c r="I552" i="3"/>
  <c r="J552" i="3"/>
  <c r="B553" i="3"/>
  <c r="C553" i="3"/>
  <c r="D553" i="3"/>
  <c r="E553" i="3"/>
  <c r="F553" i="3"/>
  <c r="G553" i="3"/>
  <c r="H553" i="3"/>
  <c r="I553" i="3"/>
  <c r="J553" i="3"/>
  <c r="B554" i="3"/>
  <c r="C554" i="3"/>
  <c r="D554" i="3"/>
  <c r="E554" i="3"/>
  <c r="F554" i="3"/>
  <c r="G554" i="3"/>
  <c r="H554" i="3"/>
  <c r="I554" i="3"/>
  <c r="J554" i="3"/>
  <c r="B555" i="3"/>
  <c r="C555" i="3"/>
  <c r="D555" i="3"/>
  <c r="E555" i="3"/>
  <c r="F555" i="3"/>
  <c r="G555" i="3"/>
  <c r="H555" i="3"/>
  <c r="I555" i="3"/>
  <c r="J555" i="3"/>
  <c r="J1102" i="3" s="1"/>
  <c r="B556" i="3"/>
  <c r="C556" i="3"/>
  <c r="D556" i="3"/>
  <c r="E556" i="3"/>
  <c r="F556" i="3"/>
  <c r="G556" i="3"/>
  <c r="H556" i="3"/>
  <c r="I556" i="3"/>
  <c r="J556" i="3"/>
  <c r="B557" i="3"/>
  <c r="C557" i="3"/>
  <c r="D557" i="3"/>
  <c r="E557" i="3"/>
  <c r="F557" i="3"/>
  <c r="G557" i="3"/>
  <c r="H557" i="3"/>
  <c r="I557" i="3"/>
  <c r="J557" i="3"/>
  <c r="B558" i="3"/>
  <c r="C558" i="3"/>
  <c r="D558" i="3"/>
  <c r="E558" i="3"/>
  <c r="F558" i="3"/>
  <c r="G558" i="3"/>
  <c r="H558" i="3"/>
  <c r="I558" i="3"/>
  <c r="J558" i="3"/>
  <c r="B559" i="3"/>
  <c r="C559" i="3"/>
  <c r="D559" i="3"/>
  <c r="E559" i="3"/>
  <c r="F559" i="3"/>
  <c r="G559" i="3"/>
  <c r="H559" i="3"/>
  <c r="I559" i="3"/>
  <c r="J559" i="3"/>
  <c r="B560" i="3"/>
  <c r="C560" i="3"/>
  <c r="D560" i="3"/>
  <c r="E560" i="3"/>
  <c r="F560" i="3"/>
  <c r="G560" i="3"/>
  <c r="H560" i="3"/>
  <c r="I560" i="3"/>
  <c r="J560" i="3"/>
  <c r="B561" i="3"/>
  <c r="C561" i="3"/>
  <c r="D561" i="3"/>
  <c r="E561" i="3"/>
  <c r="F561" i="3"/>
  <c r="G561" i="3"/>
  <c r="H561" i="3"/>
  <c r="I561" i="3"/>
  <c r="J561" i="3"/>
  <c r="B562" i="3"/>
  <c r="C562" i="3"/>
  <c r="D562" i="3"/>
  <c r="E562" i="3"/>
  <c r="F562" i="3"/>
  <c r="G562" i="3"/>
  <c r="H562" i="3"/>
  <c r="I562" i="3"/>
  <c r="J562" i="3"/>
  <c r="B563" i="3"/>
  <c r="C563" i="3"/>
  <c r="D563" i="3"/>
  <c r="E563" i="3"/>
  <c r="F563" i="3"/>
  <c r="G563" i="3"/>
  <c r="H563" i="3"/>
  <c r="I563" i="3"/>
  <c r="J563" i="3"/>
  <c r="B564" i="3"/>
  <c r="C564" i="3"/>
  <c r="D564" i="3"/>
  <c r="E564" i="3"/>
  <c r="F564" i="3"/>
  <c r="G564" i="3"/>
  <c r="H564" i="3"/>
  <c r="I564" i="3"/>
  <c r="J564" i="3"/>
  <c r="B565" i="3"/>
  <c r="C565" i="3"/>
  <c r="D565" i="3"/>
  <c r="E565" i="3"/>
  <c r="F565" i="3"/>
  <c r="G565" i="3"/>
  <c r="H565" i="3"/>
  <c r="I565" i="3"/>
  <c r="J565" i="3"/>
  <c r="B566" i="3"/>
  <c r="C566" i="3"/>
  <c r="D566" i="3"/>
  <c r="E566" i="3"/>
  <c r="F566" i="3"/>
  <c r="G566" i="3"/>
  <c r="H566" i="3"/>
  <c r="I566" i="3"/>
  <c r="J566" i="3"/>
  <c r="B567" i="3"/>
  <c r="C567" i="3"/>
  <c r="D567" i="3"/>
  <c r="E567" i="3"/>
  <c r="F567" i="3"/>
  <c r="G567" i="3"/>
  <c r="H567" i="3"/>
  <c r="I567" i="3"/>
  <c r="J567" i="3"/>
  <c r="B568" i="3"/>
  <c r="C568" i="3"/>
  <c r="D568" i="3"/>
  <c r="E568" i="3"/>
  <c r="F568" i="3"/>
  <c r="G568" i="3"/>
  <c r="H568" i="3"/>
  <c r="I568" i="3"/>
  <c r="J568" i="3"/>
  <c r="B569" i="3"/>
  <c r="C569" i="3"/>
  <c r="D569" i="3"/>
  <c r="E569" i="3"/>
  <c r="F569" i="3"/>
  <c r="G569" i="3"/>
  <c r="H569" i="3"/>
  <c r="I569" i="3"/>
  <c r="J569" i="3"/>
  <c r="B570" i="3"/>
  <c r="C570" i="3"/>
  <c r="D570" i="3"/>
  <c r="E570" i="3"/>
  <c r="F570" i="3"/>
  <c r="G570" i="3"/>
  <c r="H570" i="3"/>
  <c r="I570" i="3"/>
  <c r="J570" i="3"/>
  <c r="B571" i="3"/>
  <c r="C571" i="3"/>
  <c r="D571" i="3"/>
  <c r="E571" i="3"/>
  <c r="F571" i="3"/>
  <c r="G571" i="3"/>
  <c r="H571" i="3"/>
  <c r="I571" i="3"/>
  <c r="J571" i="3"/>
  <c r="B572" i="3"/>
  <c r="C572" i="3"/>
  <c r="D572" i="3"/>
  <c r="E572" i="3"/>
  <c r="F572" i="3"/>
  <c r="G572" i="3"/>
  <c r="H572" i="3"/>
  <c r="I572" i="3"/>
  <c r="J572" i="3"/>
  <c r="B573" i="3"/>
  <c r="C573" i="3"/>
  <c r="D573" i="3"/>
  <c r="E573" i="3"/>
  <c r="F573" i="3"/>
  <c r="G573" i="3"/>
  <c r="H573" i="3"/>
  <c r="I573" i="3"/>
  <c r="J573" i="3"/>
  <c r="B574" i="3"/>
  <c r="C574" i="3"/>
  <c r="D574" i="3"/>
  <c r="E574" i="3"/>
  <c r="F574" i="3"/>
  <c r="G574" i="3"/>
  <c r="H574" i="3"/>
  <c r="I574" i="3"/>
  <c r="J574" i="3"/>
  <c r="B575" i="3"/>
  <c r="C575" i="3"/>
  <c r="D575" i="3"/>
  <c r="E575" i="3"/>
  <c r="F575" i="3"/>
  <c r="G575" i="3"/>
  <c r="H575" i="3"/>
  <c r="I575" i="3"/>
  <c r="J575" i="3"/>
  <c r="B576" i="3"/>
  <c r="C576" i="3"/>
  <c r="D576" i="3"/>
  <c r="E576" i="3"/>
  <c r="F576" i="3"/>
  <c r="G576" i="3"/>
  <c r="H576" i="3"/>
  <c r="I576" i="3"/>
  <c r="J576" i="3"/>
  <c r="B577" i="3"/>
  <c r="C577" i="3"/>
  <c r="D577" i="3"/>
  <c r="E577" i="3"/>
  <c r="F577" i="3"/>
  <c r="G577" i="3"/>
  <c r="H577" i="3"/>
  <c r="I577" i="3"/>
  <c r="J577" i="3"/>
  <c r="B578" i="3"/>
  <c r="C578" i="3"/>
  <c r="D578" i="3"/>
  <c r="E578" i="3"/>
  <c r="F578" i="3"/>
  <c r="G578" i="3"/>
  <c r="H578" i="3"/>
  <c r="I578" i="3"/>
  <c r="J578" i="3"/>
  <c r="B579" i="3"/>
  <c r="C579" i="3"/>
  <c r="D579" i="3"/>
  <c r="E579" i="3"/>
  <c r="F579" i="3"/>
  <c r="G579" i="3"/>
  <c r="H579" i="3"/>
  <c r="I579" i="3"/>
  <c r="J579" i="3"/>
  <c r="B580" i="3"/>
  <c r="C580" i="3"/>
  <c r="D580" i="3"/>
  <c r="E580" i="3"/>
  <c r="F580" i="3"/>
  <c r="G580" i="3"/>
  <c r="H580" i="3"/>
  <c r="I580" i="3"/>
  <c r="J580" i="3"/>
  <c r="B581" i="3"/>
  <c r="C581" i="3"/>
  <c r="D581" i="3"/>
  <c r="E581" i="3"/>
  <c r="F581" i="3"/>
  <c r="G581" i="3"/>
  <c r="H581" i="3"/>
  <c r="I581" i="3"/>
  <c r="J581" i="3"/>
  <c r="B582" i="3"/>
  <c r="C582" i="3"/>
  <c r="D582" i="3"/>
  <c r="E582" i="3"/>
  <c r="F582" i="3"/>
  <c r="G582" i="3"/>
  <c r="H582" i="3"/>
  <c r="I582" i="3"/>
  <c r="J582" i="3"/>
  <c r="B583" i="3"/>
  <c r="C583" i="3"/>
  <c r="D583" i="3"/>
  <c r="E583" i="3"/>
  <c r="F583" i="3"/>
  <c r="G583" i="3"/>
  <c r="H583" i="3"/>
  <c r="I583" i="3"/>
  <c r="J583" i="3"/>
  <c r="B584" i="3"/>
  <c r="C584" i="3"/>
  <c r="D584" i="3"/>
  <c r="E584" i="3"/>
  <c r="F584" i="3"/>
  <c r="G584" i="3"/>
  <c r="H584" i="3"/>
  <c r="I584" i="3"/>
  <c r="J584" i="3"/>
  <c r="B585" i="3"/>
  <c r="C585" i="3"/>
  <c r="D585" i="3"/>
  <c r="E585" i="3"/>
  <c r="F585" i="3"/>
  <c r="G585" i="3"/>
  <c r="H585" i="3"/>
  <c r="I585" i="3"/>
  <c r="J585" i="3"/>
  <c r="B586" i="3"/>
  <c r="C586" i="3"/>
  <c r="D586" i="3"/>
  <c r="E586" i="3"/>
  <c r="F586" i="3"/>
  <c r="G586" i="3"/>
  <c r="H586" i="3"/>
  <c r="I586" i="3"/>
  <c r="J586" i="3"/>
  <c r="B587" i="3"/>
  <c r="C587" i="3"/>
  <c r="D587" i="3"/>
  <c r="E587" i="3"/>
  <c r="F587" i="3"/>
  <c r="G587" i="3"/>
  <c r="H587" i="3"/>
  <c r="I587" i="3"/>
  <c r="J587" i="3"/>
  <c r="B588" i="3"/>
  <c r="C588" i="3"/>
  <c r="D588" i="3"/>
  <c r="E588" i="3"/>
  <c r="F588" i="3"/>
  <c r="G588" i="3"/>
  <c r="H588" i="3"/>
  <c r="I588" i="3"/>
  <c r="J588" i="3"/>
  <c r="B589" i="3"/>
  <c r="C589" i="3"/>
  <c r="D589" i="3"/>
  <c r="E589" i="3"/>
  <c r="F589" i="3"/>
  <c r="G589" i="3"/>
  <c r="H589" i="3"/>
  <c r="I589" i="3"/>
  <c r="J589" i="3"/>
  <c r="B590" i="3"/>
  <c r="C590" i="3"/>
  <c r="D590" i="3"/>
  <c r="E590" i="3"/>
  <c r="F590" i="3"/>
  <c r="G590" i="3"/>
  <c r="H590" i="3"/>
  <c r="I590" i="3"/>
  <c r="J590" i="3"/>
  <c r="B591" i="3"/>
  <c r="C591" i="3"/>
  <c r="D591" i="3"/>
  <c r="E591" i="3"/>
  <c r="F591" i="3"/>
  <c r="G591" i="3"/>
  <c r="H591" i="3"/>
  <c r="I591" i="3"/>
  <c r="J591" i="3"/>
  <c r="B592" i="3"/>
  <c r="C592" i="3"/>
  <c r="D592" i="3"/>
  <c r="E592" i="3"/>
  <c r="F592" i="3"/>
  <c r="G592" i="3"/>
  <c r="H592" i="3"/>
  <c r="I592" i="3"/>
  <c r="J592" i="3"/>
  <c r="B593" i="3"/>
  <c r="C593" i="3"/>
  <c r="D593" i="3"/>
  <c r="E593" i="3"/>
  <c r="F593" i="3"/>
  <c r="G593" i="3"/>
  <c r="H593" i="3"/>
  <c r="I593" i="3"/>
  <c r="J593" i="3"/>
  <c r="B594" i="3"/>
  <c r="C594" i="3"/>
  <c r="D594" i="3"/>
  <c r="E594" i="3"/>
  <c r="F594" i="3"/>
  <c r="G594" i="3"/>
  <c r="H594" i="3"/>
  <c r="I594" i="3"/>
  <c r="J594" i="3"/>
  <c r="B595" i="3"/>
  <c r="C595" i="3"/>
  <c r="D595" i="3"/>
  <c r="E595" i="3"/>
  <c r="F595" i="3"/>
  <c r="G595" i="3"/>
  <c r="H595" i="3"/>
  <c r="I595" i="3"/>
  <c r="J595" i="3"/>
  <c r="B596" i="3"/>
  <c r="C596" i="3"/>
  <c r="D596" i="3"/>
  <c r="E596" i="3"/>
  <c r="F596" i="3"/>
  <c r="G596" i="3"/>
  <c r="H596" i="3"/>
  <c r="I596" i="3"/>
  <c r="J596" i="3"/>
  <c r="B597" i="3"/>
  <c r="C597" i="3"/>
  <c r="D597" i="3"/>
  <c r="E597" i="3"/>
  <c r="F597" i="3"/>
  <c r="G597" i="3"/>
  <c r="H597" i="3"/>
  <c r="I597" i="3"/>
  <c r="J597" i="3"/>
  <c r="B598" i="3"/>
  <c r="C598" i="3"/>
  <c r="D598" i="3"/>
  <c r="E598" i="3"/>
  <c r="F598" i="3"/>
  <c r="G598" i="3"/>
  <c r="H598" i="3"/>
  <c r="I598" i="3"/>
  <c r="J598" i="3"/>
  <c r="B599" i="3"/>
  <c r="C599" i="3"/>
  <c r="D599" i="3"/>
  <c r="E599" i="3"/>
  <c r="F599" i="3"/>
  <c r="G599" i="3"/>
  <c r="H599" i="3"/>
  <c r="I599" i="3"/>
  <c r="J599" i="3"/>
  <c r="B600" i="3"/>
  <c r="C600" i="3"/>
  <c r="D600" i="3"/>
  <c r="E600" i="3"/>
  <c r="F600" i="3"/>
  <c r="G600" i="3"/>
  <c r="H600" i="3"/>
  <c r="I600" i="3"/>
  <c r="J600" i="3"/>
  <c r="B601" i="3"/>
  <c r="C601" i="3"/>
  <c r="D601" i="3"/>
  <c r="E601" i="3"/>
  <c r="F601" i="3"/>
  <c r="G601" i="3"/>
  <c r="H601" i="3"/>
  <c r="I601" i="3"/>
  <c r="J601" i="3"/>
  <c r="B602" i="3"/>
  <c r="C602" i="3"/>
  <c r="D602" i="3"/>
  <c r="E602" i="3"/>
  <c r="F602" i="3"/>
  <c r="G602" i="3"/>
  <c r="H602" i="3"/>
  <c r="I602" i="3"/>
  <c r="J602" i="3"/>
  <c r="B603" i="3"/>
  <c r="C603" i="3"/>
  <c r="D603" i="3"/>
  <c r="E603" i="3"/>
  <c r="F603" i="3"/>
  <c r="G603" i="3"/>
  <c r="H603" i="3"/>
  <c r="I603" i="3"/>
  <c r="J603" i="3"/>
  <c r="B604" i="3"/>
  <c r="C604" i="3"/>
  <c r="D604" i="3"/>
  <c r="E604" i="3"/>
  <c r="F604" i="3"/>
  <c r="G604" i="3"/>
  <c r="H604" i="3"/>
  <c r="I604" i="3"/>
  <c r="J604" i="3"/>
  <c r="B605" i="3"/>
  <c r="C605" i="3"/>
  <c r="D605" i="3"/>
  <c r="E605" i="3"/>
  <c r="F605" i="3"/>
  <c r="G605" i="3"/>
  <c r="H605" i="3"/>
  <c r="I605" i="3"/>
  <c r="J605" i="3"/>
  <c r="B606" i="3"/>
  <c r="C606" i="3"/>
  <c r="D606" i="3"/>
  <c r="E606" i="3"/>
  <c r="F606" i="3"/>
  <c r="G606" i="3"/>
  <c r="H606" i="3"/>
  <c r="I606" i="3"/>
  <c r="J606" i="3"/>
  <c r="B607" i="3"/>
  <c r="C607" i="3"/>
  <c r="D607" i="3"/>
  <c r="E607" i="3"/>
  <c r="F607" i="3"/>
  <c r="G607" i="3"/>
  <c r="H607" i="3"/>
  <c r="I607" i="3"/>
  <c r="J607" i="3"/>
  <c r="B608" i="3"/>
  <c r="C608" i="3"/>
  <c r="D608" i="3"/>
  <c r="E608" i="3"/>
  <c r="F608" i="3"/>
  <c r="G608" i="3"/>
  <c r="H608" i="3"/>
  <c r="I608" i="3"/>
  <c r="J608" i="3"/>
  <c r="B609" i="3"/>
  <c r="C609" i="3"/>
  <c r="D609" i="3"/>
  <c r="E609" i="3"/>
  <c r="F609" i="3"/>
  <c r="G609" i="3"/>
  <c r="H609" i="3"/>
  <c r="I609" i="3"/>
  <c r="J609" i="3"/>
  <c r="B610" i="3"/>
  <c r="C610" i="3"/>
  <c r="D610" i="3"/>
  <c r="E610" i="3"/>
  <c r="F610" i="3"/>
  <c r="G610" i="3"/>
  <c r="H610" i="3"/>
  <c r="I610" i="3"/>
  <c r="J610" i="3"/>
  <c r="B611" i="3"/>
  <c r="C611" i="3"/>
  <c r="D611" i="3"/>
  <c r="E611" i="3"/>
  <c r="F611" i="3"/>
  <c r="G611" i="3"/>
  <c r="H611" i="3"/>
  <c r="I611" i="3"/>
  <c r="J611" i="3"/>
  <c r="B612" i="3"/>
  <c r="C612" i="3"/>
  <c r="D612" i="3"/>
  <c r="E612" i="3"/>
  <c r="F612" i="3"/>
  <c r="G612" i="3"/>
  <c r="H612" i="3"/>
  <c r="I612" i="3"/>
  <c r="J612" i="3"/>
  <c r="B613" i="3"/>
  <c r="C613" i="3"/>
  <c r="D613" i="3"/>
  <c r="E613" i="3"/>
  <c r="F613" i="3"/>
  <c r="G613" i="3"/>
  <c r="H613" i="3"/>
  <c r="I613" i="3"/>
  <c r="J613" i="3"/>
  <c r="B614" i="3"/>
  <c r="C614" i="3"/>
  <c r="D614" i="3"/>
  <c r="E614" i="3"/>
  <c r="F614" i="3"/>
  <c r="G614" i="3"/>
  <c r="H614" i="3"/>
  <c r="I614" i="3"/>
  <c r="J614" i="3"/>
  <c r="B615" i="3"/>
  <c r="C615" i="3"/>
  <c r="D615" i="3"/>
  <c r="E615" i="3"/>
  <c r="F615" i="3"/>
  <c r="G615" i="3"/>
  <c r="H615" i="3"/>
  <c r="I615" i="3"/>
  <c r="J615" i="3"/>
  <c r="B616" i="3"/>
  <c r="C616" i="3"/>
  <c r="D616" i="3"/>
  <c r="E616" i="3"/>
  <c r="F616" i="3"/>
  <c r="G616" i="3"/>
  <c r="H616" i="3"/>
  <c r="I616" i="3"/>
  <c r="J616" i="3"/>
  <c r="B617" i="3"/>
  <c r="C617" i="3"/>
  <c r="D617" i="3"/>
  <c r="E617" i="3"/>
  <c r="F617" i="3"/>
  <c r="G617" i="3"/>
  <c r="H617" i="3"/>
  <c r="I617" i="3"/>
  <c r="J617" i="3"/>
  <c r="B618" i="3"/>
  <c r="C618" i="3"/>
  <c r="D618" i="3"/>
  <c r="E618" i="3"/>
  <c r="F618" i="3"/>
  <c r="G618" i="3"/>
  <c r="H618" i="3"/>
  <c r="I618" i="3"/>
  <c r="J618" i="3"/>
  <c r="B619" i="3"/>
  <c r="C619" i="3"/>
  <c r="D619" i="3"/>
  <c r="E619" i="3"/>
  <c r="F619" i="3"/>
  <c r="G619" i="3"/>
  <c r="H619" i="3"/>
  <c r="I619" i="3"/>
  <c r="J619" i="3"/>
  <c r="B620" i="3"/>
  <c r="C620" i="3"/>
  <c r="D620" i="3"/>
  <c r="E620" i="3"/>
  <c r="F620" i="3"/>
  <c r="G620" i="3"/>
  <c r="H620" i="3"/>
  <c r="I620" i="3"/>
  <c r="J620" i="3"/>
  <c r="B621" i="3"/>
  <c r="C621" i="3"/>
  <c r="D621" i="3"/>
  <c r="E621" i="3"/>
  <c r="F621" i="3"/>
  <c r="G621" i="3"/>
  <c r="H621" i="3"/>
  <c r="I621" i="3"/>
  <c r="J621" i="3"/>
  <c r="B622" i="3"/>
  <c r="C622" i="3"/>
  <c r="D622" i="3"/>
  <c r="E622" i="3"/>
  <c r="F622" i="3"/>
  <c r="G622" i="3"/>
  <c r="H622" i="3"/>
  <c r="I622" i="3"/>
  <c r="J622" i="3"/>
  <c r="B623" i="3"/>
  <c r="C623" i="3"/>
  <c r="D623" i="3"/>
  <c r="E623" i="3"/>
  <c r="F623" i="3"/>
  <c r="G623" i="3"/>
  <c r="H623" i="3"/>
  <c r="I623" i="3"/>
  <c r="J623" i="3"/>
  <c r="B624" i="3"/>
  <c r="C624" i="3"/>
  <c r="D624" i="3"/>
  <c r="E624" i="3"/>
  <c r="F624" i="3"/>
  <c r="G624" i="3"/>
  <c r="H624" i="3"/>
  <c r="I624" i="3"/>
  <c r="J624" i="3"/>
  <c r="B625" i="3"/>
  <c r="C625" i="3"/>
  <c r="D625" i="3"/>
  <c r="E625" i="3"/>
  <c r="F625" i="3"/>
  <c r="G625" i="3"/>
  <c r="H625" i="3"/>
  <c r="I625" i="3"/>
  <c r="J625" i="3"/>
  <c r="B626" i="3"/>
  <c r="C626" i="3"/>
  <c r="D626" i="3"/>
  <c r="E626" i="3"/>
  <c r="F626" i="3"/>
  <c r="G626" i="3"/>
  <c r="H626" i="3"/>
  <c r="I626" i="3"/>
  <c r="J626" i="3"/>
  <c r="B627" i="3"/>
  <c r="C627" i="3"/>
  <c r="D627" i="3"/>
  <c r="E627" i="3"/>
  <c r="F627" i="3"/>
  <c r="G627" i="3"/>
  <c r="H627" i="3"/>
  <c r="I627" i="3"/>
  <c r="J627" i="3"/>
  <c r="B628" i="3"/>
  <c r="C628" i="3"/>
  <c r="D628" i="3"/>
  <c r="E628" i="3"/>
  <c r="F628" i="3"/>
  <c r="G628" i="3"/>
  <c r="H628" i="3"/>
  <c r="I628" i="3"/>
  <c r="J628" i="3"/>
  <c r="B629" i="3"/>
  <c r="C629" i="3"/>
  <c r="D629" i="3"/>
  <c r="E629" i="3"/>
  <c r="F629" i="3"/>
  <c r="G629" i="3"/>
  <c r="H629" i="3"/>
  <c r="I629" i="3"/>
  <c r="J629" i="3"/>
  <c r="B630" i="3"/>
  <c r="C630" i="3"/>
  <c r="D630" i="3"/>
  <c r="E630" i="3"/>
  <c r="F630" i="3"/>
  <c r="G630" i="3"/>
  <c r="H630" i="3"/>
  <c r="I630" i="3"/>
  <c r="J630" i="3"/>
  <c r="B631" i="3"/>
  <c r="C631" i="3"/>
  <c r="D631" i="3"/>
  <c r="E631" i="3"/>
  <c r="F631" i="3"/>
  <c r="G631" i="3"/>
  <c r="H631" i="3"/>
  <c r="I631" i="3"/>
  <c r="J631" i="3"/>
  <c r="B632" i="3"/>
  <c r="C632" i="3"/>
  <c r="D632" i="3"/>
  <c r="E632" i="3"/>
  <c r="F632" i="3"/>
  <c r="G632" i="3"/>
  <c r="H632" i="3"/>
  <c r="I632" i="3"/>
  <c r="J632" i="3"/>
  <c r="B633" i="3"/>
  <c r="C633" i="3"/>
  <c r="D633" i="3"/>
  <c r="E633" i="3"/>
  <c r="F633" i="3"/>
  <c r="G633" i="3"/>
  <c r="H633" i="3"/>
  <c r="I633" i="3"/>
  <c r="J633" i="3"/>
  <c r="B634" i="3"/>
  <c r="C634" i="3"/>
  <c r="D634" i="3"/>
  <c r="E634" i="3"/>
  <c r="F634" i="3"/>
  <c r="G634" i="3"/>
  <c r="H634" i="3"/>
  <c r="I634" i="3"/>
  <c r="J634" i="3"/>
  <c r="B635" i="3"/>
  <c r="C635" i="3"/>
  <c r="D635" i="3"/>
  <c r="E635" i="3"/>
  <c r="F635" i="3"/>
  <c r="G635" i="3"/>
  <c r="H635" i="3"/>
  <c r="I635" i="3"/>
  <c r="J635" i="3"/>
  <c r="B636" i="3"/>
  <c r="C636" i="3"/>
  <c r="D636" i="3"/>
  <c r="E636" i="3"/>
  <c r="F636" i="3"/>
  <c r="G636" i="3"/>
  <c r="H636" i="3"/>
  <c r="I636" i="3"/>
  <c r="J636" i="3"/>
  <c r="B637" i="3"/>
  <c r="C637" i="3"/>
  <c r="D637" i="3"/>
  <c r="E637" i="3"/>
  <c r="F637" i="3"/>
  <c r="G637" i="3"/>
  <c r="H637" i="3"/>
  <c r="I637" i="3"/>
  <c r="J637" i="3"/>
  <c r="B638" i="3"/>
  <c r="C638" i="3"/>
  <c r="D638" i="3"/>
  <c r="E638" i="3"/>
  <c r="F638" i="3"/>
  <c r="G638" i="3"/>
  <c r="H638" i="3"/>
  <c r="I638" i="3"/>
  <c r="J638" i="3"/>
  <c r="B639" i="3"/>
  <c r="C639" i="3"/>
  <c r="D639" i="3"/>
  <c r="E639" i="3"/>
  <c r="F639" i="3"/>
  <c r="G639" i="3"/>
  <c r="H639" i="3"/>
  <c r="I639" i="3"/>
  <c r="J639" i="3"/>
  <c r="B640" i="3"/>
  <c r="C640" i="3"/>
  <c r="D640" i="3"/>
  <c r="E640" i="3"/>
  <c r="F640" i="3"/>
  <c r="G640" i="3"/>
  <c r="H640" i="3"/>
  <c r="I640" i="3"/>
  <c r="J640" i="3"/>
  <c r="B641" i="3"/>
  <c r="C641" i="3"/>
  <c r="D641" i="3"/>
  <c r="E641" i="3"/>
  <c r="F641" i="3"/>
  <c r="G641" i="3"/>
  <c r="H641" i="3"/>
  <c r="I641" i="3"/>
  <c r="J641" i="3"/>
  <c r="B642" i="3"/>
  <c r="C642" i="3"/>
  <c r="D642" i="3"/>
  <c r="E642" i="3"/>
  <c r="F642" i="3"/>
  <c r="G642" i="3"/>
  <c r="H642" i="3"/>
  <c r="I642" i="3"/>
  <c r="J642" i="3"/>
  <c r="B643" i="3"/>
  <c r="C643" i="3"/>
  <c r="D643" i="3"/>
  <c r="E643" i="3"/>
  <c r="F643" i="3"/>
  <c r="G643" i="3"/>
  <c r="H643" i="3"/>
  <c r="I643" i="3"/>
  <c r="J643" i="3"/>
  <c r="B644" i="3"/>
  <c r="C644" i="3"/>
  <c r="D644" i="3"/>
  <c r="E644" i="3"/>
  <c r="F644" i="3"/>
  <c r="G644" i="3"/>
  <c r="H644" i="3"/>
  <c r="I644" i="3"/>
  <c r="J644" i="3"/>
  <c r="B645" i="3"/>
  <c r="C645" i="3"/>
  <c r="D645" i="3"/>
  <c r="E645" i="3"/>
  <c r="F645" i="3"/>
  <c r="G645" i="3"/>
  <c r="H645" i="3"/>
  <c r="I645" i="3"/>
  <c r="J645" i="3"/>
  <c r="B646" i="3"/>
  <c r="C646" i="3"/>
  <c r="D646" i="3"/>
  <c r="E646" i="3"/>
  <c r="F646" i="3"/>
  <c r="G646" i="3"/>
  <c r="H646" i="3"/>
  <c r="I646" i="3"/>
  <c r="J646" i="3"/>
  <c r="B647" i="3"/>
  <c r="C647" i="3"/>
  <c r="D647" i="3"/>
  <c r="E647" i="3"/>
  <c r="F647" i="3"/>
  <c r="G647" i="3"/>
  <c r="H647" i="3"/>
  <c r="I647" i="3"/>
  <c r="J647" i="3"/>
  <c r="B648" i="3"/>
  <c r="C648" i="3"/>
  <c r="D648" i="3"/>
  <c r="E648" i="3"/>
  <c r="F648" i="3"/>
  <c r="G648" i="3"/>
  <c r="H648" i="3"/>
  <c r="I648" i="3"/>
  <c r="J648" i="3"/>
  <c r="B649" i="3"/>
  <c r="C649" i="3"/>
  <c r="D649" i="3"/>
  <c r="E649" i="3"/>
  <c r="F649" i="3"/>
  <c r="G649" i="3"/>
  <c r="H649" i="3"/>
  <c r="I649" i="3"/>
  <c r="J649" i="3"/>
  <c r="B650" i="3"/>
  <c r="C650" i="3"/>
  <c r="D650" i="3"/>
  <c r="E650" i="3"/>
  <c r="F650" i="3"/>
  <c r="G650" i="3"/>
  <c r="H650" i="3"/>
  <c r="I650" i="3"/>
  <c r="J650" i="3"/>
  <c r="B651" i="3"/>
  <c r="C651" i="3"/>
  <c r="D651" i="3"/>
  <c r="E651" i="3"/>
  <c r="F651" i="3"/>
  <c r="G651" i="3"/>
  <c r="H651" i="3"/>
  <c r="I651" i="3"/>
  <c r="J651" i="3"/>
  <c r="B652" i="3"/>
  <c r="C652" i="3"/>
  <c r="D652" i="3"/>
  <c r="E652" i="3"/>
  <c r="F652" i="3"/>
  <c r="G652" i="3"/>
  <c r="H652" i="3"/>
  <c r="I652" i="3"/>
  <c r="J652" i="3"/>
  <c r="B653" i="3"/>
  <c r="C653" i="3"/>
  <c r="D653" i="3"/>
  <c r="E653" i="3"/>
  <c r="F653" i="3"/>
  <c r="G653" i="3"/>
  <c r="H653" i="3"/>
  <c r="I653" i="3"/>
  <c r="J653" i="3"/>
  <c r="B654" i="3"/>
  <c r="C654" i="3"/>
  <c r="D654" i="3"/>
  <c r="E654" i="3"/>
  <c r="F654" i="3"/>
  <c r="G654" i="3"/>
  <c r="H654" i="3"/>
  <c r="I654" i="3"/>
  <c r="J654" i="3"/>
  <c r="B655" i="3"/>
  <c r="C655" i="3"/>
  <c r="D655" i="3"/>
  <c r="E655" i="3"/>
  <c r="F655" i="3"/>
  <c r="G655" i="3"/>
  <c r="H655" i="3"/>
  <c r="I655" i="3"/>
  <c r="J655" i="3"/>
  <c r="B656" i="3"/>
  <c r="C656" i="3"/>
  <c r="D656" i="3"/>
  <c r="E656" i="3"/>
  <c r="F656" i="3"/>
  <c r="G656" i="3"/>
  <c r="H656" i="3"/>
  <c r="I656" i="3"/>
  <c r="J656" i="3"/>
  <c r="B657" i="3"/>
  <c r="C657" i="3"/>
  <c r="D657" i="3"/>
  <c r="E657" i="3"/>
  <c r="F657" i="3"/>
  <c r="G657" i="3"/>
  <c r="H657" i="3"/>
  <c r="I657" i="3"/>
  <c r="J657" i="3"/>
  <c r="B658" i="3"/>
  <c r="C658" i="3"/>
  <c r="D658" i="3"/>
  <c r="E658" i="3"/>
  <c r="F658" i="3"/>
  <c r="G658" i="3"/>
  <c r="H658" i="3"/>
  <c r="I658" i="3"/>
  <c r="J658" i="3"/>
  <c r="B659" i="3"/>
  <c r="C659" i="3"/>
  <c r="D659" i="3"/>
  <c r="E659" i="3"/>
  <c r="F659" i="3"/>
  <c r="G659" i="3"/>
  <c r="H659" i="3"/>
  <c r="I659" i="3"/>
  <c r="J659" i="3"/>
  <c r="B660" i="3"/>
  <c r="C660" i="3"/>
  <c r="D660" i="3"/>
  <c r="E660" i="3"/>
  <c r="F660" i="3"/>
  <c r="G660" i="3"/>
  <c r="H660" i="3"/>
  <c r="I660" i="3"/>
  <c r="J660" i="3"/>
  <c r="B661" i="3"/>
  <c r="C661" i="3"/>
  <c r="D661" i="3"/>
  <c r="E661" i="3"/>
  <c r="F661" i="3"/>
  <c r="G661" i="3"/>
  <c r="H661" i="3"/>
  <c r="I661" i="3"/>
  <c r="J661" i="3"/>
  <c r="B662" i="3"/>
  <c r="C662" i="3"/>
  <c r="D662" i="3"/>
  <c r="E662" i="3"/>
  <c r="F662" i="3"/>
  <c r="G662" i="3"/>
  <c r="H662" i="3"/>
  <c r="I662" i="3"/>
  <c r="J662" i="3"/>
  <c r="B663" i="3"/>
  <c r="C663" i="3"/>
  <c r="D663" i="3"/>
  <c r="E663" i="3"/>
  <c r="F663" i="3"/>
  <c r="G663" i="3"/>
  <c r="H663" i="3"/>
  <c r="I663" i="3"/>
  <c r="J663" i="3"/>
  <c r="B664" i="3"/>
  <c r="C664" i="3"/>
  <c r="D664" i="3"/>
  <c r="E664" i="3"/>
  <c r="F664" i="3"/>
  <c r="G664" i="3"/>
  <c r="H664" i="3"/>
  <c r="I664" i="3"/>
  <c r="J664" i="3"/>
  <c r="B665" i="3"/>
  <c r="C665" i="3"/>
  <c r="D665" i="3"/>
  <c r="E665" i="3"/>
  <c r="F665" i="3"/>
  <c r="G665" i="3"/>
  <c r="H665" i="3"/>
  <c r="I665" i="3"/>
  <c r="J665" i="3"/>
  <c r="B666" i="3"/>
  <c r="C666" i="3"/>
  <c r="D666" i="3"/>
  <c r="E666" i="3"/>
  <c r="F666" i="3"/>
  <c r="G666" i="3"/>
  <c r="H666" i="3"/>
  <c r="I666" i="3"/>
  <c r="J666" i="3"/>
  <c r="B667" i="3"/>
  <c r="C667" i="3"/>
  <c r="D667" i="3"/>
  <c r="E667" i="3"/>
  <c r="F667" i="3"/>
  <c r="G667" i="3"/>
  <c r="H667" i="3"/>
  <c r="I667" i="3"/>
  <c r="J667" i="3"/>
  <c r="B668" i="3"/>
  <c r="C668" i="3"/>
  <c r="D668" i="3"/>
  <c r="E668" i="3"/>
  <c r="F668" i="3"/>
  <c r="G668" i="3"/>
  <c r="H668" i="3"/>
  <c r="I668" i="3"/>
  <c r="J668" i="3"/>
  <c r="B669" i="3"/>
  <c r="C669" i="3"/>
  <c r="D669" i="3"/>
  <c r="E669" i="3"/>
  <c r="F669" i="3"/>
  <c r="G669" i="3"/>
  <c r="H669" i="3"/>
  <c r="I669" i="3"/>
  <c r="J669" i="3"/>
  <c r="B670" i="3"/>
  <c r="C670" i="3"/>
  <c r="D670" i="3"/>
  <c r="E670" i="3"/>
  <c r="F670" i="3"/>
  <c r="G670" i="3"/>
  <c r="H670" i="3"/>
  <c r="I670" i="3"/>
  <c r="J670" i="3"/>
  <c r="B671" i="3"/>
  <c r="C671" i="3"/>
  <c r="D671" i="3"/>
  <c r="E671" i="3"/>
  <c r="F671" i="3"/>
  <c r="G671" i="3"/>
  <c r="H671" i="3"/>
  <c r="I671" i="3"/>
  <c r="J671" i="3"/>
  <c r="B672" i="3"/>
  <c r="C672" i="3"/>
  <c r="D672" i="3"/>
  <c r="E672" i="3"/>
  <c r="F672" i="3"/>
  <c r="G672" i="3"/>
  <c r="H672" i="3"/>
  <c r="I672" i="3"/>
  <c r="J672" i="3"/>
  <c r="B673" i="3"/>
  <c r="C673" i="3"/>
  <c r="D673" i="3"/>
  <c r="E673" i="3"/>
  <c r="F673" i="3"/>
  <c r="G673" i="3"/>
  <c r="H673" i="3"/>
  <c r="I673" i="3"/>
  <c r="J673" i="3"/>
  <c r="B674" i="3"/>
  <c r="C674" i="3"/>
  <c r="D674" i="3"/>
  <c r="E674" i="3"/>
  <c r="F674" i="3"/>
  <c r="G674" i="3"/>
  <c r="H674" i="3"/>
  <c r="I674" i="3"/>
  <c r="J674" i="3"/>
  <c r="B675" i="3"/>
  <c r="C675" i="3"/>
  <c r="D675" i="3"/>
  <c r="E675" i="3"/>
  <c r="F675" i="3"/>
  <c r="G675" i="3"/>
  <c r="H675" i="3"/>
  <c r="I675" i="3"/>
  <c r="J675" i="3"/>
  <c r="B676" i="3"/>
  <c r="C676" i="3"/>
  <c r="D676" i="3"/>
  <c r="E676" i="3"/>
  <c r="F676" i="3"/>
  <c r="G676" i="3"/>
  <c r="H676" i="3"/>
  <c r="I676" i="3"/>
  <c r="J676" i="3"/>
  <c r="B677" i="3"/>
  <c r="C677" i="3"/>
  <c r="D677" i="3"/>
  <c r="E677" i="3"/>
  <c r="F677" i="3"/>
  <c r="G677" i="3"/>
  <c r="H677" i="3"/>
  <c r="I677" i="3"/>
  <c r="J677" i="3"/>
  <c r="B678" i="3"/>
  <c r="C678" i="3"/>
  <c r="D678" i="3"/>
  <c r="E678" i="3"/>
  <c r="F678" i="3"/>
  <c r="G678" i="3"/>
  <c r="H678" i="3"/>
  <c r="I678" i="3"/>
  <c r="J678" i="3"/>
  <c r="B679" i="3"/>
  <c r="C679" i="3"/>
  <c r="D679" i="3"/>
  <c r="E679" i="3"/>
  <c r="F679" i="3"/>
  <c r="G679" i="3"/>
  <c r="H679" i="3"/>
  <c r="I679" i="3"/>
  <c r="J679" i="3"/>
  <c r="B680" i="3"/>
  <c r="C680" i="3"/>
  <c r="D680" i="3"/>
  <c r="E680" i="3"/>
  <c r="F680" i="3"/>
  <c r="G680" i="3"/>
  <c r="H680" i="3"/>
  <c r="I680" i="3"/>
  <c r="J680" i="3"/>
  <c r="B681" i="3"/>
  <c r="C681" i="3"/>
  <c r="D681" i="3"/>
  <c r="E681" i="3"/>
  <c r="F681" i="3"/>
  <c r="G681" i="3"/>
  <c r="H681" i="3"/>
  <c r="I681" i="3"/>
  <c r="J681" i="3"/>
  <c r="B682" i="3"/>
  <c r="C682" i="3"/>
  <c r="D682" i="3"/>
  <c r="E682" i="3"/>
  <c r="F682" i="3"/>
  <c r="G682" i="3"/>
  <c r="H682" i="3"/>
  <c r="I682" i="3"/>
  <c r="J682" i="3"/>
  <c r="B683" i="3"/>
  <c r="C683" i="3"/>
  <c r="D683" i="3"/>
  <c r="E683" i="3"/>
  <c r="F683" i="3"/>
  <c r="G683" i="3"/>
  <c r="H683" i="3"/>
  <c r="I683" i="3"/>
  <c r="J683" i="3"/>
  <c r="B684" i="3"/>
  <c r="C684" i="3"/>
  <c r="D684" i="3"/>
  <c r="E684" i="3"/>
  <c r="F684" i="3"/>
  <c r="G684" i="3"/>
  <c r="H684" i="3"/>
  <c r="I684" i="3"/>
  <c r="J684" i="3"/>
  <c r="B685" i="3"/>
  <c r="C685" i="3"/>
  <c r="D685" i="3"/>
  <c r="E685" i="3"/>
  <c r="F685" i="3"/>
  <c r="G685" i="3"/>
  <c r="H685" i="3"/>
  <c r="I685" i="3"/>
  <c r="J685" i="3"/>
  <c r="B686" i="3"/>
  <c r="C686" i="3"/>
  <c r="D686" i="3"/>
  <c r="E686" i="3"/>
  <c r="F686" i="3"/>
  <c r="G686" i="3"/>
  <c r="H686" i="3"/>
  <c r="I686" i="3"/>
  <c r="J686" i="3"/>
  <c r="B687" i="3"/>
  <c r="C687" i="3"/>
  <c r="D687" i="3"/>
  <c r="E687" i="3"/>
  <c r="F687" i="3"/>
  <c r="G687" i="3"/>
  <c r="H687" i="3"/>
  <c r="I687" i="3"/>
  <c r="J687" i="3"/>
  <c r="B688" i="3"/>
  <c r="C688" i="3"/>
  <c r="D688" i="3"/>
  <c r="E688" i="3"/>
  <c r="F688" i="3"/>
  <c r="G688" i="3"/>
  <c r="H688" i="3"/>
  <c r="I688" i="3"/>
  <c r="J688" i="3"/>
  <c r="B689" i="3"/>
  <c r="C689" i="3"/>
  <c r="D689" i="3"/>
  <c r="E689" i="3"/>
  <c r="F689" i="3"/>
  <c r="G689" i="3"/>
  <c r="H689" i="3"/>
  <c r="I689" i="3"/>
  <c r="J689" i="3"/>
  <c r="B690" i="3"/>
  <c r="C690" i="3"/>
  <c r="D690" i="3"/>
  <c r="E690" i="3"/>
  <c r="F690" i="3"/>
  <c r="G690" i="3"/>
  <c r="H690" i="3"/>
  <c r="I690" i="3"/>
  <c r="J690" i="3"/>
  <c r="B691" i="3"/>
  <c r="C691" i="3"/>
  <c r="D691" i="3"/>
  <c r="E691" i="3"/>
  <c r="F691" i="3"/>
  <c r="G691" i="3"/>
  <c r="H691" i="3"/>
  <c r="I691" i="3"/>
  <c r="J691" i="3"/>
  <c r="B692" i="3"/>
  <c r="C692" i="3"/>
  <c r="D692" i="3"/>
  <c r="E692" i="3"/>
  <c r="F692" i="3"/>
  <c r="G692" i="3"/>
  <c r="H692" i="3"/>
  <c r="I692" i="3"/>
  <c r="J692" i="3"/>
  <c r="B693" i="3"/>
  <c r="C693" i="3"/>
  <c r="D693" i="3"/>
  <c r="E693" i="3"/>
  <c r="F693" i="3"/>
  <c r="G693" i="3"/>
  <c r="H693" i="3"/>
  <c r="I693" i="3"/>
  <c r="J693" i="3"/>
  <c r="B694" i="3"/>
  <c r="C694" i="3"/>
  <c r="D694" i="3"/>
  <c r="E694" i="3"/>
  <c r="F694" i="3"/>
  <c r="G694" i="3"/>
  <c r="H694" i="3"/>
  <c r="I694" i="3"/>
  <c r="J694" i="3"/>
  <c r="B695" i="3"/>
  <c r="C695" i="3"/>
  <c r="D695" i="3"/>
  <c r="E695" i="3"/>
  <c r="F695" i="3"/>
  <c r="G695" i="3"/>
  <c r="H695" i="3"/>
  <c r="I695" i="3"/>
  <c r="J695" i="3"/>
  <c r="B696" i="3"/>
  <c r="C696" i="3"/>
  <c r="D696" i="3"/>
  <c r="E696" i="3"/>
  <c r="F696" i="3"/>
  <c r="G696" i="3"/>
  <c r="H696" i="3"/>
  <c r="I696" i="3"/>
  <c r="J696" i="3"/>
  <c r="B697" i="3"/>
  <c r="C697" i="3"/>
  <c r="D697" i="3"/>
  <c r="E697" i="3"/>
  <c r="F697" i="3"/>
  <c r="G697" i="3"/>
  <c r="H697" i="3"/>
  <c r="I697" i="3"/>
  <c r="J697" i="3"/>
  <c r="B698" i="3"/>
  <c r="C698" i="3"/>
  <c r="D698" i="3"/>
  <c r="E698" i="3"/>
  <c r="F698" i="3"/>
  <c r="G698" i="3"/>
  <c r="H698" i="3"/>
  <c r="I698" i="3"/>
  <c r="J698" i="3"/>
  <c r="B699" i="3"/>
  <c r="C699" i="3"/>
  <c r="D699" i="3"/>
  <c r="E699" i="3"/>
  <c r="F699" i="3"/>
  <c r="G699" i="3"/>
  <c r="H699" i="3"/>
  <c r="I699" i="3"/>
  <c r="J699" i="3"/>
  <c r="B700" i="3"/>
  <c r="C700" i="3"/>
  <c r="D700" i="3"/>
  <c r="E700" i="3"/>
  <c r="F700" i="3"/>
  <c r="G700" i="3"/>
  <c r="H700" i="3"/>
  <c r="I700" i="3"/>
  <c r="J700" i="3"/>
  <c r="B701" i="3"/>
  <c r="C701" i="3"/>
  <c r="D701" i="3"/>
  <c r="E701" i="3"/>
  <c r="F701" i="3"/>
  <c r="G701" i="3"/>
  <c r="H701" i="3"/>
  <c r="I701" i="3"/>
  <c r="J701" i="3"/>
  <c r="B702" i="3"/>
  <c r="C702" i="3"/>
  <c r="D702" i="3"/>
  <c r="E702" i="3"/>
  <c r="F702" i="3"/>
  <c r="G702" i="3"/>
  <c r="H702" i="3"/>
  <c r="I702" i="3"/>
  <c r="J702" i="3"/>
  <c r="B703" i="3"/>
  <c r="C703" i="3"/>
  <c r="D703" i="3"/>
  <c r="E703" i="3"/>
  <c r="F703" i="3"/>
  <c r="G703" i="3"/>
  <c r="H703" i="3"/>
  <c r="I703" i="3"/>
  <c r="J703" i="3"/>
  <c r="B704" i="3"/>
  <c r="C704" i="3"/>
  <c r="D704" i="3"/>
  <c r="E704" i="3"/>
  <c r="F704" i="3"/>
  <c r="G704" i="3"/>
  <c r="H704" i="3"/>
  <c r="I704" i="3"/>
  <c r="J704" i="3"/>
  <c r="B705" i="3"/>
  <c r="C705" i="3"/>
  <c r="D705" i="3"/>
  <c r="E705" i="3"/>
  <c r="F705" i="3"/>
  <c r="G705" i="3"/>
  <c r="H705" i="3"/>
  <c r="I705" i="3"/>
  <c r="J705" i="3"/>
  <c r="B706" i="3"/>
  <c r="C706" i="3"/>
  <c r="D706" i="3"/>
  <c r="E706" i="3"/>
  <c r="F706" i="3"/>
  <c r="G706" i="3"/>
  <c r="H706" i="3"/>
  <c r="I706" i="3"/>
  <c r="J706" i="3"/>
  <c r="B707" i="3"/>
  <c r="C707" i="3"/>
  <c r="D707" i="3"/>
  <c r="E707" i="3"/>
  <c r="F707" i="3"/>
  <c r="G707" i="3"/>
  <c r="H707" i="3"/>
  <c r="I707" i="3"/>
  <c r="J707" i="3"/>
  <c r="B708" i="3"/>
  <c r="C708" i="3"/>
  <c r="D708" i="3"/>
  <c r="E708" i="3"/>
  <c r="F708" i="3"/>
  <c r="G708" i="3"/>
  <c r="H708" i="3"/>
  <c r="I708" i="3"/>
  <c r="J708" i="3"/>
  <c r="B709" i="3"/>
  <c r="C709" i="3"/>
  <c r="D709" i="3"/>
  <c r="E709" i="3"/>
  <c r="F709" i="3"/>
  <c r="G709" i="3"/>
  <c r="H709" i="3"/>
  <c r="I709" i="3"/>
  <c r="J709" i="3"/>
  <c r="B710" i="3"/>
  <c r="C710" i="3"/>
  <c r="D710" i="3"/>
  <c r="E710" i="3"/>
  <c r="F710" i="3"/>
  <c r="G710" i="3"/>
  <c r="H710" i="3"/>
  <c r="I710" i="3"/>
  <c r="J710" i="3"/>
  <c r="B711" i="3"/>
  <c r="C711" i="3"/>
  <c r="D711" i="3"/>
  <c r="E711" i="3"/>
  <c r="F711" i="3"/>
  <c r="G711" i="3"/>
  <c r="H711" i="3"/>
  <c r="I711" i="3"/>
  <c r="J711" i="3"/>
  <c r="B712" i="3"/>
  <c r="C712" i="3"/>
  <c r="D712" i="3"/>
  <c r="E712" i="3"/>
  <c r="F712" i="3"/>
  <c r="G712" i="3"/>
  <c r="H712" i="3"/>
  <c r="I712" i="3"/>
  <c r="J712" i="3"/>
  <c r="B713" i="3"/>
  <c r="C713" i="3"/>
  <c r="D713" i="3"/>
  <c r="E713" i="3"/>
  <c r="F713" i="3"/>
  <c r="G713" i="3"/>
  <c r="H713" i="3"/>
  <c r="I713" i="3"/>
  <c r="J713" i="3"/>
  <c r="B714" i="3"/>
  <c r="C714" i="3"/>
  <c r="D714" i="3"/>
  <c r="E714" i="3"/>
  <c r="F714" i="3"/>
  <c r="G714" i="3"/>
  <c r="H714" i="3"/>
  <c r="I714" i="3"/>
  <c r="J714" i="3"/>
  <c r="B715" i="3"/>
  <c r="C715" i="3"/>
  <c r="D715" i="3"/>
  <c r="E715" i="3"/>
  <c r="F715" i="3"/>
  <c r="G715" i="3"/>
  <c r="H715" i="3"/>
  <c r="I715" i="3"/>
  <c r="J715" i="3"/>
  <c r="B716" i="3"/>
  <c r="C716" i="3"/>
  <c r="D716" i="3"/>
  <c r="E716" i="3"/>
  <c r="F716" i="3"/>
  <c r="G716" i="3"/>
  <c r="H716" i="3"/>
  <c r="I716" i="3"/>
  <c r="J716" i="3"/>
  <c r="B717" i="3"/>
  <c r="C717" i="3"/>
  <c r="D717" i="3"/>
  <c r="E717" i="3"/>
  <c r="F717" i="3"/>
  <c r="G717" i="3"/>
  <c r="H717" i="3"/>
  <c r="I717" i="3"/>
  <c r="J717" i="3"/>
  <c r="B718" i="3"/>
  <c r="C718" i="3"/>
  <c r="D718" i="3"/>
  <c r="E718" i="3"/>
  <c r="F718" i="3"/>
  <c r="G718" i="3"/>
  <c r="H718" i="3"/>
  <c r="I718" i="3"/>
  <c r="J718" i="3"/>
  <c r="B719" i="3"/>
  <c r="C719" i="3"/>
  <c r="D719" i="3"/>
  <c r="E719" i="3"/>
  <c r="F719" i="3"/>
  <c r="G719" i="3"/>
  <c r="H719" i="3"/>
  <c r="I719" i="3"/>
  <c r="J719" i="3"/>
  <c r="B720" i="3"/>
  <c r="C720" i="3"/>
  <c r="D720" i="3"/>
  <c r="E720" i="3"/>
  <c r="F720" i="3"/>
  <c r="G720" i="3"/>
  <c r="H720" i="3"/>
  <c r="I720" i="3"/>
  <c r="J720" i="3"/>
  <c r="B721" i="3"/>
  <c r="C721" i="3"/>
  <c r="D721" i="3"/>
  <c r="E721" i="3"/>
  <c r="F721" i="3"/>
  <c r="G721" i="3"/>
  <c r="H721" i="3"/>
  <c r="I721" i="3"/>
  <c r="J721" i="3"/>
  <c r="B722" i="3"/>
  <c r="C722" i="3"/>
  <c r="D722" i="3"/>
  <c r="E722" i="3"/>
  <c r="F722" i="3"/>
  <c r="G722" i="3"/>
  <c r="H722" i="3"/>
  <c r="I722" i="3"/>
  <c r="J722" i="3"/>
  <c r="B723" i="3"/>
  <c r="C723" i="3"/>
  <c r="D723" i="3"/>
  <c r="E723" i="3"/>
  <c r="F723" i="3"/>
  <c r="G723" i="3"/>
  <c r="H723" i="3"/>
  <c r="I723" i="3"/>
  <c r="J723" i="3"/>
  <c r="B724" i="3"/>
  <c r="C724" i="3"/>
  <c r="D724" i="3"/>
  <c r="E724" i="3"/>
  <c r="F724" i="3"/>
  <c r="G724" i="3"/>
  <c r="H724" i="3"/>
  <c r="I724" i="3"/>
  <c r="J724" i="3"/>
  <c r="B725" i="3"/>
  <c r="C725" i="3"/>
  <c r="D725" i="3"/>
  <c r="E725" i="3"/>
  <c r="F725" i="3"/>
  <c r="G725" i="3"/>
  <c r="H725" i="3"/>
  <c r="I725" i="3"/>
  <c r="J725" i="3"/>
  <c r="B726" i="3"/>
  <c r="C726" i="3"/>
  <c r="D726" i="3"/>
  <c r="E726" i="3"/>
  <c r="F726" i="3"/>
  <c r="G726" i="3"/>
  <c r="H726" i="3"/>
  <c r="I726" i="3"/>
  <c r="J726" i="3"/>
  <c r="B727" i="3"/>
  <c r="C727" i="3"/>
  <c r="D727" i="3"/>
  <c r="E727" i="3"/>
  <c r="F727" i="3"/>
  <c r="G727" i="3"/>
  <c r="H727" i="3"/>
  <c r="I727" i="3"/>
  <c r="J727" i="3"/>
  <c r="B728" i="3"/>
  <c r="C728" i="3"/>
  <c r="D728" i="3"/>
  <c r="E728" i="3"/>
  <c r="F728" i="3"/>
  <c r="G728" i="3"/>
  <c r="H728" i="3"/>
  <c r="I728" i="3"/>
  <c r="J728" i="3"/>
  <c r="B729" i="3"/>
  <c r="C729" i="3"/>
  <c r="D729" i="3"/>
  <c r="E729" i="3"/>
  <c r="F729" i="3"/>
  <c r="G729" i="3"/>
  <c r="H729" i="3"/>
  <c r="I729" i="3"/>
  <c r="J729" i="3"/>
  <c r="B730" i="3"/>
  <c r="C730" i="3"/>
  <c r="D730" i="3"/>
  <c r="E730" i="3"/>
  <c r="F730" i="3"/>
  <c r="G730" i="3"/>
  <c r="H730" i="3"/>
  <c r="I730" i="3"/>
  <c r="J730" i="3"/>
  <c r="B731" i="3"/>
  <c r="C731" i="3"/>
  <c r="D731" i="3"/>
  <c r="E731" i="3"/>
  <c r="F731" i="3"/>
  <c r="G731" i="3"/>
  <c r="H731" i="3"/>
  <c r="I731" i="3"/>
  <c r="J731" i="3"/>
  <c r="B732" i="3"/>
  <c r="C732" i="3"/>
  <c r="D732" i="3"/>
  <c r="E732" i="3"/>
  <c r="F732" i="3"/>
  <c r="G732" i="3"/>
  <c r="H732" i="3"/>
  <c r="I732" i="3"/>
  <c r="J732" i="3"/>
  <c r="B733" i="3"/>
  <c r="C733" i="3"/>
  <c r="D733" i="3"/>
  <c r="E733" i="3"/>
  <c r="F733" i="3"/>
  <c r="G733" i="3"/>
  <c r="H733" i="3"/>
  <c r="I733" i="3"/>
  <c r="J733" i="3"/>
  <c r="B734" i="3"/>
  <c r="C734" i="3"/>
  <c r="D734" i="3"/>
  <c r="E734" i="3"/>
  <c r="F734" i="3"/>
  <c r="G734" i="3"/>
  <c r="H734" i="3"/>
  <c r="I734" i="3"/>
  <c r="J734" i="3"/>
  <c r="B735" i="3"/>
  <c r="C735" i="3"/>
  <c r="D735" i="3"/>
  <c r="E735" i="3"/>
  <c r="F735" i="3"/>
  <c r="G735" i="3"/>
  <c r="H735" i="3"/>
  <c r="I735" i="3"/>
  <c r="J735" i="3"/>
  <c r="B736" i="3"/>
  <c r="C736" i="3"/>
  <c r="D736" i="3"/>
  <c r="E736" i="3"/>
  <c r="F736" i="3"/>
  <c r="G736" i="3"/>
  <c r="H736" i="3"/>
  <c r="I736" i="3"/>
  <c r="J736" i="3"/>
  <c r="B737" i="3"/>
  <c r="C737" i="3"/>
  <c r="D737" i="3"/>
  <c r="E737" i="3"/>
  <c r="F737" i="3"/>
  <c r="G737" i="3"/>
  <c r="H737" i="3"/>
  <c r="I737" i="3"/>
  <c r="J737" i="3"/>
  <c r="B738" i="3"/>
  <c r="C738" i="3"/>
  <c r="D738" i="3"/>
  <c r="E738" i="3"/>
  <c r="F738" i="3"/>
  <c r="G738" i="3"/>
  <c r="H738" i="3"/>
  <c r="I738" i="3"/>
  <c r="J738" i="3"/>
  <c r="B739" i="3"/>
  <c r="C739" i="3"/>
  <c r="D739" i="3"/>
  <c r="E739" i="3"/>
  <c r="F739" i="3"/>
  <c r="G739" i="3"/>
  <c r="H739" i="3"/>
  <c r="I739" i="3"/>
  <c r="J739" i="3"/>
  <c r="B740" i="3"/>
  <c r="C740" i="3"/>
  <c r="D740" i="3"/>
  <c r="E740" i="3"/>
  <c r="F740" i="3"/>
  <c r="G740" i="3"/>
  <c r="H740" i="3"/>
  <c r="I740" i="3"/>
  <c r="J740" i="3"/>
  <c r="B741" i="3"/>
  <c r="C741" i="3"/>
  <c r="D741" i="3"/>
  <c r="E741" i="3"/>
  <c r="F741" i="3"/>
  <c r="G741" i="3"/>
  <c r="H741" i="3"/>
  <c r="I741" i="3"/>
  <c r="J741" i="3"/>
  <c r="B742" i="3"/>
  <c r="C742" i="3"/>
  <c r="D742" i="3"/>
  <c r="E742" i="3"/>
  <c r="F742" i="3"/>
  <c r="G742" i="3"/>
  <c r="H742" i="3"/>
  <c r="I742" i="3"/>
  <c r="J742" i="3"/>
  <c r="B743" i="3"/>
  <c r="C743" i="3"/>
  <c r="D743" i="3"/>
  <c r="E743" i="3"/>
  <c r="F743" i="3"/>
  <c r="G743" i="3"/>
  <c r="H743" i="3"/>
  <c r="I743" i="3"/>
  <c r="J743" i="3"/>
  <c r="B744" i="3"/>
  <c r="C744" i="3"/>
  <c r="D744" i="3"/>
  <c r="E744" i="3"/>
  <c r="F744" i="3"/>
  <c r="G744" i="3"/>
  <c r="H744" i="3"/>
  <c r="I744" i="3"/>
  <c r="J744" i="3"/>
  <c r="B745" i="3"/>
  <c r="C745" i="3"/>
  <c r="D745" i="3"/>
  <c r="E745" i="3"/>
  <c r="F745" i="3"/>
  <c r="G745" i="3"/>
  <c r="H745" i="3"/>
  <c r="I745" i="3"/>
  <c r="J745" i="3"/>
  <c r="B746" i="3"/>
  <c r="C746" i="3"/>
  <c r="D746" i="3"/>
  <c r="E746" i="3"/>
  <c r="F746" i="3"/>
  <c r="G746" i="3"/>
  <c r="H746" i="3"/>
  <c r="I746" i="3"/>
  <c r="J746" i="3"/>
  <c r="B747" i="3"/>
  <c r="C747" i="3"/>
  <c r="D747" i="3"/>
  <c r="E747" i="3"/>
  <c r="F747" i="3"/>
  <c r="G747" i="3"/>
  <c r="H747" i="3"/>
  <c r="I747" i="3"/>
  <c r="J747" i="3"/>
  <c r="B748" i="3"/>
  <c r="C748" i="3"/>
  <c r="D748" i="3"/>
  <c r="E748" i="3"/>
  <c r="F748" i="3"/>
  <c r="G748" i="3"/>
  <c r="H748" i="3"/>
  <c r="I748" i="3"/>
  <c r="J748" i="3"/>
  <c r="B749" i="3"/>
  <c r="C749" i="3"/>
  <c r="D749" i="3"/>
  <c r="E749" i="3"/>
  <c r="F749" i="3"/>
  <c r="G749" i="3"/>
  <c r="H749" i="3"/>
  <c r="I749" i="3"/>
  <c r="J749" i="3"/>
  <c r="B750" i="3"/>
  <c r="C750" i="3"/>
  <c r="D750" i="3"/>
  <c r="E750" i="3"/>
  <c r="F750" i="3"/>
  <c r="G750" i="3"/>
  <c r="H750" i="3"/>
  <c r="I750" i="3"/>
  <c r="J750" i="3"/>
  <c r="B751" i="3"/>
  <c r="C751" i="3"/>
  <c r="D751" i="3"/>
  <c r="E751" i="3"/>
  <c r="F751" i="3"/>
  <c r="G751" i="3"/>
  <c r="H751" i="3"/>
  <c r="I751" i="3"/>
  <c r="J751" i="3"/>
  <c r="B752" i="3"/>
  <c r="C752" i="3"/>
  <c r="D752" i="3"/>
  <c r="E752" i="3"/>
  <c r="F752" i="3"/>
  <c r="G752" i="3"/>
  <c r="H752" i="3"/>
  <c r="I752" i="3"/>
  <c r="J752" i="3"/>
  <c r="B753" i="3"/>
  <c r="C753" i="3"/>
  <c r="D753" i="3"/>
  <c r="E753" i="3"/>
  <c r="F753" i="3"/>
  <c r="G753" i="3"/>
  <c r="H753" i="3"/>
  <c r="I753" i="3"/>
  <c r="J753" i="3"/>
  <c r="B754" i="3"/>
  <c r="C754" i="3"/>
  <c r="D754" i="3"/>
  <c r="E754" i="3"/>
  <c r="F754" i="3"/>
  <c r="G754" i="3"/>
  <c r="H754" i="3"/>
  <c r="I754" i="3"/>
  <c r="J754" i="3"/>
  <c r="B755" i="3"/>
  <c r="C755" i="3"/>
  <c r="D755" i="3"/>
  <c r="E755" i="3"/>
  <c r="F755" i="3"/>
  <c r="G755" i="3"/>
  <c r="H755" i="3"/>
  <c r="I755" i="3"/>
  <c r="J755" i="3"/>
  <c r="B756" i="3"/>
  <c r="C756" i="3"/>
  <c r="D756" i="3"/>
  <c r="E756" i="3"/>
  <c r="F756" i="3"/>
  <c r="G756" i="3"/>
  <c r="H756" i="3"/>
  <c r="I756" i="3"/>
  <c r="J756" i="3"/>
  <c r="B757" i="3"/>
  <c r="C757" i="3"/>
  <c r="D757" i="3"/>
  <c r="E757" i="3"/>
  <c r="F757" i="3"/>
  <c r="G757" i="3"/>
  <c r="H757" i="3"/>
  <c r="I757" i="3"/>
  <c r="J757" i="3"/>
  <c r="B758" i="3"/>
  <c r="C758" i="3"/>
  <c r="D758" i="3"/>
  <c r="E758" i="3"/>
  <c r="F758" i="3"/>
  <c r="G758" i="3"/>
  <c r="H758" i="3"/>
  <c r="I758" i="3"/>
  <c r="J758" i="3"/>
  <c r="B759" i="3"/>
  <c r="C759" i="3"/>
  <c r="D759" i="3"/>
  <c r="E759" i="3"/>
  <c r="F759" i="3"/>
  <c r="G759" i="3"/>
  <c r="H759" i="3"/>
  <c r="I759" i="3"/>
  <c r="J759" i="3"/>
  <c r="B760" i="3"/>
  <c r="C760" i="3"/>
  <c r="D760" i="3"/>
  <c r="E760" i="3"/>
  <c r="F760" i="3"/>
  <c r="G760" i="3"/>
  <c r="H760" i="3"/>
  <c r="I760" i="3"/>
  <c r="J760" i="3"/>
  <c r="B761" i="3"/>
  <c r="C761" i="3"/>
  <c r="D761" i="3"/>
  <c r="E761" i="3"/>
  <c r="F761" i="3"/>
  <c r="G761" i="3"/>
  <c r="H761" i="3"/>
  <c r="I761" i="3"/>
  <c r="J761" i="3"/>
  <c r="B762" i="3"/>
  <c r="C762" i="3"/>
  <c r="D762" i="3"/>
  <c r="E762" i="3"/>
  <c r="F762" i="3"/>
  <c r="G762" i="3"/>
  <c r="H762" i="3"/>
  <c r="I762" i="3"/>
  <c r="J762" i="3"/>
  <c r="B763" i="3"/>
  <c r="C763" i="3"/>
  <c r="D763" i="3"/>
  <c r="E763" i="3"/>
  <c r="F763" i="3"/>
  <c r="G763" i="3"/>
  <c r="H763" i="3"/>
  <c r="I763" i="3"/>
  <c r="J763" i="3"/>
  <c r="B764" i="3"/>
  <c r="C764" i="3"/>
  <c r="D764" i="3"/>
  <c r="E764" i="3"/>
  <c r="F764" i="3"/>
  <c r="G764" i="3"/>
  <c r="H764" i="3"/>
  <c r="I764" i="3"/>
  <c r="J764" i="3"/>
  <c r="B765" i="3"/>
  <c r="C765" i="3"/>
  <c r="D765" i="3"/>
  <c r="E765" i="3"/>
  <c r="F765" i="3"/>
  <c r="G765" i="3"/>
  <c r="H765" i="3"/>
  <c r="I765" i="3"/>
  <c r="J765" i="3"/>
  <c r="B766" i="3"/>
  <c r="C766" i="3"/>
  <c r="D766" i="3"/>
  <c r="E766" i="3"/>
  <c r="F766" i="3"/>
  <c r="G766" i="3"/>
  <c r="H766" i="3"/>
  <c r="I766" i="3"/>
  <c r="J766" i="3"/>
  <c r="B767" i="3"/>
  <c r="C767" i="3"/>
  <c r="D767" i="3"/>
  <c r="E767" i="3"/>
  <c r="F767" i="3"/>
  <c r="G767" i="3"/>
  <c r="H767" i="3"/>
  <c r="I767" i="3"/>
  <c r="J767" i="3"/>
  <c r="B768" i="3"/>
  <c r="C768" i="3"/>
  <c r="D768" i="3"/>
  <c r="E768" i="3"/>
  <c r="F768" i="3"/>
  <c r="G768" i="3"/>
  <c r="H768" i="3"/>
  <c r="I768" i="3"/>
  <c r="J768" i="3"/>
  <c r="B769" i="3"/>
  <c r="C769" i="3"/>
  <c r="D769" i="3"/>
  <c r="E769" i="3"/>
  <c r="F769" i="3"/>
  <c r="G769" i="3"/>
  <c r="H769" i="3"/>
  <c r="I769" i="3"/>
  <c r="J769" i="3"/>
  <c r="B770" i="3"/>
  <c r="C770" i="3"/>
  <c r="D770" i="3"/>
  <c r="E770" i="3"/>
  <c r="F770" i="3"/>
  <c r="G770" i="3"/>
  <c r="H770" i="3"/>
  <c r="I770" i="3"/>
  <c r="J770" i="3"/>
  <c r="B771" i="3"/>
  <c r="C771" i="3"/>
  <c r="D771" i="3"/>
  <c r="E771" i="3"/>
  <c r="F771" i="3"/>
  <c r="G771" i="3"/>
  <c r="H771" i="3"/>
  <c r="I771" i="3"/>
  <c r="J771" i="3"/>
  <c r="B772" i="3"/>
  <c r="C772" i="3"/>
  <c r="D772" i="3"/>
  <c r="E772" i="3"/>
  <c r="F772" i="3"/>
  <c r="G772" i="3"/>
  <c r="H772" i="3"/>
  <c r="I772" i="3"/>
  <c r="J772" i="3"/>
  <c r="B773" i="3"/>
  <c r="C773" i="3"/>
  <c r="D773" i="3"/>
  <c r="E773" i="3"/>
  <c r="F773" i="3"/>
  <c r="G773" i="3"/>
  <c r="H773" i="3"/>
  <c r="I773" i="3"/>
  <c r="J773" i="3"/>
  <c r="B774" i="3"/>
  <c r="C774" i="3"/>
  <c r="D774" i="3"/>
  <c r="E774" i="3"/>
  <c r="F774" i="3"/>
  <c r="G774" i="3"/>
  <c r="H774" i="3"/>
  <c r="I774" i="3"/>
  <c r="J774" i="3"/>
  <c r="B775" i="3"/>
  <c r="C775" i="3"/>
  <c r="D775" i="3"/>
  <c r="E775" i="3"/>
  <c r="F775" i="3"/>
  <c r="G775" i="3"/>
  <c r="H775" i="3"/>
  <c r="I775" i="3"/>
  <c r="J775" i="3"/>
  <c r="B776" i="3"/>
  <c r="C776" i="3"/>
  <c r="D776" i="3"/>
  <c r="E776" i="3"/>
  <c r="F776" i="3"/>
  <c r="G776" i="3"/>
  <c r="H776" i="3"/>
  <c r="I776" i="3"/>
  <c r="J776" i="3"/>
  <c r="B777" i="3"/>
  <c r="C777" i="3"/>
  <c r="D777" i="3"/>
  <c r="E777" i="3"/>
  <c r="F777" i="3"/>
  <c r="G777" i="3"/>
  <c r="H777" i="3"/>
  <c r="I777" i="3"/>
  <c r="J777" i="3"/>
  <c r="B778" i="3"/>
  <c r="C778" i="3"/>
  <c r="D778" i="3"/>
  <c r="E778" i="3"/>
  <c r="F778" i="3"/>
  <c r="G778" i="3"/>
  <c r="H778" i="3"/>
  <c r="I778" i="3"/>
  <c r="J778" i="3"/>
  <c r="B779" i="3"/>
  <c r="C779" i="3"/>
  <c r="D779" i="3"/>
  <c r="E779" i="3"/>
  <c r="F779" i="3"/>
  <c r="G779" i="3"/>
  <c r="H779" i="3"/>
  <c r="I779" i="3"/>
  <c r="J779" i="3"/>
  <c r="B780" i="3"/>
  <c r="C780" i="3"/>
  <c r="D780" i="3"/>
  <c r="E780" i="3"/>
  <c r="F780" i="3"/>
  <c r="G780" i="3"/>
  <c r="H780" i="3"/>
  <c r="I780" i="3"/>
  <c r="J780" i="3"/>
  <c r="B781" i="3"/>
  <c r="C781" i="3"/>
  <c r="D781" i="3"/>
  <c r="E781" i="3"/>
  <c r="F781" i="3"/>
  <c r="G781" i="3"/>
  <c r="H781" i="3"/>
  <c r="I781" i="3"/>
  <c r="J781" i="3"/>
  <c r="B782" i="3"/>
  <c r="C782" i="3"/>
  <c r="D782" i="3"/>
  <c r="E782" i="3"/>
  <c r="F782" i="3"/>
  <c r="G782" i="3"/>
  <c r="H782" i="3"/>
  <c r="I782" i="3"/>
  <c r="J782" i="3"/>
  <c r="B783" i="3"/>
  <c r="C783" i="3"/>
  <c r="D783" i="3"/>
  <c r="E783" i="3"/>
  <c r="F783" i="3"/>
  <c r="G783" i="3"/>
  <c r="H783" i="3"/>
  <c r="I783" i="3"/>
  <c r="J783" i="3"/>
  <c r="B784" i="3"/>
  <c r="C784" i="3"/>
  <c r="D784" i="3"/>
  <c r="E784" i="3"/>
  <c r="F784" i="3"/>
  <c r="G784" i="3"/>
  <c r="H784" i="3"/>
  <c r="I784" i="3"/>
  <c r="J784" i="3"/>
  <c r="B785" i="3"/>
  <c r="C785" i="3"/>
  <c r="D785" i="3"/>
  <c r="E785" i="3"/>
  <c r="F785" i="3"/>
  <c r="G785" i="3"/>
  <c r="H785" i="3"/>
  <c r="I785" i="3"/>
  <c r="J785" i="3"/>
  <c r="B786" i="3"/>
  <c r="C786" i="3"/>
  <c r="D786" i="3"/>
  <c r="E786" i="3"/>
  <c r="F786" i="3"/>
  <c r="G786" i="3"/>
  <c r="H786" i="3"/>
  <c r="I786" i="3"/>
  <c r="J786" i="3"/>
  <c r="B787" i="3"/>
  <c r="C787" i="3"/>
  <c r="D787" i="3"/>
  <c r="E787" i="3"/>
  <c r="F787" i="3"/>
  <c r="G787" i="3"/>
  <c r="H787" i="3"/>
  <c r="I787" i="3"/>
  <c r="J787" i="3"/>
  <c r="B788" i="3"/>
  <c r="C788" i="3"/>
  <c r="D788" i="3"/>
  <c r="E788" i="3"/>
  <c r="F788" i="3"/>
  <c r="G788" i="3"/>
  <c r="H788" i="3"/>
  <c r="I788" i="3"/>
  <c r="J788" i="3"/>
  <c r="B789" i="3"/>
  <c r="C789" i="3"/>
  <c r="D789" i="3"/>
  <c r="E789" i="3"/>
  <c r="F789" i="3"/>
  <c r="G789" i="3"/>
  <c r="H789" i="3"/>
  <c r="I789" i="3"/>
  <c r="J789" i="3"/>
  <c r="B790" i="3"/>
  <c r="C790" i="3"/>
  <c r="D790" i="3"/>
  <c r="E790" i="3"/>
  <c r="F790" i="3"/>
  <c r="G790" i="3"/>
  <c r="H790" i="3"/>
  <c r="I790" i="3"/>
  <c r="J790" i="3"/>
  <c r="B791" i="3"/>
  <c r="C791" i="3"/>
  <c r="D791" i="3"/>
  <c r="E791" i="3"/>
  <c r="F791" i="3"/>
  <c r="G791" i="3"/>
  <c r="H791" i="3"/>
  <c r="I791" i="3"/>
  <c r="J791" i="3"/>
  <c r="B792" i="3"/>
  <c r="C792" i="3"/>
  <c r="D792" i="3"/>
  <c r="E792" i="3"/>
  <c r="F792" i="3"/>
  <c r="G792" i="3"/>
  <c r="H792" i="3"/>
  <c r="I792" i="3"/>
  <c r="J792" i="3"/>
  <c r="B793" i="3"/>
  <c r="C793" i="3"/>
  <c r="D793" i="3"/>
  <c r="E793" i="3"/>
  <c r="F793" i="3"/>
  <c r="G793" i="3"/>
  <c r="H793" i="3"/>
  <c r="I793" i="3"/>
  <c r="J793" i="3"/>
  <c r="B794" i="3"/>
  <c r="C794" i="3"/>
  <c r="D794" i="3"/>
  <c r="E794" i="3"/>
  <c r="F794" i="3"/>
  <c r="G794" i="3"/>
  <c r="H794" i="3"/>
  <c r="I794" i="3"/>
  <c r="J794" i="3"/>
  <c r="B795" i="3"/>
  <c r="C795" i="3"/>
  <c r="D795" i="3"/>
  <c r="E795" i="3"/>
  <c r="F795" i="3"/>
  <c r="G795" i="3"/>
  <c r="H795" i="3"/>
  <c r="I795" i="3"/>
  <c r="J795" i="3"/>
  <c r="B796" i="3"/>
  <c r="C796" i="3"/>
  <c r="D796" i="3"/>
  <c r="E796" i="3"/>
  <c r="F796" i="3"/>
  <c r="G796" i="3"/>
  <c r="H796" i="3"/>
  <c r="I796" i="3"/>
  <c r="J796" i="3"/>
  <c r="B797" i="3"/>
  <c r="C797" i="3"/>
  <c r="D797" i="3"/>
  <c r="E797" i="3"/>
  <c r="F797" i="3"/>
  <c r="G797" i="3"/>
  <c r="H797" i="3"/>
  <c r="I797" i="3"/>
  <c r="J797" i="3"/>
  <c r="B798" i="3"/>
  <c r="C798" i="3"/>
  <c r="D798" i="3"/>
  <c r="E798" i="3"/>
  <c r="F798" i="3"/>
  <c r="G798" i="3"/>
  <c r="H798" i="3"/>
  <c r="I798" i="3"/>
  <c r="J798" i="3"/>
  <c r="B799" i="3"/>
  <c r="C799" i="3"/>
  <c r="D799" i="3"/>
  <c r="E799" i="3"/>
  <c r="F799" i="3"/>
  <c r="G799" i="3"/>
  <c r="H799" i="3"/>
  <c r="I799" i="3"/>
  <c r="J799" i="3"/>
  <c r="B800" i="3"/>
  <c r="C800" i="3"/>
  <c r="D800" i="3"/>
  <c r="E800" i="3"/>
  <c r="F800" i="3"/>
  <c r="G800" i="3"/>
  <c r="H800" i="3"/>
  <c r="I800" i="3"/>
  <c r="J800" i="3"/>
  <c r="B801" i="3"/>
  <c r="C801" i="3"/>
  <c r="D801" i="3"/>
  <c r="E801" i="3"/>
  <c r="F801" i="3"/>
  <c r="G801" i="3"/>
  <c r="H801" i="3"/>
  <c r="I801" i="3"/>
  <c r="J801" i="3"/>
  <c r="B802" i="3"/>
  <c r="C802" i="3"/>
  <c r="D802" i="3"/>
  <c r="E802" i="3"/>
  <c r="F802" i="3"/>
  <c r="G802" i="3"/>
  <c r="H802" i="3"/>
  <c r="I802" i="3"/>
  <c r="J802" i="3"/>
  <c r="B803" i="3"/>
  <c r="C803" i="3"/>
  <c r="D803" i="3"/>
  <c r="E803" i="3"/>
  <c r="F803" i="3"/>
  <c r="G803" i="3"/>
  <c r="H803" i="3"/>
  <c r="I803" i="3"/>
  <c r="J803" i="3"/>
  <c r="B804" i="3"/>
  <c r="C804" i="3"/>
  <c r="D804" i="3"/>
  <c r="E804" i="3"/>
  <c r="F804" i="3"/>
  <c r="G804" i="3"/>
  <c r="H804" i="3"/>
  <c r="I804" i="3"/>
  <c r="J804" i="3"/>
  <c r="B805" i="3"/>
  <c r="C805" i="3"/>
  <c r="D805" i="3"/>
  <c r="E805" i="3"/>
  <c r="F805" i="3"/>
  <c r="G805" i="3"/>
  <c r="H805" i="3"/>
  <c r="I805" i="3"/>
  <c r="J805" i="3"/>
  <c r="B806" i="3"/>
  <c r="C806" i="3"/>
  <c r="D806" i="3"/>
  <c r="E806" i="3"/>
  <c r="F806" i="3"/>
  <c r="G806" i="3"/>
  <c r="H806" i="3"/>
  <c r="I806" i="3"/>
  <c r="J806" i="3"/>
  <c r="B807" i="3"/>
  <c r="C807" i="3"/>
  <c r="D807" i="3"/>
  <c r="E807" i="3"/>
  <c r="F807" i="3"/>
  <c r="G807" i="3"/>
  <c r="H807" i="3"/>
  <c r="I807" i="3"/>
  <c r="J807" i="3"/>
  <c r="B808" i="3"/>
  <c r="C808" i="3"/>
  <c r="D808" i="3"/>
  <c r="E808" i="3"/>
  <c r="F808" i="3"/>
  <c r="G808" i="3"/>
  <c r="H808" i="3"/>
  <c r="I808" i="3"/>
  <c r="J808" i="3"/>
  <c r="B809" i="3"/>
  <c r="C809" i="3"/>
  <c r="D809" i="3"/>
  <c r="E809" i="3"/>
  <c r="F809" i="3"/>
  <c r="G809" i="3"/>
  <c r="H809" i="3"/>
  <c r="I809" i="3"/>
  <c r="J809" i="3"/>
  <c r="B810" i="3"/>
  <c r="C810" i="3"/>
  <c r="D810" i="3"/>
  <c r="E810" i="3"/>
  <c r="F810" i="3"/>
  <c r="G810" i="3"/>
  <c r="H810" i="3"/>
  <c r="I810" i="3"/>
  <c r="J810" i="3"/>
  <c r="B811" i="3"/>
  <c r="C811" i="3"/>
  <c r="D811" i="3"/>
  <c r="E811" i="3"/>
  <c r="F811" i="3"/>
  <c r="G811" i="3"/>
  <c r="H811" i="3"/>
  <c r="I811" i="3"/>
  <c r="J811" i="3"/>
  <c r="B812" i="3"/>
  <c r="C812" i="3"/>
  <c r="D812" i="3"/>
  <c r="E812" i="3"/>
  <c r="F812" i="3"/>
  <c r="G812" i="3"/>
  <c r="H812" i="3"/>
  <c r="I812" i="3"/>
  <c r="J812" i="3"/>
  <c r="B813" i="3"/>
  <c r="C813" i="3"/>
  <c r="D813" i="3"/>
  <c r="E813" i="3"/>
  <c r="F813" i="3"/>
  <c r="G813" i="3"/>
  <c r="H813" i="3"/>
  <c r="I813" i="3"/>
  <c r="J813" i="3"/>
  <c r="B814" i="3"/>
  <c r="C814" i="3"/>
  <c r="D814" i="3"/>
  <c r="E814" i="3"/>
  <c r="F814" i="3"/>
  <c r="G814" i="3"/>
  <c r="H814" i="3"/>
  <c r="I814" i="3"/>
  <c r="J814" i="3"/>
  <c r="B815" i="3"/>
  <c r="C815" i="3"/>
  <c r="D815" i="3"/>
  <c r="E815" i="3"/>
  <c r="F815" i="3"/>
  <c r="G815" i="3"/>
  <c r="H815" i="3"/>
  <c r="I815" i="3"/>
  <c r="J815" i="3"/>
  <c r="B816" i="3"/>
  <c r="C816" i="3"/>
  <c r="D816" i="3"/>
  <c r="E816" i="3"/>
  <c r="F816" i="3"/>
  <c r="G816" i="3"/>
  <c r="H816" i="3"/>
  <c r="I816" i="3"/>
  <c r="J816" i="3"/>
  <c r="B817" i="3"/>
  <c r="C817" i="3"/>
  <c r="D817" i="3"/>
  <c r="E817" i="3"/>
  <c r="F817" i="3"/>
  <c r="G817" i="3"/>
  <c r="H817" i="3"/>
  <c r="I817" i="3"/>
  <c r="J817" i="3"/>
  <c r="B818" i="3"/>
  <c r="C818" i="3"/>
  <c r="D818" i="3"/>
  <c r="E818" i="3"/>
  <c r="F818" i="3"/>
  <c r="G818" i="3"/>
  <c r="H818" i="3"/>
  <c r="I818" i="3"/>
  <c r="J818" i="3"/>
  <c r="B819" i="3"/>
  <c r="C819" i="3"/>
  <c r="D819" i="3"/>
  <c r="E819" i="3"/>
  <c r="F819" i="3"/>
  <c r="G819" i="3"/>
  <c r="H819" i="3"/>
  <c r="I819" i="3"/>
  <c r="J819" i="3"/>
  <c r="B820" i="3"/>
  <c r="C820" i="3"/>
  <c r="D820" i="3"/>
  <c r="E820" i="3"/>
  <c r="F820" i="3"/>
  <c r="G820" i="3"/>
  <c r="H820" i="3"/>
  <c r="I820" i="3"/>
  <c r="J820" i="3"/>
  <c r="B821" i="3"/>
  <c r="C821" i="3"/>
  <c r="D821" i="3"/>
  <c r="E821" i="3"/>
  <c r="F821" i="3"/>
  <c r="G821" i="3"/>
  <c r="H821" i="3"/>
  <c r="I821" i="3"/>
  <c r="J821" i="3"/>
  <c r="B822" i="3"/>
  <c r="C822" i="3"/>
  <c r="D822" i="3"/>
  <c r="E822" i="3"/>
  <c r="F822" i="3"/>
  <c r="G822" i="3"/>
  <c r="H822" i="3"/>
  <c r="I822" i="3"/>
  <c r="J822" i="3"/>
  <c r="B823" i="3"/>
  <c r="C823" i="3"/>
  <c r="D823" i="3"/>
  <c r="E823" i="3"/>
  <c r="F823" i="3"/>
  <c r="G823" i="3"/>
  <c r="H823" i="3"/>
  <c r="I823" i="3"/>
  <c r="J823" i="3"/>
  <c r="B824" i="3"/>
  <c r="C824" i="3"/>
  <c r="D824" i="3"/>
  <c r="E824" i="3"/>
  <c r="F824" i="3"/>
  <c r="G824" i="3"/>
  <c r="H824" i="3"/>
  <c r="I824" i="3"/>
  <c r="J824" i="3"/>
  <c r="B825" i="3"/>
  <c r="C825" i="3"/>
  <c r="D825" i="3"/>
  <c r="E825" i="3"/>
  <c r="F825" i="3"/>
  <c r="G825" i="3"/>
  <c r="H825" i="3"/>
  <c r="I825" i="3"/>
  <c r="J825" i="3"/>
  <c r="B826" i="3"/>
  <c r="C826" i="3"/>
  <c r="D826" i="3"/>
  <c r="E826" i="3"/>
  <c r="F826" i="3"/>
  <c r="G826" i="3"/>
  <c r="H826" i="3"/>
  <c r="I826" i="3"/>
  <c r="J826" i="3"/>
  <c r="B827" i="3"/>
  <c r="C827" i="3"/>
  <c r="D827" i="3"/>
  <c r="E827" i="3"/>
  <c r="F827" i="3"/>
  <c r="G827" i="3"/>
  <c r="H827" i="3"/>
  <c r="I827" i="3"/>
  <c r="J827" i="3"/>
  <c r="B828" i="3"/>
  <c r="C828" i="3"/>
  <c r="D828" i="3"/>
  <c r="E828" i="3"/>
  <c r="F828" i="3"/>
  <c r="G828" i="3"/>
  <c r="H828" i="3"/>
  <c r="I828" i="3"/>
  <c r="J828" i="3"/>
  <c r="B829" i="3"/>
  <c r="C829" i="3"/>
  <c r="D829" i="3"/>
  <c r="E829" i="3"/>
  <c r="F829" i="3"/>
  <c r="G829" i="3"/>
  <c r="H829" i="3"/>
  <c r="I829" i="3"/>
  <c r="J829" i="3"/>
  <c r="B830" i="3"/>
  <c r="C830" i="3"/>
  <c r="D830" i="3"/>
  <c r="E830" i="3"/>
  <c r="F830" i="3"/>
  <c r="G830" i="3"/>
  <c r="H830" i="3"/>
  <c r="I830" i="3"/>
  <c r="J830" i="3"/>
  <c r="B831" i="3"/>
  <c r="C831" i="3"/>
  <c r="D831" i="3"/>
  <c r="E831" i="3"/>
  <c r="F831" i="3"/>
  <c r="G831" i="3"/>
  <c r="H831" i="3"/>
  <c r="I831" i="3"/>
  <c r="J831" i="3"/>
  <c r="B832" i="3"/>
  <c r="C832" i="3"/>
  <c r="D832" i="3"/>
  <c r="E832" i="3"/>
  <c r="F832" i="3"/>
  <c r="G832" i="3"/>
  <c r="H832" i="3"/>
  <c r="I832" i="3"/>
  <c r="J832" i="3"/>
  <c r="B833" i="3"/>
  <c r="C833" i="3"/>
  <c r="D833" i="3"/>
  <c r="E833" i="3"/>
  <c r="F833" i="3"/>
  <c r="G833" i="3"/>
  <c r="H833" i="3"/>
  <c r="I833" i="3"/>
  <c r="J833" i="3"/>
  <c r="B834" i="3"/>
  <c r="C834" i="3"/>
  <c r="D834" i="3"/>
  <c r="E834" i="3"/>
  <c r="F834" i="3"/>
  <c r="G834" i="3"/>
  <c r="H834" i="3"/>
  <c r="I834" i="3"/>
  <c r="J834" i="3"/>
  <c r="B835" i="3"/>
  <c r="C835" i="3"/>
  <c r="D835" i="3"/>
  <c r="E835" i="3"/>
  <c r="F835" i="3"/>
  <c r="G835" i="3"/>
  <c r="H835" i="3"/>
  <c r="I835" i="3"/>
  <c r="J835" i="3"/>
  <c r="B836" i="3"/>
  <c r="C836" i="3"/>
  <c r="D836" i="3"/>
  <c r="E836" i="3"/>
  <c r="F836" i="3"/>
  <c r="G836" i="3"/>
  <c r="H836" i="3"/>
  <c r="I836" i="3"/>
  <c r="J836" i="3"/>
  <c r="B837" i="3"/>
  <c r="C837" i="3"/>
  <c r="D837" i="3"/>
  <c r="E837" i="3"/>
  <c r="F837" i="3"/>
  <c r="G837" i="3"/>
  <c r="H837" i="3"/>
  <c r="I837" i="3"/>
  <c r="J837" i="3"/>
  <c r="B838" i="3"/>
  <c r="C838" i="3"/>
  <c r="D838" i="3"/>
  <c r="E838" i="3"/>
  <c r="F838" i="3"/>
  <c r="G838" i="3"/>
  <c r="H838" i="3"/>
  <c r="I838" i="3"/>
  <c r="J838" i="3"/>
  <c r="B839" i="3"/>
  <c r="C839" i="3"/>
  <c r="D839" i="3"/>
  <c r="E839" i="3"/>
  <c r="F839" i="3"/>
  <c r="G839" i="3"/>
  <c r="H839" i="3"/>
  <c r="I839" i="3"/>
  <c r="J839" i="3"/>
  <c r="B840" i="3"/>
  <c r="C840" i="3"/>
  <c r="D840" i="3"/>
  <c r="E840" i="3"/>
  <c r="F840" i="3"/>
  <c r="G840" i="3"/>
  <c r="H840" i="3"/>
  <c r="I840" i="3"/>
  <c r="J840" i="3"/>
  <c r="B841" i="3"/>
  <c r="C841" i="3"/>
  <c r="D841" i="3"/>
  <c r="E841" i="3"/>
  <c r="F841" i="3"/>
  <c r="G841" i="3"/>
  <c r="H841" i="3"/>
  <c r="I841" i="3"/>
  <c r="J841" i="3"/>
  <c r="B842" i="3"/>
  <c r="C842" i="3"/>
  <c r="D842" i="3"/>
  <c r="E842" i="3"/>
  <c r="F842" i="3"/>
  <c r="G842" i="3"/>
  <c r="H842" i="3"/>
  <c r="I842" i="3"/>
  <c r="J842" i="3"/>
  <c r="B843" i="3"/>
  <c r="C843" i="3"/>
  <c r="D843" i="3"/>
  <c r="E843" i="3"/>
  <c r="F843" i="3"/>
  <c r="G843" i="3"/>
  <c r="H843" i="3"/>
  <c r="I843" i="3"/>
  <c r="J843" i="3"/>
  <c r="B844" i="3"/>
  <c r="C844" i="3"/>
  <c r="D844" i="3"/>
  <c r="E844" i="3"/>
  <c r="F844" i="3"/>
  <c r="G844" i="3"/>
  <c r="H844" i="3"/>
  <c r="I844" i="3"/>
  <c r="J844" i="3"/>
  <c r="B845" i="3"/>
  <c r="C845" i="3"/>
  <c r="D845" i="3"/>
  <c r="E845" i="3"/>
  <c r="F845" i="3"/>
  <c r="G845" i="3"/>
  <c r="H845" i="3"/>
  <c r="I845" i="3"/>
  <c r="J845" i="3"/>
  <c r="B846" i="3"/>
  <c r="C846" i="3"/>
  <c r="D846" i="3"/>
  <c r="E846" i="3"/>
  <c r="F846" i="3"/>
  <c r="G846" i="3"/>
  <c r="H846" i="3"/>
  <c r="I846" i="3"/>
  <c r="J846" i="3"/>
  <c r="B847" i="3"/>
  <c r="C847" i="3"/>
  <c r="D847" i="3"/>
  <c r="E847" i="3"/>
  <c r="F847" i="3"/>
  <c r="G847" i="3"/>
  <c r="H847" i="3"/>
  <c r="I847" i="3"/>
  <c r="J847" i="3"/>
  <c r="B848" i="3"/>
  <c r="C848" i="3"/>
  <c r="D848" i="3"/>
  <c r="E848" i="3"/>
  <c r="F848" i="3"/>
  <c r="G848" i="3"/>
  <c r="H848" i="3"/>
  <c r="I848" i="3"/>
  <c r="J848" i="3"/>
  <c r="B849" i="3"/>
  <c r="C849" i="3"/>
  <c r="D849" i="3"/>
  <c r="E849" i="3"/>
  <c r="F849" i="3"/>
  <c r="G849" i="3"/>
  <c r="H849" i="3"/>
  <c r="I849" i="3"/>
  <c r="J849" i="3"/>
  <c r="B850" i="3"/>
  <c r="C850" i="3"/>
  <c r="D850" i="3"/>
  <c r="E850" i="3"/>
  <c r="F850" i="3"/>
  <c r="G850" i="3"/>
  <c r="H850" i="3"/>
  <c r="I850" i="3"/>
  <c r="J850" i="3"/>
  <c r="B851" i="3"/>
  <c r="C851" i="3"/>
  <c r="D851" i="3"/>
  <c r="E851" i="3"/>
  <c r="F851" i="3"/>
  <c r="G851" i="3"/>
  <c r="H851" i="3"/>
  <c r="I851" i="3"/>
  <c r="J851" i="3"/>
  <c r="B852" i="3"/>
  <c r="C852" i="3"/>
  <c r="D852" i="3"/>
  <c r="E852" i="3"/>
  <c r="F852" i="3"/>
  <c r="G852" i="3"/>
  <c r="H852" i="3"/>
  <c r="I852" i="3"/>
  <c r="J852" i="3"/>
  <c r="B853" i="3"/>
  <c r="C853" i="3"/>
  <c r="D853" i="3"/>
  <c r="E853" i="3"/>
  <c r="F853" i="3"/>
  <c r="G853" i="3"/>
  <c r="H853" i="3"/>
  <c r="I853" i="3"/>
  <c r="J853" i="3"/>
  <c r="B854" i="3"/>
  <c r="C854" i="3"/>
  <c r="D854" i="3"/>
  <c r="E854" i="3"/>
  <c r="F854" i="3"/>
  <c r="G854" i="3"/>
  <c r="H854" i="3"/>
  <c r="I854" i="3"/>
  <c r="J854" i="3"/>
  <c r="B855" i="3"/>
  <c r="C855" i="3"/>
  <c r="D855" i="3"/>
  <c r="E855" i="3"/>
  <c r="F855" i="3"/>
  <c r="G855" i="3"/>
  <c r="H855" i="3"/>
  <c r="I855" i="3"/>
  <c r="J855" i="3"/>
  <c r="B856" i="3"/>
  <c r="C856" i="3"/>
  <c r="D856" i="3"/>
  <c r="E856" i="3"/>
  <c r="F856" i="3"/>
  <c r="G856" i="3"/>
  <c r="H856" i="3"/>
  <c r="I856" i="3"/>
  <c r="J856" i="3"/>
  <c r="B857" i="3"/>
  <c r="C857" i="3"/>
  <c r="D857" i="3"/>
  <c r="E857" i="3"/>
  <c r="F857" i="3"/>
  <c r="G857" i="3"/>
  <c r="H857" i="3"/>
  <c r="I857" i="3"/>
  <c r="J857" i="3"/>
  <c r="B858" i="3"/>
  <c r="C858" i="3"/>
  <c r="D858" i="3"/>
  <c r="E858" i="3"/>
  <c r="F858" i="3"/>
  <c r="G858" i="3"/>
  <c r="H858" i="3"/>
  <c r="I858" i="3"/>
  <c r="J858" i="3"/>
  <c r="B859" i="3"/>
  <c r="C859" i="3"/>
  <c r="D859" i="3"/>
  <c r="E859" i="3"/>
  <c r="F859" i="3"/>
  <c r="G859" i="3"/>
  <c r="H859" i="3"/>
  <c r="I859" i="3"/>
  <c r="J859" i="3"/>
  <c r="B860" i="3"/>
  <c r="C860" i="3"/>
  <c r="D860" i="3"/>
  <c r="E860" i="3"/>
  <c r="F860" i="3"/>
  <c r="G860" i="3"/>
  <c r="H860" i="3"/>
  <c r="I860" i="3"/>
  <c r="J860" i="3"/>
  <c r="B861" i="3"/>
  <c r="C861" i="3"/>
  <c r="D861" i="3"/>
  <c r="E861" i="3"/>
  <c r="F861" i="3"/>
  <c r="G861" i="3"/>
  <c r="H861" i="3"/>
  <c r="I861" i="3"/>
  <c r="J861" i="3"/>
  <c r="B862" i="3"/>
  <c r="C862" i="3"/>
  <c r="D862" i="3"/>
  <c r="E862" i="3"/>
  <c r="F862" i="3"/>
  <c r="G862" i="3"/>
  <c r="H862" i="3"/>
  <c r="I862" i="3"/>
  <c r="J862" i="3"/>
  <c r="B863" i="3"/>
  <c r="C863" i="3"/>
  <c r="D863" i="3"/>
  <c r="E863" i="3"/>
  <c r="F863" i="3"/>
  <c r="G863" i="3"/>
  <c r="H863" i="3"/>
  <c r="I863" i="3"/>
  <c r="J863" i="3"/>
  <c r="B864" i="3"/>
  <c r="C864" i="3"/>
  <c r="D864" i="3"/>
  <c r="E864" i="3"/>
  <c r="F864" i="3"/>
  <c r="G864" i="3"/>
  <c r="H864" i="3"/>
  <c r="I864" i="3"/>
  <c r="J864" i="3"/>
  <c r="B865" i="3"/>
  <c r="C865" i="3"/>
  <c r="D865" i="3"/>
  <c r="E865" i="3"/>
  <c r="F865" i="3"/>
  <c r="G865" i="3"/>
  <c r="H865" i="3"/>
  <c r="I865" i="3"/>
  <c r="J865" i="3"/>
  <c r="B866" i="3"/>
  <c r="C866" i="3"/>
  <c r="D866" i="3"/>
  <c r="E866" i="3"/>
  <c r="F866" i="3"/>
  <c r="G866" i="3"/>
  <c r="H866" i="3"/>
  <c r="I866" i="3"/>
  <c r="J866" i="3"/>
  <c r="B867" i="3"/>
  <c r="C867" i="3"/>
  <c r="D867" i="3"/>
  <c r="E867" i="3"/>
  <c r="F867" i="3"/>
  <c r="G867" i="3"/>
  <c r="H867" i="3"/>
  <c r="I867" i="3"/>
  <c r="J867" i="3"/>
  <c r="B868" i="3"/>
  <c r="C868" i="3"/>
  <c r="D868" i="3"/>
  <c r="E868" i="3"/>
  <c r="F868" i="3"/>
  <c r="G868" i="3"/>
  <c r="H868" i="3"/>
  <c r="I868" i="3"/>
  <c r="J868" i="3"/>
  <c r="B869" i="3"/>
  <c r="C869" i="3"/>
  <c r="D869" i="3"/>
  <c r="E869" i="3"/>
  <c r="F869" i="3"/>
  <c r="G869" i="3"/>
  <c r="H869" i="3"/>
  <c r="I869" i="3"/>
  <c r="J869" i="3"/>
  <c r="B870" i="3"/>
  <c r="C870" i="3"/>
  <c r="D870" i="3"/>
  <c r="E870" i="3"/>
  <c r="F870" i="3"/>
  <c r="G870" i="3"/>
  <c r="H870" i="3"/>
  <c r="I870" i="3"/>
  <c r="J870" i="3"/>
  <c r="B871" i="3"/>
  <c r="C871" i="3"/>
  <c r="D871" i="3"/>
  <c r="E871" i="3"/>
  <c r="F871" i="3"/>
  <c r="G871" i="3"/>
  <c r="H871" i="3"/>
  <c r="I871" i="3"/>
  <c r="J871" i="3"/>
  <c r="B872" i="3"/>
  <c r="C872" i="3"/>
  <c r="D872" i="3"/>
  <c r="E872" i="3"/>
  <c r="F872" i="3"/>
  <c r="G872" i="3"/>
  <c r="H872" i="3"/>
  <c r="I872" i="3"/>
  <c r="J872" i="3"/>
  <c r="B873" i="3"/>
  <c r="C873" i="3"/>
  <c r="D873" i="3"/>
  <c r="E873" i="3"/>
  <c r="F873" i="3"/>
  <c r="G873" i="3"/>
  <c r="H873" i="3"/>
  <c r="I873" i="3"/>
  <c r="J873" i="3"/>
  <c r="B874" i="3"/>
  <c r="C874" i="3"/>
  <c r="D874" i="3"/>
  <c r="E874" i="3"/>
  <c r="F874" i="3"/>
  <c r="G874" i="3"/>
  <c r="H874" i="3"/>
  <c r="I874" i="3"/>
  <c r="J874" i="3"/>
  <c r="B875" i="3"/>
  <c r="C875" i="3"/>
  <c r="D875" i="3"/>
  <c r="E875" i="3"/>
  <c r="F875" i="3"/>
  <c r="G875" i="3"/>
  <c r="H875" i="3"/>
  <c r="I875" i="3"/>
  <c r="J875" i="3"/>
  <c r="B876" i="3"/>
  <c r="C876" i="3"/>
  <c r="D876" i="3"/>
  <c r="E876" i="3"/>
  <c r="F876" i="3"/>
  <c r="G876" i="3"/>
  <c r="H876" i="3"/>
  <c r="I876" i="3"/>
  <c r="J876" i="3"/>
  <c r="B877" i="3"/>
  <c r="C877" i="3"/>
  <c r="D877" i="3"/>
  <c r="E877" i="3"/>
  <c r="F877" i="3"/>
  <c r="G877" i="3"/>
  <c r="H877" i="3"/>
  <c r="I877" i="3"/>
  <c r="J877" i="3"/>
  <c r="B878" i="3"/>
  <c r="C878" i="3"/>
  <c r="D878" i="3"/>
  <c r="E878" i="3"/>
  <c r="F878" i="3"/>
  <c r="G878" i="3"/>
  <c r="H878" i="3"/>
  <c r="I878" i="3"/>
  <c r="J878" i="3"/>
  <c r="B879" i="3"/>
  <c r="C879" i="3"/>
  <c r="D879" i="3"/>
  <c r="E879" i="3"/>
  <c r="F879" i="3"/>
  <c r="G879" i="3"/>
  <c r="H879" i="3"/>
  <c r="I879" i="3"/>
  <c r="J879" i="3"/>
  <c r="B880" i="3"/>
  <c r="C880" i="3"/>
  <c r="D880" i="3"/>
  <c r="E880" i="3"/>
  <c r="F880" i="3"/>
  <c r="G880" i="3"/>
  <c r="H880" i="3"/>
  <c r="I880" i="3"/>
  <c r="J880" i="3"/>
  <c r="B881" i="3"/>
  <c r="C881" i="3"/>
  <c r="D881" i="3"/>
  <c r="E881" i="3"/>
  <c r="F881" i="3"/>
  <c r="G881" i="3"/>
  <c r="H881" i="3"/>
  <c r="I881" i="3"/>
  <c r="J881" i="3"/>
  <c r="B882" i="3"/>
  <c r="C882" i="3"/>
  <c r="D882" i="3"/>
  <c r="E882" i="3"/>
  <c r="F882" i="3"/>
  <c r="G882" i="3"/>
  <c r="H882" i="3"/>
  <c r="I882" i="3"/>
  <c r="J882" i="3"/>
  <c r="B883" i="3"/>
  <c r="C883" i="3"/>
  <c r="D883" i="3"/>
  <c r="E883" i="3"/>
  <c r="F883" i="3"/>
  <c r="G883" i="3"/>
  <c r="H883" i="3"/>
  <c r="I883" i="3"/>
  <c r="J883" i="3"/>
  <c r="B884" i="3"/>
  <c r="C884" i="3"/>
  <c r="D884" i="3"/>
  <c r="E884" i="3"/>
  <c r="F884" i="3"/>
  <c r="G884" i="3"/>
  <c r="H884" i="3"/>
  <c r="I884" i="3"/>
  <c r="J884" i="3"/>
  <c r="B885" i="3"/>
  <c r="C885" i="3"/>
  <c r="D885" i="3"/>
  <c r="E885" i="3"/>
  <c r="F885" i="3"/>
  <c r="G885" i="3"/>
  <c r="H885" i="3"/>
  <c r="I885" i="3"/>
  <c r="J885" i="3"/>
  <c r="B886" i="3"/>
  <c r="C886" i="3"/>
  <c r="D886" i="3"/>
  <c r="E886" i="3"/>
  <c r="F886" i="3"/>
  <c r="G886" i="3"/>
  <c r="H886" i="3"/>
  <c r="I886" i="3"/>
  <c r="J886" i="3"/>
  <c r="B887" i="3"/>
  <c r="C887" i="3"/>
  <c r="D887" i="3"/>
  <c r="E887" i="3"/>
  <c r="F887" i="3"/>
  <c r="G887" i="3"/>
  <c r="H887" i="3"/>
  <c r="I887" i="3"/>
  <c r="J887" i="3"/>
  <c r="B888" i="3"/>
  <c r="C888" i="3"/>
  <c r="D888" i="3"/>
  <c r="E888" i="3"/>
  <c r="F888" i="3"/>
  <c r="G888" i="3"/>
  <c r="H888" i="3"/>
  <c r="I888" i="3"/>
  <c r="J888" i="3"/>
  <c r="B889" i="3"/>
  <c r="C889" i="3"/>
  <c r="D889" i="3"/>
  <c r="E889" i="3"/>
  <c r="F889" i="3"/>
  <c r="G889" i="3"/>
  <c r="H889" i="3"/>
  <c r="I889" i="3"/>
  <c r="J889" i="3"/>
  <c r="B890" i="3"/>
  <c r="C890" i="3"/>
  <c r="D890" i="3"/>
  <c r="E890" i="3"/>
  <c r="F890" i="3"/>
  <c r="G890" i="3"/>
  <c r="H890" i="3"/>
  <c r="I890" i="3"/>
  <c r="J890" i="3"/>
  <c r="B891" i="3"/>
  <c r="C891" i="3"/>
  <c r="D891" i="3"/>
  <c r="E891" i="3"/>
  <c r="F891" i="3"/>
  <c r="G891" i="3"/>
  <c r="H891" i="3"/>
  <c r="I891" i="3"/>
  <c r="J891" i="3"/>
  <c r="B892" i="3"/>
  <c r="C892" i="3"/>
  <c r="D892" i="3"/>
  <c r="E892" i="3"/>
  <c r="F892" i="3"/>
  <c r="G892" i="3"/>
  <c r="H892" i="3"/>
  <c r="I892" i="3"/>
  <c r="J892" i="3"/>
  <c r="B893" i="3"/>
  <c r="C893" i="3"/>
  <c r="D893" i="3"/>
  <c r="E893" i="3"/>
  <c r="F893" i="3"/>
  <c r="G893" i="3"/>
  <c r="H893" i="3"/>
  <c r="I893" i="3"/>
  <c r="J893" i="3"/>
  <c r="B894" i="3"/>
  <c r="C894" i="3"/>
  <c r="D894" i="3"/>
  <c r="E894" i="3"/>
  <c r="F894" i="3"/>
  <c r="G894" i="3"/>
  <c r="H894" i="3"/>
  <c r="I894" i="3"/>
  <c r="J894" i="3"/>
  <c r="B895" i="3"/>
  <c r="C895" i="3"/>
  <c r="D895" i="3"/>
  <c r="E895" i="3"/>
  <c r="F895" i="3"/>
  <c r="G895" i="3"/>
  <c r="H895" i="3"/>
  <c r="I895" i="3"/>
  <c r="J895" i="3"/>
  <c r="B896" i="3"/>
  <c r="C896" i="3"/>
  <c r="D896" i="3"/>
  <c r="E896" i="3"/>
  <c r="F896" i="3"/>
  <c r="G896" i="3"/>
  <c r="H896" i="3"/>
  <c r="I896" i="3"/>
  <c r="J896" i="3"/>
  <c r="B897" i="3"/>
  <c r="C897" i="3"/>
  <c r="D897" i="3"/>
  <c r="E897" i="3"/>
  <c r="F897" i="3"/>
  <c r="G897" i="3"/>
  <c r="H897" i="3"/>
  <c r="I897" i="3"/>
  <c r="J897" i="3"/>
  <c r="B898" i="3"/>
  <c r="C898" i="3"/>
  <c r="D898" i="3"/>
  <c r="E898" i="3"/>
  <c r="F898" i="3"/>
  <c r="G898" i="3"/>
  <c r="H898" i="3"/>
  <c r="I898" i="3"/>
  <c r="J898" i="3"/>
  <c r="B899" i="3"/>
  <c r="C899" i="3"/>
  <c r="D899" i="3"/>
  <c r="E899" i="3"/>
  <c r="F899" i="3"/>
  <c r="G899" i="3"/>
  <c r="H899" i="3"/>
  <c r="I899" i="3"/>
  <c r="J899" i="3"/>
  <c r="B900" i="3"/>
  <c r="C900" i="3"/>
  <c r="D900" i="3"/>
  <c r="E900" i="3"/>
  <c r="F900" i="3"/>
  <c r="G900" i="3"/>
  <c r="H900" i="3"/>
  <c r="I900" i="3"/>
  <c r="J900" i="3"/>
  <c r="B901" i="3"/>
  <c r="C901" i="3"/>
  <c r="D901" i="3"/>
  <c r="E901" i="3"/>
  <c r="F901" i="3"/>
  <c r="G901" i="3"/>
  <c r="H901" i="3"/>
  <c r="I901" i="3"/>
  <c r="J901" i="3"/>
  <c r="B902" i="3"/>
  <c r="C902" i="3"/>
  <c r="D902" i="3"/>
  <c r="E902" i="3"/>
  <c r="F902" i="3"/>
  <c r="G902" i="3"/>
  <c r="H902" i="3"/>
  <c r="I902" i="3"/>
  <c r="J902" i="3"/>
  <c r="B903" i="3"/>
  <c r="C903" i="3"/>
  <c r="D903" i="3"/>
  <c r="E903" i="3"/>
  <c r="F903" i="3"/>
  <c r="G903" i="3"/>
  <c r="H903" i="3"/>
  <c r="I903" i="3"/>
  <c r="J903" i="3"/>
  <c r="B904" i="3"/>
  <c r="C904" i="3"/>
  <c r="D904" i="3"/>
  <c r="E904" i="3"/>
  <c r="F904" i="3"/>
  <c r="G904" i="3"/>
  <c r="H904" i="3"/>
  <c r="I904" i="3"/>
  <c r="J904" i="3"/>
  <c r="B905" i="3"/>
  <c r="C905" i="3"/>
  <c r="D905" i="3"/>
  <c r="E905" i="3"/>
  <c r="F905" i="3"/>
  <c r="G905" i="3"/>
  <c r="H905" i="3"/>
  <c r="I905" i="3"/>
  <c r="J905" i="3"/>
  <c r="B906" i="3"/>
  <c r="C906" i="3"/>
  <c r="D906" i="3"/>
  <c r="E906" i="3"/>
  <c r="F906" i="3"/>
  <c r="G906" i="3"/>
  <c r="H906" i="3"/>
  <c r="I906" i="3"/>
  <c r="J906" i="3"/>
  <c r="B907" i="3"/>
  <c r="C907" i="3"/>
  <c r="D907" i="3"/>
  <c r="E907" i="3"/>
  <c r="F907" i="3"/>
  <c r="G907" i="3"/>
  <c r="H907" i="3"/>
  <c r="I907" i="3"/>
  <c r="J907" i="3"/>
  <c r="B908" i="3"/>
  <c r="C908" i="3"/>
  <c r="D908" i="3"/>
  <c r="E908" i="3"/>
  <c r="F908" i="3"/>
  <c r="G908" i="3"/>
  <c r="H908" i="3"/>
  <c r="I908" i="3"/>
  <c r="J908" i="3"/>
  <c r="B909" i="3"/>
  <c r="C909" i="3"/>
  <c r="D909" i="3"/>
  <c r="E909" i="3"/>
  <c r="F909" i="3"/>
  <c r="G909" i="3"/>
  <c r="H909" i="3"/>
  <c r="I909" i="3"/>
  <c r="J909" i="3"/>
  <c r="B910" i="3"/>
  <c r="C910" i="3"/>
  <c r="D910" i="3"/>
  <c r="E910" i="3"/>
  <c r="F910" i="3"/>
  <c r="G910" i="3"/>
  <c r="H910" i="3"/>
  <c r="I910" i="3"/>
  <c r="J910" i="3"/>
  <c r="B911" i="3"/>
  <c r="C911" i="3"/>
  <c r="D911" i="3"/>
  <c r="E911" i="3"/>
  <c r="F911" i="3"/>
  <c r="G911" i="3"/>
  <c r="H911" i="3"/>
  <c r="I911" i="3"/>
  <c r="J911" i="3"/>
  <c r="B912" i="3"/>
  <c r="C912" i="3"/>
  <c r="D912" i="3"/>
  <c r="E912" i="3"/>
  <c r="F912" i="3"/>
  <c r="G912" i="3"/>
  <c r="H912" i="3"/>
  <c r="I912" i="3"/>
  <c r="J912" i="3"/>
  <c r="B913" i="3"/>
  <c r="C913" i="3"/>
  <c r="D913" i="3"/>
  <c r="E913" i="3"/>
  <c r="F913" i="3"/>
  <c r="G913" i="3"/>
  <c r="H913" i="3"/>
  <c r="I913" i="3"/>
  <c r="J913" i="3"/>
  <c r="B914" i="3"/>
  <c r="C914" i="3"/>
  <c r="D914" i="3"/>
  <c r="E914" i="3"/>
  <c r="F914" i="3"/>
  <c r="G914" i="3"/>
  <c r="H914" i="3"/>
  <c r="I914" i="3"/>
  <c r="J914" i="3"/>
  <c r="B915" i="3"/>
  <c r="C915" i="3"/>
  <c r="D915" i="3"/>
  <c r="E915" i="3"/>
  <c r="F915" i="3"/>
  <c r="G915" i="3"/>
  <c r="H915" i="3"/>
  <c r="I915" i="3"/>
  <c r="J915" i="3"/>
  <c r="B916" i="3"/>
  <c r="C916" i="3"/>
  <c r="D916" i="3"/>
  <c r="E916" i="3"/>
  <c r="F916" i="3"/>
  <c r="G916" i="3"/>
  <c r="H916" i="3"/>
  <c r="I916" i="3"/>
  <c r="J916" i="3"/>
  <c r="B917" i="3"/>
  <c r="C917" i="3"/>
  <c r="D917" i="3"/>
  <c r="E917" i="3"/>
  <c r="F917" i="3"/>
  <c r="G917" i="3"/>
  <c r="H917" i="3"/>
  <c r="I917" i="3"/>
  <c r="J917" i="3"/>
  <c r="B918" i="3"/>
  <c r="C918" i="3"/>
  <c r="D918" i="3"/>
  <c r="E918" i="3"/>
  <c r="F918" i="3"/>
  <c r="G918" i="3"/>
  <c r="H918" i="3"/>
  <c r="I918" i="3"/>
  <c r="J918" i="3"/>
  <c r="B919" i="3"/>
  <c r="C919" i="3"/>
  <c r="D919" i="3"/>
  <c r="E919" i="3"/>
  <c r="F919" i="3"/>
  <c r="G919" i="3"/>
  <c r="H919" i="3"/>
  <c r="I919" i="3"/>
  <c r="J919" i="3"/>
  <c r="B920" i="3"/>
  <c r="C920" i="3"/>
  <c r="D920" i="3"/>
  <c r="E920" i="3"/>
  <c r="F920" i="3"/>
  <c r="G920" i="3"/>
  <c r="H920" i="3"/>
  <c r="I920" i="3"/>
  <c r="J920" i="3"/>
  <c r="B921" i="3"/>
  <c r="C921" i="3"/>
  <c r="D921" i="3"/>
  <c r="E921" i="3"/>
  <c r="F921" i="3"/>
  <c r="G921" i="3"/>
  <c r="H921" i="3"/>
  <c r="I921" i="3"/>
  <c r="J921" i="3"/>
  <c r="B922" i="3"/>
  <c r="C922" i="3"/>
  <c r="D922" i="3"/>
  <c r="E922" i="3"/>
  <c r="F922" i="3"/>
  <c r="G922" i="3"/>
  <c r="H922" i="3"/>
  <c r="I922" i="3"/>
  <c r="J922" i="3"/>
  <c r="B923" i="3"/>
  <c r="C923" i="3"/>
  <c r="D923" i="3"/>
  <c r="E923" i="3"/>
  <c r="F923" i="3"/>
  <c r="G923" i="3"/>
  <c r="H923" i="3"/>
  <c r="I923" i="3"/>
  <c r="J923" i="3"/>
  <c r="B924" i="3"/>
  <c r="C924" i="3"/>
  <c r="D924" i="3"/>
  <c r="E924" i="3"/>
  <c r="F924" i="3"/>
  <c r="G924" i="3"/>
  <c r="H924" i="3"/>
  <c r="I924" i="3"/>
  <c r="J924" i="3"/>
  <c r="B925" i="3"/>
  <c r="C925" i="3"/>
  <c r="D925" i="3"/>
  <c r="E925" i="3"/>
  <c r="F925" i="3"/>
  <c r="G925" i="3"/>
  <c r="H925" i="3"/>
  <c r="I925" i="3"/>
  <c r="J925" i="3"/>
  <c r="B926" i="3"/>
  <c r="C926" i="3"/>
  <c r="D926" i="3"/>
  <c r="E926" i="3"/>
  <c r="F926" i="3"/>
  <c r="G926" i="3"/>
  <c r="H926" i="3"/>
  <c r="I926" i="3"/>
  <c r="J926" i="3"/>
  <c r="B927" i="3"/>
  <c r="C927" i="3"/>
  <c r="D927" i="3"/>
  <c r="E927" i="3"/>
  <c r="F927" i="3"/>
  <c r="G927" i="3"/>
  <c r="H927" i="3"/>
  <c r="I927" i="3"/>
  <c r="J927" i="3"/>
  <c r="B928" i="3"/>
  <c r="C928" i="3"/>
  <c r="D928" i="3"/>
  <c r="E928" i="3"/>
  <c r="F928" i="3"/>
  <c r="G928" i="3"/>
  <c r="H928" i="3"/>
  <c r="I928" i="3"/>
  <c r="J928" i="3"/>
  <c r="B929" i="3"/>
  <c r="C929" i="3"/>
  <c r="D929" i="3"/>
  <c r="E929" i="3"/>
  <c r="F929" i="3"/>
  <c r="G929" i="3"/>
  <c r="H929" i="3"/>
  <c r="I929" i="3"/>
  <c r="J929" i="3"/>
  <c r="B930" i="3"/>
  <c r="C930" i="3"/>
  <c r="D930" i="3"/>
  <c r="E930" i="3"/>
  <c r="F930" i="3"/>
  <c r="G930" i="3"/>
  <c r="H930" i="3"/>
  <c r="I930" i="3"/>
  <c r="J930" i="3"/>
  <c r="B931" i="3"/>
  <c r="C931" i="3"/>
  <c r="D931" i="3"/>
  <c r="E931" i="3"/>
  <c r="F931" i="3"/>
  <c r="G931" i="3"/>
  <c r="H931" i="3"/>
  <c r="I931" i="3"/>
  <c r="J931" i="3"/>
  <c r="B932" i="3"/>
  <c r="C932" i="3"/>
  <c r="D932" i="3"/>
  <c r="E932" i="3"/>
  <c r="F932" i="3"/>
  <c r="G932" i="3"/>
  <c r="H932" i="3"/>
  <c r="I932" i="3"/>
  <c r="J932" i="3"/>
  <c r="B933" i="3"/>
  <c r="C933" i="3"/>
  <c r="D933" i="3"/>
  <c r="E933" i="3"/>
  <c r="F933" i="3"/>
  <c r="G933" i="3"/>
  <c r="H933" i="3"/>
  <c r="I933" i="3"/>
  <c r="J933" i="3"/>
  <c r="B934" i="3"/>
  <c r="C934" i="3"/>
  <c r="D934" i="3"/>
  <c r="E934" i="3"/>
  <c r="F934" i="3"/>
  <c r="G934" i="3"/>
  <c r="H934" i="3"/>
  <c r="I934" i="3"/>
  <c r="J934" i="3"/>
  <c r="B935" i="3"/>
  <c r="C935" i="3"/>
  <c r="D935" i="3"/>
  <c r="E935" i="3"/>
  <c r="F935" i="3"/>
  <c r="G935" i="3"/>
  <c r="H935" i="3"/>
  <c r="I935" i="3"/>
  <c r="J935" i="3"/>
  <c r="B936" i="3"/>
  <c r="C936" i="3"/>
  <c r="D936" i="3"/>
  <c r="E936" i="3"/>
  <c r="F936" i="3"/>
  <c r="G936" i="3"/>
  <c r="H936" i="3"/>
  <c r="I936" i="3"/>
  <c r="J936" i="3"/>
  <c r="B937" i="3"/>
  <c r="C937" i="3"/>
  <c r="D937" i="3"/>
  <c r="E937" i="3"/>
  <c r="F937" i="3"/>
  <c r="G937" i="3"/>
  <c r="H937" i="3"/>
  <c r="I937" i="3"/>
  <c r="J937" i="3"/>
  <c r="B938" i="3"/>
  <c r="C938" i="3"/>
  <c r="D938" i="3"/>
  <c r="E938" i="3"/>
  <c r="F938" i="3"/>
  <c r="G938" i="3"/>
  <c r="H938" i="3"/>
  <c r="I938" i="3"/>
  <c r="J938" i="3"/>
  <c r="B939" i="3"/>
  <c r="C939" i="3"/>
  <c r="D939" i="3"/>
  <c r="E939" i="3"/>
  <c r="F939" i="3"/>
  <c r="G939" i="3"/>
  <c r="H939" i="3"/>
  <c r="I939" i="3"/>
  <c r="J939" i="3"/>
  <c r="B940" i="3"/>
  <c r="C940" i="3"/>
  <c r="D940" i="3"/>
  <c r="E940" i="3"/>
  <c r="F940" i="3"/>
  <c r="G940" i="3"/>
  <c r="H940" i="3"/>
  <c r="I940" i="3"/>
  <c r="J940" i="3"/>
  <c r="B941" i="3"/>
  <c r="C941" i="3"/>
  <c r="D941" i="3"/>
  <c r="E941" i="3"/>
  <c r="F941" i="3"/>
  <c r="G941" i="3"/>
  <c r="H941" i="3"/>
  <c r="I941" i="3"/>
  <c r="J941" i="3"/>
  <c r="B942" i="3"/>
  <c r="C942" i="3"/>
  <c r="D942" i="3"/>
  <c r="E942" i="3"/>
  <c r="F942" i="3"/>
  <c r="G942" i="3"/>
  <c r="H942" i="3"/>
  <c r="I942" i="3"/>
  <c r="J942" i="3"/>
  <c r="B943" i="3"/>
  <c r="C943" i="3"/>
  <c r="D943" i="3"/>
  <c r="E943" i="3"/>
  <c r="F943" i="3"/>
  <c r="G943" i="3"/>
  <c r="H943" i="3"/>
  <c r="I943" i="3"/>
  <c r="J943" i="3"/>
  <c r="B944" i="3"/>
  <c r="C944" i="3"/>
  <c r="D944" i="3"/>
  <c r="E944" i="3"/>
  <c r="F944" i="3"/>
  <c r="G944" i="3"/>
  <c r="H944" i="3"/>
  <c r="I944" i="3"/>
  <c r="J944" i="3"/>
  <c r="B945" i="3"/>
  <c r="C945" i="3"/>
  <c r="D945" i="3"/>
  <c r="E945" i="3"/>
  <c r="F945" i="3"/>
  <c r="G945" i="3"/>
  <c r="H945" i="3"/>
  <c r="I945" i="3"/>
  <c r="J945" i="3"/>
  <c r="B946" i="3"/>
  <c r="C946" i="3"/>
  <c r="D946" i="3"/>
  <c r="E946" i="3"/>
  <c r="F946" i="3"/>
  <c r="G946" i="3"/>
  <c r="H946" i="3"/>
  <c r="I946" i="3"/>
  <c r="J946" i="3"/>
  <c r="B947" i="3"/>
  <c r="C947" i="3"/>
  <c r="D947" i="3"/>
  <c r="E947" i="3"/>
  <c r="F947" i="3"/>
  <c r="G947" i="3"/>
  <c r="H947" i="3"/>
  <c r="I947" i="3"/>
  <c r="J947" i="3"/>
  <c r="B948" i="3"/>
  <c r="C948" i="3"/>
  <c r="D948" i="3"/>
  <c r="E948" i="3"/>
  <c r="F948" i="3"/>
  <c r="G948" i="3"/>
  <c r="H948" i="3"/>
  <c r="I948" i="3"/>
  <c r="J948" i="3"/>
  <c r="B949" i="3"/>
  <c r="C949" i="3"/>
  <c r="D949" i="3"/>
  <c r="E949" i="3"/>
  <c r="F949" i="3"/>
  <c r="G949" i="3"/>
  <c r="H949" i="3"/>
  <c r="I949" i="3"/>
  <c r="J949" i="3"/>
  <c r="B950" i="3"/>
  <c r="C950" i="3"/>
  <c r="D950" i="3"/>
  <c r="E950" i="3"/>
  <c r="F950" i="3"/>
  <c r="G950" i="3"/>
  <c r="H950" i="3"/>
  <c r="I950" i="3"/>
  <c r="J950" i="3"/>
  <c r="B951" i="3"/>
  <c r="C951" i="3"/>
  <c r="D951" i="3"/>
  <c r="E951" i="3"/>
  <c r="F951" i="3"/>
  <c r="G951" i="3"/>
  <c r="H951" i="3"/>
  <c r="I951" i="3"/>
  <c r="J951" i="3"/>
  <c r="B952" i="3"/>
  <c r="C952" i="3"/>
  <c r="D952" i="3"/>
  <c r="E952" i="3"/>
  <c r="F952" i="3"/>
  <c r="G952" i="3"/>
  <c r="H952" i="3"/>
  <c r="I952" i="3"/>
  <c r="J952" i="3"/>
  <c r="B953" i="3"/>
  <c r="C953" i="3"/>
  <c r="D953" i="3"/>
  <c r="E953" i="3"/>
  <c r="F953" i="3"/>
  <c r="G953" i="3"/>
  <c r="H953" i="3"/>
  <c r="I953" i="3"/>
  <c r="J953" i="3"/>
  <c r="B954" i="3"/>
  <c r="C954" i="3"/>
  <c r="D954" i="3"/>
  <c r="E954" i="3"/>
  <c r="F954" i="3"/>
  <c r="G954" i="3"/>
  <c r="H954" i="3"/>
  <c r="I954" i="3"/>
  <c r="J954" i="3"/>
  <c r="B955" i="3"/>
  <c r="C955" i="3"/>
  <c r="D955" i="3"/>
  <c r="E955" i="3"/>
  <c r="F955" i="3"/>
  <c r="G955" i="3"/>
  <c r="H955" i="3"/>
  <c r="I955" i="3"/>
  <c r="J955" i="3"/>
  <c r="B956" i="3"/>
  <c r="C956" i="3"/>
  <c r="D956" i="3"/>
  <c r="E956" i="3"/>
  <c r="F956" i="3"/>
  <c r="G956" i="3"/>
  <c r="H956" i="3"/>
  <c r="I956" i="3"/>
  <c r="J956" i="3"/>
  <c r="B957" i="3"/>
  <c r="C957" i="3"/>
  <c r="D957" i="3"/>
  <c r="E957" i="3"/>
  <c r="F957" i="3"/>
  <c r="G957" i="3"/>
  <c r="H957" i="3"/>
  <c r="I957" i="3"/>
  <c r="J957" i="3"/>
  <c r="B958" i="3"/>
  <c r="C958" i="3"/>
  <c r="D958" i="3"/>
  <c r="E958" i="3"/>
  <c r="F958" i="3"/>
  <c r="G958" i="3"/>
  <c r="H958" i="3"/>
  <c r="I958" i="3"/>
  <c r="J958" i="3"/>
  <c r="B959" i="3"/>
  <c r="C959" i="3"/>
  <c r="D959" i="3"/>
  <c r="E959" i="3"/>
  <c r="F959" i="3"/>
  <c r="G959" i="3"/>
  <c r="H959" i="3"/>
  <c r="I959" i="3"/>
  <c r="J959" i="3"/>
  <c r="B960" i="3"/>
  <c r="C960" i="3"/>
  <c r="D960" i="3"/>
  <c r="E960" i="3"/>
  <c r="F960" i="3"/>
  <c r="G960" i="3"/>
  <c r="H960" i="3"/>
  <c r="I960" i="3"/>
  <c r="J960" i="3"/>
  <c r="B961" i="3"/>
  <c r="C961" i="3"/>
  <c r="D961" i="3"/>
  <c r="E961" i="3"/>
  <c r="F961" i="3"/>
  <c r="G961" i="3"/>
  <c r="H961" i="3"/>
  <c r="I961" i="3"/>
  <c r="J961" i="3"/>
  <c r="B962" i="3"/>
  <c r="C962" i="3"/>
  <c r="D962" i="3"/>
  <c r="E962" i="3"/>
  <c r="F962" i="3"/>
  <c r="G962" i="3"/>
  <c r="H962" i="3"/>
  <c r="I962" i="3"/>
  <c r="J962" i="3"/>
  <c r="B963" i="3"/>
  <c r="C963" i="3"/>
  <c r="D963" i="3"/>
  <c r="E963" i="3"/>
  <c r="F963" i="3"/>
  <c r="G963" i="3"/>
  <c r="H963" i="3"/>
  <c r="I963" i="3"/>
  <c r="J963" i="3"/>
  <c r="B964" i="3"/>
  <c r="C964" i="3"/>
  <c r="D964" i="3"/>
  <c r="E964" i="3"/>
  <c r="F964" i="3"/>
  <c r="G964" i="3"/>
  <c r="H964" i="3"/>
  <c r="I964" i="3"/>
  <c r="J964" i="3"/>
  <c r="B965" i="3"/>
  <c r="C965" i="3"/>
  <c r="D965" i="3"/>
  <c r="E965" i="3"/>
  <c r="F965" i="3"/>
  <c r="G965" i="3"/>
  <c r="H965" i="3"/>
  <c r="I965" i="3"/>
  <c r="J965" i="3"/>
  <c r="B966" i="3"/>
  <c r="C966" i="3"/>
  <c r="D966" i="3"/>
  <c r="E966" i="3"/>
  <c r="F966" i="3"/>
  <c r="G966" i="3"/>
  <c r="H966" i="3"/>
  <c r="I966" i="3"/>
  <c r="J966" i="3"/>
  <c r="B967" i="3"/>
  <c r="C967" i="3"/>
  <c r="D967" i="3"/>
  <c r="E967" i="3"/>
  <c r="F967" i="3"/>
  <c r="G967" i="3"/>
  <c r="H967" i="3"/>
  <c r="I967" i="3"/>
  <c r="J967" i="3"/>
  <c r="B968" i="3"/>
  <c r="C968" i="3"/>
  <c r="D968" i="3"/>
  <c r="E968" i="3"/>
  <c r="F968" i="3"/>
  <c r="G968" i="3"/>
  <c r="H968" i="3"/>
  <c r="I968" i="3"/>
  <c r="J968" i="3"/>
  <c r="B969" i="3"/>
  <c r="C969" i="3"/>
  <c r="D969" i="3"/>
  <c r="E969" i="3"/>
  <c r="F969" i="3"/>
  <c r="G969" i="3"/>
  <c r="H969" i="3"/>
  <c r="I969" i="3"/>
  <c r="J969" i="3"/>
  <c r="B970" i="3"/>
  <c r="C970" i="3"/>
  <c r="D970" i="3"/>
  <c r="E970" i="3"/>
  <c r="F970" i="3"/>
  <c r="G970" i="3"/>
  <c r="H970" i="3"/>
  <c r="I970" i="3"/>
  <c r="J970" i="3"/>
  <c r="B971" i="3"/>
  <c r="C971" i="3"/>
  <c r="D971" i="3"/>
  <c r="E971" i="3"/>
  <c r="F971" i="3"/>
  <c r="G971" i="3"/>
  <c r="H971" i="3"/>
  <c r="I971" i="3"/>
  <c r="J971" i="3"/>
  <c r="B972" i="3"/>
  <c r="C972" i="3"/>
  <c r="D972" i="3"/>
  <c r="E972" i="3"/>
  <c r="F972" i="3"/>
  <c r="G972" i="3"/>
  <c r="H972" i="3"/>
  <c r="I972" i="3"/>
  <c r="J972" i="3"/>
  <c r="B973" i="3"/>
  <c r="C973" i="3"/>
  <c r="D973" i="3"/>
  <c r="E973" i="3"/>
  <c r="F973" i="3"/>
  <c r="G973" i="3"/>
  <c r="H973" i="3"/>
  <c r="I973" i="3"/>
  <c r="J973" i="3"/>
  <c r="B974" i="3"/>
  <c r="C974" i="3"/>
  <c r="D974" i="3"/>
  <c r="E974" i="3"/>
  <c r="F974" i="3"/>
  <c r="G974" i="3"/>
  <c r="H974" i="3"/>
  <c r="I974" i="3"/>
  <c r="J974" i="3"/>
  <c r="B975" i="3"/>
  <c r="C975" i="3"/>
  <c r="D975" i="3"/>
  <c r="E975" i="3"/>
  <c r="F975" i="3"/>
  <c r="G975" i="3"/>
  <c r="H975" i="3"/>
  <c r="I975" i="3"/>
  <c r="J975" i="3"/>
  <c r="B976" i="3"/>
  <c r="C976" i="3"/>
  <c r="D976" i="3"/>
  <c r="E976" i="3"/>
  <c r="F976" i="3"/>
  <c r="G976" i="3"/>
  <c r="H976" i="3"/>
  <c r="I976" i="3"/>
  <c r="J976" i="3"/>
  <c r="B977" i="3"/>
  <c r="C977" i="3"/>
  <c r="D977" i="3"/>
  <c r="E977" i="3"/>
  <c r="F977" i="3"/>
  <c r="G977" i="3"/>
  <c r="H977" i="3"/>
  <c r="I977" i="3"/>
  <c r="J977" i="3"/>
  <c r="B978" i="3"/>
  <c r="C978" i="3"/>
  <c r="D978" i="3"/>
  <c r="E978" i="3"/>
  <c r="F978" i="3"/>
  <c r="G978" i="3"/>
  <c r="H978" i="3"/>
  <c r="I978" i="3"/>
  <c r="J978" i="3"/>
  <c r="B979" i="3"/>
  <c r="C979" i="3"/>
  <c r="D979" i="3"/>
  <c r="E979" i="3"/>
  <c r="F979" i="3"/>
  <c r="G979" i="3"/>
  <c r="H979" i="3"/>
  <c r="I979" i="3"/>
  <c r="J979" i="3"/>
  <c r="B980" i="3"/>
  <c r="C980" i="3"/>
  <c r="D980" i="3"/>
  <c r="E980" i="3"/>
  <c r="F980" i="3"/>
  <c r="G980" i="3"/>
  <c r="H980" i="3"/>
  <c r="I980" i="3"/>
  <c r="J980" i="3"/>
  <c r="B981" i="3"/>
  <c r="C981" i="3"/>
  <c r="D981" i="3"/>
  <c r="E981" i="3"/>
  <c r="F981" i="3"/>
  <c r="G981" i="3"/>
  <c r="H981" i="3"/>
  <c r="I981" i="3"/>
  <c r="J981" i="3"/>
  <c r="B982" i="3"/>
  <c r="C982" i="3"/>
  <c r="D982" i="3"/>
  <c r="E982" i="3"/>
  <c r="F982" i="3"/>
  <c r="G982" i="3"/>
  <c r="H982" i="3"/>
  <c r="I982" i="3"/>
  <c r="J982" i="3"/>
  <c r="B983" i="3"/>
  <c r="C983" i="3"/>
  <c r="D983" i="3"/>
  <c r="E983" i="3"/>
  <c r="F983" i="3"/>
  <c r="G983" i="3"/>
  <c r="H983" i="3"/>
  <c r="I983" i="3"/>
  <c r="J983" i="3"/>
  <c r="B984" i="3"/>
  <c r="C984" i="3"/>
  <c r="D984" i="3"/>
  <c r="E984" i="3"/>
  <c r="F984" i="3"/>
  <c r="G984" i="3"/>
  <c r="H984" i="3"/>
  <c r="I984" i="3"/>
  <c r="J984" i="3"/>
  <c r="B985" i="3"/>
  <c r="C985" i="3"/>
  <c r="D985" i="3"/>
  <c r="E985" i="3"/>
  <c r="F985" i="3"/>
  <c r="G985" i="3"/>
  <c r="H985" i="3"/>
  <c r="I985" i="3"/>
  <c r="J985" i="3"/>
  <c r="B986" i="3"/>
  <c r="C986" i="3"/>
  <c r="D986" i="3"/>
  <c r="E986" i="3"/>
  <c r="F986" i="3"/>
  <c r="G986" i="3"/>
  <c r="H986" i="3"/>
  <c r="I986" i="3"/>
  <c r="J986" i="3"/>
  <c r="B987" i="3"/>
  <c r="C987" i="3"/>
  <c r="D987" i="3"/>
  <c r="E987" i="3"/>
  <c r="F987" i="3"/>
  <c r="G987" i="3"/>
  <c r="H987" i="3"/>
  <c r="I987" i="3"/>
  <c r="J987" i="3"/>
  <c r="B988" i="3"/>
  <c r="C988" i="3"/>
  <c r="D988" i="3"/>
  <c r="E988" i="3"/>
  <c r="F988" i="3"/>
  <c r="G988" i="3"/>
  <c r="H988" i="3"/>
  <c r="I988" i="3"/>
  <c r="J988" i="3"/>
  <c r="B989" i="3"/>
  <c r="C989" i="3"/>
  <c r="D989" i="3"/>
  <c r="E989" i="3"/>
  <c r="F989" i="3"/>
  <c r="G989" i="3"/>
  <c r="H989" i="3"/>
  <c r="I989" i="3"/>
  <c r="J989" i="3"/>
  <c r="B990" i="3"/>
  <c r="C990" i="3"/>
  <c r="D990" i="3"/>
  <c r="E990" i="3"/>
  <c r="F990" i="3"/>
  <c r="G990" i="3"/>
  <c r="H990" i="3"/>
  <c r="I990" i="3"/>
  <c r="J990" i="3"/>
  <c r="B991" i="3"/>
  <c r="C991" i="3"/>
  <c r="D991" i="3"/>
  <c r="E991" i="3"/>
  <c r="F991" i="3"/>
  <c r="G991" i="3"/>
  <c r="H991" i="3"/>
  <c r="I991" i="3"/>
  <c r="J991" i="3"/>
  <c r="B992" i="3"/>
  <c r="C992" i="3"/>
  <c r="D992" i="3"/>
  <c r="E992" i="3"/>
  <c r="F992" i="3"/>
  <c r="G992" i="3"/>
  <c r="H992" i="3"/>
  <c r="I992" i="3"/>
  <c r="J992" i="3"/>
  <c r="B993" i="3"/>
  <c r="C993" i="3"/>
  <c r="D993" i="3"/>
  <c r="E993" i="3"/>
  <c r="F993" i="3"/>
  <c r="G993" i="3"/>
  <c r="H993" i="3"/>
  <c r="I993" i="3"/>
  <c r="J993" i="3"/>
  <c r="B994" i="3"/>
  <c r="C994" i="3"/>
  <c r="D994" i="3"/>
  <c r="E994" i="3"/>
  <c r="F994" i="3"/>
  <c r="G994" i="3"/>
  <c r="H994" i="3"/>
  <c r="I994" i="3"/>
  <c r="J994" i="3"/>
  <c r="B995" i="3"/>
  <c r="C995" i="3"/>
  <c r="D995" i="3"/>
  <c r="E995" i="3"/>
  <c r="F995" i="3"/>
  <c r="G995" i="3"/>
  <c r="H995" i="3"/>
  <c r="I995" i="3"/>
  <c r="J995" i="3"/>
  <c r="B996" i="3"/>
  <c r="C996" i="3"/>
  <c r="D996" i="3"/>
  <c r="E996" i="3"/>
  <c r="F996" i="3"/>
  <c r="G996" i="3"/>
  <c r="H996" i="3"/>
  <c r="I996" i="3"/>
  <c r="J996" i="3"/>
  <c r="B997" i="3"/>
  <c r="C997" i="3"/>
  <c r="D997" i="3"/>
  <c r="E997" i="3"/>
  <c r="F997" i="3"/>
  <c r="G997" i="3"/>
  <c r="H997" i="3"/>
  <c r="I997" i="3"/>
  <c r="J997" i="3"/>
  <c r="B998" i="3"/>
  <c r="C998" i="3"/>
  <c r="D998" i="3"/>
  <c r="E998" i="3"/>
  <c r="F998" i="3"/>
  <c r="G998" i="3"/>
  <c r="H998" i="3"/>
  <c r="I998" i="3"/>
  <c r="J998" i="3"/>
  <c r="B999" i="3"/>
  <c r="C999" i="3"/>
  <c r="D999" i="3"/>
  <c r="E999" i="3"/>
  <c r="F999" i="3"/>
  <c r="G999" i="3"/>
  <c r="H999" i="3"/>
  <c r="I999" i="3"/>
  <c r="J999" i="3"/>
  <c r="B1000" i="3"/>
  <c r="C1000" i="3"/>
  <c r="D1000" i="3"/>
  <c r="E1000" i="3"/>
  <c r="F1000" i="3"/>
  <c r="G1000" i="3"/>
  <c r="H1000" i="3"/>
  <c r="I1000" i="3"/>
  <c r="J1000" i="3"/>
  <c r="B1001" i="3"/>
  <c r="C1001" i="3"/>
  <c r="D1001" i="3"/>
  <c r="E1001" i="3"/>
  <c r="F1001" i="3"/>
  <c r="G1001" i="3"/>
  <c r="H1001" i="3"/>
  <c r="I1001" i="3"/>
  <c r="J1001" i="3"/>
  <c r="B1002" i="3"/>
  <c r="C1002" i="3"/>
  <c r="D1002" i="3"/>
  <c r="E1002" i="3"/>
  <c r="F1002" i="3"/>
  <c r="G1002" i="3"/>
  <c r="H1002" i="3"/>
  <c r="I1002" i="3"/>
  <c r="J1002" i="3"/>
  <c r="B1003" i="3"/>
  <c r="C1003" i="3"/>
  <c r="D1003" i="3"/>
  <c r="E1003" i="3"/>
  <c r="F1003" i="3"/>
  <c r="G1003" i="3"/>
  <c r="H1003" i="3"/>
  <c r="I1003" i="3"/>
  <c r="J1003" i="3"/>
  <c r="B1004" i="3"/>
  <c r="C1004" i="3"/>
  <c r="D1004" i="3"/>
  <c r="E1004" i="3"/>
  <c r="F1004" i="3"/>
  <c r="G1004" i="3"/>
  <c r="H1004" i="3"/>
  <c r="I1004" i="3"/>
  <c r="J1004" i="3"/>
  <c r="B1005" i="3"/>
  <c r="C1005" i="3"/>
  <c r="D1005" i="3"/>
  <c r="E1005" i="3"/>
  <c r="F1005" i="3"/>
  <c r="G1005" i="3"/>
  <c r="H1005" i="3"/>
  <c r="I1005" i="3"/>
  <c r="J1005" i="3"/>
  <c r="B1006" i="3"/>
  <c r="C1006" i="3"/>
  <c r="D1006" i="3"/>
  <c r="E1006" i="3"/>
  <c r="F1006" i="3"/>
  <c r="G1006" i="3"/>
  <c r="H1006" i="3"/>
  <c r="I1006" i="3"/>
  <c r="J1006" i="3"/>
  <c r="B1007" i="3"/>
  <c r="C1007" i="3"/>
  <c r="D1007" i="3"/>
  <c r="E1007" i="3"/>
  <c r="F1007" i="3"/>
  <c r="G1007" i="3"/>
  <c r="H1007" i="3"/>
  <c r="I1007" i="3"/>
  <c r="J1007" i="3"/>
  <c r="B1008" i="3"/>
  <c r="C1008" i="3"/>
  <c r="D1008" i="3"/>
  <c r="E1008" i="3"/>
  <c r="F1008" i="3"/>
  <c r="G1008" i="3"/>
  <c r="H1008" i="3"/>
  <c r="I1008" i="3"/>
  <c r="J1008" i="3"/>
  <c r="B1009" i="3"/>
  <c r="C1009" i="3"/>
  <c r="D1009" i="3"/>
  <c r="E1009" i="3"/>
  <c r="F1009" i="3"/>
  <c r="G1009" i="3"/>
  <c r="H1009" i="3"/>
  <c r="I1009" i="3"/>
  <c r="J1009" i="3"/>
  <c r="B1010" i="3"/>
  <c r="C1010" i="3"/>
  <c r="D1010" i="3"/>
  <c r="E1010" i="3"/>
  <c r="F1010" i="3"/>
  <c r="G1010" i="3"/>
  <c r="H1010" i="3"/>
  <c r="I1010" i="3"/>
  <c r="J1010" i="3"/>
  <c r="B1011" i="3"/>
  <c r="C1011" i="3"/>
  <c r="D1011" i="3"/>
  <c r="E1011" i="3"/>
  <c r="F1011" i="3"/>
  <c r="G1011" i="3"/>
  <c r="H1011" i="3"/>
  <c r="I1011" i="3"/>
  <c r="J1011" i="3"/>
  <c r="B1012" i="3"/>
  <c r="C1012" i="3"/>
  <c r="D1012" i="3"/>
  <c r="E1012" i="3"/>
  <c r="F1012" i="3"/>
  <c r="G1012" i="3"/>
  <c r="H1012" i="3"/>
  <c r="I1012" i="3"/>
  <c r="J1012" i="3"/>
  <c r="B1013" i="3"/>
  <c r="C1013" i="3"/>
  <c r="D1013" i="3"/>
  <c r="E1013" i="3"/>
  <c r="F1013" i="3"/>
  <c r="G1013" i="3"/>
  <c r="H1013" i="3"/>
  <c r="I1013" i="3"/>
  <c r="J1013" i="3"/>
  <c r="B1014" i="3"/>
  <c r="C1014" i="3"/>
  <c r="D1014" i="3"/>
  <c r="E1014" i="3"/>
  <c r="F1014" i="3"/>
  <c r="G1014" i="3"/>
  <c r="H1014" i="3"/>
  <c r="I1014" i="3"/>
  <c r="J1014" i="3"/>
  <c r="B1015" i="3"/>
  <c r="C1015" i="3"/>
  <c r="D1015" i="3"/>
  <c r="E1015" i="3"/>
  <c r="F1015" i="3"/>
  <c r="G1015" i="3"/>
  <c r="H1015" i="3"/>
  <c r="I1015" i="3"/>
  <c r="J1015" i="3"/>
  <c r="B1016" i="3"/>
  <c r="C1016" i="3"/>
  <c r="D1016" i="3"/>
  <c r="E1016" i="3"/>
  <c r="F1016" i="3"/>
  <c r="G1016" i="3"/>
  <c r="H1016" i="3"/>
  <c r="I1016" i="3"/>
  <c r="J1016" i="3"/>
  <c r="B1017" i="3"/>
  <c r="C1017" i="3"/>
  <c r="D1017" i="3"/>
  <c r="E1017" i="3"/>
  <c r="F1017" i="3"/>
  <c r="G1017" i="3"/>
  <c r="H1017" i="3"/>
  <c r="I1017" i="3"/>
  <c r="J1017" i="3"/>
  <c r="B1018" i="3"/>
  <c r="C1018" i="3"/>
  <c r="D1018" i="3"/>
  <c r="E1018" i="3"/>
  <c r="F1018" i="3"/>
  <c r="G1018" i="3"/>
  <c r="H1018" i="3"/>
  <c r="I1018" i="3"/>
  <c r="J1018" i="3"/>
  <c r="B1019" i="3"/>
  <c r="C1019" i="3"/>
  <c r="D1019" i="3"/>
  <c r="E1019" i="3"/>
  <c r="F1019" i="3"/>
  <c r="G1019" i="3"/>
  <c r="H1019" i="3"/>
  <c r="I1019" i="3"/>
  <c r="J1019" i="3"/>
  <c r="B1020" i="3"/>
  <c r="C1020" i="3"/>
  <c r="D1020" i="3"/>
  <c r="E1020" i="3"/>
  <c r="F1020" i="3"/>
  <c r="G1020" i="3"/>
  <c r="H1020" i="3"/>
  <c r="I1020" i="3"/>
  <c r="J1020" i="3"/>
  <c r="B1021" i="3"/>
  <c r="C1021" i="3"/>
  <c r="D1021" i="3"/>
  <c r="E1021" i="3"/>
  <c r="F1021" i="3"/>
  <c r="G1021" i="3"/>
  <c r="H1021" i="3"/>
  <c r="I1021" i="3"/>
  <c r="J1021" i="3"/>
  <c r="B1022" i="3"/>
  <c r="C1022" i="3"/>
  <c r="D1022" i="3"/>
  <c r="E1022" i="3"/>
  <c r="F1022" i="3"/>
  <c r="G1022" i="3"/>
  <c r="H1022" i="3"/>
  <c r="I1022" i="3"/>
  <c r="J1022" i="3"/>
  <c r="B1023" i="3"/>
  <c r="C1023" i="3"/>
  <c r="D1023" i="3"/>
  <c r="E1023" i="3"/>
  <c r="F1023" i="3"/>
  <c r="G1023" i="3"/>
  <c r="H1023" i="3"/>
  <c r="I1023" i="3"/>
  <c r="J1023" i="3"/>
  <c r="B1024" i="3"/>
  <c r="C1024" i="3"/>
  <c r="D1024" i="3"/>
  <c r="E1024" i="3"/>
  <c r="F1024" i="3"/>
  <c r="G1024" i="3"/>
  <c r="H1024" i="3"/>
  <c r="I1024" i="3"/>
  <c r="J1024" i="3"/>
  <c r="B1025" i="3"/>
  <c r="C1025" i="3"/>
  <c r="D1025" i="3"/>
  <c r="E1025" i="3"/>
  <c r="F1025" i="3"/>
  <c r="G1025" i="3"/>
  <c r="H1025" i="3"/>
  <c r="I1025" i="3"/>
  <c r="J1025" i="3"/>
  <c r="B1026" i="3"/>
  <c r="C1026" i="3"/>
  <c r="D1026" i="3"/>
  <c r="E1026" i="3"/>
  <c r="F1026" i="3"/>
  <c r="G1026" i="3"/>
  <c r="H1026" i="3"/>
  <c r="I1026" i="3"/>
  <c r="J1026" i="3"/>
  <c r="B1027" i="3"/>
  <c r="C1027" i="3"/>
  <c r="D1027" i="3"/>
  <c r="E1027" i="3"/>
  <c r="F1027" i="3"/>
  <c r="G1027" i="3"/>
  <c r="H1027" i="3"/>
  <c r="I1027" i="3"/>
  <c r="J1027" i="3"/>
  <c r="B1028" i="3"/>
  <c r="C1028" i="3"/>
  <c r="D1028" i="3"/>
  <c r="E1028" i="3"/>
  <c r="F1028" i="3"/>
  <c r="G1028" i="3"/>
  <c r="H1028" i="3"/>
  <c r="I1028" i="3"/>
  <c r="J1028" i="3"/>
  <c r="B1029" i="3"/>
  <c r="C1029" i="3"/>
  <c r="D1029" i="3"/>
  <c r="E1029" i="3"/>
  <c r="F1029" i="3"/>
  <c r="G1029" i="3"/>
  <c r="H1029" i="3"/>
  <c r="I1029" i="3"/>
  <c r="J1029" i="3"/>
  <c r="B1030" i="3"/>
  <c r="C1030" i="3"/>
  <c r="D1030" i="3"/>
  <c r="E1030" i="3"/>
  <c r="F1030" i="3"/>
  <c r="G1030" i="3"/>
  <c r="H1030" i="3"/>
  <c r="I1030" i="3"/>
  <c r="J1030" i="3"/>
  <c r="B1031" i="3"/>
  <c r="C1031" i="3"/>
  <c r="D1031" i="3"/>
  <c r="E1031" i="3"/>
  <c r="F1031" i="3"/>
  <c r="G1031" i="3"/>
  <c r="H1031" i="3"/>
  <c r="I1031" i="3"/>
  <c r="J1031" i="3"/>
  <c r="B1032" i="3"/>
  <c r="C1032" i="3"/>
  <c r="D1032" i="3"/>
  <c r="E1032" i="3"/>
  <c r="F1032" i="3"/>
  <c r="G1032" i="3"/>
  <c r="H1032" i="3"/>
  <c r="I1032" i="3"/>
  <c r="J1032" i="3"/>
  <c r="B1033" i="3"/>
  <c r="C1033" i="3"/>
  <c r="D1033" i="3"/>
  <c r="E1033" i="3"/>
  <c r="F1033" i="3"/>
  <c r="G1033" i="3"/>
  <c r="H1033" i="3"/>
  <c r="I1033" i="3"/>
  <c r="J1033" i="3"/>
  <c r="B1034" i="3"/>
  <c r="C1034" i="3"/>
  <c r="D1034" i="3"/>
  <c r="E1034" i="3"/>
  <c r="F1034" i="3"/>
  <c r="G1034" i="3"/>
  <c r="H1034" i="3"/>
  <c r="I1034" i="3"/>
  <c r="J1034" i="3"/>
  <c r="B1035" i="3"/>
  <c r="C1035" i="3"/>
  <c r="D1035" i="3"/>
  <c r="E1035" i="3"/>
  <c r="F1035" i="3"/>
  <c r="G1035" i="3"/>
  <c r="H1035" i="3"/>
  <c r="I1035" i="3"/>
  <c r="J1035" i="3"/>
  <c r="B1036" i="3"/>
  <c r="C1036" i="3"/>
  <c r="D1036" i="3"/>
  <c r="E1036" i="3"/>
  <c r="F1036" i="3"/>
  <c r="G1036" i="3"/>
  <c r="H1036" i="3"/>
  <c r="I1036" i="3"/>
  <c r="J1036" i="3"/>
  <c r="B1037" i="3"/>
  <c r="C1037" i="3"/>
  <c r="D1037" i="3"/>
  <c r="E1037" i="3"/>
  <c r="F1037" i="3"/>
  <c r="G1037" i="3"/>
  <c r="H1037" i="3"/>
  <c r="I1037" i="3"/>
  <c r="J1037" i="3"/>
  <c r="B1038" i="3"/>
  <c r="C1038" i="3"/>
  <c r="D1038" i="3"/>
  <c r="E1038" i="3"/>
  <c r="F1038" i="3"/>
  <c r="G1038" i="3"/>
  <c r="H1038" i="3"/>
  <c r="I1038" i="3"/>
  <c r="J1038" i="3"/>
  <c r="B1039" i="3"/>
  <c r="C1039" i="3"/>
  <c r="D1039" i="3"/>
  <c r="E1039" i="3"/>
  <c r="F1039" i="3"/>
  <c r="G1039" i="3"/>
  <c r="H1039" i="3"/>
  <c r="I1039" i="3"/>
  <c r="J1039" i="3"/>
  <c r="B1040" i="3"/>
  <c r="C1040" i="3"/>
  <c r="D1040" i="3"/>
  <c r="E1040" i="3"/>
  <c r="F1040" i="3"/>
  <c r="G1040" i="3"/>
  <c r="H1040" i="3"/>
  <c r="I1040" i="3"/>
  <c r="J1040" i="3"/>
  <c r="B1041" i="3"/>
  <c r="C1041" i="3"/>
  <c r="D1041" i="3"/>
  <c r="E1041" i="3"/>
  <c r="F1041" i="3"/>
  <c r="G1041" i="3"/>
  <c r="H1041" i="3"/>
  <c r="I1041" i="3"/>
  <c r="J1041" i="3"/>
  <c r="B1042" i="3"/>
  <c r="C1042" i="3"/>
  <c r="D1042" i="3"/>
  <c r="E1042" i="3"/>
  <c r="F1042" i="3"/>
  <c r="G1042" i="3"/>
  <c r="H1042" i="3"/>
  <c r="I1042" i="3"/>
  <c r="J1042" i="3"/>
  <c r="B1043" i="3"/>
  <c r="C1043" i="3"/>
  <c r="D1043" i="3"/>
  <c r="E1043" i="3"/>
  <c r="F1043" i="3"/>
  <c r="G1043" i="3"/>
  <c r="H1043" i="3"/>
  <c r="I1043" i="3"/>
  <c r="J1043" i="3"/>
  <c r="B1044" i="3"/>
  <c r="C1044" i="3"/>
  <c r="D1044" i="3"/>
  <c r="E1044" i="3"/>
  <c r="F1044" i="3"/>
  <c r="G1044" i="3"/>
  <c r="H1044" i="3"/>
  <c r="I1044" i="3"/>
  <c r="J1044" i="3"/>
  <c r="B1045" i="3"/>
  <c r="C1045" i="3"/>
  <c r="D1045" i="3"/>
  <c r="E1045" i="3"/>
  <c r="F1045" i="3"/>
  <c r="G1045" i="3"/>
  <c r="H1045" i="3"/>
  <c r="I1045" i="3"/>
  <c r="J1045" i="3"/>
  <c r="B1046" i="3"/>
  <c r="C1046" i="3"/>
  <c r="D1046" i="3"/>
  <c r="E1046" i="3"/>
  <c r="F1046" i="3"/>
  <c r="G1046" i="3"/>
  <c r="H1046" i="3"/>
  <c r="I1046" i="3"/>
  <c r="J1046" i="3"/>
  <c r="B1047" i="3"/>
  <c r="C1047" i="3"/>
  <c r="D1047" i="3"/>
  <c r="E1047" i="3"/>
  <c r="F1047" i="3"/>
  <c r="G1047" i="3"/>
  <c r="H1047" i="3"/>
  <c r="I1047" i="3"/>
  <c r="J1047" i="3"/>
  <c r="B1048" i="3"/>
  <c r="C1048" i="3"/>
  <c r="D1048" i="3"/>
  <c r="E1048" i="3"/>
  <c r="F1048" i="3"/>
  <c r="G1048" i="3"/>
  <c r="H1048" i="3"/>
  <c r="I1048" i="3"/>
  <c r="J1048" i="3"/>
  <c r="B1049" i="3"/>
  <c r="C1049" i="3"/>
  <c r="D1049" i="3"/>
  <c r="E1049" i="3"/>
  <c r="F1049" i="3"/>
  <c r="G1049" i="3"/>
  <c r="H1049" i="3"/>
  <c r="I1049" i="3"/>
  <c r="J1049" i="3"/>
  <c r="B1050" i="3"/>
  <c r="C1050" i="3"/>
  <c r="D1050" i="3"/>
  <c r="E1050" i="3"/>
  <c r="F1050" i="3"/>
  <c r="G1050" i="3"/>
  <c r="H1050" i="3"/>
  <c r="I1050" i="3"/>
  <c r="J1050" i="3"/>
  <c r="B1051" i="3"/>
  <c r="C1051" i="3"/>
  <c r="D1051" i="3"/>
  <c r="E1051" i="3"/>
  <c r="F1051" i="3"/>
  <c r="G1051" i="3"/>
  <c r="H1051" i="3"/>
  <c r="I1051" i="3"/>
  <c r="J1051" i="3"/>
  <c r="B1052" i="3"/>
  <c r="C1052" i="3"/>
  <c r="D1052" i="3"/>
  <c r="E1052" i="3"/>
  <c r="F1052" i="3"/>
  <c r="G1052" i="3"/>
  <c r="H1052" i="3"/>
  <c r="I1052" i="3"/>
  <c r="J1052" i="3"/>
  <c r="B1053" i="3"/>
  <c r="C1053" i="3"/>
  <c r="D1053" i="3"/>
  <c r="E1053" i="3"/>
  <c r="F1053" i="3"/>
  <c r="G1053" i="3"/>
  <c r="H1053" i="3"/>
  <c r="I1053" i="3"/>
  <c r="J1053" i="3"/>
  <c r="B1054" i="3"/>
  <c r="C1054" i="3"/>
  <c r="D1054" i="3"/>
  <c r="E1054" i="3"/>
  <c r="F1054" i="3"/>
  <c r="G1054" i="3"/>
  <c r="H1054" i="3"/>
  <c r="I1054" i="3"/>
  <c r="J1054" i="3"/>
  <c r="B1055" i="3"/>
  <c r="C1055" i="3"/>
  <c r="D1055" i="3"/>
  <c r="E1055" i="3"/>
  <c r="F1055" i="3"/>
  <c r="G1055" i="3"/>
  <c r="H1055" i="3"/>
  <c r="I1055" i="3"/>
  <c r="J1055" i="3"/>
  <c r="E1057" i="3"/>
  <c r="H1057" i="3"/>
  <c r="F1059" i="3"/>
  <c r="D1061" i="3"/>
  <c r="B1063" i="3"/>
  <c r="I1064" i="3"/>
  <c r="G1066" i="3"/>
  <c r="E1068" i="3"/>
  <c r="C1070" i="3"/>
  <c r="J1071" i="3"/>
  <c r="H1073" i="3"/>
  <c r="F1075" i="3"/>
  <c r="D1077" i="3"/>
  <c r="B1079" i="3"/>
  <c r="I1080" i="3"/>
  <c r="A1081" i="3"/>
  <c r="A1082" i="3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C1082" i="3"/>
  <c r="I1083" i="3"/>
  <c r="E1085" i="3"/>
  <c r="G1088" i="3"/>
  <c r="C1090" i="3"/>
  <c r="I1091" i="3"/>
  <c r="E1093" i="3"/>
  <c r="G1096" i="3"/>
  <c r="C1098" i="3"/>
  <c r="I1099" i="3"/>
  <c r="E1101" i="3"/>
  <c r="G1104" i="3"/>
  <c r="D9" i="2"/>
  <c r="F9" i="2"/>
  <c r="B17" i="2"/>
  <c r="C17" i="2"/>
  <c r="D17" i="2"/>
  <c r="E17" i="2"/>
  <c r="F17" i="2"/>
  <c r="G17" i="2"/>
  <c r="H17" i="2"/>
  <c r="I17" i="2"/>
  <c r="J17" i="2"/>
  <c r="K17" i="2"/>
  <c r="B18" i="2"/>
  <c r="C18" i="2"/>
  <c r="D18" i="2"/>
  <c r="E18" i="2"/>
  <c r="F18" i="2"/>
  <c r="G18" i="2"/>
  <c r="H18" i="2"/>
  <c r="I18" i="2"/>
  <c r="J18" i="2"/>
  <c r="K18" i="2"/>
  <c r="B19" i="2"/>
  <c r="C19" i="2"/>
  <c r="D19" i="2"/>
  <c r="E19" i="2"/>
  <c r="F19" i="2"/>
  <c r="G19" i="2"/>
  <c r="H19" i="2"/>
  <c r="I19" i="2"/>
  <c r="J19" i="2"/>
  <c r="K19" i="2"/>
  <c r="B20" i="2"/>
  <c r="C20" i="2"/>
  <c r="D20" i="2"/>
  <c r="E20" i="2"/>
  <c r="F20" i="2"/>
  <c r="G20" i="2"/>
  <c r="H20" i="2"/>
  <c r="I20" i="2"/>
  <c r="J20" i="2"/>
  <c r="K20" i="2"/>
  <c r="B21" i="2"/>
  <c r="C21" i="2"/>
  <c r="D21" i="2"/>
  <c r="E21" i="2"/>
  <c r="F21" i="2"/>
  <c r="G21" i="2"/>
  <c r="H21" i="2"/>
  <c r="I21" i="2"/>
  <c r="J21" i="2"/>
  <c r="K21" i="2"/>
  <c r="B22" i="2"/>
  <c r="C22" i="2"/>
  <c r="D22" i="2"/>
  <c r="E22" i="2"/>
  <c r="F22" i="2"/>
  <c r="G22" i="2"/>
  <c r="H22" i="2"/>
  <c r="I22" i="2"/>
  <c r="J22" i="2"/>
  <c r="K22" i="2"/>
  <c r="B23" i="2"/>
  <c r="C23" i="2"/>
  <c r="D23" i="2"/>
  <c r="E23" i="2"/>
  <c r="F23" i="2"/>
  <c r="G23" i="2"/>
  <c r="H23" i="2"/>
  <c r="I23" i="2"/>
  <c r="J23" i="2"/>
  <c r="K23" i="2"/>
  <c r="B24" i="2"/>
  <c r="C24" i="2"/>
  <c r="D24" i="2"/>
  <c r="E24" i="2"/>
  <c r="F24" i="2"/>
  <c r="G24" i="2"/>
  <c r="H24" i="2"/>
  <c r="I24" i="2"/>
  <c r="J24" i="2"/>
  <c r="K24" i="2"/>
  <c r="B25" i="2"/>
  <c r="C25" i="2"/>
  <c r="D25" i="2"/>
  <c r="E25" i="2"/>
  <c r="F25" i="2"/>
  <c r="G25" i="2"/>
  <c r="H25" i="2"/>
  <c r="I25" i="2"/>
  <c r="J25" i="2"/>
  <c r="K25" i="2"/>
  <c r="B26" i="2"/>
  <c r="C26" i="2"/>
  <c r="D26" i="2"/>
  <c r="E26" i="2"/>
  <c r="F26" i="2"/>
  <c r="G26" i="2"/>
  <c r="H26" i="2"/>
  <c r="I26" i="2"/>
  <c r="J26" i="2"/>
  <c r="K26" i="2"/>
  <c r="B27" i="2"/>
  <c r="C27" i="2"/>
  <c r="D27" i="2"/>
  <c r="E27" i="2"/>
  <c r="F27" i="2"/>
  <c r="G27" i="2"/>
  <c r="H27" i="2"/>
  <c r="I27" i="2"/>
  <c r="J27" i="2"/>
  <c r="K27" i="2"/>
  <c r="B28" i="2"/>
  <c r="C28" i="2"/>
  <c r="D28" i="2"/>
  <c r="E28" i="2"/>
  <c r="F28" i="2"/>
  <c r="G28" i="2"/>
  <c r="H28" i="2"/>
  <c r="I28" i="2"/>
  <c r="J28" i="2"/>
  <c r="K28" i="2"/>
  <c r="B29" i="2"/>
  <c r="C29" i="2"/>
  <c r="D29" i="2"/>
  <c r="E29" i="2"/>
  <c r="F29" i="2"/>
  <c r="G29" i="2"/>
  <c r="H29" i="2"/>
  <c r="I29" i="2"/>
  <c r="J29" i="2"/>
  <c r="K29" i="2"/>
  <c r="B30" i="2"/>
  <c r="C30" i="2"/>
  <c r="D30" i="2"/>
  <c r="E30" i="2"/>
  <c r="F30" i="2"/>
  <c r="G30" i="2"/>
  <c r="H30" i="2"/>
  <c r="I30" i="2"/>
  <c r="J30" i="2"/>
  <c r="K30" i="2"/>
  <c r="B31" i="2"/>
  <c r="C31" i="2"/>
  <c r="D31" i="2"/>
  <c r="E31" i="2"/>
  <c r="F31" i="2"/>
  <c r="G31" i="2"/>
  <c r="H31" i="2"/>
  <c r="I31" i="2"/>
  <c r="J31" i="2"/>
  <c r="K31" i="2"/>
  <c r="B32" i="2"/>
  <c r="C32" i="2"/>
  <c r="D32" i="2"/>
  <c r="E32" i="2"/>
  <c r="F32" i="2"/>
  <c r="G32" i="2"/>
  <c r="H32" i="2"/>
  <c r="I32" i="2"/>
  <c r="J32" i="2"/>
  <c r="K32" i="2"/>
  <c r="B33" i="2"/>
  <c r="C33" i="2"/>
  <c r="D33" i="2"/>
  <c r="E33" i="2"/>
  <c r="F33" i="2"/>
  <c r="G33" i="2"/>
  <c r="H33" i="2"/>
  <c r="I33" i="2"/>
  <c r="J33" i="2"/>
  <c r="K33" i="2"/>
  <c r="B34" i="2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B36" i="2"/>
  <c r="C36" i="2"/>
  <c r="D36" i="2"/>
  <c r="E36" i="2"/>
  <c r="F36" i="2"/>
  <c r="G36" i="2"/>
  <c r="H36" i="2"/>
  <c r="I36" i="2"/>
  <c r="J36" i="2"/>
  <c r="K36" i="2"/>
  <c r="B37" i="2"/>
  <c r="C37" i="2"/>
  <c r="D37" i="2"/>
  <c r="E37" i="2"/>
  <c r="F37" i="2"/>
  <c r="G37" i="2"/>
  <c r="H37" i="2"/>
  <c r="I37" i="2"/>
  <c r="J37" i="2"/>
  <c r="K37" i="2"/>
  <c r="B38" i="2"/>
  <c r="C38" i="2"/>
  <c r="D38" i="2"/>
  <c r="E38" i="2"/>
  <c r="F38" i="2"/>
  <c r="G38" i="2"/>
  <c r="H38" i="2"/>
  <c r="I38" i="2"/>
  <c r="J38" i="2"/>
  <c r="K38" i="2"/>
  <c r="B39" i="2"/>
  <c r="C39" i="2"/>
  <c r="D39" i="2"/>
  <c r="E39" i="2"/>
  <c r="F39" i="2"/>
  <c r="G39" i="2"/>
  <c r="H39" i="2"/>
  <c r="I39" i="2"/>
  <c r="J39" i="2"/>
  <c r="K39" i="2"/>
  <c r="B40" i="2"/>
  <c r="C40" i="2"/>
  <c r="D40" i="2"/>
  <c r="E40" i="2"/>
  <c r="F40" i="2"/>
  <c r="G40" i="2"/>
  <c r="H40" i="2"/>
  <c r="I40" i="2"/>
  <c r="J40" i="2"/>
  <c r="K40" i="2"/>
  <c r="B41" i="2"/>
  <c r="C41" i="2"/>
  <c r="D41" i="2"/>
  <c r="E41" i="2"/>
  <c r="F41" i="2"/>
  <c r="G41" i="2"/>
  <c r="H41" i="2"/>
  <c r="I41" i="2"/>
  <c r="J41" i="2"/>
  <c r="K41" i="2"/>
  <c r="B42" i="2"/>
  <c r="C42" i="2"/>
  <c r="D42" i="2"/>
  <c r="E42" i="2"/>
  <c r="F42" i="2"/>
  <c r="G42" i="2"/>
  <c r="H42" i="2"/>
  <c r="I42" i="2"/>
  <c r="J42" i="2"/>
  <c r="K42" i="2"/>
  <c r="B43" i="2"/>
  <c r="C43" i="2"/>
  <c r="D43" i="2"/>
  <c r="E43" i="2"/>
  <c r="F43" i="2"/>
  <c r="G43" i="2"/>
  <c r="H43" i="2"/>
  <c r="I43" i="2"/>
  <c r="J43" i="2"/>
  <c r="K43" i="2"/>
  <c r="B44" i="2"/>
  <c r="C44" i="2"/>
  <c r="D44" i="2"/>
  <c r="E44" i="2"/>
  <c r="F44" i="2"/>
  <c r="G44" i="2"/>
  <c r="H44" i="2"/>
  <c r="I44" i="2"/>
  <c r="J44" i="2"/>
  <c r="K44" i="2"/>
  <c r="B45" i="2"/>
  <c r="C45" i="2"/>
  <c r="D45" i="2"/>
  <c r="E45" i="2"/>
  <c r="F45" i="2"/>
  <c r="G45" i="2"/>
  <c r="H45" i="2"/>
  <c r="I45" i="2"/>
  <c r="J45" i="2"/>
  <c r="K45" i="2"/>
  <c r="B46" i="2"/>
  <c r="C46" i="2"/>
  <c r="D46" i="2"/>
  <c r="E46" i="2"/>
  <c r="F46" i="2"/>
  <c r="G46" i="2"/>
  <c r="H46" i="2"/>
  <c r="I46" i="2"/>
  <c r="J46" i="2"/>
  <c r="K46" i="2"/>
  <c r="B47" i="2"/>
  <c r="C47" i="2"/>
  <c r="D47" i="2"/>
  <c r="E47" i="2"/>
  <c r="F47" i="2"/>
  <c r="G47" i="2"/>
  <c r="H47" i="2"/>
  <c r="I47" i="2"/>
  <c r="J47" i="2"/>
  <c r="K47" i="2"/>
  <c r="B48" i="2"/>
  <c r="C48" i="2"/>
  <c r="D48" i="2"/>
  <c r="E48" i="2"/>
  <c r="F48" i="2"/>
  <c r="G48" i="2"/>
  <c r="H48" i="2"/>
  <c r="I48" i="2"/>
  <c r="J48" i="2"/>
  <c r="K48" i="2"/>
  <c r="B49" i="2"/>
  <c r="C49" i="2"/>
  <c r="D49" i="2"/>
  <c r="E49" i="2"/>
  <c r="F49" i="2"/>
  <c r="G49" i="2"/>
  <c r="H49" i="2"/>
  <c r="I49" i="2"/>
  <c r="J49" i="2"/>
  <c r="K49" i="2"/>
  <c r="B50" i="2"/>
  <c r="C50" i="2"/>
  <c r="D50" i="2"/>
  <c r="E50" i="2"/>
  <c r="F50" i="2"/>
  <c r="G50" i="2"/>
  <c r="H50" i="2"/>
  <c r="I50" i="2"/>
  <c r="J50" i="2"/>
  <c r="K50" i="2"/>
  <c r="B51" i="2"/>
  <c r="C51" i="2"/>
  <c r="D51" i="2"/>
  <c r="E51" i="2"/>
  <c r="F51" i="2"/>
  <c r="G51" i="2"/>
  <c r="H51" i="2"/>
  <c r="I51" i="2"/>
  <c r="J51" i="2"/>
  <c r="K51" i="2"/>
  <c r="B52" i="2"/>
  <c r="C52" i="2"/>
  <c r="D52" i="2"/>
  <c r="E52" i="2"/>
  <c r="F52" i="2"/>
  <c r="G52" i="2"/>
  <c r="H52" i="2"/>
  <c r="I52" i="2"/>
  <c r="J52" i="2"/>
  <c r="K52" i="2"/>
  <c r="B53" i="2"/>
  <c r="C53" i="2"/>
  <c r="D53" i="2"/>
  <c r="E53" i="2"/>
  <c r="F53" i="2"/>
  <c r="G53" i="2"/>
  <c r="H53" i="2"/>
  <c r="I53" i="2"/>
  <c r="J53" i="2"/>
  <c r="K53" i="2"/>
  <c r="B54" i="2"/>
  <c r="C54" i="2"/>
  <c r="D54" i="2"/>
  <c r="E54" i="2"/>
  <c r="F54" i="2"/>
  <c r="G54" i="2"/>
  <c r="H54" i="2"/>
  <c r="I54" i="2"/>
  <c r="J54" i="2"/>
  <c r="K54" i="2"/>
  <c r="B55" i="2"/>
  <c r="C55" i="2"/>
  <c r="D55" i="2"/>
  <c r="E55" i="2"/>
  <c r="F55" i="2"/>
  <c r="G55" i="2"/>
  <c r="H55" i="2"/>
  <c r="I55" i="2"/>
  <c r="J55" i="2"/>
  <c r="K55" i="2"/>
  <c r="B56" i="2"/>
  <c r="C56" i="2"/>
  <c r="D56" i="2"/>
  <c r="E56" i="2"/>
  <c r="F56" i="2"/>
  <c r="G56" i="2"/>
  <c r="H56" i="2"/>
  <c r="I56" i="2"/>
  <c r="J56" i="2"/>
  <c r="K56" i="2"/>
  <c r="B57" i="2"/>
  <c r="C57" i="2"/>
  <c r="D57" i="2"/>
  <c r="E57" i="2"/>
  <c r="F57" i="2"/>
  <c r="G57" i="2"/>
  <c r="H57" i="2"/>
  <c r="I57" i="2"/>
  <c r="J57" i="2"/>
  <c r="K57" i="2"/>
  <c r="B58" i="2"/>
  <c r="C58" i="2"/>
  <c r="D58" i="2"/>
  <c r="E58" i="2"/>
  <c r="F58" i="2"/>
  <c r="G58" i="2"/>
  <c r="H58" i="2"/>
  <c r="I58" i="2"/>
  <c r="J58" i="2"/>
  <c r="K58" i="2"/>
  <c r="B59" i="2"/>
  <c r="C59" i="2"/>
  <c r="D59" i="2"/>
  <c r="E59" i="2"/>
  <c r="F59" i="2"/>
  <c r="G59" i="2"/>
  <c r="H59" i="2"/>
  <c r="I59" i="2"/>
  <c r="J59" i="2"/>
  <c r="K59" i="2"/>
  <c r="B60" i="2"/>
  <c r="C60" i="2"/>
  <c r="D60" i="2"/>
  <c r="E60" i="2"/>
  <c r="F60" i="2"/>
  <c r="G60" i="2"/>
  <c r="H60" i="2"/>
  <c r="I60" i="2"/>
  <c r="J60" i="2"/>
  <c r="K60" i="2"/>
  <c r="B61" i="2"/>
  <c r="C61" i="2"/>
  <c r="D61" i="2"/>
  <c r="E61" i="2"/>
  <c r="F61" i="2"/>
  <c r="G61" i="2"/>
  <c r="H61" i="2"/>
  <c r="I61" i="2"/>
  <c r="J61" i="2"/>
  <c r="K61" i="2"/>
  <c r="B62" i="2"/>
  <c r="C62" i="2"/>
  <c r="D62" i="2"/>
  <c r="E62" i="2"/>
  <c r="F62" i="2"/>
  <c r="G62" i="2"/>
  <c r="H62" i="2"/>
  <c r="I62" i="2"/>
  <c r="J62" i="2"/>
  <c r="K62" i="2"/>
  <c r="B63" i="2"/>
  <c r="C63" i="2"/>
  <c r="D63" i="2"/>
  <c r="E63" i="2"/>
  <c r="F63" i="2"/>
  <c r="G63" i="2"/>
  <c r="H63" i="2"/>
  <c r="I63" i="2"/>
  <c r="J63" i="2"/>
  <c r="K63" i="2"/>
  <c r="B64" i="2"/>
  <c r="C64" i="2"/>
  <c r="D64" i="2"/>
  <c r="E64" i="2"/>
  <c r="F64" i="2"/>
  <c r="G64" i="2"/>
  <c r="H64" i="2"/>
  <c r="I64" i="2"/>
  <c r="J64" i="2"/>
  <c r="K64" i="2"/>
  <c r="B65" i="2"/>
  <c r="C65" i="2"/>
  <c r="D65" i="2"/>
  <c r="E65" i="2"/>
  <c r="F65" i="2"/>
  <c r="G65" i="2"/>
  <c r="H65" i="2"/>
  <c r="I65" i="2"/>
  <c r="J65" i="2"/>
  <c r="K65" i="2"/>
  <c r="B66" i="2"/>
  <c r="C66" i="2"/>
  <c r="D66" i="2"/>
  <c r="E66" i="2"/>
  <c r="F66" i="2"/>
  <c r="G66" i="2"/>
  <c r="H66" i="2"/>
  <c r="I66" i="2"/>
  <c r="J66" i="2"/>
  <c r="K66" i="2"/>
  <c r="B67" i="2"/>
  <c r="C67" i="2"/>
  <c r="D67" i="2"/>
  <c r="E67" i="2"/>
  <c r="F67" i="2"/>
  <c r="G67" i="2"/>
  <c r="H67" i="2"/>
  <c r="I67" i="2"/>
  <c r="J67" i="2"/>
  <c r="K67" i="2"/>
  <c r="B68" i="2"/>
  <c r="C68" i="2"/>
  <c r="D68" i="2"/>
  <c r="E68" i="2"/>
  <c r="F68" i="2"/>
  <c r="G68" i="2"/>
  <c r="H68" i="2"/>
  <c r="I68" i="2"/>
  <c r="J68" i="2"/>
  <c r="K68" i="2"/>
  <c r="B69" i="2"/>
  <c r="C69" i="2"/>
  <c r="D69" i="2"/>
  <c r="E69" i="2"/>
  <c r="F69" i="2"/>
  <c r="G69" i="2"/>
  <c r="H69" i="2"/>
  <c r="I69" i="2"/>
  <c r="J69" i="2"/>
  <c r="K69" i="2"/>
  <c r="B70" i="2"/>
  <c r="C70" i="2"/>
  <c r="D70" i="2"/>
  <c r="E70" i="2"/>
  <c r="F70" i="2"/>
  <c r="G70" i="2"/>
  <c r="H70" i="2"/>
  <c r="I70" i="2"/>
  <c r="J70" i="2"/>
  <c r="K70" i="2"/>
  <c r="B71" i="2"/>
  <c r="C71" i="2"/>
  <c r="D71" i="2"/>
  <c r="E71" i="2"/>
  <c r="F71" i="2"/>
  <c r="G71" i="2"/>
  <c r="H71" i="2"/>
  <c r="I71" i="2"/>
  <c r="J71" i="2"/>
  <c r="K71" i="2"/>
  <c r="B72" i="2"/>
  <c r="C72" i="2"/>
  <c r="D72" i="2"/>
  <c r="E72" i="2"/>
  <c r="F72" i="2"/>
  <c r="G72" i="2"/>
  <c r="H72" i="2"/>
  <c r="I72" i="2"/>
  <c r="J72" i="2"/>
  <c r="K72" i="2"/>
  <c r="B73" i="2"/>
  <c r="C73" i="2"/>
  <c r="D73" i="2"/>
  <c r="E73" i="2"/>
  <c r="F73" i="2"/>
  <c r="G73" i="2"/>
  <c r="H73" i="2"/>
  <c r="I73" i="2"/>
  <c r="J73" i="2"/>
  <c r="K73" i="2"/>
  <c r="B74" i="2"/>
  <c r="C74" i="2"/>
  <c r="D74" i="2"/>
  <c r="E74" i="2"/>
  <c r="F74" i="2"/>
  <c r="G74" i="2"/>
  <c r="H74" i="2"/>
  <c r="I74" i="2"/>
  <c r="J74" i="2"/>
  <c r="K74" i="2"/>
  <c r="B75" i="2"/>
  <c r="C75" i="2"/>
  <c r="D75" i="2"/>
  <c r="E75" i="2"/>
  <c r="F75" i="2"/>
  <c r="G75" i="2"/>
  <c r="H75" i="2"/>
  <c r="I75" i="2"/>
  <c r="J75" i="2"/>
  <c r="K75" i="2"/>
  <c r="B76" i="2"/>
  <c r="C76" i="2"/>
  <c r="D76" i="2"/>
  <c r="E76" i="2"/>
  <c r="F76" i="2"/>
  <c r="G76" i="2"/>
  <c r="H76" i="2"/>
  <c r="I76" i="2"/>
  <c r="J76" i="2"/>
  <c r="K76" i="2"/>
  <c r="B77" i="2"/>
  <c r="C77" i="2"/>
  <c r="D77" i="2"/>
  <c r="E77" i="2"/>
  <c r="F77" i="2"/>
  <c r="G77" i="2"/>
  <c r="H77" i="2"/>
  <c r="I77" i="2"/>
  <c r="J77" i="2"/>
  <c r="K77" i="2"/>
  <c r="B78" i="2"/>
  <c r="C78" i="2"/>
  <c r="D78" i="2"/>
  <c r="E78" i="2"/>
  <c r="F78" i="2"/>
  <c r="G78" i="2"/>
  <c r="H78" i="2"/>
  <c r="I78" i="2"/>
  <c r="J78" i="2"/>
  <c r="K78" i="2"/>
  <c r="B79" i="2"/>
  <c r="C79" i="2"/>
  <c r="D79" i="2"/>
  <c r="E79" i="2"/>
  <c r="F79" i="2"/>
  <c r="G79" i="2"/>
  <c r="H79" i="2"/>
  <c r="I79" i="2"/>
  <c r="J79" i="2"/>
  <c r="K79" i="2"/>
  <c r="B80" i="2"/>
  <c r="C80" i="2"/>
  <c r="D80" i="2"/>
  <c r="E80" i="2"/>
  <c r="F80" i="2"/>
  <c r="G80" i="2"/>
  <c r="H80" i="2"/>
  <c r="I80" i="2"/>
  <c r="J80" i="2"/>
  <c r="K80" i="2"/>
  <c r="B81" i="2"/>
  <c r="C81" i="2"/>
  <c r="D81" i="2"/>
  <c r="E81" i="2"/>
  <c r="F81" i="2"/>
  <c r="G81" i="2"/>
  <c r="H81" i="2"/>
  <c r="I81" i="2"/>
  <c r="J81" i="2"/>
  <c r="K81" i="2"/>
  <c r="B82" i="2"/>
  <c r="C82" i="2"/>
  <c r="D82" i="2"/>
  <c r="E82" i="2"/>
  <c r="F82" i="2"/>
  <c r="G82" i="2"/>
  <c r="H82" i="2"/>
  <c r="I82" i="2"/>
  <c r="J82" i="2"/>
  <c r="K82" i="2"/>
  <c r="B83" i="2"/>
  <c r="C83" i="2"/>
  <c r="D83" i="2"/>
  <c r="E83" i="2"/>
  <c r="F83" i="2"/>
  <c r="G83" i="2"/>
  <c r="H83" i="2"/>
  <c r="I83" i="2"/>
  <c r="J83" i="2"/>
  <c r="K83" i="2"/>
  <c r="B84" i="2"/>
  <c r="C84" i="2"/>
  <c r="D84" i="2"/>
  <c r="E84" i="2"/>
  <c r="F84" i="2"/>
  <c r="G84" i="2"/>
  <c r="H84" i="2"/>
  <c r="I84" i="2"/>
  <c r="J84" i="2"/>
  <c r="K84" i="2"/>
  <c r="B85" i="2"/>
  <c r="C85" i="2"/>
  <c r="D85" i="2"/>
  <c r="E85" i="2"/>
  <c r="F85" i="2"/>
  <c r="G85" i="2"/>
  <c r="H85" i="2"/>
  <c r="I85" i="2"/>
  <c r="J85" i="2"/>
  <c r="K85" i="2"/>
  <c r="B86" i="2"/>
  <c r="C86" i="2"/>
  <c r="D86" i="2"/>
  <c r="E86" i="2"/>
  <c r="F86" i="2"/>
  <c r="G86" i="2"/>
  <c r="H86" i="2"/>
  <c r="I86" i="2"/>
  <c r="J86" i="2"/>
  <c r="K86" i="2"/>
  <c r="B87" i="2"/>
  <c r="C87" i="2"/>
  <c r="D87" i="2"/>
  <c r="E87" i="2"/>
  <c r="F87" i="2"/>
  <c r="G87" i="2"/>
  <c r="H87" i="2"/>
  <c r="I87" i="2"/>
  <c r="J87" i="2"/>
  <c r="K87" i="2"/>
  <c r="B88" i="2"/>
  <c r="C88" i="2"/>
  <c r="D88" i="2"/>
  <c r="E88" i="2"/>
  <c r="F88" i="2"/>
  <c r="G88" i="2"/>
  <c r="H88" i="2"/>
  <c r="I88" i="2"/>
  <c r="J88" i="2"/>
  <c r="K88" i="2"/>
  <c r="B89" i="2"/>
  <c r="C89" i="2"/>
  <c r="D89" i="2"/>
  <c r="E89" i="2"/>
  <c r="F89" i="2"/>
  <c r="G89" i="2"/>
  <c r="H89" i="2"/>
  <c r="I89" i="2"/>
  <c r="J89" i="2"/>
  <c r="K89" i="2"/>
  <c r="B90" i="2"/>
  <c r="C90" i="2"/>
  <c r="D90" i="2"/>
  <c r="E90" i="2"/>
  <c r="F90" i="2"/>
  <c r="G90" i="2"/>
  <c r="H90" i="2"/>
  <c r="I90" i="2"/>
  <c r="J90" i="2"/>
  <c r="K90" i="2"/>
  <c r="B91" i="2"/>
  <c r="C91" i="2"/>
  <c r="D91" i="2"/>
  <c r="E91" i="2"/>
  <c r="F91" i="2"/>
  <c r="G91" i="2"/>
  <c r="H91" i="2"/>
  <c r="I91" i="2"/>
  <c r="J91" i="2"/>
  <c r="K91" i="2"/>
  <c r="B92" i="2"/>
  <c r="C92" i="2"/>
  <c r="D92" i="2"/>
  <c r="E92" i="2"/>
  <c r="F92" i="2"/>
  <c r="G92" i="2"/>
  <c r="H92" i="2"/>
  <c r="I92" i="2"/>
  <c r="J92" i="2"/>
  <c r="K92" i="2"/>
  <c r="B93" i="2"/>
  <c r="C93" i="2"/>
  <c r="D93" i="2"/>
  <c r="E93" i="2"/>
  <c r="F93" i="2"/>
  <c r="G93" i="2"/>
  <c r="H93" i="2"/>
  <c r="I93" i="2"/>
  <c r="J93" i="2"/>
  <c r="K93" i="2"/>
  <c r="B94" i="2"/>
  <c r="C94" i="2"/>
  <c r="D94" i="2"/>
  <c r="E94" i="2"/>
  <c r="F94" i="2"/>
  <c r="G94" i="2"/>
  <c r="H94" i="2"/>
  <c r="I94" i="2"/>
  <c r="J94" i="2"/>
  <c r="K94" i="2"/>
  <c r="B95" i="2"/>
  <c r="C95" i="2"/>
  <c r="D95" i="2"/>
  <c r="E95" i="2"/>
  <c r="F95" i="2"/>
  <c r="G95" i="2"/>
  <c r="H95" i="2"/>
  <c r="I95" i="2"/>
  <c r="J95" i="2"/>
  <c r="K95" i="2"/>
  <c r="B96" i="2"/>
  <c r="C96" i="2"/>
  <c r="D96" i="2"/>
  <c r="E96" i="2"/>
  <c r="F96" i="2"/>
  <c r="G96" i="2"/>
  <c r="H96" i="2"/>
  <c r="I96" i="2"/>
  <c r="J96" i="2"/>
  <c r="K96" i="2"/>
  <c r="B97" i="2"/>
  <c r="C97" i="2"/>
  <c r="D97" i="2"/>
  <c r="E97" i="2"/>
  <c r="F97" i="2"/>
  <c r="G97" i="2"/>
  <c r="H97" i="2"/>
  <c r="I97" i="2"/>
  <c r="J97" i="2"/>
  <c r="K97" i="2"/>
  <c r="B98" i="2"/>
  <c r="C98" i="2"/>
  <c r="D98" i="2"/>
  <c r="E98" i="2"/>
  <c r="F98" i="2"/>
  <c r="G98" i="2"/>
  <c r="H98" i="2"/>
  <c r="I98" i="2"/>
  <c r="J98" i="2"/>
  <c r="K98" i="2"/>
  <c r="B99" i="2"/>
  <c r="C99" i="2"/>
  <c r="D99" i="2"/>
  <c r="E99" i="2"/>
  <c r="F99" i="2"/>
  <c r="G99" i="2"/>
  <c r="H99" i="2"/>
  <c r="I99" i="2"/>
  <c r="J99" i="2"/>
  <c r="K99" i="2"/>
  <c r="B100" i="2"/>
  <c r="C100" i="2"/>
  <c r="D100" i="2"/>
  <c r="E100" i="2"/>
  <c r="F100" i="2"/>
  <c r="G100" i="2"/>
  <c r="H100" i="2"/>
  <c r="I100" i="2"/>
  <c r="J100" i="2"/>
  <c r="K100" i="2"/>
  <c r="B101" i="2"/>
  <c r="C101" i="2"/>
  <c r="D101" i="2"/>
  <c r="E101" i="2"/>
  <c r="F101" i="2"/>
  <c r="G101" i="2"/>
  <c r="H101" i="2"/>
  <c r="I101" i="2"/>
  <c r="J101" i="2"/>
  <c r="K101" i="2"/>
  <c r="B102" i="2"/>
  <c r="C102" i="2"/>
  <c r="D102" i="2"/>
  <c r="E102" i="2"/>
  <c r="F102" i="2"/>
  <c r="G102" i="2"/>
  <c r="H102" i="2"/>
  <c r="I102" i="2"/>
  <c r="J102" i="2"/>
  <c r="K102" i="2"/>
  <c r="B103" i="2"/>
  <c r="C103" i="2"/>
  <c r="D103" i="2"/>
  <c r="E103" i="2"/>
  <c r="F103" i="2"/>
  <c r="G103" i="2"/>
  <c r="H103" i="2"/>
  <c r="I103" i="2"/>
  <c r="J103" i="2"/>
  <c r="K103" i="2"/>
  <c r="B104" i="2"/>
  <c r="C104" i="2"/>
  <c r="D104" i="2"/>
  <c r="E104" i="2"/>
  <c r="F104" i="2"/>
  <c r="G104" i="2"/>
  <c r="H104" i="2"/>
  <c r="I104" i="2"/>
  <c r="J104" i="2"/>
  <c r="K104" i="2"/>
  <c r="B105" i="2"/>
  <c r="C105" i="2"/>
  <c r="D105" i="2"/>
  <c r="E105" i="2"/>
  <c r="F105" i="2"/>
  <c r="G105" i="2"/>
  <c r="H105" i="2"/>
  <c r="I105" i="2"/>
  <c r="J105" i="2"/>
  <c r="K105" i="2"/>
  <c r="B106" i="2"/>
  <c r="C106" i="2"/>
  <c r="D106" i="2"/>
  <c r="E106" i="2"/>
  <c r="F106" i="2"/>
  <c r="G106" i="2"/>
  <c r="H106" i="2"/>
  <c r="I106" i="2"/>
  <c r="J106" i="2"/>
  <c r="K106" i="2"/>
  <c r="B107" i="2"/>
  <c r="C107" i="2"/>
  <c r="D107" i="2"/>
  <c r="E107" i="2"/>
  <c r="F107" i="2"/>
  <c r="G107" i="2"/>
  <c r="H107" i="2"/>
  <c r="I107" i="2"/>
  <c r="J107" i="2"/>
  <c r="K107" i="2"/>
  <c r="B108" i="2"/>
  <c r="C108" i="2"/>
  <c r="D108" i="2"/>
  <c r="E108" i="2"/>
  <c r="F108" i="2"/>
  <c r="G108" i="2"/>
  <c r="H108" i="2"/>
  <c r="I108" i="2"/>
  <c r="J108" i="2"/>
  <c r="K108" i="2"/>
  <c r="B109" i="2"/>
  <c r="C109" i="2"/>
  <c r="D109" i="2"/>
  <c r="E109" i="2"/>
  <c r="F109" i="2"/>
  <c r="G109" i="2"/>
  <c r="H109" i="2"/>
  <c r="I109" i="2"/>
  <c r="J109" i="2"/>
  <c r="K109" i="2"/>
  <c r="B110" i="2"/>
  <c r="C110" i="2"/>
  <c r="D110" i="2"/>
  <c r="E110" i="2"/>
  <c r="F110" i="2"/>
  <c r="G110" i="2"/>
  <c r="H110" i="2"/>
  <c r="I110" i="2"/>
  <c r="J110" i="2"/>
  <c r="K110" i="2"/>
  <c r="B111" i="2"/>
  <c r="C111" i="2"/>
  <c r="D111" i="2"/>
  <c r="E111" i="2"/>
  <c r="F111" i="2"/>
  <c r="G111" i="2"/>
  <c r="H111" i="2"/>
  <c r="I111" i="2"/>
  <c r="J111" i="2"/>
  <c r="K111" i="2"/>
  <c r="B112" i="2"/>
  <c r="C112" i="2"/>
  <c r="D112" i="2"/>
  <c r="E112" i="2"/>
  <c r="F112" i="2"/>
  <c r="G112" i="2"/>
  <c r="H112" i="2"/>
  <c r="I112" i="2"/>
  <c r="J112" i="2"/>
  <c r="K112" i="2"/>
  <c r="B113" i="2"/>
  <c r="C113" i="2"/>
  <c r="D113" i="2"/>
  <c r="E113" i="2"/>
  <c r="F113" i="2"/>
  <c r="G113" i="2"/>
  <c r="H113" i="2"/>
  <c r="I113" i="2"/>
  <c r="J113" i="2"/>
  <c r="K113" i="2"/>
  <c r="B114" i="2"/>
  <c r="C114" i="2"/>
  <c r="D114" i="2"/>
  <c r="E114" i="2"/>
  <c r="F114" i="2"/>
  <c r="G114" i="2"/>
  <c r="H114" i="2"/>
  <c r="I114" i="2"/>
  <c r="J114" i="2"/>
  <c r="K114" i="2"/>
  <c r="B115" i="2"/>
  <c r="C115" i="2"/>
  <c r="D115" i="2"/>
  <c r="E115" i="2"/>
  <c r="F115" i="2"/>
  <c r="G115" i="2"/>
  <c r="H115" i="2"/>
  <c r="I115" i="2"/>
  <c r="J115" i="2"/>
  <c r="K115" i="2"/>
  <c r="B116" i="2"/>
  <c r="C116" i="2"/>
  <c r="D116" i="2"/>
  <c r="E116" i="2"/>
  <c r="F116" i="2"/>
  <c r="G116" i="2"/>
  <c r="H116" i="2"/>
  <c r="I116" i="2"/>
  <c r="J116" i="2"/>
  <c r="K116" i="2"/>
  <c r="B117" i="2"/>
  <c r="C117" i="2"/>
  <c r="D117" i="2"/>
  <c r="E117" i="2"/>
  <c r="F117" i="2"/>
  <c r="G117" i="2"/>
  <c r="H117" i="2"/>
  <c r="I117" i="2"/>
  <c r="J117" i="2"/>
  <c r="K117" i="2"/>
  <c r="B118" i="2"/>
  <c r="C118" i="2"/>
  <c r="D118" i="2"/>
  <c r="E118" i="2"/>
  <c r="F118" i="2"/>
  <c r="G118" i="2"/>
  <c r="H118" i="2"/>
  <c r="I118" i="2"/>
  <c r="J118" i="2"/>
  <c r="K118" i="2"/>
  <c r="B119" i="2"/>
  <c r="C119" i="2"/>
  <c r="D119" i="2"/>
  <c r="E119" i="2"/>
  <c r="F119" i="2"/>
  <c r="G119" i="2"/>
  <c r="H119" i="2"/>
  <c r="I119" i="2"/>
  <c r="J119" i="2"/>
  <c r="K119" i="2"/>
  <c r="B120" i="2"/>
  <c r="C120" i="2"/>
  <c r="D120" i="2"/>
  <c r="E120" i="2"/>
  <c r="F120" i="2"/>
  <c r="G120" i="2"/>
  <c r="H120" i="2"/>
  <c r="I120" i="2"/>
  <c r="J120" i="2"/>
  <c r="K120" i="2"/>
  <c r="B121" i="2"/>
  <c r="C121" i="2"/>
  <c r="D121" i="2"/>
  <c r="E121" i="2"/>
  <c r="F121" i="2"/>
  <c r="G121" i="2"/>
  <c r="H121" i="2"/>
  <c r="I121" i="2"/>
  <c r="J121" i="2"/>
  <c r="K121" i="2"/>
  <c r="B122" i="2"/>
  <c r="C122" i="2"/>
  <c r="D122" i="2"/>
  <c r="E122" i="2"/>
  <c r="F122" i="2"/>
  <c r="G122" i="2"/>
  <c r="H122" i="2"/>
  <c r="I122" i="2"/>
  <c r="J122" i="2"/>
  <c r="K122" i="2"/>
  <c r="B123" i="2"/>
  <c r="C123" i="2"/>
  <c r="D123" i="2"/>
  <c r="E123" i="2"/>
  <c r="F123" i="2"/>
  <c r="G123" i="2"/>
  <c r="H123" i="2"/>
  <c r="I123" i="2"/>
  <c r="J123" i="2"/>
  <c r="K123" i="2"/>
  <c r="B124" i="2"/>
  <c r="C124" i="2"/>
  <c r="D124" i="2"/>
  <c r="E124" i="2"/>
  <c r="F124" i="2"/>
  <c r="G124" i="2"/>
  <c r="H124" i="2"/>
  <c r="I124" i="2"/>
  <c r="J124" i="2"/>
  <c r="K124" i="2"/>
  <c r="B125" i="2"/>
  <c r="C125" i="2"/>
  <c r="D125" i="2"/>
  <c r="E125" i="2"/>
  <c r="F125" i="2"/>
  <c r="G125" i="2"/>
  <c r="H125" i="2"/>
  <c r="I125" i="2"/>
  <c r="J125" i="2"/>
  <c r="K125" i="2"/>
  <c r="B126" i="2"/>
  <c r="C126" i="2"/>
  <c r="D126" i="2"/>
  <c r="E126" i="2"/>
  <c r="F126" i="2"/>
  <c r="G126" i="2"/>
  <c r="H126" i="2"/>
  <c r="I126" i="2"/>
  <c r="J126" i="2"/>
  <c r="K126" i="2"/>
  <c r="B127" i="2"/>
  <c r="C127" i="2"/>
  <c r="D127" i="2"/>
  <c r="E127" i="2"/>
  <c r="F127" i="2"/>
  <c r="G127" i="2"/>
  <c r="H127" i="2"/>
  <c r="I127" i="2"/>
  <c r="J127" i="2"/>
  <c r="K127" i="2"/>
  <c r="B128" i="2"/>
  <c r="C128" i="2"/>
  <c r="D128" i="2"/>
  <c r="E128" i="2"/>
  <c r="F128" i="2"/>
  <c r="G128" i="2"/>
  <c r="H128" i="2"/>
  <c r="I128" i="2"/>
  <c r="J128" i="2"/>
  <c r="K128" i="2"/>
  <c r="B129" i="2"/>
  <c r="C129" i="2"/>
  <c r="D129" i="2"/>
  <c r="E129" i="2"/>
  <c r="F129" i="2"/>
  <c r="G129" i="2"/>
  <c r="H129" i="2"/>
  <c r="I129" i="2"/>
  <c r="J129" i="2"/>
  <c r="K129" i="2"/>
  <c r="B130" i="2"/>
  <c r="C130" i="2"/>
  <c r="D130" i="2"/>
  <c r="E130" i="2"/>
  <c r="F130" i="2"/>
  <c r="G130" i="2"/>
  <c r="H130" i="2"/>
  <c r="I130" i="2"/>
  <c r="J130" i="2"/>
  <c r="K130" i="2"/>
  <c r="B131" i="2"/>
  <c r="C131" i="2"/>
  <c r="D131" i="2"/>
  <c r="E131" i="2"/>
  <c r="F131" i="2"/>
  <c r="G131" i="2"/>
  <c r="H131" i="2"/>
  <c r="I131" i="2"/>
  <c r="J131" i="2"/>
  <c r="K131" i="2"/>
  <c r="B132" i="2"/>
  <c r="C132" i="2"/>
  <c r="D132" i="2"/>
  <c r="E132" i="2"/>
  <c r="F132" i="2"/>
  <c r="G132" i="2"/>
  <c r="H132" i="2"/>
  <c r="I132" i="2"/>
  <c r="J132" i="2"/>
  <c r="K132" i="2"/>
  <c r="B133" i="2"/>
  <c r="C133" i="2"/>
  <c r="D133" i="2"/>
  <c r="E133" i="2"/>
  <c r="F133" i="2"/>
  <c r="G133" i="2"/>
  <c r="H133" i="2"/>
  <c r="I133" i="2"/>
  <c r="J133" i="2"/>
  <c r="K133" i="2"/>
  <c r="B134" i="2"/>
  <c r="C134" i="2"/>
  <c r="D134" i="2"/>
  <c r="E134" i="2"/>
  <c r="F134" i="2"/>
  <c r="G134" i="2"/>
  <c r="H134" i="2"/>
  <c r="I134" i="2"/>
  <c r="J134" i="2"/>
  <c r="K134" i="2"/>
  <c r="B135" i="2"/>
  <c r="C135" i="2"/>
  <c r="D135" i="2"/>
  <c r="E135" i="2"/>
  <c r="F135" i="2"/>
  <c r="G135" i="2"/>
  <c r="H135" i="2"/>
  <c r="I135" i="2"/>
  <c r="J135" i="2"/>
  <c r="K135" i="2"/>
  <c r="B136" i="2"/>
  <c r="C136" i="2"/>
  <c r="D136" i="2"/>
  <c r="E136" i="2"/>
  <c r="F136" i="2"/>
  <c r="G136" i="2"/>
  <c r="H136" i="2"/>
  <c r="I136" i="2"/>
  <c r="J136" i="2"/>
  <c r="K136" i="2"/>
  <c r="B137" i="2"/>
  <c r="C137" i="2"/>
  <c r="D137" i="2"/>
  <c r="E137" i="2"/>
  <c r="F137" i="2"/>
  <c r="G137" i="2"/>
  <c r="H137" i="2"/>
  <c r="I137" i="2"/>
  <c r="J137" i="2"/>
  <c r="K137" i="2"/>
  <c r="B138" i="2"/>
  <c r="C138" i="2"/>
  <c r="D138" i="2"/>
  <c r="E138" i="2"/>
  <c r="F138" i="2"/>
  <c r="G138" i="2"/>
  <c r="H138" i="2"/>
  <c r="I138" i="2"/>
  <c r="J138" i="2"/>
  <c r="K138" i="2"/>
  <c r="B139" i="2"/>
  <c r="C139" i="2"/>
  <c r="D139" i="2"/>
  <c r="E139" i="2"/>
  <c r="F139" i="2"/>
  <c r="G139" i="2"/>
  <c r="H139" i="2"/>
  <c r="I139" i="2"/>
  <c r="J139" i="2"/>
  <c r="K139" i="2"/>
  <c r="B140" i="2"/>
  <c r="C140" i="2"/>
  <c r="D140" i="2"/>
  <c r="E140" i="2"/>
  <c r="F140" i="2"/>
  <c r="G140" i="2"/>
  <c r="H140" i="2"/>
  <c r="I140" i="2"/>
  <c r="J140" i="2"/>
  <c r="K140" i="2"/>
  <c r="B141" i="2"/>
  <c r="C141" i="2"/>
  <c r="D141" i="2"/>
  <c r="E141" i="2"/>
  <c r="F141" i="2"/>
  <c r="G141" i="2"/>
  <c r="H141" i="2"/>
  <c r="I141" i="2"/>
  <c r="J141" i="2"/>
  <c r="K141" i="2"/>
  <c r="B142" i="2"/>
  <c r="C142" i="2"/>
  <c r="D142" i="2"/>
  <c r="E142" i="2"/>
  <c r="F142" i="2"/>
  <c r="G142" i="2"/>
  <c r="H142" i="2"/>
  <c r="I142" i="2"/>
  <c r="J142" i="2"/>
  <c r="K142" i="2"/>
  <c r="B143" i="2"/>
  <c r="C143" i="2"/>
  <c r="D143" i="2"/>
  <c r="E143" i="2"/>
  <c r="F143" i="2"/>
  <c r="G143" i="2"/>
  <c r="H143" i="2"/>
  <c r="I143" i="2"/>
  <c r="J143" i="2"/>
  <c r="K143" i="2"/>
  <c r="B144" i="2"/>
  <c r="C144" i="2"/>
  <c r="D144" i="2"/>
  <c r="E144" i="2"/>
  <c r="F144" i="2"/>
  <c r="G144" i="2"/>
  <c r="H144" i="2"/>
  <c r="I144" i="2"/>
  <c r="J144" i="2"/>
  <c r="K144" i="2"/>
  <c r="B145" i="2"/>
  <c r="C145" i="2"/>
  <c r="D145" i="2"/>
  <c r="E145" i="2"/>
  <c r="F145" i="2"/>
  <c r="G145" i="2"/>
  <c r="H145" i="2"/>
  <c r="I145" i="2"/>
  <c r="J145" i="2"/>
  <c r="K145" i="2"/>
  <c r="B146" i="2"/>
  <c r="C146" i="2"/>
  <c r="D146" i="2"/>
  <c r="E146" i="2"/>
  <c r="F146" i="2"/>
  <c r="G146" i="2"/>
  <c r="H146" i="2"/>
  <c r="I146" i="2"/>
  <c r="J146" i="2"/>
  <c r="K146" i="2"/>
  <c r="B147" i="2"/>
  <c r="C147" i="2"/>
  <c r="D147" i="2"/>
  <c r="E147" i="2"/>
  <c r="F147" i="2"/>
  <c r="G147" i="2"/>
  <c r="H147" i="2"/>
  <c r="I147" i="2"/>
  <c r="J147" i="2"/>
  <c r="K147" i="2"/>
  <c r="B148" i="2"/>
  <c r="C148" i="2"/>
  <c r="D148" i="2"/>
  <c r="E148" i="2"/>
  <c r="F148" i="2"/>
  <c r="G148" i="2"/>
  <c r="H148" i="2"/>
  <c r="I148" i="2"/>
  <c r="J148" i="2"/>
  <c r="K148" i="2"/>
  <c r="B149" i="2"/>
  <c r="C149" i="2"/>
  <c r="D149" i="2"/>
  <c r="E149" i="2"/>
  <c r="F149" i="2"/>
  <c r="G149" i="2"/>
  <c r="H149" i="2"/>
  <c r="I149" i="2"/>
  <c r="J149" i="2"/>
  <c r="K149" i="2"/>
  <c r="B150" i="2"/>
  <c r="C150" i="2"/>
  <c r="D150" i="2"/>
  <c r="E150" i="2"/>
  <c r="F150" i="2"/>
  <c r="G150" i="2"/>
  <c r="H150" i="2"/>
  <c r="I150" i="2"/>
  <c r="J150" i="2"/>
  <c r="K150" i="2"/>
  <c r="B151" i="2"/>
  <c r="C151" i="2"/>
  <c r="D151" i="2"/>
  <c r="E151" i="2"/>
  <c r="F151" i="2"/>
  <c r="G151" i="2"/>
  <c r="H151" i="2"/>
  <c r="I151" i="2"/>
  <c r="J151" i="2"/>
  <c r="K151" i="2"/>
  <c r="B152" i="2"/>
  <c r="C152" i="2"/>
  <c r="D152" i="2"/>
  <c r="E152" i="2"/>
  <c r="F152" i="2"/>
  <c r="G152" i="2"/>
  <c r="H152" i="2"/>
  <c r="I152" i="2"/>
  <c r="J152" i="2"/>
  <c r="K152" i="2"/>
  <c r="B153" i="2"/>
  <c r="C153" i="2"/>
  <c r="D153" i="2"/>
  <c r="E153" i="2"/>
  <c r="F153" i="2"/>
  <c r="G153" i="2"/>
  <c r="H153" i="2"/>
  <c r="I153" i="2"/>
  <c r="J153" i="2"/>
  <c r="K153" i="2"/>
  <c r="B154" i="2"/>
  <c r="C154" i="2"/>
  <c r="D154" i="2"/>
  <c r="E154" i="2"/>
  <c r="F154" i="2"/>
  <c r="G154" i="2"/>
  <c r="H154" i="2"/>
  <c r="I154" i="2"/>
  <c r="J154" i="2"/>
  <c r="K154" i="2"/>
  <c r="B155" i="2"/>
  <c r="C155" i="2"/>
  <c r="D155" i="2"/>
  <c r="E155" i="2"/>
  <c r="F155" i="2"/>
  <c r="G155" i="2"/>
  <c r="H155" i="2"/>
  <c r="I155" i="2"/>
  <c r="J155" i="2"/>
  <c r="K155" i="2"/>
  <c r="B156" i="2"/>
  <c r="C156" i="2"/>
  <c r="D156" i="2"/>
  <c r="E156" i="2"/>
  <c r="F156" i="2"/>
  <c r="G156" i="2"/>
  <c r="H156" i="2"/>
  <c r="I156" i="2"/>
  <c r="J156" i="2"/>
  <c r="K156" i="2"/>
  <c r="B157" i="2"/>
  <c r="C157" i="2"/>
  <c r="D157" i="2"/>
  <c r="E157" i="2"/>
  <c r="F157" i="2"/>
  <c r="G157" i="2"/>
  <c r="H157" i="2"/>
  <c r="I157" i="2"/>
  <c r="J157" i="2"/>
  <c r="K157" i="2"/>
  <c r="B158" i="2"/>
  <c r="C158" i="2"/>
  <c r="D158" i="2"/>
  <c r="E158" i="2"/>
  <c r="F158" i="2"/>
  <c r="G158" i="2"/>
  <c r="H158" i="2"/>
  <c r="I158" i="2"/>
  <c r="J158" i="2"/>
  <c r="K158" i="2"/>
  <c r="B159" i="2"/>
  <c r="C159" i="2"/>
  <c r="D159" i="2"/>
  <c r="E159" i="2"/>
  <c r="F159" i="2"/>
  <c r="G159" i="2"/>
  <c r="H159" i="2"/>
  <c r="I159" i="2"/>
  <c r="J159" i="2"/>
  <c r="K159" i="2"/>
  <c r="B160" i="2"/>
  <c r="C160" i="2"/>
  <c r="D160" i="2"/>
  <c r="E160" i="2"/>
  <c r="F160" i="2"/>
  <c r="G160" i="2"/>
  <c r="H160" i="2"/>
  <c r="I160" i="2"/>
  <c r="J160" i="2"/>
  <c r="K160" i="2"/>
  <c r="B161" i="2"/>
  <c r="C161" i="2"/>
  <c r="D161" i="2"/>
  <c r="E161" i="2"/>
  <c r="F161" i="2"/>
  <c r="G161" i="2"/>
  <c r="H161" i="2"/>
  <c r="I161" i="2"/>
  <c r="J161" i="2"/>
  <c r="K161" i="2"/>
  <c r="B162" i="2"/>
  <c r="C162" i="2"/>
  <c r="D162" i="2"/>
  <c r="E162" i="2"/>
  <c r="F162" i="2"/>
  <c r="G162" i="2"/>
  <c r="H162" i="2"/>
  <c r="I162" i="2"/>
  <c r="J162" i="2"/>
  <c r="K162" i="2"/>
  <c r="B163" i="2"/>
  <c r="C163" i="2"/>
  <c r="D163" i="2"/>
  <c r="E163" i="2"/>
  <c r="F163" i="2"/>
  <c r="G163" i="2"/>
  <c r="H163" i="2"/>
  <c r="I163" i="2"/>
  <c r="J163" i="2"/>
  <c r="K163" i="2"/>
  <c r="B164" i="2"/>
  <c r="C164" i="2"/>
  <c r="D164" i="2"/>
  <c r="E164" i="2"/>
  <c r="F164" i="2"/>
  <c r="G164" i="2"/>
  <c r="H164" i="2"/>
  <c r="I164" i="2"/>
  <c r="J164" i="2"/>
  <c r="K164" i="2"/>
  <c r="B165" i="2"/>
  <c r="C165" i="2"/>
  <c r="D165" i="2"/>
  <c r="E165" i="2"/>
  <c r="F165" i="2"/>
  <c r="G165" i="2"/>
  <c r="H165" i="2"/>
  <c r="I165" i="2"/>
  <c r="J165" i="2"/>
  <c r="K165" i="2"/>
  <c r="B166" i="2"/>
  <c r="C166" i="2"/>
  <c r="D166" i="2"/>
  <c r="E166" i="2"/>
  <c r="F166" i="2"/>
  <c r="G166" i="2"/>
  <c r="H166" i="2"/>
  <c r="I166" i="2"/>
  <c r="J166" i="2"/>
  <c r="K166" i="2"/>
  <c r="B167" i="2"/>
  <c r="C167" i="2"/>
  <c r="D167" i="2"/>
  <c r="E167" i="2"/>
  <c r="F167" i="2"/>
  <c r="G167" i="2"/>
  <c r="H167" i="2"/>
  <c r="I167" i="2"/>
  <c r="J167" i="2"/>
  <c r="K167" i="2"/>
  <c r="B168" i="2"/>
  <c r="C168" i="2"/>
  <c r="D168" i="2"/>
  <c r="E168" i="2"/>
  <c r="F168" i="2"/>
  <c r="G168" i="2"/>
  <c r="H168" i="2"/>
  <c r="I168" i="2"/>
  <c r="J168" i="2"/>
  <c r="K168" i="2"/>
  <c r="B169" i="2"/>
  <c r="C169" i="2"/>
  <c r="D169" i="2"/>
  <c r="E169" i="2"/>
  <c r="F169" i="2"/>
  <c r="G169" i="2"/>
  <c r="H169" i="2"/>
  <c r="I169" i="2"/>
  <c r="J169" i="2"/>
  <c r="K169" i="2"/>
  <c r="B170" i="2"/>
  <c r="C170" i="2"/>
  <c r="D170" i="2"/>
  <c r="E170" i="2"/>
  <c r="F170" i="2"/>
  <c r="G170" i="2"/>
  <c r="H170" i="2"/>
  <c r="I170" i="2"/>
  <c r="J170" i="2"/>
  <c r="K170" i="2"/>
  <c r="B171" i="2"/>
  <c r="C171" i="2"/>
  <c r="D171" i="2"/>
  <c r="E171" i="2"/>
  <c r="F171" i="2"/>
  <c r="G171" i="2"/>
  <c r="H171" i="2"/>
  <c r="I171" i="2"/>
  <c r="J171" i="2"/>
  <c r="K171" i="2"/>
  <c r="B172" i="2"/>
  <c r="C172" i="2"/>
  <c r="D172" i="2"/>
  <c r="E172" i="2"/>
  <c r="F172" i="2"/>
  <c r="G172" i="2"/>
  <c r="H172" i="2"/>
  <c r="I172" i="2"/>
  <c r="J172" i="2"/>
  <c r="K172" i="2"/>
  <c r="B173" i="2"/>
  <c r="C173" i="2"/>
  <c r="D173" i="2"/>
  <c r="E173" i="2"/>
  <c r="F173" i="2"/>
  <c r="G173" i="2"/>
  <c r="H173" i="2"/>
  <c r="I173" i="2"/>
  <c r="J173" i="2"/>
  <c r="K173" i="2"/>
  <c r="B174" i="2"/>
  <c r="C174" i="2"/>
  <c r="D174" i="2"/>
  <c r="E174" i="2"/>
  <c r="F174" i="2"/>
  <c r="G174" i="2"/>
  <c r="H174" i="2"/>
  <c r="I174" i="2"/>
  <c r="J174" i="2"/>
  <c r="K174" i="2"/>
  <c r="B175" i="2"/>
  <c r="C175" i="2"/>
  <c r="D175" i="2"/>
  <c r="E175" i="2"/>
  <c r="F175" i="2"/>
  <c r="G175" i="2"/>
  <c r="H175" i="2"/>
  <c r="I175" i="2"/>
  <c r="J175" i="2"/>
  <c r="K175" i="2"/>
  <c r="B176" i="2"/>
  <c r="C176" i="2"/>
  <c r="D176" i="2"/>
  <c r="E176" i="2"/>
  <c r="F176" i="2"/>
  <c r="G176" i="2"/>
  <c r="H176" i="2"/>
  <c r="I176" i="2"/>
  <c r="J176" i="2"/>
  <c r="K176" i="2"/>
  <c r="B177" i="2"/>
  <c r="C177" i="2"/>
  <c r="D177" i="2"/>
  <c r="E177" i="2"/>
  <c r="F177" i="2"/>
  <c r="G177" i="2"/>
  <c r="H177" i="2"/>
  <c r="I177" i="2"/>
  <c r="J177" i="2"/>
  <c r="K177" i="2"/>
  <c r="B178" i="2"/>
  <c r="C178" i="2"/>
  <c r="D178" i="2"/>
  <c r="E178" i="2"/>
  <c r="F178" i="2"/>
  <c r="G178" i="2"/>
  <c r="H178" i="2"/>
  <c r="I178" i="2"/>
  <c r="J178" i="2"/>
  <c r="K178" i="2"/>
  <c r="B179" i="2"/>
  <c r="C179" i="2"/>
  <c r="D179" i="2"/>
  <c r="E179" i="2"/>
  <c r="F179" i="2"/>
  <c r="G179" i="2"/>
  <c r="H179" i="2"/>
  <c r="I179" i="2"/>
  <c r="J179" i="2"/>
  <c r="K179" i="2"/>
  <c r="B180" i="2"/>
  <c r="C180" i="2"/>
  <c r="D180" i="2"/>
  <c r="E180" i="2"/>
  <c r="F180" i="2"/>
  <c r="G180" i="2"/>
  <c r="H180" i="2"/>
  <c r="I180" i="2"/>
  <c r="J180" i="2"/>
  <c r="K180" i="2"/>
  <c r="B181" i="2"/>
  <c r="C181" i="2"/>
  <c r="D181" i="2"/>
  <c r="E181" i="2"/>
  <c r="F181" i="2"/>
  <c r="G181" i="2"/>
  <c r="H181" i="2"/>
  <c r="I181" i="2"/>
  <c r="J181" i="2"/>
  <c r="K181" i="2"/>
  <c r="B182" i="2"/>
  <c r="C182" i="2"/>
  <c r="D182" i="2"/>
  <c r="E182" i="2"/>
  <c r="F182" i="2"/>
  <c r="G182" i="2"/>
  <c r="H182" i="2"/>
  <c r="I182" i="2"/>
  <c r="J182" i="2"/>
  <c r="K182" i="2"/>
  <c r="B183" i="2"/>
  <c r="C183" i="2"/>
  <c r="D183" i="2"/>
  <c r="E183" i="2"/>
  <c r="F183" i="2"/>
  <c r="G183" i="2"/>
  <c r="H183" i="2"/>
  <c r="I183" i="2"/>
  <c r="J183" i="2"/>
  <c r="K183" i="2"/>
  <c r="B184" i="2"/>
  <c r="C184" i="2"/>
  <c r="D184" i="2"/>
  <c r="E184" i="2"/>
  <c r="F184" i="2"/>
  <c r="G184" i="2"/>
  <c r="H184" i="2"/>
  <c r="I184" i="2"/>
  <c r="J184" i="2"/>
  <c r="K184" i="2"/>
  <c r="B185" i="2"/>
  <c r="C185" i="2"/>
  <c r="D185" i="2"/>
  <c r="E185" i="2"/>
  <c r="F185" i="2"/>
  <c r="G185" i="2"/>
  <c r="H185" i="2"/>
  <c r="I185" i="2"/>
  <c r="J185" i="2"/>
  <c r="K185" i="2"/>
  <c r="B186" i="2"/>
  <c r="C186" i="2"/>
  <c r="D186" i="2"/>
  <c r="E186" i="2"/>
  <c r="F186" i="2"/>
  <c r="G186" i="2"/>
  <c r="H186" i="2"/>
  <c r="I186" i="2"/>
  <c r="J186" i="2"/>
  <c r="K186" i="2"/>
  <c r="B187" i="2"/>
  <c r="C187" i="2"/>
  <c r="D187" i="2"/>
  <c r="E187" i="2"/>
  <c r="F187" i="2"/>
  <c r="G187" i="2"/>
  <c r="H187" i="2"/>
  <c r="I187" i="2"/>
  <c r="J187" i="2"/>
  <c r="K187" i="2"/>
  <c r="B188" i="2"/>
  <c r="C188" i="2"/>
  <c r="D188" i="2"/>
  <c r="E188" i="2"/>
  <c r="F188" i="2"/>
  <c r="G188" i="2"/>
  <c r="H188" i="2"/>
  <c r="I188" i="2"/>
  <c r="J188" i="2"/>
  <c r="K188" i="2"/>
  <c r="B189" i="2"/>
  <c r="C189" i="2"/>
  <c r="D189" i="2"/>
  <c r="E189" i="2"/>
  <c r="F189" i="2"/>
  <c r="G189" i="2"/>
  <c r="H189" i="2"/>
  <c r="I189" i="2"/>
  <c r="J189" i="2"/>
  <c r="K189" i="2"/>
  <c r="B190" i="2"/>
  <c r="C190" i="2"/>
  <c r="D190" i="2"/>
  <c r="E190" i="2"/>
  <c r="F190" i="2"/>
  <c r="G190" i="2"/>
  <c r="H190" i="2"/>
  <c r="I190" i="2"/>
  <c r="J190" i="2"/>
  <c r="K190" i="2"/>
  <c r="B191" i="2"/>
  <c r="C191" i="2"/>
  <c r="D191" i="2"/>
  <c r="E191" i="2"/>
  <c r="F191" i="2"/>
  <c r="G191" i="2"/>
  <c r="H191" i="2"/>
  <c r="I191" i="2"/>
  <c r="J191" i="2"/>
  <c r="K191" i="2"/>
  <c r="B192" i="2"/>
  <c r="C192" i="2"/>
  <c r="D192" i="2"/>
  <c r="E192" i="2"/>
  <c r="F192" i="2"/>
  <c r="G192" i="2"/>
  <c r="H192" i="2"/>
  <c r="I192" i="2"/>
  <c r="J192" i="2"/>
  <c r="K192" i="2"/>
  <c r="B193" i="2"/>
  <c r="C193" i="2"/>
  <c r="D193" i="2"/>
  <c r="E193" i="2"/>
  <c r="F193" i="2"/>
  <c r="G193" i="2"/>
  <c r="H193" i="2"/>
  <c r="I193" i="2"/>
  <c r="J193" i="2"/>
  <c r="K193" i="2"/>
  <c r="B194" i="2"/>
  <c r="C194" i="2"/>
  <c r="D194" i="2"/>
  <c r="E194" i="2"/>
  <c r="F194" i="2"/>
  <c r="G194" i="2"/>
  <c r="H194" i="2"/>
  <c r="I194" i="2"/>
  <c r="J194" i="2"/>
  <c r="K194" i="2"/>
  <c r="B195" i="2"/>
  <c r="C195" i="2"/>
  <c r="D195" i="2"/>
  <c r="E195" i="2"/>
  <c r="F195" i="2"/>
  <c r="G195" i="2"/>
  <c r="H195" i="2"/>
  <c r="I195" i="2"/>
  <c r="J195" i="2"/>
  <c r="K195" i="2"/>
  <c r="B196" i="2"/>
  <c r="C196" i="2"/>
  <c r="D196" i="2"/>
  <c r="E196" i="2"/>
  <c r="F196" i="2"/>
  <c r="G196" i="2"/>
  <c r="H196" i="2"/>
  <c r="I196" i="2"/>
  <c r="J196" i="2"/>
  <c r="K196" i="2"/>
  <c r="B197" i="2"/>
  <c r="C197" i="2"/>
  <c r="D197" i="2"/>
  <c r="E197" i="2"/>
  <c r="F197" i="2"/>
  <c r="G197" i="2"/>
  <c r="H197" i="2"/>
  <c r="I197" i="2"/>
  <c r="J197" i="2"/>
  <c r="K197" i="2"/>
  <c r="B198" i="2"/>
  <c r="C198" i="2"/>
  <c r="D198" i="2"/>
  <c r="E198" i="2"/>
  <c r="F198" i="2"/>
  <c r="G198" i="2"/>
  <c r="H198" i="2"/>
  <c r="I198" i="2"/>
  <c r="J198" i="2"/>
  <c r="K198" i="2"/>
  <c r="B199" i="2"/>
  <c r="C199" i="2"/>
  <c r="D199" i="2"/>
  <c r="E199" i="2"/>
  <c r="F199" i="2"/>
  <c r="G199" i="2"/>
  <c r="H199" i="2"/>
  <c r="I199" i="2"/>
  <c r="J199" i="2"/>
  <c r="K199" i="2"/>
  <c r="B200" i="2"/>
  <c r="C200" i="2"/>
  <c r="D200" i="2"/>
  <c r="E200" i="2"/>
  <c r="F200" i="2"/>
  <c r="G200" i="2"/>
  <c r="H200" i="2"/>
  <c r="I200" i="2"/>
  <c r="J200" i="2"/>
  <c r="K200" i="2"/>
  <c r="B201" i="2"/>
  <c r="C201" i="2"/>
  <c r="D201" i="2"/>
  <c r="E201" i="2"/>
  <c r="F201" i="2"/>
  <c r="G201" i="2"/>
  <c r="H201" i="2"/>
  <c r="I201" i="2"/>
  <c r="J201" i="2"/>
  <c r="K201" i="2"/>
  <c r="B202" i="2"/>
  <c r="C202" i="2"/>
  <c r="D202" i="2"/>
  <c r="E202" i="2"/>
  <c r="F202" i="2"/>
  <c r="G202" i="2"/>
  <c r="H202" i="2"/>
  <c r="I202" i="2"/>
  <c r="J202" i="2"/>
  <c r="K202" i="2"/>
  <c r="B203" i="2"/>
  <c r="C203" i="2"/>
  <c r="D203" i="2"/>
  <c r="E203" i="2"/>
  <c r="F203" i="2"/>
  <c r="G203" i="2"/>
  <c r="H203" i="2"/>
  <c r="I203" i="2"/>
  <c r="J203" i="2"/>
  <c r="K203" i="2"/>
  <c r="B204" i="2"/>
  <c r="C204" i="2"/>
  <c r="D204" i="2"/>
  <c r="E204" i="2"/>
  <c r="F204" i="2"/>
  <c r="G204" i="2"/>
  <c r="H204" i="2"/>
  <c r="I204" i="2"/>
  <c r="J204" i="2"/>
  <c r="K204" i="2"/>
  <c r="B205" i="2"/>
  <c r="C205" i="2"/>
  <c r="D205" i="2"/>
  <c r="E205" i="2"/>
  <c r="F205" i="2"/>
  <c r="G205" i="2"/>
  <c r="H205" i="2"/>
  <c r="I205" i="2"/>
  <c r="J205" i="2"/>
  <c r="K205" i="2"/>
  <c r="B206" i="2"/>
  <c r="C206" i="2"/>
  <c r="D206" i="2"/>
  <c r="E206" i="2"/>
  <c r="F206" i="2"/>
  <c r="G206" i="2"/>
  <c r="H206" i="2"/>
  <c r="I206" i="2"/>
  <c r="J206" i="2"/>
  <c r="K206" i="2"/>
  <c r="B207" i="2"/>
  <c r="C207" i="2"/>
  <c r="D207" i="2"/>
  <c r="E207" i="2"/>
  <c r="F207" i="2"/>
  <c r="G207" i="2"/>
  <c r="H207" i="2"/>
  <c r="I207" i="2"/>
  <c r="J207" i="2"/>
  <c r="K207" i="2"/>
  <c r="B208" i="2"/>
  <c r="C208" i="2"/>
  <c r="D208" i="2"/>
  <c r="E208" i="2"/>
  <c r="F208" i="2"/>
  <c r="G208" i="2"/>
  <c r="H208" i="2"/>
  <c r="I208" i="2"/>
  <c r="J208" i="2"/>
  <c r="K208" i="2"/>
  <c r="B209" i="2"/>
  <c r="C209" i="2"/>
  <c r="D209" i="2"/>
  <c r="E209" i="2"/>
  <c r="F209" i="2"/>
  <c r="G209" i="2"/>
  <c r="H209" i="2"/>
  <c r="I209" i="2"/>
  <c r="J209" i="2"/>
  <c r="K209" i="2"/>
  <c r="B210" i="2"/>
  <c r="C210" i="2"/>
  <c r="D210" i="2"/>
  <c r="E210" i="2"/>
  <c r="F210" i="2"/>
  <c r="G210" i="2"/>
  <c r="H210" i="2"/>
  <c r="I210" i="2"/>
  <c r="J210" i="2"/>
  <c r="K210" i="2"/>
  <c r="B211" i="2"/>
  <c r="C211" i="2"/>
  <c r="D211" i="2"/>
  <c r="E211" i="2"/>
  <c r="F211" i="2"/>
  <c r="G211" i="2"/>
  <c r="H211" i="2"/>
  <c r="I211" i="2"/>
  <c r="J211" i="2"/>
  <c r="K211" i="2"/>
  <c r="B212" i="2"/>
  <c r="C212" i="2"/>
  <c r="D212" i="2"/>
  <c r="E212" i="2"/>
  <c r="F212" i="2"/>
  <c r="G212" i="2"/>
  <c r="H212" i="2"/>
  <c r="I212" i="2"/>
  <c r="J212" i="2"/>
  <c r="K212" i="2"/>
  <c r="B213" i="2"/>
  <c r="C213" i="2"/>
  <c r="D213" i="2"/>
  <c r="E213" i="2"/>
  <c r="F213" i="2"/>
  <c r="G213" i="2"/>
  <c r="H213" i="2"/>
  <c r="I213" i="2"/>
  <c r="J213" i="2"/>
  <c r="K213" i="2"/>
  <c r="B214" i="2"/>
  <c r="C214" i="2"/>
  <c r="D214" i="2"/>
  <c r="E214" i="2"/>
  <c r="F214" i="2"/>
  <c r="G214" i="2"/>
  <c r="H214" i="2"/>
  <c r="I214" i="2"/>
  <c r="J214" i="2"/>
  <c r="K214" i="2"/>
  <c r="B215" i="2"/>
  <c r="C215" i="2"/>
  <c r="D215" i="2"/>
  <c r="E215" i="2"/>
  <c r="F215" i="2"/>
  <c r="G215" i="2"/>
  <c r="H215" i="2"/>
  <c r="I215" i="2"/>
  <c r="J215" i="2"/>
  <c r="K215" i="2"/>
  <c r="B216" i="2"/>
  <c r="C216" i="2"/>
  <c r="D216" i="2"/>
  <c r="E216" i="2"/>
  <c r="F216" i="2"/>
  <c r="G216" i="2"/>
  <c r="H216" i="2"/>
  <c r="I216" i="2"/>
  <c r="J216" i="2"/>
  <c r="K216" i="2"/>
  <c r="B217" i="2"/>
  <c r="C217" i="2"/>
  <c r="D217" i="2"/>
  <c r="E217" i="2"/>
  <c r="F217" i="2"/>
  <c r="G217" i="2"/>
  <c r="H217" i="2"/>
  <c r="I217" i="2"/>
  <c r="J217" i="2"/>
  <c r="K217" i="2"/>
  <c r="B218" i="2"/>
  <c r="C218" i="2"/>
  <c r="D218" i="2"/>
  <c r="E218" i="2"/>
  <c r="F218" i="2"/>
  <c r="G218" i="2"/>
  <c r="H218" i="2"/>
  <c r="I218" i="2"/>
  <c r="J218" i="2"/>
  <c r="K218" i="2"/>
  <c r="B219" i="2"/>
  <c r="C219" i="2"/>
  <c r="D219" i="2"/>
  <c r="E219" i="2"/>
  <c r="F219" i="2"/>
  <c r="G219" i="2"/>
  <c r="H219" i="2"/>
  <c r="I219" i="2"/>
  <c r="J219" i="2"/>
  <c r="K219" i="2"/>
  <c r="B220" i="2"/>
  <c r="C220" i="2"/>
  <c r="D220" i="2"/>
  <c r="E220" i="2"/>
  <c r="F220" i="2"/>
  <c r="G220" i="2"/>
  <c r="H220" i="2"/>
  <c r="I220" i="2"/>
  <c r="J220" i="2"/>
  <c r="K220" i="2"/>
  <c r="B221" i="2"/>
  <c r="C221" i="2"/>
  <c r="D221" i="2"/>
  <c r="E221" i="2"/>
  <c r="F221" i="2"/>
  <c r="G221" i="2"/>
  <c r="H221" i="2"/>
  <c r="I221" i="2"/>
  <c r="J221" i="2"/>
  <c r="K221" i="2"/>
  <c r="B222" i="2"/>
  <c r="C222" i="2"/>
  <c r="D222" i="2"/>
  <c r="E222" i="2"/>
  <c r="F222" i="2"/>
  <c r="G222" i="2"/>
  <c r="H222" i="2"/>
  <c r="I222" i="2"/>
  <c r="J222" i="2"/>
  <c r="K222" i="2"/>
  <c r="B223" i="2"/>
  <c r="C223" i="2"/>
  <c r="D223" i="2"/>
  <c r="E223" i="2"/>
  <c r="F223" i="2"/>
  <c r="G223" i="2"/>
  <c r="H223" i="2"/>
  <c r="I223" i="2"/>
  <c r="J223" i="2"/>
  <c r="K223" i="2"/>
  <c r="B224" i="2"/>
  <c r="C224" i="2"/>
  <c r="D224" i="2"/>
  <c r="E224" i="2"/>
  <c r="F224" i="2"/>
  <c r="G224" i="2"/>
  <c r="H224" i="2"/>
  <c r="I224" i="2"/>
  <c r="J224" i="2"/>
  <c r="K224" i="2"/>
  <c r="B225" i="2"/>
  <c r="C225" i="2"/>
  <c r="D225" i="2"/>
  <c r="E225" i="2"/>
  <c r="F225" i="2"/>
  <c r="G225" i="2"/>
  <c r="H225" i="2"/>
  <c r="I225" i="2"/>
  <c r="J225" i="2"/>
  <c r="K225" i="2"/>
  <c r="B226" i="2"/>
  <c r="C226" i="2"/>
  <c r="D226" i="2"/>
  <c r="E226" i="2"/>
  <c r="F226" i="2"/>
  <c r="G226" i="2"/>
  <c r="H226" i="2"/>
  <c r="I226" i="2"/>
  <c r="J226" i="2"/>
  <c r="K226" i="2"/>
  <c r="B227" i="2"/>
  <c r="C227" i="2"/>
  <c r="D227" i="2"/>
  <c r="E227" i="2"/>
  <c r="F227" i="2"/>
  <c r="G227" i="2"/>
  <c r="H227" i="2"/>
  <c r="I227" i="2"/>
  <c r="J227" i="2"/>
  <c r="K227" i="2"/>
  <c r="B228" i="2"/>
  <c r="C228" i="2"/>
  <c r="D228" i="2"/>
  <c r="E228" i="2"/>
  <c r="F228" i="2"/>
  <c r="G228" i="2"/>
  <c r="H228" i="2"/>
  <c r="I228" i="2"/>
  <c r="J228" i="2"/>
  <c r="K228" i="2"/>
  <c r="B229" i="2"/>
  <c r="C229" i="2"/>
  <c r="D229" i="2"/>
  <c r="E229" i="2"/>
  <c r="F229" i="2"/>
  <c r="G229" i="2"/>
  <c r="H229" i="2"/>
  <c r="I229" i="2"/>
  <c r="J229" i="2"/>
  <c r="K229" i="2"/>
  <c r="B230" i="2"/>
  <c r="C230" i="2"/>
  <c r="D230" i="2"/>
  <c r="E230" i="2"/>
  <c r="F230" i="2"/>
  <c r="G230" i="2"/>
  <c r="H230" i="2"/>
  <c r="I230" i="2"/>
  <c r="J230" i="2"/>
  <c r="K230" i="2"/>
  <c r="B231" i="2"/>
  <c r="C231" i="2"/>
  <c r="D231" i="2"/>
  <c r="E231" i="2"/>
  <c r="F231" i="2"/>
  <c r="G231" i="2"/>
  <c r="H231" i="2"/>
  <c r="I231" i="2"/>
  <c r="J231" i="2"/>
  <c r="K231" i="2"/>
  <c r="B232" i="2"/>
  <c r="C232" i="2"/>
  <c r="D232" i="2"/>
  <c r="E232" i="2"/>
  <c r="F232" i="2"/>
  <c r="G232" i="2"/>
  <c r="H232" i="2"/>
  <c r="I232" i="2"/>
  <c r="J232" i="2"/>
  <c r="K232" i="2"/>
  <c r="B233" i="2"/>
  <c r="C233" i="2"/>
  <c r="D233" i="2"/>
  <c r="E233" i="2"/>
  <c r="F233" i="2"/>
  <c r="G233" i="2"/>
  <c r="H233" i="2"/>
  <c r="I233" i="2"/>
  <c r="J233" i="2"/>
  <c r="K233" i="2"/>
  <c r="B234" i="2"/>
  <c r="C234" i="2"/>
  <c r="D234" i="2"/>
  <c r="E234" i="2"/>
  <c r="F234" i="2"/>
  <c r="G234" i="2"/>
  <c r="H234" i="2"/>
  <c r="I234" i="2"/>
  <c r="J234" i="2"/>
  <c r="K234" i="2"/>
  <c r="B235" i="2"/>
  <c r="C235" i="2"/>
  <c r="D235" i="2"/>
  <c r="E235" i="2"/>
  <c r="F235" i="2"/>
  <c r="G235" i="2"/>
  <c r="H235" i="2"/>
  <c r="I235" i="2"/>
  <c r="J235" i="2"/>
  <c r="K235" i="2"/>
  <c r="B236" i="2"/>
  <c r="C236" i="2"/>
  <c r="D236" i="2"/>
  <c r="E236" i="2"/>
  <c r="F236" i="2"/>
  <c r="G236" i="2"/>
  <c r="H236" i="2"/>
  <c r="I236" i="2"/>
  <c r="J236" i="2"/>
  <c r="K236" i="2"/>
  <c r="B237" i="2"/>
  <c r="C237" i="2"/>
  <c r="D237" i="2"/>
  <c r="E237" i="2"/>
  <c r="F237" i="2"/>
  <c r="G237" i="2"/>
  <c r="H237" i="2"/>
  <c r="I237" i="2"/>
  <c r="J237" i="2"/>
  <c r="K237" i="2"/>
  <c r="B238" i="2"/>
  <c r="C238" i="2"/>
  <c r="D238" i="2"/>
  <c r="E238" i="2"/>
  <c r="F238" i="2"/>
  <c r="G238" i="2"/>
  <c r="H238" i="2"/>
  <c r="I238" i="2"/>
  <c r="J238" i="2"/>
  <c r="K238" i="2"/>
  <c r="B239" i="2"/>
  <c r="C239" i="2"/>
  <c r="D239" i="2"/>
  <c r="E239" i="2"/>
  <c r="F239" i="2"/>
  <c r="G239" i="2"/>
  <c r="H239" i="2"/>
  <c r="I239" i="2"/>
  <c r="J239" i="2"/>
  <c r="K239" i="2"/>
  <c r="B240" i="2"/>
  <c r="C240" i="2"/>
  <c r="D240" i="2"/>
  <c r="E240" i="2"/>
  <c r="F240" i="2"/>
  <c r="G240" i="2"/>
  <c r="H240" i="2"/>
  <c r="I240" i="2"/>
  <c r="J240" i="2"/>
  <c r="K240" i="2"/>
  <c r="B241" i="2"/>
  <c r="C241" i="2"/>
  <c r="D241" i="2"/>
  <c r="E241" i="2"/>
  <c r="F241" i="2"/>
  <c r="G241" i="2"/>
  <c r="H241" i="2"/>
  <c r="I241" i="2"/>
  <c r="J241" i="2"/>
  <c r="K241" i="2"/>
  <c r="B242" i="2"/>
  <c r="C242" i="2"/>
  <c r="D242" i="2"/>
  <c r="E242" i="2"/>
  <c r="F242" i="2"/>
  <c r="G242" i="2"/>
  <c r="H242" i="2"/>
  <c r="I242" i="2"/>
  <c r="J242" i="2"/>
  <c r="K242" i="2"/>
  <c r="B243" i="2"/>
  <c r="C243" i="2"/>
  <c r="D243" i="2"/>
  <c r="E243" i="2"/>
  <c r="F243" i="2"/>
  <c r="G243" i="2"/>
  <c r="H243" i="2"/>
  <c r="I243" i="2"/>
  <c r="J243" i="2"/>
  <c r="K243" i="2"/>
  <c r="B244" i="2"/>
  <c r="C244" i="2"/>
  <c r="D244" i="2"/>
  <c r="E244" i="2"/>
  <c r="F244" i="2"/>
  <c r="G244" i="2"/>
  <c r="H244" i="2"/>
  <c r="I244" i="2"/>
  <c r="J244" i="2"/>
  <c r="K244" i="2"/>
  <c r="B245" i="2"/>
  <c r="C245" i="2"/>
  <c r="D245" i="2"/>
  <c r="E245" i="2"/>
  <c r="F245" i="2"/>
  <c r="G245" i="2"/>
  <c r="H245" i="2"/>
  <c r="I245" i="2"/>
  <c r="J245" i="2"/>
  <c r="K245" i="2"/>
  <c r="B246" i="2"/>
  <c r="C246" i="2"/>
  <c r="D246" i="2"/>
  <c r="E246" i="2"/>
  <c r="F246" i="2"/>
  <c r="G246" i="2"/>
  <c r="H246" i="2"/>
  <c r="I246" i="2"/>
  <c r="J246" i="2"/>
  <c r="K246" i="2"/>
  <c r="B247" i="2"/>
  <c r="C247" i="2"/>
  <c r="D247" i="2"/>
  <c r="E247" i="2"/>
  <c r="F247" i="2"/>
  <c r="G247" i="2"/>
  <c r="H247" i="2"/>
  <c r="I247" i="2"/>
  <c r="J247" i="2"/>
  <c r="K247" i="2"/>
  <c r="B248" i="2"/>
  <c r="C248" i="2"/>
  <c r="D248" i="2"/>
  <c r="E248" i="2"/>
  <c r="F248" i="2"/>
  <c r="G248" i="2"/>
  <c r="H248" i="2"/>
  <c r="I248" i="2"/>
  <c r="J248" i="2"/>
  <c r="K248" i="2"/>
  <c r="B249" i="2"/>
  <c r="C249" i="2"/>
  <c r="D249" i="2"/>
  <c r="E249" i="2"/>
  <c r="F249" i="2"/>
  <c r="G249" i="2"/>
  <c r="H249" i="2"/>
  <c r="I249" i="2"/>
  <c r="J249" i="2"/>
  <c r="K249" i="2"/>
  <c r="B250" i="2"/>
  <c r="C250" i="2"/>
  <c r="D250" i="2"/>
  <c r="E250" i="2"/>
  <c r="F250" i="2"/>
  <c r="G250" i="2"/>
  <c r="H250" i="2"/>
  <c r="I250" i="2"/>
  <c r="J250" i="2"/>
  <c r="K250" i="2"/>
  <c r="B251" i="2"/>
  <c r="C251" i="2"/>
  <c r="D251" i="2"/>
  <c r="E251" i="2"/>
  <c r="F251" i="2"/>
  <c r="G251" i="2"/>
  <c r="H251" i="2"/>
  <c r="I251" i="2"/>
  <c r="J251" i="2"/>
  <c r="K251" i="2"/>
  <c r="B252" i="2"/>
  <c r="C252" i="2"/>
  <c r="D252" i="2"/>
  <c r="E252" i="2"/>
  <c r="F252" i="2"/>
  <c r="G252" i="2"/>
  <c r="H252" i="2"/>
  <c r="I252" i="2"/>
  <c r="J252" i="2"/>
  <c r="K252" i="2"/>
  <c r="B253" i="2"/>
  <c r="C253" i="2"/>
  <c r="D253" i="2"/>
  <c r="E253" i="2"/>
  <c r="F253" i="2"/>
  <c r="G253" i="2"/>
  <c r="H253" i="2"/>
  <c r="I253" i="2"/>
  <c r="J253" i="2"/>
  <c r="K253" i="2"/>
  <c r="B254" i="2"/>
  <c r="C254" i="2"/>
  <c r="D254" i="2"/>
  <c r="E254" i="2"/>
  <c r="F254" i="2"/>
  <c r="G254" i="2"/>
  <c r="H254" i="2"/>
  <c r="I254" i="2"/>
  <c r="J254" i="2"/>
  <c r="K254" i="2"/>
  <c r="B255" i="2"/>
  <c r="C255" i="2"/>
  <c r="D255" i="2"/>
  <c r="E255" i="2"/>
  <c r="F255" i="2"/>
  <c r="G255" i="2"/>
  <c r="H255" i="2"/>
  <c r="I255" i="2"/>
  <c r="J255" i="2"/>
  <c r="K255" i="2"/>
  <c r="B256" i="2"/>
  <c r="C256" i="2"/>
  <c r="D256" i="2"/>
  <c r="E256" i="2"/>
  <c r="F256" i="2"/>
  <c r="G256" i="2"/>
  <c r="H256" i="2"/>
  <c r="I256" i="2"/>
  <c r="J256" i="2"/>
  <c r="K256" i="2"/>
  <c r="B257" i="2"/>
  <c r="C257" i="2"/>
  <c r="D257" i="2"/>
  <c r="E257" i="2"/>
  <c r="F257" i="2"/>
  <c r="G257" i="2"/>
  <c r="H257" i="2"/>
  <c r="I257" i="2"/>
  <c r="J257" i="2"/>
  <c r="K257" i="2"/>
  <c r="B258" i="2"/>
  <c r="C258" i="2"/>
  <c r="D258" i="2"/>
  <c r="E258" i="2"/>
  <c r="F258" i="2"/>
  <c r="G258" i="2"/>
  <c r="H258" i="2"/>
  <c r="I258" i="2"/>
  <c r="J258" i="2"/>
  <c r="K258" i="2"/>
  <c r="B259" i="2"/>
  <c r="C259" i="2"/>
  <c r="D259" i="2"/>
  <c r="E259" i="2"/>
  <c r="F259" i="2"/>
  <c r="G259" i="2"/>
  <c r="H259" i="2"/>
  <c r="I259" i="2"/>
  <c r="J259" i="2"/>
  <c r="K259" i="2"/>
  <c r="B260" i="2"/>
  <c r="C260" i="2"/>
  <c r="D260" i="2"/>
  <c r="E260" i="2"/>
  <c r="F260" i="2"/>
  <c r="G260" i="2"/>
  <c r="H260" i="2"/>
  <c r="I260" i="2"/>
  <c r="J260" i="2"/>
  <c r="K260" i="2"/>
  <c r="B261" i="2"/>
  <c r="C261" i="2"/>
  <c r="D261" i="2"/>
  <c r="E261" i="2"/>
  <c r="F261" i="2"/>
  <c r="G261" i="2"/>
  <c r="H261" i="2"/>
  <c r="I261" i="2"/>
  <c r="J261" i="2"/>
  <c r="K261" i="2"/>
  <c r="B262" i="2"/>
  <c r="C262" i="2"/>
  <c r="D262" i="2"/>
  <c r="E262" i="2"/>
  <c r="F262" i="2"/>
  <c r="G262" i="2"/>
  <c r="H262" i="2"/>
  <c r="I262" i="2"/>
  <c r="J262" i="2"/>
  <c r="K262" i="2"/>
  <c r="B263" i="2"/>
  <c r="C263" i="2"/>
  <c r="D263" i="2"/>
  <c r="E263" i="2"/>
  <c r="F263" i="2"/>
  <c r="G263" i="2"/>
  <c r="H263" i="2"/>
  <c r="I263" i="2"/>
  <c r="J263" i="2"/>
  <c r="K263" i="2"/>
  <c r="B264" i="2"/>
  <c r="C264" i="2"/>
  <c r="D264" i="2"/>
  <c r="E264" i="2"/>
  <c r="F264" i="2"/>
  <c r="G264" i="2"/>
  <c r="H264" i="2"/>
  <c r="I264" i="2"/>
  <c r="J264" i="2"/>
  <c r="K264" i="2"/>
  <c r="B265" i="2"/>
  <c r="C265" i="2"/>
  <c r="D265" i="2"/>
  <c r="E265" i="2"/>
  <c r="F265" i="2"/>
  <c r="G265" i="2"/>
  <c r="H265" i="2"/>
  <c r="I265" i="2"/>
  <c r="J265" i="2"/>
  <c r="K265" i="2"/>
  <c r="B266" i="2"/>
  <c r="C266" i="2"/>
  <c r="D266" i="2"/>
  <c r="E266" i="2"/>
  <c r="F266" i="2"/>
  <c r="G266" i="2"/>
  <c r="H266" i="2"/>
  <c r="I266" i="2"/>
  <c r="J266" i="2"/>
  <c r="K266" i="2"/>
  <c r="B267" i="2"/>
  <c r="C267" i="2"/>
  <c r="D267" i="2"/>
  <c r="E267" i="2"/>
  <c r="F267" i="2"/>
  <c r="G267" i="2"/>
  <c r="H267" i="2"/>
  <c r="I267" i="2"/>
  <c r="J267" i="2"/>
  <c r="K267" i="2"/>
  <c r="B268" i="2"/>
  <c r="C268" i="2"/>
  <c r="D268" i="2"/>
  <c r="E268" i="2"/>
  <c r="F268" i="2"/>
  <c r="G268" i="2"/>
  <c r="H268" i="2"/>
  <c r="I268" i="2"/>
  <c r="J268" i="2"/>
  <c r="K268" i="2"/>
  <c r="B269" i="2"/>
  <c r="C269" i="2"/>
  <c r="D269" i="2"/>
  <c r="E269" i="2"/>
  <c r="F269" i="2"/>
  <c r="G269" i="2"/>
  <c r="H269" i="2"/>
  <c r="I269" i="2"/>
  <c r="J269" i="2"/>
  <c r="K269" i="2"/>
  <c r="B270" i="2"/>
  <c r="C270" i="2"/>
  <c r="D270" i="2"/>
  <c r="E270" i="2"/>
  <c r="F270" i="2"/>
  <c r="G270" i="2"/>
  <c r="H270" i="2"/>
  <c r="I270" i="2"/>
  <c r="J270" i="2"/>
  <c r="K270" i="2"/>
  <c r="B271" i="2"/>
  <c r="C271" i="2"/>
  <c r="D271" i="2"/>
  <c r="E271" i="2"/>
  <c r="F271" i="2"/>
  <c r="G271" i="2"/>
  <c r="H271" i="2"/>
  <c r="I271" i="2"/>
  <c r="J271" i="2"/>
  <c r="K271" i="2"/>
  <c r="B272" i="2"/>
  <c r="C272" i="2"/>
  <c r="D272" i="2"/>
  <c r="E272" i="2"/>
  <c r="F272" i="2"/>
  <c r="G272" i="2"/>
  <c r="H272" i="2"/>
  <c r="I272" i="2"/>
  <c r="J272" i="2"/>
  <c r="K272" i="2"/>
  <c r="B273" i="2"/>
  <c r="C273" i="2"/>
  <c r="D273" i="2"/>
  <c r="E273" i="2"/>
  <c r="F273" i="2"/>
  <c r="G273" i="2"/>
  <c r="H273" i="2"/>
  <c r="I273" i="2"/>
  <c r="J273" i="2"/>
  <c r="K273" i="2"/>
  <c r="B274" i="2"/>
  <c r="C274" i="2"/>
  <c r="D274" i="2"/>
  <c r="E274" i="2"/>
  <c r="F274" i="2"/>
  <c r="G274" i="2"/>
  <c r="H274" i="2"/>
  <c r="I274" i="2"/>
  <c r="J274" i="2"/>
  <c r="K274" i="2"/>
  <c r="B275" i="2"/>
  <c r="C275" i="2"/>
  <c r="D275" i="2"/>
  <c r="E275" i="2"/>
  <c r="F275" i="2"/>
  <c r="G275" i="2"/>
  <c r="H275" i="2"/>
  <c r="I275" i="2"/>
  <c r="J275" i="2"/>
  <c r="K275" i="2"/>
  <c r="B276" i="2"/>
  <c r="C276" i="2"/>
  <c r="D276" i="2"/>
  <c r="E276" i="2"/>
  <c r="F276" i="2"/>
  <c r="G276" i="2"/>
  <c r="H276" i="2"/>
  <c r="I276" i="2"/>
  <c r="J276" i="2"/>
  <c r="K276" i="2"/>
  <c r="B277" i="2"/>
  <c r="C277" i="2"/>
  <c r="D277" i="2"/>
  <c r="E277" i="2"/>
  <c r="F277" i="2"/>
  <c r="G277" i="2"/>
  <c r="H277" i="2"/>
  <c r="I277" i="2"/>
  <c r="J277" i="2"/>
  <c r="K277" i="2"/>
  <c r="B278" i="2"/>
  <c r="C278" i="2"/>
  <c r="D278" i="2"/>
  <c r="E278" i="2"/>
  <c r="F278" i="2"/>
  <c r="G278" i="2"/>
  <c r="H278" i="2"/>
  <c r="I278" i="2"/>
  <c r="J278" i="2"/>
  <c r="K278" i="2"/>
  <c r="B279" i="2"/>
  <c r="C279" i="2"/>
  <c r="D279" i="2"/>
  <c r="E279" i="2"/>
  <c r="F279" i="2"/>
  <c r="G279" i="2"/>
  <c r="H279" i="2"/>
  <c r="I279" i="2"/>
  <c r="J279" i="2"/>
  <c r="K279" i="2"/>
  <c r="B280" i="2"/>
  <c r="C280" i="2"/>
  <c r="D280" i="2"/>
  <c r="E280" i="2"/>
  <c r="F280" i="2"/>
  <c r="G280" i="2"/>
  <c r="H280" i="2"/>
  <c r="I280" i="2"/>
  <c r="J280" i="2"/>
  <c r="K280" i="2"/>
  <c r="B281" i="2"/>
  <c r="C281" i="2"/>
  <c r="D281" i="2"/>
  <c r="E281" i="2"/>
  <c r="F281" i="2"/>
  <c r="G281" i="2"/>
  <c r="H281" i="2"/>
  <c r="I281" i="2"/>
  <c r="J281" i="2"/>
  <c r="K281" i="2"/>
  <c r="B282" i="2"/>
  <c r="C282" i="2"/>
  <c r="D282" i="2"/>
  <c r="E282" i="2"/>
  <c r="F282" i="2"/>
  <c r="G282" i="2"/>
  <c r="H282" i="2"/>
  <c r="I282" i="2"/>
  <c r="J282" i="2"/>
  <c r="K282" i="2"/>
  <c r="B283" i="2"/>
  <c r="C283" i="2"/>
  <c r="D283" i="2"/>
  <c r="E283" i="2"/>
  <c r="F283" i="2"/>
  <c r="G283" i="2"/>
  <c r="H283" i="2"/>
  <c r="I283" i="2"/>
  <c r="J283" i="2"/>
  <c r="K283" i="2"/>
  <c r="B284" i="2"/>
  <c r="C284" i="2"/>
  <c r="D284" i="2"/>
  <c r="E284" i="2"/>
  <c r="F284" i="2"/>
  <c r="G284" i="2"/>
  <c r="H284" i="2"/>
  <c r="I284" i="2"/>
  <c r="J284" i="2"/>
  <c r="K284" i="2"/>
  <c r="B285" i="2"/>
  <c r="C285" i="2"/>
  <c r="D285" i="2"/>
  <c r="E285" i="2"/>
  <c r="F285" i="2"/>
  <c r="G285" i="2"/>
  <c r="H285" i="2"/>
  <c r="I285" i="2"/>
  <c r="J285" i="2"/>
  <c r="K285" i="2"/>
  <c r="B286" i="2"/>
  <c r="C286" i="2"/>
  <c r="D286" i="2"/>
  <c r="E286" i="2"/>
  <c r="F286" i="2"/>
  <c r="G286" i="2"/>
  <c r="H286" i="2"/>
  <c r="I286" i="2"/>
  <c r="J286" i="2"/>
  <c r="K286" i="2"/>
  <c r="B287" i="2"/>
  <c r="C287" i="2"/>
  <c r="D287" i="2"/>
  <c r="E287" i="2"/>
  <c r="F287" i="2"/>
  <c r="G287" i="2"/>
  <c r="H287" i="2"/>
  <c r="I287" i="2"/>
  <c r="J287" i="2"/>
  <c r="K287" i="2"/>
  <c r="B288" i="2"/>
  <c r="C288" i="2"/>
  <c r="D288" i="2"/>
  <c r="E288" i="2"/>
  <c r="F288" i="2"/>
  <c r="G288" i="2"/>
  <c r="H288" i="2"/>
  <c r="I288" i="2"/>
  <c r="J288" i="2"/>
  <c r="K288" i="2"/>
  <c r="B289" i="2"/>
  <c r="C289" i="2"/>
  <c r="D289" i="2"/>
  <c r="E289" i="2"/>
  <c r="F289" i="2"/>
  <c r="G289" i="2"/>
  <c r="H289" i="2"/>
  <c r="I289" i="2"/>
  <c r="J289" i="2"/>
  <c r="K289" i="2"/>
  <c r="B290" i="2"/>
  <c r="C290" i="2"/>
  <c r="D290" i="2"/>
  <c r="E290" i="2"/>
  <c r="F290" i="2"/>
  <c r="G290" i="2"/>
  <c r="H290" i="2"/>
  <c r="I290" i="2"/>
  <c r="J290" i="2"/>
  <c r="K290" i="2"/>
  <c r="B291" i="2"/>
  <c r="C291" i="2"/>
  <c r="D291" i="2"/>
  <c r="E291" i="2"/>
  <c r="F291" i="2"/>
  <c r="G291" i="2"/>
  <c r="H291" i="2"/>
  <c r="I291" i="2"/>
  <c r="J291" i="2"/>
  <c r="K291" i="2"/>
  <c r="B292" i="2"/>
  <c r="C292" i="2"/>
  <c r="D292" i="2"/>
  <c r="E292" i="2"/>
  <c r="F292" i="2"/>
  <c r="G292" i="2"/>
  <c r="H292" i="2"/>
  <c r="I292" i="2"/>
  <c r="J292" i="2"/>
  <c r="K292" i="2"/>
  <c r="B293" i="2"/>
  <c r="C293" i="2"/>
  <c r="D293" i="2"/>
  <c r="E293" i="2"/>
  <c r="F293" i="2"/>
  <c r="G293" i="2"/>
  <c r="H293" i="2"/>
  <c r="I293" i="2"/>
  <c r="J293" i="2"/>
  <c r="K293" i="2"/>
  <c r="B294" i="2"/>
  <c r="C294" i="2"/>
  <c r="D294" i="2"/>
  <c r="E294" i="2"/>
  <c r="F294" i="2"/>
  <c r="G294" i="2"/>
  <c r="H294" i="2"/>
  <c r="I294" i="2"/>
  <c r="J294" i="2"/>
  <c r="K294" i="2"/>
  <c r="B295" i="2"/>
  <c r="C295" i="2"/>
  <c r="D295" i="2"/>
  <c r="E295" i="2"/>
  <c r="F295" i="2"/>
  <c r="G295" i="2"/>
  <c r="H295" i="2"/>
  <c r="I295" i="2"/>
  <c r="J295" i="2"/>
  <c r="K295" i="2"/>
  <c r="B296" i="2"/>
  <c r="C296" i="2"/>
  <c r="D296" i="2"/>
  <c r="E296" i="2"/>
  <c r="F296" i="2"/>
  <c r="G296" i="2"/>
  <c r="H296" i="2"/>
  <c r="I296" i="2"/>
  <c r="J296" i="2"/>
  <c r="K296" i="2"/>
  <c r="B297" i="2"/>
  <c r="C297" i="2"/>
  <c r="D297" i="2"/>
  <c r="E297" i="2"/>
  <c r="F297" i="2"/>
  <c r="G297" i="2"/>
  <c r="H297" i="2"/>
  <c r="I297" i="2"/>
  <c r="J297" i="2"/>
  <c r="K297" i="2"/>
  <c r="B298" i="2"/>
  <c r="C298" i="2"/>
  <c r="D298" i="2"/>
  <c r="E298" i="2"/>
  <c r="F298" i="2"/>
  <c r="G298" i="2"/>
  <c r="H298" i="2"/>
  <c r="I298" i="2"/>
  <c r="J298" i="2"/>
  <c r="K298" i="2"/>
  <c r="B299" i="2"/>
  <c r="C299" i="2"/>
  <c r="D299" i="2"/>
  <c r="E299" i="2"/>
  <c r="F299" i="2"/>
  <c r="G299" i="2"/>
  <c r="H299" i="2"/>
  <c r="I299" i="2"/>
  <c r="J299" i="2"/>
  <c r="K299" i="2"/>
  <c r="B300" i="2"/>
  <c r="C300" i="2"/>
  <c r="D300" i="2"/>
  <c r="E300" i="2"/>
  <c r="F300" i="2"/>
  <c r="G300" i="2"/>
  <c r="H300" i="2"/>
  <c r="I300" i="2"/>
  <c r="J300" i="2"/>
  <c r="K300" i="2"/>
  <c r="B301" i="2"/>
  <c r="C301" i="2"/>
  <c r="D301" i="2"/>
  <c r="E301" i="2"/>
  <c r="F301" i="2"/>
  <c r="G301" i="2"/>
  <c r="H301" i="2"/>
  <c r="I301" i="2"/>
  <c r="J301" i="2"/>
  <c r="K301" i="2"/>
  <c r="B302" i="2"/>
  <c r="C302" i="2"/>
  <c r="D302" i="2"/>
  <c r="E302" i="2"/>
  <c r="F302" i="2"/>
  <c r="G302" i="2"/>
  <c r="H302" i="2"/>
  <c r="I302" i="2"/>
  <c r="J302" i="2"/>
  <c r="K302" i="2"/>
  <c r="B303" i="2"/>
  <c r="C303" i="2"/>
  <c r="D303" i="2"/>
  <c r="E303" i="2"/>
  <c r="F303" i="2"/>
  <c r="G303" i="2"/>
  <c r="H303" i="2"/>
  <c r="I303" i="2"/>
  <c r="J303" i="2"/>
  <c r="K303" i="2"/>
  <c r="B304" i="2"/>
  <c r="C304" i="2"/>
  <c r="D304" i="2"/>
  <c r="E304" i="2"/>
  <c r="F304" i="2"/>
  <c r="G304" i="2"/>
  <c r="H304" i="2"/>
  <c r="I304" i="2"/>
  <c r="J304" i="2"/>
  <c r="K304" i="2"/>
  <c r="B305" i="2"/>
  <c r="C305" i="2"/>
  <c r="D305" i="2"/>
  <c r="E305" i="2"/>
  <c r="F305" i="2"/>
  <c r="G305" i="2"/>
  <c r="H305" i="2"/>
  <c r="I305" i="2"/>
  <c r="J305" i="2"/>
  <c r="K305" i="2"/>
  <c r="B306" i="2"/>
  <c r="C306" i="2"/>
  <c r="D306" i="2"/>
  <c r="E306" i="2"/>
  <c r="F306" i="2"/>
  <c r="G306" i="2"/>
  <c r="H306" i="2"/>
  <c r="I306" i="2"/>
  <c r="J306" i="2"/>
  <c r="K306" i="2"/>
  <c r="B307" i="2"/>
  <c r="C307" i="2"/>
  <c r="D307" i="2"/>
  <c r="E307" i="2"/>
  <c r="F307" i="2"/>
  <c r="G307" i="2"/>
  <c r="H307" i="2"/>
  <c r="I307" i="2"/>
  <c r="J307" i="2"/>
  <c r="K307" i="2"/>
  <c r="B308" i="2"/>
  <c r="C308" i="2"/>
  <c r="D308" i="2"/>
  <c r="E308" i="2"/>
  <c r="F308" i="2"/>
  <c r="G308" i="2"/>
  <c r="H308" i="2"/>
  <c r="I308" i="2"/>
  <c r="J308" i="2"/>
  <c r="K308" i="2"/>
  <c r="B309" i="2"/>
  <c r="C309" i="2"/>
  <c r="D309" i="2"/>
  <c r="E309" i="2"/>
  <c r="F309" i="2"/>
  <c r="G309" i="2"/>
  <c r="H309" i="2"/>
  <c r="I309" i="2"/>
  <c r="J309" i="2"/>
  <c r="K309" i="2"/>
  <c r="B310" i="2"/>
  <c r="C310" i="2"/>
  <c r="D310" i="2"/>
  <c r="E310" i="2"/>
  <c r="F310" i="2"/>
  <c r="G310" i="2"/>
  <c r="H310" i="2"/>
  <c r="I310" i="2"/>
  <c r="J310" i="2"/>
  <c r="K310" i="2"/>
  <c r="B311" i="2"/>
  <c r="C311" i="2"/>
  <c r="D311" i="2"/>
  <c r="E311" i="2"/>
  <c r="F311" i="2"/>
  <c r="G311" i="2"/>
  <c r="H311" i="2"/>
  <c r="I311" i="2"/>
  <c r="J311" i="2"/>
  <c r="K311" i="2"/>
  <c r="B312" i="2"/>
  <c r="C312" i="2"/>
  <c r="D312" i="2"/>
  <c r="E312" i="2"/>
  <c r="F312" i="2"/>
  <c r="G312" i="2"/>
  <c r="H312" i="2"/>
  <c r="I312" i="2"/>
  <c r="J312" i="2"/>
  <c r="K312" i="2"/>
  <c r="B313" i="2"/>
  <c r="C313" i="2"/>
  <c r="D313" i="2"/>
  <c r="E313" i="2"/>
  <c r="F313" i="2"/>
  <c r="G313" i="2"/>
  <c r="H313" i="2"/>
  <c r="I313" i="2"/>
  <c r="J313" i="2"/>
  <c r="K313" i="2"/>
  <c r="B314" i="2"/>
  <c r="C314" i="2"/>
  <c r="D314" i="2"/>
  <c r="E314" i="2"/>
  <c r="F314" i="2"/>
  <c r="G314" i="2"/>
  <c r="H314" i="2"/>
  <c r="I314" i="2"/>
  <c r="J314" i="2"/>
  <c r="K314" i="2"/>
  <c r="B315" i="2"/>
  <c r="C315" i="2"/>
  <c r="D315" i="2"/>
  <c r="E315" i="2"/>
  <c r="F315" i="2"/>
  <c r="G315" i="2"/>
  <c r="H315" i="2"/>
  <c r="I315" i="2"/>
  <c r="J315" i="2"/>
  <c r="K315" i="2"/>
  <c r="B316" i="2"/>
  <c r="C316" i="2"/>
  <c r="D316" i="2"/>
  <c r="E316" i="2"/>
  <c r="F316" i="2"/>
  <c r="G316" i="2"/>
  <c r="H316" i="2"/>
  <c r="I316" i="2"/>
  <c r="J316" i="2"/>
  <c r="K316" i="2"/>
  <c r="B317" i="2"/>
  <c r="C317" i="2"/>
  <c r="D317" i="2"/>
  <c r="E317" i="2"/>
  <c r="F317" i="2"/>
  <c r="G317" i="2"/>
  <c r="H317" i="2"/>
  <c r="I317" i="2"/>
  <c r="J317" i="2"/>
  <c r="K317" i="2"/>
  <c r="B318" i="2"/>
  <c r="C318" i="2"/>
  <c r="D318" i="2"/>
  <c r="E318" i="2"/>
  <c r="F318" i="2"/>
  <c r="G318" i="2"/>
  <c r="H318" i="2"/>
  <c r="I318" i="2"/>
  <c r="J318" i="2"/>
  <c r="K318" i="2"/>
  <c r="B319" i="2"/>
  <c r="C319" i="2"/>
  <c r="D319" i="2"/>
  <c r="E319" i="2"/>
  <c r="F319" i="2"/>
  <c r="G319" i="2"/>
  <c r="H319" i="2"/>
  <c r="I319" i="2"/>
  <c r="J319" i="2"/>
  <c r="K319" i="2"/>
  <c r="B320" i="2"/>
  <c r="C320" i="2"/>
  <c r="D320" i="2"/>
  <c r="E320" i="2"/>
  <c r="F320" i="2"/>
  <c r="G320" i="2"/>
  <c r="H320" i="2"/>
  <c r="I320" i="2"/>
  <c r="J320" i="2"/>
  <c r="K320" i="2"/>
  <c r="B321" i="2"/>
  <c r="C321" i="2"/>
  <c r="D321" i="2"/>
  <c r="E321" i="2"/>
  <c r="F321" i="2"/>
  <c r="G321" i="2"/>
  <c r="H321" i="2"/>
  <c r="I321" i="2"/>
  <c r="J321" i="2"/>
  <c r="K321" i="2"/>
  <c r="B322" i="2"/>
  <c r="C322" i="2"/>
  <c r="D322" i="2"/>
  <c r="E322" i="2"/>
  <c r="F322" i="2"/>
  <c r="G322" i="2"/>
  <c r="H322" i="2"/>
  <c r="I322" i="2"/>
  <c r="J322" i="2"/>
  <c r="K322" i="2"/>
  <c r="B323" i="2"/>
  <c r="C323" i="2"/>
  <c r="D323" i="2"/>
  <c r="E323" i="2"/>
  <c r="F323" i="2"/>
  <c r="G323" i="2"/>
  <c r="H323" i="2"/>
  <c r="I323" i="2"/>
  <c r="J323" i="2"/>
  <c r="K323" i="2"/>
  <c r="B324" i="2"/>
  <c r="C324" i="2"/>
  <c r="D324" i="2"/>
  <c r="E324" i="2"/>
  <c r="F324" i="2"/>
  <c r="G324" i="2"/>
  <c r="H324" i="2"/>
  <c r="I324" i="2"/>
  <c r="J324" i="2"/>
  <c r="K324" i="2"/>
  <c r="B325" i="2"/>
  <c r="C325" i="2"/>
  <c r="D325" i="2"/>
  <c r="E325" i="2"/>
  <c r="F325" i="2"/>
  <c r="G325" i="2"/>
  <c r="H325" i="2"/>
  <c r="I325" i="2"/>
  <c r="J325" i="2"/>
  <c r="K325" i="2"/>
  <c r="B326" i="2"/>
  <c r="C326" i="2"/>
  <c r="D326" i="2"/>
  <c r="E326" i="2"/>
  <c r="F326" i="2"/>
  <c r="G326" i="2"/>
  <c r="H326" i="2"/>
  <c r="I326" i="2"/>
  <c r="J326" i="2"/>
  <c r="K326" i="2"/>
  <c r="B327" i="2"/>
  <c r="C327" i="2"/>
  <c r="D327" i="2"/>
  <c r="E327" i="2"/>
  <c r="F327" i="2"/>
  <c r="G327" i="2"/>
  <c r="H327" i="2"/>
  <c r="I327" i="2"/>
  <c r="J327" i="2"/>
  <c r="K327" i="2"/>
  <c r="B328" i="2"/>
  <c r="C328" i="2"/>
  <c r="D328" i="2"/>
  <c r="E328" i="2"/>
  <c r="F328" i="2"/>
  <c r="G328" i="2"/>
  <c r="H328" i="2"/>
  <c r="I328" i="2"/>
  <c r="J328" i="2"/>
  <c r="K328" i="2"/>
  <c r="B329" i="2"/>
  <c r="C329" i="2"/>
  <c r="D329" i="2"/>
  <c r="E329" i="2"/>
  <c r="F329" i="2"/>
  <c r="G329" i="2"/>
  <c r="H329" i="2"/>
  <c r="I329" i="2"/>
  <c r="J329" i="2"/>
  <c r="K329" i="2"/>
  <c r="B330" i="2"/>
  <c r="C330" i="2"/>
  <c r="D330" i="2"/>
  <c r="E330" i="2"/>
  <c r="F330" i="2"/>
  <c r="G330" i="2"/>
  <c r="H330" i="2"/>
  <c r="I330" i="2"/>
  <c r="J330" i="2"/>
  <c r="K330" i="2"/>
  <c r="B331" i="2"/>
  <c r="C331" i="2"/>
  <c r="D331" i="2"/>
  <c r="E331" i="2"/>
  <c r="F331" i="2"/>
  <c r="G331" i="2"/>
  <c r="H331" i="2"/>
  <c r="I331" i="2"/>
  <c r="J331" i="2"/>
  <c r="K331" i="2"/>
  <c r="B332" i="2"/>
  <c r="C332" i="2"/>
  <c r="D332" i="2"/>
  <c r="E332" i="2"/>
  <c r="F332" i="2"/>
  <c r="G332" i="2"/>
  <c r="H332" i="2"/>
  <c r="I332" i="2"/>
  <c r="J332" i="2"/>
  <c r="K332" i="2"/>
  <c r="B333" i="2"/>
  <c r="C333" i="2"/>
  <c r="D333" i="2"/>
  <c r="E333" i="2"/>
  <c r="F333" i="2"/>
  <c r="G333" i="2"/>
  <c r="H333" i="2"/>
  <c r="I333" i="2"/>
  <c r="J333" i="2"/>
  <c r="K333" i="2"/>
  <c r="B334" i="2"/>
  <c r="C334" i="2"/>
  <c r="D334" i="2"/>
  <c r="E334" i="2"/>
  <c r="F334" i="2"/>
  <c r="G334" i="2"/>
  <c r="H334" i="2"/>
  <c r="I334" i="2"/>
  <c r="J334" i="2"/>
  <c r="K334" i="2"/>
  <c r="B335" i="2"/>
  <c r="C335" i="2"/>
  <c r="D335" i="2"/>
  <c r="E335" i="2"/>
  <c r="F335" i="2"/>
  <c r="G335" i="2"/>
  <c r="H335" i="2"/>
  <c r="I335" i="2"/>
  <c r="J335" i="2"/>
  <c r="K335" i="2"/>
  <c r="B336" i="2"/>
  <c r="C336" i="2"/>
  <c r="D336" i="2"/>
  <c r="E336" i="2"/>
  <c r="F336" i="2"/>
  <c r="G336" i="2"/>
  <c r="H336" i="2"/>
  <c r="I336" i="2"/>
  <c r="J336" i="2"/>
  <c r="K336" i="2"/>
  <c r="B337" i="2"/>
  <c r="C337" i="2"/>
  <c r="D337" i="2"/>
  <c r="E337" i="2"/>
  <c r="F337" i="2"/>
  <c r="G337" i="2"/>
  <c r="H337" i="2"/>
  <c r="I337" i="2"/>
  <c r="J337" i="2"/>
  <c r="K337" i="2"/>
  <c r="B338" i="2"/>
  <c r="C338" i="2"/>
  <c r="D338" i="2"/>
  <c r="E338" i="2"/>
  <c r="F338" i="2"/>
  <c r="G338" i="2"/>
  <c r="H338" i="2"/>
  <c r="I338" i="2"/>
  <c r="J338" i="2"/>
  <c r="K338" i="2"/>
  <c r="B339" i="2"/>
  <c r="C339" i="2"/>
  <c r="D339" i="2"/>
  <c r="E339" i="2"/>
  <c r="F339" i="2"/>
  <c r="G339" i="2"/>
  <c r="H339" i="2"/>
  <c r="I339" i="2"/>
  <c r="J339" i="2"/>
  <c r="K339" i="2"/>
  <c r="B340" i="2"/>
  <c r="C340" i="2"/>
  <c r="D340" i="2"/>
  <c r="E340" i="2"/>
  <c r="F340" i="2"/>
  <c r="G340" i="2"/>
  <c r="H340" i="2"/>
  <c r="I340" i="2"/>
  <c r="J340" i="2"/>
  <c r="K340" i="2"/>
  <c r="B341" i="2"/>
  <c r="C341" i="2"/>
  <c r="D341" i="2"/>
  <c r="E341" i="2"/>
  <c r="F341" i="2"/>
  <c r="G341" i="2"/>
  <c r="H341" i="2"/>
  <c r="I341" i="2"/>
  <c r="J341" i="2"/>
  <c r="K341" i="2"/>
  <c r="B342" i="2"/>
  <c r="C342" i="2"/>
  <c r="D342" i="2"/>
  <c r="E342" i="2"/>
  <c r="F342" i="2"/>
  <c r="G342" i="2"/>
  <c r="H342" i="2"/>
  <c r="I342" i="2"/>
  <c r="J342" i="2"/>
  <c r="K342" i="2"/>
  <c r="B343" i="2"/>
  <c r="C343" i="2"/>
  <c r="D343" i="2"/>
  <c r="E343" i="2"/>
  <c r="F343" i="2"/>
  <c r="G343" i="2"/>
  <c r="H343" i="2"/>
  <c r="I343" i="2"/>
  <c r="J343" i="2"/>
  <c r="K343" i="2"/>
  <c r="B344" i="2"/>
  <c r="C344" i="2"/>
  <c r="D344" i="2"/>
  <c r="E344" i="2"/>
  <c r="F344" i="2"/>
  <c r="G344" i="2"/>
  <c r="H344" i="2"/>
  <c r="I344" i="2"/>
  <c r="J344" i="2"/>
  <c r="K344" i="2"/>
  <c r="B345" i="2"/>
  <c r="C345" i="2"/>
  <c r="D345" i="2"/>
  <c r="E345" i="2"/>
  <c r="F345" i="2"/>
  <c r="G345" i="2"/>
  <c r="H345" i="2"/>
  <c r="I345" i="2"/>
  <c r="J345" i="2"/>
  <c r="K345" i="2"/>
  <c r="B346" i="2"/>
  <c r="C346" i="2"/>
  <c r="D346" i="2"/>
  <c r="E346" i="2"/>
  <c r="F346" i="2"/>
  <c r="G346" i="2"/>
  <c r="H346" i="2"/>
  <c r="I346" i="2"/>
  <c r="J346" i="2"/>
  <c r="K346" i="2"/>
  <c r="B347" i="2"/>
  <c r="C347" i="2"/>
  <c r="D347" i="2"/>
  <c r="E347" i="2"/>
  <c r="F347" i="2"/>
  <c r="G347" i="2"/>
  <c r="H347" i="2"/>
  <c r="I347" i="2"/>
  <c r="J347" i="2"/>
  <c r="K347" i="2"/>
  <c r="B348" i="2"/>
  <c r="C348" i="2"/>
  <c r="D348" i="2"/>
  <c r="E348" i="2"/>
  <c r="F348" i="2"/>
  <c r="G348" i="2"/>
  <c r="H348" i="2"/>
  <c r="I348" i="2"/>
  <c r="J348" i="2"/>
  <c r="K348" i="2"/>
  <c r="B349" i="2"/>
  <c r="C349" i="2"/>
  <c r="D349" i="2"/>
  <c r="E349" i="2"/>
  <c r="F349" i="2"/>
  <c r="G349" i="2"/>
  <c r="H349" i="2"/>
  <c r="I349" i="2"/>
  <c r="J349" i="2"/>
  <c r="K349" i="2"/>
  <c r="B350" i="2"/>
  <c r="C350" i="2"/>
  <c r="D350" i="2"/>
  <c r="E350" i="2"/>
  <c r="F350" i="2"/>
  <c r="G350" i="2"/>
  <c r="H350" i="2"/>
  <c r="I350" i="2"/>
  <c r="J350" i="2"/>
  <c r="K350" i="2"/>
  <c r="B351" i="2"/>
  <c r="C351" i="2"/>
  <c r="D351" i="2"/>
  <c r="E351" i="2"/>
  <c r="F351" i="2"/>
  <c r="G351" i="2"/>
  <c r="H351" i="2"/>
  <c r="I351" i="2"/>
  <c r="J351" i="2"/>
  <c r="K351" i="2"/>
  <c r="B352" i="2"/>
  <c r="C352" i="2"/>
  <c r="D352" i="2"/>
  <c r="E352" i="2"/>
  <c r="F352" i="2"/>
  <c r="G352" i="2"/>
  <c r="H352" i="2"/>
  <c r="I352" i="2"/>
  <c r="J352" i="2"/>
  <c r="K352" i="2"/>
  <c r="B353" i="2"/>
  <c r="C353" i="2"/>
  <c r="D353" i="2"/>
  <c r="E353" i="2"/>
  <c r="F353" i="2"/>
  <c r="G353" i="2"/>
  <c r="H353" i="2"/>
  <c r="I353" i="2"/>
  <c r="J353" i="2"/>
  <c r="K353" i="2"/>
  <c r="B354" i="2"/>
  <c r="C354" i="2"/>
  <c r="D354" i="2"/>
  <c r="E354" i="2"/>
  <c r="F354" i="2"/>
  <c r="G354" i="2"/>
  <c r="H354" i="2"/>
  <c r="I354" i="2"/>
  <c r="J354" i="2"/>
  <c r="K354" i="2"/>
  <c r="B355" i="2"/>
  <c r="C355" i="2"/>
  <c r="D355" i="2"/>
  <c r="E355" i="2"/>
  <c r="F355" i="2"/>
  <c r="G355" i="2"/>
  <c r="H355" i="2"/>
  <c r="I355" i="2"/>
  <c r="J355" i="2"/>
  <c r="K355" i="2"/>
  <c r="B356" i="2"/>
  <c r="C356" i="2"/>
  <c r="D356" i="2"/>
  <c r="E356" i="2"/>
  <c r="F356" i="2"/>
  <c r="G356" i="2"/>
  <c r="H356" i="2"/>
  <c r="I356" i="2"/>
  <c r="J356" i="2"/>
  <c r="K356" i="2"/>
  <c r="B357" i="2"/>
  <c r="C357" i="2"/>
  <c r="D357" i="2"/>
  <c r="E357" i="2"/>
  <c r="F357" i="2"/>
  <c r="G357" i="2"/>
  <c r="H357" i="2"/>
  <c r="I357" i="2"/>
  <c r="J357" i="2"/>
  <c r="K357" i="2"/>
  <c r="B358" i="2"/>
  <c r="C358" i="2"/>
  <c r="D358" i="2"/>
  <c r="E358" i="2"/>
  <c r="F358" i="2"/>
  <c r="G358" i="2"/>
  <c r="H358" i="2"/>
  <c r="I358" i="2"/>
  <c r="J358" i="2"/>
  <c r="K358" i="2"/>
  <c r="B359" i="2"/>
  <c r="C359" i="2"/>
  <c r="D359" i="2"/>
  <c r="E359" i="2"/>
  <c r="F359" i="2"/>
  <c r="G359" i="2"/>
  <c r="H359" i="2"/>
  <c r="I359" i="2"/>
  <c r="J359" i="2"/>
  <c r="K359" i="2"/>
  <c r="B360" i="2"/>
  <c r="C360" i="2"/>
  <c r="D360" i="2"/>
  <c r="E360" i="2"/>
  <c r="F360" i="2"/>
  <c r="G360" i="2"/>
  <c r="H360" i="2"/>
  <c r="I360" i="2"/>
  <c r="J360" i="2"/>
  <c r="K360" i="2"/>
  <c r="B361" i="2"/>
  <c r="C361" i="2"/>
  <c r="D361" i="2"/>
  <c r="E361" i="2"/>
  <c r="F361" i="2"/>
  <c r="G361" i="2"/>
  <c r="H361" i="2"/>
  <c r="I361" i="2"/>
  <c r="J361" i="2"/>
  <c r="K361" i="2"/>
  <c r="B362" i="2"/>
  <c r="C362" i="2"/>
  <c r="D362" i="2"/>
  <c r="E362" i="2"/>
  <c r="F362" i="2"/>
  <c r="G362" i="2"/>
  <c r="H362" i="2"/>
  <c r="I362" i="2"/>
  <c r="J362" i="2"/>
  <c r="K362" i="2"/>
  <c r="B363" i="2"/>
  <c r="C363" i="2"/>
  <c r="D363" i="2"/>
  <c r="E363" i="2"/>
  <c r="F363" i="2"/>
  <c r="G363" i="2"/>
  <c r="H363" i="2"/>
  <c r="I363" i="2"/>
  <c r="J363" i="2"/>
  <c r="K363" i="2"/>
  <c r="B364" i="2"/>
  <c r="C364" i="2"/>
  <c r="D364" i="2"/>
  <c r="E364" i="2"/>
  <c r="F364" i="2"/>
  <c r="G364" i="2"/>
  <c r="H364" i="2"/>
  <c r="I364" i="2"/>
  <c r="J364" i="2"/>
  <c r="K364" i="2"/>
  <c r="B365" i="2"/>
  <c r="C365" i="2"/>
  <c r="D365" i="2"/>
  <c r="E365" i="2"/>
  <c r="F365" i="2"/>
  <c r="G365" i="2"/>
  <c r="H365" i="2"/>
  <c r="I365" i="2"/>
  <c r="J365" i="2"/>
  <c r="K365" i="2"/>
  <c r="B366" i="2"/>
  <c r="C366" i="2"/>
  <c r="D366" i="2"/>
  <c r="E366" i="2"/>
  <c r="F366" i="2"/>
  <c r="G366" i="2"/>
  <c r="H366" i="2"/>
  <c r="I366" i="2"/>
  <c r="J366" i="2"/>
  <c r="K366" i="2"/>
  <c r="B367" i="2"/>
  <c r="C367" i="2"/>
  <c r="D367" i="2"/>
  <c r="E367" i="2"/>
  <c r="F367" i="2"/>
  <c r="G367" i="2"/>
  <c r="H367" i="2"/>
  <c r="I367" i="2"/>
  <c r="J367" i="2"/>
  <c r="K367" i="2"/>
  <c r="B368" i="2"/>
  <c r="C368" i="2"/>
  <c r="D368" i="2"/>
  <c r="E368" i="2"/>
  <c r="F368" i="2"/>
  <c r="G368" i="2"/>
  <c r="H368" i="2"/>
  <c r="I368" i="2"/>
  <c r="J368" i="2"/>
  <c r="K368" i="2"/>
  <c r="B369" i="2"/>
  <c r="C369" i="2"/>
  <c r="D369" i="2"/>
  <c r="E369" i="2"/>
  <c r="F369" i="2"/>
  <c r="G369" i="2"/>
  <c r="H369" i="2"/>
  <c r="I369" i="2"/>
  <c r="J369" i="2"/>
  <c r="K369" i="2"/>
  <c r="B370" i="2"/>
  <c r="C370" i="2"/>
  <c r="D370" i="2"/>
  <c r="E370" i="2"/>
  <c r="F370" i="2"/>
  <c r="G370" i="2"/>
  <c r="H370" i="2"/>
  <c r="I370" i="2"/>
  <c r="J370" i="2"/>
  <c r="K370" i="2"/>
  <c r="B371" i="2"/>
  <c r="C371" i="2"/>
  <c r="D371" i="2"/>
  <c r="E371" i="2"/>
  <c r="F371" i="2"/>
  <c r="G371" i="2"/>
  <c r="H371" i="2"/>
  <c r="I371" i="2"/>
  <c r="J371" i="2"/>
  <c r="K371" i="2"/>
  <c r="B372" i="2"/>
  <c r="C372" i="2"/>
  <c r="D372" i="2"/>
  <c r="E372" i="2"/>
  <c r="F372" i="2"/>
  <c r="G372" i="2"/>
  <c r="H372" i="2"/>
  <c r="I372" i="2"/>
  <c r="J372" i="2"/>
  <c r="K372" i="2"/>
  <c r="B373" i="2"/>
  <c r="C373" i="2"/>
  <c r="D373" i="2"/>
  <c r="E373" i="2"/>
  <c r="F373" i="2"/>
  <c r="G373" i="2"/>
  <c r="H373" i="2"/>
  <c r="I373" i="2"/>
  <c r="J373" i="2"/>
  <c r="K373" i="2"/>
  <c r="B374" i="2"/>
  <c r="C374" i="2"/>
  <c r="D374" i="2"/>
  <c r="E374" i="2"/>
  <c r="F374" i="2"/>
  <c r="G374" i="2"/>
  <c r="H374" i="2"/>
  <c r="I374" i="2"/>
  <c r="J374" i="2"/>
  <c r="K374" i="2"/>
  <c r="B375" i="2"/>
  <c r="C375" i="2"/>
  <c r="D375" i="2"/>
  <c r="E375" i="2"/>
  <c r="F375" i="2"/>
  <c r="G375" i="2"/>
  <c r="H375" i="2"/>
  <c r="I375" i="2"/>
  <c r="J375" i="2"/>
  <c r="K375" i="2"/>
  <c r="B376" i="2"/>
  <c r="C376" i="2"/>
  <c r="D376" i="2"/>
  <c r="E376" i="2"/>
  <c r="F376" i="2"/>
  <c r="G376" i="2"/>
  <c r="H376" i="2"/>
  <c r="I376" i="2"/>
  <c r="J376" i="2"/>
  <c r="K376" i="2"/>
  <c r="B377" i="2"/>
  <c r="C377" i="2"/>
  <c r="D377" i="2"/>
  <c r="E377" i="2"/>
  <c r="F377" i="2"/>
  <c r="G377" i="2"/>
  <c r="H377" i="2"/>
  <c r="I377" i="2"/>
  <c r="J377" i="2"/>
  <c r="K377" i="2"/>
  <c r="B378" i="2"/>
  <c r="C378" i="2"/>
  <c r="D378" i="2"/>
  <c r="E378" i="2"/>
  <c r="F378" i="2"/>
  <c r="G378" i="2"/>
  <c r="H378" i="2"/>
  <c r="I378" i="2"/>
  <c r="J378" i="2"/>
  <c r="K378" i="2"/>
  <c r="B379" i="2"/>
  <c r="C379" i="2"/>
  <c r="D379" i="2"/>
  <c r="E379" i="2"/>
  <c r="F379" i="2"/>
  <c r="G379" i="2"/>
  <c r="H379" i="2"/>
  <c r="I379" i="2"/>
  <c r="J379" i="2"/>
  <c r="K379" i="2"/>
  <c r="B380" i="2"/>
  <c r="C380" i="2"/>
  <c r="D380" i="2"/>
  <c r="E380" i="2"/>
  <c r="F380" i="2"/>
  <c r="G380" i="2"/>
  <c r="H380" i="2"/>
  <c r="I380" i="2"/>
  <c r="J380" i="2"/>
  <c r="K380" i="2"/>
  <c r="B381" i="2"/>
  <c r="C381" i="2"/>
  <c r="D381" i="2"/>
  <c r="E381" i="2"/>
  <c r="F381" i="2"/>
  <c r="G381" i="2"/>
  <c r="H381" i="2"/>
  <c r="I381" i="2"/>
  <c r="J381" i="2"/>
  <c r="K381" i="2"/>
  <c r="B382" i="2"/>
  <c r="C382" i="2"/>
  <c r="D382" i="2"/>
  <c r="E382" i="2"/>
  <c r="F382" i="2"/>
  <c r="G382" i="2"/>
  <c r="H382" i="2"/>
  <c r="I382" i="2"/>
  <c r="J382" i="2"/>
  <c r="K382" i="2"/>
  <c r="B383" i="2"/>
  <c r="C383" i="2"/>
  <c r="D383" i="2"/>
  <c r="E383" i="2"/>
  <c r="F383" i="2"/>
  <c r="G383" i="2"/>
  <c r="H383" i="2"/>
  <c r="I383" i="2"/>
  <c r="J383" i="2"/>
  <c r="K383" i="2"/>
  <c r="B384" i="2"/>
  <c r="C384" i="2"/>
  <c r="D384" i="2"/>
  <c r="E384" i="2"/>
  <c r="F384" i="2"/>
  <c r="G384" i="2"/>
  <c r="H384" i="2"/>
  <c r="I384" i="2"/>
  <c r="J384" i="2"/>
  <c r="K384" i="2"/>
  <c r="B385" i="2"/>
  <c r="C385" i="2"/>
  <c r="D385" i="2"/>
  <c r="E385" i="2"/>
  <c r="F385" i="2"/>
  <c r="G385" i="2"/>
  <c r="H385" i="2"/>
  <c r="I385" i="2"/>
  <c r="J385" i="2"/>
  <c r="K385" i="2"/>
  <c r="B386" i="2"/>
  <c r="C386" i="2"/>
  <c r="D386" i="2"/>
  <c r="E386" i="2"/>
  <c r="F386" i="2"/>
  <c r="G386" i="2"/>
  <c r="H386" i="2"/>
  <c r="I386" i="2"/>
  <c r="J386" i="2"/>
  <c r="K386" i="2"/>
  <c r="B387" i="2"/>
  <c r="C387" i="2"/>
  <c r="D387" i="2"/>
  <c r="E387" i="2"/>
  <c r="F387" i="2"/>
  <c r="G387" i="2"/>
  <c r="H387" i="2"/>
  <c r="I387" i="2"/>
  <c r="J387" i="2"/>
  <c r="K387" i="2"/>
  <c r="B388" i="2"/>
  <c r="C388" i="2"/>
  <c r="D388" i="2"/>
  <c r="E388" i="2"/>
  <c r="F388" i="2"/>
  <c r="G388" i="2"/>
  <c r="H388" i="2"/>
  <c r="I388" i="2"/>
  <c r="J388" i="2"/>
  <c r="K388" i="2"/>
  <c r="B389" i="2"/>
  <c r="C389" i="2"/>
  <c r="D389" i="2"/>
  <c r="E389" i="2"/>
  <c r="F389" i="2"/>
  <c r="G389" i="2"/>
  <c r="H389" i="2"/>
  <c r="I389" i="2"/>
  <c r="J389" i="2"/>
  <c r="K389" i="2"/>
  <c r="B390" i="2"/>
  <c r="C390" i="2"/>
  <c r="D390" i="2"/>
  <c r="E390" i="2"/>
  <c r="F390" i="2"/>
  <c r="G390" i="2"/>
  <c r="H390" i="2"/>
  <c r="I390" i="2"/>
  <c r="J390" i="2"/>
  <c r="K390" i="2"/>
  <c r="B391" i="2"/>
  <c r="C391" i="2"/>
  <c r="D391" i="2"/>
  <c r="E391" i="2"/>
  <c r="F391" i="2"/>
  <c r="G391" i="2"/>
  <c r="H391" i="2"/>
  <c r="I391" i="2"/>
  <c r="J391" i="2"/>
  <c r="K391" i="2"/>
  <c r="B392" i="2"/>
  <c r="C392" i="2"/>
  <c r="D392" i="2"/>
  <c r="E392" i="2"/>
  <c r="F392" i="2"/>
  <c r="G392" i="2"/>
  <c r="H392" i="2"/>
  <c r="I392" i="2"/>
  <c r="J392" i="2"/>
  <c r="K392" i="2"/>
  <c r="B393" i="2"/>
  <c r="C393" i="2"/>
  <c r="D393" i="2"/>
  <c r="E393" i="2"/>
  <c r="F393" i="2"/>
  <c r="G393" i="2"/>
  <c r="H393" i="2"/>
  <c r="I393" i="2"/>
  <c r="J393" i="2"/>
  <c r="K393" i="2"/>
  <c r="B394" i="2"/>
  <c r="C394" i="2"/>
  <c r="D394" i="2"/>
  <c r="E394" i="2"/>
  <c r="F394" i="2"/>
  <c r="G394" i="2"/>
  <c r="H394" i="2"/>
  <c r="I394" i="2"/>
  <c r="J394" i="2"/>
  <c r="K394" i="2"/>
  <c r="B395" i="2"/>
  <c r="C395" i="2"/>
  <c r="D395" i="2"/>
  <c r="E395" i="2"/>
  <c r="F395" i="2"/>
  <c r="G395" i="2"/>
  <c r="H395" i="2"/>
  <c r="I395" i="2"/>
  <c r="J395" i="2"/>
  <c r="K395" i="2"/>
  <c r="B396" i="2"/>
  <c r="C396" i="2"/>
  <c r="D396" i="2"/>
  <c r="E396" i="2"/>
  <c r="F396" i="2"/>
  <c r="G396" i="2"/>
  <c r="H396" i="2"/>
  <c r="I396" i="2"/>
  <c r="J396" i="2"/>
  <c r="K396" i="2"/>
  <c r="B397" i="2"/>
  <c r="C397" i="2"/>
  <c r="D397" i="2"/>
  <c r="E397" i="2"/>
  <c r="F397" i="2"/>
  <c r="G397" i="2"/>
  <c r="H397" i="2"/>
  <c r="I397" i="2"/>
  <c r="J397" i="2"/>
  <c r="K397" i="2"/>
  <c r="B398" i="2"/>
  <c r="C398" i="2"/>
  <c r="D398" i="2"/>
  <c r="E398" i="2"/>
  <c r="F398" i="2"/>
  <c r="G398" i="2"/>
  <c r="H398" i="2"/>
  <c r="I398" i="2"/>
  <c r="J398" i="2"/>
  <c r="K398" i="2"/>
  <c r="B399" i="2"/>
  <c r="C399" i="2"/>
  <c r="D399" i="2"/>
  <c r="E399" i="2"/>
  <c r="F399" i="2"/>
  <c r="G399" i="2"/>
  <c r="H399" i="2"/>
  <c r="I399" i="2"/>
  <c r="J399" i="2"/>
  <c r="K399" i="2"/>
  <c r="B400" i="2"/>
  <c r="C400" i="2"/>
  <c r="D400" i="2"/>
  <c r="E400" i="2"/>
  <c r="F400" i="2"/>
  <c r="G400" i="2"/>
  <c r="H400" i="2"/>
  <c r="I400" i="2"/>
  <c r="J400" i="2"/>
  <c r="K400" i="2"/>
  <c r="B401" i="2"/>
  <c r="C401" i="2"/>
  <c r="D401" i="2"/>
  <c r="E401" i="2"/>
  <c r="F401" i="2"/>
  <c r="G401" i="2"/>
  <c r="H401" i="2"/>
  <c r="I401" i="2"/>
  <c r="J401" i="2"/>
  <c r="K401" i="2"/>
  <c r="B402" i="2"/>
  <c r="C402" i="2"/>
  <c r="D402" i="2"/>
  <c r="E402" i="2"/>
  <c r="F402" i="2"/>
  <c r="G402" i="2"/>
  <c r="H402" i="2"/>
  <c r="I402" i="2"/>
  <c r="J402" i="2"/>
  <c r="K402" i="2"/>
  <c r="B403" i="2"/>
  <c r="C403" i="2"/>
  <c r="D403" i="2"/>
  <c r="E403" i="2"/>
  <c r="F403" i="2"/>
  <c r="G403" i="2"/>
  <c r="H403" i="2"/>
  <c r="I403" i="2"/>
  <c r="J403" i="2"/>
  <c r="K403" i="2"/>
  <c r="B404" i="2"/>
  <c r="C404" i="2"/>
  <c r="D404" i="2"/>
  <c r="E404" i="2"/>
  <c r="F404" i="2"/>
  <c r="G404" i="2"/>
  <c r="H404" i="2"/>
  <c r="I404" i="2"/>
  <c r="J404" i="2"/>
  <c r="K404" i="2"/>
  <c r="B405" i="2"/>
  <c r="C405" i="2"/>
  <c r="D405" i="2"/>
  <c r="E405" i="2"/>
  <c r="F405" i="2"/>
  <c r="G405" i="2"/>
  <c r="H405" i="2"/>
  <c r="I405" i="2"/>
  <c r="J405" i="2"/>
  <c r="K405" i="2"/>
  <c r="B406" i="2"/>
  <c r="C406" i="2"/>
  <c r="D406" i="2"/>
  <c r="E406" i="2"/>
  <c r="F406" i="2"/>
  <c r="G406" i="2"/>
  <c r="H406" i="2"/>
  <c r="I406" i="2"/>
  <c r="J406" i="2"/>
  <c r="K406" i="2"/>
  <c r="B407" i="2"/>
  <c r="C407" i="2"/>
  <c r="D407" i="2"/>
  <c r="E407" i="2"/>
  <c r="F407" i="2"/>
  <c r="G407" i="2"/>
  <c r="H407" i="2"/>
  <c r="I407" i="2"/>
  <c r="J407" i="2"/>
  <c r="K407" i="2"/>
  <c r="B408" i="2"/>
  <c r="C408" i="2"/>
  <c r="D408" i="2"/>
  <c r="E408" i="2"/>
  <c r="F408" i="2"/>
  <c r="G408" i="2"/>
  <c r="H408" i="2"/>
  <c r="I408" i="2"/>
  <c r="J408" i="2"/>
  <c r="K408" i="2"/>
  <c r="B409" i="2"/>
  <c r="C409" i="2"/>
  <c r="D409" i="2"/>
  <c r="E409" i="2"/>
  <c r="F409" i="2"/>
  <c r="G409" i="2"/>
  <c r="H409" i="2"/>
  <c r="I409" i="2"/>
  <c r="J409" i="2"/>
  <c r="K409" i="2"/>
  <c r="B410" i="2"/>
  <c r="C410" i="2"/>
  <c r="D410" i="2"/>
  <c r="E410" i="2"/>
  <c r="F410" i="2"/>
  <c r="G410" i="2"/>
  <c r="H410" i="2"/>
  <c r="I410" i="2"/>
  <c r="J410" i="2"/>
  <c r="K410" i="2"/>
  <c r="B411" i="2"/>
  <c r="C411" i="2"/>
  <c r="D411" i="2"/>
  <c r="E411" i="2"/>
  <c r="F411" i="2"/>
  <c r="G411" i="2"/>
  <c r="H411" i="2"/>
  <c r="I411" i="2"/>
  <c r="J411" i="2"/>
  <c r="K411" i="2"/>
  <c r="B412" i="2"/>
  <c r="C412" i="2"/>
  <c r="D412" i="2"/>
  <c r="E412" i="2"/>
  <c r="F412" i="2"/>
  <c r="G412" i="2"/>
  <c r="H412" i="2"/>
  <c r="I412" i="2"/>
  <c r="J412" i="2"/>
  <c r="K412" i="2"/>
  <c r="B413" i="2"/>
  <c r="C413" i="2"/>
  <c r="D413" i="2"/>
  <c r="E413" i="2"/>
  <c r="F413" i="2"/>
  <c r="G413" i="2"/>
  <c r="H413" i="2"/>
  <c r="I413" i="2"/>
  <c r="J413" i="2"/>
  <c r="K413" i="2"/>
  <c r="B414" i="2"/>
  <c r="C414" i="2"/>
  <c r="D414" i="2"/>
  <c r="E414" i="2"/>
  <c r="F414" i="2"/>
  <c r="G414" i="2"/>
  <c r="H414" i="2"/>
  <c r="I414" i="2"/>
  <c r="J414" i="2"/>
  <c r="K414" i="2"/>
  <c r="B415" i="2"/>
  <c r="C415" i="2"/>
  <c r="D415" i="2"/>
  <c r="E415" i="2"/>
  <c r="F415" i="2"/>
  <c r="G415" i="2"/>
  <c r="H415" i="2"/>
  <c r="I415" i="2"/>
  <c r="J415" i="2"/>
  <c r="K415" i="2"/>
  <c r="B416" i="2"/>
  <c r="C416" i="2"/>
  <c r="D416" i="2"/>
  <c r="E416" i="2"/>
  <c r="F416" i="2"/>
  <c r="G416" i="2"/>
  <c r="H416" i="2"/>
  <c r="I416" i="2"/>
  <c r="J416" i="2"/>
  <c r="K416" i="2"/>
  <c r="B417" i="2"/>
  <c r="C417" i="2"/>
  <c r="D417" i="2"/>
  <c r="E417" i="2"/>
  <c r="F417" i="2"/>
  <c r="G417" i="2"/>
  <c r="H417" i="2"/>
  <c r="I417" i="2"/>
  <c r="J417" i="2"/>
  <c r="K417" i="2"/>
  <c r="B418" i="2"/>
  <c r="C418" i="2"/>
  <c r="D418" i="2"/>
  <c r="E418" i="2"/>
  <c r="F418" i="2"/>
  <c r="G418" i="2"/>
  <c r="H418" i="2"/>
  <c r="I418" i="2"/>
  <c r="J418" i="2"/>
  <c r="K418" i="2"/>
  <c r="B419" i="2"/>
  <c r="C419" i="2"/>
  <c r="D419" i="2"/>
  <c r="E419" i="2"/>
  <c r="F419" i="2"/>
  <c r="G419" i="2"/>
  <c r="H419" i="2"/>
  <c r="I419" i="2"/>
  <c r="J419" i="2"/>
  <c r="K419" i="2"/>
  <c r="B420" i="2"/>
  <c r="C420" i="2"/>
  <c r="D420" i="2"/>
  <c r="E420" i="2"/>
  <c r="F420" i="2"/>
  <c r="G420" i="2"/>
  <c r="H420" i="2"/>
  <c r="I420" i="2"/>
  <c r="J420" i="2"/>
  <c r="K420" i="2"/>
  <c r="B421" i="2"/>
  <c r="C421" i="2"/>
  <c r="D421" i="2"/>
  <c r="E421" i="2"/>
  <c r="F421" i="2"/>
  <c r="G421" i="2"/>
  <c r="H421" i="2"/>
  <c r="I421" i="2"/>
  <c r="J421" i="2"/>
  <c r="K421" i="2"/>
  <c r="B422" i="2"/>
  <c r="C422" i="2"/>
  <c r="D422" i="2"/>
  <c r="E422" i="2"/>
  <c r="F422" i="2"/>
  <c r="G422" i="2"/>
  <c r="H422" i="2"/>
  <c r="I422" i="2"/>
  <c r="J422" i="2"/>
  <c r="K422" i="2"/>
  <c r="B423" i="2"/>
  <c r="C423" i="2"/>
  <c r="D423" i="2"/>
  <c r="E423" i="2"/>
  <c r="F423" i="2"/>
  <c r="G423" i="2"/>
  <c r="H423" i="2"/>
  <c r="I423" i="2"/>
  <c r="J423" i="2"/>
  <c r="K423" i="2"/>
  <c r="B424" i="2"/>
  <c r="C424" i="2"/>
  <c r="D424" i="2"/>
  <c r="E424" i="2"/>
  <c r="F424" i="2"/>
  <c r="G424" i="2"/>
  <c r="H424" i="2"/>
  <c r="I424" i="2"/>
  <c r="J424" i="2"/>
  <c r="K424" i="2"/>
  <c r="B425" i="2"/>
  <c r="C425" i="2"/>
  <c r="D425" i="2"/>
  <c r="E425" i="2"/>
  <c r="F425" i="2"/>
  <c r="G425" i="2"/>
  <c r="H425" i="2"/>
  <c r="I425" i="2"/>
  <c r="J425" i="2"/>
  <c r="K425" i="2"/>
  <c r="B426" i="2"/>
  <c r="C426" i="2"/>
  <c r="D426" i="2"/>
  <c r="E426" i="2"/>
  <c r="F426" i="2"/>
  <c r="G426" i="2"/>
  <c r="H426" i="2"/>
  <c r="I426" i="2"/>
  <c r="J426" i="2"/>
  <c r="K426" i="2"/>
  <c r="B427" i="2"/>
  <c r="C427" i="2"/>
  <c r="D427" i="2"/>
  <c r="E427" i="2"/>
  <c r="F427" i="2"/>
  <c r="G427" i="2"/>
  <c r="H427" i="2"/>
  <c r="I427" i="2"/>
  <c r="J427" i="2"/>
  <c r="K427" i="2"/>
  <c r="B428" i="2"/>
  <c r="C428" i="2"/>
  <c r="D428" i="2"/>
  <c r="E428" i="2"/>
  <c r="F428" i="2"/>
  <c r="G428" i="2"/>
  <c r="H428" i="2"/>
  <c r="I428" i="2"/>
  <c r="J428" i="2"/>
  <c r="K428" i="2"/>
  <c r="B429" i="2"/>
  <c r="C429" i="2"/>
  <c r="D429" i="2"/>
  <c r="E429" i="2"/>
  <c r="F429" i="2"/>
  <c r="G429" i="2"/>
  <c r="H429" i="2"/>
  <c r="I429" i="2"/>
  <c r="J429" i="2"/>
  <c r="K429" i="2"/>
  <c r="B430" i="2"/>
  <c r="C430" i="2"/>
  <c r="D430" i="2"/>
  <c r="E430" i="2"/>
  <c r="F430" i="2"/>
  <c r="G430" i="2"/>
  <c r="H430" i="2"/>
  <c r="I430" i="2"/>
  <c r="J430" i="2"/>
  <c r="K430" i="2"/>
  <c r="B431" i="2"/>
  <c r="C431" i="2"/>
  <c r="D431" i="2"/>
  <c r="E431" i="2"/>
  <c r="F431" i="2"/>
  <c r="G431" i="2"/>
  <c r="H431" i="2"/>
  <c r="I431" i="2"/>
  <c r="J431" i="2"/>
  <c r="K431" i="2"/>
  <c r="B432" i="2"/>
  <c r="C432" i="2"/>
  <c r="D432" i="2"/>
  <c r="E432" i="2"/>
  <c r="F432" i="2"/>
  <c r="G432" i="2"/>
  <c r="H432" i="2"/>
  <c r="I432" i="2"/>
  <c r="J432" i="2"/>
  <c r="K432" i="2"/>
  <c r="B433" i="2"/>
  <c r="C433" i="2"/>
  <c r="D433" i="2"/>
  <c r="E433" i="2"/>
  <c r="F433" i="2"/>
  <c r="G433" i="2"/>
  <c r="H433" i="2"/>
  <c r="I433" i="2"/>
  <c r="J433" i="2"/>
  <c r="K433" i="2"/>
  <c r="B434" i="2"/>
  <c r="C434" i="2"/>
  <c r="D434" i="2"/>
  <c r="E434" i="2"/>
  <c r="F434" i="2"/>
  <c r="G434" i="2"/>
  <c r="H434" i="2"/>
  <c r="I434" i="2"/>
  <c r="J434" i="2"/>
  <c r="K434" i="2"/>
  <c r="B435" i="2"/>
  <c r="C435" i="2"/>
  <c r="D435" i="2"/>
  <c r="E435" i="2"/>
  <c r="F435" i="2"/>
  <c r="G435" i="2"/>
  <c r="H435" i="2"/>
  <c r="I435" i="2"/>
  <c r="J435" i="2"/>
  <c r="K435" i="2"/>
  <c r="B436" i="2"/>
  <c r="C436" i="2"/>
  <c r="D436" i="2"/>
  <c r="E436" i="2"/>
  <c r="F436" i="2"/>
  <c r="G436" i="2"/>
  <c r="H436" i="2"/>
  <c r="I436" i="2"/>
  <c r="J436" i="2"/>
  <c r="K436" i="2"/>
  <c r="B437" i="2"/>
  <c r="C437" i="2"/>
  <c r="D437" i="2"/>
  <c r="E437" i="2"/>
  <c r="F437" i="2"/>
  <c r="G437" i="2"/>
  <c r="H437" i="2"/>
  <c r="I437" i="2"/>
  <c r="J437" i="2"/>
  <c r="K437" i="2"/>
  <c r="B438" i="2"/>
  <c r="C438" i="2"/>
  <c r="D438" i="2"/>
  <c r="E438" i="2"/>
  <c r="F438" i="2"/>
  <c r="G438" i="2"/>
  <c r="H438" i="2"/>
  <c r="I438" i="2"/>
  <c r="J438" i="2"/>
  <c r="K438" i="2"/>
  <c r="B439" i="2"/>
  <c r="C439" i="2"/>
  <c r="D439" i="2"/>
  <c r="E439" i="2"/>
  <c r="F439" i="2"/>
  <c r="G439" i="2"/>
  <c r="H439" i="2"/>
  <c r="I439" i="2"/>
  <c r="J439" i="2"/>
  <c r="K439" i="2"/>
  <c r="B440" i="2"/>
  <c r="C440" i="2"/>
  <c r="D440" i="2"/>
  <c r="E440" i="2"/>
  <c r="F440" i="2"/>
  <c r="G440" i="2"/>
  <c r="H440" i="2"/>
  <c r="I440" i="2"/>
  <c r="J440" i="2"/>
  <c r="K440" i="2"/>
  <c r="B441" i="2"/>
  <c r="C441" i="2"/>
  <c r="D441" i="2"/>
  <c r="E441" i="2"/>
  <c r="F441" i="2"/>
  <c r="G441" i="2"/>
  <c r="H441" i="2"/>
  <c r="I441" i="2"/>
  <c r="J441" i="2"/>
  <c r="K441" i="2"/>
  <c r="B442" i="2"/>
  <c r="C442" i="2"/>
  <c r="D442" i="2"/>
  <c r="E442" i="2"/>
  <c r="F442" i="2"/>
  <c r="G442" i="2"/>
  <c r="H442" i="2"/>
  <c r="I442" i="2"/>
  <c r="J442" i="2"/>
  <c r="K442" i="2"/>
  <c r="B443" i="2"/>
  <c r="C443" i="2"/>
  <c r="D443" i="2"/>
  <c r="E443" i="2"/>
  <c r="F443" i="2"/>
  <c r="G443" i="2"/>
  <c r="H443" i="2"/>
  <c r="I443" i="2"/>
  <c r="J443" i="2"/>
  <c r="K443" i="2"/>
  <c r="B444" i="2"/>
  <c r="C444" i="2"/>
  <c r="D444" i="2"/>
  <c r="E444" i="2"/>
  <c r="F444" i="2"/>
  <c r="G444" i="2"/>
  <c r="H444" i="2"/>
  <c r="I444" i="2"/>
  <c r="J444" i="2"/>
  <c r="K444" i="2"/>
  <c r="B445" i="2"/>
  <c r="C445" i="2"/>
  <c r="D445" i="2"/>
  <c r="E445" i="2"/>
  <c r="F445" i="2"/>
  <c r="G445" i="2"/>
  <c r="H445" i="2"/>
  <c r="I445" i="2"/>
  <c r="J445" i="2"/>
  <c r="K445" i="2"/>
  <c r="B446" i="2"/>
  <c r="C446" i="2"/>
  <c r="D446" i="2"/>
  <c r="E446" i="2"/>
  <c r="F446" i="2"/>
  <c r="G446" i="2"/>
  <c r="H446" i="2"/>
  <c r="I446" i="2"/>
  <c r="J446" i="2"/>
  <c r="K446" i="2"/>
  <c r="B447" i="2"/>
  <c r="C447" i="2"/>
  <c r="D447" i="2"/>
  <c r="E447" i="2"/>
  <c r="F447" i="2"/>
  <c r="G447" i="2"/>
  <c r="H447" i="2"/>
  <c r="I447" i="2"/>
  <c r="J447" i="2"/>
  <c r="K447" i="2"/>
  <c r="B448" i="2"/>
  <c r="C448" i="2"/>
  <c r="D448" i="2"/>
  <c r="E448" i="2"/>
  <c r="F448" i="2"/>
  <c r="G448" i="2"/>
  <c r="H448" i="2"/>
  <c r="I448" i="2"/>
  <c r="J448" i="2"/>
  <c r="K448" i="2"/>
  <c r="B449" i="2"/>
  <c r="C449" i="2"/>
  <c r="D449" i="2"/>
  <c r="E449" i="2"/>
  <c r="F449" i="2"/>
  <c r="G449" i="2"/>
  <c r="H449" i="2"/>
  <c r="I449" i="2"/>
  <c r="J449" i="2"/>
  <c r="K449" i="2"/>
  <c r="B450" i="2"/>
  <c r="C450" i="2"/>
  <c r="D450" i="2"/>
  <c r="E450" i="2"/>
  <c r="F450" i="2"/>
  <c r="G450" i="2"/>
  <c r="H450" i="2"/>
  <c r="I450" i="2"/>
  <c r="J450" i="2"/>
  <c r="K450" i="2"/>
  <c r="B451" i="2"/>
  <c r="C451" i="2"/>
  <c r="D451" i="2"/>
  <c r="E451" i="2"/>
  <c r="F451" i="2"/>
  <c r="G451" i="2"/>
  <c r="H451" i="2"/>
  <c r="I451" i="2"/>
  <c r="J451" i="2"/>
  <c r="K451" i="2"/>
  <c r="B452" i="2"/>
  <c r="C452" i="2"/>
  <c r="D452" i="2"/>
  <c r="E452" i="2"/>
  <c r="F452" i="2"/>
  <c r="G452" i="2"/>
  <c r="H452" i="2"/>
  <c r="I452" i="2"/>
  <c r="J452" i="2"/>
  <c r="K452" i="2"/>
  <c r="B453" i="2"/>
  <c r="C453" i="2"/>
  <c r="D453" i="2"/>
  <c r="E453" i="2"/>
  <c r="F453" i="2"/>
  <c r="G453" i="2"/>
  <c r="H453" i="2"/>
  <c r="I453" i="2"/>
  <c r="J453" i="2"/>
  <c r="K453" i="2"/>
  <c r="B454" i="2"/>
  <c r="C454" i="2"/>
  <c r="D454" i="2"/>
  <c r="E454" i="2"/>
  <c r="F454" i="2"/>
  <c r="G454" i="2"/>
  <c r="H454" i="2"/>
  <c r="I454" i="2"/>
  <c r="J454" i="2"/>
  <c r="K454" i="2"/>
  <c r="B455" i="2"/>
  <c r="C455" i="2"/>
  <c r="D455" i="2"/>
  <c r="E455" i="2"/>
  <c r="F455" i="2"/>
  <c r="G455" i="2"/>
  <c r="H455" i="2"/>
  <c r="I455" i="2"/>
  <c r="J455" i="2"/>
  <c r="K455" i="2"/>
  <c r="B456" i="2"/>
  <c r="C456" i="2"/>
  <c r="D456" i="2"/>
  <c r="E456" i="2"/>
  <c r="F456" i="2"/>
  <c r="G456" i="2"/>
  <c r="H456" i="2"/>
  <c r="I456" i="2"/>
  <c r="J456" i="2"/>
  <c r="K456" i="2"/>
  <c r="B457" i="2"/>
  <c r="C457" i="2"/>
  <c r="D457" i="2"/>
  <c r="E457" i="2"/>
  <c r="F457" i="2"/>
  <c r="G457" i="2"/>
  <c r="H457" i="2"/>
  <c r="I457" i="2"/>
  <c r="J457" i="2"/>
  <c r="K457" i="2"/>
  <c r="B458" i="2"/>
  <c r="C458" i="2"/>
  <c r="D458" i="2"/>
  <c r="E458" i="2"/>
  <c r="F458" i="2"/>
  <c r="G458" i="2"/>
  <c r="H458" i="2"/>
  <c r="I458" i="2"/>
  <c r="J458" i="2"/>
  <c r="K458" i="2"/>
  <c r="B459" i="2"/>
  <c r="C459" i="2"/>
  <c r="D459" i="2"/>
  <c r="E459" i="2"/>
  <c r="F459" i="2"/>
  <c r="G459" i="2"/>
  <c r="H459" i="2"/>
  <c r="I459" i="2"/>
  <c r="J459" i="2"/>
  <c r="K459" i="2"/>
  <c r="B460" i="2"/>
  <c r="C460" i="2"/>
  <c r="D460" i="2"/>
  <c r="E460" i="2"/>
  <c r="F460" i="2"/>
  <c r="G460" i="2"/>
  <c r="H460" i="2"/>
  <c r="I460" i="2"/>
  <c r="J460" i="2"/>
  <c r="K460" i="2"/>
  <c r="B461" i="2"/>
  <c r="C461" i="2"/>
  <c r="D461" i="2"/>
  <c r="E461" i="2"/>
  <c r="F461" i="2"/>
  <c r="G461" i="2"/>
  <c r="H461" i="2"/>
  <c r="I461" i="2"/>
  <c r="J461" i="2"/>
  <c r="K461" i="2"/>
  <c r="B462" i="2"/>
  <c r="C462" i="2"/>
  <c r="D462" i="2"/>
  <c r="E462" i="2"/>
  <c r="F462" i="2"/>
  <c r="G462" i="2"/>
  <c r="H462" i="2"/>
  <c r="I462" i="2"/>
  <c r="J462" i="2"/>
  <c r="K462" i="2"/>
  <c r="B463" i="2"/>
  <c r="C463" i="2"/>
  <c r="D463" i="2"/>
  <c r="E463" i="2"/>
  <c r="F463" i="2"/>
  <c r="G463" i="2"/>
  <c r="H463" i="2"/>
  <c r="I463" i="2"/>
  <c r="J463" i="2"/>
  <c r="K463" i="2"/>
  <c r="B464" i="2"/>
  <c r="C464" i="2"/>
  <c r="D464" i="2"/>
  <c r="E464" i="2"/>
  <c r="F464" i="2"/>
  <c r="G464" i="2"/>
  <c r="H464" i="2"/>
  <c r="I464" i="2"/>
  <c r="J464" i="2"/>
  <c r="K464" i="2"/>
  <c r="B465" i="2"/>
  <c r="C465" i="2"/>
  <c r="D465" i="2"/>
  <c r="E465" i="2"/>
  <c r="F465" i="2"/>
  <c r="G465" i="2"/>
  <c r="H465" i="2"/>
  <c r="I465" i="2"/>
  <c r="J465" i="2"/>
  <c r="K465" i="2"/>
  <c r="B466" i="2"/>
  <c r="C466" i="2"/>
  <c r="D466" i="2"/>
  <c r="E466" i="2"/>
  <c r="F466" i="2"/>
  <c r="G466" i="2"/>
  <c r="H466" i="2"/>
  <c r="I466" i="2"/>
  <c r="J466" i="2"/>
  <c r="K466" i="2"/>
  <c r="B467" i="2"/>
  <c r="C467" i="2"/>
  <c r="D467" i="2"/>
  <c r="E467" i="2"/>
  <c r="F467" i="2"/>
  <c r="G467" i="2"/>
  <c r="H467" i="2"/>
  <c r="I467" i="2"/>
  <c r="J467" i="2"/>
  <c r="K467" i="2"/>
  <c r="B468" i="2"/>
  <c r="C468" i="2"/>
  <c r="D468" i="2"/>
  <c r="E468" i="2"/>
  <c r="F468" i="2"/>
  <c r="G468" i="2"/>
  <c r="H468" i="2"/>
  <c r="I468" i="2"/>
  <c r="J468" i="2"/>
  <c r="K468" i="2"/>
  <c r="B469" i="2"/>
  <c r="C469" i="2"/>
  <c r="D469" i="2"/>
  <c r="E469" i="2"/>
  <c r="F469" i="2"/>
  <c r="G469" i="2"/>
  <c r="H469" i="2"/>
  <c r="I469" i="2"/>
  <c r="J469" i="2"/>
  <c r="K469" i="2"/>
  <c r="B470" i="2"/>
  <c r="C470" i="2"/>
  <c r="D470" i="2"/>
  <c r="E470" i="2"/>
  <c r="F470" i="2"/>
  <c r="G470" i="2"/>
  <c r="H470" i="2"/>
  <c r="I470" i="2"/>
  <c r="J470" i="2"/>
  <c r="K470" i="2"/>
  <c r="B471" i="2"/>
  <c r="C471" i="2"/>
  <c r="D471" i="2"/>
  <c r="E471" i="2"/>
  <c r="F471" i="2"/>
  <c r="G471" i="2"/>
  <c r="H471" i="2"/>
  <c r="I471" i="2"/>
  <c r="J471" i="2"/>
  <c r="K471" i="2"/>
  <c r="B472" i="2"/>
  <c r="C472" i="2"/>
  <c r="D472" i="2"/>
  <c r="E472" i="2"/>
  <c r="F472" i="2"/>
  <c r="G472" i="2"/>
  <c r="H472" i="2"/>
  <c r="I472" i="2"/>
  <c r="J472" i="2"/>
  <c r="K472" i="2"/>
  <c r="B473" i="2"/>
  <c r="C473" i="2"/>
  <c r="D473" i="2"/>
  <c r="E473" i="2"/>
  <c r="F473" i="2"/>
  <c r="G473" i="2"/>
  <c r="H473" i="2"/>
  <c r="I473" i="2"/>
  <c r="J473" i="2"/>
  <c r="K473" i="2"/>
  <c r="B474" i="2"/>
  <c r="C474" i="2"/>
  <c r="D474" i="2"/>
  <c r="E474" i="2"/>
  <c r="F474" i="2"/>
  <c r="G474" i="2"/>
  <c r="H474" i="2"/>
  <c r="I474" i="2"/>
  <c r="J474" i="2"/>
  <c r="K474" i="2"/>
  <c r="B475" i="2"/>
  <c r="C475" i="2"/>
  <c r="D475" i="2"/>
  <c r="E475" i="2"/>
  <c r="F475" i="2"/>
  <c r="G475" i="2"/>
  <c r="H475" i="2"/>
  <c r="I475" i="2"/>
  <c r="J475" i="2"/>
  <c r="K475" i="2"/>
  <c r="B476" i="2"/>
  <c r="C476" i="2"/>
  <c r="D476" i="2"/>
  <c r="E476" i="2"/>
  <c r="F476" i="2"/>
  <c r="G476" i="2"/>
  <c r="H476" i="2"/>
  <c r="I476" i="2"/>
  <c r="J476" i="2"/>
  <c r="K476" i="2"/>
  <c r="B477" i="2"/>
  <c r="C477" i="2"/>
  <c r="D477" i="2"/>
  <c r="E477" i="2"/>
  <c r="F477" i="2"/>
  <c r="G477" i="2"/>
  <c r="H477" i="2"/>
  <c r="I477" i="2"/>
  <c r="J477" i="2"/>
  <c r="K477" i="2"/>
  <c r="B478" i="2"/>
  <c r="C478" i="2"/>
  <c r="D478" i="2"/>
  <c r="E478" i="2"/>
  <c r="F478" i="2"/>
  <c r="G478" i="2"/>
  <c r="H478" i="2"/>
  <c r="I478" i="2"/>
  <c r="J478" i="2"/>
  <c r="K478" i="2"/>
  <c r="B479" i="2"/>
  <c r="C479" i="2"/>
  <c r="D479" i="2"/>
  <c r="E479" i="2"/>
  <c r="F479" i="2"/>
  <c r="G479" i="2"/>
  <c r="H479" i="2"/>
  <c r="I479" i="2"/>
  <c r="J479" i="2"/>
  <c r="K479" i="2"/>
  <c r="B480" i="2"/>
  <c r="C480" i="2"/>
  <c r="D480" i="2"/>
  <c r="E480" i="2"/>
  <c r="F480" i="2"/>
  <c r="G480" i="2"/>
  <c r="H480" i="2"/>
  <c r="I480" i="2"/>
  <c r="J480" i="2"/>
  <c r="K480" i="2"/>
  <c r="B481" i="2"/>
  <c r="C481" i="2"/>
  <c r="D481" i="2"/>
  <c r="E481" i="2"/>
  <c r="F481" i="2"/>
  <c r="G481" i="2"/>
  <c r="H481" i="2"/>
  <c r="I481" i="2"/>
  <c r="J481" i="2"/>
  <c r="K481" i="2"/>
  <c r="B482" i="2"/>
  <c r="C482" i="2"/>
  <c r="D482" i="2"/>
  <c r="E482" i="2"/>
  <c r="F482" i="2"/>
  <c r="G482" i="2"/>
  <c r="H482" i="2"/>
  <c r="I482" i="2"/>
  <c r="J482" i="2"/>
  <c r="K482" i="2"/>
  <c r="B483" i="2"/>
  <c r="C483" i="2"/>
  <c r="D483" i="2"/>
  <c r="E483" i="2"/>
  <c r="F483" i="2"/>
  <c r="G483" i="2"/>
  <c r="H483" i="2"/>
  <c r="I483" i="2"/>
  <c r="J483" i="2"/>
  <c r="K483" i="2"/>
  <c r="B484" i="2"/>
  <c r="C484" i="2"/>
  <c r="D484" i="2"/>
  <c r="E484" i="2"/>
  <c r="F484" i="2"/>
  <c r="G484" i="2"/>
  <c r="H484" i="2"/>
  <c r="I484" i="2"/>
  <c r="J484" i="2"/>
  <c r="K484" i="2"/>
  <c r="B485" i="2"/>
  <c r="C485" i="2"/>
  <c r="D485" i="2"/>
  <c r="E485" i="2"/>
  <c r="F485" i="2"/>
  <c r="G485" i="2"/>
  <c r="H485" i="2"/>
  <c r="I485" i="2"/>
  <c r="J485" i="2"/>
  <c r="K485" i="2"/>
  <c r="B486" i="2"/>
  <c r="C486" i="2"/>
  <c r="D486" i="2"/>
  <c r="E486" i="2"/>
  <c r="F486" i="2"/>
  <c r="G486" i="2"/>
  <c r="H486" i="2"/>
  <c r="I486" i="2"/>
  <c r="J486" i="2"/>
  <c r="K486" i="2"/>
  <c r="B487" i="2"/>
  <c r="C487" i="2"/>
  <c r="D487" i="2"/>
  <c r="E487" i="2"/>
  <c r="F487" i="2"/>
  <c r="G487" i="2"/>
  <c r="H487" i="2"/>
  <c r="I487" i="2"/>
  <c r="J487" i="2"/>
  <c r="K487" i="2"/>
  <c r="B488" i="2"/>
  <c r="C488" i="2"/>
  <c r="D488" i="2"/>
  <c r="E488" i="2"/>
  <c r="F488" i="2"/>
  <c r="G488" i="2"/>
  <c r="H488" i="2"/>
  <c r="I488" i="2"/>
  <c r="J488" i="2"/>
  <c r="K488" i="2"/>
  <c r="B489" i="2"/>
  <c r="C489" i="2"/>
  <c r="D489" i="2"/>
  <c r="E489" i="2"/>
  <c r="F489" i="2"/>
  <c r="G489" i="2"/>
  <c r="H489" i="2"/>
  <c r="I489" i="2"/>
  <c r="J489" i="2"/>
  <c r="K489" i="2"/>
  <c r="B490" i="2"/>
  <c r="C490" i="2"/>
  <c r="D490" i="2"/>
  <c r="E490" i="2"/>
  <c r="F490" i="2"/>
  <c r="G490" i="2"/>
  <c r="H490" i="2"/>
  <c r="I490" i="2"/>
  <c r="J490" i="2"/>
  <c r="K490" i="2"/>
  <c r="B491" i="2"/>
  <c r="C491" i="2"/>
  <c r="D491" i="2"/>
  <c r="E491" i="2"/>
  <c r="F491" i="2"/>
  <c r="G491" i="2"/>
  <c r="H491" i="2"/>
  <c r="I491" i="2"/>
  <c r="J491" i="2"/>
  <c r="K491" i="2"/>
  <c r="B492" i="2"/>
  <c r="C492" i="2"/>
  <c r="D492" i="2"/>
  <c r="E492" i="2"/>
  <c r="F492" i="2"/>
  <c r="G492" i="2"/>
  <c r="H492" i="2"/>
  <c r="I492" i="2"/>
  <c r="J492" i="2"/>
  <c r="K492" i="2"/>
  <c r="B493" i="2"/>
  <c r="C493" i="2"/>
  <c r="D493" i="2"/>
  <c r="E493" i="2"/>
  <c r="F493" i="2"/>
  <c r="G493" i="2"/>
  <c r="H493" i="2"/>
  <c r="I493" i="2"/>
  <c r="J493" i="2"/>
  <c r="K493" i="2"/>
  <c r="B494" i="2"/>
  <c r="C494" i="2"/>
  <c r="D494" i="2"/>
  <c r="E494" i="2"/>
  <c r="F494" i="2"/>
  <c r="G494" i="2"/>
  <c r="H494" i="2"/>
  <c r="I494" i="2"/>
  <c r="J494" i="2"/>
  <c r="K494" i="2"/>
  <c r="B495" i="2"/>
  <c r="C495" i="2"/>
  <c r="D495" i="2"/>
  <c r="E495" i="2"/>
  <c r="F495" i="2"/>
  <c r="G495" i="2"/>
  <c r="H495" i="2"/>
  <c r="I495" i="2"/>
  <c r="J495" i="2"/>
  <c r="K495" i="2"/>
  <c r="B496" i="2"/>
  <c r="C496" i="2"/>
  <c r="D496" i="2"/>
  <c r="E496" i="2"/>
  <c r="F496" i="2"/>
  <c r="G496" i="2"/>
  <c r="H496" i="2"/>
  <c r="I496" i="2"/>
  <c r="J496" i="2"/>
  <c r="K496" i="2"/>
  <c r="B497" i="2"/>
  <c r="C497" i="2"/>
  <c r="D497" i="2"/>
  <c r="E497" i="2"/>
  <c r="F497" i="2"/>
  <c r="G497" i="2"/>
  <c r="H497" i="2"/>
  <c r="I497" i="2"/>
  <c r="J497" i="2"/>
  <c r="K497" i="2"/>
  <c r="B498" i="2"/>
  <c r="C498" i="2"/>
  <c r="D498" i="2"/>
  <c r="E498" i="2"/>
  <c r="F498" i="2"/>
  <c r="G498" i="2"/>
  <c r="H498" i="2"/>
  <c r="I498" i="2"/>
  <c r="J498" i="2"/>
  <c r="K498" i="2"/>
  <c r="B499" i="2"/>
  <c r="C499" i="2"/>
  <c r="D499" i="2"/>
  <c r="E499" i="2"/>
  <c r="F499" i="2"/>
  <c r="G499" i="2"/>
  <c r="H499" i="2"/>
  <c r="I499" i="2"/>
  <c r="J499" i="2"/>
  <c r="K499" i="2"/>
  <c r="B500" i="2"/>
  <c r="C500" i="2"/>
  <c r="D500" i="2"/>
  <c r="E500" i="2"/>
  <c r="F500" i="2"/>
  <c r="G500" i="2"/>
  <c r="H500" i="2"/>
  <c r="I500" i="2"/>
  <c r="J500" i="2"/>
  <c r="K500" i="2"/>
  <c r="B501" i="2"/>
  <c r="C501" i="2"/>
  <c r="D501" i="2"/>
  <c r="E501" i="2"/>
  <c r="F501" i="2"/>
  <c r="G501" i="2"/>
  <c r="H501" i="2"/>
  <c r="I501" i="2"/>
  <c r="J501" i="2"/>
  <c r="K501" i="2"/>
  <c r="B502" i="2"/>
  <c r="C502" i="2"/>
  <c r="D502" i="2"/>
  <c r="E502" i="2"/>
  <c r="F502" i="2"/>
  <c r="G502" i="2"/>
  <c r="H502" i="2"/>
  <c r="I502" i="2"/>
  <c r="J502" i="2"/>
  <c r="K502" i="2"/>
  <c r="B503" i="2"/>
  <c r="C503" i="2"/>
  <c r="D503" i="2"/>
  <c r="E503" i="2"/>
  <c r="F503" i="2"/>
  <c r="G503" i="2"/>
  <c r="H503" i="2"/>
  <c r="I503" i="2"/>
  <c r="J503" i="2"/>
  <c r="K503" i="2"/>
  <c r="B504" i="2"/>
  <c r="C504" i="2"/>
  <c r="D504" i="2"/>
  <c r="E504" i="2"/>
  <c r="F504" i="2"/>
  <c r="G504" i="2"/>
  <c r="H504" i="2"/>
  <c r="I504" i="2"/>
  <c r="J504" i="2"/>
  <c r="K504" i="2"/>
  <c r="B505" i="2"/>
  <c r="C505" i="2"/>
  <c r="D505" i="2"/>
  <c r="E505" i="2"/>
  <c r="F505" i="2"/>
  <c r="G505" i="2"/>
  <c r="H505" i="2"/>
  <c r="I505" i="2"/>
  <c r="J505" i="2"/>
  <c r="K505" i="2"/>
  <c r="B506" i="2"/>
  <c r="C506" i="2"/>
  <c r="D506" i="2"/>
  <c r="E506" i="2"/>
  <c r="F506" i="2"/>
  <c r="G506" i="2"/>
  <c r="H506" i="2"/>
  <c r="I506" i="2"/>
  <c r="J506" i="2"/>
  <c r="K506" i="2"/>
  <c r="B507" i="2"/>
  <c r="C507" i="2"/>
  <c r="D507" i="2"/>
  <c r="E507" i="2"/>
  <c r="F507" i="2"/>
  <c r="G507" i="2"/>
  <c r="H507" i="2"/>
  <c r="I507" i="2"/>
  <c r="J507" i="2"/>
  <c r="K507" i="2"/>
  <c r="B508" i="2"/>
  <c r="C508" i="2"/>
  <c r="D508" i="2"/>
  <c r="E508" i="2"/>
  <c r="F508" i="2"/>
  <c r="G508" i="2"/>
  <c r="H508" i="2"/>
  <c r="I508" i="2"/>
  <c r="J508" i="2"/>
  <c r="K508" i="2"/>
  <c r="B509" i="2"/>
  <c r="C509" i="2"/>
  <c r="D509" i="2"/>
  <c r="E509" i="2"/>
  <c r="F509" i="2"/>
  <c r="G509" i="2"/>
  <c r="H509" i="2"/>
  <c r="I509" i="2"/>
  <c r="J509" i="2"/>
  <c r="K509" i="2"/>
  <c r="B510" i="2"/>
  <c r="C510" i="2"/>
  <c r="D510" i="2"/>
  <c r="E510" i="2"/>
  <c r="F510" i="2"/>
  <c r="G510" i="2"/>
  <c r="H510" i="2"/>
  <c r="I510" i="2"/>
  <c r="J510" i="2"/>
  <c r="K510" i="2"/>
  <c r="B511" i="2"/>
  <c r="C511" i="2"/>
  <c r="D511" i="2"/>
  <c r="E511" i="2"/>
  <c r="F511" i="2"/>
  <c r="G511" i="2"/>
  <c r="H511" i="2"/>
  <c r="I511" i="2"/>
  <c r="J511" i="2"/>
  <c r="K511" i="2"/>
  <c r="B512" i="2"/>
  <c r="C512" i="2"/>
  <c r="D512" i="2"/>
  <c r="E512" i="2"/>
  <c r="F512" i="2"/>
  <c r="G512" i="2"/>
  <c r="H512" i="2"/>
  <c r="I512" i="2"/>
  <c r="J512" i="2"/>
  <c r="K512" i="2"/>
  <c r="B513" i="2"/>
  <c r="C513" i="2"/>
  <c r="D513" i="2"/>
  <c r="E513" i="2"/>
  <c r="F513" i="2"/>
  <c r="G513" i="2"/>
  <c r="H513" i="2"/>
  <c r="I513" i="2"/>
  <c r="J513" i="2"/>
  <c r="K513" i="2"/>
  <c r="B514" i="2"/>
  <c r="C514" i="2"/>
  <c r="D514" i="2"/>
  <c r="E514" i="2"/>
  <c r="F514" i="2"/>
  <c r="G514" i="2"/>
  <c r="H514" i="2"/>
  <c r="I514" i="2"/>
  <c r="J514" i="2"/>
  <c r="K514" i="2"/>
  <c r="B515" i="2"/>
  <c r="C515" i="2"/>
  <c r="D515" i="2"/>
  <c r="E515" i="2"/>
  <c r="F515" i="2"/>
  <c r="G515" i="2"/>
  <c r="H515" i="2"/>
  <c r="I515" i="2"/>
  <c r="J515" i="2"/>
  <c r="K515" i="2"/>
  <c r="B516" i="2"/>
  <c r="C516" i="2"/>
  <c r="D516" i="2"/>
  <c r="E516" i="2"/>
  <c r="F516" i="2"/>
  <c r="G516" i="2"/>
  <c r="H516" i="2"/>
  <c r="I516" i="2"/>
  <c r="J516" i="2"/>
  <c r="K516" i="2"/>
  <c r="B517" i="2"/>
  <c r="C517" i="2"/>
  <c r="D517" i="2"/>
  <c r="E517" i="2"/>
  <c r="F517" i="2"/>
  <c r="G517" i="2"/>
  <c r="H517" i="2"/>
  <c r="I517" i="2"/>
  <c r="J517" i="2"/>
  <c r="K517" i="2"/>
  <c r="B518" i="2"/>
  <c r="C518" i="2"/>
  <c r="D518" i="2"/>
  <c r="E518" i="2"/>
  <c r="F518" i="2"/>
  <c r="G518" i="2"/>
  <c r="H518" i="2"/>
  <c r="I518" i="2"/>
  <c r="J518" i="2"/>
  <c r="K518" i="2"/>
  <c r="B519" i="2"/>
  <c r="C519" i="2"/>
  <c r="D519" i="2"/>
  <c r="E519" i="2"/>
  <c r="F519" i="2"/>
  <c r="G519" i="2"/>
  <c r="H519" i="2"/>
  <c r="I519" i="2"/>
  <c r="J519" i="2"/>
  <c r="K519" i="2"/>
  <c r="B520" i="2"/>
  <c r="C520" i="2"/>
  <c r="D520" i="2"/>
  <c r="E520" i="2"/>
  <c r="F520" i="2"/>
  <c r="G520" i="2"/>
  <c r="H520" i="2"/>
  <c r="I520" i="2"/>
  <c r="J520" i="2"/>
  <c r="K520" i="2"/>
  <c r="B521" i="2"/>
  <c r="C521" i="2"/>
  <c r="D521" i="2"/>
  <c r="E521" i="2"/>
  <c r="F521" i="2"/>
  <c r="G521" i="2"/>
  <c r="H521" i="2"/>
  <c r="I521" i="2"/>
  <c r="J521" i="2"/>
  <c r="K521" i="2"/>
  <c r="B522" i="2"/>
  <c r="C522" i="2"/>
  <c r="D522" i="2"/>
  <c r="E522" i="2"/>
  <c r="F522" i="2"/>
  <c r="G522" i="2"/>
  <c r="H522" i="2"/>
  <c r="I522" i="2"/>
  <c r="J522" i="2"/>
  <c r="K522" i="2"/>
  <c r="B523" i="2"/>
  <c r="C523" i="2"/>
  <c r="D523" i="2"/>
  <c r="E523" i="2"/>
  <c r="F523" i="2"/>
  <c r="G523" i="2"/>
  <c r="H523" i="2"/>
  <c r="I523" i="2"/>
  <c r="J523" i="2"/>
  <c r="K523" i="2"/>
  <c r="B524" i="2"/>
  <c r="C524" i="2"/>
  <c r="D524" i="2"/>
  <c r="E524" i="2"/>
  <c r="F524" i="2"/>
  <c r="G524" i="2"/>
  <c r="H524" i="2"/>
  <c r="I524" i="2"/>
  <c r="J524" i="2"/>
  <c r="K524" i="2"/>
  <c r="B525" i="2"/>
  <c r="C525" i="2"/>
  <c r="D525" i="2"/>
  <c r="E525" i="2"/>
  <c r="F525" i="2"/>
  <c r="G525" i="2"/>
  <c r="H525" i="2"/>
  <c r="I525" i="2"/>
  <c r="J525" i="2"/>
  <c r="K525" i="2"/>
  <c r="B526" i="2"/>
  <c r="C526" i="2"/>
  <c r="D526" i="2"/>
  <c r="E526" i="2"/>
  <c r="F526" i="2"/>
  <c r="G526" i="2"/>
  <c r="H526" i="2"/>
  <c r="I526" i="2"/>
  <c r="J526" i="2"/>
  <c r="K526" i="2"/>
  <c r="B527" i="2"/>
  <c r="C527" i="2"/>
  <c r="D527" i="2"/>
  <c r="E527" i="2"/>
  <c r="F527" i="2"/>
  <c r="G527" i="2"/>
  <c r="H527" i="2"/>
  <c r="I527" i="2"/>
  <c r="J527" i="2"/>
  <c r="K527" i="2"/>
  <c r="B528" i="2"/>
  <c r="C528" i="2"/>
  <c r="D528" i="2"/>
  <c r="E528" i="2"/>
  <c r="F528" i="2"/>
  <c r="G528" i="2"/>
  <c r="H528" i="2"/>
  <c r="I528" i="2"/>
  <c r="J528" i="2"/>
  <c r="K528" i="2"/>
  <c r="B529" i="2"/>
  <c r="C529" i="2"/>
  <c r="D529" i="2"/>
  <c r="E529" i="2"/>
  <c r="F529" i="2"/>
  <c r="G529" i="2"/>
  <c r="H529" i="2"/>
  <c r="I529" i="2"/>
  <c r="J529" i="2"/>
  <c r="K529" i="2"/>
  <c r="B530" i="2"/>
  <c r="C530" i="2"/>
  <c r="D530" i="2"/>
  <c r="E530" i="2"/>
  <c r="F530" i="2"/>
  <c r="G530" i="2"/>
  <c r="H530" i="2"/>
  <c r="I530" i="2"/>
  <c r="J530" i="2"/>
  <c r="K530" i="2"/>
  <c r="B531" i="2"/>
  <c r="C531" i="2"/>
  <c r="D531" i="2"/>
  <c r="E531" i="2"/>
  <c r="F531" i="2"/>
  <c r="G531" i="2"/>
  <c r="H531" i="2"/>
  <c r="I531" i="2"/>
  <c r="J531" i="2"/>
  <c r="K531" i="2"/>
  <c r="B532" i="2"/>
  <c r="C532" i="2"/>
  <c r="D532" i="2"/>
  <c r="E532" i="2"/>
  <c r="F532" i="2"/>
  <c r="G532" i="2"/>
  <c r="H532" i="2"/>
  <c r="I532" i="2"/>
  <c r="J532" i="2"/>
  <c r="K532" i="2"/>
  <c r="B533" i="2"/>
  <c r="C533" i="2"/>
  <c r="D533" i="2"/>
  <c r="E533" i="2"/>
  <c r="F533" i="2"/>
  <c r="G533" i="2"/>
  <c r="H533" i="2"/>
  <c r="I533" i="2"/>
  <c r="J533" i="2"/>
  <c r="K533" i="2"/>
  <c r="B534" i="2"/>
  <c r="C534" i="2"/>
  <c r="D534" i="2"/>
  <c r="E534" i="2"/>
  <c r="F534" i="2"/>
  <c r="G534" i="2"/>
  <c r="H534" i="2"/>
  <c r="I534" i="2"/>
  <c r="J534" i="2"/>
  <c r="K534" i="2"/>
  <c r="B535" i="2"/>
  <c r="C535" i="2"/>
  <c r="D535" i="2"/>
  <c r="E535" i="2"/>
  <c r="F535" i="2"/>
  <c r="G535" i="2"/>
  <c r="H535" i="2"/>
  <c r="I535" i="2"/>
  <c r="J535" i="2"/>
  <c r="K535" i="2"/>
  <c r="B536" i="2"/>
  <c r="C536" i="2"/>
  <c r="D536" i="2"/>
  <c r="E536" i="2"/>
  <c r="F536" i="2"/>
  <c r="G536" i="2"/>
  <c r="H536" i="2"/>
  <c r="I536" i="2"/>
  <c r="J536" i="2"/>
  <c r="K536" i="2"/>
  <c r="B537" i="2"/>
  <c r="C537" i="2"/>
  <c r="D537" i="2"/>
  <c r="E537" i="2"/>
  <c r="F537" i="2"/>
  <c r="G537" i="2"/>
  <c r="H537" i="2"/>
  <c r="I537" i="2"/>
  <c r="J537" i="2"/>
  <c r="K537" i="2"/>
  <c r="B538" i="2"/>
  <c r="C538" i="2"/>
  <c r="D538" i="2"/>
  <c r="E538" i="2"/>
  <c r="F538" i="2"/>
  <c r="G538" i="2"/>
  <c r="H538" i="2"/>
  <c r="I538" i="2"/>
  <c r="J538" i="2"/>
  <c r="K538" i="2"/>
  <c r="B539" i="2"/>
  <c r="C539" i="2"/>
  <c r="D539" i="2"/>
  <c r="E539" i="2"/>
  <c r="F539" i="2"/>
  <c r="G539" i="2"/>
  <c r="H539" i="2"/>
  <c r="I539" i="2"/>
  <c r="J539" i="2"/>
  <c r="K539" i="2"/>
  <c r="B540" i="2"/>
  <c r="C540" i="2"/>
  <c r="D540" i="2"/>
  <c r="E540" i="2"/>
  <c r="F540" i="2"/>
  <c r="G540" i="2"/>
  <c r="H540" i="2"/>
  <c r="I540" i="2"/>
  <c r="J540" i="2"/>
  <c r="K540" i="2"/>
  <c r="B541" i="2"/>
  <c r="C541" i="2"/>
  <c r="D541" i="2"/>
  <c r="E541" i="2"/>
  <c r="F541" i="2"/>
  <c r="G541" i="2"/>
  <c r="H541" i="2"/>
  <c r="I541" i="2"/>
  <c r="J541" i="2"/>
  <c r="K541" i="2"/>
  <c r="B542" i="2"/>
  <c r="C542" i="2"/>
  <c r="D542" i="2"/>
  <c r="E542" i="2"/>
  <c r="F542" i="2"/>
  <c r="G542" i="2"/>
  <c r="H542" i="2"/>
  <c r="I542" i="2"/>
  <c r="J542" i="2"/>
  <c r="K542" i="2"/>
  <c r="B543" i="2"/>
  <c r="C543" i="2"/>
  <c r="D543" i="2"/>
  <c r="E543" i="2"/>
  <c r="F543" i="2"/>
  <c r="G543" i="2"/>
  <c r="H543" i="2"/>
  <c r="I543" i="2"/>
  <c r="J543" i="2"/>
  <c r="K543" i="2"/>
  <c r="B544" i="2"/>
  <c r="C544" i="2"/>
  <c r="D544" i="2"/>
  <c r="E544" i="2"/>
  <c r="F544" i="2"/>
  <c r="G544" i="2"/>
  <c r="H544" i="2"/>
  <c r="I544" i="2"/>
  <c r="J544" i="2"/>
  <c r="K544" i="2"/>
  <c r="B545" i="2"/>
  <c r="C545" i="2"/>
  <c r="D545" i="2"/>
  <c r="E545" i="2"/>
  <c r="F545" i="2"/>
  <c r="G545" i="2"/>
  <c r="H545" i="2"/>
  <c r="I545" i="2"/>
  <c r="J545" i="2"/>
  <c r="K545" i="2"/>
  <c r="B546" i="2"/>
  <c r="C546" i="2"/>
  <c r="D546" i="2"/>
  <c r="E546" i="2"/>
  <c r="F546" i="2"/>
  <c r="G546" i="2"/>
  <c r="H546" i="2"/>
  <c r="I546" i="2"/>
  <c r="J546" i="2"/>
  <c r="K546" i="2"/>
  <c r="B547" i="2"/>
  <c r="C547" i="2"/>
  <c r="D547" i="2"/>
  <c r="E547" i="2"/>
  <c r="F547" i="2"/>
  <c r="G547" i="2"/>
  <c r="H547" i="2"/>
  <c r="I547" i="2"/>
  <c r="J547" i="2"/>
  <c r="K547" i="2"/>
  <c r="B548" i="2"/>
  <c r="C548" i="2"/>
  <c r="D548" i="2"/>
  <c r="E548" i="2"/>
  <c r="F548" i="2"/>
  <c r="G548" i="2"/>
  <c r="H548" i="2"/>
  <c r="I548" i="2"/>
  <c r="J548" i="2"/>
  <c r="K548" i="2"/>
  <c r="B549" i="2"/>
  <c r="C549" i="2"/>
  <c r="D549" i="2"/>
  <c r="E549" i="2"/>
  <c r="F549" i="2"/>
  <c r="G549" i="2"/>
  <c r="H549" i="2"/>
  <c r="I549" i="2"/>
  <c r="J549" i="2"/>
  <c r="K549" i="2"/>
  <c r="B550" i="2"/>
  <c r="C550" i="2"/>
  <c r="D550" i="2"/>
  <c r="E550" i="2"/>
  <c r="F550" i="2"/>
  <c r="G550" i="2"/>
  <c r="H550" i="2"/>
  <c r="I550" i="2"/>
  <c r="J550" i="2"/>
  <c r="K550" i="2"/>
  <c r="B551" i="2"/>
  <c r="C551" i="2"/>
  <c r="D551" i="2"/>
  <c r="E551" i="2"/>
  <c r="F551" i="2"/>
  <c r="G551" i="2"/>
  <c r="H551" i="2"/>
  <c r="I551" i="2"/>
  <c r="J551" i="2"/>
  <c r="K551" i="2"/>
  <c r="B552" i="2"/>
  <c r="C552" i="2"/>
  <c r="D552" i="2"/>
  <c r="E552" i="2"/>
  <c r="F552" i="2"/>
  <c r="G552" i="2"/>
  <c r="H552" i="2"/>
  <c r="I552" i="2"/>
  <c r="J552" i="2"/>
  <c r="K552" i="2"/>
  <c r="B553" i="2"/>
  <c r="C553" i="2"/>
  <c r="D553" i="2"/>
  <c r="E553" i="2"/>
  <c r="F553" i="2"/>
  <c r="G553" i="2"/>
  <c r="H553" i="2"/>
  <c r="I553" i="2"/>
  <c r="J553" i="2"/>
  <c r="K553" i="2"/>
  <c r="B554" i="2"/>
  <c r="C554" i="2"/>
  <c r="D554" i="2"/>
  <c r="E554" i="2"/>
  <c r="F554" i="2"/>
  <c r="G554" i="2"/>
  <c r="H554" i="2"/>
  <c r="I554" i="2"/>
  <c r="J554" i="2"/>
  <c r="K554" i="2"/>
  <c r="B555" i="2"/>
  <c r="C555" i="2"/>
  <c r="D555" i="2"/>
  <c r="E555" i="2"/>
  <c r="F555" i="2"/>
  <c r="G555" i="2"/>
  <c r="H555" i="2"/>
  <c r="I555" i="2"/>
  <c r="J555" i="2"/>
  <c r="K555" i="2"/>
  <c r="B556" i="2"/>
  <c r="C556" i="2"/>
  <c r="D556" i="2"/>
  <c r="E556" i="2"/>
  <c r="F556" i="2"/>
  <c r="G556" i="2"/>
  <c r="H556" i="2"/>
  <c r="I556" i="2"/>
  <c r="J556" i="2"/>
  <c r="K556" i="2"/>
  <c r="B557" i="2"/>
  <c r="C557" i="2"/>
  <c r="D557" i="2"/>
  <c r="E557" i="2"/>
  <c r="F557" i="2"/>
  <c r="G557" i="2"/>
  <c r="H557" i="2"/>
  <c r="I557" i="2"/>
  <c r="J557" i="2"/>
  <c r="K557" i="2"/>
  <c r="B558" i="2"/>
  <c r="C558" i="2"/>
  <c r="D558" i="2"/>
  <c r="E558" i="2"/>
  <c r="F558" i="2"/>
  <c r="G558" i="2"/>
  <c r="H558" i="2"/>
  <c r="I558" i="2"/>
  <c r="J558" i="2"/>
  <c r="K558" i="2"/>
  <c r="B559" i="2"/>
  <c r="C559" i="2"/>
  <c r="D559" i="2"/>
  <c r="E559" i="2"/>
  <c r="F559" i="2"/>
  <c r="G559" i="2"/>
  <c r="H559" i="2"/>
  <c r="I559" i="2"/>
  <c r="J559" i="2"/>
  <c r="K559" i="2"/>
  <c r="B560" i="2"/>
  <c r="C560" i="2"/>
  <c r="D560" i="2"/>
  <c r="E560" i="2"/>
  <c r="F560" i="2"/>
  <c r="G560" i="2"/>
  <c r="H560" i="2"/>
  <c r="I560" i="2"/>
  <c r="J560" i="2"/>
  <c r="K560" i="2"/>
  <c r="B561" i="2"/>
  <c r="C561" i="2"/>
  <c r="D561" i="2"/>
  <c r="E561" i="2"/>
  <c r="F561" i="2"/>
  <c r="G561" i="2"/>
  <c r="H561" i="2"/>
  <c r="I561" i="2"/>
  <c r="J561" i="2"/>
  <c r="K561" i="2"/>
  <c r="B562" i="2"/>
  <c r="C562" i="2"/>
  <c r="D562" i="2"/>
  <c r="E562" i="2"/>
  <c r="F562" i="2"/>
  <c r="G562" i="2"/>
  <c r="H562" i="2"/>
  <c r="I562" i="2"/>
  <c r="J562" i="2"/>
  <c r="K562" i="2"/>
  <c r="B563" i="2"/>
  <c r="C563" i="2"/>
  <c r="D563" i="2"/>
  <c r="E563" i="2"/>
  <c r="F563" i="2"/>
  <c r="G563" i="2"/>
  <c r="H563" i="2"/>
  <c r="I563" i="2"/>
  <c r="J563" i="2"/>
  <c r="K563" i="2"/>
  <c r="B564" i="2"/>
  <c r="C564" i="2"/>
  <c r="D564" i="2"/>
  <c r="E564" i="2"/>
  <c r="F564" i="2"/>
  <c r="G564" i="2"/>
  <c r="H564" i="2"/>
  <c r="I564" i="2"/>
  <c r="J564" i="2"/>
  <c r="K564" i="2"/>
  <c r="B565" i="2"/>
  <c r="C565" i="2"/>
  <c r="D565" i="2"/>
  <c r="E565" i="2"/>
  <c r="F565" i="2"/>
  <c r="G565" i="2"/>
  <c r="H565" i="2"/>
  <c r="I565" i="2"/>
  <c r="J565" i="2"/>
  <c r="K565" i="2"/>
  <c r="B566" i="2"/>
  <c r="C566" i="2"/>
  <c r="D566" i="2"/>
  <c r="E566" i="2"/>
  <c r="F566" i="2"/>
  <c r="G566" i="2"/>
  <c r="H566" i="2"/>
  <c r="I566" i="2"/>
  <c r="J566" i="2"/>
  <c r="K566" i="2"/>
  <c r="B567" i="2"/>
  <c r="C567" i="2"/>
  <c r="D567" i="2"/>
  <c r="E567" i="2"/>
  <c r="F567" i="2"/>
  <c r="G567" i="2"/>
  <c r="H567" i="2"/>
  <c r="I567" i="2"/>
  <c r="J567" i="2"/>
  <c r="K567" i="2"/>
  <c r="B568" i="2"/>
  <c r="C568" i="2"/>
  <c r="D568" i="2"/>
  <c r="E568" i="2"/>
  <c r="F568" i="2"/>
  <c r="G568" i="2"/>
  <c r="H568" i="2"/>
  <c r="I568" i="2"/>
  <c r="J568" i="2"/>
  <c r="K568" i="2"/>
  <c r="B569" i="2"/>
  <c r="C569" i="2"/>
  <c r="D569" i="2"/>
  <c r="E569" i="2"/>
  <c r="F569" i="2"/>
  <c r="G569" i="2"/>
  <c r="H569" i="2"/>
  <c r="I569" i="2"/>
  <c r="J569" i="2"/>
  <c r="K569" i="2"/>
  <c r="B570" i="2"/>
  <c r="C570" i="2"/>
  <c r="D570" i="2"/>
  <c r="E570" i="2"/>
  <c r="F570" i="2"/>
  <c r="G570" i="2"/>
  <c r="H570" i="2"/>
  <c r="I570" i="2"/>
  <c r="J570" i="2"/>
  <c r="K570" i="2"/>
  <c r="B571" i="2"/>
  <c r="C571" i="2"/>
  <c r="D571" i="2"/>
  <c r="E571" i="2"/>
  <c r="F571" i="2"/>
  <c r="G571" i="2"/>
  <c r="H571" i="2"/>
  <c r="I571" i="2"/>
  <c r="J571" i="2"/>
  <c r="K571" i="2"/>
  <c r="B572" i="2"/>
  <c r="C572" i="2"/>
  <c r="D572" i="2"/>
  <c r="E572" i="2"/>
  <c r="F572" i="2"/>
  <c r="G572" i="2"/>
  <c r="H572" i="2"/>
  <c r="I572" i="2"/>
  <c r="J572" i="2"/>
  <c r="K572" i="2"/>
  <c r="B573" i="2"/>
  <c r="C573" i="2"/>
  <c r="D573" i="2"/>
  <c r="E573" i="2"/>
  <c r="F573" i="2"/>
  <c r="G573" i="2"/>
  <c r="H573" i="2"/>
  <c r="I573" i="2"/>
  <c r="J573" i="2"/>
  <c r="K573" i="2"/>
  <c r="B574" i="2"/>
  <c r="C574" i="2"/>
  <c r="D574" i="2"/>
  <c r="E574" i="2"/>
  <c r="F574" i="2"/>
  <c r="G574" i="2"/>
  <c r="H574" i="2"/>
  <c r="I574" i="2"/>
  <c r="J574" i="2"/>
  <c r="K574" i="2"/>
  <c r="B575" i="2"/>
  <c r="C575" i="2"/>
  <c r="D575" i="2"/>
  <c r="E575" i="2"/>
  <c r="F575" i="2"/>
  <c r="G575" i="2"/>
  <c r="H575" i="2"/>
  <c r="I575" i="2"/>
  <c r="J575" i="2"/>
  <c r="K575" i="2"/>
  <c r="B576" i="2"/>
  <c r="C576" i="2"/>
  <c r="D576" i="2"/>
  <c r="E576" i="2"/>
  <c r="F576" i="2"/>
  <c r="G576" i="2"/>
  <c r="H576" i="2"/>
  <c r="I576" i="2"/>
  <c r="J576" i="2"/>
  <c r="K576" i="2"/>
  <c r="B577" i="2"/>
  <c r="C577" i="2"/>
  <c r="D577" i="2"/>
  <c r="E577" i="2"/>
  <c r="F577" i="2"/>
  <c r="G577" i="2"/>
  <c r="H577" i="2"/>
  <c r="I577" i="2"/>
  <c r="J577" i="2"/>
  <c r="K577" i="2"/>
  <c r="B578" i="2"/>
  <c r="C578" i="2"/>
  <c r="D578" i="2"/>
  <c r="E578" i="2"/>
  <c r="F578" i="2"/>
  <c r="G578" i="2"/>
  <c r="H578" i="2"/>
  <c r="I578" i="2"/>
  <c r="J578" i="2"/>
  <c r="K578" i="2"/>
  <c r="B579" i="2"/>
  <c r="C579" i="2"/>
  <c r="D579" i="2"/>
  <c r="E579" i="2"/>
  <c r="F579" i="2"/>
  <c r="G579" i="2"/>
  <c r="H579" i="2"/>
  <c r="I579" i="2"/>
  <c r="J579" i="2"/>
  <c r="K579" i="2"/>
  <c r="B580" i="2"/>
  <c r="C580" i="2"/>
  <c r="D580" i="2"/>
  <c r="E580" i="2"/>
  <c r="F580" i="2"/>
  <c r="G580" i="2"/>
  <c r="H580" i="2"/>
  <c r="I580" i="2"/>
  <c r="J580" i="2"/>
  <c r="K580" i="2"/>
  <c r="B581" i="2"/>
  <c r="C581" i="2"/>
  <c r="D581" i="2"/>
  <c r="E581" i="2"/>
  <c r="F581" i="2"/>
  <c r="G581" i="2"/>
  <c r="H581" i="2"/>
  <c r="I581" i="2"/>
  <c r="J581" i="2"/>
  <c r="K581" i="2"/>
  <c r="B582" i="2"/>
  <c r="C582" i="2"/>
  <c r="D582" i="2"/>
  <c r="E582" i="2"/>
  <c r="F582" i="2"/>
  <c r="G582" i="2"/>
  <c r="H582" i="2"/>
  <c r="I582" i="2"/>
  <c r="J582" i="2"/>
  <c r="K582" i="2"/>
  <c r="B583" i="2"/>
  <c r="C583" i="2"/>
  <c r="D583" i="2"/>
  <c r="E583" i="2"/>
  <c r="F583" i="2"/>
  <c r="G583" i="2"/>
  <c r="H583" i="2"/>
  <c r="I583" i="2"/>
  <c r="J583" i="2"/>
  <c r="K583" i="2"/>
  <c r="B584" i="2"/>
  <c r="C584" i="2"/>
  <c r="D584" i="2"/>
  <c r="E584" i="2"/>
  <c r="F584" i="2"/>
  <c r="G584" i="2"/>
  <c r="H584" i="2"/>
  <c r="I584" i="2"/>
  <c r="J584" i="2"/>
  <c r="K584" i="2"/>
  <c r="B585" i="2"/>
  <c r="C585" i="2"/>
  <c r="D585" i="2"/>
  <c r="E585" i="2"/>
  <c r="F585" i="2"/>
  <c r="G585" i="2"/>
  <c r="H585" i="2"/>
  <c r="I585" i="2"/>
  <c r="J585" i="2"/>
  <c r="K585" i="2"/>
  <c r="B586" i="2"/>
  <c r="C586" i="2"/>
  <c r="D586" i="2"/>
  <c r="E586" i="2"/>
  <c r="F586" i="2"/>
  <c r="G586" i="2"/>
  <c r="H586" i="2"/>
  <c r="I586" i="2"/>
  <c r="J586" i="2"/>
  <c r="K586" i="2"/>
  <c r="B587" i="2"/>
  <c r="C587" i="2"/>
  <c r="D587" i="2"/>
  <c r="E587" i="2"/>
  <c r="F587" i="2"/>
  <c r="G587" i="2"/>
  <c r="H587" i="2"/>
  <c r="I587" i="2"/>
  <c r="J587" i="2"/>
  <c r="K587" i="2"/>
  <c r="B588" i="2"/>
  <c r="C588" i="2"/>
  <c r="D588" i="2"/>
  <c r="E588" i="2"/>
  <c r="F588" i="2"/>
  <c r="G588" i="2"/>
  <c r="H588" i="2"/>
  <c r="I588" i="2"/>
  <c r="J588" i="2"/>
  <c r="K588" i="2"/>
  <c r="B589" i="2"/>
  <c r="C589" i="2"/>
  <c r="D589" i="2"/>
  <c r="E589" i="2"/>
  <c r="F589" i="2"/>
  <c r="G589" i="2"/>
  <c r="H589" i="2"/>
  <c r="I589" i="2"/>
  <c r="J589" i="2"/>
  <c r="K589" i="2"/>
  <c r="B590" i="2"/>
  <c r="C590" i="2"/>
  <c r="D590" i="2"/>
  <c r="E590" i="2"/>
  <c r="F590" i="2"/>
  <c r="G590" i="2"/>
  <c r="H590" i="2"/>
  <c r="I590" i="2"/>
  <c r="J590" i="2"/>
  <c r="K590" i="2"/>
  <c r="B591" i="2"/>
  <c r="C591" i="2"/>
  <c r="D591" i="2"/>
  <c r="E591" i="2"/>
  <c r="F591" i="2"/>
  <c r="G591" i="2"/>
  <c r="H591" i="2"/>
  <c r="I591" i="2"/>
  <c r="J591" i="2"/>
  <c r="K591" i="2"/>
  <c r="B592" i="2"/>
  <c r="C592" i="2"/>
  <c r="D592" i="2"/>
  <c r="E592" i="2"/>
  <c r="F592" i="2"/>
  <c r="G592" i="2"/>
  <c r="H592" i="2"/>
  <c r="I592" i="2"/>
  <c r="J592" i="2"/>
  <c r="K592" i="2"/>
  <c r="B593" i="2"/>
  <c r="C593" i="2"/>
  <c r="D593" i="2"/>
  <c r="E593" i="2"/>
  <c r="F593" i="2"/>
  <c r="G593" i="2"/>
  <c r="H593" i="2"/>
  <c r="I593" i="2"/>
  <c r="J593" i="2"/>
  <c r="K593" i="2"/>
  <c r="B594" i="2"/>
  <c r="C594" i="2"/>
  <c r="D594" i="2"/>
  <c r="E594" i="2"/>
  <c r="F594" i="2"/>
  <c r="G594" i="2"/>
  <c r="H594" i="2"/>
  <c r="I594" i="2"/>
  <c r="J594" i="2"/>
  <c r="K594" i="2"/>
  <c r="B595" i="2"/>
  <c r="C595" i="2"/>
  <c r="D595" i="2"/>
  <c r="E595" i="2"/>
  <c r="F595" i="2"/>
  <c r="G595" i="2"/>
  <c r="H595" i="2"/>
  <c r="I595" i="2"/>
  <c r="J595" i="2"/>
  <c r="K595" i="2"/>
  <c r="B596" i="2"/>
  <c r="C596" i="2"/>
  <c r="D596" i="2"/>
  <c r="E596" i="2"/>
  <c r="F596" i="2"/>
  <c r="G596" i="2"/>
  <c r="H596" i="2"/>
  <c r="I596" i="2"/>
  <c r="J596" i="2"/>
  <c r="K596" i="2"/>
  <c r="B597" i="2"/>
  <c r="C597" i="2"/>
  <c r="D597" i="2"/>
  <c r="E597" i="2"/>
  <c r="F597" i="2"/>
  <c r="G597" i="2"/>
  <c r="H597" i="2"/>
  <c r="I597" i="2"/>
  <c r="J597" i="2"/>
  <c r="K597" i="2"/>
  <c r="B598" i="2"/>
  <c r="C598" i="2"/>
  <c r="D598" i="2"/>
  <c r="E598" i="2"/>
  <c r="F598" i="2"/>
  <c r="G598" i="2"/>
  <c r="H598" i="2"/>
  <c r="I598" i="2"/>
  <c r="J598" i="2"/>
  <c r="K598" i="2"/>
  <c r="B599" i="2"/>
  <c r="C599" i="2"/>
  <c r="D599" i="2"/>
  <c r="E599" i="2"/>
  <c r="F599" i="2"/>
  <c r="G599" i="2"/>
  <c r="H599" i="2"/>
  <c r="I599" i="2"/>
  <c r="J599" i="2"/>
  <c r="K599" i="2"/>
  <c r="B600" i="2"/>
  <c r="C600" i="2"/>
  <c r="D600" i="2"/>
  <c r="E600" i="2"/>
  <c r="F600" i="2"/>
  <c r="G600" i="2"/>
  <c r="H600" i="2"/>
  <c r="I600" i="2"/>
  <c r="J600" i="2"/>
  <c r="K600" i="2"/>
  <c r="B601" i="2"/>
  <c r="C601" i="2"/>
  <c r="D601" i="2"/>
  <c r="E601" i="2"/>
  <c r="F601" i="2"/>
  <c r="G601" i="2"/>
  <c r="H601" i="2"/>
  <c r="I601" i="2"/>
  <c r="J601" i="2"/>
  <c r="K601" i="2"/>
  <c r="B602" i="2"/>
  <c r="C602" i="2"/>
  <c r="D602" i="2"/>
  <c r="E602" i="2"/>
  <c r="F602" i="2"/>
  <c r="G602" i="2"/>
  <c r="H602" i="2"/>
  <c r="I602" i="2"/>
  <c r="J602" i="2"/>
  <c r="K602" i="2"/>
  <c r="B603" i="2"/>
  <c r="C603" i="2"/>
  <c r="D603" i="2"/>
  <c r="E603" i="2"/>
  <c r="F603" i="2"/>
  <c r="G603" i="2"/>
  <c r="H603" i="2"/>
  <c r="I603" i="2"/>
  <c r="J603" i="2"/>
  <c r="K603" i="2"/>
  <c r="B604" i="2"/>
  <c r="C604" i="2"/>
  <c r="D604" i="2"/>
  <c r="E604" i="2"/>
  <c r="F604" i="2"/>
  <c r="G604" i="2"/>
  <c r="H604" i="2"/>
  <c r="I604" i="2"/>
  <c r="J604" i="2"/>
  <c r="K604" i="2"/>
  <c r="B605" i="2"/>
  <c r="C605" i="2"/>
  <c r="D605" i="2"/>
  <c r="E605" i="2"/>
  <c r="F605" i="2"/>
  <c r="G605" i="2"/>
  <c r="H605" i="2"/>
  <c r="I605" i="2"/>
  <c r="J605" i="2"/>
  <c r="K605" i="2"/>
  <c r="B606" i="2"/>
  <c r="C606" i="2"/>
  <c r="D606" i="2"/>
  <c r="E606" i="2"/>
  <c r="F606" i="2"/>
  <c r="G606" i="2"/>
  <c r="H606" i="2"/>
  <c r="I606" i="2"/>
  <c r="J606" i="2"/>
  <c r="K606" i="2"/>
  <c r="B607" i="2"/>
  <c r="C607" i="2"/>
  <c r="D607" i="2"/>
  <c r="E607" i="2"/>
  <c r="F607" i="2"/>
  <c r="G607" i="2"/>
  <c r="H607" i="2"/>
  <c r="I607" i="2"/>
  <c r="J607" i="2"/>
  <c r="K607" i="2"/>
  <c r="B608" i="2"/>
  <c r="C608" i="2"/>
  <c r="D608" i="2"/>
  <c r="E608" i="2"/>
  <c r="F608" i="2"/>
  <c r="G608" i="2"/>
  <c r="H608" i="2"/>
  <c r="I608" i="2"/>
  <c r="J608" i="2"/>
  <c r="K608" i="2"/>
  <c r="B609" i="2"/>
  <c r="C609" i="2"/>
  <c r="D609" i="2"/>
  <c r="E609" i="2"/>
  <c r="F609" i="2"/>
  <c r="G609" i="2"/>
  <c r="H609" i="2"/>
  <c r="I609" i="2"/>
  <c r="J609" i="2"/>
  <c r="K609" i="2"/>
  <c r="B610" i="2"/>
  <c r="C610" i="2"/>
  <c r="D610" i="2"/>
  <c r="E610" i="2"/>
  <c r="F610" i="2"/>
  <c r="G610" i="2"/>
  <c r="H610" i="2"/>
  <c r="I610" i="2"/>
  <c r="J610" i="2"/>
  <c r="K610" i="2"/>
  <c r="B611" i="2"/>
  <c r="C611" i="2"/>
  <c r="D611" i="2"/>
  <c r="E611" i="2"/>
  <c r="F611" i="2"/>
  <c r="G611" i="2"/>
  <c r="H611" i="2"/>
  <c r="I611" i="2"/>
  <c r="J611" i="2"/>
  <c r="K611" i="2"/>
  <c r="B612" i="2"/>
  <c r="C612" i="2"/>
  <c r="D612" i="2"/>
  <c r="E612" i="2"/>
  <c r="F612" i="2"/>
  <c r="G612" i="2"/>
  <c r="H612" i="2"/>
  <c r="I612" i="2"/>
  <c r="J612" i="2"/>
  <c r="K612" i="2"/>
  <c r="B613" i="2"/>
  <c r="C613" i="2"/>
  <c r="D613" i="2"/>
  <c r="E613" i="2"/>
  <c r="F613" i="2"/>
  <c r="G613" i="2"/>
  <c r="H613" i="2"/>
  <c r="I613" i="2"/>
  <c r="J613" i="2"/>
  <c r="K613" i="2"/>
  <c r="B614" i="2"/>
  <c r="C614" i="2"/>
  <c r="D614" i="2"/>
  <c r="E614" i="2"/>
  <c r="F614" i="2"/>
  <c r="G614" i="2"/>
  <c r="H614" i="2"/>
  <c r="I614" i="2"/>
  <c r="J614" i="2"/>
  <c r="K614" i="2"/>
  <c r="B615" i="2"/>
  <c r="C615" i="2"/>
  <c r="D615" i="2"/>
  <c r="E615" i="2"/>
  <c r="F615" i="2"/>
  <c r="G615" i="2"/>
  <c r="H615" i="2"/>
  <c r="I615" i="2"/>
  <c r="J615" i="2"/>
  <c r="K615" i="2"/>
  <c r="B616" i="2"/>
  <c r="C616" i="2"/>
  <c r="D616" i="2"/>
  <c r="E616" i="2"/>
  <c r="F616" i="2"/>
  <c r="G616" i="2"/>
  <c r="H616" i="2"/>
  <c r="I616" i="2"/>
  <c r="J616" i="2"/>
  <c r="K616" i="2"/>
  <c r="B617" i="2"/>
  <c r="C617" i="2"/>
  <c r="D617" i="2"/>
  <c r="E617" i="2"/>
  <c r="F617" i="2"/>
  <c r="G617" i="2"/>
  <c r="H617" i="2"/>
  <c r="I617" i="2"/>
  <c r="J617" i="2"/>
  <c r="K617" i="2"/>
  <c r="B618" i="2"/>
  <c r="C618" i="2"/>
  <c r="D618" i="2"/>
  <c r="E618" i="2"/>
  <c r="F618" i="2"/>
  <c r="G618" i="2"/>
  <c r="H618" i="2"/>
  <c r="I618" i="2"/>
  <c r="J618" i="2"/>
  <c r="K618" i="2"/>
  <c r="B619" i="2"/>
  <c r="C619" i="2"/>
  <c r="D619" i="2"/>
  <c r="E619" i="2"/>
  <c r="F619" i="2"/>
  <c r="G619" i="2"/>
  <c r="H619" i="2"/>
  <c r="I619" i="2"/>
  <c r="J619" i="2"/>
  <c r="K619" i="2"/>
  <c r="B620" i="2"/>
  <c r="C620" i="2"/>
  <c r="D620" i="2"/>
  <c r="E620" i="2"/>
  <c r="F620" i="2"/>
  <c r="G620" i="2"/>
  <c r="H620" i="2"/>
  <c r="I620" i="2"/>
  <c r="J620" i="2"/>
  <c r="K620" i="2"/>
  <c r="B621" i="2"/>
  <c r="C621" i="2"/>
  <c r="D621" i="2"/>
  <c r="E621" i="2"/>
  <c r="F621" i="2"/>
  <c r="G621" i="2"/>
  <c r="H621" i="2"/>
  <c r="I621" i="2"/>
  <c r="J621" i="2"/>
  <c r="K621" i="2"/>
  <c r="B622" i="2"/>
  <c r="C622" i="2"/>
  <c r="D622" i="2"/>
  <c r="E622" i="2"/>
  <c r="F622" i="2"/>
  <c r="G622" i="2"/>
  <c r="H622" i="2"/>
  <c r="I622" i="2"/>
  <c r="J622" i="2"/>
  <c r="K622" i="2"/>
  <c r="B623" i="2"/>
  <c r="C623" i="2"/>
  <c r="D623" i="2"/>
  <c r="E623" i="2"/>
  <c r="F623" i="2"/>
  <c r="G623" i="2"/>
  <c r="H623" i="2"/>
  <c r="I623" i="2"/>
  <c r="J623" i="2"/>
  <c r="K623" i="2"/>
  <c r="B624" i="2"/>
  <c r="C624" i="2"/>
  <c r="D624" i="2"/>
  <c r="E624" i="2"/>
  <c r="F624" i="2"/>
  <c r="G624" i="2"/>
  <c r="H624" i="2"/>
  <c r="I624" i="2"/>
  <c r="J624" i="2"/>
  <c r="K624" i="2"/>
  <c r="B625" i="2"/>
  <c r="C625" i="2"/>
  <c r="D625" i="2"/>
  <c r="E625" i="2"/>
  <c r="F625" i="2"/>
  <c r="G625" i="2"/>
  <c r="H625" i="2"/>
  <c r="I625" i="2"/>
  <c r="J625" i="2"/>
  <c r="K625" i="2"/>
  <c r="B626" i="2"/>
  <c r="C626" i="2"/>
  <c r="D626" i="2"/>
  <c r="E626" i="2"/>
  <c r="F626" i="2"/>
  <c r="G626" i="2"/>
  <c r="H626" i="2"/>
  <c r="I626" i="2"/>
  <c r="J626" i="2"/>
  <c r="K626" i="2"/>
  <c r="B627" i="2"/>
  <c r="C627" i="2"/>
  <c r="D627" i="2"/>
  <c r="E627" i="2"/>
  <c r="F627" i="2"/>
  <c r="G627" i="2"/>
  <c r="H627" i="2"/>
  <c r="I627" i="2"/>
  <c r="J627" i="2"/>
  <c r="K627" i="2"/>
  <c r="B628" i="2"/>
  <c r="C628" i="2"/>
  <c r="D628" i="2"/>
  <c r="E628" i="2"/>
  <c r="F628" i="2"/>
  <c r="G628" i="2"/>
  <c r="H628" i="2"/>
  <c r="I628" i="2"/>
  <c r="J628" i="2"/>
  <c r="K628" i="2"/>
  <c r="B629" i="2"/>
  <c r="C629" i="2"/>
  <c r="D629" i="2"/>
  <c r="E629" i="2"/>
  <c r="F629" i="2"/>
  <c r="G629" i="2"/>
  <c r="H629" i="2"/>
  <c r="I629" i="2"/>
  <c r="J629" i="2"/>
  <c r="K629" i="2"/>
  <c r="B630" i="2"/>
  <c r="C630" i="2"/>
  <c r="D630" i="2"/>
  <c r="E630" i="2"/>
  <c r="F630" i="2"/>
  <c r="G630" i="2"/>
  <c r="H630" i="2"/>
  <c r="I630" i="2"/>
  <c r="J630" i="2"/>
  <c r="K630" i="2"/>
  <c r="B631" i="2"/>
  <c r="C631" i="2"/>
  <c r="D631" i="2"/>
  <c r="E631" i="2"/>
  <c r="F631" i="2"/>
  <c r="G631" i="2"/>
  <c r="H631" i="2"/>
  <c r="I631" i="2"/>
  <c r="J631" i="2"/>
  <c r="K631" i="2"/>
  <c r="B632" i="2"/>
  <c r="C632" i="2"/>
  <c r="D632" i="2"/>
  <c r="E632" i="2"/>
  <c r="F632" i="2"/>
  <c r="G632" i="2"/>
  <c r="H632" i="2"/>
  <c r="I632" i="2"/>
  <c r="J632" i="2"/>
  <c r="K632" i="2"/>
  <c r="B633" i="2"/>
  <c r="C633" i="2"/>
  <c r="D633" i="2"/>
  <c r="E633" i="2"/>
  <c r="F633" i="2"/>
  <c r="G633" i="2"/>
  <c r="H633" i="2"/>
  <c r="I633" i="2"/>
  <c r="J633" i="2"/>
  <c r="K633" i="2"/>
  <c r="B634" i="2"/>
  <c r="C634" i="2"/>
  <c r="D634" i="2"/>
  <c r="E634" i="2"/>
  <c r="F634" i="2"/>
  <c r="G634" i="2"/>
  <c r="H634" i="2"/>
  <c r="I634" i="2"/>
  <c r="J634" i="2"/>
  <c r="K634" i="2"/>
  <c r="B635" i="2"/>
  <c r="C635" i="2"/>
  <c r="D635" i="2"/>
  <c r="E635" i="2"/>
  <c r="F635" i="2"/>
  <c r="G635" i="2"/>
  <c r="H635" i="2"/>
  <c r="I635" i="2"/>
  <c r="J635" i="2"/>
  <c r="K635" i="2"/>
  <c r="B636" i="2"/>
  <c r="C636" i="2"/>
  <c r="D636" i="2"/>
  <c r="E636" i="2"/>
  <c r="F636" i="2"/>
  <c r="G636" i="2"/>
  <c r="H636" i="2"/>
  <c r="I636" i="2"/>
  <c r="J636" i="2"/>
  <c r="K636" i="2"/>
  <c r="B637" i="2"/>
  <c r="C637" i="2"/>
  <c r="D637" i="2"/>
  <c r="E637" i="2"/>
  <c r="F637" i="2"/>
  <c r="G637" i="2"/>
  <c r="H637" i="2"/>
  <c r="I637" i="2"/>
  <c r="J637" i="2"/>
  <c r="K637" i="2"/>
  <c r="B638" i="2"/>
  <c r="C638" i="2"/>
  <c r="D638" i="2"/>
  <c r="E638" i="2"/>
  <c r="F638" i="2"/>
  <c r="G638" i="2"/>
  <c r="H638" i="2"/>
  <c r="I638" i="2"/>
  <c r="J638" i="2"/>
  <c r="K638" i="2"/>
  <c r="B639" i="2"/>
  <c r="C639" i="2"/>
  <c r="D639" i="2"/>
  <c r="E639" i="2"/>
  <c r="F639" i="2"/>
  <c r="G639" i="2"/>
  <c r="H639" i="2"/>
  <c r="I639" i="2"/>
  <c r="J639" i="2"/>
  <c r="K639" i="2"/>
  <c r="B640" i="2"/>
  <c r="C640" i="2"/>
  <c r="D640" i="2"/>
  <c r="E640" i="2"/>
  <c r="F640" i="2"/>
  <c r="G640" i="2"/>
  <c r="H640" i="2"/>
  <c r="I640" i="2"/>
  <c r="J640" i="2"/>
  <c r="K640" i="2"/>
  <c r="B641" i="2"/>
  <c r="C641" i="2"/>
  <c r="D641" i="2"/>
  <c r="E641" i="2"/>
  <c r="F641" i="2"/>
  <c r="G641" i="2"/>
  <c r="H641" i="2"/>
  <c r="I641" i="2"/>
  <c r="J641" i="2"/>
  <c r="K641" i="2"/>
  <c r="B642" i="2"/>
  <c r="C642" i="2"/>
  <c r="D642" i="2"/>
  <c r="E642" i="2"/>
  <c r="F642" i="2"/>
  <c r="G642" i="2"/>
  <c r="H642" i="2"/>
  <c r="I642" i="2"/>
  <c r="J642" i="2"/>
  <c r="K642" i="2"/>
  <c r="B643" i="2"/>
  <c r="C643" i="2"/>
  <c r="D643" i="2"/>
  <c r="E643" i="2"/>
  <c r="F643" i="2"/>
  <c r="G643" i="2"/>
  <c r="H643" i="2"/>
  <c r="I643" i="2"/>
  <c r="J643" i="2"/>
  <c r="K643" i="2"/>
  <c r="B644" i="2"/>
  <c r="C644" i="2"/>
  <c r="D644" i="2"/>
  <c r="E644" i="2"/>
  <c r="F644" i="2"/>
  <c r="G644" i="2"/>
  <c r="H644" i="2"/>
  <c r="I644" i="2"/>
  <c r="J644" i="2"/>
  <c r="K644" i="2"/>
  <c r="B645" i="2"/>
  <c r="C645" i="2"/>
  <c r="D645" i="2"/>
  <c r="E645" i="2"/>
  <c r="F645" i="2"/>
  <c r="G645" i="2"/>
  <c r="H645" i="2"/>
  <c r="I645" i="2"/>
  <c r="J645" i="2"/>
  <c r="K645" i="2"/>
  <c r="B646" i="2"/>
  <c r="C646" i="2"/>
  <c r="D646" i="2"/>
  <c r="E646" i="2"/>
  <c r="F646" i="2"/>
  <c r="G646" i="2"/>
  <c r="H646" i="2"/>
  <c r="I646" i="2"/>
  <c r="J646" i="2"/>
  <c r="K646" i="2"/>
  <c r="B647" i="2"/>
  <c r="C647" i="2"/>
  <c r="D647" i="2"/>
  <c r="E647" i="2"/>
  <c r="F647" i="2"/>
  <c r="G647" i="2"/>
  <c r="H647" i="2"/>
  <c r="I647" i="2"/>
  <c r="J647" i="2"/>
  <c r="K647" i="2"/>
  <c r="B648" i="2"/>
  <c r="C648" i="2"/>
  <c r="D648" i="2"/>
  <c r="E648" i="2"/>
  <c r="F648" i="2"/>
  <c r="G648" i="2"/>
  <c r="H648" i="2"/>
  <c r="I648" i="2"/>
  <c r="J648" i="2"/>
  <c r="K648" i="2"/>
  <c r="B649" i="2"/>
  <c r="C649" i="2"/>
  <c r="D649" i="2"/>
  <c r="E649" i="2"/>
  <c r="F649" i="2"/>
  <c r="G649" i="2"/>
  <c r="H649" i="2"/>
  <c r="I649" i="2"/>
  <c r="J649" i="2"/>
  <c r="K649" i="2"/>
  <c r="B650" i="2"/>
  <c r="C650" i="2"/>
  <c r="D650" i="2"/>
  <c r="E650" i="2"/>
  <c r="F650" i="2"/>
  <c r="G650" i="2"/>
  <c r="H650" i="2"/>
  <c r="I650" i="2"/>
  <c r="J650" i="2"/>
  <c r="K650" i="2"/>
  <c r="B651" i="2"/>
  <c r="C651" i="2"/>
  <c r="D651" i="2"/>
  <c r="E651" i="2"/>
  <c r="F651" i="2"/>
  <c r="G651" i="2"/>
  <c r="H651" i="2"/>
  <c r="I651" i="2"/>
  <c r="J651" i="2"/>
  <c r="K651" i="2"/>
  <c r="B652" i="2"/>
  <c r="C652" i="2"/>
  <c r="D652" i="2"/>
  <c r="E652" i="2"/>
  <c r="F652" i="2"/>
  <c r="G652" i="2"/>
  <c r="H652" i="2"/>
  <c r="I652" i="2"/>
  <c r="J652" i="2"/>
  <c r="K652" i="2"/>
  <c r="B653" i="2"/>
  <c r="C653" i="2"/>
  <c r="D653" i="2"/>
  <c r="E653" i="2"/>
  <c r="F653" i="2"/>
  <c r="G653" i="2"/>
  <c r="H653" i="2"/>
  <c r="I653" i="2"/>
  <c r="J653" i="2"/>
  <c r="K653" i="2"/>
  <c r="B654" i="2"/>
  <c r="C654" i="2"/>
  <c r="D654" i="2"/>
  <c r="E654" i="2"/>
  <c r="F654" i="2"/>
  <c r="G654" i="2"/>
  <c r="H654" i="2"/>
  <c r="I654" i="2"/>
  <c r="J654" i="2"/>
  <c r="K654" i="2"/>
  <c r="B655" i="2"/>
  <c r="C655" i="2"/>
  <c r="D655" i="2"/>
  <c r="E655" i="2"/>
  <c r="F655" i="2"/>
  <c r="G655" i="2"/>
  <c r="H655" i="2"/>
  <c r="I655" i="2"/>
  <c r="J655" i="2"/>
  <c r="K655" i="2"/>
  <c r="B656" i="2"/>
  <c r="C656" i="2"/>
  <c r="D656" i="2"/>
  <c r="E656" i="2"/>
  <c r="F656" i="2"/>
  <c r="G656" i="2"/>
  <c r="H656" i="2"/>
  <c r="I656" i="2"/>
  <c r="J656" i="2"/>
  <c r="K656" i="2"/>
  <c r="B657" i="2"/>
  <c r="C657" i="2"/>
  <c r="D657" i="2"/>
  <c r="E657" i="2"/>
  <c r="F657" i="2"/>
  <c r="G657" i="2"/>
  <c r="H657" i="2"/>
  <c r="I657" i="2"/>
  <c r="J657" i="2"/>
  <c r="K657" i="2"/>
  <c r="B658" i="2"/>
  <c r="C658" i="2"/>
  <c r="D658" i="2"/>
  <c r="E658" i="2"/>
  <c r="F658" i="2"/>
  <c r="G658" i="2"/>
  <c r="H658" i="2"/>
  <c r="I658" i="2"/>
  <c r="J658" i="2"/>
  <c r="K658" i="2"/>
  <c r="B659" i="2"/>
  <c r="C659" i="2"/>
  <c r="D659" i="2"/>
  <c r="E659" i="2"/>
  <c r="F659" i="2"/>
  <c r="G659" i="2"/>
  <c r="H659" i="2"/>
  <c r="I659" i="2"/>
  <c r="J659" i="2"/>
  <c r="K659" i="2"/>
  <c r="B660" i="2"/>
  <c r="C660" i="2"/>
  <c r="D660" i="2"/>
  <c r="E660" i="2"/>
  <c r="F660" i="2"/>
  <c r="G660" i="2"/>
  <c r="H660" i="2"/>
  <c r="I660" i="2"/>
  <c r="J660" i="2"/>
  <c r="K660" i="2"/>
  <c r="B661" i="2"/>
  <c r="C661" i="2"/>
  <c r="D661" i="2"/>
  <c r="E661" i="2"/>
  <c r="F661" i="2"/>
  <c r="G661" i="2"/>
  <c r="H661" i="2"/>
  <c r="I661" i="2"/>
  <c r="J661" i="2"/>
  <c r="K661" i="2"/>
  <c r="B662" i="2"/>
  <c r="C662" i="2"/>
  <c r="D662" i="2"/>
  <c r="E662" i="2"/>
  <c r="F662" i="2"/>
  <c r="G662" i="2"/>
  <c r="H662" i="2"/>
  <c r="I662" i="2"/>
  <c r="J662" i="2"/>
  <c r="K662" i="2"/>
  <c r="B663" i="2"/>
  <c r="C663" i="2"/>
  <c r="D663" i="2"/>
  <c r="E663" i="2"/>
  <c r="F663" i="2"/>
  <c r="G663" i="2"/>
  <c r="H663" i="2"/>
  <c r="I663" i="2"/>
  <c r="J663" i="2"/>
  <c r="K663" i="2"/>
  <c r="B664" i="2"/>
  <c r="C664" i="2"/>
  <c r="D664" i="2"/>
  <c r="E664" i="2"/>
  <c r="F664" i="2"/>
  <c r="G664" i="2"/>
  <c r="H664" i="2"/>
  <c r="I664" i="2"/>
  <c r="J664" i="2"/>
  <c r="K664" i="2"/>
  <c r="B665" i="2"/>
  <c r="C665" i="2"/>
  <c r="D665" i="2"/>
  <c r="E665" i="2"/>
  <c r="F665" i="2"/>
  <c r="G665" i="2"/>
  <c r="H665" i="2"/>
  <c r="I665" i="2"/>
  <c r="J665" i="2"/>
  <c r="K665" i="2"/>
  <c r="B666" i="2"/>
  <c r="C666" i="2"/>
  <c r="D666" i="2"/>
  <c r="E666" i="2"/>
  <c r="F666" i="2"/>
  <c r="G666" i="2"/>
  <c r="H666" i="2"/>
  <c r="I666" i="2"/>
  <c r="J666" i="2"/>
  <c r="K666" i="2"/>
  <c r="B667" i="2"/>
  <c r="C667" i="2"/>
  <c r="D667" i="2"/>
  <c r="E667" i="2"/>
  <c r="F667" i="2"/>
  <c r="G667" i="2"/>
  <c r="H667" i="2"/>
  <c r="I667" i="2"/>
  <c r="J667" i="2"/>
  <c r="K667" i="2"/>
  <c r="B668" i="2"/>
  <c r="C668" i="2"/>
  <c r="D668" i="2"/>
  <c r="E668" i="2"/>
  <c r="F668" i="2"/>
  <c r="G668" i="2"/>
  <c r="H668" i="2"/>
  <c r="I668" i="2"/>
  <c r="J668" i="2"/>
  <c r="K668" i="2"/>
  <c r="B669" i="2"/>
  <c r="C669" i="2"/>
  <c r="D669" i="2"/>
  <c r="E669" i="2"/>
  <c r="F669" i="2"/>
  <c r="G669" i="2"/>
  <c r="H669" i="2"/>
  <c r="I669" i="2"/>
  <c r="J669" i="2"/>
  <c r="K669" i="2"/>
  <c r="B670" i="2"/>
  <c r="C670" i="2"/>
  <c r="D670" i="2"/>
  <c r="E670" i="2"/>
  <c r="F670" i="2"/>
  <c r="G670" i="2"/>
  <c r="H670" i="2"/>
  <c r="I670" i="2"/>
  <c r="J670" i="2"/>
  <c r="K670" i="2"/>
  <c r="B671" i="2"/>
  <c r="C671" i="2"/>
  <c r="D671" i="2"/>
  <c r="E671" i="2"/>
  <c r="F671" i="2"/>
  <c r="G671" i="2"/>
  <c r="H671" i="2"/>
  <c r="I671" i="2"/>
  <c r="J671" i="2"/>
  <c r="K671" i="2"/>
  <c r="B672" i="2"/>
  <c r="C672" i="2"/>
  <c r="D672" i="2"/>
  <c r="E672" i="2"/>
  <c r="F672" i="2"/>
  <c r="G672" i="2"/>
  <c r="H672" i="2"/>
  <c r="I672" i="2"/>
  <c r="J672" i="2"/>
  <c r="K672" i="2"/>
  <c r="B673" i="2"/>
  <c r="C673" i="2"/>
  <c r="D673" i="2"/>
  <c r="E673" i="2"/>
  <c r="F673" i="2"/>
  <c r="G673" i="2"/>
  <c r="H673" i="2"/>
  <c r="I673" i="2"/>
  <c r="J673" i="2"/>
  <c r="K673" i="2"/>
  <c r="B674" i="2"/>
  <c r="C674" i="2"/>
  <c r="D674" i="2"/>
  <c r="E674" i="2"/>
  <c r="F674" i="2"/>
  <c r="G674" i="2"/>
  <c r="H674" i="2"/>
  <c r="I674" i="2"/>
  <c r="J674" i="2"/>
  <c r="K674" i="2"/>
  <c r="B675" i="2"/>
  <c r="C675" i="2"/>
  <c r="D675" i="2"/>
  <c r="E675" i="2"/>
  <c r="F675" i="2"/>
  <c r="G675" i="2"/>
  <c r="H675" i="2"/>
  <c r="I675" i="2"/>
  <c r="J675" i="2"/>
  <c r="K675" i="2"/>
  <c r="B676" i="2"/>
  <c r="C676" i="2"/>
  <c r="D676" i="2"/>
  <c r="E676" i="2"/>
  <c r="F676" i="2"/>
  <c r="G676" i="2"/>
  <c r="H676" i="2"/>
  <c r="I676" i="2"/>
  <c r="J676" i="2"/>
  <c r="K676" i="2"/>
  <c r="B677" i="2"/>
  <c r="C677" i="2"/>
  <c r="D677" i="2"/>
  <c r="E677" i="2"/>
  <c r="F677" i="2"/>
  <c r="G677" i="2"/>
  <c r="H677" i="2"/>
  <c r="I677" i="2"/>
  <c r="J677" i="2"/>
  <c r="K677" i="2"/>
  <c r="B678" i="2"/>
  <c r="C678" i="2"/>
  <c r="D678" i="2"/>
  <c r="E678" i="2"/>
  <c r="F678" i="2"/>
  <c r="G678" i="2"/>
  <c r="H678" i="2"/>
  <c r="I678" i="2"/>
  <c r="J678" i="2"/>
  <c r="K678" i="2"/>
  <c r="B679" i="2"/>
  <c r="C679" i="2"/>
  <c r="D679" i="2"/>
  <c r="E679" i="2"/>
  <c r="F679" i="2"/>
  <c r="G679" i="2"/>
  <c r="H679" i="2"/>
  <c r="I679" i="2"/>
  <c r="J679" i="2"/>
  <c r="K679" i="2"/>
  <c r="B680" i="2"/>
  <c r="C680" i="2"/>
  <c r="D680" i="2"/>
  <c r="E680" i="2"/>
  <c r="F680" i="2"/>
  <c r="G680" i="2"/>
  <c r="H680" i="2"/>
  <c r="I680" i="2"/>
  <c r="J680" i="2"/>
  <c r="K680" i="2"/>
  <c r="B681" i="2"/>
  <c r="C681" i="2"/>
  <c r="D681" i="2"/>
  <c r="E681" i="2"/>
  <c r="F681" i="2"/>
  <c r="G681" i="2"/>
  <c r="H681" i="2"/>
  <c r="I681" i="2"/>
  <c r="J681" i="2"/>
  <c r="K681" i="2"/>
  <c r="B682" i="2"/>
  <c r="C682" i="2"/>
  <c r="D682" i="2"/>
  <c r="E682" i="2"/>
  <c r="F682" i="2"/>
  <c r="G682" i="2"/>
  <c r="H682" i="2"/>
  <c r="I682" i="2"/>
  <c r="J682" i="2"/>
  <c r="K682" i="2"/>
  <c r="B683" i="2"/>
  <c r="C683" i="2"/>
  <c r="D683" i="2"/>
  <c r="E683" i="2"/>
  <c r="F683" i="2"/>
  <c r="G683" i="2"/>
  <c r="H683" i="2"/>
  <c r="I683" i="2"/>
  <c r="J683" i="2"/>
  <c r="K683" i="2"/>
  <c r="B684" i="2"/>
  <c r="C684" i="2"/>
  <c r="D684" i="2"/>
  <c r="E684" i="2"/>
  <c r="F684" i="2"/>
  <c r="G684" i="2"/>
  <c r="H684" i="2"/>
  <c r="I684" i="2"/>
  <c r="J684" i="2"/>
  <c r="K684" i="2"/>
  <c r="B685" i="2"/>
  <c r="C685" i="2"/>
  <c r="D685" i="2"/>
  <c r="E685" i="2"/>
  <c r="F685" i="2"/>
  <c r="G685" i="2"/>
  <c r="H685" i="2"/>
  <c r="I685" i="2"/>
  <c r="J685" i="2"/>
  <c r="K685" i="2"/>
  <c r="B686" i="2"/>
  <c r="C686" i="2"/>
  <c r="D686" i="2"/>
  <c r="E686" i="2"/>
  <c r="F686" i="2"/>
  <c r="G686" i="2"/>
  <c r="H686" i="2"/>
  <c r="I686" i="2"/>
  <c r="J686" i="2"/>
  <c r="K686" i="2"/>
  <c r="B687" i="2"/>
  <c r="C687" i="2"/>
  <c r="D687" i="2"/>
  <c r="E687" i="2"/>
  <c r="F687" i="2"/>
  <c r="G687" i="2"/>
  <c r="H687" i="2"/>
  <c r="I687" i="2"/>
  <c r="J687" i="2"/>
  <c r="K687" i="2"/>
  <c r="B688" i="2"/>
  <c r="C688" i="2"/>
  <c r="D688" i="2"/>
  <c r="E688" i="2"/>
  <c r="F688" i="2"/>
  <c r="G688" i="2"/>
  <c r="H688" i="2"/>
  <c r="I688" i="2"/>
  <c r="J688" i="2"/>
  <c r="K688" i="2"/>
  <c r="B689" i="2"/>
  <c r="C689" i="2"/>
  <c r="D689" i="2"/>
  <c r="E689" i="2"/>
  <c r="F689" i="2"/>
  <c r="G689" i="2"/>
  <c r="H689" i="2"/>
  <c r="I689" i="2"/>
  <c r="J689" i="2"/>
  <c r="K689" i="2"/>
  <c r="B690" i="2"/>
  <c r="C690" i="2"/>
  <c r="D690" i="2"/>
  <c r="E690" i="2"/>
  <c r="F690" i="2"/>
  <c r="G690" i="2"/>
  <c r="H690" i="2"/>
  <c r="I690" i="2"/>
  <c r="J690" i="2"/>
  <c r="K690" i="2"/>
  <c r="B691" i="2"/>
  <c r="C691" i="2"/>
  <c r="D691" i="2"/>
  <c r="E691" i="2"/>
  <c r="F691" i="2"/>
  <c r="G691" i="2"/>
  <c r="H691" i="2"/>
  <c r="I691" i="2"/>
  <c r="J691" i="2"/>
  <c r="K691" i="2"/>
  <c r="B692" i="2"/>
  <c r="C692" i="2"/>
  <c r="D692" i="2"/>
  <c r="E692" i="2"/>
  <c r="F692" i="2"/>
  <c r="G692" i="2"/>
  <c r="H692" i="2"/>
  <c r="I692" i="2"/>
  <c r="J692" i="2"/>
  <c r="K692" i="2"/>
  <c r="B693" i="2"/>
  <c r="C693" i="2"/>
  <c r="D693" i="2"/>
  <c r="E693" i="2"/>
  <c r="F693" i="2"/>
  <c r="G693" i="2"/>
  <c r="H693" i="2"/>
  <c r="I693" i="2"/>
  <c r="J693" i="2"/>
  <c r="K693" i="2"/>
  <c r="B694" i="2"/>
  <c r="C694" i="2"/>
  <c r="D694" i="2"/>
  <c r="E694" i="2"/>
  <c r="F694" i="2"/>
  <c r="G694" i="2"/>
  <c r="H694" i="2"/>
  <c r="I694" i="2"/>
  <c r="J694" i="2"/>
  <c r="K694" i="2"/>
  <c r="B695" i="2"/>
  <c r="C695" i="2"/>
  <c r="D695" i="2"/>
  <c r="E695" i="2"/>
  <c r="F695" i="2"/>
  <c r="G695" i="2"/>
  <c r="H695" i="2"/>
  <c r="I695" i="2"/>
  <c r="J695" i="2"/>
  <c r="K695" i="2"/>
  <c r="B696" i="2"/>
  <c r="C696" i="2"/>
  <c r="D696" i="2"/>
  <c r="E696" i="2"/>
  <c r="F696" i="2"/>
  <c r="G696" i="2"/>
  <c r="H696" i="2"/>
  <c r="I696" i="2"/>
  <c r="J696" i="2"/>
  <c r="K696" i="2"/>
  <c r="B697" i="2"/>
  <c r="C697" i="2"/>
  <c r="D697" i="2"/>
  <c r="E697" i="2"/>
  <c r="F697" i="2"/>
  <c r="G697" i="2"/>
  <c r="H697" i="2"/>
  <c r="I697" i="2"/>
  <c r="J697" i="2"/>
  <c r="K697" i="2"/>
  <c r="B698" i="2"/>
  <c r="C698" i="2"/>
  <c r="D698" i="2"/>
  <c r="E698" i="2"/>
  <c r="F698" i="2"/>
  <c r="G698" i="2"/>
  <c r="H698" i="2"/>
  <c r="I698" i="2"/>
  <c r="J698" i="2"/>
  <c r="K698" i="2"/>
  <c r="B699" i="2"/>
  <c r="C699" i="2"/>
  <c r="D699" i="2"/>
  <c r="E699" i="2"/>
  <c r="F699" i="2"/>
  <c r="G699" i="2"/>
  <c r="H699" i="2"/>
  <c r="I699" i="2"/>
  <c r="J699" i="2"/>
  <c r="K699" i="2"/>
  <c r="B700" i="2"/>
  <c r="C700" i="2"/>
  <c r="D700" i="2"/>
  <c r="E700" i="2"/>
  <c r="F700" i="2"/>
  <c r="G700" i="2"/>
  <c r="H700" i="2"/>
  <c r="I700" i="2"/>
  <c r="J700" i="2"/>
  <c r="K700" i="2"/>
  <c r="B701" i="2"/>
  <c r="C701" i="2"/>
  <c r="D701" i="2"/>
  <c r="E701" i="2"/>
  <c r="F701" i="2"/>
  <c r="G701" i="2"/>
  <c r="H701" i="2"/>
  <c r="I701" i="2"/>
  <c r="J701" i="2"/>
  <c r="K701" i="2"/>
  <c r="B702" i="2"/>
  <c r="C702" i="2"/>
  <c r="D702" i="2"/>
  <c r="E702" i="2"/>
  <c r="F702" i="2"/>
  <c r="G702" i="2"/>
  <c r="H702" i="2"/>
  <c r="I702" i="2"/>
  <c r="J702" i="2"/>
  <c r="K702" i="2"/>
  <c r="B703" i="2"/>
  <c r="C703" i="2"/>
  <c r="D703" i="2"/>
  <c r="E703" i="2"/>
  <c r="F703" i="2"/>
  <c r="G703" i="2"/>
  <c r="H703" i="2"/>
  <c r="I703" i="2"/>
  <c r="J703" i="2"/>
  <c r="K703" i="2"/>
  <c r="B704" i="2"/>
  <c r="C704" i="2"/>
  <c r="D704" i="2"/>
  <c r="E704" i="2"/>
  <c r="F704" i="2"/>
  <c r="G704" i="2"/>
  <c r="H704" i="2"/>
  <c r="I704" i="2"/>
  <c r="J704" i="2"/>
  <c r="K704" i="2"/>
  <c r="B705" i="2"/>
  <c r="C705" i="2"/>
  <c r="D705" i="2"/>
  <c r="E705" i="2"/>
  <c r="F705" i="2"/>
  <c r="G705" i="2"/>
  <c r="H705" i="2"/>
  <c r="I705" i="2"/>
  <c r="J705" i="2"/>
  <c r="K705" i="2"/>
  <c r="B706" i="2"/>
  <c r="C706" i="2"/>
  <c r="D706" i="2"/>
  <c r="E706" i="2"/>
  <c r="F706" i="2"/>
  <c r="G706" i="2"/>
  <c r="H706" i="2"/>
  <c r="I706" i="2"/>
  <c r="J706" i="2"/>
  <c r="K706" i="2"/>
  <c r="B707" i="2"/>
  <c r="C707" i="2"/>
  <c r="D707" i="2"/>
  <c r="E707" i="2"/>
  <c r="F707" i="2"/>
  <c r="G707" i="2"/>
  <c r="H707" i="2"/>
  <c r="I707" i="2"/>
  <c r="J707" i="2"/>
  <c r="K707" i="2"/>
  <c r="B708" i="2"/>
  <c r="C708" i="2"/>
  <c r="D708" i="2"/>
  <c r="E708" i="2"/>
  <c r="F708" i="2"/>
  <c r="G708" i="2"/>
  <c r="H708" i="2"/>
  <c r="I708" i="2"/>
  <c r="J708" i="2"/>
  <c r="K708" i="2"/>
  <c r="B709" i="2"/>
  <c r="C709" i="2"/>
  <c r="D709" i="2"/>
  <c r="E709" i="2"/>
  <c r="F709" i="2"/>
  <c r="G709" i="2"/>
  <c r="H709" i="2"/>
  <c r="I709" i="2"/>
  <c r="J709" i="2"/>
  <c r="K709" i="2"/>
  <c r="B710" i="2"/>
  <c r="C710" i="2"/>
  <c r="D710" i="2"/>
  <c r="E710" i="2"/>
  <c r="F710" i="2"/>
  <c r="G710" i="2"/>
  <c r="H710" i="2"/>
  <c r="I710" i="2"/>
  <c r="J710" i="2"/>
  <c r="K710" i="2"/>
  <c r="B711" i="2"/>
  <c r="C711" i="2"/>
  <c r="D711" i="2"/>
  <c r="E711" i="2"/>
  <c r="F711" i="2"/>
  <c r="G711" i="2"/>
  <c r="H711" i="2"/>
  <c r="I711" i="2"/>
  <c r="J711" i="2"/>
  <c r="K711" i="2"/>
  <c r="B712" i="2"/>
  <c r="C712" i="2"/>
  <c r="D712" i="2"/>
  <c r="E712" i="2"/>
  <c r="F712" i="2"/>
  <c r="G712" i="2"/>
  <c r="H712" i="2"/>
  <c r="I712" i="2"/>
  <c r="J712" i="2"/>
  <c r="K712" i="2"/>
  <c r="B713" i="2"/>
  <c r="C713" i="2"/>
  <c r="D713" i="2"/>
  <c r="E713" i="2"/>
  <c r="F713" i="2"/>
  <c r="G713" i="2"/>
  <c r="H713" i="2"/>
  <c r="I713" i="2"/>
  <c r="J713" i="2"/>
  <c r="K713" i="2"/>
  <c r="B714" i="2"/>
  <c r="C714" i="2"/>
  <c r="D714" i="2"/>
  <c r="E714" i="2"/>
  <c r="F714" i="2"/>
  <c r="G714" i="2"/>
  <c r="H714" i="2"/>
  <c r="I714" i="2"/>
  <c r="J714" i="2"/>
  <c r="K714" i="2"/>
  <c r="B715" i="2"/>
  <c r="C715" i="2"/>
  <c r="D715" i="2"/>
  <c r="E715" i="2"/>
  <c r="F715" i="2"/>
  <c r="G715" i="2"/>
  <c r="H715" i="2"/>
  <c r="I715" i="2"/>
  <c r="J715" i="2"/>
  <c r="K715" i="2"/>
  <c r="B716" i="2"/>
  <c r="C716" i="2"/>
  <c r="D716" i="2"/>
  <c r="E716" i="2"/>
  <c r="F716" i="2"/>
  <c r="G716" i="2"/>
  <c r="H716" i="2"/>
  <c r="I716" i="2"/>
  <c r="J716" i="2"/>
  <c r="K716" i="2"/>
  <c r="B717" i="2"/>
  <c r="C717" i="2"/>
  <c r="D717" i="2"/>
  <c r="E717" i="2"/>
  <c r="F717" i="2"/>
  <c r="G717" i="2"/>
  <c r="H717" i="2"/>
  <c r="I717" i="2"/>
  <c r="J717" i="2"/>
  <c r="K717" i="2"/>
  <c r="B718" i="2"/>
  <c r="C718" i="2"/>
  <c r="D718" i="2"/>
  <c r="E718" i="2"/>
  <c r="F718" i="2"/>
  <c r="G718" i="2"/>
  <c r="H718" i="2"/>
  <c r="I718" i="2"/>
  <c r="J718" i="2"/>
  <c r="K718" i="2"/>
  <c r="B719" i="2"/>
  <c r="C719" i="2"/>
  <c r="D719" i="2"/>
  <c r="E719" i="2"/>
  <c r="F719" i="2"/>
  <c r="G719" i="2"/>
  <c r="H719" i="2"/>
  <c r="I719" i="2"/>
  <c r="J719" i="2"/>
  <c r="K719" i="2"/>
  <c r="B720" i="2"/>
  <c r="C720" i="2"/>
  <c r="D720" i="2"/>
  <c r="E720" i="2"/>
  <c r="F720" i="2"/>
  <c r="G720" i="2"/>
  <c r="H720" i="2"/>
  <c r="I720" i="2"/>
  <c r="J720" i="2"/>
  <c r="K720" i="2"/>
  <c r="B721" i="2"/>
  <c r="C721" i="2"/>
  <c r="D721" i="2"/>
  <c r="E721" i="2"/>
  <c r="F721" i="2"/>
  <c r="G721" i="2"/>
  <c r="H721" i="2"/>
  <c r="I721" i="2"/>
  <c r="J721" i="2"/>
  <c r="K721" i="2"/>
  <c r="B722" i="2"/>
  <c r="C722" i="2"/>
  <c r="D722" i="2"/>
  <c r="E722" i="2"/>
  <c r="F722" i="2"/>
  <c r="G722" i="2"/>
  <c r="H722" i="2"/>
  <c r="I722" i="2"/>
  <c r="J722" i="2"/>
  <c r="K722" i="2"/>
  <c r="B723" i="2"/>
  <c r="C723" i="2"/>
  <c r="D723" i="2"/>
  <c r="E723" i="2"/>
  <c r="F723" i="2"/>
  <c r="G723" i="2"/>
  <c r="H723" i="2"/>
  <c r="I723" i="2"/>
  <c r="J723" i="2"/>
  <c r="K723" i="2"/>
  <c r="B724" i="2"/>
  <c r="C724" i="2"/>
  <c r="D724" i="2"/>
  <c r="E724" i="2"/>
  <c r="F724" i="2"/>
  <c r="G724" i="2"/>
  <c r="H724" i="2"/>
  <c r="I724" i="2"/>
  <c r="J724" i="2"/>
  <c r="K724" i="2"/>
  <c r="B725" i="2"/>
  <c r="C725" i="2"/>
  <c r="D725" i="2"/>
  <c r="E725" i="2"/>
  <c r="F725" i="2"/>
  <c r="G725" i="2"/>
  <c r="H725" i="2"/>
  <c r="I725" i="2"/>
  <c r="J725" i="2"/>
  <c r="K725" i="2"/>
  <c r="B726" i="2"/>
  <c r="C726" i="2"/>
  <c r="D726" i="2"/>
  <c r="E726" i="2"/>
  <c r="F726" i="2"/>
  <c r="G726" i="2"/>
  <c r="H726" i="2"/>
  <c r="I726" i="2"/>
  <c r="J726" i="2"/>
  <c r="K726" i="2"/>
  <c r="B727" i="2"/>
  <c r="C727" i="2"/>
  <c r="D727" i="2"/>
  <c r="E727" i="2"/>
  <c r="F727" i="2"/>
  <c r="G727" i="2"/>
  <c r="H727" i="2"/>
  <c r="I727" i="2"/>
  <c r="J727" i="2"/>
  <c r="K727" i="2"/>
  <c r="B728" i="2"/>
  <c r="C728" i="2"/>
  <c r="D728" i="2"/>
  <c r="E728" i="2"/>
  <c r="F728" i="2"/>
  <c r="G728" i="2"/>
  <c r="H728" i="2"/>
  <c r="I728" i="2"/>
  <c r="J728" i="2"/>
  <c r="K728" i="2"/>
  <c r="B729" i="2"/>
  <c r="C729" i="2"/>
  <c r="D729" i="2"/>
  <c r="E729" i="2"/>
  <c r="F729" i="2"/>
  <c r="G729" i="2"/>
  <c r="H729" i="2"/>
  <c r="I729" i="2"/>
  <c r="J729" i="2"/>
  <c r="K729" i="2"/>
  <c r="B730" i="2"/>
  <c r="C730" i="2"/>
  <c r="D730" i="2"/>
  <c r="E730" i="2"/>
  <c r="F730" i="2"/>
  <c r="G730" i="2"/>
  <c r="H730" i="2"/>
  <c r="I730" i="2"/>
  <c r="J730" i="2"/>
  <c r="K730" i="2"/>
  <c r="B731" i="2"/>
  <c r="C731" i="2"/>
  <c r="D731" i="2"/>
  <c r="E731" i="2"/>
  <c r="F731" i="2"/>
  <c r="G731" i="2"/>
  <c r="H731" i="2"/>
  <c r="I731" i="2"/>
  <c r="J731" i="2"/>
  <c r="K731" i="2"/>
  <c r="B732" i="2"/>
  <c r="C732" i="2"/>
  <c r="D732" i="2"/>
  <c r="E732" i="2"/>
  <c r="F732" i="2"/>
  <c r="G732" i="2"/>
  <c r="H732" i="2"/>
  <c r="I732" i="2"/>
  <c r="J732" i="2"/>
  <c r="K732" i="2"/>
  <c r="B733" i="2"/>
  <c r="C733" i="2"/>
  <c r="D733" i="2"/>
  <c r="E733" i="2"/>
  <c r="F733" i="2"/>
  <c r="G733" i="2"/>
  <c r="H733" i="2"/>
  <c r="I733" i="2"/>
  <c r="J733" i="2"/>
  <c r="K733" i="2"/>
  <c r="B734" i="2"/>
  <c r="C734" i="2"/>
  <c r="D734" i="2"/>
  <c r="E734" i="2"/>
  <c r="F734" i="2"/>
  <c r="G734" i="2"/>
  <c r="H734" i="2"/>
  <c r="I734" i="2"/>
  <c r="J734" i="2"/>
  <c r="K734" i="2"/>
  <c r="B735" i="2"/>
  <c r="C735" i="2"/>
  <c r="D735" i="2"/>
  <c r="E735" i="2"/>
  <c r="F735" i="2"/>
  <c r="G735" i="2"/>
  <c r="H735" i="2"/>
  <c r="I735" i="2"/>
  <c r="J735" i="2"/>
  <c r="K735" i="2"/>
  <c r="B736" i="2"/>
  <c r="C736" i="2"/>
  <c r="D736" i="2"/>
  <c r="E736" i="2"/>
  <c r="F736" i="2"/>
  <c r="G736" i="2"/>
  <c r="H736" i="2"/>
  <c r="I736" i="2"/>
  <c r="J736" i="2"/>
  <c r="K736" i="2"/>
  <c r="B737" i="2"/>
  <c r="C737" i="2"/>
  <c r="D737" i="2"/>
  <c r="E737" i="2"/>
  <c r="F737" i="2"/>
  <c r="G737" i="2"/>
  <c r="H737" i="2"/>
  <c r="I737" i="2"/>
  <c r="J737" i="2"/>
  <c r="K737" i="2"/>
  <c r="B738" i="2"/>
  <c r="C738" i="2"/>
  <c r="D738" i="2"/>
  <c r="E738" i="2"/>
  <c r="F738" i="2"/>
  <c r="G738" i="2"/>
  <c r="H738" i="2"/>
  <c r="I738" i="2"/>
  <c r="J738" i="2"/>
  <c r="K738" i="2"/>
  <c r="B739" i="2"/>
  <c r="C739" i="2"/>
  <c r="D739" i="2"/>
  <c r="E739" i="2"/>
  <c r="F739" i="2"/>
  <c r="G739" i="2"/>
  <c r="H739" i="2"/>
  <c r="I739" i="2"/>
  <c r="J739" i="2"/>
  <c r="K739" i="2"/>
  <c r="B740" i="2"/>
  <c r="C740" i="2"/>
  <c r="D740" i="2"/>
  <c r="E740" i="2"/>
  <c r="F740" i="2"/>
  <c r="G740" i="2"/>
  <c r="H740" i="2"/>
  <c r="I740" i="2"/>
  <c r="J740" i="2"/>
  <c r="K740" i="2"/>
  <c r="B741" i="2"/>
  <c r="C741" i="2"/>
  <c r="D741" i="2"/>
  <c r="E741" i="2"/>
  <c r="F741" i="2"/>
  <c r="G741" i="2"/>
  <c r="H741" i="2"/>
  <c r="I741" i="2"/>
  <c r="J741" i="2"/>
  <c r="K741" i="2"/>
  <c r="B742" i="2"/>
  <c r="C742" i="2"/>
  <c r="D742" i="2"/>
  <c r="E742" i="2"/>
  <c r="F742" i="2"/>
  <c r="G742" i="2"/>
  <c r="H742" i="2"/>
  <c r="I742" i="2"/>
  <c r="J742" i="2"/>
  <c r="K742" i="2"/>
  <c r="B743" i="2"/>
  <c r="C743" i="2"/>
  <c r="D743" i="2"/>
  <c r="E743" i="2"/>
  <c r="F743" i="2"/>
  <c r="G743" i="2"/>
  <c r="H743" i="2"/>
  <c r="I743" i="2"/>
  <c r="J743" i="2"/>
  <c r="K743" i="2"/>
  <c r="B744" i="2"/>
  <c r="C744" i="2"/>
  <c r="D744" i="2"/>
  <c r="E744" i="2"/>
  <c r="F744" i="2"/>
  <c r="G744" i="2"/>
  <c r="H744" i="2"/>
  <c r="I744" i="2"/>
  <c r="J744" i="2"/>
  <c r="K744" i="2"/>
  <c r="B745" i="2"/>
  <c r="C745" i="2"/>
  <c r="D745" i="2"/>
  <c r="E745" i="2"/>
  <c r="F745" i="2"/>
  <c r="G745" i="2"/>
  <c r="H745" i="2"/>
  <c r="I745" i="2"/>
  <c r="J745" i="2"/>
  <c r="K745" i="2"/>
  <c r="B746" i="2"/>
  <c r="C746" i="2"/>
  <c r="D746" i="2"/>
  <c r="E746" i="2"/>
  <c r="F746" i="2"/>
  <c r="G746" i="2"/>
  <c r="H746" i="2"/>
  <c r="I746" i="2"/>
  <c r="J746" i="2"/>
  <c r="K746" i="2"/>
  <c r="B747" i="2"/>
  <c r="C747" i="2"/>
  <c r="D747" i="2"/>
  <c r="E747" i="2"/>
  <c r="F747" i="2"/>
  <c r="G747" i="2"/>
  <c r="H747" i="2"/>
  <c r="I747" i="2"/>
  <c r="J747" i="2"/>
  <c r="K747" i="2"/>
  <c r="B748" i="2"/>
  <c r="C748" i="2"/>
  <c r="D748" i="2"/>
  <c r="E748" i="2"/>
  <c r="F748" i="2"/>
  <c r="G748" i="2"/>
  <c r="H748" i="2"/>
  <c r="I748" i="2"/>
  <c r="J748" i="2"/>
  <c r="K748" i="2"/>
  <c r="B749" i="2"/>
  <c r="C749" i="2"/>
  <c r="D749" i="2"/>
  <c r="E749" i="2"/>
  <c r="F749" i="2"/>
  <c r="G749" i="2"/>
  <c r="H749" i="2"/>
  <c r="I749" i="2"/>
  <c r="J749" i="2"/>
  <c r="K749" i="2"/>
  <c r="B750" i="2"/>
  <c r="C750" i="2"/>
  <c r="D750" i="2"/>
  <c r="E750" i="2"/>
  <c r="F750" i="2"/>
  <c r="G750" i="2"/>
  <c r="H750" i="2"/>
  <c r="I750" i="2"/>
  <c r="J750" i="2"/>
  <c r="K750" i="2"/>
  <c r="B751" i="2"/>
  <c r="C751" i="2"/>
  <c r="D751" i="2"/>
  <c r="E751" i="2"/>
  <c r="F751" i="2"/>
  <c r="G751" i="2"/>
  <c r="H751" i="2"/>
  <c r="I751" i="2"/>
  <c r="J751" i="2"/>
  <c r="K751" i="2"/>
  <c r="B752" i="2"/>
  <c r="C752" i="2"/>
  <c r="D752" i="2"/>
  <c r="E752" i="2"/>
  <c r="F752" i="2"/>
  <c r="G752" i="2"/>
  <c r="H752" i="2"/>
  <c r="I752" i="2"/>
  <c r="J752" i="2"/>
  <c r="K752" i="2"/>
  <c r="B753" i="2"/>
  <c r="C753" i="2"/>
  <c r="D753" i="2"/>
  <c r="E753" i="2"/>
  <c r="F753" i="2"/>
  <c r="G753" i="2"/>
  <c r="H753" i="2"/>
  <c r="I753" i="2"/>
  <c r="J753" i="2"/>
  <c r="K753" i="2"/>
  <c r="B754" i="2"/>
  <c r="C754" i="2"/>
  <c r="D754" i="2"/>
  <c r="E754" i="2"/>
  <c r="F754" i="2"/>
  <c r="G754" i="2"/>
  <c r="H754" i="2"/>
  <c r="I754" i="2"/>
  <c r="J754" i="2"/>
  <c r="K754" i="2"/>
  <c r="B755" i="2"/>
  <c r="C755" i="2"/>
  <c r="D755" i="2"/>
  <c r="E755" i="2"/>
  <c r="F755" i="2"/>
  <c r="G755" i="2"/>
  <c r="H755" i="2"/>
  <c r="I755" i="2"/>
  <c r="J755" i="2"/>
  <c r="K755" i="2"/>
  <c r="B756" i="2"/>
  <c r="C756" i="2"/>
  <c r="D756" i="2"/>
  <c r="E756" i="2"/>
  <c r="F756" i="2"/>
  <c r="G756" i="2"/>
  <c r="H756" i="2"/>
  <c r="I756" i="2"/>
  <c r="J756" i="2"/>
  <c r="K756" i="2"/>
  <c r="B757" i="2"/>
  <c r="C757" i="2"/>
  <c r="D757" i="2"/>
  <c r="E757" i="2"/>
  <c r="F757" i="2"/>
  <c r="G757" i="2"/>
  <c r="H757" i="2"/>
  <c r="I757" i="2"/>
  <c r="J757" i="2"/>
  <c r="K757" i="2"/>
  <c r="B758" i="2"/>
  <c r="C758" i="2"/>
  <c r="D758" i="2"/>
  <c r="E758" i="2"/>
  <c r="F758" i="2"/>
  <c r="G758" i="2"/>
  <c r="H758" i="2"/>
  <c r="I758" i="2"/>
  <c r="J758" i="2"/>
  <c r="K758" i="2"/>
  <c r="B759" i="2"/>
  <c r="C759" i="2"/>
  <c r="D759" i="2"/>
  <c r="E759" i="2"/>
  <c r="F759" i="2"/>
  <c r="G759" i="2"/>
  <c r="H759" i="2"/>
  <c r="I759" i="2"/>
  <c r="J759" i="2"/>
  <c r="K759" i="2"/>
  <c r="B760" i="2"/>
  <c r="C760" i="2"/>
  <c r="D760" i="2"/>
  <c r="E760" i="2"/>
  <c r="F760" i="2"/>
  <c r="G760" i="2"/>
  <c r="H760" i="2"/>
  <c r="I760" i="2"/>
  <c r="J760" i="2"/>
  <c r="K760" i="2"/>
  <c r="B761" i="2"/>
  <c r="C761" i="2"/>
  <c r="D761" i="2"/>
  <c r="E761" i="2"/>
  <c r="F761" i="2"/>
  <c r="G761" i="2"/>
  <c r="H761" i="2"/>
  <c r="I761" i="2"/>
  <c r="J761" i="2"/>
  <c r="K761" i="2"/>
  <c r="B762" i="2"/>
  <c r="C762" i="2"/>
  <c r="D762" i="2"/>
  <c r="E762" i="2"/>
  <c r="F762" i="2"/>
  <c r="G762" i="2"/>
  <c r="H762" i="2"/>
  <c r="I762" i="2"/>
  <c r="J762" i="2"/>
  <c r="K762" i="2"/>
  <c r="B763" i="2"/>
  <c r="C763" i="2"/>
  <c r="D763" i="2"/>
  <c r="E763" i="2"/>
  <c r="F763" i="2"/>
  <c r="G763" i="2"/>
  <c r="H763" i="2"/>
  <c r="I763" i="2"/>
  <c r="J763" i="2"/>
  <c r="K763" i="2"/>
  <c r="B764" i="2"/>
  <c r="C764" i="2"/>
  <c r="D764" i="2"/>
  <c r="E764" i="2"/>
  <c r="F764" i="2"/>
  <c r="G764" i="2"/>
  <c r="H764" i="2"/>
  <c r="I764" i="2"/>
  <c r="J764" i="2"/>
  <c r="K764" i="2"/>
  <c r="B765" i="2"/>
  <c r="C765" i="2"/>
  <c r="D765" i="2"/>
  <c r="E765" i="2"/>
  <c r="F765" i="2"/>
  <c r="G765" i="2"/>
  <c r="H765" i="2"/>
  <c r="I765" i="2"/>
  <c r="J765" i="2"/>
  <c r="K765" i="2"/>
  <c r="B766" i="2"/>
  <c r="C766" i="2"/>
  <c r="D766" i="2"/>
  <c r="E766" i="2"/>
  <c r="F766" i="2"/>
  <c r="G766" i="2"/>
  <c r="H766" i="2"/>
  <c r="I766" i="2"/>
  <c r="J766" i="2"/>
  <c r="K766" i="2"/>
  <c r="B767" i="2"/>
  <c r="C767" i="2"/>
  <c r="D767" i="2"/>
  <c r="E767" i="2"/>
  <c r="F767" i="2"/>
  <c r="G767" i="2"/>
  <c r="H767" i="2"/>
  <c r="I767" i="2"/>
  <c r="J767" i="2"/>
  <c r="K767" i="2"/>
  <c r="B768" i="2"/>
  <c r="C768" i="2"/>
  <c r="D768" i="2"/>
  <c r="E768" i="2"/>
  <c r="F768" i="2"/>
  <c r="G768" i="2"/>
  <c r="H768" i="2"/>
  <c r="I768" i="2"/>
  <c r="J768" i="2"/>
  <c r="K768" i="2"/>
  <c r="B769" i="2"/>
  <c r="C769" i="2"/>
  <c r="D769" i="2"/>
  <c r="E769" i="2"/>
  <c r="F769" i="2"/>
  <c r="G769" i="2"/>
  <c r="H769" i="2"/>
  <c r="I769" i="2"/>
  <c r="J769" i="2"/>
  <c r="K769" i="2"/>
  <c r="B770" i="2"/>
  <c r="C770" i="2"/>
  <c r="D770" i="2"/>
  <c r="E770" i="2"/>
  <c r="F770" i="2"/>
  <c r="G770" i="2"/>
  <c r="H770" i="2"/>
  <c r="I770" i="2"/>
  <c r="J770" i="2"/>
  <c r="K770" i="2"/>
  <c r="B771" i="2"/>
  <c r="C771" i="2"/>
  <c r="D771" i="2"/>
  <c r="E771" i="2"/>
  <c r="F771" i="2"/>
  <c r="G771" i="2"/>
  <c r="H771" i="2"/>
  <c r="I771" i="2"/>
  <c r="J771" i="2"/>
  <c r="K771" i="2"/>
  <c r="B772" i="2"/>
  <c r="C772" i="2"/>
  <c r="D772" i="2"/>
  <c r="E772" i="2"/>
  <c r="F772" i="2"/>
  <c r="G772" i="2"/>
  <c r="H772" i="2"/>
  <c r="I772" i="2"/>
  <c r="J772" i="2"/>
  <c r="K772" i="2"/>
  <c r="B773" i="2"/>
  <c r="C773" i="2"/>
  <c r="D773" i="2"/>
  <c r="E773" i="2"/>
  <c r="F773" i="2"/>
  <c r="G773" i="2"/>
  <c r="H773" i="2"/>
  <c r="I773" i="2"/>
  <c r="J773" i="2"/>
  <c r="K773" i="2"/>
  <c r="B774" i="2"/>
  <c r="C774" i="2"/>
  <c r="D774" i="2"/>
  <c r="E774" i="2"/>
  <c r="F774" i="2"/>
  <c r="G774" i="2"/>
  <c r="H774" i="2"/>
  <c r="I774" i="2"/>
  <c r="J774" i="2"/>
  <c r="K774" i="2"/>
  <c r="B775" i="2"/>
  <c r="C775" i="2"/>
  <c r="D775" i="2"/>
  <c r="E775" i="2"/>
  <c r="F775" i="2"/>
  <c r="G775" i="2"/>
  <c r="H775" i="2"/>
  <c r="I775" i="2"/>
  <c r="J775" i="2"/>
  <c r="K775" i="2"/>
  <c r="B776" i="2"/>
  <c r="C776" i="2"/>
  <c r="D776" i="2"/>
  <c r="E776" i="2"/>
  <c r="F776" i="2"/>
  <c r="G776" i="2"/>
  <c r="H776" i="2"/>
  <c r="I776" i="2"/>
  <c r="J776" i="2"/>
  <c r="K776" i="2"/>
  <c r="B777" i="2"/>
  <c r="C777" i="2"/>
  <c r="D777" i="2"/>
  <c r="E777" i="2"/>
  <c r="F777" i="2"/>
  <c r="G777" i="2"/>
  <c r="H777" i="2"/>
  <c r="I777" i="2"/>
  <c r="J777" i="2"/>
  <c r="K777" i="2"/>
  <c r="B778" i="2"/>
  <c r="C778" i="2"/>
  <c r="D778" i="2"/>
  <c r="E778" i="2"/>
  <c r="F778" i="2"/>
  <c r="G778" i="2"/>
  <c r="H778" i="2"/>
  <c r="I778" i="2"/>
  <c r="J778" i="2"/>
  <c r="K778" i="2"/>
  <c r="B779" i="2"/>
  <c r="C779" i="2"/>
  <c r="D779" i="2"/>
  <c r="E779" i="2"/>
  <c r="F779" i="2"/>
  <c r="G779" i="2"/>
  <c r="H779" i="2"/>
  <c r="I779" i="2"/>
  <c r="J779" i="2"/>
  <c r="K779" i="2"/>
  <c r="B780" i="2"/>
  <c r="C780" i="2"/>
  <c r="D780" i="2"/>
  <c r="E780" i="2"/>
  <c r="F780" i="2"/>
  <c r="G780" i="2"/>
  <c r="H780" i="2"/>
  <c r="I780" i="2"/>
  <c r="J780" i="2"/>
  <c r="K780" i="2"/>
  <c r="B781" i="2"/>
  <c r="C781" i="2"/>
  <c r="D781" i="2"/>
  <c r="E781" i="2"/>
  <c r="F781" i="2"/>
  <c r="G781" i="2"/>
  <c r="H781" i="2"/>
  <c r="I781" i="2"/>
  <c r="J781" i="2"/>
  <c r="K781" i="2"/>
  <c r="B782" i="2"/>
  <c r="C782" i="2"/>
  <c r="D782" i="2"/>
  <c r="E782" i="2"/>
  <c r="F782" i="2"/>
  <c r="G782" i="2"/>
  <c r="H782" i="2"/>
  <c r="I782" i="2"/>
  <c r="J782" i="2"/>
  <c r="K782" i="2"/>
  <c r="B783" i="2"/>
  <c r="C783" i="2"/>
  <c r="D783" i="2"/>
  <c r="E783" i="2"/>
  <c r="F783" i="2"/>
  <c r="G783" i="2"/>
  <c r="H783" i="2"/>
  <c r="I783" i="2"/>
  <c r="J783" i="2"/>
  <c r="K783" i="2"/>
  <c r="B784" i="2"/>
  <c r="C784" i="2"/>
  <c r="D784" i="2"/>
  <c r="E784" i="2"/>
  <c r="F784" i="2"/>
  <c r="G784" i="2"/>
  <c r="H784" i="2"/>
  <c r="I784" i="2"/>
  <c r="J784" i="2"/>
  <c r="K784" i="2"/>
  <c r="B785" i="2"/>
  <c r="C785" i="2"/>
  <c r="D785" i="2"/>
  <c r="E785" i="2"/>
  <c r="F785" i="2"/>
  <c r="G785" i="2"/>
  <c r="H785" i="2"/>
  <c r="I785" i="2"/>
  <c r="J785" i="2"/>
  <c r="K785" i="2"/>
  <c r="B786" i="2"/>
  <c r="C786" i="2"/>
  <c r="D786" i="2"/>
  <c r="E786" i="2"/>
  <c r="F786" i="2"/>
  <c r="G786" i="2"/>
  <c r="H786" i="2"/>
  <c r="I786" i="2"/>
  <c r="J786" i="2"/>
  <c r="K786" i="2"/>
  <c r="B787" i="2"/>
  <c r="C787" i="2"/>
  <c r="D787" i="2"/>
  <c r="E787" i="2"/>
  <c r="F787" i="2"/>
  <c r="G787" i="2"/>
  <c r="H787" i="2"/>
  <c r="I787" i="2"/>
  <c r="J787" i="2"/>
  <c r="K787" i="2"/>
  <c r="B788" i="2"/>
  <c r="C788" i="2"/>
  <c r="D788" i="2"/>
  <c r="E788" i="2"/>
  <c r="F788" i="2"/>
  <c r="G788" i="2"/>
  <c r="H788" i="2"/>
  <c r="I788" i="2"/>
  <c r="J788" i="2"/>
  <c r="K788" i="2"/>
  <c r="B789" i="2"/>
  <c r="C789" i="2"/>
  <c r="D789" i="2"/>
  <c r="E789" i="2"/>
  <c r="F789" i="2"/>
  <c r="G789" i="2"/>
  <c r="H789" i="2"/>
  <c r="I789" i="2"/>
  <c r="J789" i="2"/>
  <c r="K789" i="2"/>
  <c r="B790" i="2"/>
  <c r="C790" i="2"/>
  <c r="D790" i="2"/>
  <c r="E790" i="2"/>
  <c r="F790" i="2"/>
  <c r="G790" i="2"/>
  <c r="H790" i="2"/>
  <c r="I790" i="2"/>
  <c r="J790" i="2"/>
  <c r="K790" i="2"/>
  <c r="B791" i="2"/>
  <c r="C791" i="2"/>
  <c r="D791" i="2"/>
  <c r="E791" i="2"/>
  <c r="F791" i="2"/>
  <c r="G791" i="2"/>
  <c r="H791" i="2"/>
  <c r="I791" i="2"/>
  <c r="J791" i="2"/>
  <c r="K791" i="2"/>
  <c r="B792" i="2"/>
  <c r="C792" i="2"/>
  <c r="D792" i="2"/>
  <c r="E792" i="2"/>
  <c r="F792" i="2"/>
  <c r="G792" i="2"/>
  <c r="H792" i="2"/>
  <c r="I792" i="2"/>
  <c r="J792" i="2"/>
  <c r="K792" i="2"/>
  <c r="B793" i="2"/>
  <c r="C793" i="2"/>
  <c r="D793" i="2"/>
  <c r="E793" i="2"/>
  <c r="F793" i="2"/>
  <c r="G793" i="2"/>
  <c r="H793" i="2"/>
  <c r="I793" i="2"/>
  <c r="J793" i="2"/>
  <c r="K793" i="2"/>
  <c r="B794" i="2"/>
  <c r="C794" i="2"/>
  <c r="D794" i="2"/>
  <c r="E794" i="2"/>
  <c r="F794" i="2"/>
  <c r="G794" i="2"/>
  <c r="H794" i="2"/>
  <c r="I794" i="2"/>
  <c r="J794" i="2"/>
  <c r="K794" i="2"/>
  <c r="B795" i="2"/>
  <c r="C795" i="2"/>
  <c r="D795" i="2"/>
  <c r="E795" i="2"/>
  <c r="F795" i="2"/>
  <c r="G795" i="2"/>
  <c r="H795" i="2"/>
  <c r="I795" i="2"/>
  <c r="J795" i="2"/>
  <c r="K795" i="2"/>
  <c r="B796" i="2"/>
  <c r="C796" i="2"/>
  <c r="D796" i="2"/>
  <c r="E796" i="2"/>
  <c r="F796" i="2"/>
  <c r="G796" i="2"/>
  <c r="H796" i="2"/>
  <c r="I796" i="2"/>
  <c r="J796" i="2"/>
  <c r="K796" i="2"/>
  <c r="B797" i="2"/>
  <c r="C797" i="2"/>
  <c r="D797" i="2"/>
  <c r="E797" i="2"/>
  <c r="F797" i="2"/>
  <c r="G797" i="2"/>
  <c r="H797" i="2"/>
  <c r="I797" i="2"/>
  <c r="J797" i="2"/>
  <c r="K797" i="2"/>
  <c r="B798" i="2"/>
  <c r="C798" i="2"/>
  <c r="D798" i="2"/>
  <c r="E798" i="2"/>
  <c r="F798" i="2"/>
  <c r="G798" i="2"/>
  <c r="H798" i="2"/>
  <c r="I798" i="2"/>
  <c r="J798" i="2"/>
  <c r="K798" i="2"/>
  <c r="B799" i="2"/>
  <c r="C799" i="2"/>
  <c r="D799" i="2"/>
  <c r="E799" i="2"/>
  <c r="F799" i="2"/>
  <c r="G799" i="2"/>
  <c r="H799" i="2"/>
  <c r="I799" i="2"/>
  <c r="J799" i="2"/>
  <c r="K799" i="2"/>
  <c r="B800" i="2"/>
  <c r="C800" i="2"/>
  <c r="D800" i="2"/>
  <c r="E800" i="2"/>
  <c r="F800" i="2"/>
  <c r="G800" i="2"/>
  <c r="H800" i="2"/>
  <c r="I800" i="2"/>
  <c r="J800" i="2"/>
  <c r="K800" i="2"/>
  <c r="B801" i="2"/>
  <c r="C801" i="2"/>
  <c r="D801" i="2"/>
  <c r="E801" i="2"/>
  <c r="F801" i="2"/>
  <c r="G801" i="2"/>
  <c r="H801" i="2"/>
  <c r="I801" i="2"/>
  <c r="J801" i="2"/>
  <c r="K801" i="2"/>
  <c r="B802" i="2"/>
  <c r="C802" i="2"/>
  <c r="D802" i="2"/>
  <c r="E802" i="2"/>
  <c r="F802" i="2"/>
  <c r="G802" i="2"/>
  <c r="H802" i="2"/>
  <c r="I802" i="2"/>
  <c r="J802" i="2"/>
  <c r="K802" i="2"/>
  <c r="B803" i="2"/>
  <c r="C803" i="2"/>
  <c r="D803" i="2"/>
  <c r="E803" i="2"/>
  <c r="F803" i="2"/>
  <c r="G803" i="2"/>
  <c r="H803" i="2"/>
  <c r="I803" i="2"/>
  <c r="J803" i="2"/>
  <c r="K803" i="2"/>
  <c r="B804" i="2"/>
  <c r="C804" i="2"/>
  <c r="D804" i="2"/>
  <c r="E804" i="2"/>
  <c r="F804" i="2"/>
  <c r="G804" i="2"/>
  <c r="H804" i="2"/>
  <c r="I804" i="2"/>
  <c r="J804" i="2"/>
  <c r="K804" i="2"/>
  <c r="B805" i="2"/>
  <c r="C805" i="2"/>
  <c r="D805" i="2"/>
  <c r="E805" i="2"/>
  <c r="F805" i="2"/>
  <c r="G805" i="2"/>
  <c r="H805" i="2"/>
  <c r="I805" i="2"/>
  <c r="J805" i="2"/>
  <c r="K805" i="2"/>
  <c r="B806" i="2"/>
  <c r="C806" i="2"/>
  <c r="D806" i="2"/>
  <c r="E806" i="2"/>
  <c r="F806" i="2"/>
  <c r="G806" i="2"/>
  <c r="H806" i="2"/>
  <c r="I806" i="2"/>
  <c r="J806" i="2"/>
  <c r="K806" i="2"/>
  <c r="B807" i="2"/>
  <c r="C807" i="2"/>
  <c r="D807" i="2"/>
  <c r="E807" i="2"/>
  <c r="F807" i="2"/>
  <c r="G807" i="2"/>
  <c r="H807" i="2"/>
  <c r="I807" i="2"/>
  <c r="J807" i="2"/>
  <c r="K807" i="2"/>
  <c r="B808" i="2"/>
  <c r="C808" i="2"/>
  <c r="D808" i="2"/>
  <c r="E808" i="2"/>
  <c r="F808" i="2"/>
  <c r="G808" i="2"/>
  <c r="H808" i="2"/>
  <c r="I808" i="2"/>
  <c r="J808" i="2"/>
  <c r="K808" i="2"/>
  <c r="B809" i="2"/>
  <c r="C809" i="2"/>
  <c r="D809" i="2"/>
  <c r="E809" i="2"/>
  <c r="F809" i="2"/>
  <c r="G809" i="2"/>
  <c r="H809" i="2"/>
  <c r="I809" i="2"/>
  <c r="J809" i="2"/>
  <c r="K809" i="2"/>
  <c r="B810" i="2"/>
  <c r="C810" i="2"/>
  <c r="D810" i="2"/>
  <c r="E810" i="2"/>
  <c r="F810" i="2"/>
  <c r="G810" i="2"/>
  <c r="H810" i="2"/>
  <c r="I810" i="2"/>
  <c r="J810" i="2"/>
  <c r="K810" i="2"/>
  <c r="B811" i="2"/>
  <c r="C811" i="2"/>
  <c r="D811" i="2"/>
  <c r="E811" i="2"/>
  <c r="F811" i="2"/>
  <c r="G811" i="2"/>
  <c r="H811" i="2"/>
  <c r="I811" i="2"/>
  <c r="J811" i="2"/>
  <c r="K811" i="2"/>
  <c r="B812" i="2"/>
  <c r="C812" i="2"/>
  <c r="D812" i="2"/>
  <c r="E812" i="2"/>
  <c r="F812" i="2"/>
  <c r="G812" i="2"/>
  <c r="H812" i="2"/>
  <c r="I812" i="2"/>
  <c r="J812" i="2"/>
  <c r="K812" i="2"/>
  <c r="B813" i="2"/>
  <c r="C813" i="2"/>
  <c r="D813" i="2"/>
  <c r="E813" i="2"/>
  <c r="F813" i="2"/>
  <c r="G813" i="2"/>
  <c r="H813" i="2"/>
  <c r="I813" i="2"/>
  <c r="J813" i="2"/>
  <c r="K813" i="2"/>
  <c r="B814" i="2"/>
  <c r="C814" i="2"/>
  <c r="D814" i="2"/>
  <c r="E814" i="2"/>
  <c r="F814" i="2"/>
  <c r="G814" i="2"/>
  <c r="H814" i="2"/>
  <c r="I814" i="2"/>
  <c r="J814" i="2"/>
  <c r="K814" i="2"/>
  <c r="B815" i="2"/>
  <c r="C815" i="2"/>
  <c r="D815" i="2"/>
  <c r="E815" i="2"/>
  <c r="F815" i="2"/>
  <c r="G815" i="2"/>
  <c r="H815" i="2"/>
  <c r="I815" i="2"/>
  <c r="J815" i="2"/>
  <c r="K815" i="2"/>
  <c r="B816" i="2"/>
  <c r="C816" i="2"/>
  <c r="D816" i="2"/>
  <c r="E816" i="2"/>
  <c r="F816" i="2"/>
  <c r="G816" i="2"/>
  <c r="H816" i="2"/>
  <c r="I816" i="2"/>
  <c r="J816" i="2"/>
  <c r="K816" i="2"/>
  <c r="B817" i="2"/>
  <c r="C817" i="2"/>
  <c r="D817" i="2"/>
  <c r="E817" i="2"/>
  <c r="F817" i="2"/>
  <c r="G817" i="2"/>
  <c r="H817" i="2"/>
  <c r="I817" i="2"/>
  <c r="J817" i="2"/>
  <c r="K817" i="2"/>
  <c r="B818" i="2"/>
  <c r="C818" i="2"/>
  <c r="D818" i="2"/>
  <c r="E818" i="2"/>
  <c r="F818" i="2"/>
  <c r="G818" i="2"/>
  <c r="H818" i="2"/>
  <c r="I818" i="2"/>
  <c r="J818" i="2"/>
  <c r="K818" i="2"/>
  <c r="B819" i="2"/>
  <c r="C819" i="2"/>
  <c r="D819" i="2"/>
  <c r="E819" i="2"/>
  <c r="F819" i="2"/>
  <c r="G819" i="2"/>
  <c r="H819" i="2"/>
  <c r="I819" i="2"/>
  <c r="J819" i="2"/>
  <c r="K819" i="2"/>
  <c r="B820" i="2"/>
  <c r="C820" i="2"/>
  <c r="D820" i="2"/>
  <c r="E820" i="2"/>
  <c r="F820" i="2"/>
  <c r="G820" i="2"/>
  <c r="H820" i="2"/>
  <c r="I820" i="2"/>
  <c r="J820" i="2"/>
  <c r="K820" i="2"/>
  <c r="B821" i="2"/>
  <c r="C821" i="2"/>
  <c r="D821" i="2"/>
  <c r="E821" i="2"/>
  <c r="F821" i="2"/>
  <c r="G821" i="2"/>
  <c r="H821" i="2"/>
  <c r="I821" i="2"/>
  <c r="J821" i="2"/>
  <c r="K821" i="2"/>
  <c r="B822" i="2"/>
  <c r="C822" i="2"/>
  <c r="D822" i="2"/>
  <c r="E822" i="2"/>
  <c r="F822" i="2"/>
  <c r="G822" i="2"/>
  <c r="H822" i="2"/>
  <c r="I822" i="2"/>
  <c r="J822" i="2"/>
  <c r="K822" i="2"/>
  <c r="B823" i="2"/>
  <c r="C823" i="2"/>
  <c r="D823" i="2"/>
  <c r="E823" i="2"/>
  <c r="F823" i="2"/>
  <c r="G823" i="2"/>
  <c r="H823" i="2"/>
  <c r="I823" i="2"/>
  <c r="J823" i="2"/>
  <c r="K823" i="2"/>
  <c r="B824" i="2"/>
  <c r="C824" i="2"/>
  <c r="D824" i="2"/>
  <c r="E824" i="2"/>
  <c r="F824" i="2"/>
  <c r="G824" i="2"/>
  <c r="H824" i="2"/>
  <c r="I824" i="2"/>
  <c r="J824" i="2"/>
  <c r="K824" i="2"/>
  <c r="B825" i="2"/>
  <c r="C825" i="2"/>
  <c r="D825" i="2"/>
  <c r="E825" i="2"/>
  <c r="F825" i="2"/>
  <c r="G825" i="2"/>
  <c r="H825" i="2"/>
  <c r="I825" i="2"/>
  <c r="J825" i="2"/>
  <c r="K825" i="2"/>
  <c r="B826" i="2"/>
  <c r="C826" i="2"/>
  <c r="D826" i="2"/>
  <c r="E826" i="2"/>
  <c r="F826" i="2"/>
  <c r="G826" i="2"/>
  <c r="H826" i="2"/>
  <c r="I826" i="2"/>
  <c r="J826" i="2"/>
  <c r="K826" i="2"/>
  <c r="B827" i="2"/>
  <c r="C827" i="2"/>
  <c r="D827" i="2"/>
  <c r="E827" i="2"/>
  <c r="F827" i="2"/>
  <c r="G827" i="2"/>
  <c r="H827" i="2"/>
  <c r="I827" i="2"/>
  <c r="J827" i="2"/>
  <c r="K827" i="2"/>
  <c r="B828" i="2"/>
  <c r="C828" i="2"/>
  <c r="D828" i="2"/>
  <c r="E828" i="2"/>
  <c r="F828" i="2"/>
  <c r="G828" i="2"/>
  <c r="H828" i="2"/>
  <c r="I828" i="2"/>
  <c r="J828" i="2"/>
  <c r="K828" i="2"/>
  <c r="B829" i="2"/>
  <c r="C829" i="2"/>
  <c r="D829" i="2"/>
  <c r="E829" i="2"/>
  <c r="F829" i="2"/>
  <c r="G829" i="2"/>
  <c r="H829" i="2"/>
  <c r="I829" i="2"/>
  <c r="J829" i="2"/>
  <c r="K829" i="2"/>
  <c r="B830" i="2"/>
  <c r="C830" i="2"/>
  <c r="D830" i="2"/>
  <c r="E830" i="2"/>
  <c r="F830" i="2"/>
  <c r="G830" i="2"/>
  <c r="H830" i="2"/>
  <c r="I830" i="2"/>
  <c r="J830" i="2"/>
  <c r="K830" i="2"/>
  <c r="B831" i="2"/>
  <c r="C831" i="2"/>
  <c r="D831" i="2"/>
  <c r="E831" i="2"/>
  <c r="F831" i="2"/>
  <c r="G831" i="2"/>
  <c r="H831" i="2"/>
  <c r="I831" i="2"/>
  <c r="J831" i="2"/>
  <c r="K831" i="2"/>
  <c r="B832" i="2"/>
  <c r="C832" i="2"/>
  <c r="D832" i="2"/>
  <c r="E832" i="2"/>
  <c r="F832" i="2"/>
  <c r="G832" i="2"/>
  <c r="H832" i="2"/>
  <c r="I832" i="2"/>
  <c r="J832" i="2"/>
  <c r="K832" i="2"/>
  <c r="B833" i="2"/>
  <c r="C833" i="2"/>
  <c r="D833" i="2"/>
  <c r="E833" i="2"/>
  <c r="F833" i="2"/>
  <c r="G833" i="2"/>
  <c r="H833" i="2"/>
  <c r="I833" i="2"/>
  <c r="J833" i="2"/>
  <c r="K833" i="2"/>
  <c r="B834" i="2"/>
  <c r="C834" i="2"/>
  <c r="D834" i="2"/>
  <c r="E834" i="2"/>
  <c r="F834" i="2"/>
  <c r="G834" i="2"/>
  <c r="H834" i="2"/>
  <c r="I834" i="2"/>
  <c r="J834" i="2"/>
  <c r="K834" i="2"/>
  <c r="B835" i="2"/>
  <c r="C835" i="2"/>
  <c r="D835" i="2"/>
  <c r="E835" i="2"/>
  <c r="F835" i="2"/>
  <c r="G835" i="2"/>
  <c r="H835" i="2"/>
  <c r="I835" i="2"/>
  <c r="J835" i="2"/>
  <c r="K835" i="2"/>
  <c r="B836" i="2"/>
  <c r="C836" i="2"/>
  <c r="D836" i="2"/>
  <c r="E836" i="2"/>
  <c r="F836" i="2"/>
  <c r="G836" i="2"/>
  <c r="H836" i="2"/>
  <c r="I836" i="2"/>
  <c r="J836" i="2"/>
  <c r="K836" i="2"/>
  <c r="B837" i="2"/>
  <c r="C837" i="2"/>
  <c r="D837" i="2"/>
  <c r="E837" i="2"/>
  <c r="F837" i="2"/>
  <c r="G837" i="2"/>
  <c r="H837" i="2"/>
  <c r="I837" i="2"/>
  <c r="J837" i="2"/>
  <c r="K837" i="2"/>
  <c r="B838" i="2"/>
  <c r="C838" i="2"/>
  <c r="D838" i="2"/>
  <c r="E838" i="2"/>
  <c r="F838" i="2"/>
  <c r="G838" i="2"/>
  <c r="H838" i="2"/>
  <c r="I838" i="2"/>
  <c r="J838" i="2"/>
  <c r="K838" i="2"/>
  <c r="B839" i="2"/>
  <c r="C839" i="2"/>
  <c r="D839" i="2"/>
  <c r="E839" i="2"/>
  <c r="F839" i="2"/>
  <c r="G839" i="2"/>
  <c r="H839" i="2"/>
  <c r="I839" i="2"/>
  <c r="J839" i="2"/>
  <c r="K839" i="2"/>
  <c r="B840" i="2"/>
  <c r="C840" i="2"/>
  <c r="D840" i="2"/>
  <c r="E840" i="2"/>
  <c r="F840" i="2"/>
  <c r="G840" i="2"/>
  <c r="H840" i="2"/>
  <c r="I840" i="2"/>
  <c r="J840" i="2"/>
  <c r="K840" i="2"/>
  <c r="B841" i="2"/>
  <c r="C841" i="2"/>
  <c r="D841" i="2"/>
  <c r="E841" i="2"/>
  <c r="F841" i="2"/>
  <c r="G841" i="2"/>
  <c r="H841" i="2"/>
  <c r="I841" i="2"/>
  <c r="J841" i="2"/>
  <c r="K841" i="2"/>
  <c r="B842" i="2"/>
  <c r="C842" i="2"/>
  <c r="D842" i="2"/>
  <c r="E842" i="2"/>
  <c r="F842" i="2"/>
  <c r="G842" i="2"/>
  <c r="H842" i="2"/>
  <c r="I842" i="2"/>
  <c r="J842" i="2"/>
  <c r="K842" i="2"/>
  <c r="B843" i="2"/>
  <c r="C843" i="2"/>
  <c r="D843" i="2"/>
  <c r="E843" i="2"/>
  <c r="F843" i="2"/>
  <c r="G843" i="2"/>
  <c r="H843" i="2"/>
  <c r="I843" i="2"/>
  <c r="J843" i="2"/>
  <c r="K843" i="2"/>
  <c r="B844" i="2"/>
  <c r="C844" i="2"/>
  <c r="D844" i="2"/>
  <c r="E844" i="2"/>
  <c r="F844" i="2"/>
  <c r="G844" i="2"/>
  <c r="H844" i="2"/>
  <c r="I844" i="2"/>
  <c r="J844" i="2"/>
  <c r="K844" i="2"/>
  <c r="B845" i="2"/>
  <c r="C845" i="2"/>
  <c r="D845" i="2"/>
  <c r="E845" i="2"/>
  <c r="F845" i="2"/>
  <c r="G845" i="2"/>
  <c r="H845" i="2"/>
  <c r="I845" i="2"/>
  <c r="J845" i="2"/>
  <c r="K845" i="2"/>
  <c r="B846" i="2"/>
  <c r="C846" i="2"/>
  <c r="D846" i="2"/>
  <c r="E846" i="2"/>
  <c r="F846" i="2"/>
  <c r="G846" i="2"/>
  <c r="H846" i="2"/>
  <c r="I846" i="2"/>
  <c r="J846" i="2"/>
  <c r="K846" i="2"/>
  <c r="B847" i="2"/>
  <c r="C847" i="2"/>
  <c r="D847" i="2"/>
  <c r="E847" i="2"/>
  <c r="F847" i="2"/>
  <c r="G847" i="2"/>
  <c r="H847" i="2"/>
  <c r="I847" i="2"/>
  <c r="J847" i="2"/>
  <c r="K847" i="2"/>
  <c r="B848" i="2"/>
  <c r="C848" i="2"/>
  <c r="D848" i="2"/>
  <c r="E848" i="2"/>
  <c r="F848" i="2"/>
  <c r="G848" i="2"/>
  <c r="H848" i="2"/>
  <c r="I848" i="2"/>
  <c r="J848" i="2"/>
  <c r="K848" i="2"/>
  <c r="B849" i="2"/>
  <c r="C849" i="2"/>
  <c r="D849" i="2"/>
  <c r="E849" i="2"/>
  <c r="F849" i="2"/>
  <c r="G849" i="2"/>
  <c r="H849" i="2"/>
  <c r="I849" i="2"/>
  <c r="J849" i="2"/>
  <c r="K849" i="2"/>
  <c r="B850" i="2"/>
  <c r="C850" i="2"/>
  <c r="D850" i="2"/>
  <c r="E850" i="2"/>
  <c r="F850" i="2"/>
  <c r="G850" i="2"/>
  <c r="H850" i="2"/>
  <c r="I850" i="2"/>
  <c r="J850" i="2"/>
  <c r="K850" i="2"/>
  <c r="B851" i="2"/>
  <c r="C851" i="2"/>
  <c r="D851" i="2"/>
  <c r="E851" i="2"/>
  <c r="F851" i="2"/>
  <c r="G851" i="2"/>
  <c r="H851" i="2"/>
  <c r="I851" i="2"/>
  <c r="J851" i="2"/>
  <c r="K851" i="2"/>
  <c r="B852" i="2"/>
  <c r="C852" i="2"/>
  <c r="D852" i="2"/>
  <c r="E852" i="2"/>
  <c r="F852" i="2"/>
  <c r="G852" i="2"/>
  <c r="H852" i="2"/>
  <c r="I852" i="2"/>
  <c r="J852" i="2"/>
  <c r="K852" i="2"/>
  <c r="B853" i="2"/>
  <c r="C853" i="2"/>
  <c r="D853" i="2"/>
  <c r="E853" i="2"/>
  <c r="F853" i="2"/>
  <c r="G853" i="2"/>
  <c r="H853" i="2"/>
  <c r="I853" i="2"/>
  <c r="J853" i="2"/>
  <c r="K853" i="2"/>
  <c r="B854" i="2"/>
  <c r="C854" i="2"/>
  <c r="D854" i="2"/>
  <c r="E854" i="2"/>
  <c r="F854" i="2"/>
  <c r="G854" i="2"/>
  <c r="H854" i="2"/>
  <c r="I854" i="2"/>
  <c r="J854" i="2"/>
  <c r="K854" i="2"/>
  <c r="B855" i="2"/>
  <c r="C855" i="2"/>
  <c r="D855" i="2"/>
  <c r="E855" i="2"/>
  <c r="F855" i="2"/>
  <c r="G855" i="2"/>
  <c r="H855" i="2"/>
  <c r="I855" i="2"/>
  <c r="J855" i="2"/>
  <c r="K855" i="2"/>
  <c r="B856" i="2"/>
  <c r="C856" i="2"/>
  <c r="D856" i="2"/>
  <c r="E856" i="2"/>
  <c r="F856" i="2"/>
  <c r="G856" i="2"/>
  <c r="H856" i="2"/>
  <c r="I856" i="2"/>
  <c r="J856" i="2"/>
  <c r="K856" i="2"/>
  <c r="B857" i="2"/>
  <c r="C857" i="2"/>
  <c r="D857" i="2"/>
  <c r="E857" i="2"/>
  <c r="F857" i="2"/>
  <c r="G857" i="2"/>
  <c r="H857" i="2"/>
  <c r="I857" i="2"/>
  <c r="J857" i="2"/>
  <c r="K857" i="2"/>
  <c r="B858" i="2"/>
  <c r="C858" i="2"/>
  <c r="D858" i="2"/>
  <c r="E858" i="2"/>
  <c r="F858" i="2"/>
  <c r="G858" i="2"/>
  <c r="H858" i="2"/>
  <c r="I858" i="2"/>
  <c r="J858" i="2"/>
  <c r="K858" i="2"/>
  <c r="B859" i="2"/>
  <c r="C859" i="2"/>
  <c r="D859" i="2"/>
  <c r="E859" i="2"/>
  <c r="F859" i="2"/>
  <c r="G859" i="2"/>
  <c r="H859" i="2"/>
  <c r="I859" i="2"/>
  <c r="J859" i="2"/>
  <c r="K859" i="2"/>
  <c r="B860" i="2"/>
  <c r="C860" i="2"/>
  <c r="D860" i="2"/>
  <c r="E860" i="2"/>
  <c r="F860" i="2"/>
  <c r="G860" i="2"/>
  <c r="H860" i="2"/>
  <c r="I860" i="2"/>
  <c r="J860" i="2"/>
  <c r="K860" i="2"/>
  <c r="B861" i="2"/>
  <c r="C861" i="2"/>
  <c r="D861" i="2"/>
  <c r="E861" i="2"/>
  <c r="F861" i="2"/>
  <c r="G861" i="2"/>
  <c r="H861" i="2"/>
  <c r="I861" i="2"/>
  <c r="J861" i="2"/>
  <c r="K861" i="2"/>
  <c r="B862" i="2"/>
  <c r="C862" i="2"/>
  <c r="D862" i="2"/>
  <c r="E862" i="2"/>
  <c r="F862" i="2"/>
  <c r="G862" i="2"/>
  <c r="H862" i="2"/>
  <c r="I862" i="2"/>
  <c r="J862" i="2"/>
  <c r="K862" i="2"/>
  <c r="B863" i="2"/>
  <c r="C863" i="2"/>
  <c r="D863" i="2"/>
  <c r="E863" i="2"/>
  <c r="F863" i="2"/>
  <c r="G863" i="2"/>
  <c r="H863" i="2"/>
  <c r="I863" i="2"/>
  <c r="J863" i="2"/>
  <c r="K863" i="2"/>
  <c r="B864" i="2"/>
  <c r="C864" i="2"/>
  <c r="D864" i="2"/>
  <c r="E864" i="2"/>
  <c r="F864" i="2"/>
  <c r="G864" i="2"/>
  <c r="H864" i="2"/>
  <c r="I864" i="2"/>
  <c r="J864" i="2"/>
  <c r="K864" i="2"/>
  <c r="B865" i="2"/>
  <c r="C865" i="2"/>
  <c r="D865" i="2"/>
  <c r="E865" i="2"/>
  <c r="F865" i="2"/>
  <c r="G865" i="2"/>
  <c r="H865" i="2"/>
  <c r="I865" i="2"/>
  <c r="J865" i="2"/>
  <c r="K865" i="2"/>
  <c r="B866" i="2"/>
  <c r="C866" i="2"/>
  <c r="D866" i="2"/>
  <c r="E866" i="2"/>
  <c r="F866" i="2"/>
  <c r="G866" i="2"/>
  <c r="H866" i="2"/>
  <c r="I866" i="2"/>
  <c r="J866" i="2"/>
  <c r="K866" i="2"/>
  <c r="B867" i="2"/>
  <c r="C867" i="2"/>
  <c r="D867" i="2"/>
  <c r="E867" i="2"/>
  <c r="F867" i="2"/>
  <c r="G867" i="2"/>
  <c r="H867" i="2"/>
  <c r="I867" i="2"/>
  <c r="J867" i="2"/>
  <c r="K867" i="2"/>
  <c r="B868" i="2"/>
  <c r="C868" i="2"/>
  <c r="D868" i="2"/>
  <c r="E868" i="2"/>
  <c r="F868" i="2"/>
  <c r="G868" i="2"/>
  <c r="H868" i="2"/>
  <c r="I868" i="2"/>
  <c r="J868" i="2"/>
  <c r="K868" i="2"/>
  <c r="B869" i="2"/>
  <c r="C869" i="2"/>
  <c r="D869" i="2"/>
  <c r="E869" i="2"/>
  <c r="F869" i="2"/>
  <c r="G869" i="2"/>
  <c r="H869" i="2"/>
  <c r="I869" i="2"/>
  <c r="J869" i="2"/>
  <c r="K869" i="2"/>
  <c r="B870" i="2"/>
  <c r="C870" i="2"/>
  <c r="D870" i="2"/>
  <c r="E870" i="2"/>
  <c r="F870" i="2"/>
  <c r="G870" i="2"/>
  <c r="H870" i="2"/>
  <c r="I870" i="2"/>
  <c r="J870" i="2"/>
  <c r="K870" i="2"/>
  <c r="B871" i="2"/>
  <c r="C871" i="2"/>
  <c r="D871" i="2"/>
  <c r="E871" i="2"/>
  <c r="F871" i="2"/>
  <c r="G871" i="2"/>
  <c r="H871" i="2"/>
  <c r="I871" i="2"/>
  <c r="J871" i="2"/>
  <c r="K871" i="2"/>
  <c r="B872" i="2"/>
  <c r="C872" i="2"/>
  <c r="D872" i="2"/>
  <c r="E872" i="2"/>
  <c r="F872" i="2"/>
  <c r="G872" i="2"/>
  <c r="H872" i="2"/>
  <c r="I872" i="2"/>
  <c r="J872" i="2"/>
  <c r="K872" i="2"/>
  <c r="B873" i="2"/>
  <c r="C873" i="2"/>
  <c r="D873" i="2"/>
  <c r="E873" i="2"/>
  <c r="F873" i="2"/>
  <c r="G873" i="2"/>
  <c r="H873" i="2"/>
  <c r="I873" i="2"/>
  <c r="J873" i="2"/>
  <c r="K873" i="2"/>
  <c r="B874" i="2"/>
  <c r="C874" i="2"/>
  <c r="D874" i="2"/>
  <c r="E874" i="2"/>
  <c r="F874" i="2"/>
  <c r="G874" i="2"/>
  <c r="H874" i="2"/>
  <c r="I874" i="2"/>
  <c r="J874" i="2"/>
  <c r="K874" i="2"/>
  <c r="B875" i="2"/>
  <c r="C875" i="2"/>
  <c r="D875" i="2"/>
  <c r="E875" i="2"/>
  <c r="F875" i="2"/>
  <c r="G875" i="2"/>
  <c r="H875" i="2"/>
  <c r="I875" i="2"/>
  <c r="J875" i="2"/>
  <c r="K875" i="2"/>
  <c r="B876" i="2"/>
  <c r="C876" i="2"/>
  <c r="D876" i="2"/>
  <c r="E876" i="2"/>
  <c r="F876" i="2"/>
  <c r="G876" i="2"/>
  <c r="H876" i="2"/>
  <c r="I876" i="2"/>
  <c r="J876" i="2"/>
  <c r="K876" i="2"/>
  <c r="B877" i="2"/>
  <c r="C877" i="2"/>
  <c r="D877" i="2"/>
  <c r="E877" i="2"/>
  <c r="F877" i="2"/>
  <c r="G877" i="2"/>
  <c r="H877" i="2"/>
  <c r="I877" i="2"/>
  <c r="J877" i="2"/>
  <c r="K877" i="2"/>
  <c r="B878" i="2"/>
  <c r="C878" i="2"/>
  <c r="D878" i="2"/>
  <c r="E878" i="2"/>
  <c r="F878" i="2"/>
  <c r="G878" i="2"/>
  <c r="H878" i="2"/>
  <c r="I878" i="2"/>
  <c r="J878" i="2"/>
  <c r="K878" i="2"/>
  <c r="B879" i="2"/>
  <c r="C879" i="2"/>
  <c r="D879" i="2"/>
  <c r="E879" i="2"/>
  <c r="F879" i="2"/>
  <c r="G879" i="2"/>
  <c r="H879" i="2"/>
  <c r="I879" i="2"/>
  <c r="J879" i="2"/>
  <c r="K879" i="2"/>
  <c r="B880" i="2"/>
  <c r="C880" i="2"/>
  <c r="D880" i="2"/>
  <c r="E880" i="2"/>
  <c r="F880" i="2"/>
  <c r="G880" i="2"/>
  <c r="H880" i="2"/>
  <c r="I880" i="2"/>
  <c r="J880" i="2"/>
  <c r="K880" i="2"/>
  <c r="B881" i="2"/>
  <c r="C881" i="2"/>
  <c r="D881" i="2"/>
  <c r="E881" i="2"/>
  <c r="F881" i="2"/>
  <c r="G881" i="2"/>
  <c r="H881" i="2"/>
  <c r="I881" i="2"/>
  <c r="J881" i="2"/>
  <c r="K881" i="2"/>
  <c r="B882" i="2"/>
  <c r="C882" i="2"/>
  <c r="D882" i="2"/>
  <c r="E882" i="2"/>
  <c r="F882" i="2"/>
  <c r="G882" i="2"/>
  <c r="H882" i="2"/>
  <c r="I882" i="2"/>
  <c r="J882" i="2"/>
  <c r="K882" i="2"/>
  <c r="B883" i="2"/>
  <c r="C883" i="2"/>
  <c r="D883" i="2"/>
  <c r="E883" i="2"/>
  <c r="F883" i="2"/>
  <c r="G883" i="2"/>
  <c r="H883" i="2"/>
  <c r="I883" i="2"/>
  <c r="J883" i="2"/>
  <c r="K883" i="2"/>
  <c r="B884" i="2"/>
  <c r="C884" i="2"/>
  <c r="D884" i="2"/>
  <c r="E884" i="2"/>
  <c r="F884" i="2"/>
  <c r="G884" i="2"/>
  <c r="H884" i="2"/>
  <c r="I884" i="2"/>
  <c r="J884" i="2"/>
  <c r="K884" i="2"/>
  <c r="B885" i="2"/>
  <c r="C885" i="2"/>
  <c r="D885" i="2"/>
  <c r="E885" i="2"/>
  <c r="F885" i="2"/>
  <c r="G885" i="2"/>
  <c r="H885" i="2"/>
  <c r="I885" i="2"/>
  <c r="J885" i="2"/>
  <c r="K885" i="2"/>
  <c r="B886" i="2"/>
  <c r="C886" i="2"/>
  <c r="D886" i="2"/>
  <c r="E886" i="2"/>
  <c r="F886" i="2"/>
  <c r="G886" i="2"/>
  <c r="H886" i="2"/>
  <c r="I886" i="2"/>
  <c r="J886" i="2"/>
  <c r="K886" i="2"/>
  <c r="B887" i="2"/>
  <c r="C887" i="2"/>
  <c r="D887" i="2"/>
  <c r="E887" i="2"/>
  <c r="F887" i="2"/>
  <c r="G887" i="2"/>
  <c r="H887" i="2"/>
  <c r="I887" i="2"/>
  <c r="J887" i="2"/>
  <c r="K887" i="2"/>
  <c r="B888" i="2"/>
  <c r="C888" i="2"/>
  <c r="D888" i="2"/>
  <c r="E888" i="2"/>
  <c r="F888" i="2"/>
  <c r="G888" i="2"/>
  <c r="H888" i="2"/>
  <c r="I888" i="2"/>
  <c r="J888" i="2"/>
  <c r="K888" i="2"/>
  <c r="B889" i="2"/>
  <c r="C889" i="2"/>
  <c r="D889" i="2"/>
  <c r="E889" i="2"/>
  <c r="F889" i="2"/>
  <c r="G889" i="2"/>
  <c r="H889" i="2"/>
  <c r="I889" i="2"/>
  <c r="J889" i="2"/>
  <c r="K889" i="2"/>
  <c r="B890" i="2"/>
  <c r="C890" i="2"/>
  <c r="D890" i="2"/>
  <c r="E890" i="2"/>
  <c r="F890" i="2"/>
  <c r="G890" i="2"/>
  <c r="H890" i="2"/>
  <c r="I890" i="2"/>
  <c r="J890" i="2"/>
  <c r="K890" i="2"/>
  <c r="B891" i="2"/>
  <c r="C891" i="2"/>
  <c r="D891" i="2"/>
  <c r="E891" i="2"/>
  <c r="F891" i="2"/>
  <c r="G891" i="2"/>
  <c r="H891" i="2"/>
  <c r="I891" i="2"/>
  <c r="J891" i="2"/>
  <c r="K891" i="2"/>
  <c r="B892" i="2"/>
  <c r="C892" i="2"/>
  <c r="D892" i="2"/>
  <c r="E892" i="2"/>
  <c r="F892" i="2"/>
  <c r="G892" i="2"/>
  <c r="H892" i="2"/>
  <c r="I892" i="2"/>
  <c r="J892" i="2"/>
  <c r="K892" i="2"/>
  <c r="B893" i="2"/>
  <c r="C893" i="2"/>
  <c r="D893" i="2"/>
  <c r="E893" i="2"/>
  <c r="F893" i="2"/>
  <c r="G893" i="2"/>
  <c r="H893" i="2"/>
  <c r="I893" i="2"/>
  <c r="J893" i="2"/>
  <c r="K893" i="2"/>
  <c r="B894" i="2"/>
  <c r="C894" i="2"/>
  <c r="D894" i="2"/>
  <c r="E894" i="2"/>
  <c r="F894" i="2"/>
  <c r="G894" i="2"/>
  <c r="H894" i="2"/>
  <c r="I894" i="2"/>
  <c r="J894" i="2"/>
  <c r="K894" i="2"/>
  <c r="B895" i="2"/>
  <c r="C895" i="2"/>
  <c r="D895" i="2"/>
  <c r="E895" i="2"/>
  <c r="F895" i="2"/>
  <c r="G895" i="2"/>
  <c r="H895" i="2"/>
  <c r="I895" i="2"/>
  <c r="J895" i="2"/>
  <c r="K895" i="2"/>
  <c r="B896" i="2"/>
  <c r="C896" i="2"/>
  <c r="D896" i="2"/>
  <c r="E896" i="2"/>
  <c r="F896" i="2"/>
  <c r="G896" i="2"/>
  <c r="H896" i="2"/>
  <c r="I896" i="2"/>
  <c r="J896" i="2"/>
  <c r="K896" i="2"/>
  <c r="B897" i="2"/>
  <c r="C897" i="2"/>
  <c r="D897" i="2"/>
  <c r="E897" i="2"/>
  <c r="F897" i="2"/>
  <c r="G897" i="2"/>
  <c r="H897" i="2"/>
  <c r="I897" i="2"/>
  <c r="J897" i="2"/>
  <c r="K897" i="2"/>
  <c r="B898" i="2"/>
  <c r="C898" i="2"/>
  <c r="D898" i="2"/>
  <c r="E898" i="2"/>
  <c r="F898" i="2"/>
  <c r="G898" i="2"/>
  <c r="H898" i="2"/>
  <c r="I898" i="2"/>
  <c r="J898" i="2"/>
  <c r="K898" i="2"/>
  <c r="B899" i="2"/>
  <c r="C899" i="2"/>
  <c r="D899" i="2"/>
  <c r="E899" i="2"/>
  <c r="F899" i="2"/>
  <c r="G899" i="2"/>
  <c r="H899" i="2"/>
  <c r="I899" i="2"/>
  <c r="J899" i="2"/>
  <c r="K899" i="2"/>
  <c r="B900" i="2"/>
  <c r="C900" i="2"/>
  <c r="D900" i="2"/>
  <c r="E900" i="2"/>
  <c r="F900" i="2"/>
  <c r="G900" i="2"/>
  <c r="H900" i="2"/>
  <c r="I900" i="2"/>
  <c r="J900" i="2"/>
  <c r="K900" i="2"/>
  <c r="B901" i="2"/>
  <c r="C901" i="2"/>
  <c r="D901" i="2"/>
  <c r="E901" i="2"/>
  <c r="F901" i="2"/>
  <c r="G901" i="2"/>
  <c r="H901" i="2"/>
  <c r="I901" i="2"/>
  <c r="J901" i="2"/>
  <c r="K901" i="2"/>
  <c r="B902" i="2"/>
  <c r="C902" i="2"/>
  <c r="D902" i="2"/>
  <c r="E902" i="2"/>
  <c r="F902" i="2"/>
  <c r="G902" i="2"/>
  <c r="H902" i="2"/>
  <c r="I902" i="2"/>
  <c r="J902" i="2"/>
  <c r="K902" i="2"/>
  <c r="B903" i="2"/>
  <c r="C903" i="2"/>
  <c r="D903" i="2"/>
  <c r="E903" i="2"/>
  <c r="F903" i="2"/>
  <c r="G903" i="2"/>
  <c r="H903" i="2"/>
  <c r="I903" i="2"/>
  <c r="J903" i="2"/>
  <c r="K903" i="2"/>
  <c r="B904" i="2"/>
  <c r="C904" i="2"/>
  <c r="D904" i="2"/>
  <c r="E904" i="2"/>
  <c r="F904" i="2"/>
  <c r="G904" i="2"/>
  <c r="H904" i="2"/>
  <c r="I904" i="2"/>
  <c r="J904" i="2"/>
  <c r="K904" i="2"/>
  <c r="B905" i="2"/>
  <c r="C905" i="2"/>
  <c r="D905" i="2"/>
  <c r="E905" i="2"/>
  <c r="F905" i="2"/>
  <c r="G905" i="2"/>
  <c r="H905" i="2"/>
  <c r="I905" i="2"/>
  <c r="J905" i="2"/>
  <c r="K905" i="2"/>
  <c r="B906" i="2"/>
  <c r="C906" i="2"/>
  <c r="D906" i="2"/>
  <c r="E906" i="2"/>
  <c r="F906" i="2"/>
  <c r="G906" i="2"/>
  <c r="H906" i="2"/>
  <c r="I906" i="2"/>
  <c r="J906" i="2"/>
  <c r="K906" i="2"/>
  <c r="B907" i="2"/>
  <c r="C907" i="2"/>
  <c r="D907" i="2"/>
  <c r="E907" i="2"/>
  <c r="F907" i="2"/>
  <c r="G907" i="2"/>
  <c r="H907" i="2"/>
  <c r="I907" i="2"/>
  <c r="J907" i="2"/>
  <c r="K907" i="2"/>
  <c r="B908" i="2"/>
  <c r="C908" i="2"/>
  <c r="D908" i="2"/>
  <c r="E908" i="2"/>
  <c r="F908" i="2"/>
  <c r="G908" i="2"/>
  <c r="H908" i="2"/>
  <c r="I908" i="2"/>
  <c r="J908" i="2"/>
  <c r="K908" i="2"/>
  <c r="B909" i="2"/>
  <c r="C909" i="2"/>
  <c r="D909" i="2"/>
  <c r="E909" i="2"/>
  <c r="F909" i="2"/>
  <c r="G909" i="2"/>
  <c r="H909" i="2"/>
  <c r="I909" i="2"/>
  <c r="J909" i="2"/>
  <c r="K909" i="2"/>
  <c r="B910" i="2"/>
  <c r="C910" i="2"/>
  <c r="D910" i="2"/>
  <c r="E910" i="2"/>
  <c r="F910" i="2"/>
  <c r="G910" i="2"/>
  <c r="H910" i="2"/>
  <c r="I910" i="2"/>
  <c r="J910" i="2"/>
  <c r="K910" i="2"/>
  <c r="B911" i="2"/>
  <c r="C911" i="2"/>
  <c r="D911" i="2"/>
  <c r="E911" i="2"/>
  <c r="F911" i="2"/>
  <c r="G911" i="2"/>
  <c r="H911" i="2"/>
  <c r="I911" i="2"/>
  <c r="J911" i="2"/>
  <c r="K911" i="2"/>
  <c r="B912" i="2"/>
  <c r="C912" i="2"/>
  <c r="D912" i="2"/>
  <c r="E912" i="2"/>
  <c r="F912" i="2"/>
  <c r="G912" i="2"/>
  <c r="H912" i="2"/>
  <c r="I912" i="2"/>
  <c r="J912" i="2"/>
  <c r="K912" i="2"/>
  <c r="B913" i="2"/>
  <c r="C913" i="2"/>
  <c r="D913" i="2"/>
  <c r="E913" i="2"/>
  <c r="F913" i="2"/>
  <c r="G913" i="2"/>
  <c r="H913" i="2"/>
  <c r="I913" i="2"/>
  <c r="J913" i="2"/>
  <c r="K913" i="2"/>
  <c r="B914" i="2"/>
  <c r="C914" i="2"/>
  <c r="D914" i="2"/>
  <c r="E914" i="2"/>
  <c r="F914" i="2"/>
  <c r="G914" i="2"/>
  <c r="H914" i="2"/>
  <c r="I914" i="2"/>
  <c r="J914" i="2"/>
  <c r="K914" i="2"/>
  <c r="B915" i="2"/>
  <c r="C915" i="2"/>
  <c r="D915" i="2"/>
  <c r="E915" i="2"/>
  <c r="F915" i="2"/>
  <c r="G915" i="2"/>
  <c r="H915" i="2"/>
  <c r="I915" i="2"/>
  <c r="J915" i="2"/>
  <c r="K915" i="2"/>
  <c r="B916" i="2"/>
  <c r="C916" i="2"/>
  <c r="D916" i="2"/>
  <c r="E916" i="2"/>
  <c r="F916" i="2"/>
  <c r="G916" i="2"/>
  <c r="H916" i="2"/>
  <c r="I916" i="2"/>
  <c r="J916" i="2"/>
  <c r="K916" i="2"/>
  <c r="B917" i="2"/>
  <c r="C917" i="2"/>
  <c r="D917" i="2"/>
  <c r="E917" i="2"/>
  <c r="F917" i="2"/>
  <c r="G917" i="2"/>
  <c r="H917" i="2"/>
  <c r="I917" i="2"/>
  <c r="J917" i="2"/>
  <c r="K917" i="2"/>
  <c r="B918" i="2"/>
  <c r="C918" i="2"/>
  <c r="D918" i="2"/>
  <c r="E918" i="2"/>
  <c r="F918" i="2"/>
  <c r="G918" i="2"/>
  <c r="H918" i="2"/>
  <c r="I918" i="2"/>
  <c r="J918" i="2"/>
  <c r="K918" i="2"/>
  <c r="B919" i="2"/>
  <c r="C919" i="2"/>
  <c r="D919" i="2"/>
  <c r="E919" i="2"/>
  <c r="F919" i="2"/>
  <c r="G919" i="2"/>
  <c r="H919" i="2"/>
  <c r="I919" i="2"/>
  <c r="J919" i="2"/>
  <c r="K919" i="2"/>
  <c r="B920" i="2"/>
  <c r="C920" i="2"/>
  <c r="D920" i="2"/>
  <c r="E920" i="2"/>
  <c r="F920" i="2"/>
  <c r="G920" i="2"/>
  <c r="H920" i="2"/>
  <c r="I920" i="2"/>
  <c r="J920" i="2"/>
  <c r="K920" i="2"/>
  <c r="B921" i="2"/>
  <c r="C921" i="2"/>
  <c r="D921" i="2"/>
  <c r="E921" i="2"/>
  <c r="F921" i="2"/>
  <c r="G921" i="2"/>
  <c r="H921" i="2"/>
  <c r="I921" i="2"/>
  <c r="J921" i="2"/>
  <c r="K921" i="2"/>
  <c r="B922" i="2"/>
  <c r="C922" i="2"/>
  <c r="D922" i="2"/>
  <c r="E922" i="2"/>
  <c r="F922" i="2"/>
  <c r="G922" i="2"/>
  <c r="H922" i="2"/>
  <c r="I922" i="2"/>
  <c r="J922" i="2"/>
  <c r="K922" i="2"/>
  <c r="B923" i="2"/>
  <c r="C923" i="2"/>
  <c r="D923" i="2"/>
  <c r="E923" i="2"/>
  <c r="F923" i="2"/>
  <c r="G923" i="2"/>
  <c r="H923" i="2"/>
  <c r="I923" i="2"/>
  <c r="J923" i="2"/>
  <c r="K923" i="2"/>
  <c r="B924" i="2"/>
  <c r="C924" i="2"/>
  <c r="D924" i="2"/>
  <c r="E924" i="2"/>
  <c r="F924" i="2"/>
  <c r="G924" i="2"/>
  <c r="H924" i="2"/>
  <c r="I924" i="2"/>
  <c r="J924" i="2"/>
  <c r="K924" i="2"/>
  <c r="B925" i="2"/>
  <c r="C925" i="2"/>
  <c r="D925" i="2"/>
  <c r="E925" i="2"/>
  <c r="F925" i="2"/>
  <c r="G925" i="2"/>
  <c r="H925" i="2"/>
  <c r="I925" i="2"/>
  <c r="J925" i="2"/>
  <c r="K925" i="2"/>
  <c r="B926" i="2"/>
  <c r="C926" i="2"/>
  <c r="D926" i="2"/>
  <c r="E926" i="2"/>
  <c r="F926" i="2"/>
  <c r="G926" i="2"/>
  <c r="H926" i="2"/>
  <c r="I926" i="2"/>
  <c r="J926" i="2"/>
  <c r="K926" i="2"/>
  <c r="B927" i="2"/>
  <c r="C927" i="2"/>
  <c r="D927" i="2"/>
  <c r="E927" i="2"/>
  <c r="F927" i="2"/>
  <c r="G927" i="2"/>
  <c r="H927" i="2"/>
  <c r="I927" i="2"/>
  <c r="J927" i="2"/>
  <c r="K927" i="2"/>
  <c r="B928" i="2"/>
  <c r="C928" i="2"/>
  <c r="D928" i="2"/>
  <c r="E928" i="2"/>
  <c r="F928" i="2"/>
  <c r="G928" i="2"/>
  <c r="H928" i="2"/>
  <c r="I928" i="2"/>
  <c r="J928" i="2"/>
  <c r="K928" i="2"/>
  <c r="B929" i="2"/>
  <c r="C929" i="2"/>
  <c r="D929" i="2"/>
  <c r="E929" i="2"/>
  <c r="F929" i="2"/>
  <c r="G929" i="2"/>
  <c r="H929" i="2"/>
  <c r="I929" i="2"/>
  <c r="J929" i="2"/>
  <c r="K929" i="2"/>
  <c r="B930" i="2"/>
  <c r="C930" i="2"/>
  <c r="D930" i="2"/>
  <c r="E930" i="2"/>
  <c r="F930" i="2"/>
  <c r="G930" i="2"/>
  <c r="H930" i="2"/>
  <c r="I930" i="2"/>
  <c r="J930" i="2"/>
  <c r="K930" i="2"/>
  <c r="B931" i="2"/>
  <c r="C931" i="2"/>
  <c r="D931" i="2"/>
  <c r="E931" i="2"/>
  <c r="F931" i="2"/>
  <c r="G931" i="2"/>
  <c r="H931" i="2"/>
  <c r="I931" i="2"/>
  <c r="J931" i="2"/>
  <c r="K931" i="2"/>
  <c r="B932" i="2"/>
  <c r="C932" i="2"/>
  <c r="D932" i="2"/>
  <c r="E932" i="2"/>
  <c r="F932" i="2"/>
  <c r="G932" i="2"/>
  <c r="H932" i="2"/>
  <c r="I932" i="2"/>
  <c r="J932" i="2"/>
  <c r="K932" i="2"/>
  <c r="B933" i="2"/>
  <c r="C933" i="2"/>
  <c r="D933" i="2"/>
  <c r="E933" i="2"/>
  <c r="F933" i="2"/>
  <c r="G933" i="2"/>
  <c r="H933" i="2"/>
  <c r="I933" i="2"/>
  <c r="J933" i="2"/>
  <c r="K933" i="2"/>
  <c r="B934" i="2"/>
  <c r="C934" i="2"/>
  <c r="D934" i="2"/>
  <c r="E934" i="2"/>
  <c r="F934" i="2"/>
  <c r="G934" i="2"/>
  <c r="H934" i="2"/>
  <c r="I934" i="2"/>
  <c r="J934" i="2"/>
  <c r="K934" i="2"/>
  <c r="B935" i="2"/>
  <c r="C935" i="2"/>
  <c r="D935" i="2"/>
  <c r="E935" i="2"/>
  <c r="F935" i="2"/>
  <c r="G935" i="2"/>
  <c r="H935" i="2"/>
  <c r="I935" i="2"/>
  <c r="J935" i="2"/>
  <c r="K935" i="2"/>
  <c r="B936" i="2"/>
  <c r="C936" i="2"/>
  <c r="D936" i="2"/>
  <c r="E936" i="2"/>
  <c r="F936" i="2"/>
  <c r="G936" i="2"/>
  <c r="H936" i="2"/>
  <c r="I936" i="2"/>
  <c r="J936" i="2"/>
  <c r="K936" i="2"/>
  <c r="B937" i="2"/>
  <c r="C937" i="2"/>
  <c r="D937" i="2"/>
  <c r="E937" i="2"/>
  <c r="F937" i="2"/>
  <c r="G937" i="2"/>
  <c r="H937" i="2"/>
  <c r="I937" i="2"/>
  <c r="J937" i="2"/>
  <c r="K937" i="2"/>
  <c r="B938" i="2"/>
  <c r="C938" i="2"/>
  <c r="D938" i="2"/>
  <c r="E938" i="2"/>
  <c r="F938" i="2"/>
  <c r="G938" i="2"/>
  <c r="H938" i="2"/>
  <c r="I938" i="2"/>
  <c r="J938" i="2"/>
  <c r="K938" i="2"/>
  <c r="B939" i="2"/>
  <c r="C939" i="2"/>
  <c r="D939" i="2"/>
  <c r="E939" i="2"/>
  <c r="F939" i="2"/>
  <c r="G939" i="2"/>
  <c r="H939" i="2"/>
  <c r="I939" i="2"/>
  <c r="J939" i="2"/>
  <c r="K939" i="2"/>
  <c r="B940" i="2"/>
  <c r="C940" i="2"/>
  <c r="D940" i="2"/>
  <c r="E940" i="2"/>
  <c r="F940" i="2"/>
  <c r="G940" i="2"/>
  <c r="H940" i="2"/>
  <c r="I940" i="2"/>
  <c r="J940" i="2"/>
  <c r="K940" i="2"/>
  <c r="B941" i="2"/>
  <c r="C941" i="2"/>
  <c r="D941" i="2"/>
  <c r="E941" i="2"/>
  <c r="F941" i="2"/>
  <c r="G941" i="2"/>
  <c r="H941" i="2"/>
  <c r="I941" i="2"/>
  <c r="J941" i="2"/>
  <c r="K941" i="2"/>
  <c r="B942" i="2"/>
  <c r="C942" i="2"/>
  <c r="D942" i="2"/>
  <c r="E942" i="2"/>
  <c r="F942" i="2"/>
  <c r="G942" i="2"/>
  <c r="H942" i="2"/>
  <c r="I942" i="2"/>
  <c r="J942" i="2"/>
  <c r="K942" i="2"/>
  <c r="B943" i="2"/>
  <c r="C943" i="2"/>
  <c r="D943" i="2"/>
  <c r="E943" i="2"/>
  <c r="F943" i="2"/>
  <c r="G943" i="2"/>
  <c r="H943" i="2"/>
  <c r="I943" i="2"/>
  <c r="J943" i="2"/>
  <c r="K943" i="2"/>
  <c r="B944" i="2"/>
  <c r="C944" i="2"/>
  <c r="D944" i="2"/>
  <c r="E944" i="2"/>
  <c r="F944" i="2"/>
  <c r="G944" i="2"/>
  <c r="H944" i="2"/>
  <c r="I944" i="2"/>
  <c r="J944" i="2"/>
  <c r="K944" i="2"/>
  <c r="B945" i="2"/>
  <c r="C945" i="2"/>
  <c r="D945" i="2"/>
  <c r="E945" i="2"/>
  <c r="F945" i="2"/>
  <c r="G945" i="2"/>
  <c r="H945" i="2"/>
  <c r="I945" i="2"/>
  <c r="J945" i="2"/>
  <c r="K945" i="2"/>
  <c r="B946" i="2"/>
  <c r="C946" i="2"/>
  <c r="D946" i="2"/>
  <c r="E946" i="2"/>
  <c r="F946" i="2"/>
  <c r="G946" i="2"/>
  <c r="H946" i="2"/>
  <c r="I946" i="2"/>
  <c r="J946" i="2"/>
  <c r="K946" i="2"/>
  <c r="B947" i="2"/>
  <c r="C947" i="2"/>
  <c r="D947" i="2"/>
  <c r="E947" i="2"/>
  <c r="F947" i="2"/>
  <c r="G947" i="2"/>
  <c r="H947" i="2"/>
  <c r="I947" i="2"/>
  <c r="J947" i="2"/>
  <c r="K947" i="2"/>
  <c r="B948" i="2"/>
  <c r="C948" i="2"/>
  <c r="D948" i="2"/>
  <c r="E948" i="2"/>
  <c r="F948" i="2"/>
  <c r="G948" i="2"/>
  <c r="H948" i="2"/>
  <c r="I948" i="2"/>
  <c r="J948" i="2"/>
  <c r="K948" i="2"/>
  <c r="B949" i="2"/>
  <c r="C949" i="2"/>
  <c r="D949" i="2"/>
  <c r="E949" i="2"/>
  <c r="F949" i="2"/>
  <c r="G949" i="2"/>
  <c r="H949" i="2"/>
  <c r="I949" i="2"/>
  <c r="J949" i="2"/>
  <c r="K949" i="2"/>
  <c r="B950" i="2"/>
  <c r="C950" i="2"/>
  <c r="D950" i="2"/>
  <c r="E950" i="2"/>
  <c r="F950" i="2"/>
  <c r="G950" i="2"/>
  <c r="H950" i="2"/>
  <c r="I950" i="2"/>
  <c r="J950" i="2"/>
  <c r="K950" i="2"/>
  <c r="B951" i="2"/>
  <c r="C951" i="2"/>
  <c r="D951" i="2"/>
  <c r="E951" i="2"/>
  <c r="F951" i="2"/>
  <c r="G951" i="2"/>
  <c r="H951" i="2"/>
  <c r="I951" i="2"/>
  <c r="J951" i="2"/>
  <c r="K951" i="2"/>
  <c r="B952" i="2"/>
  <c r="C952" i="2"/>
  <c r="D952" i="2"/>
  <c r="E952" i="2"/>
  <c r="F952" i="2"/>
  <c r="G952" i="2"/>
  <c r="H952" i="2"/>
  <c r="I952" i="2"/>
  <c r="J952" i="2"/>
  <c r="K952" i="2"/>
  <c r="B953" i="2"/>
  <c r="C953" i="2"/>
  <c r="D953" i="2"/>
  <c r="E953" i="2"/>
  <c r="F953" i="2"/>
  <c r="G953" i="2"/>
  <c r="H953" i="2"/>
  <c r="I953" i="2"/>
  <c r="J953" i="2"/>
  <c r="K953" i="2"/>
  <c r="B954" i="2"/>
  <c r="C954" i="2"/>
  <c r="D954" i="2"/>
  <c r="E954" i="2"/>
  <c r="F954" i="2"/>
  <c r="G954" i="2"/>
  <c r="H954" i="2"/>
  <c r="I954" i="2"/>
  <c r="J954" i="2"/>
  <c r="K954" i="2"/>
  <c r="B955" i="2"/>
  <c r="C955" i="2"/>
  <c r="D955" i="2"/>
  <c r="E955" i="2"/>
  <c r="F955" i="2"/>
  <c r="G955" i="2"/>
  <c r="H955" i="2"/>
  <c r="I955" i="2"/>
  <c r="J955" i="2"/>
  <c r="K955" i="2"/>
  <c r="B956" i="2"/>
  <c r="C956" i="2"/>
  <c r="D956" i="2"/>
  <c r="E956" i="2"/>
  <c r="F956" i="2"/>
  <c r="G956" i="2"/>
  <c r="H956" i="2"/>
  <c r="I956" i="2"/>
  <c r="J956" i="2"/>
  <c r="K956" i="2"/>
  <c r="B957" i="2"/>
  <c r="C957" i="2"/>
  <c r="D957" i="2"/>
  <c r="E957" i="2"/>
  <c r="F957" i="2"/>
  <c r="G957" i="2"/>
  <c r="H957" i="2"/>
  <c r="I957" i="2"/>
  <c r="J957" i="2"/>
  <c r="K957" i="2"/>
  <c r="B958" i="2"/>
  <c r="C958" i="2"/>
  <c r="D958" i="2"/>
  <c r="E958" i="2"/>
  <c r="F958" i="2"/>
  <c r="G958" i="2"/>
  <c r="H958" i="2"/>
  <c r="I958" i="2"/>
  <c r="J958" i="2"/>
  <c r="K958" i="2"/>
  <c r="B959" i="2"/>
  <c r="C959" i="2"/>
  <c r="D959" i="2"/>
  <c r="E959" i="2"/>
  <c r="F959" i="2"/>
  <c r="G959" i="2"/>
  <c r="H959" i="2"/>
  <c r="I959" i="2"/>
  <c r="J959" i="2"/>
  <c r="K959" i="2"/>
  <c r="B960" i="2"/>
  <c r="C960" i="2"/>
  <c r="D960" i="2"/>
  <c r="E960" i="2"/>
  <c r="F960" i="2"/>
  <c r="G960" i="2"/>
  <c r="H960" i="2"/>
  <c r="I960" i="2"/>
  <c r="J960" i="2"/>
  <c r="K960" i="2"/>
  <c r="B961" i="2"/>
  <c r="C961" i="2"/>
  <c r="D961" i="2"/>
  <c r="E961" i="2"/>
  <c r="F961" i="2"/>
  <c r="G961" i="2"/>
  <c r="H961" i="2"/>
  <c r="I961" i="2"/>
  <c r="J961" i="2"/>
  <c r="K961" i="2"/>
  <c r="B962" i="2"/>
  <c r="C962" i="2"/>
  <c r="D962" i="2"/>
  <c r="E962" i="2"/>
  <c r="F962" i="2"/>
  <c r="G962" i="2"/>
  <c r="H962" i="2"/>
  <c r="I962" i="2"/>
  <c r="J962" i="2"/>
  <c r="K962" i="2"/>
  <c r="B963" i="2"/>
  <c r="C963" i="2"/>
  <c r="D963" i="2"/>
  <c r="E963" i="2"/>
  <c r="F963" i="2"/>
  <c r="G963" i="2"/>
  <c r="H963" i="2"/>
  <c r="I963" i="2"/>
  <c r="J963" i="2"/>
  <c r="K963" i="2"/>
  <c r="B964" i="2"/>
  <c r="C964" i="2"/>
  <c r="D964" i="2"/>
  <c r="E964" i="2"/>
  <c r="F964" i="2"/>
  <c r="G964" i="2"/>
  <c r="H964" i="2"/>
  <c r="I964" i="2"/>
  <c r="J964" i="2"/>
  <c r="K964" i="2"/>
  <c r="B965" i="2"/>
  <c r="C965" i="2"/>
  <c r="D965" i="2"/>
  <c r="E965" i="2"/>
  <c r="F965" i="2"/>
  <c r="G965" i="2"/>
  <c r="H965" i="2"/>
  <c r="I965" i="2"/>
  <c r="J965" i="2"/>
  <c r="K965" i="2"/>
  <c r="B966" i="2"/>
  <c r="C966" i="2"/>
  <c r="D966" i="2"/>
  <c r="E966" i="2"/>
  <c r="F966" i="2"/>
  <c r="G966" i="2"/>
  <c r="H966" i="2"/>
  <c r="I966" i="2"/>
  <c r="J966" i="2"/>
  <c r="K966" i="2"/>
  <c r="B967" i="2"/>
  <c r="C967" i="2"/>
  <c r="D967" i="2"/>
  <c r="E967" i="2"/>
  <c r="F967" i="2"/>
  <c r="G967" i="2"/>
  <c r="H967" i="2"/>
  <c r="I967" i="2"/>
  <c r="J967" i="2"/>
  <c r="K967" i="2"/>
  <c r="B968" i="2"/>
  <c r="C968" i="2"/>
  <c r="D968" i="2"/>
  <c r="E968" i="2"/>
  <c r="F968" i="2"/>
  <c r="G968" i="2"/>
  <c r="H968" i="2"/>
  <c r="I968" i="2"/>
  <c r="J968" i="2"/>
  <c r="K968" i="2"/>
  <c r="B969" i="2"/>
  <c r="C969" i="2"/>
  <c r="D969" i="2"/>
  <c r="E969" i="2"/>
  <c r="F969" i="2"/>
  <c r="G969" i="2"/>
  <c r="H969" i="2"/>
  <c r="I969" i="2"/>
  <c r="J969" i="2"/>
  <c r="K969" i="2"/>
  <c r="B970" i="2"/>
  <c r="C970" i="2"/>
  <c r="D970" i="2"/>
  <c r="E970" i="2"/>
  <c r="F970" i="2"/>
  <c r="G970" i="2"/>
  <c r="H970" i="2"/>
  <c r="I970" i="2"/>
  <c r="J970" i="2"/>
  <c r="K970" i="2"/>
  <c r="B971" i="2"/>
  <c r="C971" i="2"/>
  <c r="D971" i="2"/>
  <c r="E971" i="2"/>
  <c r="F971" i="2"/>
  <c r="G971" i="2"/>
  <c r="H971" i="2"/>
  <c r="I971" i="2"/>
  <c r="J971" i="2"/>
  <c r="K971" i="2"/>
  <c r="B972" i="2"/>
  <c r="C972" i="2"/>
  <c r="D972" i="2"/>
  <c r="E972" i="2"/>
  <c r="F972" i="2"/>
  <c r="G972" i="2"/>
  <c r="H972" i="2"/>
  <c r="I972" i="2"/>
  <c r="J972" i="2"/>
  <c r="K972" i="2"/>
  <c r="B973" i="2"/>
  <c r="C973" i="2"/>
  <c r="D973" i="2"/>
  <c r="E973" i="2"/>
  <c r="F973" i="2"/>
  <c r="G973" i="2"/>
  <c r="H973" i="2"/>
  <c r="I973" i="2"/>
  <c r="J973" i="2"/>
  <c r="K973" i="2"/>
  <c r="B974" i="2"/>
  <c r="C974" i="2"/>
  <c r="D974" i="2"/>
  <c r="E974" i="2"/>
  <c r="F974" i="2"/>
  <c r="G974" i="2"/>
  <c r="H974" i="2"/>
  <c r="I974" i="2"/>
  <c r="J974" i="2"/>
  <c r="K974" i="2"/>
  <c r="B975" i="2"/>
  <c r="C975" i="2"/>
  <c r="D975" i="2"/>
  <c r="E975" i="2"/>
  <c r="F975" i="2"/>
  <c r="G975" i="2"/>
  <c r="H975" i="2"/>
  <c r="I975" i="2"/>
  <c r="J975" i="2"/>
  <c r="K975" i="2"/>
  <c r="B976" i="2"/>
  <c r="C976" i="2"/>
  <c r="D976" i="2"/>
  <c r="E976" i="2"/>
  <c r="F976" i="2"/>
  <c r="G976" i="2"/>
  <c r="H976" i="2"/>
  <c r="I976" i="2"/>
  <c r="J976" i="2"/>
  <c r="K976" i="2"/>
  <c r="B977" i="2"/>
  <c r="C977" i="2"/>
  <c r="D977" i="2"/>
  <c r="E977" i="2"/>
  <c r="F977" i="2"/>
  <c r="G977" i="2"/>
  <c r="H977" i="2"/>
  <c r="I977" i="2"/>
  <c r="J977" i="2"/>
  <c r="K977" i="2"/>
  <c r="B978" i="2"/>
  <c r="C978" i="2"/>
  <c r="D978" i="2"/>
  <c r="E978" i="2"/>
  <c r="F978" i="2"/>
  <c r="G978" i="2"/>
  <c r="H978" i="2"/>
  <c r="I978" i="2"/>
  <c r="J978" i="2"/>
  <c r="K978" i="2"/>
  <c r="B979" i="2"/>
  <c r="C979" i="2"/>
  <c r="D979" i="2"/>
  <c r="E979" i="2"/>
  <c r="F979" i="2"/>
  <c r="G979" i="2"/>
  <c r="H979" i="2"/>
  <c r="I979" i="2"/>
  <c r="J979" i="2"/>
  <c r="K979" i="2"/>
  <c r="B980" i="2"/>
  <c r="C980" i="2"/>
  <c r="D980" i="2"/>
  <c r="E980" i="2"/>
  <c r="F980" i="2"/>
  <c r="G980" i="2"/>
  <c r="H980" i="2"/>
  <c r="I980" i="2"/>
  <c r="J980" i="2"/>
  <c r="K980" i="2"/>
  <c r="B981" i="2"/>
  <c r="C981" i="2"/>
  <c r="D981" i="2"/>
  <c r="E981" i="2"/>
  <c r="F981" i="2"/>
  <c r="G981" i="2"/>
  <c r="H981" i="2"/>
  <c r="I981" i="2"/>
  <c r="J981" i="2"/>
  <c r="K981" i="2"/>
  <c r="B982" i="2"/>
  <c r="C982" i="2"/>
  <c r="D982" i="2"/>
  <c r="E982" i="2"/>
  <c r="F982" i="2"/>
  <c r="G982" i="2"/>
  <c r="H982" i="2"/>
  <c r="I982" i="2"/>
  <c r="J982" i="2"/>
  <c r="K982" i="2"/>
  <c r="B983" i="2"/>
  <c r="C983" i="2"/>
  <c r="D983" i="2"/>
  <c r="E983" i="2"/>
  <c r="F983" i="2"/>
  <c r="G983" i="2"/>
  <c r="H983" i="2"/>
  <c r="I983" i="2"/>
  <c r="J983" i="2"/>
  <c r="K983" i="2"/>
  <c r="B984" i="2"/>
  <c r="C984" i="2"/>
  <c r="D984" i="2"/>
  <c r="E984" i="2"/>
  <c r="F984" i="2"/>
  <c r="G984" i="2"/>
  <c r="H984" i="2"/>
  <c r="I984" i="2"/>
  <c r="J984" i="2"/>
  <c r="K984" i="2"/>
  <c r="B985" i="2"/>
  <c r="C985" i="2"/>
  <c r="D985" i="2"/>
  <c r="E985" i="2"/>
  <c r="F985" i="2"/>
  <c r="G985" i="2"/>
  <c r="H985" i="2"/>
  <c r="I985" i="2"/>
  <c r="J985" i="2"/>
  <c r="K985" i="2"/>
  <c r="B986" i="2"/>
  <c r="C986" i="2"/>
  <c r="D986" i="2"/>
  <c r="E986" i="2"/>
  <c r="F986" i="2"/>
  <c r="G986" i="2"/>
  <c r="H986" i="2"/>
  <c r="I986" i="2"/>
  <c r="J986" i="2"/>
  <c r="K986" i="2"/>
  <c r="B987" i="2"/>
  <c r="C987" i="2"/>
  <c r="D987" i="2"/>
  <c r="E987" i="2"/>
  <c r="F987" i="2"/>
  <c r="G987" i="2"/>
  <c r="H987" i="2"/>
  <c r="I987" i="2"/>
  <c r="J987" i="2"/>
  <c r="K987" i="2"/>
  <c r="B988" i="2"/>
  <c r="C988" i="2"/>
  <c r="D988" i="2"/>
  <c r="E988" i="2"/>
  <c r="F988" i="2"/>
  <c r="G988" i="2"/>
  <c r="H988" i="2"/>
  <c r="I988" i="2"/>
  <c r="J988" i="2"/>
  <c r="K988" i="2"/>
  <c r="B989" i="2"/>
  <c r="C989" i="2"/>
  <c r="D989" i="2"/>
  <c r="E989" i="2"/>
  <c r="F989" i="2"/>
  <c r="G989" i="2"/>
  <c r="H989" i="2"/>
  <c r="I989" i="2"/>
  <c r="J989" i="2"/>
  <c r="K989" i="2"/>
  <c r="B990" i="2"/>
  <c r="C990" i="2"/>
  <c r="D990" i="2"/>
  <c r="E990" i="2"/>
  <c r="F990" i="2"/>
  <c r="G990" i="2"/>
  <c r="H990" i="2"/>
  <c r="I990" i="2"/>
  <c r="J990" i="2"/>
  <c r="K990" i="2"/>
  <c r="B991" i="2"/>
  <c r="C991" i="2"/>
  <c r="D991" i="2"/>
  <c r="E991" i="2"/>
  <c r="F991" i="2"/>
  <c r="G991" i="2"/>
  <c r="H991" i="2"/>
  <c r="I991" i="2"/>
  <c r="J991" i="2"/>
  <c r="K991" i="2"/>
  <c r="B992" i="2"/>
  <c r="C992" i="2"/>
  <c r="D992" i="2"/>
  <c r="E992" i="2"/>
  <c r="F992" i="2"/>
  <c r="G992" i="2"/>
  <c r="H992" i="2"/>
  <c r="I992" i="2"/>
  <c r="J992" i="2"/>
  <c r="K992" i="2"/>
  <c r="B993" i="2"/>
  <c r="C993" i="2"/>
  <c r="D993" i="2"/>
  <c r="E993" i="2"/>
  <c r="F993" i="2"/>
  <c r="G993" i="2"/>
  <c r="H993" i="2"/>
  <c r="I993" i="2"/>
  <c r="J993" i="2"/>
  <c r="K993" i="2"/>
  <c r="B994" i="2"/>
  <c r="C994" i="2"/>
  <c r="D994" i="2"/>
  <c r="E994" i="2"/>
  <c r="F994" i="2"/>
  <c r="G994" i="2"/>
  <c r="H994" i="2"/>
  <c r="I994" i="2"/>
  <c r="J994" i="2"/>
  <c r="K994" i="2"/>
  <c r="B995" i="2"/>
  <c r="C995" i="2"/>
  <c r="D995" i="2"/>
  <c r="E995" i="2"/>
  <c r="F995" i="2"/>
  <c r="G995" i="2"/>
  <c r="H995" i="2"/>
  <c r="I995" i="2"/>
  <c r="J995" i="2"/>
  <c r="K995" i="2"/>
  <c r="B996" i="2"/>
  <c r="C996" i="2"/>
  <c r="D996" i="2"/>
  <c r="E996" i="2"/>
  <c r="F996" i="2"/>
  <c r="G996" i="2"/>
  <c r="H996" i="2"/>
  <c r="I996" i="2"/>
  <c r="J996" i="2"/>
  <c r="K996" i="2"/>
  <c r="B997" i="2"/>
  <c r="C997" i="2"/>
  <c r="D997" i="2"/>
  <c r="E997" i="2"/>
  <c r="F997" i="2"/>
  <c r="G997" i="2"/>
  <c r="H997" i="2"/>
  <c r="I997" i="2"/>
  <c r="J997" i="2"/>
  <c r="K997" i="2"/>
  <c r="B998" i="2"/>
  <c r="C998" i="2"/>
  <c r="D998" i="2"/>
  <c r="E998" i="2"/>
  <c r="F998" i="2"/>
  <c r="G998" i="2"/>
  <c r="H998" i="2"/>
  <c r="I998" i="2"/>
  <c r="J998" i="2"/>
  <c r="K998" i="2"/>
  <c r="B999" i="2"/>
  <c r="C999" i="2"/>
  <c r="D999" i="2"/>
  <c r="E999" i="2"/>
  <c r="F999" i="2"/>
  <c r="G999" i="2"/>
  <c r="H999" i="2"/>
  <c r="I999" i="2"/>
  <c r="J999" i="2"/>
  <c r="K999" i="2"/>
  <c r="B1000" i="2"/>
  <c r="C1000" i="2"/>
  <c r="D1000" i="2"/>
  <c r="E1000" i="2"/>
  <c r="F1000" i="2"/>
  <c r="G1000" i="2"/>
  <c r="H1000" i="2"/>
  <c r="I1000" i="2"/>
  <c r="J1000" i="2"/>
  <c r="K1000" i="2"/>
  <c r="B1001" i="2"/>
  <c r="C1001" i="2"/>
  <c r="D1001" i="2"/>
  <c r="E1001" i="2"/>
  <c r="F1001" i="2"/>
  <c r="G1001" i="2"/>
  <c r="H1001" i="2"/>
  <c r="I1001" i="2"/>
  <c r="J1001" i="2"/>
  <c r="K1001" i="2"/>
  <c r="B1002" i="2"/>
  <c r="C1002" i="2"/>
  <c r="D1002" i="2"/>
  <c r="E1002" i="2"/>
  <c r="F1002" i="2"/>
  <c r="G1002" i="2"/>
  <c r="H1002" i="2"/>
  <c r="I1002" i="2"/>
  <c r="J1002" i="2"/>
  <c r="K1002" i="2"/>
  <c r="B1003" i="2"/>
  <c r="C1003" i="2"/>
  <c r="D1003" i="2"/>
  <c r="E1003" i="2"/>
  <c r="F1003" i="2"/>
  <c r="G1003" i="2"/>
  <c r="H1003" i="2"/>
  <c r="I1003" i="2"/>
  <c r="J1003" i="2"/>
  <c r="K1003" i="2"/>
  <c r="B1004" i="2"/>
  <c r="C1004" i="2"/>
  <c r="D1004" i="2"/>
  <c r="E1004" i="2"/>
  <c r="F1004" i="2"/>
  <c r="G1004" i="2"/>
  <c r="H1004" i="2"/>
  <c r="I1004" i="2"/>
  <c r="J1004" i="2"/>
  <c r="K1004" i="2"/>
  <c r="B1005" i="2"/>
  <c r="C1005" i="2"/>
  <c r="D1005" i="2"/>
  <c r="E1005" i="2"/>
  <c r="F1005" i="2"/>
  <c r="G1005" i="2"/>
  <c r="H1005" i="2"/>
  <c r="I1005" i="2"/>
  <c r="J1005" i="2"/>
  <c r="K1005" i="2"/>
  <c r="B1006" i="2"/>
  <c r="C1006" i="2"/>
  <c r="D1006" i="2"/>
  <c r="E1006" i="2"/>
  <c r="F1006" i="2"/>
  <c r="G1006" i="2"/>
  <c r="H1006" i="2"/>
  <c r="I1006" i="2"/>
  <c r="J1006" i="2"/>
  <c r="K1006" i="2"/>
  <c r="B1007" i="2"/>
  <c r="C1007" i="2"/>
  <c r="D1007" i="2"/>
  <c r="E1007" i="2"/>
  <c r="F1007" i="2"/>
  <c r="G1007" i="2"/>
  <c r="H1007" i="2"/>
  <c r="I1007" i="2"/>
  <c r="J1007" i="2"/>
  <c r="K1007" i="2"/>
  <c r="B1008" i="2"/>
  <c r="C1008" i="2"/>
  <c r="D1008" i="2"/>
  <c r="E1008" i="2"/>
  <c r="F1008" i="2"/>
  <c r="G1008" i="2"/>
  <c r="H1008" i="2"/>
  <c r="I1008" i="2"/>
  <c r="J1008" i="2"/>
  <c r="K1008" i="2"/>
  <c r="B1009" i="2"/>
  <c r="C1009" i="2"/>
  <c r="D1009" i="2"/>
  <c r="E1009" i="2"/>
  <c r="F1009" i="2"/>
  <c r="G1009" i="2"/>
  <c r="H1009" i="2"/>
  <c r="I1009" i="2"/>
  <c r="J1009" i="2"/>
  <c r="K1009" i="2"/>
  <c r="B1010" i="2"/>
  <c r="C1010" i="2"/>
  <c r="D1010" i="2"/>
  <c r="E1010" i="2"/>
  <c r="F1010" i="2"/>
  <c r="G1010" i="2"/>
  <c r="H1010" i="2"/>
  <c r="I1010" i="2"/>
  <c r="J1010" i="2"/>
  <c r="K1010" i="2"/>
  <c r="B1011" i="2"/>
  <c r="C1011" i="2"/>
  <c r="D1011" i="2"/>
  <c r="E1011" i="2"/>
  <c r="F1011" i="2"/>
  <c r="G1011" i="2"/>
  <c r="H1011" i="2"/>
  <c r="I1011" i="2"/>
  <c r="J1011" i="2"/>
  <c r="K1011" i="2"/>
  <c r="B1012" i="2"/>
  <c r="C1012" i="2"/>
  <c r="D1012" i="2"/>
  <c r="E1012" i="2"/>
  <c r="F1012" i="2"/>
  <c r="G1012" i="2"/>
  <c r="H1012" i="2"/>
  <c r="I1012" i="2"/>
  <c r="J1012" i="2"/>
  <c r="K1012" i="2"/>
  <c r="B1013" i="2"/>
  <c r="C1013" i="2"/>
  <c r="D1013" i="2"/>
  <c r="E1013" i="2"/>
  <c r="F1013" i="2"/>
  <c r="G1013" i="2"/>
  <c r="H1013" i="2"/>
  <c r="I1013" i="2"/>
  <c r="J1013" i="2"/>
  <c r="K1013" i="2"/>
  <c r="B1014" i="2"/>
  <c r="C1014" i="2"/>
  <c r="D1014" i="2"/>
  <c r="E1014" i="2"/>
  <c r="F1014" i="2"/>
  <c r="G1014" i="2"/>
  <c r="H1014" i="2"/>
  <c r="I1014" i="2"/>
  <c r="J1014" i="2"/>
  <c r="K1014" i="2"/>
  <c r="B1015" i="2"/>
  <c r="C1015" i="2"/>
  <c r="D1015" i="2"/>
  <c r="E1015" i="2"/>
  <c r="F1015" i="2"/>
  <c r="G1015" i="2"/>
  <c r="H1015" i="2"/>
  <c r="I1015" i="2"/>
  <c r="J1015" i="2"/>
  <c r="K1015" i="2"/>
  <c r="B1016" i="2"/>
  <c r="C1016" i="2"/>
  <c r="D1016" i="2"/>
  <c r="E1016" i="2"/>
  <c r="F1016" i="2"/>
  <c r="G1016" i="2"/>
  <c r="H1016" i="2"/>
  <c r="I1016" i="2"/>
  <c r="J1016" i="2"/>
  <c r="K1016" i="2"/>
  <c r="B1017" i="2"/>
  <c r="C1017" i="2"/>
  <c r="D1017" i="2"/>
  <c r="E1017" i="2"/>
  <c r="F1017" i="2"/>
  <c r="G1017" i="2"/>
  <c r="H1017" i="2"/>
  <c r="I1017" i="2"/>
  <c r="J1017" i="2"/>
  <c r="K1017" i="2"/>
  <c r="B1018" i="2"/>
  <c r="C1018" i="2"/>
  <c r="D1018" i="2"/>
  <c r="E1018" i="2"/>
  <c r="F1018" i="2"/>
  <c r="G1018" i="2"/>
  <c r="H1018" i="2"/>
  <c r="I1018" i="2"/>
  <c r="J1018" i="2"/>
  <c r="K1018" i="2"/>
  <c r="B1019" i="2"/>
  <c r="C1019" i="2"/>
  <c r="D1019" i="2"/>
  <c r="E1019" i="2"/>
  <c r="F1019" i="2"/>
  <c r="G1019" i="2"/>
  <c r="H1019" i="2"/>
  <c r="I1019" i="2"/>
  <c r="J1019" i="2"/>
  <c r="K1019" i="2"/>
  <c r="B1020" i="2"/>
  <c r="C1020" i="2"/>
  <c r="D1020" i="2"/>
  <c r="E1020" i="2"/>
  <c r="F1020" i="2"/>
  <c r="G1020" i="2"/>
  <c r="H1020" i="2"/>
  <c r="I1020" i="2"/>
  <c r="J1020" i="2"/>
  <c r="K1020" i="2"/>
  <c r="B1021" i="2"/>
  <c r="C1021" i="2"/>
  <c r="D1021" i="2"/>
  <c r="E1021" i="2"/>
  <c r="F1021" i="2"/>
  <c r="G1021" i="2"/>
  <c r="H1021" i="2"/>
  <c r="I1021" i="2"/>
  <c r="J1021" i="2"/>
  <c r="K1021" i="2"/>
  <c r="B1022" i="2"/>
  <c r="C1022" i="2"/>
  <c r="D1022" i="2"/>
  <c r="E1022" i="2"/>
  <c r="F1022" i="2"/>
  <c r="G1022" i="2"/>
  <c r="H1022" i="2"/>
  <c r="I1022" i="2"/>
  <c r="J1022" i="2"/>
  <c r="K1022" i="2"/>
  <c r="B1023" i="2"/>
  <c r="C1023" i="2"/>
  <c r="D1023" i="2"/>
  <c r="E1023" i="2"/>
  <c r="F1023" i="2"/>
  <c r="G1023" i="2"/>
  <c r="H1023" i="2"/>
  <c r="I1023" i="2"/>
  <c r="J1023" i="2"/>
  <c r="K1023" i="2"/>
  <c r="B1024" i="2"/>
  <c r="C1024" i="2"/>
  <c r="D1024" i="2"/>
  <c r="E1024" i="2"/>
  <c r="F1024" i="2"/>
  <c r="G1024" i="2"/>
  <c r="H1024" i="2"/>
  <c r="I1024" i="2"/>
  <c r="J1024" i="2"/>
  <c r="K1024" i="2"/>
  <c r="B1025" i="2"/>
  <c r="C1025" i="2"/>
  <c r="D1025" i="2"/>
  <c r="E1025" i="2"/>
  <c r="F1025" i="2"/>
  <c r="G1025" i="2"/>
  <c r="H1025" i="2"/>
  <c r="I1025" i="2"/>
  <c r="J1025" i="2"/>
  <c r="K1025" i="2"/>
  <c r="B1026" i="2"/>
  <c r="C1026" i="2"/>
  <c r="D1026" i="2"/>
  <c r="E1026" i="2"/>
  <c r="F1026" i="2"/>
  <c r="G1026" i="2"/>
  <c r="H1026" i="2"/>
  <c r="I1026" i="2"/>
  <c r="J1026" i="2"/>
  <c r="K1026" i="2"/>
  <c r="B1027" i="2"/>
  <c r="C1027" i="2"/>
  <c r="D1027" i="2"/>
  <c r="E1027" i="2"/>
  <c r="F1027" i="2"/>
  <c r="G1027" i="2"/>
  <c r="H1027" i="2"/>
  <c r="I1027" i="2"/>
  <c r="J1027" i="2"/>
  <c r="K1027" i="2"/>
  <c r="B1028" i="2"/>
  <c r="C1028" i="2"/>
  <c r="D1028" i="2"/>
  <c r="E1028" i="2"/>
  <c r="F1028" i="2"/>
  <c r="G1028" i="2"/>
  <c r="H1028" i="2"/>
  <c r="I1028" i="2"/>
  <c r="J1028" i="2"/>
  <c r="K1028" i="2"/>
  <c r="B1029" i="2"/>
  <c r="C1029" i="2"/>
  <c r="D1029" i="2"/>
  <c r="E1029" i="2"/>
  <c r="F1029" i="2"/>
  <c r="G1029" i="2"/>
  <c r="H1029" i="2"/>
  <c r="I1029" i="2"/>
  <c r="J1029" i="2"/>
  <c r="K1029" i="2"/>
  <c r="B1030" i="2"/>
  <c r="C1030" i="2"/>
  <c r="D1030" i="2"/>
  <c r="E1030" i="2"/>
  <c r="F1030" i="2"/>
  <c r="G1030" i="2"/>
  <c r="H1030" i="2"/>
  <c r="I1030" i="2"/>
  <c r="J1030" i="2"/>
  <c r="K1030" i="2"/>
  <c r="B1031" i="2"/>
  <c r="C1031" i="2"/>
  <c r="D1031" i="2"/>
  <c r="E1031" i="2"/>
  <c r="F1031" i="2"/>
  <c r="G1031" i="2"/>
  <c r="H1031" i="2"/>
  <c r="I1031" i="2"/>
  <c r="J1031" i="2"/>
  <c r="K1031" i="2"/>
  <c r="B1032" i="2"/>
  <c r="C1032" i="2"/>
  <c r="D1032" i="2"/>
  <c r="E1032" i="2"/>
  <c r="F1032" i="2"/>
  <c r="G1032" i="2"/>
  <c r="H1032" i="2"/>
  <c r="I1032" i="2"/>
  <c r="J1032" i="2"/>
  <c r="K1032" i="2"/>
  <c r="B1033" i="2"/>
  <c r="C1033" i="2"/>
  <c r="D1033" i="2"/>
  <c r="E1033" i="2"/>
  <c r="F1033" i="2"/>
  <c r="G1033" i="2"/>
  <c r="H1033" i="2"/>
  <c r="I1033" i="2"/>
  <c r="J1033" i="2"/>
  <c r="K1033" i="2"/>
  <c r="B1034" i="2"/>
  <c r="C1034" i="2"/>
  <c r="D1034" i="2"/>
  <c r="E1034" i="2"/>
  <c r="F1034" i="2"/>
  <c r="G1034" i="2"/>
  <c r="H1034" i="2"/>
  <c r="I1034" i="2"/>
  <c r="J1034" i="2"/>
  <c r="K1034" i="2"/>
  <c r="B1035" i="2"/>
  <c r="C1035" i="2"/>
  <c r="D1035" i="2"/>
  <c r="E1035" i="2"/>
  <c r="F1035" i="2"/>
  <c r="G1035" i="2"/>
  <c r="H1035" i="2"/>
  <c r="I1035" i="2"/>
  <c r="J1035" i="2"/>
  <c r="K1035" i="2"/>
  <c r="B1036" i="2"/>
  <c r="C1036" i="2"/>
  <c r="D1036" i="2"/>
  <c r="E1036" i="2"/>
  <c r="F1036" i="2"/>
  <c r="G1036" i="2"/>
  <c r="H1036" i="2"/>
  <c r="I1036" i="2"/>
  <c r="J1036" i="2"/>
  <c r="K1036" i="2"/>
  <c r="B1037" i="2"/>
  <c r="C1037" i="2"/>
  <c r="D1037" i="2"/>
  <c r="E1037" i="2"/>
  <c r="F1037" i="2"/>
  <c r="G1037" i="2"/>
  <c r="H1037" i="2"/>
  <c r="I1037" i="2"/>
  <c r="J1037" i="2"/>
  <c r="K1037" i="2"/>
  <c r="B1038" i="2"/>
  <c r="C1038" i="2"/>
  <c r="D1038" i="2"/>
  <c r="E1038" i="2"/>
  <c r="F1038" i="2"/>
  <c r="G1038" i="2"/>
  <c r="H1038" i="2"/>
  <c r="I1038" i="2"/>
  <c r="J1038" i="2"/>
  <c r="K1038" i="2"/>
  <c r="B1039" i="2"/>
  <c r="C1039" i="2"/>
  <c r="D1039" i="2"/>
  <c r="E1039" i="2"/>
  <c r="F1039" i="2"/>
  <c r="G1039" i="2"/>
  <c r="H1039" i="2"/>
  <c r="I1039" i="2"/>
  <c r="J1039" i="2"/>
  <c r="K1039" i="2"/>
  <c r="B1040" i="2"/>
  <c r="C1040" i="2"/>
  <c r="D1040" i="2"/>
  <c r="E1040" i="2"/>
  <c r="F1040" i="2"/>
  <c r="G1040" i="2"/>
  <c r="H1040" i="2"/>
  <c r="I1040" i="2"/>
  <c r="J1040" i="2"/>
  <c r="K1040" i="2"/>
  <c r="B1041" i="2"/>
  <c r="C1041" i="2"/>
  <c r="D1041" i="2"/>
  <c r="E1041" i="2"/>
  <c r="F1041" i="2"/>
  <c r="G1041" i="2"/>
  <c r="H1041" i="2"/>
  <c r="I1041" i="2"/>
  <c r="J1041" i="2"/>
  <c r="K1041" i="2"/>
  <c r="B1042" i="2"/>
  <c r="C1042" i="2"/>
  <c r="D1042" i="2"/>
  <c r="E1042" i="2"/>
  <c r="F1042" i="2"/>
  <c r="G1042" i="2"/>
  <c r="H1042" i="2"/>
  <c r="I1042" i="2"/>
  <c r="J1042" i="2"/>
  <c r="K1042" i="2"/>
  <c r="B1043" i="2"/>
  <c r="C1043" i="2"/>
  <c r="D1043" i="2"/>
  <c r="E1043" i="2"/>
  <c r="F1043" i="2"/>
  <c r="G1043" i="2"/>
  <c r="H1043" i="2"/>
  <c r="I1043" i="2"/>
  <c r="J1043" i="2"/>
  <c r="K1043" i="2"/>
  <c r="B1044" i="2"/>
  <c r="C1044" i="2"/>
  <c r="D1044" i="2"/>
  <c r="E1044" i="2"/>
  <c r="F1044" i="2"/>
  <c r="G1044" i="2"/>
  <c r="H1044" i="2"/>
  <c r="I1044" i="2"/>
  <c r="J1044" i="2"/>
  <c r="K1044" i="2"/>
  <c r="B1045" i="2"/>
  <c r="C1045" i="2"/>
  <c r="D1045" i="2"/>
  <c r="E1045" i="2"/>
  <c r="F1045" i="2"/>
  <c r="G1045" i="2"/>
  <c r="H1045" i="2"/>
  <c r="I1045" i="2"/>
  <c r="J1045" i="2"/>
  <c r="K1045" i="2"/>
  <c r="B1046" i="2"/>
  <c r="C1046" i="2"/>
  <c r="D1046" i="2"/>
  <c r="E1046" i="2"/>
  <c r="F1046" i="2"/>
  <c r="G1046" i="2"/>
  <c r="H1046" i="2"/>
  <c r="I1046" i="2"/>
  <c r="J1046" i="2"/>
  <c r="K1046" i="2"/>
  <c r="B1047" i="2"/>
  <c r="C1047" i="2"/>
  <c r="D1047" i="2"/>
  <c r="E1047" i="2"/>
  <c r="F1047" i="2"/>
  <c r="G1047" i="2"/>
  <c r="H1047" i="2"/>
  <c r="I1047" i="2"/>
  <c r="J1047" i="2"/>
  <c r="K1047" i="2"/>
  <c r="B1048" i="2"/>
  <c r="C1048" i="2"/>
  <c r="D1048" i="2"/>
  <c r="E1048" i="2"/>
  <c r="F1048" i="2"/>
  <c r="G1048" i="2"/>
  <c r="H1048" i="2"/>
  <c r="I1048" i="2"/>
  <c r="J1048" i="2"/>
  <c r="K1048" i="2"/>
  <c r="B1049" i="2"/>
  <c r="C1049" i="2"/>
  <c r="D1049" i="2"/>
  <c r="E1049" i="2"/>
  <c r="F1049" i="2"/>
  <c r="G1049" i="2"/>
  <c r="H1049" i="2"/>
  <c r="I1049" i="2"/>
  <c r="J1049" i="2"/>
  <c r="K1049" i="2"/>
  <c r="B1050" i="2"/>
  <c r="C1050" i="2"/>
  <c r="D1050" i="2"/>
  <c r="E1050" i="2"/>
  <c r="F1050" i="2"/>
  <c r="G1050" i="2"/>
  <c r="H1050" i="2"/>
  <c r="I1050" i="2"/>
  <c r="J1050" i="2"/>
  <c r="K1050" i="2"/>
  <c r="B1051" i="2"/>
  <c r="C1051" i="2"/>
  <c r="D1051" i="2"/>
  <c r="E1051" i="2"/>
  <c r="F1051" i="2"/>
  <c r="G1051" i="2"/>
  <c r="H1051" i="2"/>
  <c r="I1051" i="2"/>
  <c r="J1051" i="2"/>
  <c r="K1051" i="2"/>
  <c r="B1052" i="2"/>
  <c r="C1052" i="2"/>
  <c r="D1052" i="2"/>
  <c r="E1052" i="2"/>
  <c r="F1052" i="2"/>
  <c r="G1052" i="2"/>
  <c r="H1052" i="2"/>
  <c r="I1052" i="2"/>
  <c r="J1052" i="2"/>
  <c r="K1052" i="2"/>
  <c r="B1053" i="2"/>
  <c r="C1053" i="2"/>
  <c r="D1053" i="2"/>
  <c r="E1053" i="2"/>
  <c r="F1053" i="2"/>
  <c r="G1053" i="2"/>
  <c r="H1053" i="2"/>
  <c r="I1053" i="2"/>
  <c r="J1053" i="2"/>
  <c r="K1053" i="2"/>
  <c r="B1054" i="2"/>
  <c r="C1054" i="2"/>
  <c r="D1054" i="2"/>
  <c r="E1054" i="2"/>
  <c r="F1054" i="2"/>
  <c r="G1054" i="2"/>
  <c r="H1054" i="2"/>
  <c r="I1054" i="2"/>
  <c r="J1054" i="2"/>
  <c r="K1054" i="2"/>
  <c r="B1055" i="2"/>
  <c r="C1055" i="2"/>
  <c r="D1055" i="2"/>
  <c r="E1055" i="2"/>
  <c r="F1055" i="2"/>
  <c r="G1055" i="2"/>
  <c r="H1055" i="2"/>
  <c r="I1055" i="2"/>
  <c r="J1055" i="2"/>
  <c r="K1055" i="2"/>
  <c r="H1057" i="2"/>
  <c r="I1057" i="2"/>
  <c r="F1058" i="2"/>
  <c r="F1059" i="2"/>
  <c r="G1059" i="2"/>
  <c r="C1060" i="2"/>
  <c r="B1061" i="2"/>
  <c r="C1061" i="2"/>
  <c r="E1061" i="2"/>
  <c r="K1061" i="2"/>
  <c r="B1062" i="2"/>
  <c r="J1062" i="2"/>
  <c r="K1062" i="2"/>
  <c r="B1063" i="2"/>
  <c r="I1063" i="2"/>
  <c r="J1063" i="2"/>
  <c r="H1064" i="2"/>
  <c r="I1064" i="2"/>
  <c r="J1064" i="2"/>
  <c r="B1065" i="2"/>
  <c r="G1065" i="2"/>
  <c r="H1065" i="2"/>
  <c r="F1066" i="2"/>
  <c r="G1066" i="2"/>
  <c r="H1066" i="2"/>
  <c r="J1066" i="2"/>
  <c r="E1067" i="2"/>
  <c r="F1067" i="2"/>
  <c r="E1068" i="2"/>
  <c r="F1068" i="2"/>
  <c r="H1068" i="2"/>
  <c r="B1069" i="2"/>
  <c r="B1070" i="2"/>
  <c r="C1070" i="2"/>
  <c r="F1070" i="2"/>
  <c r="J1070" i="2"/>
  <c r="J1071" i="2"/>
  <c r="K1071" i="2"/>
  <c r="H1072" i="2"/>
  <c r="H1073" i="2"/>
  <c r="I1073" i="2"/>
  <c r="F1074" i="2"/>
  <c r="F1075" i="2"/>
  <c r="G1075" i="2"/>
  <c r="C1076" i="2"/>
  <c r="B1077" i="2"/>
  <c r="C1077" i="2"/>
  <c r="E1077" i="2"/>
  <c r="K1077" i="2"/>
  <c r="B1078" i="2"/>
  <c r="J1078" i="2"/>
  <c r="K1078" i="2"/>
  <c r="B1079" i="2"/>
  <c r="I1079" i="2"/>
  <c r="J1079" i="2"/>
  <c r="H1080" i="2"/>
  <c r="I1080" i="2"/>
  <c r="J1080" i="2"/>
  <c r="A1081" i="2"/>
  <c r="A1082" i="2" s="1"/>
  <c r="F1081" i="2"/>
  <c r="F1082" i="2"/>
  <c r="H1082" i="2"/>
  <c r="A1083" i="2"/>
  <c r="B1083" i="2"/>
  <c r="J1083" i="2"/>
  <c r="A1084" i="2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H1084" i="2"/>
  <c r="F1085" i="2"/>
  <c r="H1085" i="2"/>
  <c r="J1085" i="2"/>
  <c r="C1086" i="2"/>
  <c r="B1087" i="2"/>
  <c r="C1087" i="2"/>
  <c r="F1087" i="2"/>
  <c r="J1087" i="2"/>
  <c r="H1088" i="2"/>
  <c r="J1088" i="2"/>
  <c r="F1089" i="2"/>
  <c r="F1090" i="2"/>
  <c r="H1090" i="2"/>
  <c r="B1091" i="2"/>
  <c r="J1091" i="2"/>
  <c r="H1092" i="2"/>
  <c r="F1093" i="2"/>
  <c r="H1093" i="2"/>
  <c r="J1093" i="2"/>
  <c r="C1094" i="2"/>
  <c r="B1095" i="2"/>
  <c r="C1095" i="2"/>
  <c r="F1095" i="2"/>
  <c r="J1095" i="2"/>
  <c r="H1096" i="2"/>
  <c r="J1096" i="2"/>
  <c r="F1097" i="2"/>
  <c r="F1098" i="2"/>
  <c r="H1098" i="2"/>
  <c r="B1099" i="2"/>
  <c r="J1099" i="2"/>
  <c r="H1100" i="2"/>
  <c r="F1101" i="2"/>
  <c r="H1101" i="2"/>
  <c r="J1101" i="2"/>
  <c r="C1102" i="2"/>
  <c r="B1103" i="2"/>
  <c r="C1103" i="2"/>
  <c r="F1103" i="2"/>
  <c r="J1103" i="2"/>
  <c r="H1104" i="2"/>
  <c r="J1104" i="2"/>
  <c r="F1102" i="2" l="1"/>
  <c r="J1100" i="2"/>
  <c r="F1099" i="2"/>
  <c r="J1097" i="2"/>
  <c r="F1094" i="2"/>
  <c r="J1092" i="2"/>
  <c r="F1091" i="2"/>
  <c r="J1089" i="2"/>
  <c r="F1086" i="2"/>
  <c r="J1084" i="2"/>
  <c r="F1083" i="2"/>
  <c r="J1081" i="2"/>
  <c r="F1078" i="2"/>
  <c r="F1076" i="2"/>
  <c r="J1074" i="2"/>
  <c r="B1073" i="2"/>
  <c r="J1072" i="2"/>
  <c r="B1071" i="2"/>
  <c r="F1062" i="2"/>
  <c r="F1060" i="2"/>
  <c r="J1058" i="2"/>
  <c r="B1057" i="2"/>
  <c r="H1102" i="2"/>
  <c r="H1097" i="2"/>
  <c r="H1094" i="2"/>
  <c r="H1089" i="2"/>
  <c r="H1086" i="2"/>
  <c r="H1081" i="2"/>
  <c r="H1076" i="2"/>
  <c r="H1074" i="2"/>
  <c r="H1060" i="2"/>
  <c r="H1058" i="2"/>
  <c r="F1104" i="3"/>
  <c r="I1104" i="3"/>
  <c r="E1104" i="3"/>
  <c r="C1103" i="3"/>
  <c r="G1103" i="3"/>
  <c r="H1103" i="3"/>
  <c r="I1103" i="3"/>
  <c r="I1102" i="3"/>
  <c r="B1102" i="3"/>
  <c r="C1102" i="3"/>
  <c r="E1102" i="3"/>
  <c r="C1101" i="3"/>
  <c r="D1101" i="3"/>
  <c r="G1101" i="3"/>
  <c r="F1100" i="3"/>
  <c r="I1100" i="3"/>
  <c r="E1100" i="3"/>
  <c r="G1099" i="3"/>
  <c r="H1099" i="3"/>
  <c r="I1098" i="3"/>
  <c r="B1098" i="3"/>
  <c r="E1098" i="3"/>
  <c r="C1097" i="3"/>
  <c r="D1097" i="3"/>
  <c r="E1097" i="3"/>
  <c r="G1097" i="3"/>
  <c r="F1096" i="3"/>
  <c r="I1096" i="3"/>
  <c r="E1096" i="3"/>
  <c r="C1095" i="3"/>
  <c r="G1095" i="3"/>
  <c r="H1095" i="3"/>
  <c r="I1095" i="3"/>
  <c r="I1094" i="3"/>
  <c r="B1094" i="3"/>
  <c r="C1094" i="3"/>
  <c r="E1094" i="3"/>
  <c r="C1093" i="3"/>
  <c r="D1093" i="3"/>
  <c r="G1093" i="3"/>
  <c r="F1092" i="3"/>
  <c r="I1092" i="3"/>
  <c r="E1092" i="3"/>
  <c r="I1104" i="2"/>
  <c r="C1104" i="2"/>
  <c r="K1103" i="2"/>
  <c r="E1102" i="2"/>
  <c r="G1101" i="2"/>
  <c r="I1100" i="2"/>
  <c r="C1100" i="2"/>
  <c r="K1099" i="2"/>
  <c r="C1099" i="2"/>
  <c r="C1098" i="2"/>
  <c r="E1098" i="2"/>
  <c r="G1097" i="2"/>
  <c r="I1096" i="2"/>
  <c r="C1096" i="2"/>
  <c r="K1095" i="2"/>
  <c r="E1094" i="2"/>
  <c r="G1093" i="2"/>
  <c r="I1092" i="2"/>
  <c r="C1092" i="2"/>
  <c r="K1091" i="2"/>
  <c r="C1091" i="2"/>
  <c r="C1090" i="2"/>
  <c r="E1090" i="2"/>
  <c r="G1089" i="2"/>
  <c r="I1088" i="2"/>
  <c r="C1088" i="2"/>
  <c r="K1087" i="2"/>
  <c r="E1086" i="2"/>
  <c r="G1085" i="2"/>
  <c r="I1084" i="2"/>
  <c r="C1084" i="2"/>
  <c r="K1083" i="2"/>
  <c r="C1083" i="2"/>
  <c r="E1082" i="2"/>
  <c r="C1082" i="2"/>
  <c r="G1081" i="2"/>
  <c r="C1080" i="2"/>
  <c r="K1079" i="2"/>
  <c r="E1079" i="2"/>
  <c r="C1078" i="2"/>
  <c r="G1077" i="2"/>
  <c r="E1076" i="2"/>
  <c r="I1075" i="2"/>
  <c r="E1075" i="2"/>
  <c r="G1074" i="2"/>
  <c r="K1073" i="2"/>
  <c r="G1073" i="2"/>
  <c r="I1072" i="2"/>
  <c r="C1072" i="2"/>
  <c r="I1071" i="2"/>
  <c r="E1071" i="2"/>
  <c r="K1070" i="2"/>
  <c r="K1069" i="2"/>
  <c r="C1069" i="2"/>
  <c r="E1069" i="2"/>
  <c r="G1069" i="2"/>
  <c r="C1068" i="2"/>
  <c r="I1067" i="2"/>
  <c r="G1067" i="2"/>
  <c r="I1065" i="2"/>
  <c r="K1065" i="2"/>
  <c r="C1064" i="2"/>
  <c r="K1063" i="2"/>
  <c r="E1063" i="2"/>
  <c r="C1062" i="2"/>
  <c r="G1061" i="2"/>
  <c r="E1060" i="2"/>
  <c r="I1059" i="2"/>
  <c r="E1059" i="2"/>
  <c r="G1058" i="2"/>
  <c r="G1057" i="2"/>
  <c r="K1057" i="2"/>
  <c r="G1100" i="3"/>
  <c r="C1099" i="3"/>
  <c r="G1092" i="3"/>
  <c r="C1091" i="3"/>
  <c r="C1083" i="3"/>
  <c r="G1078" i="3"/>
  <c r="D1073" i="3"/>
  <c r="G1062" i="3"/>
  <c r="AC1047" i="4"/>
  <c r="AC1030" i="4"/>
  <c r="AC1029" i="4"/>
  <c r="AC1012" i="4"/>
  <c r="AC993" i="4"/>
  <c r="AC986" i="4"/>
  <c r="AC979" i="4"/>
  <c r="AC975" i="4"/>
  <c r="AD971" i="4"/>
  <c r="AD970" i="4"/>
  <c r="AC954" i="4"/>
  <c r="AD952" i="4"/>
  <c r="AC952" i="4"/>
  <c r="AC951" i="4"/>
  <c r="AC943" i="4"/>
  <c r="AD942" i="4"/>
  <c r="AC934" i="4"/>
  <c r="AC919" i="4"/>
  <c r="AD913" i="4"/>
  <c r="AC913" i="4"/>
  <c r="AC907" i="4"/>
  <c r="AD906" i="4"/>
  <c r="AC904" i="4"/>
  <c r="AD902" i="4"/>
  <c r="AD891" i="4"/>
  <c r="AC887" i="4"/>
  <c r="AD883" i="4"/>
  <c r="AD882" i="4"/>
  <c r="AD881" i="4"/>
  <c r="AC881" i="4"/>
  <c r="AD874" i="4"/>
  <c r="AD873" i="4"/>
  <c r="AC873" i="4"/>
  <c r="AC850" i="4"/>
  <c r="AC847" i="4"/>
  <c r="AC838" i="4"/>
  <c r="AD1053" i="4"/>
  <c r="AC1053" i="4"/>
  <c r="AD1045" i="4"/>
  <c r="AD1044" i="4"/>
  <c r="AD1041" i="4"/>
  <c r="AC1037" i="4"/>
  <c r="AC1026" i="4"/>
  <c r="AD1022" i="4"/>
  <c r="AC1022" i="4"/>
  <c r="AC1021" i="4"/>
  <c r="AD1020" i="4"/>
  <c r="AD1008" i="4"/>
  <c r="AC1008" i="4"/>
  <c r="AC999" i="4"/>
  <c r="AD998" i="4"/>
  <c r="AC963" i="4"/>
  <c r="AC955" i="4"/>
  <c r="AC945" i="4"/>
  <c r="AC932" i="4"/>
  <c r="AC923" i="4"/>
  <c r="AD922" i="4"/>
  <c r="AC898" i="4"/>
  <c r="AD871" i="4"/>
  <c r="AC867" i="4"/>
  <c r="AD864" i="4"/>
  <c r="AC864" i="4"/>
  <c r="AC854" i="4"/>
  <c r="AC843" i="4"/>
  <c r="AC839" i="4"/>
  <c r="AC835" i="4"/>
  <c r="B1075" i="3"/>
  <c r="B1071" i="3"/>
  <c r="B1059" i="3"/>
  <c r="AC1051" i="4"/>
  <c r="AD1043" i="4"/>
  <c r="AC1043" i="4"/>
  <c r="AC1035" i="4"/>
  <c r="AC1027" i="4"/>
  <c r="AC1019" i="4"/>
  <c r="AD1018" i="4"/>
  <c r="AC1018" i="4"/>
  <c r="AD1016" i="4"/>
  <c r="AC1016" i="4"/>
  <c r="AD1004" i="4"/>
  <c r="AD1001" i="4"/>
  <c r="AC1001" i="4"/>
  <c r="AC995" i="4"/>
  <c r="AC994" i="4"/>
  <c r="AC992" i="4"/>
  <c r="AD990" i="4"/>
  <c r="AC982" i="4"/>
  <c r="AD980" i="4"/>
  <c r="AC980" i="4"/>
  <c r="AC972" i="4"/>
  <c r="AD951" i="4"/>
  <c r="AD936" i="4"/>
  <c r="AC914" i="4"/>
  <c r="AD903" i="4"/>
  <c r="AC903" i="4"/>
  <c r="AC894" i="4"/>
  <c r="AD892" i="4"/>
  <c r="AC892" i="4"/>
  <c r="AC884" i="4"/>
  <c r="AC875" i="4"/>
  <c r="AD872" i="4"/>
  <c r="AD868" i="4"/>
  <c r="AC856" i="4"/>
  <c r="AD855" i="4"/>
  <c r="AD852" i="4"/>
  <c r="AC852" i="4"/>
  <c r="AC851" i="4"/>
  <c r="AD850" i="4"/>
  <c r="AD848" i="4"/>
  <c r="AD846" i="4"/>
  <c r="AC846" i="4"/>
  <c r="AD841" i="4"/>
  <c r="AD839" i="4"/>
  <c r="G1091" i="3"/>
  <c r="H1091" i="3"/>
  <c r="I1090" i="3"/>
  <c r="B1090" i="3"/>
  <c r="E1090" i="3"/>
  <c r="C1089" i="3"/>
  <c r="D1089" i="3"/>
  <c r="E1089" i="3"/>
  <c r="G1089" i="3"/>
  <c r="F1088" i="3"/>
  <c r="I1088" i="3"/>
  <c r="E1088" i="3"/>
  <c r="C1087" i="3"/>
  <c r="G1087" i="3"/>
  <c r="H1087" i="3"/>
  <c r="I1087" i="3"/>
  <c r="I1086" i="3"/>
  <c r="B1086" i="3"/>
  <c r="C1086" i="3"/>
  <c r="E1086" i="3"/>
  <c r="C1085" i="3"/>
  <c r="D1085" i="3"/>
  <c r="G1085" i="3"/>
  <c r="F1084" i="3"/>
  <c r="G1084" i="3"/>
  <c r="I1084" i="3"/>
  <c r="E1084" i="3"/>
  <c r="G1083" i="3"/>
  <c r="H1083" i="3"/>
  <c r="I1082" i="3"/>
  <c r="B1082" i="3"/>
  <c r="E1082" i="3"/>
  <c r="C1081" i="3"/>
  <c r="D1081" i="3"/>
  <c r="E1081" i="3"/>
  <c r="G1081" i="3"/>
  <c r="F1080" i="3"/>
  <c r="G1080" i="3"/>
  <c r="E1080" i="3"/>
  <c r="F1079" i="3"/>
  <c r="G1079" i="3"/>
  <c r="H1079" i="3"/>
  <c r="H1078" i="3"/>
  <c r="I1078" i="3"/>
  <c r="C1078" i="3"/>
  <c r="B1077" i="3"/>
  <c r="H1077" i="3"/>
  <c r="I1077" i="3"/>
  <c r="I1076" i="3"/>
  <c r="B1076" i="3"/>
  <c r="C1076" i="3"/>
  <c r="E1076" i="3"/>
  <c r="C1075" i="3"/>
  <c r="D1075" i="3"/>
  <c r="G1074" i="3"/>
  <c r="C1074" i="3"/>
  <c r="D1074" i="3"/>
  <c r="E1074" i="3"/>
  <c r="E1073" i="3"/>
  <c r="F1073" i="3"/>
  <c r="F1072" i="3"/>
  <c r="G1072" i="3"/>
  <c r="I1072" i="3"/>
  <c r="E1072" i="3"/>
  <c r="F1071" i="3"/>
  <c r="G1071" i="3"/>
  <c r="H1071" i="3"/>
  <c r="G1070" i="3"/>
  <c r="H1070" i="3"/>
  <c r="I1070" i="3"/>
  <c r="B1069" i="3"/>
  <c r="D1069" i="3"/>
  <c r="H1069" i="3"/>
  <c r="I1069" i="3"/>
  <c r="I1068" i="3"/>
  <c r="B1068" i="3"/>
  <c r="C1068" i="3"/>
  <c r="B1067" i="3"/>
  <c r="C1067" i="3"/>
  <c r="D1067" i="3"/>
  <c r="F1067" i="3"/>
  <c r="C1066" i="3"/>
  <c r="D1066" i="3"/>
  <c r="E1066" i="3"/>
  <c r="D1065" i="3"/>
  <c r="E1065" i="3"/>
  <c r="F1065" i="3"/>
  <c r="H1065" i="3"/>
  <c r="F1064" i="3"/>
  <c r="G1064" i="3"/>
  <c r="E1064" i="3"/>
  <c r="F1063" i="3"/>
  <c r="G1063" i="3"/>
  <c r="H1063" i="3"/>
  <c r="H1062" i="3"/>
  <c r="I1062" i="3"/>
  <c r="C1062" i="3"/>
  <c r="B1061" i="3"/>
  <c r="H1061" i="3"/>
  <c r="I1061" i="3"/>
  <c r="I1060" i="3"/>
  <c r="B1060" i="3"/>
  <c r="C1060" i="3"/>
  <c r="E1060" i="3"/>
  <c r="C1059" i="3"/>
  <c r="D1059" i="3"/>
  <c r="G1058" i="3"/>
  <c r="C1058" i="3"/>
  <c r="D1058" i="3"/>
  <c r="E1058" i="3"/>
  <c r="D1057" i="3"/>
  <c r="AD1056" i="4"/>
  <c r="AD1054" i="4"/>
  <c r="AC1054" i="4"/>
  <c r="AD1052" i="4"/>
  <c r="AD1049" i="4"/>
  <c r="AC1040" i="4"/>
  <c r="AC1039" i="4"/>
  <c r="AD1036" i="4"/>
  <c r="AD1033" i="4"/>
  <c r="AC1033" i="4"/>
  <c r="AD1025" i="4"/>
  <c r="AD1023" i="4"/>
  <c r="AD1011" i="4"/>
  <c r="AD1010" i="4"/>
  <c r="AD1009" i="4"/>
  <c r="AC1009" i="4"/>
  <c r="AD1007" i="4"/>
  <c r="AC1003" i="4"/>
  <c r="AD983" i="4"/>
  <c r="AD976" i="4"/>
  <c r="AC967" i="4"/>
  <c r="AC966" i="4"/>
  <c r="AD961" i="4"/>
  <c r="AC961" i="4"/>
  <c r="AD958" i="4"/>
  <c r="AC958" i="4"/>
  <c r="AC947" i="4"/>
  <c r="AD940" i="4"/>
  <c r="AD931" i="4"/>
  <c r="AD930" i="4"/>
  <c r="AD929" i="4"/>
  <c r="AC929" i="4"/>
  <c r="AD927" i="4"/>
  <c r="AC924" i="4"/>
  <c r="AD920" i="4"/>
  <c r="AC920" i="4"/>
  <c r="AC915" i="4"/>
  <c r="AD910" i="4"/>
  <c r="AD899" i="4"/>
  <c r="AD895" i="4"/>
  <c r="AC895" i="4"/>
  <c r="AD888" i="4"/>
  <c r="AC879" i="4"/>
  <c r="AC849" i="4"/>
  <c r="AC841" i="4"/>
  <c r="AC840" i="4"/>
  <c r="AC827" i="4"/>
  <c r="AC824" i="4"/>
  <c r="AD823" i="4"/>
  <c r="AD820" i="4"/>
  <c r="AC820" i="4"/>
  <c r="AD817" i="4"/>
  <c r="AD815" i="4"/>
  <c r="AD809" i="4"/>
  <c r="AC789" i="4"/>
  <c r="AC786" i="4"/>
  <c r="AD785" i="4"/>
  <c r="AD783" i="4"/>
  <c r="AC777" i="4"/>
  <c r="AC776" i="4"/>
  <c r="AD774" i="4"/>
  <c r="AC773" i="4"/>
  <c r="AC752" i="4"/>
  <c r="AC751" i="4"/>
  <c r="AC747" i="4"/>
  <c r="AD745" i="4"/>
  <c r="AC739" i="4"/>
  <c r="AC738" i="4"/>
  <c r="AC735" i="4"/>
  <c r="AD727" i="4"/>
  <c r="AC723" i="4"/>
  <c r="AD722" i="4"/>
  <c r="AD713" i="4"/>
  <c r="AD711" i="4"/>
  <c r="AC701" i="4"/>
  <c r="AC699" i="4"/>
  <c r="AC696" i="4"/>
  <c r="AD695" i="4"/>
  <c r="AD689" i="4"/>
  <c r="AD687" i="4"/>
  <c r="AC683" i="4"/>
  <c r="AC675" i="4"/>
  <c r="AC674" i="4"/>
  <c r="AD663" i="4"/>
  <c r="AD658" i="4"/>
  <c r="AD649" i="4"/>
  <c r="AD647" i="4"/>
  <c r="AD635" i="4"/>
  <c r="AC617" i="4"/>
  <c r="AD597" i="4"/>
  <c r="AD594" i="4"/>
  <c r="AC588" i="4"/>
  <c r="AC583" i="4"/>
  <c r="AC579" i="4"/>
  <c r="Q1104" i="4"/>
  <c r="I1104" i="4"/>
  <c r="AD562" i="4"/>
  <c r="AC831" i="4"/>
  <c r="AC816" i="4"/>
  <c r="AC815" i="4"/>
  <c r="AC809" i="4"/>
  <c r="AC797" i="4"/>
  <c r="AC794" i="4"/>
  <c r="AC790" i="4"/>
  <c r="AC784" i="4"/>
  <c r="AC783" i="4"/>
  <c r="AC778" i="4"/>
  <c r="AC771" i="4"/>
  <c r="AC750" i="4"/>
  <c r="AC745" i="4"/>
  <c r="AC718" i="4"/>
  <c r="AC712" i="4"/>
  <c r="AD710" i="4"/>
  <c r="AC709" i="4"/>
  <c r="AC688" i="4"/>
  <c r="AC687" i="4"/>
  <c r="AC684" i="4"/>
  <c r="AD661" i="4"/>
  <c r="AD656" i="4"/>
  <c r="AD654" i="4"/>
  <c r="AC654" i="4"/>
  <c r="AC649" i="4"/>
  <c r="AC648" i="4"/>
  <c r="AD646" i="4"/>
  <c r="AC637" i="4"/>
  <c r="AC635" i="4"/>
  <c r="AC630" i="4"/>
  <c r="AD624" i="4"/>
  <c r="AC622" i="4"/>
  <c r="AC618" i="4"/>
  <c r="AC605" i="4"/>
  <c r="AD592" i="4"/>
  <c r="AD590" i="4"/>
  <c r="AC590" i="4"/>
  <c r="AD585" i="4"/>
  <c r="AD583" i="4"/>
  <c r="AD571" i="4"/>
  <c r="R1103" i="4"/>
  <c r="J1103" i="4"/>
  <c r="AD801" i="4"/>
  <c r="AC801" i="4"/>
  <c r="AD791" i="4"/>
  <c r="AD786" i="4"/>
  <c r="AC780" i="4"/>
  <c r="AC775" i="4"/>
  <c r="AD763" i="4"/>
  <c r="AC758" i="4"/>
  <c r="AD750" i="4"/>
  <c r="AC746" i="4"/>
  <c r="AC733" i="4"/>
  <c r="AC722" i="4"/>
  <c r="AD721" i="4"/>
  <c r="AD719" i="4"/>
  <c r="AC714" i="4"/>
  <c r="AC707" i="4"/>
  <c r="AC704" i="4"/>
  <c r="AD698" i="4"/>
  <c r="AC698" i="4"/>
  <c r="AC681" i="4"/>
  <c r="AC669" i="4"/>
  <c r="AC658" i="4"/>
  <c r="AC609" i="4"/>
  <c r="AC601" i="4"/>
  <c r="AC598" i="4"/>
  <c r="AC585" i="4"/>
  <c r="AC573" i="4"/>
  <c r="AC572" i="4"/>
  <c r="L1104" i="4"/>
  <c r="AC571" i="4"/>
  <c r="R1104" i="4"/>
  <c r="B1104" i="4"/>
  <c r="S1104" i="4"/>
  <c r="K1104" i="4"/>
  <c r="AC566" i="4"/>
  <c r="AD561" i="4"/>
  <c r="AD834" i="4"/>
  <c r="AD827" i="4"/>
  <c r="AC822" i="4"/>
  <c r="AD816" i="4"/>
  <c r="AD814" i="4"/>
  <c r="AC814" i="4"/>
  <c r="AC813" i="4"/>
  <c r="AD810" i="4"/>
  <c r="AD808" i="4"/>
  <c r="AC803" i="4"/>
  <c r="AC802" i="4"/>
  <c r="AC799" i="4"/>
  <c r="AD789" i="4"/>
  <c r="AD784" i="4"/>
  <c r="AD782" i="4"/>
  <c r="AC782" i="4"/>
  <c r="AD777" i="4"/>
  <c r="AD775" i="4"/>
  <c r="AC765" i="4"/>
  <c r="AC763" i="4"/>
  <c r="AC760" i="4"/>
  <c r="AD759" i="4"/>
  <c r="AD753" i="4"/>
  <c r="AD751" i="4"/>
  <c r="AD737" i="4"/>
  <c r="AC737" i="4"/>
  <c r="AC729" i="4"/>
  <c r="AC720" i="4"/>
  <c r="AC719" i="4"/>
  <c r="AC717" i="4"/>
  <c r="AC716" i="4"/>
  <c r="AC711" i="4"/>
  <c r="AD699" i="4"/>
  <c r="AC694" i="4"/>
  <c r="AD688" i="4"/>
  <c r="AD686" i="4"/>
  <c r="AC686" i="4"/>
  <c r="AC685" i="4"/>
  <c r="AC682" i="4"/>
  <c r="AD673" i="4"/>
  <c r="AC673" i="4"/>
  <c r="AC665" i="4"/>
  <c r="AC656" i="4"/>
  <c r="AC655" i="4"/>
  <c r="AC651" i="4"/>
  <c r="AC647" i="4"/>
  <c r="AC643" i="4"/>
  <c r="AC640" i="4"/>
  <c r="AC639" i="4"/>
  <c r="AD634" i="4"/>
  <c r="AC634" i="4"/>
  <c r="AC624" i="4"/>
  <c r="AC623" i="4"/>
  <c r="AC620" i="4"/>
  <c r="AD617" i="4"/>
  <c r="AC611" i="4"/>
  <c r="AC610" i="4"/>
  <c r="AD599" i="4"/>
  <c r="AC595" i="4"/>
  <c r="AC592" i="4"/>
  <c r="AC591" i="4"/>
  <c r="S1105" i="4"/>
  <c r="K1105" i="4"/>
  <c r="AC574" i="4"/>
  <c r="AD567" i="4"/>
  <c r="AD560" i="4"/>
  <c r="AC558" i="4"/>
  <c r="AC557" i="4"/>
  <c r="S1103" i="4"/>
  <c r="K1103" i="4"/>
  <c r="U1102" i="4"/>
  <c r="AC528" i="4"/>
  <c r="AC527" i="4"/>
  <c r="Q1100" i="4"/>
  <c r="I1100" i="4"/>
  <c r="AC519" i="4"/>
  <c r="AC515" i="4"/>
  <c r="J1099" i="4"/>
  <c r="B1099" i="4"/>
  <c r="AC506" i="4"/>
  <c r="AC496" i="4"/>
  <c r="AC495" i="4"/>
  <c r="AC483" i="4"/>
  <c r="AC479" i="4"/>
  <c r="AC467" i="4"/>
  <c r="AC464" i="4"/>
  <c r="AC463" i="4"/>
  <c r="AC461" i="4"/>
  <c r="AD455" i="4"/>
  <c r="AD443" i="4"/>
  <c r="AD432" i="4"/>
  <c r="AD430" i="4"/>
  <c r="AC430" i="4"/>
  <c r="K1092" i="4"/>
  <c r="AC426" i="4"/>
  <c r="AD417" i="4"/>
  <c r="AC417" i="4"/>
  <c r="AC409" i="4"/>
  <c r="V1090" i="4"/>
  <c r="AC400" i="4"/>
  <c r="AC399" i="4"/>
  <c r="AC398" i="4"/>
  <c r="R1089" i="4"/>
  <c r="B1089" i="4"/>
  <c r="K1089" i="4"/>
  <c r="AC381" i="4"/>
  <c r="AC380" i="4"/>
  <c r="AC379" i="4"/>
  <c r="R1088" i="4"/>
  <c r="J1088" i="4"/>
  <c r="S1088" i="4"/>
  <c r="K1088" i="4"/>
  <c r="AD368" i="4"/>
  <c r="AD366" i="4"/>
  <c r="N1087" i="4"/>
  <c r="S1087" i="4"/>
  <c r="K1087" i="4"/>
  <c r="U1086" i="4"/>
  <c r="E1086" i="4"/>
  <c r="AC345" i="4"/>
  <c r="W1085" i="4"/>
  <c r="O1085" i="4"/>
  <c r="G1085" i="4"/>
  <c r="AD337" i="4"/>
  <c r="AD335" i="4"/>
  <c r="J1084" i="4"/>
  <c r="B1084" i="4"/>
  <c r="K1084" i="4"/>
  <c r="I1083" i="4"/>
  <c r="S1083" i="4"/>
  <c r="K1083" i="4"/>
  <c r="C1083" i="4"/>
  <c r="W1083" i="4"/>
  <c r="G1083" i="4"/>
  <c r="AD311" i="4"/>
  <c r="AC304" i="4"/>
  <c r="AC302" i="4"/>
  <c r="AC300" i="4"/>
  <c r="AD297" i="4"/>
  <c r="AC291" i="4"/>
  <c r="B1080" i="4"/>
  <c r="AD279" i="4"/>
  <c r="AD559" i="4"/>
  <c r="Q1103" i="4"/>
  <c r="AC547" i="4"/>
  <c r="AC546" i="4"/>
  <c r="AC543" i="4"/>
  <c r="AD533" i="4"/>
  <c r="AD530" i="4"/>
  <c r="AC524" i="4"/>
  <c r="AD521" i="4"/>
  <c r="E1100" i="4"/>
  <c r="AD519" i="4"/>
  <c r="AD507" i="4"/>
  <c r="AD498" i="4"/>
  <c r="AC489" i="4"/>
  <c r="U1096" i="4"/>
  <c r="E1096" i="4"/>
  <c r="AC457" i="4"/>
  <c r="AC456" i="4"/>
  <c r="X1094" i="4"/>
  <c r="H1094" i="4"/>
  <c r="R1094" i="4"/>
  <c r="J1094" i="4"/>
  <c r="T1094" i="4"/>
  <c r="L1094" i="4"/>
  <c r="AC444" i="4"/>
  <c r="AC441" i="4"/>
  <c r="AC438" i="4"/>
  <c r="W1093" i="4"/>
  <c r="O1093" i="4"/>
  <c r="G1093" i="4"/>
  <c r="AD433" i="4"/>
  <c r="AD431" i="4"/>
  <c r="AC427" i="4"/>
  <c r="AC419" i="4"/>
  <c r="AD407" i="4"/>
  <c r="U1090" i="4"/>
  <c r="E1090" i="4"/>
  <c r="AD402" i="4"/>
  <c r="AC391" i="4"/>
  <c r="AC387" i="4"/>
  <c r="Q1088" i="4"/>
  <c r="I1088" i="4"/>
  <c r="AD369" i="4"/>
  <c r="AD367" i="4"/>
  <c r="AC363" i="4"/>
  <c r="AC355" i="4"/>
  <c r="AC353" i="4"/>
  <c r="AD343" i="4"/>
  <c r="AC336" i="4"/>
  <c r="AC335" i="4"/>
  <c r="AC334" i="4"/>
  <c r="AC332" i="4"/>
  <c r="Q1084" i="4"/>
  <c r="I1084" i="4"/>
  <c r="AC323" i="4"/>
  <c r="AC321" i="4"/>
  <c r="AC320" i="4"/>
  <c r="R1083" i="4"/>
  <c r="J1083" i="4"/>
  <c r="AD306" i="4"/>
  <c r="AC297" i="4"/>
  <c r="X1081" i="4"/>
  <c r="P1081" i="4"/>
  <c r="H1081" i="4"/>
  <c r="J1081" i="4"/>
  <c r="B1081" i="4"/>
  <c r="AC560" i="4"/>
  <c r="AC559" i="4"/>
  <c r="AD553" i="4"/>
  <c r="B1101" i="4"/>
  <c r="AC533" i="4"/>
  <c r="AD528" i="4"/>
  <c r="AD526" i="4"/>
  <c r="AC526" i="4"/>
  <c r="AC520" i="4"/>
  <c r="AD518" i="4"/>
  <c r="AC509" i="4"/>
  <c r="AC508" i="4"/>
  <c r="AC507" i="4"/>
  <c r="AC505" i="4"/>
  <c r="AC502" i="4"/>
  <c r="AD496" i="4"/>
  <c r="AD494" i="4"/>
  <c r="AC494" i="4"/>
  <c r="AC490" i="4"/>
  <c r="AC477" i="4"/>
  <c r="AD464" i="4"/>
  <c r="AD462" i="4"/>
  <c r="AC462" i="4"/>
  <c r="S1095" i="4"/>
  <c r="K1095" i="4"/>
  <c r="AC446" i="4"/>
  <c r="AD439" i="4"/>
  <c r="AC432" i="4"/>
  <c r="AC431" i="4"/>
  <c r="AC428" i="4"/>
  <c r="AD425" i="4"/>
  <c r="AC418" i="4"/>
  <c r="AC405" i="4"/>
  <c r="AD400" i="4"/>
  <c r="AD398" i="4"/>
  <c r="AD393" i="4"/>
  <c r="AD391" i="4"/>
  <c r="AC386" i="4"/>
  <c r="AC383" i="4"/>
  <c r="AC368" i="4"/>
  <c r="AC367" i="4"/>
  <c r="AC366" i="4"/>
  <c r="AC364" i="4"/>
  <c r="AD361" i="4"/>
  <c r="AC354" i="4"/>
  <c r="AD341" i="4"/>
  <c r="AD338" i="4"/>
  <c r="AD329" i="4"/>
  <c r="AD327" i="4"/>
  <c r="AC310" i="4"/>
  <c r="AC298" i="4"/>
  <c r="AC285" i="4"/>
  <c r="AC553" i="4"/>
  <c r="AD550" i="4"/>
  <c r="AD544" i="4"/>
  <c r="AC544" i="4"/>
  <c r="AC541" i="4"/>
  <c r="AC538" i="4"/>
  <c r="AD529" i="4"/>
  <c r="AD527" i="4"/>
  <c r="S1099" i="4"/>
  <c r="K1099" i="4"/>
  <c r="C1099" i="4"/>
  <c r="AD503" i="4"/>
  <c r="AD495" i="4"/>
  <c r="AC491" i="4"/>
  <c r="AD481" i="4"/>
  <c r="AC481" i="4"/>
  <c r="AC470" i="4"/>
  <c r="AD465" i="4"/>
  <c r="AD463" i="4"/>
  <c r="AC459" i="4"/>
  <c r="AC455" i="4"/>
  <c r="AC451" i="4"/>
  <c r="AD434" i="4"/>
  <c r="AC425" i="4"/>
  <c r="X1092" i="4"/>
  <c r="H1092" i="4"/>
  <c r="AC416" i="4"/>
  <c r="AC413" i="4"/>
  <c r="AC406" i="4"/>
  <c r="W1090" i="4"/>
  <c r="O1090" i="4"/>
  <c r="G1090" i="4"/>
  <c r="AD401" i="4"/>
  <c r="AD399" i="4"/>
  <c r="R1090" i="4"/>
  <c r="J1090" i="4"/>
  <c r="B1090" i="4"/>
  <c r="AC393" i="4"/>
  <c r="AD390" i="4"/>
  <c r="AD379" i="4"/>
  <c r="AD370" i="4"/>
  <c r="AC361" i="4"/>
  <c r="X1086" i="4"/>
  <c r="R1086" i="4"/>
  <c r="J1086" i="4"/>
  <c r="B1086" i="4"/>
  <c r="AC349" i="4"/>
  <c r="X1085" i="4"/>
  <c r="P1085" i="4"/>
  <c r="H1085" i="4"/>
  <c r="R1085" i="4"/>
  <c r="J1085" i="4"/>
  <c r="B1085" i="4"/>
  <c r="AD336" i="4"/>
  <c r="AD334" i="4"/>
  <c r="AC328" i="4"/>
  <c r="AC327" i="4"/>
  <c r="AD326" i="4"/>
  <c r="AC317" i="4"/>
  <c r="AC315" i="4"/>
  <c r="AD305" i="4"/>
  <c r="AD303" i="4"/>
  <c r="AC299" i="4"/>
  <c r="AD289" i="4"/>
  <c r="AC289" i="4"/>
  <c r="AC281" i="4"/>
  <c r="AD272" i="4"/>
  <c r="AD270" i="4"/>
  <c r="AC270" i="4"/>
  <c r="AD265" i="4"/>
  <c r="AD263" i="4"/>
  <c r="AD260" i="4"/>
  <c r="AC253" i="4"/>
  <c r="AC251" i="4"/>
  <c r="AC248" i="4"/>
  <c r="AD247" i="4"/>
  <c r="AD241" i="4"/>
  <c r="AD239" i="4"/>
  <c r="AD225" i="4"/>
  <c r="AC225" i="4"/>
  <c r="AC217" i="4"/>
  <c r="AC214" i="4"/>
  <c r="O1074" i="4"/>
  <c r="AC208" i="4"/>
  <c r="AC207" i="4"/>
  <c r="X1074" i="4"/>
  <c r="AC194" i="4"/>
  <c r="AD187" i="4"/>
  <c r="S1072" i="4"/>
  <c r="K1072" i="4"/>
  <c r="AD176" i="4"/>
  <c r="AD174" i="4"/>
  <c r="AC174" i="4"/>
  <c r="AC173" i="4"/>
  <c r="AC170" i="4"/>
  <c r="U1070" i="4"/>
  <c r="AC153" i="4"/>
  <c r="AC144" i="4"/>
  <c r="AC143" i="4"/>
  <c r="AC139" i="4"/>
  <c r="AC130" i="4"/>
  <c r="AC127" i="4"/>
  <c r="AC115" i="4"/>
  <c r="AD112" i="4"/>
  <c r="AD110" i="4"/>
  <c r="N1066" i="4"/>
  <c r="AC109" i="4"/>
  <c r="AC106" i="4"/>
  <c r="U1065" i="4"/>
  <c r="AD97" i="4"/>
  <c r="S1064" i="4"/>
  <c r="K1064" i="4"/>
  <c r="AC88" i="4"/>
  <c r="AD85" i="4"/>
  <c r="AC82" i="4"/>
  <c r="AC72" i="4"/>
  <c r="AC71" i="4"/>
  <c r="AC69" i="4"/>
  <c r="AD67" i="4"/>
  <c r="AC67" i="4"/>
  <c r="AD65" i="4"/>
  <c r="Q1061" i="4"/>
  <c r="I1061" i="4"/>
  <c r="AC45" i="4"/>
  <c r="AC44" i="4"/>
  <c r="AD21" i="4"/>
  <c r="AC278" i="4"/>
  <c r="L1079" i="4"/>
  <c r="AD262" i="4"/>
  <c r="AC261" i="4"/>
  <c r="R1077" i="4"/>
  <c r="J1077" i="4"/>
  <c r="AC240" i="4"/>
  <c r="AC236" i="4"/>
  <c r="AC235" i="4"/>
  <c r="AD233" i="4"/>
  <c r="AC227" i="4"/>
  <c r="J1075" i="4"/>
  <c r="Q1074" i="4"/>
  <c r="AD215" i="4"/>
  <c r="I1074" i="4"/>
  <c r="V1074" i="4"/>
  <c r="N1074" i="4"/>
  <c r="AD210" i="4"/>
  <c r="AD199" i="4"/>
  <c r="AC189" i="4"/>
  <c r="AC187" i="4"/>
  <c r="AC184" i="4"/>
  <c r="AD183" i="4"/>
  <c r="AD177" i="4"/>
  <c r="AD175" i="4"/>
  <c r="Q1071" i="4"/>
  <c r="AC163" i="4"/>
  <c r="AD151" i="4"/>
  <c r="V1069" i="4"/>
  <c r="N1069" i="4"/>
  <c r="AD146" i="4"/>
  <c r="U1068" i="4"/>
  <c r="E1068" i="4"/>
  <c r="AD135" i="4"/>
  <c r="S1066" i="4"/>
  <c r="K1066" i="4"/>
  <c r="W1066" i="4"/>
  <c r="AC99" i="4"/>
  <c r="AC94" i="4"/>
  <c r="AC85" i="4"/>
  <c r="AC79" i="4"/>
  <c r="AC68" i="4"/>
  <c r="AC65" i="4"/>
  <c r="X1062" i="4"/>
  <c r="P1062" i="4"/>
  <c r="T1061" i="4"/>
  <c r="L1061" i="4"/>
  <c r="AC54" i="4"/>
  <c r="AC41" i="4"/>
  <c r="AC38" i="4"/>
  <c r="O1059" i="4"/>
  <c r="D1059" i="4"/>
  <c r="V1059" i="4"/>
  <c r="AC27" i="4"/>
  <c r="AD19" i="4"/>
  <c r="V1079" i="4"/>
  <c r="N1079" i="4"/>
  <c r="AC275" i="4"/>
  <c r="AC272" i="4"/>
  <c r="AC271" i="4"/>
  <c r="S1079" i="4"/>
  <c r="K1079" i="4"/>
  <c r="AC259" i="4"/>
  <c r="AC256" i="4"/>
  <c r="R1078" i="4"/>
  <c r="J1078" i="4"/>
  <c r="B1078" i="4"/>
  <c r="O1076" i="4"/>
  <c r="G1076" i="4"/>
  <c r="AC233" i="4"/>
  <c r="X1076" i="4"/>
  <c r="J1076" i="4"/>
  <c r="B1076" i="4"/>
  <c r="AC226" i="4"/>
  <c r="AD213" i="4"/>
  <c r="J1074" i="4"/>
  <c r="AD208" i="4"/>
  <c r="AD206" i="4"/>
  <c r="AC206" i="4"/>
  <c r="AC197" i="4"/>
  <c r="W1072" i="4"/>
  <c r="G1072" i="4"/>
  <c r="AC176" i="4"/>
  <c r="AC175" i="4"/>
  <c r="AC172" i="4"/>
  <c r="AC171" i="4"/>
  <c r="R1070" i="4"/>
  <c r="B1070" i="4"/>
  <c r="AC162" i="4"/>
  <c r="U1069" i="4"/>
  <c r="E1069" i="4"/>
  <c r="R1069" i="4"/>
  <c r="J1069" i="4"/>
  <c r="B1069" i="4"/>
  <c r="W1068" i="4"/>
  <c r="O1068" i="4"/>
  <c r="G1068" i="4"/>
  <c r="AC133" i="4"/>
  <c r="AC129" i="4"/>
  <c r="AC125" i="4"/>
  <c r="AC123" i="4"/>
  <c r="AC120" i="4"/>
  <c r="Q1066" i="4"/>
  <c r="AD119" i="4"/>
  <c r="I1066" i="4"/>
  <c r="AC112" i="4"/>
  <c r="AC111" i="4"/>
  <c r="AC110" i="4"/>
  <c r="AC108" i="4"/>
  <c r="AC107" i="4"/>
  <c r="AD105" i="4"/>
  <c r="AD103" i="4"/>
  <c r="AC92" i="4"/>
  <c r="J1064" i="4"/>
  <c r="B1064" i="4"/>
  <c r="Q1063" i="4"/>
  <c r="AD75" i="4"/>
  <c r="AD72" i="4"/>
  <c r="W1062" i="4"/>
  <c r="O1062" i="4"/>
  <c r="G1062" i="4"/>
  <c r="AD62" i="4"/>
  <c r="AC61" i="4"/>
  <c r="AD59" i="4"/>
  <c r="J1060" i="4"/>
  <c r="AC46" i="4"/>
  <c r="B1060" i="4"/>
  <c r="AD43" i="4"/>
  <c r="AD29" i="4"/>
  <c r="AD22" i="4"/>
  <c r="AD277" i="4"/>
  <c r="AD274" i="4"/>
  <c r="AC268" i="4"/>
  <c r="Q1079" i="4"/>
  <c r="I1079" i="4"/>
  <c r="AC263" i="4"/>
  <c r="AD251" i="4"/>
  <c r="S1077" i="4"/>
  <c r="K1077" i="4"/>
  <c r="AD240" i="4"/>
  <c r="AD238" i="4"/>
  <c r="AC238" i="4"/>
  <c r="K1076" i="4"/>
  <c r="AC234" i="4"/>
  <c r="AD228" i="4"/>
  <c r="AC221" i="4"/>
  <c r="AC210" i="4"/>
  <c r="AD209" i="4"/>
  <c r="S1073" i="4"/>
  <c r="K1073" i="4"/>
  <c r="AC195" i="4"/>
  <c r="AC192" i="4"/>
  <c r="AC191" i="4"/>
  <c r="V1072" i="4"/>
  <c r="X1072" i="4"/>
  <c r="H1072" i="4"/>
  <c r="J1071" i="4"/>
  <c r="B1071" i="4"/>
  <c r="AD166" i="4"/>
  <c r="AC157" i="4"/>
  <c r="AC146" i="4"/>
  <c r="AD143" i="4"/>
  <c r="S1068" i="4"/>
  <c r="AC131" i="4"/>
  <c r="Q1067" i="4"/>
  <c r="G1067" i="4"/>
  <c r="X1065" i="4"/>
  <c r="H1065" i="4"/>
  <c r="AC95" i="4"/>
  <c r="AD94" i="4"/>
  <c r="L1064" i="4"/>
  <c r="AD86" i="4"/>
  <c r="AC80" i="4"/>
  <c r="AC78" i="4"/>
  <c r="AC76" i="4"/>
  <c r="U1063" i="4"/>
  <c r="E1063" i="4"/>
  <c r="J1062" i="4"/>
  <c r="B1062" i="4"/>
  <c r="AD66" i="4"/>
  <c r="AC59" i="4"/>
  <c r="X1061" i="4"/>
  <c r="AD54" i="4"/>
  <c r="AD52" i="4"/>
  <c r="AC50" i="4"/>
  <c r="AC39" i="4"/>
  <c r="W1060" i="4"/>
  <c r="O1060" i="4"/>
  <c r="AD33" i="4"/>
  <c r="V1058" i="4"/>
  <c r="AC18" i="4"/>
  <c r="I1058" i="4"/>
  <c r="B1105" i="2"/>
  <c r="K1105" i="2"/>
  <c r="C1105" i="2"/>
  <c r="A1106" i="2"/>
  <c r="E1105" i="2"/>
  <c r="I1105" i="2"/>
  <c r="G1105" i="2"/>
  <c r="H1105" i="2"/>
  <c r="J1105" i="2"/>
  <c r="F1105" i="2"/>
  <c r="E1106" i="4"/>
  <c r="M1106" i="4"/>
  <c r="U1106" i="4"/>
  <c r="J1106" i="4"/>
  <c r="S1106" i="4"/>
  <c r="F1106" i="4"/>
  <c r="O1106" i="4"/>
  <c r="X1106" i="4"/>
  <c r="B1106" i="4"/>
  <c r="N1106" i="4"/>
  <c r="C1106" i="4"/>
  <c r="P1106" i="4"/>
  <c r="A1107" i="4"/>
  <c r="R1106" i="4"/>
  <c r="D1106" i="4"/>
  <c r="Q1106" i="4"/>
  <c r="G1106" i="4"/>
  <c r="K1106" i="4"/>
  <c r="W1106" i="4"/>
  <c r="H1106" i="4"/>
  <c r="I1106" i="4"/>
  <c r="L1106" i="4"/>
  <c r="T1106" i="4"/>
  <c r="V1106" i="4"/>
  <c r="H1105" i="3"/>
  <c r="I1105" i="3"/>
  <c r="B1105" i="3"/>
  <c r="J1105" i="3"/>
  <c r="F1105" i="3"/>
  <c r="D1105" i="3"/>
  <c r="E1105" i="3"/>
  <c r="G1105" i="3"/>
  <c r="A1106" i="3"/>
  <c r="C1105" i="3"/>
  <c r="K1104" i="2"/>
  <c r="E1104" i="2"/>
  <c r="G1104" i="2"/>
  <c r="I1103" i="2"/>
  <c r="E1103" i="2"/>
  <c r="G1103" i="2"/>
  <c r="I1102" i="2"/>
  <c r="K1102" i="2"/>
  <c r="G1102" i="2"/>
  <c r="I1101" i="2"/>
  <c r="K1101" i="2"/>
  <c r="C1101" i="2"/>
  <c r="E1101" i="2"/>
  <c r="K1100" i="2"/>
  <c r="E1100" i="2"/>
  <c r="G1100" i="2"/>
  <c r="I1099" i="2"/>
  <c r="E1099" i="2"/>
  <c r="G1099" i="2"/>
  <c r="I1098" i="2"/>
  <c r="K1098" i="2"/>
  <c r="G1098" i="2"/>
  <c r="I1097" i="2"/>
  <c r="K1097" i="2"/>
  <c r="C1097" i="2"/>
  <c r="E1097" i="2"/>
  <c r="K1096" i="2"/>
  <c r="E1096" i="2"/>
  <c r="G1096" i="2"/>
  <c r="I1095" i="2"/>
  <c r="E1095" i="2"/>
  <c r="G1095" i="2"/>
  <c r="I1094" i="2"/>
  <c r="K1094" i="2"/>
  <c r="G1094" i="2"/>
  <c r="I1093" i="2"/>
  <c r="K1093" i="2"/>
  <c r="C1093" i="2"/>
  <c r="E1093" i="2"/>
  <c r="K1092" i="2"/>
  <c r="E1092" i="2"/>
  <c r="G1092" i="2"/>
  <c r="I1091" i="2"/>
  <c r="E1091" i="2"/>
  <c r="G1091" i="2"/>
  <c r="I1090" i="2"/>
  <c r="K1090" i="2"/>
  <c r="G1090" i="2"/>
  <c r="I1089" i="2"/>
  <c r="K1089" i="2"/>
  <c r="C1089" i="2"/>
  <c r="E1089" i="2"/>
  <c r="K1088" i="2"/>
  <c r="E1088" i="2"/>
  <c r="G1088" i="2"/>
  <c r="I1087" i="2"/>
  <c r="E1087" i="2"/>
  <c r="G1087" i="2"/>
  <c r="I1086" i="2"/>
  <c r="K1086" i="2"/>
  <c r="G1086" i="2"/>
  <c r="I1085" i="2"/>
  <c r="K1085" i="2"/>
  <c r="C1085" i="2"/>
  <c r="E1085" i="2"/>
  <c r="K1084" i="2"/>
  <c r="E1084" i="2"/>
  <c r="G1084" i="2"/>
  <c r="I1083" i="2"/>
  <c r="E1083" i="2"/>
  <c r="G1083" i="2"/>
  <c r="I1082" i="2"/>
  <c r="K1082" i="2"/>
  <c r="G1082" i="2"/>
  <c r="I1081" i="2"/>
  <c r="K1081" i="2"/>
  <c r="C1081" i="2"/>
  <c r="E1081" i="2"/>
  <c r="K1080" i="2"/>
  <c r="E1080" i="2"/>
  <c r="G1080" i="2"/>
  <c r="C1079" i="2"/>
  <c r="G1079" i="2"/>
  <c r="I1078" i="2"/>
  <c r="E1078" i="2"/>
  <c r="G1078" i="2"/>
  <c r="I1077" i="2"/>
  <c r="I1076" i="2"/>
  <c r="K1076" i="2"/>
  <c r="G1076" i="2"/>
  <c r="K1075" i="2"/>
  <c r="C1075" i="2"/>
  <c r="I1074" i="2"/>
  <c r="K1074" i="2"/>
  <c r="C1074" i="2"/>
  <c r="E1074" i="2"/>
  <c r="C1073" i="2"/>
  <c r="E1073" i="2"/>
  <c r="K1072" i="2"/>
  <c r="E1072" i="2"/>
  <c r="G1072" i="2"/>
  <c r="C1071" i="2"/>
  <c r="G1071" i="2"/>
  <c r="I1070" i="2"/>
  <c r="E1070" i="2"/>
  <c r="G1070" i="2"/>
  <c r="I1069" i="2"/>
  <c r="I1068" i="2"/>
  <c r="K1068" i="2"/>
  <c r="G1068" i="2"/>
  <c r="K1067" i="2"/>
  <c r="C1067" i="2"/>
  <c r="I1066" i="2"/>
  <c r="K1066" i="2"/>
  <c r="C1066" i="2"/>
  <c r="E1066" i="2"/>
  <c r="C1065" i="2"/>
  <c r="E1065" i="2"/>
  <c r="K1064" i="2"/>
  <c r="E1064" i="2"/>
  <c r="G1064" i="2"/>
  <c r="C1063" i="2"/>
  <c r="G1063" i="2"/>
  <c r="I1062" i="2"/>
  <c r="E1062" i="2"/>
  <c r="G1062" i="2"/>
  <c r="I1061" i="2"/>
  <c r="I1060" i="2"/>
  <c r="K1060" i="2"/>
  <c r="G1060" i="2"/>
  <c r="K1059" i="2"/>
  <c r="C1059" i="2"/>
  <c r="I1058" i="2"/>
  <c r="K1058" i="2"/>
  <c r="C1058" i="2"/>
  <c r="E1058" i="2"/>
  <c r="C1057" i="2"/>
  <c r="E1057" i="2"/>
  <c r="AC984" i="4"/>
  <c r="T1089" i="4"/>
  <c r="L1089" i="4"/>
  <c r="AC392" i="4"/>
  <c r="D1089" i="4"/>
  <c r="AD358" i="4"/>
  <c r="P1086" i="4"/>
  <c r="P1083" i="4"/>
  <c r="H1083" i="4"/>
  <c r="T1079" i="4"/>
  <c r="AC265" i="4"/>
  <c r="D1079" i="4"/>
  <c r="AC264" i="4"/>
  <c r="D1078" i="4"/>
  <c r="T1076" i="4"/>
  <c r="L1076" i="4"/>
  <c r="AC239" i="4"/>
  <c r="D1076" i="4"/>
  <c r="AC211" i="4"/>
  <c r="F1074" i="4"/>
  <c r="AD137" i="4"/>
  <c r="M1068" i="4"/>
  <c r="AC118" i="4"/>
  <c r="C1066" i="4"/>
  <c r="AC55" i="4"/>
  <c r="D1061" i="4"/>
  <c r="O1145" i="6"/>
  <c r="G1145" i="6"/>
  <c r="M1145" i="6"/>
  <c r="E1145" i="6"/>
  <c r="O1144" i="6"/>
  <c r="G1144" i="6"/>
  <c r="M1144" i="6"/>
  <c r="E1144" i="6"/>
  <c r="O1143" i="6"/>
  <c r="G1143" i="6"/>
  <c r="M1143" i="6"/>
  <c r="E1143" i="6"/>
  <c r="O1142" i="6"/>
  <c r="G1142" i="6"/>
  <c r="M1142" i="6"/>
  <c r="E1142" i="6"/>
  <c r="O1141" i="6"/>
  <c r="G1141" i="6"/>
  <c r="M1141" i="6"/>
  <c r="E1141" i="6"/>
  <c r="O1140" i="6"/>
  <c r="G1140" i="6"/>
  <c r="M1140" i="6"/>
  <c r="E1140" i="6"/>
  <c r="O1139" i="6"/>
  <c r="G1139" i="6"/>
  <c r="M1139" i="6"/>
  <c r="E1139" i="6"/>
  <c r="O1138" i="6"/>
  <c r="G1138" i="6"/>
  <c r="M1138" i="6"/>
  <c r="E1138" i="6"/>
  <c r="F1104" i="2"/>
  <c r="F1100" i="2"/>
  <c r="F1096" i="2"/>
  <c r="F1092" i="2"/>
  <c r="F1088" i="2"/>
  <c r="F1084" i="2"/>
  <c r="F1080" i="2"/>
  <c r="F1079" i="2"/>
  <c r="F1077" i="2"/>
  <c r="F1073" i="2"/>
  <c r="F1072" i="2"/>
  <c r="F1071" i="2"/>
  <c r="F1069" i="2"/>
  <c r="F1065" i="2"/>
  <c r="F1064" i="2"/>
  <c r="F1063" i="2"/>
  <c r="F1061" i="2"/>
  <c r="J1057" i="2"/>
  <c r="J1103" i="3"/>
  <c r="B1103" i="3"/>
  <c r="F1102" i="3"/>
  <c r="J1101" i="3"/>
  <c r="B1101" i="3"/>
  <c r="J1099" i="3"/>
  <c r="B1099" i="3"/>
  <c r="F1098" i="3"/>
  <c r="J1097" i="3"/>
  <c r="B1097" i="3"/>
  <c r="J1095" i="3"/>
  <c r="B1095" i="3"/>
  <c r="F1094" i="3"/>
  <c r="J1093" i="3"/>
  <c r="B1093" i="3"/>
  <c r="J1091" i="3"/>
  <c r="B1091" i="3"/>
  <c r="F1090" i="3"/>
  <c r="J1089" i="3"/>
  <c r="B1089" i="3"/>
  <c r="J1087" i="3"/>
  <c r="B1087" i="3"/>
  <c r="F1086" i="3"/>
  <c r="J1085" i="3"/>
  <c r="B1085" i="3"/>
  <c r="J1083" i="3"/>
  <c r="B1083" i="3"/>
  <c r="F1082" i="3"/>
  <c r="J1081" i="3"/>
  <c r="B1081" i="3"/>
  <c r="F1078" i="3"/>
  <c r="F1076" i="3"/>
  <c r="F1074" i="3"/>
  <c r="J1073" i="3"/>
  <c r="B1073" i="3"/>
  <c r="F1070" i="3"/>
  <c r="F1068" i="3"/>
  <c r="F1066" i="3"/>
  <c r="J1065" i="3"/>
  <c r="B1065" i="3"/>
  <c r="F1062" i="3"/>
  <c r="F1060" i="3"/>
  <c r="F1058" i="3"/>
  <c r="J1057" i="3"/>
  <c r="AC563" i="4"/>
  <c r="H1103" i="4"/>
  <c r="C1103" i="4"/>
  <c r="AC554" i="4"/>
  <c r="AD545" i="4"/>
  <c r="M1102" i="4"/>
  <c r="AC545" i="4"/>
  <c r="E1102" i="4"/>
  <c r="X1099" i="4"/>
  <c r="P1099" i="4"/>
  <c r="H1099" i="4"/>
  <c r="T1097" i="4"/>
  <c r="L1097" i="4"/>
  <c r="AC482" i="4"/>
  <c r="D1097" i="4"/>
  <c r="AC429" i="4"/>
  <c r="F1092" i="4"/>
  <c r="AC403" i="4"/>
  <c r="F1090" i="4"/>
  <c r="AC394" i="4"/>
  <c r="C1089" i="4"/>
  <c r="X1088" i="4"/>
  <c r="P1088" i="4"/>
  <c r="H1088" i="4"/>
  <c r="AC374" i="4"/>
  <c r="C1088" i="4"/>
  <c r="AC365" i="4"/>
  <c r="F1087" i="4"/>
  <c r="AC330" i="4"/>
  <c r="C1084" i="4"/>
  <c r="R1082" i="4"/>
  <c r="J1082" i="4"/>
  <c r="B1082" i="4"/>
  <c r="T1082" i="4"/>
  <c r="AC303" i="4"/>
  <c r="D1082" i="4"/>
  <c r="R1079" i="4"/>
  <c r="J1079" i="4"/>
  <c r="AC266" i="4"/>
  <c r="AC137" i="4"/>
  <c r="T1068" i="4"/>
  <c r="AC136" i="4"/>
  <c r="D1068" i="4"/>
  <c r="X1067" i="4"/>
  <c r="P1067" i="4"/>
  <c r="H1067" i="4"/>
  <c r="I1101" i="3"/>
  <c r="I1079" i="3"/>
  <c r="I1071" i="3"/>
  <c r="I1063" i="3"/>
  <c r="I1059" i="3"/>
  <c r="D1104" i="3"/>
  <c r="E1103" i="3"/>
  <c r="F1101" i="3"/>
  <c r="B1100" i="3"/>
  <c r="F1099" i="3"/>
  <c r="D1098" i="3"/>
  <c r="J1096" i="3"/>
  <c r="C1096" i="3"/>
  <c r="D1094" i="3"/>
  <c r="H1093" i="3"/>
  <c r="C1092" i="3"/>
  <c r="E1091" i="3"/>
  <c r="H1089" i="3"/>
  <c r="B1088" i="3"/>
  <c r="F1087" i="3"/>
  <c r="H1085" i="3"/>
  <c r="C1084" i="3"/>
  <c r="E1083" i="3"/>
  <c r="H1081" i="3"/>
  <c r="B1080" i="3"/>
  <c r="E1079" i="3"/>
  <c r="B1078" i="3"/>
  <c r="E1077" i="3"/>
  <c r="E1075" i="3"/>
  <c r="B1074" i="3"/>
  <c r="C1072" i="3"/>
  <c r="E1071" i="3"/>
  <c r="D1070" i="3"/>
  <c r="F1069" i="3"/>
  <c r="H1067" i="3"/>
  <c r="J1066" i="3"/>
  <c r="J1064" i="3"/>
  <c r="B1064" i="3"/>
  <c r="D1062" i="3"/>
  <c r="F1061" i="3"/>
  <c r="E1059" i="3"/>
  <c r="B1058" i="3"/>
  <c r="B1057" i="3"/>
  <c r="F1145" i="6"/>
  <c r="J1145" i="6"/>
  <c r="H1144" i="6"/>
  <c r="L1144" i="6"/>
  <c r="B1144" i="6"/>
  <c r="F1143" i="6"/>
  <c r="J1143" i="6"/>
  <c r="H1142" i="6"/>
  <c r="L1142" i="6"/>
  <c r="B1142" i="6"/>
  <c r="H1141" i="6"/>
  <c r="L1141" i="6"/>
  <c r="B1141" i="6"/>
  <c r="H1140" i="6"/>
  <c r="F1140" i="6"/>
  <c r="D1140" i="6"/>
  <c r="H1139" i="6"/>
  <c r="L1139" i="6"/>
  <c r="J1139" i="6"/>
  <c r="N1138" i="6"/>
  <c r="J1138" i="6"/>
  <c r="F1137" i="6"/>
  <c r="J1137" i="6"/>
  <c r="H1136" i="6"/>
  <c r="L1136" i="6"/>
  <c r="B1136" i="6"/>
  <c r="H1135" i="6"/>
  <c r="L1135" i="6"/>
  <c r="B1135" i="6"/>
  <c r="F1134" i="6"/>
  <c r="D1134" i="6"/>
  <c r="F1133" i="6"/>
  <c r="J1133" i="6"/>
  <c r="F1132" i="6"/>
  <c r="J1132" i="6"/>
  <c r="H1131" i="6"/>
  <c r="L1131" i="6"/>
  <c r="J1131" i="6"/>
  <c r="H1130" i="6"/>
  <c r="L1130" i="6"/>
  <c r="J1130" i="6"/>
  <c r="F1129" i="6"/>
  <c r="J1129" i="6"/>
  <c r="L1128" i="6"/>
  <c r="B1128" i="6"/>
  <c r="F1127" i="6"/>
  <c r="J1127" i="6"/>
  <c r="H1126" i="6"/>
  <c r="L1126" i="6"/>
  <c r="B1126" i="6"/>
  <c r="N1125" i="6"/>
  <c r="D1125" i="6"/>
  <c r="F1124" i="6"/>
  <c r="B1124" i="6"/>
  <c r="H1123" i="6"/>
  <c r="L1123" i="6"/>
  <c r="B1123" i="6"/>
  <c r="L1122" i="6"/>
  <c r="B1122" i="6"/>
  <c r="N1121" i="6"/>
  <c r="D1121" i="6"/>
  <c r="H1120" i="6"/>
  <c r="L1120" i="6"/>
  <c r="B1120" i="6"/>
  <c r="H1119" i="6"/>
  <c r="L1119" i="6"/>
  <c r="B1119" i="6"/>
  <c r="H1118" i="6"/>
  <c r="F1118" i="6"/>
  <c r="D1118" i="6"/>
  <c r="H1117" i="6"/>
  <c r="L1117" i="6"/>
  <c r="B1117" i="6"/>
  <c r="H1116" i="6"/>
  <c r="F1116" i="6"/>
  <c r="J1116" i="6"/>
  <c r="L1115" i="6"/>
  <c r="B1115" i="6"/>
  <c r="N1114" i="6"/>
  <c r="D1114" i="6"/>
  <c r="H1113" i="6"/>
  <c r="N1113" i="6"/>
  <c r="D1113" i="6"/>
  <c r="H1112" i="6"/>
  <c r="L1112" i="6"/>
  <c r="B1112" i="6"/>
  <c r="N1111" i="6"/>
  <c r="D1111" i="6"/>
  <c r="N1110" i="6"/>
  <c r="D1110" i="6"/>
  <c r="N1109" i="6"/>
  <c r="D1109" i="6"/>
  <c r="F1108" i="6"/>
  <c r="J1108" i="6"/>
  <c r="L1107" i="6"/>
  <c r="B1107" i="6"/>
  <c r="H1106" i="6"/>
  <c r="L1106" i="6"/>
  <c r="B1106" i="6"/>
  <c r="H1105" i="6"/>
  <c r="L1105" i="6"/>
  <c r="B1105" i="6"/>
  <c r="N1104" i="6"/>
  <c r="D1104" i="6"/>
  <c r="N1103" i="6"/>
  <c r="D1103" i="6"/>
  <c r="N1102" i="6"/>
  <c r="D1102" i="6"/>
  <c r="N1101" i="6"/>
  <c r="D1101" i="6"/>
  <c r="N1099" i="6"/>
  <c r="D1099" i="6"/>
  <c r="L1098" i="6"/>
  <c r="B1098" i="6"/>
  <c r="F1097" i="6"/>
  <c r="J1097" i="6"/>
  <c r="H1096" i="6"/>
  <c r="L1096" i="6"/>
  <c r="B1096" i="6"/>
  <c r="F1095" i="6"/>
  <c r="D1095" i="6"/>
  <c r="H1094" i="6"/>
  <c r="F1094" i="6"/>
  <c r="D1094" i="6"/>
  <c r="N1093" i="6"/>
  <c r="D1093" i="6"/>
  <c r="H1092" i="6"/>
  <c r="L1092" i="6"/>
  <c r="B1092" i="6"/>
  <c r="H1091" i="6"/>
  <c r="L1091" i="6"/>
  <c r="D1091" i="6"/>
  <c r="H1090" i="6"/>
  <c r="L1090" i="6"/>
  <c r="B1090" i="6"/>
  <c r="N1089" i="6"/>
  <c r="D1089" i="6"/>
  <c r="F1088" i="6"/>
  <c r="D1088" i="6"/>
  <c r="L1087" i="6"/>
  <c r="J1087" i="6"/>
  <c r="N1086" i="6"/>
  <c r="D1086" i="6"/>
  <c r="H1085" i="6"/>
  <c r="F1085" i="6"/>
  <c r="B1085" i="6"/>
  <c r="F1084" i="6"/>
  <c r="J1084" i="6"/>
  <c r="H1083" i="6"/>
  <c r="L1083" i="6"/>
  <c r="B1083" i="6"/>
  <c r="N1082" i="6"/>
  <c r="D1082" i="6"/>
  <c r="F1081" i="6"/>
  <c r="J1081" i="6"/>
  <c r="H1080" i="6"/>
  <c r="L1080" i="6"/>
  <c r="B1080" i="6"/>
  <c r="N1079" i="6"/>
  <c r="D1079" i="6"/>
  <c r="H1078" i="6"/>
  <c r="F1078" i="6"/>
  <c r="J1078" i="6"/>
  <c r="H1077" i="6"/>
  <c r="L1077" i="6"/>
  <c r="B1077" i="6"/>
  <c r="N1076" i="6"/>
  <c r="J1076" i="6"/>
  <c r="L1075" i="6"/>
  <c r="B1075" i="6"/>
  <c r="H1074" i="6"/>
  <c r="L1074" i="6"/>
  <c r="B1074" i="6"/>
  <c r="H1073" i="6"/>
  <c r="L1073" i="6"/>
  <c r="J1073" i="6"/>
  <c r="H1072" i="6"/>
  <c r="L1072" i="6"/>
  <c r="B1072" i="6"/>
  <c r="L1071" i="6"/>
  <c r="B1071" i="6"/>
  <c r="F1070" i="6"/>
  <c r="J1070" i="6"/>
  <c r="F1069" i="6"/>
  <c r="B1069" i="6"/>
  <c r="N1068" i="6"/>
  <c r="D1068" i="6"/>
  <c r="H1067" i="6"/>
  <c r="L1067" i="6"/>
  <c r="B1067" i="6"/>
  <c r="N1066" i="6"/>
  <c r="D1066" i="6"/>
  <c r="H1065" i="6"/>
  <c r="L1065" i="6"/>
  <c r="B1065" i="6"/>
  <c r="H1064" i="6"/>
  <c r="L1064" i="6"/>
  <c r="B1064" i="6"/>
  <c r="N1063" i="6"/>
  <c r="D1063" i="6"/>
  <c r="N1062" i="6"/>
  <c r="D1062" i="6"/>
  <c r="F1061" i="6"/>
  <c r="J1061" i="6"/>
  <c r="H1060" i="6"/>
  <c r="L1060" i="6"/>
  <c r="D1060" i="6"/>
  <c r="B1100" i="6"/>
  <c r="H1059" i="6"/>
  <c r="H1100" i="6"/>
  <c r="D1059" i="6"/>
  <c r="D1100" i="6"/>
  <c r="J1102" i="2"/>
  <c r="B1101" i="2"/>
  <c r="B1100" i="2"/>
  <c r="J1098" i="2"/>
  <c r="B1094" i="2"/>
  <c r="B1092" i="2"/>
  <c r="J1090" i="2"/>
  <c r="B1090" i="2"/>
  <c r="B1089" i="2"/>
  <c r="B1088" i="2"/>
  <c r="J1086" i="2"/>
  <c r="B1086" i="2"/>
  <c r="B1085" i="2"/>
  <c r="B1084" i="2"/>
  <c r="J1082" i="2"/>
  <c r="B1082" i="2"/>
  <c r="B1081" i="2"/>
  <c r="B1080" i="2"/>
  <c r="J1077" i="2"/>
  <c r="J1076" i="2"/>
  <c r="B1076" i="2"/>
  <c r="J1075" i="2"/>
  <c r="B1075" i="2"/>
  <c r="B1074" i="2"/>
  <c r="J1073" i="2"/>
  <c r="B1072" i="2"/>
  <c r="J1069" i="2"/>
  <c r="J1068" i="2"/>
  <c r="B1068" i="2"/>
  <c r="J1067" i="2"/>
  <c r="B1067" i="2"/>
  <c r="B1066" i="2"/>
  <c r="J1065" i="2"/>
  <c r="B1064" i="2"/>
  <c r="J1061" i="2"/>
  <c r="J1060" i="2"/>
  <c r="B1060" i="2"/>
  <c r="J1059" i="2"/>
  <c r="B1059" i="2"/>
  <c r="B1058" i="2"/>
  <c r="AC1025" i="4"/>
  <c r="AD921" i="4"/>
  <c r="AC921" i="4"/>
  <c r="I1097" i="3"/>
  <c r="I1093" i="3"/>
  <c r="I1089" i="3"/>
  <c r="I1085" i="3"/>
  <c r="I1081" i="3"/>
  <c r="I1075" i="3"/>
  <c r="I1073" i="3"/>
  <c r="E1070" i="3"/>
  <c r="I1065" i="3"/>
  <c r="J1104" i="3"/>
  <c r="C1104" i="3"/>
  <c r="D1102" i="3"/>
  <c r="H1101" i="3"/>
  <c r="J1100" i="3"/>
  <c r="D1100" i="3"/>
  <c r="H1097" i="3"/>
  <c r="D1096" i="3"/>
  <c r="F1095" i="3"/>
  <c r="B1092" i="3"/>
  <c r="F1091" i="3"/>
  <c r="J1088" i="3"/>
  <c r="D1088" i="3"/>
  <c r="E1087" i="3"/>
  <c r="J1084" i="3"/>
  <c r="D1084" i="3"/>
  <c r="D1082" i="3"/>
  <c r="C1080" i="3"/>
  <c r="J1078" i="3"/>
  <c r="G1077" i="3"/>
  <c r="G1075" i="3"/>
  <c r="J1074" i="3"/>
  <c r="B1072" i="3"/>
  <c r="B1070" i="3"/>
  <c r="G1069" i="3"/>
  <c r="E1067" i="3"/>
  <c r="I1066" i="3"/>
  <c r="G1065" i="3"/>
  <c r="D1064" i="3"/>
  <c r="E1063" i="3"/>
  <c r="B1062" i="3"/>
  <c r="G1061" i="3"/>
  <c r="D1060" i="3"/>
  <c r="H1059" i="3"/>
  <c r="J1058" i="3"/>
  <c r="C1057" i="3"/>
  <c r="N1145" i="6"/>
  <c r="D1145" i="6"/>
  <c r="N1144" i="6"/>
  <c r="D1144" i="6"/>
  <c r="H1143" i="6"/>
  <c r="L1143" i="6"/>
  <c r="B1143" i="6"/>
  <c r="N1142" i="6"/>
  <c r="D1142" i="6"/>
  <c r="F1141" i="6"/>
  <c r="D1141" i="6"/>
  <c r="N1140" i="6"/>
  <c r="J1140" i="6"/>
  <c r="F1139" i="6"/>
  <c r="B1139" i="6"/>
  <c r="L1138" i="6"/>
  <c r="B1138" i="6"/>
  <c r="N1137" i="6"/>
  <c r="D1137" i="6"/>
  <c r="N1136" i="6"/>
  <c r="D1136" i="6"/>
  <c r="N1135" i="6"/>
  <c r="D1135" i="6"/>
  <c r="N1134" i="6"/>
  <c r="J1134" i="6"/>
  <c r="N1133" i="6"/>
  <c r="D1133" i="6"/>
  <c r="N1132" i="6"/>
  <c r="D1132" i="6"/>
  <c r="F1131" i="6"/>
  <c r="B1131" i="6"/>
  <c r="N1130" i="6"/>
  <c r="D1130" i="6"/>
  <c r="H1129" i="6"/>
  <c r="L1129" i="6"/>
  <c r="B1129" i="6"/>
  <c r="N1128" i="6"/>
  <c r="J1128" i="6"/>
  <c r="N1127" i="6"/>
  <c r="D1127" i="6"/>
  <c r="F1126" i="6"/>
  <c r="J1126" i="6"/>
  <c r="F1125" i="6"/>
  <c r="J1125" i="6"/>
  <c r="H1124" i="6"/>
  <c r="L1124" i="6"/>
  <c r="J1124" i="6"/>
  <c r="N1123" i="6"/>
  <c r="D1123" i="6"/>
  <c r="H1122" i="6"/>
  <c r="F1122" i="6"/>
  <c r="J1122" i="6"/>
  <c r="F1121" i="6"/>
  <c r="J1121" i="6"/>
  <c r="F1120" i="6"/>
  <c r="J1120" i="6"/>
  <c r="N1119" i="6"/>
  <c r="J1119" i="6"/>
  <c r="N1118" i="6"/>
  <c r="B1118" i="6"/>
  <c r="F1117" i="6"/>
  <c r="J1117" i="6"/>
  <c r="L1116" i="6"/>
  <c r="B1116" i="6"/>
  <c r="H1115" i="6"/>
  <c r="F1115" i="6"/>
  <c r="D1115" i="6"/>
  <c r="F1114" i="6"/>
  <c r="J1114" i="6"/>
  <c r="L1113" i="6"/>
  <c r="B1113" i="6"/>
  <c r="F1112" i="6"/>
  <c r="J1112" i="6"/>
  <c r="L1111" i="6"/>
  <c r="B1111" i="6"/>
  <c r="F1110" i="6"/>
  <c r="J1110" i="6"/>
  <c r="L1109" i="6"/>
  <c r="J1109" i="6"/>
  <c r="N1108" i="6"/>
  <c r="D1108" i="6"/>
  <c r="N1107" i="6"/>
  <c r="J1107" i="6"/>
  <c r="N1106" i="6"/>
  <c r="D1106" i="6"/>
  <c r="F1105" i="6"/>
  <c r="J1105" i="6"/>
  <c r="L1104" i="6"/>
  <c r="B1104" i="6"/>
  <c r="F1103" i="6"/>
  <c r="B1103" i="6"/>
  <c r="H1102" i="6"/>
  <c r="L1102" i="6"/>
  <c r="B1102" i="6"/>
  <c r="H1101" i="6"/>
  <c r="F1101" i="6"/>
  <c r="J1101" i="6"/>
  <c r="F1099" i="6"/>
  <c r="J1099" i="6"/>
  <c r="H1098" i="6"/>
  <c r="F1098" i="6"/>
  <c r="D1098" i="6"/>
  <c r="H1097" i="6"/>
  <c r="L1097" i="6"/>
  <c r="B1097" i="6"/>
  <c r="F1096" i="6"/>
  <c r="J1096" i="6"/>
  <c r="N1095" i="6"/>
  <c r="J1095" i="6"/>
  <c r="L1094" i="6"/>
  <c r="B1094" i="6"/>
  <c r="H1093" i="6"/>
  <c r="L1093" i="6"/>
  <c r="B1093" i="6"/>
  <c r="N1092" i="6"/>
  <c r="J1092" i="6"/>
  <c r="N1091" i="6"/>
  <c r="J1091" i="6"/>
  <c r="N1090" i="6"/>
  <c r="D1090" i="6"/>
  <c r="F1089" i="6"/>
  <c r="J1089" i="6"/>
  <c r="H1088" i="6"/>
  <c r="L1088" i="6"/>
  <c r="B1088" i="6"/>
  <c r="H1087" i="6"/>
  <c r="F1087" i="6"/>
  <c r="B1087" i="6"/>
  <c r="F1086" i="6"/>
  <c r="J1086" i="6"/>
  <c r="L1085" i="6"/>
  <c r="J1085" i="6"/>
  <c r="H1084" i="6"/>
  <c r="L1084" i="6"/>
  <c r="B1084" i="6"/>
  <c r="N1083" i="6"/>
  <c r="D1083" i="6"/>
  <c r="H1082" i="6"/>
  <c r="L1082" i="6"/>
  <c r="B1082" i="6"/>
  <c r="H1081" i="6"/>
  <c r="L1081" i="6"/>
  <c r="B1081" i="6"/>
  <c r="N1080" i="6"/>
  <c r="D1080" i="6"/>
  <c r="H1079" i="6"/>
  <c r="L1079" i="6"/>
  <c r="B1079" i="6"/>
  <c r="N1078" i="6"/>
  <c r="D1078" i="6"/>
  <c r="N1077" i="6"/>
  <c r="D1077" i="6"/>
  <c r="H1076" i="6"/>
  <c r="L1076" i="6"/>
  <c r="B1076" i="6"/>
  <c r="N1075" i="6"/>
  <c r="D1075" i="6"/>
  <c r="N1074" i="6"/>
  <c r="D1074" i="6"/>
  <c r="N1073" i="6"/>
  <c r="D1073" i="6"/>
  <c r="F1072" i="6"/>
  <c r="J1072" i="6"/>
  <c r="N1071" i="6"/>
  <c r="D1071" i="6"/>
  <c r="N1070" i="6"/>
  <c r="D1070" i="6"/>
  <c r="N1069" i="6"/>
  <c r="D1069" i="6"/>
  <c r="H1068" i="6"/>
  <c r="L1068" i="6"/>
  <c r="B1068" i="6"/>
  <c r="F1067" i="6"/>
  <c r="J1067" i="6"/>
  <c r="F1066" i="6"/>
  <c r="J1066" i="6"/>
  <c r="N1065" i="6"/>
  <c r="D1065" i="6"/>
  <c r="N1064" i="6"/>
  <c r="D1064" i="6"/>
  <c r="F1063" i="6"/>
  <c r="J1063" i="6"/>
  <c r="H1062" i="6"/>
  <c r="L1062" i="6"/>
  <c r="B1062" i="6"/>
  <c r="H1061" i="6"/>
  <c r="L1061" i="6"/>
  <c r="B1061" i="6"/>
  <c r="N1060" i="6"/>
  <c r="J1060" i="6"/>
  <c r="J1100" i="6"/>
  <c r="J1059" i="6"/>
  <c r="N1100" i="6"/>
  <c r="N1059" i="6"/>
  <c r="L1059" i="6"/>
  <c r="L1100" i="6"/>
  <c r="AC906" i="4"/>
  <c r="B1104" i="2"/>
  <c r="B1102" i="2"/>
  <c r="B1098" i="2"/>
  <c r="B1097" i="2"/>
  <c r="B1096" i="2"/>
  <c r="J1094" i="2"/>
  <c r="B1093" i="2"/>
  <c r="AC991" i="4"/>
  <c r="T1105" i="4"/>
  <c r="L1105" i="4"/>
  <c r="AC584" i="4"/>
  <c r="D1105" i="4"/>
  <c r="X1104" i="4"/>
  <c r="P1104" i="4"/>
  <c r="M1096" i="4"/>
  <c r="AD454" i="4"/>
  <c r="P1094" i="4"/>
  <c r="AC445" i="4"/>
  <c r="D1094" i="4"/>
  <c r="T1093" i="4"/>
  <c r="L1093" i="4"/>
  <c r="AC443" i="4"/>
  <c r="D1093" i="4"/>
  <c r="AC202" i="4"/>
  <c r="C1073" i="4"/>
  <c r="AD186" i="4"/>
  <c r="N1072" i="4"/>
  <c r="AC186" i="4"/>
  <c r="F1072" i="4"/>
  <c r="AD102" i="4"/>
  <c r="P1065" i="4"/>
  <c r="AC89" i="4"/>
  <c r="D1064" i="4"/>
  <c r="P1063" i="4"/>
  <c r="AD18" i="4"/>
  <c r="N1058" i="4"/>
  <c r="E1078" i="3"/>
  <c r="I1067" i="3"/>
  <c r="E1062" i="3"/>
  <c r="B1104" i="3"/>
  <c r="F1103" i="3"/>
  <c r="C1100" i="3"/>
  <c r="E1099" i="3"/>
  <c r="F1097" i="3"/>
  <c r="B1096" i="3"/>
  <c r="E1095" i="3"/>
  <c r="F1093" i="3"/>
  <c r="J1092" i="3"/>
  <c r="D1092" i="3"/>
  <c r="D1090" i="3"/>
  <c r="F1089" i="3"/>
  <c r="C1088" i="3"/>
  <c r="D1086" i="3"/>
  <c r="F1085" i="3"/>
  <c r="B1084" i="3"/>
  <c r="F1083" i="3"/>
  <c r="F1081" i="3"/>
  <c r="J1080" i="3"/>
  <c r="D1080" i="3"/>
  <c r="D1078" i="3"/>
  <c r="F1077" i="3"/>
  <c r="D1076" i="3"/>
  <c r="H1075" i="3"/>
  <c r="I1074" i="3"/>
  <c r="G1073" i="3"/>
  <c r="J1072" i="3"/>
  <c r="D1072" i="3"/>
  <c r="J1070" i="3"/>
  <c r="E1069" i="3"/>
  <c r="D1068" i="3"/>
  <c r="G1067" i="3"/>
  <c r="B1066" i="3"/>
  <c r="C1064" i="3"/>
  <c r="J1062" i="3"/>
  <c r="E1061" i="3"/>
  <c r="G1059" i="3"/>
  <c r="I1058" i="3"/>
  <c r="I1057" i="3"/>
  <c r="H1145" i="6"/>
  <c r="L1145" i="6"/>
  <c r="B1145" i="6"/>
  <c r="F1144" i="6"/>
  <c r="J1144" i="6"/>
  <c r="N1143" i="6"/>
  <c r="D1143" i="6"/>
  <c r="F1142" i="6"/>
  <c r="J1142" i="6"/>
  <c r="N1141" i="6"/>
  <c r="J1141" i="6"/>
  <c r="L1140" i="6"/>
  <c r="B1140" i="6"/>
  <c r="N1139" i="6"/>
  <c r="D1139" i="6"/>
  <c r="H1138" i="6"/>
  <c r="F1138" i="6"/>
  <c r="D1138" i="6"/>
  <c r="H1137" i="6"/>
  <c r="L1137" i="6"/>
  <c r="B1137" i="6"/>
  <c r="F1136" i="6"/>
  <c r="J1136" i="6"/>
  <c r="F1135" i="6"/>
  <c r="J1135" i="6"/>
  <c r="H1134" i="6"/>
  <c r="L1134" i="6"/>
  <c r="B1134" i="6"/>
  <c r="H1133" i="6"/>
  <c r="L1133" i="6"/>
  <c r="B1133" i="6"/>
  <c r="H1132" i="6"/>
  <c r="L1132" i="6"/>
  <c r="B1132" i="6"/>
  <c r="N1131" i="6"/>
  <c r="D1131" i="6"/>
  <c r="F1130" i="6"/>
  <c r="B1130" i="6"/>
  <c r="N1129" i="6"/>
  <c r="D1129" i="6"/>
  <c r="H1128" i="6"/>
  <c r="F1128" i="6"/>
  <c r="D1128" i="6"/>
  <c r="H1127" i="6"/>
  <c r="L1127" i="6"/>
  <c r="B1127" i="6"/>
  <c r="N1126" i="6"/>
  <c r="D1126" i="6"/>
  <c r="H1125" i="6"/>
  <c r="L1125" i="6"/>
  <c r="B1125" i="6"/>
  <c r="N1124" i="6"/>
  <c r="D1124" i="6"/>
  <c r="F1123" i="6"/>
  <c r="J1123" i="6"/>
  <c r="N1122" i="6"/>
  <c r="D1122" i="6"/>
  <c r="H1121" i="6"/>
  <c r="L1121" i="6"/>
  <c r="B1121" i="6"/>
  <c r="N1120" i="6"/>
  <c r="D1120" i="6"/>
  <c r="F1119" i="6"/>
  <c r="D1119" i="6"/>
  <c r="L1118" i="6"/>
  <c r="J1118" i="6"/>
  <c r="N1117" i="6"/>
  <c r="D1117" i="6"/>
  <c r="N1116" i="6"/>
  <c r="D1116" i="6"/>
  <c r="N1115" i="6"/>
  <c r="J1115" i="6"/>
  <c r="H1114" i="6"/>
  <c r="L1114" i="6"/>
  <c r="B1114" i="6"/>
  <c r="F1113" i="6"/>
  <c r="J1113" i="6"/>
  <c r="N1112" i="6"/>
  <c r="D1112" i="6"/>
  <c r="H1111" i="6"/>
  <c r="F1111" i="6"/>
  <c r="J1111" i="6"/>
  <c r="H1110" i="6"/>
  <c r="L1110" i="6"/>
  <c r="B1110" i="6"/>
  <c r="H1109" i="6"/>
  <c r="F1109" i="6"/>
  <c r="B1109" i="6"/>
  <c r="H1108" i="6"/>
  <c r="L1108" i="6"/>
  <c r="B1108" i="6"/>
  <c r="H1107" i="6"/>
  <c r="F1107" i="6"/>
  <c r="D1107" i="6"/>
  <c r="F1106" i="6"/>
  <c r="J1106" i="6"/>
  <c r="N1105" i="6"/>
  <c r="D1105" i="6"/>
  <c r="H1104" i="6"/>
  <c r="F1104" i="6"/>
  <c r="J1104" i="6"/>
  <c r="H1103" i="6"/>
  <c r="L1103" i="6"/>
  <c r="J1103" i="6"/>
  <c r="F1102" i="6"/>
  <c r="J1102" i="6"/>
  <c r="L1101" i="6"/>
  <c r="B1101" i="6"/>
  <c r="H1099" i="6"/>
  <c r="L1099" i="6"/>
  <c r="B1099" i="6"/>
  <c r="N1098" i="6"/>
  <c r="J1098" i="6"/>
  <c r="N1097" i="6"/>
  <c r="D1097" i="6"/>
  <c r="N1096" i="6"/>
  <c r="D1096" i="6"/>
  <c r="H1095" i="6"/>
  <c r="L1095" i="6"/>
  <c r="B1095" i="6"/>
  <c r="N1094" i="6"/>
  <c r="J1094" i="6"/>
  <c r="F1093" i="6"/>
  <c r="J1093" i="6"/>
  <c r="F1092" i="6"/>
  <c r="D1092" i="6"/>
  <c r="F1091" i="6"/>
  <c r="B1091" i="6"/>
  <c r="F1090" i="6"/>
  <c r="J1090" i="6"/>
  <c r="H1089" i="6"/>
  <c r="L1089" i="6"/>
  <c r="B1089" i="6"/>
  <c r="N1088" i="6"/>
  <c r="J1088" i="6"/>
  <c r="N1087" i="6"/>
  <c r="D1087" i="6"/>
  <c r="H1086" i="6"/>
  <c r="L1086" i="6"/>
  <c r="B1086" i="6"/>
  <c r="N1085" i="6"/>
  <c r="D1085" i="6"/>
  <c r="N1084" i="6"/>
  <c r="D1084" i="6"/>
  <c r="F1083" i="6"/>
  <c r="J1083" i="6"/>
  <c r="F1082" i="6"/>
  <c r="J1082" i="6"/>
  <c r="N1081" i="6"/>
  <c r="D1081" i="6"/>
  <c r="F1080" i="6"/>
  <c r="J1080" i="6"/>
  <c r="F1079" i="6"/>
  <c r="J1079" i="6"/>
  <c r="L1078" i="6"/>
  <c r="B1078" i="6"/>
  <c r="F1077" i="6"/>
  <c r="J1077" i="6"/>
  <c r="F1076" i="6"/>
  <c r="D1076" i="6"/>
  <c r="H1075" i="6"/>
  <c r="F1075" i="6"/>
  <c r="J1075" i="6"/>
  <c r="F1074" i="6"/>
  <c r="J1074" i="6"/>
  <c r="F1073" i="6"/>
  <c r="B1073" i="6"/>
  <c r="N1072" i="6"/>
  <c r="D1072" i="6"/>
  <c r="H1071" i="6"/>
  <c r="F1071" i="6"/>
  <c r="J1071" i="6"/>
  <c r="H1070" i="6"/>
  <c r="L1070" i="6"/>
  <c r="B1070" i="6"/>
  <c r="H1069" i="6"/>
  <c r="L1069" i="6"/>
  <c r="J1069" i="6"/>
  <c r="F1068" i="6"/>
  <c r="J1068" i="6"/>
  <c r="N1067" i="6"/>
  <c r="D1067" i="6"/>
  <c r="H1066" i="6"/>
  <c r="L1066" i="6"/>
  <c r="B1066" i="6"/>
  <c r="F1065" i="6"/>
  <c r="J1065" i="6"/>
  <c r="F1064" i="6"/>
  <c r="J1064" i="6"/>
  <c r="H1063" i="6"/>
  <c r="L1063" i="6"/>
  <c r="B1063" i="6"/>
  <c r="F1062" i="6"/>
  <c r="J1062" i="6"/>
  <c r="N1061" i="6"/>
  <c r="D1061" i="6"/>
  <c r="F1060" i="6"/>
  <c r="B1060" i="6"/>
  <c r="F1100" i="6"/>
  <c r="F1059" i="6"/>
  <c r="H1103" i="2"/>
  <c r="H1099" i="2"/>
  <c r="H1095" i="2"/>
  <c r="H1091" i="2"/>
  <c r="H1087" i="2"/>
  <c r="H1083" i="2"/>
  <c r="H1079" i="2"/>
  <c r="H1078" i="2"/>
  <c r="H1077" i="2"/>
  <c r="H1075" i="2"/>
  <c r="H1071" i="2"/>
  <c r="H1070" i="2"/>
  <c r="H1069" i="2"/>
  <c r="H1067" i="2"/>
  <c r="H1063" i="2"/>
  <c r="H1062" i="2"/>
  <c r="H1061" i="2"/>
  <c r="H1059" i="2"/>
  <c r="F1057" i="2"/>
  <c r="H1104" i="3"/>
  <c r="D1103" i="3"/>
  <c r="G1102" i="3"/>
  <c r="H1102" i="3"/>
  <c r="H1100" i="3"/>
  <c r="D1099" i="3"/>
  <c r="G1098" i="3"/>
  <c r="H1098" i="3"/>
  <c r="H1096" i="3"/>
  <c r="D1095" i="3"/>
  <c r="G1094" i="3"/>
  <c r="H1094" i="3"/>
  <c r="H1092" i="3"/>
  <c r="D1091" i="3"/>
  <c r="G1090" i="3"/>
  <c r="H1090" i="3"/>
  <c r="H1088" i="3"/>
  <c r="D1087" i="3"/>
  <c r="G1086" i="3"/>
  <c r="H1086" i="3"/>
  <c r="H1084" i="3"/>
  <c r="D1083" i="3"/>
  <c r="G1082" i="3"/>
  <c r="H1082" i="3"/>
  <c r="H1080" i="3"/>
  <c r="C1079" i="3"/>
  <c r="D1079" i="3"/>
  <c r="C1077" i="3"/>
  <c r="G1076" i="3"/>
  <c r="H1076" i="3"/>
  <c r="H1074" i="3"/>
  <c r="C1073" i="3"/>
  <c r="H1072" i="3"/>
  <c r="C1071" i="3"/>
  <c r="D1071" i="3"/>
  <c r="C1069" i="3"/>
  <c r="G1068" i="3"/>
  <c r="H1068" i="3"/>
  <c r="H1066" i="3"/>
  <c r="C1065" i="3"/>
  <c r="H1064" i="3"/>
  <c r="C1063" i="3"/>
  <c r="D1063" i="3"/>
  <c r="C1061" i="3"/>
  <c r="G1060" i="3"/>
  <c r="H1060" i="3"/>
  <c r="H1058" i="3"/>
  <c r="G1057" i="3"/>
  <c r="P1092" i="4"/>
  <c r="O1137" i="6"/>
  <c r="G1137" i="6"/>
  <c r="M1137" i="6"/>
  <c r="E1137" i="6"/>
  <c r="O1136" i="6"/>
  <c r="G1136" i="6"/>
  <c r="M1136" i="6"/>
  <c r="E1136" i="6"/>
  <c r="O1135" i="6"/>
  <c r="G1135" i="6"/>
  <c r="M1135" i="6"/>
  <c r="E1135" i="6"/>
  <c r="O1134" i="6"/>
  <c r="G1134" i="6"/>
  <c r="M1134" i="6"/>
  <c r="E1134" i="6"/>
  <c r="O1133" i="6"/>
  <c r="G1133" i="6"/>
  <c r="M1133" i="6"/>
  <c r="E1133" i="6"/>
  <c r="O1132" i="6"/>
  <c r="G1132" i="6"/>
  <c r="M1132" i="6"/>
  <c r="E1132" i="6"/>
  <c r="O1131" i="6"/>
  <c r="G1131" i="6"/>
  <c r="M1131" i="6"/>
  <c r="E1131" i="6"/>
  <c r="O1130" i="6"/>
  <c r="G1130" i="6"/>
  <c r="M1130" i="6"/>
  <c r="E1130" i="6"/>
  <c r="O1129" i="6"/>
  <c r="G1129" i="6"/>
  <c r="M1129" i="6"/>
  <c r="E1129" i="6"/>
  <c r="O1128" i="6"/>
  <c r="G1128" i="6"/>
  <c r="M1128" i="6"/>
  <c r="E1128" i="6"/>
  <c r="O1127" i="6"/>
  <c r="G1127" i="6"/>
  <c r="M1127" i="6"/>
  <c r="E1127" i="6"/>
  <c r="O1126" i="6"/>
  <c r="G1126" i="6"/>
  <c r="M1126" i="6"/>
  <c r="E1126" i="6"/>
  <c r="O1125" i="6"/>
  <c r="G1125" i="6"/>
  <c r="M1125" i="6"/>
  <c r="E1125" i="6"/>
  <c r="O1124" i="6"/>
  <c r="G1124" i="6"/>
  <c r="M1124" i="6"/>
  <c r="E1124" i="6"/>
  <c r="O1123" i="6"/>
  <c r="G1123" i="6"/>
  <c r="M1123" i="6"/>
  <c r="E1123" i="6"/>
  <c r="O1122" i="6"/>
  <c r="G1122" i="6"/>
  <c r="M1122" i="6"/>
  <c r="E1122" i="6"/>
  <c r="O1121" i="6"/>
  <c r="G1121" i="6"/>
  <c r="M1121" i="6"/>
  <c r="E1121" i="6"/>
  <c r="O1120" i="6"/>
  <c r="G1120" i="6"/>
  <c r="M1120" i="6"/>
  <c r="E1120" i="6"/>
  <c r="O1119" i="6"/>
  <c r="G1119" i="6"/>
  <c r="M1119" i="6"/>
  <c r="E1119" i="6"/>
  <c r="O1118" i="6"/>
  <c r="G1118" i="6"/>
  <c r="M1118" i="6"/>
  <c r="E1118" i="6"/>
  <c r="O1117" i="6"/>
  <c r="G1117" i="6"/>
  <c r="M1117" i="6"/>
  <c r="E1117" i="6"/>
  <c r="O1116" i="6"/>
  <c r="G1116" i="6"/>
  <c r="M1116" i="6"/>
  <c r="E1116" i="6"/>
  <c r="O1115" i="6"/>
  <c r="G1115" i="6"/>
  <c r="M1115" i="6"/>
  <c r="E1115" i="6"/>
  <c r="O1114" i="6"/>
  <c r="G1114" i="6"/>
  <c r="M1114" i="6"/>
  <c r="E1114" i="6"/>
  <c r="O1113" i="6"/>
  <c r="G1113" i="6"/>
  <c r="M1113" i="6"/>
  <c r="E1113" i="6"/>
  <c r="O1112" i="6"/>
  <c r="G1112" i="6"/>
  <c r="M1112" i="6"/>
  <c r="E1112" i="6"/>
  <c r="O1111" i="6"/>
  <c r="G1111" i="6"/>
  <c r="M1111" i="6"/>
  <c r="E1111" i="6"/>
  <c r="O1110" i="6"/>
  <c r="G1110" i="6"/>
  <c r="M1110" i="6"/>
  <c r="E1110" i="6"/>
  <c r="O1109" i="6"/>
  <c r="G1109" i="6"/>
  <c r="M1109" i="6"/>
  <c r="E1109" i="6"/>
  <c r="O1108" i="6"/>
  <c r="G1108" i="6"/>
  <c r="M1108" i="6"/>
  <c r="E1108" i="6"/>
  <c r="O1107" i="6"/>
  <c r="G1107" i="6"/>
  <c r="M1107" i="6"/>
  <c r="E1107" i="6"/>
  <c r="O1106" i="6"/>
  <c r="G1106" i="6"/>
  <c r="M1106" i="6"/>
  <c r="E1106" i="6"/>
  <c r="O1105" i="6"/>
  <c r="G1105" i="6"/>
  <c r="M1105" i="6"/>
  <c r="E1105" i="6"/>
  <c r="O1104" i="6"/>
  <c r="G1104" i="6"/>
  <c r="M1104" i="6"/>
  <c r="E1104" i="6"/>
  <c r="O1103" i="6"/>
  <c r="G1103" i="6"/>
  <c r="M1103" i="6"/>
  <c r="E1103" i="6"/>
  <c r="O1102" i="6"/>
  <c r="G1102" i="6"/>
  <c r="M1102" i="6"/>
  <c r="E1102" i="6"/>
  <c r="O1101" i="6"/>
  <c r="G1101" i="6"/>
  <c r="M1101" i="6"/>
  <c r="E1101" i="6"/>
  <c r="O1099" i="6"/>
  <c r="G1099" i="6"/>
  <c r="M1099" i="6"/>
  <c r="E1099" i="6"/>
  <c r="O1098" i="6"/>
  <c r="G1098" i="6"/>
  <c r="M1098" i="6"/>
  <c r="E1098" i="6"/>
  <c r="O1097" i="6"/>
  <c r="G1097" i="6"/>
  <c r="M1097" i="6"/>
  <c r="E1097" i="6"/>
  <c r="O1096" i="6"/>
  <c r="G1096" i="6"/>
  <c r="M1096" i="6"/>
  <c r="E1096" i="6"/>
  <c r="O1095" i="6"/>
  <c r="G1095" i="6"/>
  <c r="M1095" i="6"/>
  <c r="E1095" i="6"/>
  <c r="O1094" i="6"/>
  <c r="G1094" i="6"/>
  <c r="M1094" i="6"/>
  <c r="E1094" i="6"/>
  <c r="O1093" i="6"/>
  <c r="G1093" i="6"/>
  <c r="M1093" i="6"/>
  <c r="E1093" i="6"/>
  <c r="O1092" i="6"/>
  <c r="G1092" i="6"/>
  <c r="M1092" i="6"/>
  <c r="E1092" i="6"/>
  <c r="O1091" i="6"/>
  <c r="G1091" i="6"/>
  <c r="M1091" i="6"/>
  <c r="E1091" i="6"/>
  <c r="O1090" i="6"/>
  <c r="G1090" i="6"/>
  <c r="M1090" i="6"/>
  <c r="E1090" i="6"/>
  <c r="O1089" i="6"/>
  <c r="G1089" i="6"/>
  <c r="M1089" i="6"/>
  <c r="E1089" i="6"/>
  <c r="O1088" i="6"/>
  <c r="G1088" i="6"/>
  <c r="M1088" i="6"/>
  <c r="E1088" i="6"/>
  <c r="O1087" i="6"/>
  <c r="G1087" i="6"/>
  <c r="M1087" i="6"/>
  <c r="E1087" i="6"/>
  <c r="O1086" i="6"/>
  <c r="G1086" i="6"/>
  <c r="M1086" i="6"/>
  <c r="E1086" i="6"/>
  <c r="O1085" i="6"/>
  <c r="G1085" i="6"/>
  <c r="M1085" i="6"/>
  <c r="E1085" i="6"/>
  <c r="O1084" i="6"/>
  <c r="G1084" i="6"/>
  <c r="M1084" i="6"/>
  <c r="E1084" i="6"/>
  <c r="O1083" i="6"/>
  <c r="G1083" i="6"/>
  <c r="M1083" i="6"/>
  <c r="E1083" i="6"/>
  <c r="O1082" i="6"/>
  <c r="G1082" i="6"/>
  <c r="M1082" i="6"/>
  <c r="E1082" i="6"/>
  <c r="O1081" i="6"/>
  <c r="G1081" i="6"/>
  <c r="M1081" i="6"/>
  <c r="E1081" i="6"/>
  <c r="O1080" i="6"/>
  <c r="G1080" i="6"/>
  <c r="M1080" i="6"/>
  <c r="E1080" i="6"/>
  <c r="O1079" i="6"/>
  <c r="G1079" i="6"/>
  <c r="M1079" i="6"/>
  <c r="E1079" i="6"/>
  <c r="O1078" i="6"/>
  <c r="G1078" i="6"/>
  <c r="M1078" i="6"/>
  <c r="E1078" i="6"/>
  <c r="O1077" i="6"/>
  <c r="G1077" i="6"/>
  <c r="M1077" i="6"/>
  <c r="E1077" i="6"/>
  <c r="O1076" i="6"/>
  <c r="G1076" i="6"/>
  <c r="M1076" i="6"/>
  <c r="E1076" i="6"/>
  <c r="O1075" i="6"/>
  <c r="G1075" i="6"/>
  <c r="M1075" i="6"/>
  <c r="E1075" i="6"/>
  <c r="O1074" i="6"/>
  <c r="G1074" i="6"/>
  <c r="M1074" i="6"/>
  <c r="E1074" i="6"/>
  <c r="O1073" i="6"/>
  <c r="G1073" i="6"/>
  <c r="M1073" i="6"/>
  <c r="E1073" i="6"/>
  <c r="O1072" i="6"/>
  <c r="G1072" i="6"/>
  <c r="M1072" i="6"/>
  <c r="E1072" i="6"/>
  <c r="O1071" i="6"/>
  <c r="G1071" i="6"/>
  <c r="M1071" i="6"/>
  <c r="E1071" i="6"/>
  <c r="O1070" i="6"/>
  <c r="G1070" i="6"/>
  <c r="M1070" i="6"/>
  <c r="E1070" i="6"/>
  <c r="O1069" i="6"/>
  <c r="G1069" i="6"/>
  <c r="M1069" i="6"/>
  <c r="E1069" i="6"/>
  <c r="O1068" i="6"/>
  <c r="G1068" i="6"/>
  <c r="M1068" i="6"/>
  <c r="E1068" i="6"/>
  <c r="O1067" i="6"/>
  <c r="G1067" i="6"/>
  <c r="M1067" i="6"/>
  <c r="E1067" i="6"/>
  <c r="O1066" i="6"/>
  <c r="G1066" i="6"/>
  <c r="M1066" i="6"/>
  <c r="E1066" i="6"/>
  <c r="O1065" i="6"/>
  <c r="G1065" i="6"/>
  <c r="M1065" i="6"/>
  <c r="E1065" i="6"/>
  <c r="O1064" i="6"/>
  <c r="G1064" i="6"/>
  <c r="M1064" i="6"/>
  <c r="E1064" i="6"/>
  <c r="O1063" i="6"/>
  <c r="G1063" i="6"/>
  <c r="M1063" i="6"/>
  <c r="E1063" i="6"/>
  <c r="O1062" i="6"/>
  <c r="G1062" i="6"/>
  <c r="M1062" i="6"/>
  <c r="E1062" i="6"/>
  <c r="O1061" i="6"/>
  <c r="G1061" i="6"/>
  <c r="M1061" i="6"/>
  <c r="E1061" i="6"/>
  <c r="O1060" i="6"/>
  <c r="G1060" i="6"/>
  <c r="M1060" i="6"/>
  <c r="E1060" i="6"/>
  <c r="C1059" i="6"/>
  <c r="I1100" i="6"/>
  <c r="I1059" i="6"/>
  <c r="O1100" i="6"/>
  <c r="O1059" i="6"/>
  <c r="G1059" i="6"/>
  <c r="G1100" i="6"/>
  <c r="AD1055" i="4"/>
  <c r="AD1024" i="4"/>
  <c r="AD988" i="4"/>
  <c r="AD956" i="4"/>
  <c r="AC931" i="4"/>
  <c r="AC912" i="4"/>
  <c r="AD896" i="4"/>
  <c r="AC586" i="4"/>
  <c r="C1105" i="4"/>
  <c r="T1101" i="4"/>
  <c r="AC1045" i="4"/>
  <c r="AC1024" i="4"/>
  <c r="AC1010" i="4"/>
  <c r="AC891" i="4"/>
  <c r="T1104" i="4"/>
  <c r="AC569" i="4"/>
  <c r="Q481" i="5"/>
  <c r="R1096" i="5"/>
  <c r="E1090" i="5"/>
  <c r="L408" i="5"/>
  <c r="L1090" i="5" s="1"/>
  <c r="I1138" i="6"/>
  <c r="I1137" i="6"/>
  <c r="I1135" i="6"/>
  <c r="I1134" i="6"/>
  <c r="I1133" i="6"/>
  <c r="I1132" i="6"/>
  <c r="I1131" i="6"/>
  <c r="I1130" i="6"/>
  <c r="I1129" i="6"/>
  <c r="I1128" i="6"/>
  <c r="I1127" i="6"/>
  <c r="AC1049" i="4"/>
  <c r="AC990" i="4"/>
  <c r="AC956" i="4"/>
  <c r="AD953" i="4"/>
  <c r="AC953" i="4"/>
  <c r="AC935" i="4"/>
  <c r="AC922" i="4"/>
  <c r="AC896" i="4"/>
  <c r="AC878" i="4"/>
  <c r="AC848" i="4"/>
  <c r="AC1056" i="4"/>
  <c r="AD984" i="4"/>
  <c r="AD969" i="4"/>
  <c r="AC942" i="4"/>
  <c r="AC703" i="4"/>
  <c r="AC555" i="4"/>
  <c r="I1103" i="4"/>
  <c r="I1097" i="5"/>
  <c r="L492" i="5"/>
  <c r="D1093" i="5"/>
  <c r="L444" i="5"/>
  <c r="I1145" i="6"/>
  <c r="I1144" i="6"/>
  <c r="I1142" i="6"/>
  <c r="I1141" i="6"/>
  <c r="I1139" i="6"/>
  <c r="AC1052" i="4"/>
  <c r="AC1042" i="4"/>
  <c r="AD1039" i="4"/>
  <c r="AC1031" i="4"/>
  <c r="AD1029" i="4"/>
  <c r="AD1028" i="4"/>
  <c r="AC1020" i="4"/>
  <c r="AC1015" i="4"/>
  <c r="AC971" i="4"/>
  <c r="AD960" i="4"/>
  <c r="AC1055" i="4"/>
  <c r="AC1034" i="4"/>
  <c r="AC1007" i="4"/>
  <c r="AC969" i="4"/>
  <c r="L430" i="5"/>
  <c r="C1091" i="5"/>
  <c r="I1143" i="6"/>
  <c r="I1140" i="6"/>
  <c r="I1136" i="6"/>
  <c r="D1104" i="4"/>
  <c r="AC1050" i="4"/>
  <c r="AC927" i="4"/>
  <c r="AC435" i="4"/>
  <c r="H1093" i="4"/>
  <c r="T1081" i="4"/>
  <c r="L1081" i="4"/>
  <c r="AC290" i="4"/>
  <c r="D1081" i="4"/>
  <c r="AC287" i="4"/>
  <c r="X1078" i="4"/>
  <c r="AC75" i="4"/>
  <c r="I1063" i="4"/>
  <c r="AD1050" i="4"/>
  <c r="AC1046" i="4"/>
  <c r="AD1017" i="4"/>
  <c r="AC1017" i="4"/>
  <c r="AC1002" i="4"/>
  <c r="AC1000" i="4"/>
  <c r="AC974" i="4"/>
  <c r="AD968" i="4"/>
  <c r="AC964" i="4"/>
  <c r="AC910" i="4"/>
  <c r="AD900" i="4"/>
  <c r="AD853" i="4"/>
  <c r="AC659" i="4"/>
  <c r="AC534" i="4"/>
  <c r="AC1044" i="4"/>
  <c r="AD1032" i="4"/>
  <c r="AD1027" i="4"/>
  <c r="AC1023" i="4"/>
  <c r="AC998" i="4"/>
  <c r="AD992" i="4"/>
  <c r="AC988" i="4"/>
  <c r="AD977" i="4"/>
  <c r="AC977" i="4"/>
  <c r="AC962" i="4"/>
  <c r="AC960" i="4"/>
  <c r="AD944" i="4"/>
  <c r="AC940" i="4"/>
  <c r="AD938" i="4"/>
  <c r="AD937" i="4"/>
  <c r="AC937" i="4"/>
  <c r="AC870" i="4"/>
  <c r="AC868" i="4"/>
  <c r="AC607" i="4"/>
  <c r="AC339" i="4"/>
  <c r="R1064" i="4"/>
  <c r="AC81" i="4"/>
  <c r="AC1028" i="4"/>
  <c r="AC1006" i="4"/>
  <c r="AD1000" i="4"/>
  <c r="AC996" i="4"/>
  <c r="AD985" i="4"/>
  <c r="AC985" i="4"/>
  <c r="AC970" i="4"/>
  <c r="AC968" i="4"/>
  <c r="AC950" i="4"/>
  <c r="AC930" i="4"/>
  <c r="AC928" i="4"/>
  <c r="AD908" i="4"/>
  <c r="AC902" i="4"/>
  <c r="AC883" i="4"/>
  <c r="AC865" i="4"/>
  <c r="AC863" i="4"/>
  <c r="AC832" i="4"/>
  <c r="AC748" i="4"/>
  <c r="C1095" i="4"/>
  <c r="AC458" i="4"/>
  <c r="AD378" i="4"/>
  <c r="AC378" i="4"/>
  <c r="AC204" i="4"/>
  <c r="J1072" i="4"/>
  <c r="AC182" i="4"/>
  <c r="C1072" i="4"/>
  <c r="AD122" i="4"/>
  <c r="AC122" i="4"/>
  <c r="AC1048" i="4"/>
  <c r="AC1032" i="4"/>
  <c r="AC1014" i="4"/>
  <c r="AC1004" i="4"/>
  <c r="AC978" i="4"/>
  <c r="AC976" i="4"/>
  <c r="AC948" i="4"/>
  <c r="AC938" i="4"/>
  <c r="AC936" i="4"/>
  <c r="AC866" i="4"/>
  <c r="AC793" i="4"/>
  <c r="AC511" i="4"/>
  <c r="AC492" i="4"/>
  <c r="AC223" i="4"/>
  <c r="AD201" i="4"/>
  <c r="M1073" i="4"/>
  <c r="X1070" i="4"/>
  <c r="F1069" i="4"/>
  <c r="AC147" i="4"/>
  <c r="AC63" i="4"/>
  <c r="AC886" i="4"/>
  <c r="AD880" i="4"/>
  <c r="AC876" i="4"/>
  <c r="AD865" i="4"/>
  <c r="AC853" i="4"/>
  <c r="AC749" i="4"/>
  <c r="AC713" i="4"/>
  <c r="AC650" i="4"/>
  <c r="AC621" i="4"/>
  <c r="AD480" i="4"/>
  <c r="AC480" i="4"/>
  <c r="AC469" i="4"/>
  <c r="AC447" i="4"/>
  <c r="AD442" i="4"/>
  <c r="AC442" i="4"/>
  <c r="AD405" i="4"/>
  <c r="M1090" i="4"/>
  <c r="AC329" i="4"/>
  <c r="AC301" i="4"/>
  <c r="AC246" i="4"/>
  <c r="C1077" i="4"/>
  <c r="AC237" i="4"/>
  <c r="AC201" i="4"/>
  <c r="AC200" i="4"/>
  <c r="D1073" i="4"/>
  <c r="J1068" i="4"/>
  <c r="AC138" i="4"/>
  <c r="H1063" i="4"/>
  <c r="K1145" i="6"/>
  <c r="C1145" i="6"/>
  <c r="K1144" i="6"/>
  <c r="C1144" i="6"/>
  <c r="K1143" i="6"/>
  <c r="C1143" i="6"/>
  <c r="K1142" i="6"/>
  <c r="C1142" i="6"/>
  <c r="K1141" i="6"/>
  <c r="C1141" i="6"/>
  <c r="K1140" i="6"/>
  <c r="C1140" i="6"/>
  <c r="K1139" i="6"/>
  <c r="C1139" i="6"/>
  <c r="K1138" i="6"/>
  <c r="C1138" i="6"/>
  <c r="K1137" i="6"/>
  <c r="C1137" i="6"/>
  <c r="K1136" i="6"/>
  <c r="C1136" i="6"/>
  <c r="K1135" i="6"/>
  <c r="C1135" i="6"/>
  <c r="K1134" i="6"/>
  <c r="C1134" i="6"/>
  <c r="K1133" i="6"/>
  <c r="C1133" i="6"/>
  <c r="K1132" i="6"/>
  <c r="C1132" i="6"/>
  <c r="K1131" i="6"/>
  <c r="C1131" i="6"/>
  <c r="K1130" i="6"/>
  <c r="C1130" i="6"/>
  <c r="K1129" i="6"/>
  <c r="C1129" i="6"/>
  <c r="K1128" i="6"/>
  <c r="C1128" i="6"/>
  <c r="K1127" i="6"/>
  <c r="C1126" i="6"/>
  <c r="K1115" i="6"/>
  <c r="C1109" i="6"/>
  <c r="AD904" i="4"/>
  <c r="AC900" i="4"/>
  <c r="AD889" i="4"/>
  <c r="AC889" i="4"/>
  <c r="AC874" i="4"/>
  <c r="AC872" i="4"/>
  <c r="AD826" i="4"/>
  <c r="AC826" i="4"/>
  <c r="AC812" i="4"/>
  <c r="AC811" i="4"/>
  <c r="AC787" i="4"/>
  <c r="AC767" i="4"/>
  <c r="AD762" i="4"/>
  <c r="AC762" i="4"/>
  <c r="AD672" i="4"/>
  <c r="AC672" i="4"/>
  <c r="AC661" i="4"/>
  <c r="AC537" i="4"/>
  <c r="W1101" i="4"/>
  <c r="O1101" i="4"/>
  <c r="G1101" i="4"/>
  <c r="AC521" i="4"/>
  <c r="AC460" i="4"/>
  <c r="AC377" i="4"/>
  <c r="C1087" i="4"/>
  <c r="AC362" i="4"/>
  <c r="AD352" i="4"/>
  <c r="AC352" i="4"/>
  <c r="AC341" i="4"/>
  <c r="AC340" i="4"/>
  <c r="AC322" i="4"/>
  <c r="AC319" i="4"/>
  <c r="AD314" i="4"/>
  <c r="AC314" i="4"/>
  <c r="AC255" i="4"/>
  <c r="AD250" i="4"/>
  <c r="AC250" i="4"/>
  <c r="R1075" i="4"/>
  <c r="AD160" i="4"/>
  <c r="AC160" i="4"/>
  <c r="F1070" i="4"/>
  <c r="L1069" i="4"/>
  <c r="AC149" i="4"/>
  <c r="AC124" i="4"/>
  <c r="AC121" i="4"/>
  <c r="AC35" i="4"/>
  <c r="E1059" i="4"/>
  <c r="AD28" i="4"/>
  <c r="N1059" i="4"/>
  <c r="L731" i="5"/>
  <c r="L505" i="5"/>
  <c r="D1102" i="5"/>
  <c r="D1104" i="5"/>
  <c r="D1100" i="5"/>
  <c r="D1103" i="5"/>
  <c r="I1099" i="5"/>
  <c r="I1098" i="5"/>
  <c r="I1100" i="5"/>
  <c r="S494" i="5"/>
  <c r="E1098" i="5"/>
  <c r="E1097" i="5"/>
  <c r="L468" i="5"/>
  <c r="D1095" i="5"/>
  <c r="L280" i="5"/>
  <c r="C1079" i="5"/>
  <c r="S276" i="5"/>
  <c r="S1079" i="5" s="1"/>
  <c r="Q1079" i="5"/>
  <c r="S266" i="5"/>
  <c r="S1078" i="5" s="1"/>
  <c r="Q1078" i="5"/>
  <c r="L265" i="5"/>
  <c r="E1078" i="5"/>
  <c r="S260" i="5"/>
  <c r="S1077" i="5" s="1"/>
  <c r="Q1077" i="5"/>
  <c r="L234" i="5"/>
  <c r="C1075" i="5"/>
  <c r="S231" i="5"/>
  <c r="S1075" i="5" s="1"/>
  <c r="Q1075" i="5"/>
  <c r="S206" i="5"/>
  <c r="S1073" i="5" s="1"/>
  <c r="Q1073" i="5"/>
  <c r="L144" i="5"/>
  <c r="C1068" i="5"/>
  <c r="L135" i="5"/>
  <c r="F1067" i="5"/>
  <c r="S133" i="5"/>
  <c r="S1067" i="5" s="1"/>
  <c r="AD134" i="4"/>
  <c r="S129" i="5"/>
  <c r="S1066" i="5" s="1"/>
  <c r="Q1066" i="5"/>
  <c r="L93" i="5"/>
  <c r="F1063" i="5"/>
  <c r="Q86" i="5"/>
  <c r="R1063" i="5"/>
  <c r="AC946" i="4"/>
  <c r="AC944" i="4"/>
  <c r="AC918" i="4"/>
  <c r="AD912" i="4"/>
  <c r="AC908" i="4"/>
  <c r="AD897" i="4"/>
  <c r="AC897" i="4"/>
  <c r="AC882" i="4"/>
  <c r="AC880" i="4"/>
  <c r="AC860" i="4"/>
  <c r="AC859" i="4"/>
  <c r="AC844" i="4"/>
  <c r="AD764" i="4"/>
  <c r="AD736" i="4"/>
  <c r="AC736" i="4"/>
  <c r="AC725" i="4"/>
  <c r="AC700" i="4"/>
  <c r="AC697" i="4"/>
  <c r="AC662" i="4"/>
  <c r="AC636" i="4"/>
  <c r="AC633" i="4"/>
  <c r="AD608" i="4"/>
  <c r="AC608" i="4"/>
  <c r="AC597" i="4"/>
  <c r="AC575" i="4"/>
  <c r="AD570" i="4"/>
  <c r="AC570" i="4"/>
  <c r="AC556" i="4"/>
  <c r="AC531" i="4"/>
  <c r="AC523" i="4"/>
  <c r="AC522" i="4"/>
  <c r="AC493" i="4"/>
  <c r="AD457" i="4"/>
  <c r="Q1092" i="4"/>
  <c r="I1092" i="4"/>
  <c r="AC415" i="4"/>
  <c r="AC396" i="4"/>
  <c r="AD353" i="4"/>
  <c r="M1086" i="4"/>
  <c r="AC342" i="4"/>
  <c r="AD288" i="4"/>
  <c r="AC288" i="4"/>
  <c r="AC277" i="4"/>
  <c r="AD224" i="4"/>
  <c r="AC224" i="4"/>
  <c r="AC213" i="4"/>
  <c r="AC188" i="4"/>
  <c r="T1072" i="4"/>
  <c r="AC185" i="4"/>
  <c r="AD161" i="4"/>
  <c r="M1070" i="4"/>
  <c r="AC161" i="4"/>
  <c r="E1070" i="4"/>
  <c r="AC150" i="4"/>
  <c r="C1069" i="4"/>
  <c r="L1065" i="4"/>
  <c r="AC97" i="4"/>
  <c r="AC73" i="4"/>
  <c r="F1062" i="4"/>
  <c r="L866" i="5"/>
  <c r="AC926" i="4"/>
  <c r="AC916" i="4"/>
  <c r="AD905" i="4"/>
  <c r="AC905" i="4"/>
  <c r="AC890" i="4"/>
  <c r="AC888" i="4"/>
  <c r="AC857" i="4"/>
  <c r="AC828" i="4"/>
  <c r="AC825" i="4"/>
  <c r="AC810" i="4"/>
  <c r="AD800" i="4"/>
  <c r="AC800" i="4"/>
  <c r="AC764" i="4"/>
  <c r="AC761" i="4"/>
  <c r="AC726" i="4"/>
  <c r="AC671" i="4"/>
  <c r="AC652" i="4"/>
  <c r="AC473" i="4"/>
  <c r="AC351" i="4"/>
  <c r="AC316" i="4"/>
  <c r="AC313" i="4"/>
  <c r="X1080" i="4"/>
  <c r="P1080" i="4"/>
  <c r="H1080" i="4"/>
  <c r="AC252" i="4"/>
  <c r="AC249" i="4"/>
  <c r="X1075" i="4"/>
  <c r="P1075" i="4"/>
  <c r="H1075" i="4"/>
  <c r="H1071" i="4"/>
  <c r="AC159" i="4"/>
  <c r="AC140" i="4"/>
  <c r="AC98" i="4"/>
  <c r="C1065" i="4"/>
  <c r="AD840" i="4"/>
  <c r="AC806" i="4"/>
  <c r="AD802" i="4"/>
  <c r="AD788" i="4"/>
  <c r="AC788" i="4"/>
  <c r="AD776" i="4"/>
  <c r="AD752" i="4"/>
  <c r="AC742" i="4"/>
  <c r="AD738" i="4"/>
  <c r="AD724" i="4"/>
  <c r="AC724" i="4"/>
  <c r="AD712" i="4"/>
  <c r="AC678" i="4"/>
  <c r="AD674" i="4"/>
  <c r="AD660" i="4"/>
  <c r="AC660" i="4"/>
  <c r="AD648" i="4"/>
  <c r="AD622" i="4"/>
  <c r="AC614" i="4"/>
  <c r="AD610" i="4"/>
  <c r="AD596" i="4"/>
  <c r="AC596" i="4"/>
  <c r="AC1106" i="4" s="1"/>
  <c r="AD584" i="4"/>
  <c r="AC550" i="4"/>
  <c r="AD546" i="4"/>
  <c r="AD532" i="4"/>
  <c r="AC532" i="4"/>
  <c r="AD520" i="4"/>
  <c r="AC486" i="4"/>
  <c r="AD482" i="4"/>
  <c r="AD471" i="4"/>
  <c r="AD468" i="4"/>
  <c r="AC468" i="4"/>
  <c r="AD456" i="4"/>
  <c r="AC422" i="4"/>
  <c r="AC1092" i="4" s="1"/>
  <c r="AD418" i="4"/>
  <c r="AD404" i="4"/>
  <c r="AC404" i="4"/>
  <c r="AD392" i="4"/>
  <c r="AC358" i="4"/>
  <c r="AD354" i="4"/>
  <c r="AD340" i="4"/>
  <c r="AD328" i="4"/>
  <c r="AC294" i="4"/>
  <c r="AD290" i="4"/>
  <c r="AD276" i="4"/>
  <c r="AC276" i="4"/>
  <c r="AD264" i="4"/>
  <c r="AC230" i="4"/>
  <c r="AD226" i="4"/>
  <c r="AD212" i="4"/>
  <c r="AC212" i="4"/>
  <c r="AD200" i="4"/>
  <c r="AC199" i="4"/>
  <c r="R1073" i="4"/>
  <c r="J1073" i="4"/>
  <c r="B1073" i="4"/>
  <c r="AC166" i="4"/>
  <c r="AD162" i="4"/>
  <c r="AD148" i="4"/>
  <c r="AC148" i="4"/>
  <c r="AD136" i="4"/>
  <c r="AC135" i="4"/>
  <c r="AC102" i="4"/>
  <c r="AD96" i="4"/>
  <c r="AC96" i="4"/>
  <c r="AC90" i="4"/>
  <c r="C1064" i="4"/>
  <c r="AC74" i="4"/>
  <c r="AC33" i="4"/>
  <c r="A1085" i="5"/>
  <c r="B1084" i="5"/>
  <c r="L858" i="5"/>
  <c r="AC807" i="4"/>
  <c r="AC774" i="4"/>
  <c r="AD770" i="4"/>
  <c r="AC756" i="4"/>
  <c r="AD744" i="4"/>
  <c r="AC743" i="4"/>
  <c r="AC710" i="4"/>
  <c r="AD706" i="4"/>
  <c r="AD692" i="4"/>
  <c r="AC692" i="4"/>
  <c r="AD680" i="4"/>
  <c r="AC679" i="4"/>
  <c r="AC646" i="4"/>
  <c r="AD642" i="4"/>
  <c r="AD628" i="4"/>
  <c r="AC628" i="4"/>
  <c r="AD616" i="4"/>
  <c r="AC615" i="4"/>
  <c r="AC582" i="4"/>
  <c r="AD578" i="4"/>
  <c r="AD564" i="4"/>
  <c r="AC564" i="4"/>
  <c r="AD552" i="4"/>
  <c r="AC551" i="4"/>
  <c r="AC518" i="4"/>
  <c r="AD514" i="4"/>
  <c r="AD500" i="4"/>
  <c r="AC500" i="4"/>
  <c r="AD488" i="4"/>
  <c r="AC487" i="4"/>
  <c r="AC454" i="4"/>
  <c r="AD450" i="4"/>
  <c r="AD436" i="4"/>
  <c r="AC436" i="4"/>
  <c r="AC423" i="4"/>
  <c r="AC390" i="4"/>
  <c r="AD386" i="4"/>
  <c r="AD372" i="4"/>
  <c r="AD360" i="4"/>
  <c r="AC326" i="4"/>
  <c r="AD322" i="4"/>
  <c r="AD308" i="4"/>
  <c r="AD296" i="4"/>
  <c r="AC295" i="4"/>
  <c r="AC262" i="4"/>
  <c r="AD258" i="4"/>
  <c r="AD244" i="4"/>
  <c r="AC244" i="4"/>
  <c r="AD232" i="4"/>
  <c r="AC231" i="4"/>
  <c r="AC198" i="4"/>
  <c r="AD194" i="4"/>
  <c r="AD180" i="4"/>
  <c r="AC180" i="4"/>
  <c r="AD168" i="4"/>
  <c r="AC167" i="4"/>
  <c r="AC134" i="4"/>
  <c r="AD130" i="4"/>
  <c r="AD116" i="4"/>
  <c r="AD104" i="4"/>
  <c r="R1065" i="4"/>
  <c r="J1065" i="4"/>
  <c r="B1065" i="4"/>
  <c r="AD92" i="4"/>
  <c r="AC66" i="4"/>
  <c r="L1016" i="5"/>
  <c r="L961" i="5"/>
  <c r="L922" i="5"/>
  <c r="Q374" i="5"/>
  <c r="R1087" i="5"/>
  <c r="L346" i="5"/>
  <c r="D1084" i="5"/>
  <c r="AC1036" i="4"/>
  <c r="AD1021" i="4"/>
  <c r="AD1013" i="4"/>
  <c r="AC1013" i="4"/>
  <c r="AD1005" i="4"/>
  <c r="AC1005" i="4"/>
  <c r="AD997" i="4"/>
  <c r="AC997" i="4"/>
  <c r="AD989" i="4"/>
  <c r="AC989" i="4"/>
  <c r="AD981" i="4"/>
  <c r="AC981" i="4"/>
  <c r="AD973" i="4"/>
  <c r="AC973" i="4"/>
  <c r="AD965" i="4"/>
  <c r="AC965" i="4"/>
  <c r="AD957" i="4"/>
  <c r="AC957" i="4"/>
  <c r="AD949" i="4"/>
  <c r="AC949" i="4"/>
  <c r="AD941" i="4"/>
  <c r="AC941" i="4"/>
  <c r="AD933" i="4"/>
  <c r="AC933" i="4"/>
  <c r="AD925" i="4"/>
  <c r="AC925" i="4"/>
  <c r="AD917" i="4"/>
  <c r="AC917" i="4"/>
  <c r="AD909" i="4"/>
  <c r="AC909" i="4"/>
  <c r="AD901" i="4"/>
  <c r="AC901" i="4"/>
  <c r="AD893" i="4"/>
  <c r="AC893" i="4"/>
  <c r="AD885" i="4"/>
  <c r="AC885" i="4"/>
  <c r="AD877" i="4"/>
  <c r="AC877" i="4"/>
  <c r="AD869" i="4"/>
  <c r="AC869" i="4"/>
  <c r="AD859" i="4"/>
  <c r="AD858" i="4"/>
  <c r="AD833" i="4"/>
  <c r="AC833" i="4"/>
  <c r="AD832" i="4"/>
  <c r="AD821" i="4"/>
  <c r="AD807" i="4"/>
  <c r="AD795" i="4"/>
  <c r="AD794" i="4"/>
  <c r="AD769" i="4"/>
  <c r="AC769" i="4"/>
  <c r="AD768" i="4"/>
  <c r="AD757" i="4"/>
  <c r="AD756" i="4"/>
  <c r="AD743" i="4"/>
  <c r="AD731" i="4"/>
  <c r="AD730" i="4"/>
  <c r="AD705" i="4"/>
  <c r="AC705" i="4"/>
  <c r="AD704" i="4"/>
  <c r="AD693" i="4"/>
  <c r="AD681" i="4"/>
  <c r="AD679" i="4"/>
  <c r="AD667" i="4"/>
  <c r="AD666" i="4"/>
  <c r="AD641" i="4"/>
  <c r="AC641" i="4"/>
  <c r="AD640" i="4"/>
  <c r="AD629" i="4"/>
  <c r="AD615" i="4"/>
  <c r="AD603" i="4"/>
  <c r="AD602" i="4"/>
  <c r="AD577" i="4"/>
  <c r="AC577" i="4"/>
  <c r="AD576" i="4"/>
  <c r="AD565" i="4"/>
  <c r="AD551" i="4"/>
  <c r="AD539" i="4"/>
  <c r="AD538" i="4"/>
  <c r="AD513" i="4"/>
  <c r="AC513" i="4"/>
  <c r="AD512" i="4"/>
  <c r="AD501" i="4"/>
  <c r="AD487" i="4"/>
  <c r="AD475" i="4"/>
  <c r="AD474" i="4"/>
  <c r="AD449" i="4"/>
  <c r="AC449" i="4"/>
  <c r="AD448" i="4"/>
  <c r="AD437" i="4"/>
  <c r="AD423" i="4"/>
  <c r="AD411" i="4"/>
  <c r="AD410" i="4"/>
  <c r="AD385" i="4"/>
  <c r="AC385" i="4"/>
  <c r="AD384" i="4"/>
  <c r="AD373" i="4"/>
  <c r="AD359" i="4"/>
  <c r="AD347" i="4"/>
  <c r="AD346" i="4"/>
  <c r="AD321" i="4"/>
  <c r="AD320" i="4"/>
  <c r="AD309" i="4"/>
  <c r="AD295" i="4"/>
  <c r="AD283" i="4"/>
  <c r="AD282" i="4"/>
  <c r="AD257" i="4"/>
  <c r="AC257" i="4"/>
  <c r="AD256" i="4"/>
  <c r="AD245" i="4"/>
  <c r="AD231" i="4"/>
  <c r="AD219" i="4"/>
  <c r="AD218" i="4"/>
  <c r="AD207" i="4"/>
  <c r="AD193" i="4"/>
  <c r="AC193" i="4"/>
  <c r="AC1073" i="4" s="1"/>
  <c r="AD192" i="4"/>
  <c r="AD181" i="4"/>
  <c r="AD167" i="4"/>
  <c r="AD155" i="4"/>
  <c r="AD154" i="4"/>
  <c r="AD128" i="4"/>
  <c r="AD117" i="4"/>
  <c r="AC51" i="4"/>
  <c r="L795" i="5"/>
  <c r="L658" i="5"/>
  <c r="L412" i="5"/>
  <c r="E1088" i="5"/>
  <c r="S386" i="5"/>
  <c r="S1088" i="5" s="1"/>
  <c r="Q1088" i="5"/>
  <c r="AC834" i="4"/>
  <c r="AC821" i="4"/>
  <c r="AD818" i="4"/>
  <c r="AC808" i="4"/>
  <c r="AC796" i="4"/>
  <c r="AC795" i="4"/>
  <c r="AC770" i="4"/>
  <c r="AC757" i="4"/>
  <c r="AD754" i="4"/>
  <c r="AC744" i="4"/>
  <c r="AC732" i="4"/>
  <c r="AC731" i="4"/>
  <c r="AC706" i="4"/>
  <c r="AC693" i="4"/>
  <c r="AD690" i="4"/>
  <c r="AC680" i="4"/>
  <c r="AC668" i="4"/>
  <c r="AC667" i="4"/>
  <c r="AC642" i="4"/>
  <c r="AC629" i="4"/>
  <c r="AD626" i="4"/>
  <c r="AC616" i="4"/>
  <c r="AC604" i="4"/>
  <c r="AC603" i="4"/>
  <c r="AC578" i="4"/>
  <c r="AC565" i="4"/>
  <c r="AC1104" i="4" s="1"/>
  <c r="AC552" i="4"/>
  <c r="AC540" i="4"/>
  <c r="AC539" i="4"/>
  <c r="AC514" i="4"/>
  <c r="AC501" i="4"/>
  <c r="AC488" i="4"/>
  <c r="AC476" i="4"/>
  <c r="AC475" i="4"/>
  <c r="AC450" i="4"/>
  <c r="AC437" i="4"/>
  <c r="AC424" i="4"/>
  <c r="AC412" i="4"/>
  <c r="AC411" i="4"/>
  <c r="AC1091" i="4" s="1"/>
  <c r="AC373" i="4"/>
  <c r="AC372" i="4"/>
  <c r="AC360" i="4"/>
  <c r="AC359" i="4"/>
  <c r="AC348" i="4"/>
  <c r="AC347" i="4"/>
  <c r="AC309" i="4"/>
  <c r="AC308" i="4"/>
  <c r="AC296" i="4"/>
  <c r="AC284" i="4"/>
  <c r="AC283" i="4"/>
  <c r="AC258" i="4"/>
  <c r="AC245" i="4"/>
  <c r="AD242" i="4"/>
  <c r="AC232" i="4"/>
  <c r="AC220" i="4"/>
  <c r="AC219" i="4"/>
  <c r="AC181" i="4"/>
  <c r="AD178" i="4"/>
  <c r="T1071" i="4"/>
  <c r="L1071" i="4"/>
  <c r="AC169" i="4"/>
  <c r="D1071" i="4"/>
  <c r="AC168" i="4"/>
  <c r="AC156" i="4"/>
  <c r="AC155" i="4"/>
  <c r="AC142" i="4"/>
  <c r="AC117" i="4"/>
  <c r="AC116" i="4"/>
  <c r="AC1066" i="4" s="1"/>
  <c r="AD114" i="4"/>
  <c r="AC105" i="4"/>
  <c r="AC104" i="4"/>
  <c r="AC103" i="4"/>
  <c r="AC91" i="4"/>
  <c r="AC1064" i="4" s="1"/>
  <c r="AD73" i="4"/>
  <c r="M1063" i="4"/>
  <c r="AD71" i="4"/>
  <c r="AD70" i="4"/>
  <c r="AD53" i="4"/>
  <c r="AD51" i="4"/>
  <c r="AD861" i="4"/>
  <c r="AD860" i="4"/>
  <c r="AD835" i="4"/>
  <c r="AD829" i="4"/>
  <c r="AD828" i="4"/>
  <c r="AD803" i="4"/>
  <c r="AD797" i="4"/>
  <c r="AD796" i="4"/>
  <c r="AD771" i="4"/>
  <c r="AD765" i="4"/>
  <c r="AD739" i="4"/>
  <c r="AD733" i="4"/>
  <c r="AD732" i="4"/>
  <c r="AD707" i="4"/>
  <c r="AD701" i="4"/>
  <c r="AD700" i="4"/>
  <c r="AD675" i="4"/>
  <c r="AD669" i="4"/>
  <c r="AD668" i="4"/>
  <c r="AD643" i="4"/>
  <c r="AD637" i="4"/>
  <c r="AD636" i="4"/>
  <c r="AD611" i="4"/>
  <c r="AD605" i="4"/>
  <c r="AD604" i="4"/>
  <c r="AD579" i="4"/>
  <c r="AD573" i="4"/>
  <c r="AD572" i="4"/>
  <c r="AD547" i="4"/>
  <c r="AD541" i="4"/>
  <c r="AD540" i="4"/>
  <c r="AD515" i="4"/>
  <c r="AD509" i="4"/>
  <c r="AD508" i="4"/>
  <c r="AD483" i="4"/>
  <c r="AD477" i="4"/>
  <c r="AD476" i="4"/>
  <c r="AD451" i="4"/>
  <c r="AD445" i="4"/>
  <c r="AD444" i="4"/>
  <c r="AD419" i="4"/>
  <c r="AD413" i="4"/>
  <c r="AD412" i="4"/>
  <c r="AD387" i="4"/>
  <c r="AD381" i="4"/>
  <c r="AD380" i="4"/>
  <c r="AD355" i="4"/>
  <c r="AD349" i="4"/>
  <c r="AD348" i="4"/>
  <c r="AD323" i="4"/>
  <c r="AD317" i="4"/>
  <c r="AD316" i="4"/>
  <c r="AD291" i="4"/>
  <c r="AD285" i="4"/>
  <c r="AD284" i="4"/>
  <c r="AD259" i="4"/>
  <c r="AD253" i="4"/>
  <c r="AD252" i="4"/>
  <c r="AD227" i="4"/>
  <c r="AD221" i="4"/>
  <c r="AD220" i="4"/>
  <c r="AD195" i="4"/>
  <c r="AD189" i="4"/>
  <c r="AD188" i="4"/>
  <c r="AD163" i="4"/>
  <c r="AD157" i="4"/>
  <c r="AD156" i="4"/>
  <c r="AD131" i="4"/>
  <c r="AD125" i="4"/>
  <c r="AD124" i="4"/>
  <c r="AD99" i="4"/>
  <c r="AD91" i="4"/>
  <c r="AD64" i="4"/>
  <c r="AC64" i="4"/>
  <c r="AC58" i="4"/>
  <c r="AD46" i="4"/>
  <c r="AD44" i="4"/>
  <c r="AD42" i="4"/>
  <c r="L1046" i="5"/>
  <c r="L942" i="5"/>
  <c r="L818" i="5"/>
  <c r="L463" i="5"/>
  <c r="C1094" i="5"/>
  <c r="D1092" i="5"/>
  <c r="L435" i="5"/>
  <c r="C1092" i="5"/>
  <c r="AD851" i="4"/>
  <c r="AD845" i="4"/>
  <c r="AD844" i="4"/>
  <c r="AD819" i="4"/>
  <c r="AD813" i="4"/>
  <c r="AD812" i="4"/>
  <c r="AD787" i="4"/>
  <c r="AD781" i="4"/>
  <c r="AD780" i="4"/>
  <c r="AD755" i="4"/>
  <c r="AD749" i="4"/>
  <c r="AD748" i="4"/>
  <c r="AD723" i="4"/>
  <c r="AD717" i="4"/>
  <c r="AD716" i="4"/>
  <c r="AD691" i="4"/>
  <c r="AD685" i="4"/>
  <c r="AD684" i="4"/>
  <c r="AD659" i="4"/>
  <c r="AD653" i="4"/>
  <c r="AD652" i="4"/>
  <c r="AD627" i="4"/>
  <c r="AD621" i="4"/>
  <c r="AD620" i="4"/>
  <c r="AD595" i="4"/>
  <c r="AD589" i="4"/>
  <c r="AD1106" i="4" s="1"/>
  <c r="AD588" i="4"/>
  <c r="AD563" i="4"/>
  <c r="AD557" i="4"/>
  <c r="AD556" i="4"/>
  <c r="AD531" i="4"/>
  <c r="AD525" i="4"/>
  <c r="AD524" i="4"/>
  <c r="AD493" i="4"/>
  <c r="AD492" i="4"/>
  <c r="AD467" i="4"/>
  <c r="AD461" i="4"/>
  <c r="AD460" i="4"/>
  <c r="AD435" i="4"/>
  <c r="AD429" i="4"/>
  <c r="AD428" i="4"/>
  <c r="AD403" i="4"/>
  <c r="AD397" i="4"/>
  <c r="AD396" i="4"/>
  <c r="AD365" i="4"/>
  <c r="AD364" i="4"/>
  <c r="AD339" i="4"/>
  <c r="AD333" i="4"/>
  <c r="AD332" i="4"/>
  <c r="AD307" i="4"/>
  <c r="AD301" i="4"/>
  <c r="AD300" i="4"/>
  <c r="AD275" i="4"/>
  <c r="AD269" i="4"/>
  <c r="AD268" i="4"/>
  <c r="AD243" i="4"/>
  <c r="AD237" i="4"/>
  <c r="AD236" i="4"/>
  <c r="AD211" i="4"/>
  <c r="AD205" i="4"/>
  <c r="AD204" i="4"/>
  <c r="AD179" i="4"/>
  <c r="AD173" i="4"/>
  <c r="AD172" i="4"/>
  <c r="AD147" i="4"/>
  <c r="AD141" i="4"/>
  <c r="AD140" i="4"/>
  <c r="AD115" i="4"/>
  <c r="AD109" i="4"/>
  <c r="AD108" i="4"/>
  <c r="AD79" i="4"/>
  <c r="AD78" i="4"/>
  <c r="AC53" i="4"/>
  <c r="AC52" i="4"/>
  <c r="AD34" i="4"/>
  <c r="L778" i="5"/>
  <c r="E1087" i="5"/>
  <c r="L376" i="5"/>
  <c r="L363" i="5"/>
  <c r="D1086" i="5"/>
  <c r="S312" i="5"/>
  <c r="S1082" i="5" s="1"/>
  <c r="Q1082" i="5"/>
  <c r="L240" i="5"/>
  <c r="C1076" i="5"/>
  <c r="L145" i="5"/>
  <c r="I1068" i="5"/>
  <c r="S112" i="5"/>
  <c r="S1065" i="5" s="1"/>
  <c r="Q1065" i="5"/>
  <c r="L79" i="5"/>
  <c r="C1062" i="5"/>
  <c r="S75" i="5"/>
  <c r="S1062" i="5" s="1"/>
  <c r="Q1062" i="5"/>
  <c r="AD863" i="4"/>
  <c r="AD857" i="4"/>
  <c r="AD856" i="4"/>
  <c r="AD831" i="4"/>
  <c r="AD825" i="4"/>
  <c r="AD824" i="4"/>
  <c r="AD799" i="4"/>
  <c r="AD793" i="4"/>
  <c r="AD792" i="4"/>
  <c r="AD767" i="4"/>
  <c r="AD761" i="4"/>
  <c r="AD735" i="4"/>
  <c r="AD729" i="4"/>
  <c r="AD728" i="4"/>
  <c r="AD703" i="4"/>
  <c r="AD697" i="4"/>
  <c r="AD696" i="4"/>
  <c r="AD671" i="4"/>
  <c r="AD665" i="4"/>
  <c r="AD664" i="4"/>
  <c r="AD639" i="4"/>
  <c r="AD633" i="4"/>
  <c r="AD632" i="4"/>
  <c r="AD607" i="4"/>
  <c r="AD601" i="4"/>
  <c r="AD600" i="4"/>
  <c r="AD575" i="4"/>
  <c r="AD569" i="4"/>
  <c r="AD568" i="4"/>
  <c r="AD543" i="4"/>
  <c r="AD537" i="4"/>
  <c r="AD536" i="4"/>
  <c r="AD511" i="4"/>
  <c r="AD505" i="4"/>
  <c r="AD504" i="4"/>
  <c r="AD479" i="4"/>
  <c r="AD473" i="4"/>
  <c r="AD472" i="4"/>
  <c r="AD447" i="4"/>
  <c r="AD441" i="4"/>
  <c r="AD440" i="4"/>
  <c r="AD409" i="4"/>
  <c r="AD408" i="4"/>
  <c r="AD383" i="4"/>
  <c r="AD377" i="4"/>
  <c r="AD376" i="4"/>
  <c r="AD345" i="4"/>
  <c r="AD344" i="4"/>
  <c r="AD319" i="4"/>
  <c r="AD313" i="4"/>
  <c r="AD312" i="4"/>
  <c r="AD287" i="4"/>
  <c r="AD281" i="4"/>
  <c r="AD280" i="4"/>
  <c r="AD255" i="4"/>
  <c r="AD249" i="4"/>
  <c r="AD248" i="4"/>
  <c r="AD223" i="4"/>
  <c r="AD217" i="4"/>
  <c r="AD216" i="4"/>
  <c r="AD191" i="4"/>
  <c r="AD185" i="4"/>
  <c r="AD184" i="4"/>
  <c r="AD159" i="4"/>
  <c r="AD153" i="4"/>
  <c r="AD152" i="4"/>
  <c r="AD127" i="4"/>
  <c r="AD121" i="4"/>
  <c r="AD120" i="4"/>
  <c r="AD77" i="4"/>
  <c r="AC77" i="4"/>
  <c r="AD76" i="4"/>
  <c r="AD69" i="4"/>
  <c r="AD68" i="4"/>
  <c r="AD58" i="4"/>
  <c r="AD38" i="4"/>
  <c r="AD37" i="4"/>
  <c r="L1047" i="5"/>
  <c r="L1041" i="5"/>
  <c r="L1027" i="5"/>
  <c r="L1022" i="5"/>
  <c r="L966" i="5"/>
  <c r="L925" i="5"/>
  <c r="L919" i="5"/>
  <c r="L695" i="5"/>
  <c r="L693" i="5"/>
  <c r="L417" i="5"/>
  <c r="L370" i="5"/>
  <c r="C1086" i="5"/>
  <c r="Q350" i="5"/>
  <c r="AD351" i="4" s="1"/>
  <c r="R1085" i="5"/>
  <c r="H1082" i="5"/>
  <c r="AD867" i="4"/>
  <c r="AD843" i="4"/>
  <c r="AD837" i="4"/>
  <c r="AD836" i="4"/>
  <c r="AD811" i="4"/>
  <c r="AD805" i="4"/>
  <c r="AD804" i="4"/>
  <c r="AD779" i="4"/>
  <c r="AD773" i="4"/>
  <c r="AD772" i="4"/>
  <c r="AD760" i="4"/>
  <c r="AD747" i="4"/>
  <c r="AD741" i="4"/>
  <c r="AD740" i="4"/>
  <c r="AD715" i="4"/>
  <c r="AD709" i="4"/>
  <c r="AD708" i="4"/>
  <c r="AD683" i="4"/>
  <c r="AD677" i="4"/>
  <c r="AD676" i="4"/>
  <c r="AD651" i="4"/>
  <c r="AD645" i="4"/>
  <c r="AD644" i="4"/>
  <c r="AD619" i="4"/>
  <c r="AD613" i="4"/>
  <c r="AD612" i="4"/>
  <c r="AD587" i="4"/>
  <c r="AD581" i="4"/>
  <c r="AD580" i="4"/>
  <c r="AD555" i="4"/>
  <c r="AD1103" i="4" s="1"/>
  <c r="AD549" i="4"/>
  <c r="AD548" i="4"/>
  <c r="AD523" i="4"/>
  <c r="AD517" i="4"/>
  <c r="AD516" i="4"/>
  <c r="AD491" i="4"/>
  <c r="AD485" i="4"/>
  <c r="AD484" i="4"/>
  <c r="AD459" i="4"/>
  <c r="AD453" i="4"/>
  <c r="AD427" i="4"/>
  <c r="AD421" i="4"/>
  <c r="AD420" i="4"/>
  <c r="AD395" i="4"/>
  <c r="AD389" i="4"/>
  <c r="AD388" i="4"/>
  <c r="AD363" i="4"/>
  <c r="AD357" i="4"/>
  <c r="AD356" i="4"/>
  <c r="AD331" i="4"/>
  <c r="AD325" i="4"/>
  <c r="AD324" i="4"/>
  <c r="AD299" i="4"/>
  <c r="AD293" i="4"/>
  <c r="AD267" i="4"/>
  <c r="AD1079" i="4" s="1"/>
  <c r="AD261" i="4"/>
  <c r="AD235" i="4"/>
  <c r="AD229" i="4"/>
  <c r="AD203" i="4"/>
  <c r="AD197" i="4"/>
  <c r="AD171" i="4"/>
  <c r="AD165" i="4"/>
  <c r="AD164" i="4"/>
  <c r="AD139" i="4"/>
  <c r="AD133" i="4"/>
  <c r="AD132" i="4"/>
  <c r="AD107" i="4"/>
  <c r="AD101" i="4"/>
  <c r="AD100" i="4"/>
  <c r="AD84" i="4"/>
  <c r="AC83" i="4"/>
  <c r="AC37" i="4"/>
  <c r="AD36" i="4"/>
  <c r="AD30" i="4"/>
  <c r="L985" i="5"/>
  <c r="L948" i="5"/>
  <c r="L740" i="5"/>
  <c r="L708" i="5"/>
  <c r="L599" i="5"/>
  <c r="E1094" i="5"/>
  <c r="H1094" i="5"/>
  <c r="Q456" i="5"/>
  <c r="R1094" i="5"/>
  <c r="L451" i="5"/>
  <c r="S1092" i="5"/>
  <c r="Q370" i="5"/>
  <c r="R1086" i="5"/>
  <c r="S188" i="5"/>
  <c r="Q1071" i="5"/>
  <c r="S1071" i="5"/>
  <c r="S173" i="5"/>
  <c r="S1070" i="5" s="1"/>
  <c r="Q1070" i="5"/>
  <c r="L158" i="5"/>
  <c r="C1069" i="5"/>
  <c r="L101" i="5"/>
  <c r="C1064" i="5"/>
  <c r="N1064" i="5"/>
  <c r="Q97" i="5"/>
  <c r="R1064" i="5"/>
  <c r="I1126" i="6"/>
  <c r="I1125" i="6"/>
  <c r="I1124" i="6"/>
  <c r="I1123" i="6"/>
  <c r="C1122" i="6"/>
  <c r="I1122" i="6"/>
  <c r="K1121" i="6"/>
  <c r="I1121" i="6"/>
  <c r="I1120" i="6"/>
  <c r="I1119" i="6"/>
  <c r="C1118" i="6"/>
  <c r="I1118" i="6"/>
  <c r="I1117" i="6"/>
  <c r="I1116" i="6"/>
  <c r="I1115" i="6"/>
  <c r="I1114" i="6"/>
  <c r="I1113" i="6"/>
  <c r="I1112" i="6"/>
  <c r="K1111" i="6"/>
  <c r="I1111" i="6"/>
  <c r="I1110" i="6"/>
  <c r="I1109" i="6"/>
  <c r="I1108" i="6"/>
  <c r="K1107" i="6"/>
  <c r="I1107" i="6"/>
  <c r="I1106" i="6"/>
  <c r="I1105" i="6"/>
  <c r="K1104" i="6"/>
  <c r="I1104" i="6"/>
  <c r="I1103" i="6"/>
  <c r="C1102" i="6"/>
  <c r="I1102" i="6"/>
  <c r="I1101" i="6"/>
  <c r="I1099" i="6"/>
  <c r="K1098" i="6"/>
  <c r="I1098" i="6"/>
  <c r="I1097" i="6"/>
  <c r="I1096" i="6"/>
  <c r="I1095" i="6"/>
  <c r="I1094" i="6"/>
  <c r="I1093" i="6"/>
  <c r="I1092" i="6"/>
  <c r="I1091" i="6"/>
  <c r="K1090" i="6"/>
  <c r="I1090" i="6"/>
  <c r="K1089" i="6"/>
  <c r="C1089" i="6"/>
  <c r="I1089" i="6"/>
  <c r="I1088" i="6"/>
  <c r="I1087" i="6"/>
  <c r="I1086" i="6"/>
  <c r="I1085" i="6"/>
  <c r="I1084" i="6"/>
  <c r="I1083" i="6"/>
  <c r="I1082" i="6"/>
  <c r="I1081" i="6"/>
  <c r="K1080" i="6"/>
  <c r="I1080" i="6"/>
  <c r="I1079" i="6"/>
  <c r="I1078" i="6"/>
  <c r="C1077" i="6"/>
  <c r="I1077" i="6"/>
  <c r="I1076" i="6"/>
  <c r="I1075" i="6"/>
  <c r="K1074" i="6"/>
  <c r="I1074" i="6"/>
  <c r="I1073" i="6"/>
  <c r="C1072" i="6"/>
  <c r="I1072" i="6"/>
  <c r="I1071" i="6"/>
  <c r="I1070" i="6"/>
  <c r="I1069" i="6"/>
  <c r="C1068" i="6"/>
  <c r="I1068" i="6"/>
  <c r="I1067" i="6"/>
  <c r="I1066" i="6"/>
  <c r="I1065" i="6"/>
  <c r="I1064" i="6"/>
  <c r="I1063" i="6"/>
  <c r="I1062" i="6"/>
  <c r="K1061" i="6"/>
  <c r="I1061" i="6"/>
  <c r="I1060" i="6"/>
  <c r="E1100" i="6"/>
  <c r="K1059" i="6"/>
  <c r="K1100" i="6"/>
  <c r="C1100" i="6"/>
  <c r="AD95" i="4"/>
  <c r="AD89" i="4"/>
  <c r="AD88" i="4"/>
  <c r="AD63" i="4"/>
  <c r="AD57" i="4"/>
  <c r="AD56" i="4"/>
  <c r="AD23" i="4"/>
  <c r="AC21" i="4"/>
  <c r="L1048" i="5"/>
  <c r="L1038" i="5"/>
  <c r="L1015" i="5"/>
  <c r="L982" i="5"/>
  <c r="L935" i="5"/>
  <c r="L911" i="5"/>
  <c r="L890" i="5"/>
  <c r="L888" i="5"/>
  <c r="L772" i="5"/>
  <c r="L757" i="5"/>
  <c r="L741" i="5"/>
  <c r="L722" i="5"/>
  <c r="L635" i="5"/>
  <c r="L577" i="5"/>
  <c r="L561" i="5"/>
  <c r="L545" i="5"/>
  <c r="L529" i="5"/>
  <c r="L513" i="5"/>
  <c r="L1103" i="5"/>
  <c r="L497" i="5"/>
  <c r="D1097" i="5"/>
  <c r="D1099" i="5"/>
  <c r="L483" i="5"/>
  <c r="Q468" i="5"/>
  <c r="R1095" i="5"/>
  <c r="H1093" i="5"/>
  <c r="L443" i="5"/>
  <c r="L438" i="5"/>
  <c r="L414" i="5"/>
  <c r="C1090" i="5"/>
  <c r="Q405" i="5"/>
  <c r="R1089" i="5"/>
  <c r="L375" i="5"/>
  <c r="L1087" i="5" s="1"/>
  <c r="AD41" i="4"/>
  <c r="AD32" i="4"/>
  <c r="L1031" i="5"/>
  <c r="L998" i="5"/>
  <c r="L958" i="5"/>
  <c r="L875" i="5"/>
  <c r="L873" i="5"/>
  <c r="L852" i="5"/>
  <c r="L786" i="5"/>
  <c r="L715" i="5"/>
  <c r="L692" i="5"/>
  <c r="L676" i="5"/>
  <c r="S508" i="5"/>
  <c r="Q1104" i="5"/>
  <c r="N1098" i="5"/>
  <c r="N1100" i="5"/>
  <c r="N1102" i="5"/>
  <c r="N1104" i="5"/>
  <c r="T1101" i="5"/>
  <c r="T1104" i="5"/>
  <c r="T1099" i="5"/>
  <c r="T1100" i="5"/>
  <c r="T1097" i="5"/>
  <c r="I1103" i="5"/>
  <c r="Q498" i="5"/>
  <c r="AD499" i="4" s="1"/>
  <c r="R1103" i="5"/>
  <c r="R1102" i="5"/>
  <c r="L446" i="5"/>
  <c r="C1093" i="5"/>
  <c r="L434" i="5"/>
  <c r="E1092" i="5"/>
  <c r="Q414" i="5"/>
  <c r="R1090" i="5"/>
  <c r="L383" i="5"/>
  <c r="Q1074" i="5"/>
  <c r="S216" i="5"/>
  <c r="S1074" i="5" s="1"/>
  <c r="H1073" i="5"/>
  <c r="N1072" i="5"/>
  <c r="Q195" i="5"/>
  <c r="R1072" i="5"/>
  <c r="F1071" i="5"/>
  <c r="AD81" i="4"/>
  <c r="AD80" i="4"/>
  <c r="AD55" i="4"/>
  <c r="AD49" i="4"/>
  <c r="AD1061" i="4" s="1"/>
  <c r="AD48" i="4"/>
  <c r="AC48" i="4"/>
  <c r="AC30" i="4"/>
  <c r="L1054" i="5"/>
  <c r="L1012" i="5"/>
  <c r="L984" i="5"/>
  <c r="L974" i="5"/>
  <c r="L951" i="5"/>
  <c r="L883" i="5"/>
  <c r="L880" i="5"/>
  <c r="L836" i="5"/>
  <c r="L823" i="5"/>
  <c r="L821" i="5"/>
  <c r="L779" i="5"/>
  <c r="L761" i="5"/>
  <c r="L756" i="5"/>
  <c r="L699" i="5"/>
  <c r="L663" i="5"/>
  <c r="L661" i="5"/>
  <c r="L632" i="5"/>
  <c r="L582" i="5"/>
  <c r="L581" i="5"/>
  <c r="L566" i="5"/>
  <c r="L565" i="5"/>
  <c r="L550" i="5"/>
  <c r="L549" i="5"/>
  <c r="L534" i="5"/>
  <c r="L533" i="5"/>
  <c r="L518" i="5"/>
  <c r="L517" i="5"/>
  <c r="L502" i="5"/>
  <c r="L501" i="5"/>
  <c r="L466" i="5"/>
  <c r="AC36" i="4"/>
  <c r="AC28" i="4"/>
  <c r="AC25" i="4"/>
  <c r="L1051" i="5"/>
  <c r="L1040" i="5"/>
  <c r="L1036" i="5"/>
  <c r="L1019" i="5"/>
  <c r="L1008" i="5"/>
  <c r="L1004" i="5"/>
  <c r="L987" i="5"/>
  <c r="L976" i="5"/>
  <c r="L972" i="5"/>
  <c r="L955" i="5"/>
  <c r="L944" i="5"/>
  <c r="L940" i="5"/>
  <c r="L928" i="5"/>
  <c r="L921" i="5"/>
  <c r="L864" i="5"/>
  <c r="L857" i="5"/>
  <c r="L837" i="5"/>
  <c r="L774" i="5"/>
  <c r="L744" i="5"/>
  <c r="L732" i="5"/>
  <c r="L729" i="5"/>
  <c r="L709" i="5"/>
  <c r="L646" i="5"/>
  <c r="L473" i="5"/>
  <c r="C1095" i="5"/>
  <c r="L359" i="5"/>
  <c r="L312" i="5"/>
  <c r="C1082" i="5"/>
  <c r="S1080" i="5"/>
  <c r="L272" i="5"/>
  <c r="C1078" i="5"/>
  <c r="S244" i="5"/>
  <c r="S1076" i="5" s="1"/>
  <c r="Q1076" i="5"/>
  <c r="L222" i="5"/>
  <c r="R1068" i="5"/>
  <c r="Q144" i="5"/>
  <c r="AD145" i="4" s="1"/>
  <c r="AD1069" i="4" s="1"/>
  <c r="AC43" i="4"/>
  <c r="AC32" i="4"/>
  <c r="AC23" i="4"/>
  <c r="L1052" i="5"/>
  <c r="L1035" i="5"/>
  <c r="L1024" i="5"/>
  <c r="L1020" i="5"/>
  <c r="L1003" i="5"/>
  <c r="L992" i="5"/>
  <c r="L988" i="5"/>
  <c r="L971" i="5"/>
  <c r="L960" i="5"/>
  <c r="L956" i="5"/>
  <c r="L939" i="5"/>
  <c r="L896" i="5"/>
  <c r="L889" i="5"/>
  <c r="L838" i="5"/>
  <c r="L796" i="5"/>
  <c r="L793" i="5"/>
  <c r="L773" i="5"/>
  <c r="L710" i="5"/>
  <c r="L668" i="5"/>
  <c r="L665" i="5"/>
  <c r="L645" i="5"/>
  <c r="F1098" i="5"/>
  <c r="F1100" i="5"/>
  <c r="F1102" i="5"/>
  <c r="F1104" i="5"/>
  <c r="Q496" i="5"/>
  <c r="Q1097" i="5" s="1"/>
  <c r="R1101" i="5"/>
  <c r="L495" i="5"/>
  <c r="L1100" i="5" s="1"/>
  <c r="C1100" i="5"/>
  <c r="L481" i="5"/>
  <c r="C1096" i="5"/>
  <c r="R1093" i="5"/>
  <c r="Q446" i="5"/>
  <c r="Q423" i="5"/>
  <c r="S423" i="5" s="1"/>
  <c r="R1091" i="5"/>
  <c r="L386" i="5"/>
  <c r="L1088" i="5" s="1"/>
  <c r="C1088" i="5"/>
  <c r="AC47" i="4"/>
  <c r="AC34" i="4"/>
  <c r="AC26" i="4"/>
  <c r="AC19" i="4"/>
  <c r="AC1058" i="4" s="1"/>
  <c r="L1043" i="5"/>
  <c r="L1032" i="5"/>
  <c r="L1028" i="5"/>
  <c r="L1011" i="5"/>
  <c r="L1000" i="5"/>
  <c r="L996" i="5"/>
  <c r="L979" i="5"/>
  <c r="L968" i="5"/>
  <c r="L964" i="5"/>
  <c r="L947" i="5"/>
  <c r="L936" i="5"/>
  <c r="L915" i="5"/>
  <c r="L908" i="5"/>
  <c r="L907" i="5"/>
  <c r="L905" i="5"/>
  <c r="L898" i="5"/>
  <c r="L840" i="5"/>
  <c r="L825" i="5"/>
  <c r="L805" i="5"/>
  <c r="L712" i="5"/>
  <c r="L697" i="5"/>
  <c r="L677" i="5"/>
  <c r="L627" i="5"/>
  <c r="S1104" i="5"/>
  <c r="I1101" i="5"/>
  <c r="R1097" i="5"/>
  <c r="R1099" i="5"/>
  <c r="L494" i="5"/>
  <c r="C1097" i="5"/>
  <c r="C1099" i="5"/>
  <c r="C1098" i="5"/>
  <c r="L464" i="5"/>
  <c r="I1091" i="5"/>
  <c r="S422" i="5"/>
  <c r="S1091" i="5" s="1"/>
  <c r="Q1091" i="5"/>
  <c r="S324" i="5"/>
  <c r="S1083" i="5" s="1"/>
  <c r="Q1083" i="5"/>
  <c r="Q309" i="5"/>
  <c r="R1081" i="5"/>
  <c r="S304" i="5"/>
  <c r="Q1081" i="5"/>
  <c r="L300" i="5"/>
  <c r="C1081" i="5"/>
  <c r="I1074" i="5"/>
  <c r="L933" i="5"/>
  <c r="L916" i="5"/>
  <c r="L901" i="5"/>
  <c r="L884" i="5"/>
  <c r="L869" i="5"/>
  <c r="L847" i="5"/>
  <c r="L815" i="5"/>
  <c r="L783" i="5"/>
  <c r="L751" i="5"/>
  <c r="L719" i="5"/>
  <c r="L687" i="5"/>
  <c r="L655" i="5"/>
  <c r="L621" i="5"/>
  <c r="L608" i="5"/>
  <c r="L491" i="5"/>
  <c r="L486" i="5"/>
  <c r="L474" i="5"/>
  <c r="L457" i="5"/>
  <c r="L448" i="5"/>
  <c r="L439" i="5"/>
  <c r="L427" i="5"/>
  <c r="L422" i="5"/>
  <c r="L358" i="5"/>
  <c r="L341" i="5"/>
  <c r="L308" i="5"/>
  <c r="L260" i="5"/>
  <c r="L216" i="5"/>
  <c r="L150" i="5"/>
  <c r="L932" i="5"/>
  <c r="L917" i="5"/>
  <c r="L900" i="5"/>
  <c r="L885" i="5"/>
  <c r="L868" i="5"/>
  <c r="L831" i="5"/>
  <c r="L799" i="5"/>
  <c r="L767" i="5"/>
  <c r="L735" i="5"/>
  <c r="L703" i="5"/>
  <c r="L671" i="5"/>
  <c r="L639" i="5"/>
  <c r="L622" i="5"/>
  <c r="L607" i="5"/>
  <c r="L593" i="5"/>
  <c r="L489" i="5"/>
  <c r="L480" i="5"/>
  <c r="L471" i="5"/>
  <c r="L459" i="5"/>
  <c r="L454" i="5"/>
  <c r="L442" i="5"/>
  <c r="L425" i="5"/>
  <c r="L416" i="5"/>
  <c r="L407" i="5"/>
  <c r="L388" i="5"/>
  <c r="L316" i="5"/>
  <c r="L844" i="5"/>
  <c r="L833" i="5"/>
  <c r="L829" i="5"/>
  <c r="L812" i="5"/>
  <c r="L801" i="5"/>
  <c r="L797" i="5"/>
  <c r="L780" i="5"/>
  <c r="L769" i="5"/>
  <c r="L765" i="5"/>
  <c r="L748" i="5"/>
  <c r="L737" i="5"/>
  <c r="L733" i="5"/>
  <c r="L716" i="5"/>
  <c r="L705" i="5"/>
  <c r="L701" i="5"/>
  <c r="L684" i="5"/>
  <c r="L673" i="5"/>
  <c r="L669" i="5"/>
  <c r="L652" i="5"/>
  <c r="L641" i="5"/>
  <c r="L637" i="5"/>
  <c r="L626" i="5"/>
  <c r="L619" i="5"/>
  <c r="L615" i="5"/>
  <c r="L609" i="5"/>
  <c r="L602" i="5"/>
  <c r="L600" i="5"/>
  <c r="L588" i="5"/>
  <c r="L488" i="5"/>
  <c r="L479" i="5"/>
  <c r="L467" i="5"/>
  <c r="L462" i="5"/>
  <c r="L450" i="5"/>
  <c r="L433" i="5"/>
  <c r="L424" i="5"/>
  <c r="L415" i="5"/>
  <c r="L396" i="5"/>
  <c r="L380" i="5"/>
  <c r="L310" i="5"/>
  <c r="L309" i="5"/>
  <c r="L286" i="5"/>
  <c r="L277" i="5"/>
  <c r="L924" i="5"/>
  <c r="L909" i="5"/>
  <c r="L892" i="5"/>
  <c r="L877" i="5"/>
  <c r="L860" i="5"/>
  <c r="L839" i="5"/>
  <c r="L807" i="5"/>
  <c r="L775" i="5"/>
  <c r="L743" i="5"/>
  <c r="L711" i="5"/>
  <c r="L679" i="5"/>
  <c r="L647" i="5"/>
  <c r="L595" i="5"/>
  <c r="L590" i="5"/>
  <c r="L584" i="5"/>
  <c r="L580" i="5"/>
  <c r="L576" i="5"/>
  <c r="L572" i="5"/>
  <c r="L568" i="5"/>
  <c r="L564" i="5"/>
  <c r="L560" i="5"/>
  <c r="L556" i="5"/>
  <c r="L552" i="5"/>
  <c r="L548" i="5"/>
  <c r="L544" i="5"/>
  <c r="L540" i="5"/>
  <c r="L536" i="5"/>
  <c r="L532" i="5"/>
  <c r="L528" i="5"/>
  <c r="L524" i="5"/>
  <c r="L520" i="5"/>
  <c r="L516" i="5"/>
  <c r="L512" i="5"/>
  <c r="L508" i="5"/>
  <c r="L504" i="5"/>
  <c r="L500" i="5"/>
  <c r="L1104" i="5" s="1"/>
  <c r="L496" i="5"/>
  <c r="L1101" i="5" s="1"/>
  <c r="L487" i="5"/>
  <c r="L475" i="5"/>
  <c r="L458" i="5"/>
  <c r="L441" i="5"/>
  <c r="L432" i="5"/>
  <c r="L423" i="5"/>
  <c r="L391" i="5"/>
  <c r="L143" i="5"/>
  <c r="L402" i="5"/>
  <c r="L381" i="5"/>
  <c r="L378" i="5"/>
  <c r="L354" i="5"/>
  <c r="L351" i="5"/>
  <c r="L343" i="5"/>
  <c r="L330" i="5"/>
  <c r="L317" i="5"/>
  <c r="L292" i="5"/>
  <c r="L279" i="5"/>
  <c r="L252" i="5"/>
  <c r="L215" i="5"/>
  <c r="L183" i="5"/>
  <c r="L612" i="5"/>
  <c r="L413" i="5"/>
  <c r="L410" i="5"/>
  <c r="L349" i="5"/>
  <c r="L1085" i="5" s="1"/>
  <c r="L324" i="5"/>
  <c r="L311" i="5"/>
  <c r="L285" i="5"/>
  <c r="L268" i="5"/>
  <c r="L236" i="5"/>
  <c r="L109" i="5"/>
  <c r="L493" i="5"/>
  <c r="L485" i="5"/>
  <c r="L477" i="5"/>
  <c r="L469" i="5"/>
  <c r="L461" i="5"/>
  <c r="L453" i="5"/>
  <c r="L445" i="5"/>
  <c r="L437" i="5"/>
  <c r="L429" i="5"/>
  <c r="L421" i="5"/>
  <c r="L1091" i="5" s="1"/>
  <c r="L404" i="5"/>
  <c r="L403" i="5"/>
  <c r="L379" i="5"/>
  <c r="L356" i="5"/>
  <c r="L355" i="5"/>
  <c r="L302" i="5"/>
  <c r="L294" i="5"/>
  <c r="L293" i="5"/>
  <c r="L273" i="5"/>
  <c r="L241" i="5"/>
  <c r="L111" i="5"/>
  <c r="L596" i="5"/>
  <c r="L397" i="5"/>
  <c r="L394" i="5"/>
  <c r="L365" i="5"/>
  <c r="L362" i="5"/>
  <c r="L1086" i="5" s="1"/>
  <c r="L327" i="5"/>
  <c r="L314" i="5"/>
  <c r="L301" i="5"/>
  <c r="L181" i="5"/>
  <c r="L58" i="5"/>
  <c r="L347" i="5"/>
  <c r="L331" i="5"/>
  <c r="L315" i="5"/>
  <c r="L299" i="5"/>
  <c r="L283" i="5"/>
  <c r="L271" i="5"/>
  <c r="L263" i="5"/>
  <c r="L255" i="5"/>
  <c r="L247" i="5"/>
  <c r="L239" i="5"/>
  <c r="L233" i="5"/>
  <c r="L231" i="5"/>
  <c r="L213" i="5"/>
  <c r="L176" i="5"/>
  <c r="L165" i="5"/>
  <c r="L141" i="5"/>
  <c r="L110" i="5"/>
  <c r="L105" i="5"/>
  <c r="L97" i="5"/>
  <c r="S21" i="5"/>
  <c r="L339" i="5"/>
  <c r="L323" i="5"/>
  <c r="L307" i="5"/>
  <c r="L291" i="5"/>
  <c r="L275" i="5"/>
  <c r="L267" i="5"/>
  <c r="L259" i="5"/>
  <c r="L251" i="5"/>
  <c r="L243" i="5"/>
  <c r="L235" i="5"/>
  <c r="L205" i="5"/>
  <c r="L174" i="5"/>
  <c r="L169" i="5"/>
  <c r="L149" i="5"/>
  <c r="L112" i="5"/>
  <c r="L92" i="5"/>
  <c r="L75" i="5"/>
  <c r="L74" i="5"/>
  <c r="S29" i="5"/>
  <c r="L345" i="5"/>
  <c r="L329" i="5"/>
  <c r="L313" i="5"/>
  <c r="L297" i="5"/>
  <c r="L281" i="5"/>
  <c r="L207" i="5"/>
  <c r="L190" i="5"/>
  <c r="L155" i="5"/>
  <c r="L152" i="5"/>
  <c r="L118" i="5"/>
  <c r="L78" i="5"/>
  <c r="L335" i="5"/>
  <c r="L319" i="5"/>
  <c r="L303" i="5"/>
  <c r="L287" i="5"/>
  <c r="L269" i="5"/>
  <c r="L261" i="5"/>
  <c r="L253" i="5"/>
  <c r="L245" i="5"/>
  <c r="L237" i="5"/>
  <c r="L232" i="5"/>
  <c r="L197" i="5"/>
  <c r="L142" i="5"/>
  <c r="L117" i="5"/>
  <c r="C1127" i="6"/>
  <c r="K1126" i="6"/>
  <c r="K1125" i="6"/>
  <c r="C1125" i="6"/>
  <c r="K1124" i="6"/>
  <c r="C1124" i="6"/>
  <c r="K1123" i="6"/>
  <c r="C1123" i="6"/>
  <c r="K1122" i="6"/>
  <c r="C1121" i="6"/>
  <c r="K1120" i="6"/>
  <c r="C1120" i="6"/>
  <c r="K1119" i="6"/>
  <c r="C1119" i="6"/>
  <c r="K1118" i="6"/>
  <c r="K1117" i="6"/>
  <c r="C1117" i="6"/>
  <c r="K1116" i="6"/>
  <c r="C1116" i="6"/>
  <c r="C1115" i="6"/>
  <c r="K1114" i="6"/>
  <c r="C1114" i="6"/>
  <c r="K1113" i="6"/>
  <c r="C1113" i="6"/>
  <c r="K1112" i="6"/>
  <c r="C1112" i="6"/>
  <c r="C1111" i="6"/>
  <c r="K1110" i="6"/>
  <c r="C1110" i="6"/>
  <c r="K1109" i="6"/>
  <c r="K1108" i="6"/>
  <c r="C1108" i="6"/>
  <c r="C1107" i="6"/>
  <c r="K1106" i="6"/>
  <c r="C1106" i="6"/>
  <c r="K1105" i="6"/>
  <c r="C1105" i="6"/>
  <c r="C1104" i="6"/>
  <c r="K1103" i="6"/>
  <c r="C1103" i="6"/>
  <c r="K1102" i="6"/>
  <c r="K1101" i="6"/>
  <c r="C1101" i="6"/>
  <c r="K1099" i="6"/>
  <c r="C1099" i="6"/>
  <c r="K1097" i="6"/>
  <c r="C1094" i="6"/>
  <c r="K1091" i="6"/>
  <c r="C1091" i="6"/>
  <c r="K1087" i="6"/>
  <c r="K1078" i="6"/>
  <c r="C1078" i="6"/>
  <c r="L81" i="5"/>
  <c r="L230" i="5"/>
  <c r="L224" i="5"/>
  <c r="L221" i="5"/>
  <c r="L198" i="5"/>
  <c r="L192" i="5"/>
  <c r="L1072" i="5" s="1"/>
  <c r="L189" i="5"/>
  <c r="L166" i="5"/>
  <c r="L160" i="5"/>
  <c r="L157" i="5"/>
  <c r="L134" i="5"/>
  <c r="L128" i="5"/>
  <c r="L125" i="5"/>
  <c r="L100" i="5"/>
  <c r="L40" i="5"/>
  <c r="S27" i="5"/>
  <c r="S1058" i="5" s="1"/>
  <c r="L24" i="5"/>
  <c r="S17" i="5"/>
  <c r="L103" i="5"/>
  <c r="L84" i="5"/>
  <c r="L69" i="5"/>
  <c r="Q21" i="5"/>
  <c r="C1098" i="6"/>
  <c r="C1097" i="6"/>
  <c r="K1096" i="6"/>
  <c r="C1096" i="6"/>
  <c r="K1095" i="6"/>
  <c r="C1095" i="6"/>
  <c r="K1094" i="6"/>
  <c r="K1093" i="6"/>
  <c r="C1093" i="6"/>
  <c r="K1092" i="6"/>
  <c r="C1092" i="6"/>
  <c r="C1090" i="6"/>
  <c r="K1088" i="6"/>
  <c r="C1088" i="6"/>
  <c r="C1087" i="6"/>
  <c r="K1086" i="6"/>
  <c r="C1086" i="6"/>
  <c r="K1085" i="6"/>
  <c r="C1085" i="6"/>
  <c r="K1084" i="6"/>
  <c r="C1084" i="6"/>
  <c r="K1083" i="6"/>
  <c r="C1083" i="6"/>
  <c r="K1082" i="6"/>
  <c r="C1082" i="6"/>
  <c r="K1081" i="6"/>
  <c r="C1081" i="6"/>
  <c r="C1080" i="6"/>
  <c r="K1079" i="6"/>
  <c r="C1079" i="6"/>
  <c r="K1077" i="6"/>
  <c r="K1076" i="6"/>
  <c r="C1076" i="6"/>
  <c r="K1075" i="6"/>
  <c r="C1075" i="6"/>
  <c r="C1074" i="6"/>
  <c r="K1073" i="6"/>
  <c r="C1073" i="6"/>
  <c r="K1072" i="6"/>
  <c r="K1071" i="6"/>
  <c r="C1071" i="6"/>
  <c r="K1070" i="6"/>
  <c r="C1070" i="6"/>
  <c r="K1069" i="6"/>
  <c r="C1069" i="6"/>
  <c r="K1068" i="6"/>
  <c r="K1067" i="6"/>
  <c r="C1067" i="6"/>
  <c r="K1066" i="6"/>
  <c r="C1066" i="6"/>
  <c r="K1065" i="6"/>
  <c r="C1065" i="6"/>
  <c r="K1064" i="6"/>
  <c r="C1064" i="6"/>
  <c r="K1063" i="6"/>
  <c r="C1063" i="6"/>
  <c r="K1062" i="6"/>
  <c r="C1062" i="6"/>
  <c r="C1061" i="6"/>
  <c r="K1060" i="6"/>
  <c r="C1060" i="6"/>
  <c r="M1100" i="6"/>
  <c r="M1059" i="6"/>
  <c r="E1059" i="6"/>
  <c r="L226" i="5"/>
  <c r="L218" i="5"/>
  <c r="L210" i="5"/>
  <c r="L202" i="5"/>
  <c r="L194" i="5"/>
  <c r="L186" i="5"/>
  <c r="L178" i="5"/>
  <c r="L170" i="5"/>
  <c r="L162" i="5"/>
  <c r="L154" i="5"/>
  <c r="L146" i="5"/>
  <c r="L138" i="5"/>
  <c r="L130" i="5"/>
  <c r="L122" i="5"/>
  <c r="L114" i="5"/>
  <c r="L106" i="5"/>
  <c r="L90" i="5"/>
  <c r="L61" i="5"/>
  <c r="L1061" i="5" s="1"/>
  <c r="L30" i="5"/>
  <c r="L96" i="5"/>
  <c r="L80" i="5"/>
  <c r="L64" i="5"/>
  <c r="L47" i="5"/>
  <c r="L43" i="5"/>
  <c r="L228" i="5"/>
  <c r="L220" i="5"/>
  <c r="L212" i="5"/>
  <c r="L204" i="5"/>
  <c r="L196" i="5"/>
  <c r="L188" i="5"/>
  <c r="L180" i="5"/>
  <c r="L172" i="5"/>
  <c r="L164" i="5"/>
  <c r="L156" i="5"/>
  <c r="L148" i="5"/>
  <c r="L140" i="5"/>
  <c r="L132" i="5"/>
  <c r="L124" i="5"/>
  <c r="L116" i="5"/>
  <c r="L108" i="5"/>
  <c r="L102" i="5"/>
  <c r="L86" i="5"/>
  <c r="L67" i="5"/>
  <c r="L50" i="5"/>
  <c r="L46" i="5"/>
  <c r="L42" i="5"/>
  <c r="L33" i="5"/>
  <c r="Q27" i="5"/>
  <c r="Q1058" i="5" s="1"/>
  <c r="L73" i="5"/>
  <c r="L65" i="5"/>
  <c r="L57" i="5"/>
  <c r="L54" i="5"/>
  <c r="L48" i="5"/>
  <c r="S32" i="5"/>
  <c r="L26" i="5"/>
  <c r="L52" i="5"/>
  <c r="L39" i="5"/>
  <c r="L1059" i="5" s="1"/>
  <c r="L71" i="5"/>
  <c r="L63" i="5"/>
  <c r="L55" i="5"/>
  <c r="L35" i="5"/>
  <c r="Q30" i="5"/>
  <c r="S30" i="5" s="1"/>
  <c r="L23" i="5"/>
  <c r="L1057" i="5" s="1"/>
  <c r="Q19" i="5"/>
  <c r="AD1071" i="4" l="1"/>
  <c r="AC1077" i="4"/>
  <c r="AC1076" i="4"/>
  <c r="AC1086" i="4"/>
  <c r="AC1098" i="4"/>
  <c r="AC1082" i="4"/>
  <c r="AD1067" i="4"/>
  <c r="AC1085" i="4"/>
  <c r="AC1081" i="4"/>
  <c r="AC1075" i="4"/>
  <c r="AC1090" i="4"/>
  <c r="AC1074" i="4"/>
  <c r="AC1079" i="4"/>
  <c r="AC1068" i="4"/>
  <c r="AC1065" i="4"/>
  <c r="AC1099" i="4"/>
  <c r="AD1058" i="4"/>
  <c r="S370" i="5"/>
  <c r="S1086" i="5" s="1"/>
  <c r="Q1086" i="5"/>
  <c r="AD1063" i="4"/>
  <c r="AC1061" i="4"/>
  <c r="AD1104" i="4"/>
  <c r="L1093" i="5"/>
  <c r="S195" i="5"/>
  <c r="S1072" i="5" s="1"/>
  <c r="Q1072" i="5"/>
  <c r="AD1070" i="4"/>
  <c r="AD1075" i="4"/>
  <c r="AC1094" i="4"/>
  <c r="L1065" i="5"/>
  <c r="AD1086" i="4"/>
  <c r="L1073" i="5"/>
  <c r="L1064" i="5"/>
  <c r="L1084" i="5"/>
  <c r="L1077" i="5"/>
  <c r="L1079" i="5"/>
  <c r="L1099" i="5"/>
  <c r="L1102" i="5"/>
  <c r="AD1062" i="4"/>
  <c r="AD1080" i="4"/>
  <c r="AD1074" i="4"/>
  <c r="AD371" i="4"/>
  <c r="AD1087" i="4" s="1"/>
  <c r="AC1100" i="4"/>
  <c r="AC1083" i="4"/>
  <c r="AC1063" i="4"/>
  <c r="AC1080" i="4"/>
  <c r="L1078" i="5"/>
  <c r="L1095" i="5"/>
  <c r="AC1087" i="4"/>
  <c r="AC1103" i="4"/>
  <c r="Q1103" i="5"/>
  <c r="S498" i="5"/>
  <c r="Q1102" i="5"/>
  <c r="Q1087" i="5"/>
  <c r="S374" i="5"/>
  <c r="S1087" i="5" s="1"/>
  <c r="L1069" i="5"/>
  <c r="L1081" i="5"/>
  <c r="S414" i="5"/>
  <c r="S1090" i="5" s="1"/>
  <c r="Q1090" i="5"/>
  <c r="F1106" i="3"/>
  <c r="G1106" i="3"/>
  <c r="H1106" i="3"/>
  <c r="D1106" i="3"/>
  <c r="J1106" i="3"/>
  <c r="B1106" i="3"/>
  <c r="A1107" i="3"/>
  <c r="E1106" i="3"/>
  <c r="I1106" i="3"/>
  <c r="C1106" i="3"/>
  <c r="L1075" i="5"/>
  <c r="L1098" i="5"/>
  <c r="L1082" i="5"/>
  <c r="AC1088" i="4"/>
  <c r="B1085" i="5"/>
  <c r="A1086" i="5"/>
  <c r="Q1098" i="5"/>
  <c r="S19" i="5"/>
  <c r="S1057" i="5" s="1"/>
  <c r="Q1057" i="5"/>
  <c r="AD1083" i="4"/>
  <c r="AD1097" i="4"/>
  <c r="S481" i="5"/>
  <c r="S1096" i="5" s="1"/>
  <c r="Q1096" i="5"/>
  <c r="I1106" i="2"/>
  <c r="J1106" i="2"/>
  <c r="B1106" i="2"/>
  <c r="K1106" i="2"/>
  <c r="G1106" i="2"/>
  <c r="C1106" i="2"/>
  <c r="F1106" i="2"/>
  <c r="E1106" i="2"/>
  <c r="H1106" i="2"/>
  <c r="A1107" i="2"/>
  <c r="L1071" i="5"/>
  <c r="L1080" i="5"/>
  <c r="L1089" i="5"/>
  <c r="L1074" i="5"/>
  <c r="S446" i="5"/>
  <c r="S1093" i="5" s="1"/>
  <c r="Q1093" i="5"/>
  <c r="Q1089" i="5"/>
  <c r="AD406" i="4"/>
  <c r="AD1090" i="4" s="1"/>
  <c r="S405" i="5"/>
  <c r="S1089" i="5" s="1"/>
  <c r="S456" i="5"/>
  <c r="S1094" i="5" s="1"/>
  <c r="Q1094" i="5"/>
  <c r="AD1084" i="4"/>
  <c r="AD1085" i="4"/>
  <c r="AD1094" i="4"/>
  <c r="AD1081" i="4"/>
  <c r="AC1067" i="4"/>
  <c r="AC1093" i="4"/>
  <c r="AC1097" i="4"/>
  <c r="AC1102" i="4"/>
  <c r="L1058" i="5"/>
  <c r="AD1060" i="4"/>
  <c r="AD1059" i="4"/>
  <c r="AC1072" i="4"/>
  <c r="AC1096" i="4"/>
  <c r="AC1095" i="4"/>
  <c r="L1062" i="5"/>
  <c r="L1096" i="5"/>
  <c r="AD1078" i="4"/>
  <c r="S496" i="5"/>
  <c r="Q1101" i="5"/>
  <c r="Q1100" i="5"/>
  <c r="S468" i="5"/>
  <c r="S1095" i="5" s="1"/>
  <c r="Q1095" i="5"/>
  <c r="S97" i="5"/>
  <c r="S1064" i="5" s="1"/>
  <c r="Q1064" i="5"/>
  <c r="AD98" i="4"/>
  <c r="AD1065" i="4" s="1"/>
  <c r="Q1099" i="5"/>
  <c r="L1066" i="5"/>
  <c r="L1063" i="5"/>
  <c r="L1092" i="5"/>
  <c r="L1094" i="5"/>
  <c r="S309" i="5"/>
  <c r="S1081" i="5" s="1"/>
  <c r="AD310" i="4"/>
  <c r="AD1082" i="4" s="1"/>
  <c r="AD1068" i="4"/>
  <c r="AD1076" i="4"/>
  <c r="AD1100" i="4"/>
  <c r="AD415" i="4"/>
  <c r="AD1091" i="4" s="1"/>
  <c r="AD1099" i="4"/>
  <c r="AD1093" i="4"/>
  <c r="AD1102" i="4"/>
  <c r="AC1071" i="4"/>
  <c r="AD1077" i="4"/>
  <c r="AC1089" i="4"/>
  <c r="AD424" i="4"/>
  <c r="AD1092" i="4" s="1"/>
  <c r="AD497" i="4"/>
  <c r="AD1098" i="4" s="1"/>
  <c r="AC1070" i="4"/>
  <c r="AC1101" i="4"/>
  <c r="L1068" i="5"/>
  <c r="S1097" i="5"/>
  <c r="S1099" i="5"/>
  <c r="S1098" i="5"/>
  <c r="AC1062" i="4"/>
  <c r="L1083" i="5"/>
  <c r="S144" i="5"/>
  <c r="S1068" i="5" s="1"/>
  <c r="Q1068" i="5"/>
  <c r="L1076" i="5"/>
  <c r="AD375" i="4"/>
  <c r="AD1088" i="4" s="1"/>
  <c r="AD1095" i="4"/>
  <c r="AD196" i="4"/>
  <c r="AD1073" i="4" s="1"/>
  <c r="S350" i="5"/>
  <c r="S1085" i="5" s="1"/>
  <c r="Q1085" i="5"/>
  <c r="AC1105" i="4"/>
  <c r="L1097" i="5"/>
  <c r="L1070" i="5"/>
  <c r="AD1105" i="4"/>
  <c r="S86" i="5"/>
  <c r="S1063" i="5" s="1"/>
  <c r="Q1063" i="5"/>
  <c r="L1060" i="5"/>
  <c r="L1067" i="5"/>
  <c r="AC1059" i="4"/>
  <c r="AD87" i="4"/>
  <c r="AD1064" i="4" s="1"/>
  <c r="AC1060" i="4"/>
  <c r="AD1066" i="4"/>
  <c r="AD1101" i="4"/>
  <c r="AD1072" i="4"/>
  <c r="AD1089" i="4"/>
  <c r="AC1084" i="4"/>
  <c r="AC1078" i="4"/>
  <c r="AC1069" i="4"/>
  <c r="AD469" i="4"/>
  <c r="AD1096" i="4" s="1"/>
  <c r="C1107" i="4"/>
  <c r="B1107" i="4"/>
  <c r="K1107" i="4"/>
  <c r="S1107" i="4"/>
  <c r="A1108" i="4"/>
  <c r="G1107" i="4"/>
  <c r="O1107" i="4"/>
  <c r="W1107" i="4"/>
  <c r="L1107" i="4"/>
  <c r="V1107" i="4"/>
  <c r="E1107" i="4"/>
  <c r="M1107" i="4"/>
  <c r="X1107" i="4"/>
  <c r="P1107" i="4"/>
  <c r="D1107" i="4"/>
  <c r="N1107" i="4"/>
  <c r="AC1107" i="4"/>
  <c r="AD1107" i="4"/>
  <c r="I1107" i="4"/>
  <c r="T1107" i="4"/>
  <c r="J1107" i="4"/>
  <c r="Q1107" i="4"/>
  <c r="U1107" i="4"/>
  <c r="R1107" i="4"/>
  <c r="F1107" i="4"/>
  <c r="H1107" i="4"/>
  <c r="S1101" i="5" l="1"/>
  <c r="S1100" i="5"/>
  <c r="G1107" i="2"/>
  <c r="H1107" i="2"/>
  <c r="I1107" i="2"/>
  <c r="E1107" i="2"/>
  <c r="B1107" i="2"/>
  <c r="K1107" i="2"/>
  <c r="C1107" i="2"/>
  <c r="F1107" i="2"/>
  <c r="J1107" i="2"/>
  <c r="A1108" i="2"/>
  <c r="A1087" i="5"/>
  <c r="B1086" i="5"/>
  <c r="S1103" i="5"/>
  <c r="S1102" i="5"/>
  <c r="I1108" i="4"/>
  <c r="Q1108" i="4"/>
  <c r="AC1108" i="4"/>
  <c r="E1108" i="4"/>
  <c r="M1108" i="4"/>
  <c r="U1108" i="4"/>
  <c r="G1108" i="4"/>
  <c r="R1108" i="4"/>
  <c r="V1108" i="4"/>
  <c r="H1108" i="4"/>
  <c r="S1108" i="4"/>
  <c r="K1108" i="4"/>
  <c r="J1108" i="4"/>
  <c r="T1108" i="4"/>
  <c r="D1108" i="4"/>
  <c r="O1108" i="4"/>
  <c r="AD1108" i="4"/>
  <c r="N1108" i="4"/>
  <c r="A1109" i="4"/>
  <c r="P1108" i="4"/>
  <c r="X1108" i="4"/>
  <c r="B1108" i="4"/>
  <c r="W1108" i="4"/>
  <c r="C1108" i="4"/>
  <c r="F1108" i="4"/>
  <c r="L1108" i="4"/>
  <c r="D1107" i="3"/>
  <c r="E1107" i="3"/>
  <c r="F1107" i="3"/>
  <c r="B1107" i="3"/>
  <c r="J1107" i="3"/>
  <c r="G1107" i="3"/>
  <c r="I1107" i="3"/>
  <c r="C1107" i="3"/>
  <c r="H1107" i="3"/>
  <c r="A1108" i="3"/>
  <c r="B1087" i="5" l="1"/>
  <c r="A1088" i="5"/>
  <c r="G1109" i="4"/>
  <c r="O1109" i="4"/>
  <c r="W1109" i="4"/>
  <c r="C1109" i="4"/>
  <c r="K1109" i="4"/>
  <c r="S1109" i="4"/>
  <c r="A1110" i="4"/>
  <c r="B1109" i="4"/>
  <c r="M1109" i="4"/>
  <c r="X1109" i="4"/>
  <c r="D1109" i="4"/>
  <c r="N1109" i="4"/>
  <c r="AC1109" i="4"/>
  <c r="Q1109" i="4"/>
  <c r="E1109" i="4"/>
  <c r="P1109" i="4"/>
  <c r="AD1109" i="4"/>
  <c r="F1109" i="4"/>
  <c r="J1109" i="4"/>
  <c r="U1109" i="4"/>
  <c r="R1109" i="4"/>
  <c r="T1109" i="4"/>
  <c r="H1109" i="4"/>
  <c r="V1109" i="4"/>
  <c r="I1109" i="4"/>
  <c r="L1109" i="4"/>
  <c r="B1108" i="3"/>
  <c r="J1108" i="3"/>
  <c r="C1108" i="3"/>
  <c r="A1109" i="3"/>
  <c r="D1108" i="3"/>
  <c r="H1108" i="3"/>
  <c r="F1108" i="3"/>
  <c r="G1108" i="3"/>
  <c r="I1108" i="3"/>
  <c r="E1108" i="3"/>
  <c r="E1108" i="2"/>
  <c r="F1108" i="2"/>
  <c r="G1108" i="2"/>
  <c r="B1108" i="2"/>
  <c r="K1108" i="2"/>
  <c r="I1108" i="2"/>
  <c r="J1108" i="2"/>
  <c r="A1109" i="2"/>
  <c r="C1108" i="2"/>
  <c r="H1108" i="2"/>
  <c r="H1109" i="3" l="1"/>
  <c r="I1109" i="3"/>
  <c r="B1109" i="3"/>
  <c r="J1109" i="3"/>
  <c r="F1109" i="3"/>
  <c r="C1109" i="3"/>
  <c r="D1109" i="3"/>
  <c r="G1109" i="3"/>
  <c r="A1110" i="3"/>
  <c r="E1109" i="3"/>
  <c r="B1109" i="2"/>
  <c r="K1109" i="2"/>
  <c r="C1109" i="2"/>
  <c r="A1110" i="2"/>
  <c r="E1109" i="2"/>
  <c r="I1109" i="2"/>
  <c r="H1109" i="2"/>
  <c r="F1109" i="2"/>
  <c r="G1109" i="2"/>
  <c r="J1109" i="2"/>
  <c r="A1089" i="5"/>
  <c r="B1088" i="5"/>
  <c r="E1110" i="4"/>
  <c r="M1110" i="4"/>
  <c r="U1110" i="4"/>
  <c r="I1110" i="4"/>
  <c r="Q1110" i="4"/>
  <c r="AC1110" i="4"/>
  <c r="H1110" i="4"/>
  <c r="S1110" i="4"/>
  <c r="B1110" i="4"/>
  <c r="J1110" i="4"/>
  <c r="T1110" i="4"/>
  <c r="W1110" i="4"/>
  <c r="K1110" i="4"/>
  <c r="V1110" i="4"/>
  <c r="L1110" i="4"/>
  <c r="F1110" i="4"/>
  <c r="P1110" i="4"/>
  <c r="A1111" i="4"/>
  <c r="R1110" i="4"/>
  <c r="X1110" i="4"/>
  <c r="AD1110" i="4"/>
  <c r="C1110" i="4"/>
  <c r="D1110" i="4"/>
  <c r="G1110" i="4"/>
  <c r="N1110" i="4"/>
  <c r="O1110" i="4"/>
  <c r="I1110" i="2" l="1"/>
  <c r="J1110" i="2"/>
  <c r="B1110" i="2"/>
  <c r="K1110" i="2"/>
  <c r="G1110" i="2"/>
  <c r="E1110" i="2"/>
  <c r="F1110" i="2"/>
  <c r="H1110" i="2"/>
  <c r="A1111" i="2"/>
  <c r="C1110" i="2"/>
  <c r="C1111" i="4"/>
  <c r="K1111" i="4"/>
  <c r="S1111" i="4"/>
  <c r="A1112" i="4"/>
  <c r="G1111" i="4"/>
  <c r="O1111" i="4"/>
  <c r="W1111" i="4"/>
  <c r="D1111" i="4"/>
  <c r="N1111" i="4"/>
  <c r="AC1111" i="4"/>
  <c r="H1111" i="4"/>
  <c r="E1111" i="4"/>
  <c r="P1111" i="4"/>
  <c r="AD1111" i="4"/>
  <c r="F1111" i="4"/>
  <c r="Q1111" i="4"/>
  <c r="R1111" i="4"/>
  <c r="L1111" i="4"/>
  <c r="V1111" i="4"/>
  <c r="U1111" i="4"/>
  <c r="J1111" i="4"/>
  <c r="X1111" i="4"/>
  <c r="B1111" i="4"/>
  <c r="I1111" i="4"/>
  <c r="M1111" i="4"/>
  <c r="T1111" i="4"/>
  <c r="B1089" i="5"/>
  <c r="A1090" i="5"/>
  <c r="F1110" i="3"/>
  <c r="G1110" i="3"/>
  <c r="H1110" i="3"/>
  <c r="D1110" i="3"/>
  <c r="B1110" i="3"/>
  <c r="J1110" i="3"/>
  <c r="A1111" i="3"/>
  <c r="C1110" i="3"/>
  <c r="E1110" i="3"/>
  <c r="I1110" i="3"/>
  <c r="A1091" i="5" l="1"/>
  <c r="B1090" i="5"/>
  <c r="I1112" i="4"/>
  <c r="Q1112" i="4"/>
  <c r="AC1112" i="4"/>
  <c r="E1112" i="4"/>
  <c r="M1112" i="4"/>
  <c r="U1112" i="4"/>
  <c r="J1112" i="4"/>
  <c r="T1112" i="4"/>
  <c r="N1112" i="4"/>
  <c r="K1112" i="4"/>
  <c r="V1112" i="4"/>
  <c r="C1112" i="4"/>
  <c r="B1112" i="4"/>
  <c r="L1112" i="4"/>
  <c r="W1112" i="4"/>
  <c r="X1112" i="4"/>
  <c r="G1112" i="4"/>
  <c r="R1112" i="4"/>
  <c r="AD1112" i="4"/>
  <c r="A1113" i="4"/>
  <c r="H1112" i="4"/>
  <c r="D1112" i="4"/>
  <c r="F1112" i="4"/>
  <c r="O1112" i="4"/>
  <c r="P1112" i="4"/>
  <c r="S1112" i="4"/>
  <c r="D1111" i="3"/>
  <c r="E1111" i="3"/>
  <c r="F1111" i="3"/>
  <c r="B1111" i="3"/>
  <c r="J1111" i="3"/>
  <c r="H1111" i="3"/>
  <c r="I1111" i="3"/>
  <c r="A1112" i="3"/>
  <c r="C1111" i="3"/>
  <c r="G1111" i="3"/>
  <c r="G1111" i="2"/>
  <c r="H1111" i="2"/>
  <c r="I1111" i="2"/>
  <c r="E1111" i="2"/>
  <c r="K1111" i="2"/>
  <c r="A1112" i="2"/>
  <c r="C1111" i="2"/>
  <c r="B1111" i="2"/>
  <c r="F1111" i="2"/>
  <c r="J1111" i="2"/>
  <c r="G1113" i="4" l="1"/>
  <c r="O1113" i="4"/>
  <c r="W1113" i="4"/>
  <c r="C1113" i="4"/>
  <c r="K1113" i="4"/>
  <c r="S1113" i="4"/>
  <c r="A1114" i="4"/>
  <c r="E1113" i="4"/>
  <c r="P1113" i="4"/>
  <c r="AD1113" i="4"/>
  <c r="T1113" i="4"/>
  <c r="F1113" i="4"/>
  <c r="Q1113" i="4"/>
  <c r="I1113" i="4"/>
  <c r="H1113" i="4"/>
  <c r="R1113" i="4"/>
  <c r="B1113" i="4"/>
  <c r="M1113" i="4"/>
  <c r="X1113" i="4"/>
  <c r="AC1113" i="4"/>
  <c r="L1113" i="4"/>
  <c r="J1113" i="4"/>
  <c r="N1113" i="4"/>
  <c r="D1113" i="4"/>
  <c r="U1113" i="4"/>
  <c r="V1113" i="4"/>
  <c r="B1112" i="3"/>
  <c r="J1112" i="3"/>
  <c r="C1112" i="3"/>
  <c r="A1113" i="3"/>
  <c r="D1112" i="3"/>
  <c r="H1112" i="3"/>
  <c r="E1112" i="3"/>
  <c r="F1112" i="3"/>
  <c r="I1112" i="3"/>
  <c r="G1112" i="3"/>
  <c r="E1112" i="2"/>
  <c r="F1112" i="2"/>
  <c r="G1112" i="2"/>
  <c r="B1112" i="2"/>
  <c r="K1112" i="2"/>
  <c r="I1112" i="2"/>
  <c r="C1112" i="2"/>
  <c r="H1112" i="2"/>
  <c r="A1113" i="2"/>
  <c r="J1112" i="2"/>
  <c r="B1091" i="5"/>
  <c r="A1092" i="5"/>
  <c r="H1113" i="3" l="1"/>
  <c r="I1113" i="3"/>
  <c r="B1113" i="3"/>
  <c r="J1113" i="3"/>
  <c r="F1113" i="3"/>
  <c r="D1113" i="3"/>
  <c r="E1113" i="3"/>
  <c r="G1113" i="3"/>
  <c r="A1114" i="3"/>
  <c r="C1113" i="3"/>
  <c r="A1093" i="5"/>
  <c r="B1092" i="5"/>
  <c r="E1114" i="4"/>
  <c r="M1114" i="4"/>
  <c r="U1114" i="4"/>
  <c r="I1114" i="4"/>
  <c r="Q1114" i="4"/>
  <c r="AC1114" i="4"/>
  <c r="K1114" i="4"/>
  <c r="V1114" i="4"/>
  <c r="AD1114" i="4"/>
  <c r="B1114" i="4"/>
  <c r="L1114" i="4"/>
  <c r="W1114" i="4"/>
  <c r="O1114" i="4"/>
  <c r="C1114" i="4"/>
  <c r="N1114" i="4"/>
  <c r="X1114" i="4"/>
  <c r="D1114" i="4"/>
  <c r="H1114" i="4"/>
  <c r="S1114" i="4"/>
  <c r="F1114" i="4"/>
  <c r="G1114" i="4"/>
  <c r="J1114" i="4"/>
  <c r="P1114" i="4"/>
  <c r="R1114" i="4"/>
  <c r="T1114" i="4"/>
  <c r="A1115" i="4"/>
  <c r="B1113" i="2"/>
  <c r="K1113" i="2"/>
  <c r="C1113" i="2"/>
  <c r="A1114" i="2"/>
  <c r="E1113" i="2"/>
  <c r="I1113" i="2"/>
  <c r="G1113" i="2"/>
  <c r="H1113" i="2"/>
  <c r="J1113" i="2"/>
  <c r="F1113" i="2"/>
  <c r="F1114" i="3" l="1"/>
  <c r="G1114" i="3"/>
  <c r="H1114" i="3"/>
  <c r="D1114" i="3"/>
  <c r="J1114" i="3"/>
  <c r="A1115" i="3"/>
  <c r="B1114" i="3"/>
  <c r="C1114" i="3"/>
  <c r="E1114" i="3"/>
  <c r="I1114" i="3"/>
  <c r="C1115" i="4"/>
  <c r="K1115" i="4"/>
  <c r="S1115" i="4"/>
  <c r="A1116" i="4"/>
  <c r="G1115" i="4"/>
  <c r="O1115" i="4"/>
  <c r="W1115" i="4"/>
  <c r="F1115" i="4"/>
  <c r="Q1115" i="4"/>
  <c r="H1115" i="4"/>
  <c r="R1115" i="4"/>
  <c r="U1115" i="4"/>
  <c r="I1115" i="4"/>
  <c r="T1115" i="4"/>
  <c r="J1115" i="4"/>
  <c r="D1115" i="4"/>
  <c r="N1115" i="4"/>
  <c r="AC1115" i="4"/>
  <c r="B1115" i="4"/>
  <c r="V1115" i="4"/>
  <c r="E1115" i="4"/>
  <c r="M1115" i="4"/>
  <c r="P1115" i="4"/>
  <c r="L1115" i="4"/>
  <c r="X1115" i="4"/>
  <c r="AD1115" i="4"/>
  <c r="B1093" i="5"/>
  <c r="A1094" i="5"/>
  <c r="I1114" i="2"/>
  <c r="J1114" i="2"/>
  <c r="B1114" i="2"/>
  <c r="K1114" i="2"/>
  <c r="G1114" i="2"/>
  <c r="E1114" i="2"/>
  <c r="C1114" i="2"/>
  <c r="F1114" i="2"/>
  <c r="H1114" i="2"/>
  <c r="A1115" i="2"/>
  <c r="D1115" i="3" l="1"/>
  <c r="E1115" i="3"/>
  <c r="F1115" i="3"/>
  <c r="B1115" i="3"/>
  <c r="J1115" i="3"/>
  <c r="H1115" i="3"/>
  <c r="I1115" i="3"/>
  <c r="C1115" i="3"/>
  <c r="G1115" i="3"/>
  <c r="A1116" i="3"/>
  <c r="G1115" i="2"/>
  <c r="H1115" i="2"/>
  <c r="I1115" i="2"/>
  <c r="E1115" i="2"/>
  <c r="B1115" i="2"/>
  <c r="A1116" i="2"/>
  <c r="C1115" i="2"/>
  <c r="F1115" i="2"/>
  <c r="J1115" i="2"/>
  <c r="K1115" i="2"/>
  <c r="A1095" i="5"/>
  <c r="B1094" i="5"/>
  <c r="I1116" i="4"/>
  <c r="Q1116" i="4"/>
  <c r="AC1116" i="4"/>
  <c r="E1116" i="4"/>
  <c r="M1116" i="4"/>
  <c r="U1116" i="4"/>
  <c r="B1116" i="4"/>
  <c r="L1116" i="4"/>
  <c r="W1116" i="4"/>
  <c r="P1116" i="4"/>
  <c r="C1116" i="4"/>
  <c r="N1116" i="4"/>
  <c r="X1116" i="4"/>
  <c r="A1117" i="4"/>
  <c r="D1116" i="4"/>
  <c r="O1116" i="4"/>
  <c r="AD1116" i="4"/>
  <c r="F1116" i="4"/>
  <c r="J1116" i="4"/>
  <c r="T1116" i="4"/>
  <c r="G1116" i="4"/>
  <c r="H1116" i="4"/>
  <c r="V1116" i="4"/>
  <c r="K1116" i="4"/>
  <c r="R1116" i="4"/>
  <c r="S1116" i="4"/>
  <c r="B1116" i="3" l="1"/>
  <c r="J1116" i="3"/>
  <c r="C1116" i="3"/>
  <c r="A1117" i="3"/>
  <c r="D1116" i="3"/>
  <c r="H1116" i="3"/>
  <c r="F1116" i="3"/>
  <c r="G1116" i="3"/>
  <c r="I1116" i="3"/>
  <c r="E1116" i="3"/>
  <c r="E1116" i="2"/>
  <c r="F1116" i="2"/>
  <c r="G1116" i="2"/>
  <c r="B1116" i="2"/>
  <c r="K1116" i="2"/>
  <c r="I1116" i="2"/>
  <c r="J1116" i="2"/>
  <c r="A1117" i="2"/>
  <c r="C1116" i="2"/>
  <c r="H1116" i="2"/>
  <c r="G1117" i="4"/>
  <c r="O1117" i="4"/>
  <c r="W1117" i="4"/>
  <c r="C1117" i="4"/>
  <c r="K1117" i="4"/>
  <c r="S1117" i="4"/>
  <c r="A1118" i="4"/>
  <c r="H1117" i="4"/>
  <c r="R1117" i="4"/>
  <c r="V1117" i="4"/>
  <c r="I1117" i="4"/>
  <c r="T1117" i="4"/>
  <c r="J1117" i="4"/>
  <c r="U1117" i="4"/>
  <c r="L1117" i="4"/>
  <c r="E1117" i="4"/>
  <c r="P1117" i="4"/>
  <c r="AD1117" i="4"/>
  <c r="F1117" i="4"/>
  <c r="X1117" i="4"/>
  <c r="M1117" i="4"/>
  <c r="Q1117" i="4"/>
  <c r="N1117" i="4"/>
  <c r="AC1117" i="4"/>
  <c r="B1117" i="4"/>
  <c r="D1117" i="4"/>
  <c r="B1095" i="5"/>
  <c r="A1096" i="5"/>
  <c r="A1097" i="5" l="1"/>
  <c r="B1096" i="5"/>
  <c r="H1117" i="3"/>
  <c r="I1117" i="3"/>
  <c r="B1117" i="3"/>
  <c r="J1117" i="3"/>
  <c r="F1117" i="3"/>
  <c r="E1117" i="3"/>
  <c r="C1117" i="3"/>
  <c r="D1117" i="3"/>
  <c r="G1117" i="3"/>
  <c r="A1118" i="3"/>
  <c r="E1118" i="4"/>
  <c r="M1118" i="4"/>
  <c r="U1118" i="4"/>
  <c r="I1118" i="4"/>
  <c r="Q1118" i="4"/>
  <c r="AC1118" i="4"/>
  <c r="C1118" i="4"/>
  <c r="N1118" i="4"/>
  <c r="X1118" i="4"/>
  <c r="D1118" i="4"/>
  <c r="O1118" i="4"/>
  <c r="AD1118" i="4"/>
  <c r="G1118" i="4"/>
  <c r="F1118" i="4"/>
  <c r="P1118" i="4"/>
  <c r="A1119" i="4"/>
  <c r="R1118" i="4"/>
  <c r="K1118" i="4"/>
  <c r="V1118" i="4"/>
  <c r="J1118" i="4"/>
  <c r="L1118" i="4"/>
  <c r="W1118" i="4"/>
  <c r="S1118" i="4"/>
  <c r="T1118" i="4"/>
  <c r="B1118" i="4"/>
  <c r="H1118" i="4"/>
  <c r="B1117" i="2"/>
  <c r="K1117" i="2"/>
  <c r="C1117" i="2"/>
  <c r="A1118" i="2"/>
  <c r="E1117" i="2"/>
  <c r="I1117" i="2"/>
  <c r="G1117" i="2"/>
  <c r="H1117" i="2"/>
  <c r="F1117" i="2"/>
  <c r="J1117" i="2"/>
  <c r="C1119" i="4" l="1"/>
  <c r="K1119" i="4"/>
  <c r="S1119" i="4"/>
  <c r="A1120" i="4"/>
  <c r="G1119" i="4"/>
  <c r="O1119" i="4"/>
  <c r="W1119" i="4"/>
  <c r="I1119" i="4"/>
  <c r="T1119" i="4"/>
  <c r="B1119" i="4"/>
  <c r="J1119" i="4"/>
  <c r="U1119" i="4"/>
  <c r="M1119" i="4"/>
  <c r="L1119" i="4"/>
  <c r="V1119" i="4"/>
  <c r="X1119" i="4"/>
  <c r="F1119" i="4"/>
  <c r="Q1119" i="4"/>
  <c r="N1119" i="4"/>
  <c r="D1119" i="4"/>
  <c r="P1119" i="4"/>
  <c r="AC1119" i="4"/>
  <c r="R1119" i="4"/>
  <c r="AD1119" i="4"/>
  <c r="E1119" i="4"/>
  <c r="H1119" i="4"/>
  <c r="F1118" i="3"/>
  <c r="G1118" i="3"/>
  <c r="H1118" i="3"/>
  <c r="D1118" i="3"/>
  <c r="B1118" i="3"/>
  <c r="C1118" i="3"/>
  <c r="J1118" i="3"/>
  <c r="E1118" i="3"/>
  <c r="I1118" i="3"/>
  <c r="A1119" i="3"/>
  <c r="I1118" i="2"/>
  <c r="J1118" i="2"/>
  <c r="B1118" i="2"/>
  <c r="K1118" i="2"/>
  <c r="G1118" i="2"/>
  <c r="E1118" i="2"/>
  <c r="F1118" i="2"/>
  <c r="A1119" i="2"/>
  <c r="H1118" i="2"/>
  <c r="C1118" i="2"/>
  <c r="B1097" i="5"/>
  <c r="A1098" i="5"/>
  <c r="A1099" i="5" l="1"/>
  <c r="B1098" i="5"/>
  <c r="I1120" i="4"/>
  <c r="Q1120" i="4"/>
  <c r="AC1120" i="4"/>
  <c r="E1120" i="4"/>
  <c r="M1120" i="4"/>
  <c r="U1120" i="4"/>
  <c r="D1120" i="4"/>
  <c r="O1120" i="4"/>
  <c r="AD1120" i="4"/>
  <c r="H1120" i="4"/>
  <c r="F1120" i="4"/>
  <c r="P1120" i="4"/>
  <c r="A1121" i="4"/>
  <c r="G1120" i="4"/>
  <c r="R1120" i="4"/>
  <c r="S1120" i="4"/>
  <c r="B1120" i="4"/>
  <c r="L1120" i="4"/>
  <c r="W1120" i="4"/>
  <c r="N1120" i="4"/>
  <c r="T1120" i="4"/>
  <c r="C1120" i="4"/>
  <c r="V1120" i="4"/>
  <c r="X1120" i="4"/>
  <c r="J1120" i="4"/>
  <c r="K1120" i="4"/>
  <c r="G1119" i="2"/>
  <c r="H1119" i="2"/>
  <c r="I1119" i="2"/>
  <c r="E1119" i="2"/>
  <c r="K1119" i="2"/>
  <c r="A1120" i="2"/>
  <c r="B1119" i="2"/>
  <c r="F1119" i="2"/>
  <c r="J1119" i="2"/>
  <c r="C1119" i="2"/>
  <c r="D1119" i="3"/>
  <c r="E1119" i="3"/>
  <c r="F1119" i="3"/>
  <c r="B1119" i="3"/>
  <c r="J1119" i="3"/>
  <c r="H1119" i="3"/>
  <c r="I1119" i="3"/>
  <c r="A1120" i="3"/>
  <c r="C1119" i="3"/>
  <c r="G1119" i="3"/>
  <c r="G1121" i="4" l="1"/>
  <c r="O1121" i="4"/>
  <c r="W1121" i="4"/>
  <c r="C1121" i="4"/>
  <c r="K1121" i="4"/>
  <c r="S1121" i="4"/>
  <c r="A1122" i="4"/>
  <c r="J1121" i="4"/>
  <c r="U1121" i="4"/>
  <c r="D1121" i="4"/>
  <c r="L1121" i="4"/>
  <c r="V1121" i="4"/>
  <c r="N1121" i="4"/>
  <c r="B1121" i="4"/>
  <c r="M1121" i="4"/>
  <c r="X1121" i="4"/>
  <c r="AC1121" i="4"/>
  <c r="H1121" i="4"/>
  <c r="R1121" i="4"/>
  <c r="Q1121" i="4"/>
  <c r="T1121" i="4"/>
  <c r="E1121" i="4"/>
  <c r="AD1121" i="4"/>
  <c r="F1121" i="4"/>
  <c r="I1121" i="4"/>
  <c r="P1121" i="4"/>
  <c r="E1120" i="2"/>
  <c r="F1120" i="2"/>
  <c r="G1120" i="2"/>
  <c r="B1120" i="2"/>
  <c r="K1120" i="2"/>
  <c r="C1120" i="2"/>
  <c r="I1120" i="2"/>
  <c r="H1120" i="2"/>
  <c r="J1120" i="2"/>
  <c r="A1121" i="2"/>
  <c r="B1120" i="3"/>
  <c r="J1120" i="3"/>
  <c r="C1120" i="3"/>
  <c r="A1121" i="3"/>
  <c r="D1120" i="3"/>
  <c r="H1120" i="3"/>
  <c r="G1120" i="3"/>
  <c r="E1120" i="3"/>
  <c r="F1120" i="3"/>
  <c r="I1120" i="3"/>
  <c r="B1099" i="5"/>
  <c r="A1100" i="5"/>
  <c r="A1101" i="5" l="1"/>
  <c r="B1100" i="5"/>
  <c r="H1121" i="3"/>
  <c r="I1121" i="3"/>
  <c r="B1121" i="3"/>
  <c r="J1121" i="3"/>
  <c r="F1121" i="3"/>
  <c r="D1121" i="3"/>
  <c r="E1121" i="3"/>
  <c r="A1122" i="3"/>
  <c r="G1121" i="3"/>
  <c r="C1121" i="3"/>
  <c r="E1122" i="4"/>
  <c r="M1122" i="4"/>
  <c r="U1122" i="4"/>
  <c r="I1122" i="4"/>
  <c r="Q1122" i="4"/>
  <c r="AC1122" i="4"/>
  <c r="F1122" i="4"/>
  <c r="P1122" i="4"/>
  <c r="A1123" i="4"/>
  <c r="J1122" i="4"/>
  <c r="G1122" i="4"/>
  <c r="R1122" i="4"/>
  <c r="H1122" i="4"/>
  <c r="S1122" i="4"/>
  <c r="T1122" i="4"/>
  <c r="C1122" i="4"/>
  <c r="N1122" i="4"/>
  <c r="X1122" i="4"/>
  <c r="V1122" i="4"/>
  <c r="D1122" i="4"/>
  <c r="K1122" i="4"/>
  <c r="W1122" i="4"/>
  <c r="B1122" i="4"/>
  <c r="AD1122" i="4"/>
  <c r="L1122" i="4"/>
  <c r="O1122" i="4"/>
  <c r="B1121" i="2"/>
  <c r="K1121" i="2"/>
  <c r="C1121" i="2"/>
  <c r="A1122" i="2"/>
  <c r="E1121" i="2"/>
  <c r="I1121" i="2"/>
  <c r="G1121" i="2"/>
  <c r="H1121" i="2"/>
  <c r="J1121" i="2"/>
  <c r="F1121" i="2"/>
  <c r="C1123" i="4" l="1"/>
  <c r="G1123" i="4"/>
  <c r="O1123" i="4"/>
  <c r="W1123" i="4"/>
  <c r="K1123" i="4"/>
  <c r="T1123" i="4"/>
  <c r="N1123" i="4"/>
  <c r="B1123" i="4"/>
  <c r="L1123" i="4"/>
  <c r="U1123" i="4"/>
  <c r="E1123" i="4"/>
  <c r="D1123" i="4"/>
  <c r="M1123" i="4"/>
  <c r="V1123" i="4"/>
  <c r="X1123" i="4"/>
  <c r="I1123" i="4"/>
  <c r="R1123" i="4"/>
  <c r="A1124" i="4"/>
  <c r="S1123" i="4"/>
  <c r="AC1123" i="4"/>
  <c r="J1123" i="4"/>
  <c r="AD1123" i="4"/>
  <c r="F1123" i="4"/>
  <c r="H1123" i="4"/>
  <c r="P1123" i="4"/>
  <c r="Q1123" i="4"/>
  <c r="I1122" i="2"/>
  <c r="J1122" i="2"/>
  <c r="B1122" i="2"/>
  <c r="K1122" i="2"/>
  <c r="G1122" i="2"/>
  <c r="E1122" i="2"/>
  <c r="F1122" i="2"/>
  <c r="C1122" i="2"/>
  <c r="H1122" i="2"/>
  <c r="A1123" i="2"/>
  <c r="F1122" i="3"/>
  <c r="G1122" i="3"/>
  <c r="H1122" i="3"/>
  <c r="D1122" i="3"/>
  <c r="J1122" i="3"/>
  <c r="B1122" i="3"/>
  <c r="A1123" i="3"/>
  <c r="C1122" i="3"/>
  <c r="E1122" i="3"/>
  <c r="I1122" i="3"/>
  <c r="B1101" i="5"/>
  <c r="A1102" i="5"/>
  <c r="A1103" i="5" l="1"/>
  <c r="B1102" i="5"/>
  <c r="D1123" i="3"/>
  <c r="E1123" i="3"/>
  <c r="F1123" i="3"/>
  <c r="B1123" i="3"/>
  <c r="J1123" i="3"/>
  <c r="H1123" i="3"/>
  <c r="C1123" i="3"/>
  <c r="G1123" i="3"/>
  <c r="A1124" i="3"/>
  <c r="I1123" i="3"/>
  <c r="G1123" i="2"/>
  <c r="H1123" i="2"/>
  <c r="I1123" i="2"/>
  <c r="E1123" i="2"/>
  <c r="B1123" i="2"/>
  <c r="C1123" i="2"/>
  <c r="F1123" i="2"/>
  <c r="J1123" i="2"/>
  <c r="A1124" i="2"/>
  <c r="K1123" i="2"/>
  <c r="E1124" i="4"/>
  <c r="M1124" i="4"/>
  <c r="U1124" i="4"/>
  <c r="C1124" i="4"/>
  <c r="L1124" i="4"/>
  <c r="V1124" i="4"/>
  <c r="G1124" i="4"/>
  <c r="D1124" i="4"/>
  <c r="N1124" i="4"/>
  <c r="W1124" i="4"/>
  <c r="P1124" i="4"/>
  <c r="F1124" i="4"/>
  <c r="O1124" i="4"/>
  <c r="X1124" i="4"/>
  <c r="AC1124" i="4"/>
  <c r="J1124" i="4"/>
  <c r="S1124" i="4"/>
  <c r="R1124" i="4"/>
  <c r="T1124" i="4"/>
  <c r="B1124" i="4"/>
  <c r="H1124" i="4"/>
  <c r="AD1124" i="4"/>
  <c r="A1125" i="4"/>
  <c r="I1124" i="4"/>
  <c r="K1124" i="4"/>
  <c r="Q1124" i="4"/>
  <c r="B1124" i="3" l="1"/>
  <c r="J1124" i="3"/>
  <c r="C1124" i="3"/>
  <c r="A1125" i="3"/>
  <c r="D1124" i="3"/>
  <c r="H1124" i="3"/>
  <c r="F1124" i="3"/>
  <c r="G1124" i="3"/>
  <c r="I1124" i="3"/>
  <c r="E1124" i="3"/>
  <c r="C1125" i="4"/>
  <c r="K1125" i="4"/>
  <c r="S1125" i="4"/>
  <c r="A1126" i="4"/>
  <c r="E1125" i="4"/>
  <c r="N1125" i="4"/>
  <c r="W1125" i="4"/>
  <c r="H1125" i="4"/>
  <c r="AD1125" i="4"/>
  <c r="F1125" i="4"/>
  <c r="O1125" i="4"/>
  <c r="X1125" i="4"/>
  <c r="Q1125" i="4"/>
  <c r="G1125" i="4"/>
  <c r="P1125" i="4"/>
  <c r="AC1125" i="4"/>
  <c r="B1125" i="4"/>
  <c r="L1125" i="4"/>
  <c r="U1125" i="4"/>
  <c r="R1125" i="4"/>
  <c r="I1125" i="4"/>
  <c r="T1125" i="4"/>
  <c r="V1125" i="4"/>
  <c r="D1125" i="4"/>
  <c r="J1125" i="4"/>
  <c r="M1125" i="4"/>
  <c r="E1124" i="2"/>
  <c r="F1124" i="2"/>
  <c r="G1124" i="2"/>
  <c r="B1124" i="2"/>
  <c r="K1124" i="2"/>
  <c r="I1124" i="2"/>
  <c r="J1124" i="2"/>
  <c r="A1125" i="2"/>
  <c r="C1124" i="2"/>
  <c r="H1124" i="2"/>
  <c r="B1103" i="5"/>
  <c r="A1104" i="5"/>
  <c r="I1126" i="4" l="1"/>
  <c r="Q1126" i="4"/>
  <c r="AC1126" i="4"/>
  <c r="F1126" i="4"/>
  <c r="O1126" i="4"/>
  <c r="X1126" i="4"/>
  <c r="S1126" i="4"/>
  <c r="G1126" i="4"/>
  <c r="P1126" i="4"/>
  <c r="AD1126" i="4"/>
  <c r="H1126" i="4"/>
  <c r="R1126" i="4"/>
  <c r="A1127" i="4"/>
  <c r="J1126" i="4"/>
  <c r="D1126" i="4"/>
  <c r="M1126" i="4"/>
  <c r="V1126" i="4"/>
  <c r="N1126" i="4"/>
  <c r="C1126" i="4"/>
  <c r="T1126" i="4"/>
  <c r="B1126" i="4"/>
  <c r="U1126" i="4"/>
  <c r="W1126" i="4"/>
  <c r="E1126" i="4"/>
  <c r="K1126" i="4"/>
  <c r="L1126" i="4"/>
  <c r="H1125" i="3"/>
  <c r="I1125" i="3"/>
  <c r="B1125" i="3"/>
  <c r="J1125" i="3"/>
  <c r="F1125" i="3"/>
  <c r="C1125" i="3"/>
  <c r="E1125" i="3"/>
  <c r="D1125" i="3"/>
  <c r="G1125" i="3"/>
  <c r="A1126" i="3"/>
  <c r="A1105" i="5"/>
  <c r="B1104" i="5"/>
  <c r="B1125" i="2"/>
  <c r="K1125" i="2"/>
  <c r="C1125" i="2"/>
  <c r="A1126" i="2"/>
  <c r="E1125" i="2"/>
  <c r="I1125" i="2"/>
  <c r="G1125" i="2"/>
  <c r="F1125" i="2"/>
  <c r="J1125" i="2"/>
  <c r="H1125" i="2"/>
  <c r="G1127" i="4" l="1"/>
  <c r="O1127" i="4"/>
  <c r="W1127" i="4"/>
  <c r="H1127" i="4"/>
  <c r="Q1127" i="4"/>
  <c r="AD1127" i="4"/>
  <c r="T1127" i="4"/>
  <c r="I1127" i="4"/>
  <c r="R1127" i="4"/>
  <c r="A1128" i="4"/>
  <c r="B1127" i="4"/>
  <c r="J1127" i="4"/>
  <c r="S1127" i="4"/>
  <c r="K1127" i="4"/>
  <c r="E1127" i="4"/>
  <c r="N1127" i="4"/>
  <c r="X1127" i="4"/>
  <c r="M1127" i="4"/>
  <c r="P1127" i="4"/>
  <c r="V1127" i="4"/>
  <c r="C1127" i="4"/>
  <c r="D1127" i="4"/>
  <c r="U1127" i="4"/>
  <c r="AC1127" i="4"/>
  <c r="F1127" i="4"/>
  <c r="L1127" i="4"/>
  <c r="I1126" i="2"/>
  <c r="J1126" i="2"/>
  <c r="B1126" i="2"/>
  <c r="K1126" i="2"/>
  <c r="G1126" i="2"/>
  <c r="E1126" i="2"/>
  <c r="F1126" i="2"/>
  <c r="H1126" i="2"/>
  <c r="A1127" i="2"/>
  <c r="C1126" i="2"/>
  <c r="I1105" i="5"/>
  <c r="Q1105" i="5"/>
  <c r="B1105" i="5"/>
  <c r="J1105" i="5"/>
  <c r="R1105" i="5"/>
  <c r="C1105" i="5"/>
  <c r="K1105" i="5"/>
  <c r="S1105" i="5"/>
  <c r="G1105" i="5"/>
  <c r="O1105" i="5"/>
  <c r="P1105" i="5"/>
  <c r="E1105" i="5"/>
  <c r="A1106" i="5"/>
  <c r="M1105" i="5"/>
  <c r="F1105" i="5"/>
  <c r="H1105" i="5"/>
  <c r="L1105" i="5"/>
  <c r="D1105" i="5"/>
  <c r="N1105" i="5"/>
  <c r="T1105" i="5"/>
  <c r="F1126" i="3"/>
  <c r="G1126" i="3"/>
  <c r="H1126" i="3"/>
  <c r="D1126" i="3"/>
  <c r="B1126" i="3"/>
  <c r="J1126" i="3"/>
  <c r="A1127" i="3"/>
  <c r="C1126" i="3"/>
  <c r="E1126" i="3"/>
  <c r="I1126" i="3"/>
  <c r="D1127" i="3" l="1"/>
  <c r="E1127" i="3"/>
  <c r="F1127" i="3"/>
  <c r="B1127" i="3"/>
  <c r="J1127" i="3"/>
  <c r="H1127" i="3"/>
  <c r="I1127" i="3"/>
  <c r="A1128" i="3"/>
  <c r="C1127" i="3"/>
  <c r="G1127" i="3"/>
  <c r="G1127" i="2"/>
  <c r="H1127" i="2"/>
  <c r="I1127" i="2"/>
  <c r="E1127" i="2"/>
  <c r="K1127" i="2"/>
  <c r="A1128" i="2"/>
  <c r="B1127" i="2"/>
  <c r="C1127" i="2"/>
  <c r="F1127" i="2"/>
  <c r="J1127" i="2"/>
  <c r="E1128" i="4"/>
  <c r="M1128" i="4"/>
  <c r="U1128" i="4"/>
  <c r="I1128" i="4"/>
  <c r="R1128" i="4"/>
  <c r="A1129" i="4"/>
  <c r="V1128" i="4"/>
  <c r="J1128" i="4"/>
  <c r="S1128" i="4"/>
  <c r="C1128" i="4"/>
  <c r="B1128" i="4"/>
  <c r="K1128" i="4"/>
  <c r="T1128" i="4"/>
  <c r="L1128" i="4"/>
  <c r="G1128" i="4"/>
  <c r="P1128" i="4"/>
  <c r="AC1128" i="4"/>
  <c r="N1128" i="4"/>
  <c r="X1128" i="4"/>
  <c r="D1128" i="4"/>
  <c r="O1128" i="4"/>
  <c r="Q1128" i="4"/>
  <c r="W1128" i="4"/>
  <c r="AD1128" i="4"/>
  <c r="F1128" i="4"/>
  <c r="H1128" i="4"/>
  <c r="E1106" i="5"/>
  <c r="M1106" i="5"/>
  <c r="A1107" i="5"/>
  <c r="F1106" i="5"/>
  <c r="N1106" i="5"/>
  <c r="G1106" i="5"/>
  <c r="O1106" i="5"/>
  <c r="C1106" i="5"/>
  <c r="K1106" i="5"/>
  <c r="S1106" i="5"/>
  <c r="L1106" i="5"/>
  <c r="Q1106" i="5"/>
  <c r="I1106" i="5"/>
  <c r="J1106" i="5"/>
  <c r="P1106" i="5"/>
  <c r="R1106" i="5"/>
  <c r="T1106" i="5"/>
  <c r="D1106" i="5"/>
  <c r="B1106" i="5"/>
  <c r="H1106" i="5"/>
  <c r="E1128" i="2" l="1"/>
  <c r="F1128" i="2"/>
  <c r="G1128" i="2"/>
  <c r="B1128" i="2"/>
  <c r="K1128" i="2"/>
  <c r="I1128" i="2"/>
  <c r="J1128" i="2"/>
  <c r="C1128" i="2"/>
  <c r="H1128" i="2"/>
  <c r="A1129" i="2"/>
  <c r="B1128" i="3"/>
  <c r="J1128" i="3"/>
  <c r="C1128" i="3"/>
  <c r="A1129" i="3"/>
  <c r="D1128" i="3"/>
  <c r="H1128" i="3"/>
  <c r="E1128" i="3"/>
  <c r="F1128" i="3"/>
  <c r="I1128" i="3"/>
  <c r="G1128" i="3"/>
  <c r="C1129" i="4"/>
  <c r="K1129" i="4"/>
  <c r="S1129" i="4"/>
  <c r="A1130" i="4"/>
  <c r="J1129" i="4"/>
  <c r="T1129" i="4"/>
  <c r="W1129" i="4"/>
  <c r="B1129" i="4"/>
  <c r="L1129" i="4"/>
  <c r="U1129" i="4"/>
  <c r="E1129" i="4"/>
  <c r="D1129" i="4"/>
  <c r="M1129" i="4"/>
  <c r="V1129" i="4"/>
  <c r="N1129" i="4"/>
  <c r="H1129" i="4"/>
  <c r="Q1129" i="4"/>
  <c r="AD1129" i="4"/>
  <c r="I1129" i="4"/>
  <c r="O1129" i="4"/>
  <c r="R1129" i="4"/>
  <c r="AC1129" i="4"/>
  <c r="P1129" i="4"/>
  <c r="X1129" i="4"/>
  <c r="F1129" i="4"/>
  <c r="G1129" i="4"/>
  <c r="I1107" i="5"/>
  <c r="Q1107" i="5"/>
  <c r="B1107" i="5"/>
  <c r="J1107" i="5"/>
  <c r="R1107" i="5"/>
  <c r="C1107" i="5"/>
  <c r="K1107" i="5"/>
  <c r="S1107" i="5"/>
  <c r="G1107" i="5"/>
  <c r="O1107" i="5"/>
  <c r="H1107" i="5"/>
  <c r="M1107" i="5"/>
  <c r="E1107" i="5"/>
  <c r="A1108" i="5"/>
  <c r="P1107" i="5"/>
  <c r="T1107" i="5"/>
  <c r="D1107" i="5"/>
  <c r="F1107" i="5"/>
  <c r="L1107" i="5"/>
  <c r="N1107" i="5"/>
  <c r="I1130" i="4" l="1"/>
  <c r="Q1130" i="4"/>
  <c r="AC1130" i="4"/>
  <c r="C1130" i="4"/>
  <c r="L1130" i="4"/>
  <c r="U1130" i="4"/>
  <c r="D1130" i="4"/>
  <c r="M1130" i="4"/>
  <c r="V1130" i="4"/>
  <c r="F1130" i="4"/>
  <c r="X1130" i="4"/>
  <c r="E1130" i="4"/>
  <c r="N1130" i="4"/>
  <c r="W1130" i="4"/>
  <c r="O1130" i="4"/>
  <c r="J1130" i="4"/>
  <c r="S1130" i="4"/>
  <c r="H1130" i="4"/>
  <c r="AD1130" i="4"/>
  <c r="K1130" i="4"/>
  <c r="T1130" i="4"/>
  <c r="P1130" i="4"/>
  <c r="R1130" i="4"/>
  <c r="B1130" i="4"/>
  <c r="A1131" i="4"/>
  <c r="G1130" i="4"/>
  <c r="H1129" i="3"/>
  <c r="I1129" i="3"/>
  <c r="B1129" i="3"/>
  <c r="J1129" i="3"/>
  <c r="F1129" i="3"/>
  <c r="D1129" i="3"/>
  <c r="E1129" i="3"/>
  <c r="G1129" i="3"/>
  <c r="A1130" i="3"/>
  <c r="C1129" i="3"/>
  <c r="E1108" i="5"/>
  <c r="M1108" i="5"/>
  <c r="A1109" i="5"/>
  <c r="F1108" i="5"/>
  <c r="N1108" i="5"/>
  <c r="G1108" i="5"/>
  <c r="O1108" i="5"/>
  <c r="C1108" i="5"/>
  <c r="K1108" i="5"/>
  <c r="S1108" i="5"/>
  <c r="D1108" i="5"/>
  <c r="T1108" i="5"/>
  <c r="I1108" i="5"/>
  <c r="Q1108" i="5"/>
  <c r="B1108" i="5"/>
  <c r="P1108" i="5"/>
  <c r="R1108" i="5"/>
  <c r="J1108" i="5"/>
  <c r="H1108" i="5"/>
  <c r="L1108" i="5"/>
  <c r="B1129" i="2"/>
  <c r="K1129" i="2"/>
  <c r="C1129" i="2"/>
  <c r="A1130" i="2"/>
  <c r="E1129" i="2"/>
  <c r="I1129" i="2"/>
  <c r="G1129" i="2"/>
  <c r="H1129" i="2"/>
  <c r="J1129" i="2"/>
  <c r="F1129" i="2"/>
  <c r="I1109" i="5" l="1"/>
  <c r="Q1109" i="5"/>
  <c r="B1109" i="5"/>
  <c r="J1109" i="5"/>
  <c r="R1109" i="5"/>
  <c r="C1109" i="5"/>
  <c r="K1109" i="5"/>
  <c r="S1109" i="5"/>
  <c r="G1109" i="5"/>
  <c r="O1109" i="5"/>
  <c r="P1109" i="5"/>
  <c r="E1109" i="5"/>
  <c r="A1110" i="5"/>
  <c r="M1109" i="5"/>
  <c r="D1109" i="5"/>
  <c r="F1109" i="5"/>
  <c r="H1109" i="5"/>
  <c r="L1109" i="5"/>
  <c r="N1109" i="5"/>
  <c r="T1109" i="5"/>
  <c r="F1130" i="3"/>
  <c r="G1130" i="3"/>
  <c r="H1130" i="3"/>
  <c r="D1130" i="3"/>
  <c r="J1130" i="3"/>
  <c r="A1131" i="3"/>
  <c r="B1130" i="3"/>
  <c r="C1130" i="3"/>
  <c r="E1130" i="3"/>
  <c r="I1130" i="3"/>
  <c r="I1130" i="2"/>
  <c r="J1130" i="2"/>
  <c r="B1130" i="2"/>
  <c r="K1130" i="2"/>
  <c r="G1130" i="2"/>
  <c r="C1130" i="2"/>
  <c r="E1130" i="2"/>
  <c r="F1130" i="2"/>
  <c r="H1130" i="2"/>
  <c r="A1131" i="2"/>
  <c r="G1131" i="4"/>
  <c r="O1131" i="4"/>
  <c r="W1131" i="4"/>
  <c r="D1131" i="4"/>
  <c r="M1131" i="4"/>
  <c r="V1131" i="4"/>
  <c r="Q1131" i="4"/>
  <c r="E1131" i="4"/>
  <c r="N1131" i="4"/>
  <c r="X1131" i="4"/>
  <c r="AD1131" i="4"/>
  <c r="F1131" i="4"/>
  <c r="P1131" i="4"/>
  <c r="AC1131" i="4"/>
  <c r="H1131" i="4"/>
  <c r="B1131" i="4"/>
  <c r="K1131" i="4"/>
  <c r="T1131" i="4"/>
  <c r="I1131" i="4"/>
  <c r="J1131" i="4"/>
  <c r="R1131" i="4"/>
  <c r="L1131" i="4"/>
  <c r="S1131" i="4"/>
  <c r="U1131" i="4"/>
  <c r="A1132" i="4"/>
  <c r="C1131" i="4"/>
  <c r="G1131" i="2" l="1"/>
  <c r="H1131" i="2"/>
  <c r="I1131" i="2"/>
  <c r="E1131" i="2"/>
  <c r="B1131" i="2"/>
  <c r="C1131" i="2"/>
  <c r="F1131" i="2"/>
  <c r="J1131" i="2"/>
  <c r="K1131" i="2"/>
  <c r="A1132" i="2"/>
  <c r="D1131" i="3"/>
  <c r="E1131" i="3"/>
  <c r="F1131" i="3"/>
  <c r="B1131" i="3"/>
  <c r="J1131" i="3"/>
  <c r="H1131" i="3"/>
  <c r="I1131" i="3"/>
  <c r="G1131" i="3"/>
  <c r="C1131" i="3"/>
  <c r="A1132" i="3"/>
  <c r="E1110" i="5"/>
  <c r="M1110" i="5"/>
  <c r="A1111" i="5"/>
  <c r="F1110" i="5"/>
  <c r="N1110" i="5"/>
  <c r="G1110" i="5"/>
  <c r="O1110" i="5"/>
  <c r="C1110" i="5"/>
  <c r="K1110" i="5"/>
  <c r="S1110" i="5"/>
  <c r="L1110" i="5"/>
  <c r="Q1110" i="5"/>
  <c r="I1110" i="5"/>
  <c r="H1110" i="5"/>
  <c r="J1110" i="5"/>
  <c r="P1110" i="5"/>
  <c r="T1110" i="5"/>
  <c r="D1110" i="5"/>
  <c r="B1110" i="5"/>
  <c r="R1110" i="5"/>
  <c r="E1132" i="4"/>
  <c r="M1132" i="4"/>
  <c r="U1132" i="4"/>
  <c r="F1132" i="4"/>
  <c r="O1132" i="4"/>
  <c r="X1132" i="4"/>
  <c r="R1132" i="4"/>
  <c r="G1132" i="4"/>
  <c r="P1132" i="4"/>
  <c r="AC1132" i="4"/>
  <c r="A1133" i="4"/>
  <c r="H1132" i="4"/>
  <c r="Q1132" i="4"/>
  <c r="AD1132" i="4"/>
  <c r="I1132" i="4"/>
  <c r="C1132" i="4"/>
  <c r="L1132" i="4"/>
  <c r="V1132" i="4"/>
  <c r="D1132" i="4"/>
  <c r="S1132" i="4"/>
  <c r="T1132" i="4"/>
  <c r="J1132" i="4"/>
  <c r="N1132" i="4"/>
  <c r="K1132" i="4"/>
  <c r="W1132" i="4"/>
  <c r="B1132" i="4"/>
  <c r="I1111" i="5" l="1"/>
  <c r="Q1111" i="5"/>
  <c r="B1111" i="5"/>
  <c r="J1111" i="5"/>
  <c r="R1111" i="5"/>
  <c r="C1111" i="5"/>
  <c r="K1111" i="5"/>
  <c r="S1111" i="5"/>
  <c r="G1111" i="5"/>
  <c r="O1111" i="5"/>
  <c r="H1111" i="5"/>
  <c r="M1111" i="5"/>
  <c r="E1111" i="5"/>
  <c r="A1112" i="5"/>
  <c r="N1111" i="5"/>
  <c r="P1111" i="5"/>
  <c r="T1111" i="5"/>
  <c r="D1111" i="5"/>
  <c r="F1111" i="5"/>
  <c r="L1111" i="5"/>
  <c r="F1133" i="4"/>
  <c r="N1133" i="4"/>
  <c r="V1133" i="4"/>
  <c r="AC1133" i="4"/>
  <c r="G1133" i="4"/>
  <c r="O1133" i="4"/>
  <c r="W1133" i="4"/>
  <c r="H1133" i="4"/>
  <c r="P1133" i="4"/>
  <c r="X1133" i="4"/>
  <c r="I1133" i="4"/>
  <c r="Q1133" i="4"/>
  <c r="D1133" i="4"/>
  <c r="L1133" i="4"/>
  <c r="T1133" i="4"/>
  <c r="C1133" i="4"/>
  <c r="AD1133" i="4"/>
  <c r="E1133" i="4"/>
  <c r="A1134" i="4"/>
  <c r="M1133" i="4"/>
  <c r="R1133" i="4"/>
  <c r="J1133" i="4"/>
  <c r="K1133" i="4"/>
  <c r="S1133" i="4"/>
  <c r="B1133" i="4"/>
  <c r="U1133" i="4"/>
  <c r="E1132" i="2"/>
  <c r="F1132" i="2"/>
  <c r="G1132" i="2"/>
  <c r="B1132" i="2"/>
  <c r="K1132" i="2"/>
  <c r="I1132" i="2"/>
  <c r="J1132" i="2"/>
  <c r="A1133" i="2"/>
  <c r="C1132" i="2"/>
  <c r="H1132" i="2"/>
  <c r="B1132" i="3"/>
  <c r="J1132" i="3"/>
  <c r="C1132" i="3"/>
  <c r="A1133" i="3"/>
  <c r="D1132" i="3"/>
  <c r="H1132" i="3"/>
  <c r="F1132" i="3"/>
  <c r="G1132" i="3"/>
  <c r="I1132" i="3"/>
  <c r="E1132" i="3"/>
  <c r="D1134" i="4" l="1"/>
  <c r="L1134" i="4"/>
  <c r="T1134" i="4"/>
  <c r="W1134" i="4"/>
  <c r="E1134" i="4"/>
  <c r="M1134" i="4"/>
  <c r="U1134" i="4"/>
  <c r="G1134" i="4"/>
  <c r="F1134" i="4"/>
  <c r="N1134" i="4"/>
  <c r="V1134" i="4"/>
  <c r="O1134" i="4"/>
  <c r="B1134" i="4"/>
  <c r="J1134" i="4"/>
  <c r="R1134" i="4"/>
  <c r="AD1134" i="4"/>
  <c r="S1134" i="4"/>
  <c r="K1134" i="4"/>
  <c r="X1134" i="4"/>
  <c r="H1134" i="4"/>
  <c r="C1134" i="4"/>
  <c r="AC1134" i="4"/>
  <c r="A1135" i="4"/>
  <c r="I1134" i="4"/>
  <c r="P1134" i="4"/>
  <c r="Q1134" i="4"/>
  <c r="H1133" i="3"/>
  <c r="I1133" i="3"/>
  <c r="B1133" i="3"/>
  <c r="J1133" i="3"/>
  <c r="F1133" i="3"/>
  <c r="D1133" i="3"/>
  <c r="E1133" i="3"/>
  <c r="C1133" i="3"/>
  <c r="G1133" i="3"/>
  <c r="A1134" i="3"/>
  <c r="B1133" i="2"/>
  <c r="K1133" i="2"/>
  <c r="C1133" i="2"/>
  <c r="A1134" i="2"/>
  <c r="E1133" i="2"/>
  <c r="I1133" i="2"/>
  <c r="G1133" i="2"/>
  <c r="F1133" i="2"/>
  <c r="H1133" i="2"/>
  <c r="J1133" i="2"/>
  <c r="E1112" i="5"/>
  <c r="M1112" i="5"/>
  <c r="A1113" i="5"/>
  <c r="F1112" i="5"/>
  <c r="N1112" i="5"/>
  <c r="G1112" i="5"/>
  <c r="O1112" i="5"/>
  <c r="C1112" i="5"/>
  <c r="K1112" i="5"/>
  <c r="S1112" i="5"/>
  <c r="D1112" i="5"/>
  <c r="T1112" i="5"/>
  <c r="I1112" i="5"/>
  <c r="Q1112" i="5"/>
  <c r="R1112" i="5"/>
  <c r="P1112" i="5"/>
  <c r="J1112" i="5"/>
  <c r="H1112" i="5"/>
  <c r="B1112" i="5"/>
  <c r="L1112" i="5"/>
  <c r="I1134" i="2" l="1"/>
  <c r="J1134" i="2"/>
  <c r="B1134" i="2"/>
  <c r="K1134" i="2"/>
  <c r="G1134" i="2"/>
  <c r="E1134" i="2"/>
  <c r="F1134" i="2"/>
  <c r="H1134" i="2"/>
  <c r="A1135" i="2"/>
  <c r="C1134" i="2"/>
  <c r="B1135" i="4"/>
  <c r="J1135" i="4"/>
  <c r="R1135" i="4"/>
  <c r="AD1135" i="4"/>
  <c r="C1135" i="4"/>
  <c r="K1135" i="4"/>
  <c r="S1135" i="4"/>
  <c r="A1136" i="4"/>
  <c r="E1135" i="4"/>
  <c r="U1135" i="4"/>
  <c r="D1135" i="4"/>
  <c r="L1135" i="4"/>
  <c r="T1135" i="4"/>
  <c r="M1135" i="4"/>
  <c r="H1135" i="4"/>
  <c r="P1135" i="4"/>
  <c r="X1135" i="4"/>
  <c r="O1135" i="4"/>
  <c r="F1135" i="4"/>
  <c r="Q1135" i="4"/>
  <c r="W1135" i="4"/>
  <c r="AC1135" i="4"/>
  <c r="V1135" i="4"/>
  <c r="G1135" i="4"/>
  <c r="I1135" i="4"/>
  <c r="N1135" i="4"/>
  <c r="F1134" i="3"/>
  <c r="G1134" i="3"/>
  <c r="H1134" i="3"/>
  <c r="D1134" i="3"/>
  <c r="B1134" i="3"/>
  <c r="C1134" i="3"/>
  <c r="I1134" i="3"/>
  <c r="E1134" i="3"/>
  <c r="J1134" i="3"/>
  <c r="A1135" i="3"/>
  <c r="I1113" i="5"/>
  <c r="Q1113" i="5"/>
  <c r="B1113" i="5"/>
  <c r="J1113" i="5"/>
  <c r="R1113" i="5"/>
  <c r="C1113" i="5"/>
  <c r="K1113" i="5"/>
  <c r="S1113" i="5"/>
  <c r="G1113" i="5"/>
  <c r="O1113" i="5"/>
  <c r="P1113" i="5"/>
  <c r="E1113" i="5"/>
  <c r="A1114" i="5"/>
  <c r="M1113" i="5"/>
  <c r="D1113" i="5"/>
  <c r="F1113" i="5"/>
  <c r="H1113" i="5"/>
  <c r="L1113" i="5"/>
  <c r="N1113" i="5"/>
  <c r="T1113" i="5"/>
  <c r="E1114" i="5" l="1"/>
  <c r="M1114" i="5"/>
  <c r="A1115" i="5"/>
  <c r="F1114" i="5"/>
  <c r="N1114" i="5"/>
  <c r="G1114" i="5"/>
  <c r="O1114" i="5"/>
  <c r="C1114" i="5"/>
  <c r="K1114" i="5"/>
  <c r="S1114" i="5"/>
  <c r="L1114" i="5"/>
  <c r="Q1114" i="5"/>
  <c r="I1114" i="5"/>
  <c r="D1114" i="5"/>
  <c r="H1114" i="5"/>
  <c r="J1114" i="5"/>
  <c r="T1114" i="5"/>
  <c r="P1114" i="5"/>
  <c r="B1114" i="5"/>
  <c r="R1114" i="5"/>
  <c r="H1136" i="4"/>
  <c r="P1136" i="4"/>
  <c r="X1136" i="4"/>
  <c r="C1136" i="4"/>
  <c r="A1137" i="4"/>
  <c r="I1136" i="4"/>
  <c r="Q1136" i="4"/>
  <c r="AC1136" i="4"/>
  <c r="S1136" i="4"/>
  <c r="B1136" i="4"/>
  <c r="J1136" i="4"/>
  <c r="R1136" i="4"/>
  <c r="AD1136" i="4"/>
  <c r="K1136" i="4"/>
  <c r="F1136" i="4"/>
  <c r="N1136" i="4"/>
  <c r="V1136" i="4"/>
  <c r="L1136" i="4"/>
  <c r="W1136" i="4"/>
  <c r="M1136" i="4"/>
  <c r="D1136" i="4"/>
  <c r="O1136" i="4"/>
  <c r="T1136" i="4"/>
  <c r="U1136" i="4"/>
  <c r="E1136" i="4"/>
  <c r="G1136" i="4"/>
  <c r="D1135" i="3"/>
  <c r="E1135" i="3"/>
  <c r="F1135" i="3"/>
  <c r="B1135" i="3"/>
  <c r="J1135" i="3"/>
  <c r="H1135" i="3"/>
  <c r="I1135" i="3"/>
  <c r="A1136" i="3"/>
  <c r="C1135" i="3"/>
  <c r="G1135" i="3"/>
  <c r="G1135" i="2"/>
  <c r="H1135" i="2"/>
  <c r="I1135" i="2"/>
  <c r="E1135" i="2"/>
  <c r="K1135" i="2"/>
  <c r="C1135" i="2"/>
  <c r="A1136" i="2"/>
  <c r="B1135" i="2"/>
  <c r="F1135" i="2"/>
  <c r="J1135" i="2"/>
  <c r="E1136" i="2" l="1"/>
  <c r="F1136" i="2"/>
  <c r="G1136" i="2"/>
  <c r="B1136" i="2"/>
  <c r="K1136" i="2"/>
  <c r="I1136" i="2"/>
  <c r="H1136" i="2"/>
  <c r="C1136" i="2"/>
  <c r="A1137" i="2"/>
  <c r="J1136" i="2"/>
  <c r="B1136" i="3"/>
  <c r="J1136" i="3"/>
  <c r="C1136" i="3"/>
  <c r="A1137" i="3"/>
  <c r="D1136" i="3"/>
  <c r="H1136" i="3"/>
  <c r="F1136" i="3"/>
  <c r="E1136" i="3"/>
  <c r="G1136" i="3"/>
  <c r="I1136" i="3"/>
  <c r="I1115" i="5"/>
  <c r="Q1115" i="5"/>
  <c r="B1115" i="5"/>
  <c r="J1115" i="5"/>
  <c r="R1115" i="5"/>
  <c r="C1115" i="5"/>
  <c r="K1115" i="5"/>
  <c r="S1115" i="5"/>
  <c r="G1115" i="5"/>
  <c r="O1115" i="5"/>
  <c r="H1115" i="5"/>
  <c r="M1115" i="5"/>
  <c r="E1115" i="5"/>
  <c r="A1116" i="5"/>
  <c r="L1115" i="5"/>
  <c r="N1115" i="5"/>
  <c r="P1115" i="5"/>
  <c r="D1115" i="5"/>
  <c r="F1115" i="5"/>
  <c r="T1115" i="5"/>
  <c r="F1137" i="4"/>
  <c r="N1137" i="4"/>
  <c r="V1137" i="4"/>
  <c r="G1137" i="4"/>
  <c r="O1137" i="4"/>
  <c r="W1137" i="4"/>
  <c r="Q1137" i="4"/>
  <c r="H1137" i="4"/>
  <c r="P1137" i="4"/>
  <c r="X1137" i="4"/>
  <c r="I1137" i="4"/>
  <c r="AC1137" i="4"/>
  <c r="D1137" i="4"/>
  <c r="L1137" i="4"/>
  <c r="T1137" i="4"/>
  <c r="E1137" i="4"/>
  <c r="A1138" i="4"/>
  <c r="J1137" i="4"/>
  <c r="M1137" i="4"/>
  <c r="R1137" i="4"/>
  <c r="S1137" i="4"/>
  <c r="K1137" i="4"/>
  <c r="B1137" i="4"/>
  <c r="U1137" i="4"/>
  <c r="C1137" i="4"/>
  <c r="AD1137" i="4"/>
  <c r="E1116" i="5" l="1"/>
  <c r="M1116" i="5"/>
  <c r="A1117" i="5"/>
  <c r="F1116" i="5"/>
  <c r="N1116" i="5"/>
  <c r="G1116" i="5"/>
  <c r="O1116" i="5"/>
  <c r="C1116" i="5"/>
  <c r="K1116" i="5"/>
  <c r="S1116" i="5"/>
  <c r="D1116" i="5"/>
  <c r="T1116" i="5"/>
  <c r="I1116" i="5"/>
  <c r="Q1116" i="5"/>
  <c r="P1116" i="5"/>
  <c r="R1116" i="5"/>
  <c r="J1116" i="5"/>
  <c r="H1116" i="5"/>
  <c r="B1116" i="5"/>
  <c r="L1116" i="5"/>
  <c r="H1137" i="3"/>
  <c r="I1137" i="3"/>
  <c r="B1137" i="3"/>
  <c r="J1137" i="3"/>
  <c r="F1137" i="3"/>
  <c r="D1137" i="3"/>
  <c r="E1137" i="3"/>
  <c r="A1138" i="3"/>
  <c r="G1137" i="3"/>
  <c r="C1137" i="3"/>
  <c r="D1138" i="4"/>
  <c r="L1138" i="4"/>
  <c r="T1138" i="4"/>
  <c r="G1138" i="4"/>
  <c r="E1138" i="4"/>
  <c r="M1138" i="4"/>
  <c r="U1138" i="4"/>
  <c r="O1138" i="4"/>
  <c r="F1138" i="4"/>
  <c r="N1138" i="4"/>
  <c r="V1138" i="4"/>
  <c r="W1138" i="4"/>
  <c r="B1138" i="4"/>
  <c r="J1138" i="4"/>
  <c r="R1138" i="4"/>
  <c r="AD1138" i="4"/>
  <c r="X1138" i="4"/>
  <c r="C1138" i="4"/>
  <c r="AC1138" i="4"/>
  <c r="H1138" i="4"/>
  <c r="A1139" i="4"/>
  <c r="I1138" i="4"/>
  <c r="K1138" i="4"/>
  <c r="P1138" i="4"/>
  <c r="Q1138" i="4"/>
  <c r="S1138" i="4"/>
  <c r="B1137" i="2"/>
  <c r="K1137" i="2"/>
  <c r="C1137" i="2"/>
  <c r="A1138" i="2"/>
  <c r="E1137" i="2"/>
  <c r="I1137" i="2"/>
  <c r="G1137" i="2"/>
  <c r="H1137" i="2"/>
  <c r="J1137" i="2"/>
  <c r="F1137" i="2"/>
  <c r="B1139" i="4" l="1"/>
  <c r="J1139" i="4"/>
  <c r="R1139" i="4"/>
  <c r="AD1139" i="4"/>
  <c r="E1139" i="4"/>
  <c r="C1139" i="4"/>
  <c r="K1139" i="4"/>
  <c r="S1139" i="4"/>
  <c r="A1140" i="4"/>
  <c r="U1139" i="4"/>
  <c r="D1139" i="4"/>
  <c r="L1139" i="4"/>
  <c r="T1139" i="4"/>
  <c r="M1139" i="4"/>
  <c r="H1139" i="4"/>
  <c r="P1139" i="4"/>
  <c r="X1139" i="4"/>
  <c r="Q1139" i="4"/>
  <c r="G1139" i="4"/>
  <c r="V1139" i="4"/>
  <c r="F1139" i="4"/>
  <c r="I1139" i="4"/>
  <c r="W1139" i="4"/>
  <c r="AC1139" i="4"/>
  <c r="N1139" i="4"/>
  <c r="O1139" i="4"/>
  <c r="I1117" i="5"/>
  <c r="Q1117" i="5"/>
  <c r="B1117" i="5"/>
  <c r="J1117" i="5"/>
  <c r="R1117" i="5"/>
  <c r="C1117" i="5"/>
  <c r="K1117" i="5"/>
  <c r="S1117" i="5"/>
  <c r="G1117" i="5"/>
  <c r="O1117" i="5"/>
  <c r="P1117" i="5"/>
  <c r="E1117" i="5"/>
  <c r="A1118" i="5"/>
  <c r="M1117" i="5"/>
  <c r="D1117" i="5"/>
  <c r="F1117" i="5"/>
  <c r="H1117" i="5"/>
  <c r="L1117" i="5"/>
  <c r="N1117" i="5"/>
  <c r="T1117" i="5"/>
  <c r="F1138" i="3"/>
  <c r="G1138" i="3"/>
  <c r="H1138" i="3"/>
  <c r="D1138" i="3"/>
  <c r="J1138" i="3"/>
  <c r="C1138" i="3"/>
  <c r="A1139" i="3"/>
  <c r="B1138" i="3"/>
  <c r="E1138" i="3"/>
  <c r="I1138" i="3"/>
  <c r="I1138" i="2"/>
  <c r="J1138" i="2"/>
  <c r="B1138" i="2"/>
  <c r="K1138" i="2"/>
  <c r="G1138" i="2"/>
  <c r="F1138" i="2"/>
  <c r="C1138" i="2"/>
  <c r="E1138" i="2"/>
  <c r="H1138" i="2"/>
  <c r="A1139" i="2"/>
  <c r="E1118" i="5" l="1"/>
  <c r="M1118" i="5"/>
  <c r="A1119" i="5"/>
  <c r="F1118" i="5"/>
  <c r="N1118" i="5"/>
  <c r="G1118" i="5"/>
  <c r="O1118" i="5"/>
  <c r="C1118" i="5"/>
  <c r="K1118" i="5"/>
  <c r="S1118" i="5"/>
  <c r="L1118" i="5"/>
  <c r="Q1118" i="5"/>
  <c r="I1118" i="5"/>
  <c r="B1118" i="5"/>
  <c r="D1118" i="5"/>
  <c r="H1118" i="5"/>
  <c r="T1118" i="5"/>
  <c r="P1118" i="5"/>
  <c r="J1118" i="5"/>
  <c r="R1118" i="5"/>
  <c r="G1139" i="2"/>
  <c r="H1139" i="2"/>
  <c r="I1139" i="2"/>
  <c r="E1139" i="2"/>
  <c r="B1139" i="2"/>
  <c r="C1139" i="2"/>
  <c r="J1139" i="2"/>
  <c r="K1139" i="2"/>
  <c r="A1140" i="2"/>
  <c r="F1139" i="2"/>
  <c r="D1139" i="3"/>
  <c r="E1139" i="3"/>
  <c r="F1139" i="3"/>
  <c r="B1139" i="3"/>
  <c r="J1139" i="3"/>
  <c r="I1139" i="3"/>
  <c r="C1139" i="3"/>
  <c r="G1139" i="3"/>
  <c r="H1139" i="3"/>
  <c r="A1140" i="3"/>
  <c r="H1140" i="4"/>
  <c r="P1140" i="4"/>
  <c r="X1140" i="4"/>
  <c r="C1140" i="4"/>
  <c r="S1140" i="4"/>
  <c r="I1140" i="4"/>
  <c r="Q1140" i="4"/>
  <c r="AC1140" i="4"/>
  <c r="A1141" i="4"/>
  <c r="B1140" i="4"/>
  <c r="J1140" i="4"/>
  <c r="R1140" i="4"/>
  <c r="AD1140" i="4"/>
  <c r="K1140" i="4"/>
  <c r="F1140" i="4"/>
  <c r="N1140" i="4"/>
  <c r="V1140" i="4"/>
  <c r="M1140" i="4"/>
  <c r="E1140" i="4"/>
  <c r="O1140" i="4"/>
  <c r="U1140" i="4"/>
  <c r="D1140" i="4"/>
  <c r="T1140" i="4"/>
  <c r="W1140" i="4"/>
  <c r="G1140" i="4"/>
  <c r="L1140" i="4"/>
  <c r="E1140" i="2" l="1"/>
  <c r="F1140" i="2"/>
  <c r="G1140" i="2"/>
  <c r="B1140" i="2"/>
  <c r="K1140" i="2"/>
  <c r="I1140" i="2"/>
  <c r="J1140" i="2"/>
  <c r="A1141" i="2"/>
  <c r="C1140" i="2"/>
  <c r="H1140" i="2"/>
  <c r="B1140" i="3"/>
  <c r="J1140" i="3"/>
  <c r="C1140" i="3"/>
  <c r="A1141" i="3"/>
  <c r="D1140" i="3"/>
  <c r="H1140" i="3"/>
  <c r="F1140" i="3"/>
  <c r="G1140" i="3"/>
  <c r="I1140" i="3"/>
  <c r="E1140" i="3"/>
  <c r="I1119" i="5"/>
  <c r="Q1119" i="5"/>
  <c r="B1119" i="5"/>
  <c r="J1119" i="5"/>
  <c r="R1119" i="5"/>
  <c r="C1119" i="5"/>
  <c r="K1119" i="5"/>
  <c r="S1119" i="5"/>
  <c r="G1119" i="5"/>
  <c r="O1119" i="5"/>
  <c r="H1119" i="5"/>
  <c r="M1119" i="5"/>
  <c r="E1119" i="5"/>
  <c r="A1120" i="5"/>
  <c r="F1119" i="5"/>
  <c r="L1119" i="5"/>
  <c r="N1119" i="5"/>
  <c r="D1119" i="5"/>
  <c r="P1119" i="5"/>
  <c r="T1119" i="5"/>
  <c r="F1141" i="4"/>
  <c r="N1141" i="4"/>
  <c r="V1141" i="4"/>
  <c r="Q1141" i="4"/>
  <c r="G1141" i="4"/>
  <c r="O1141" i="4"/>
  <c r="W1141" i="4"/>
  <c r="AC1141" i="4"/>
  <c r="H1141" i="4"/>
  <c r="P1141" i="4"/>
  <c r="X1141" i="4"/>
  <c r="I1141" i="4"/>
  <c r="D1141" i="4"/>
  <c r="L1141" i="4"/>
  <c r="T1141" i="4"/>
  <c r="J1141" i="4"/>
  <c r="S1141" i="4"/>
  <c r="K1141" i="4"/>
  <c r="R1141" i="4"/>
  <c r="B1141" i="4"/>
  <c r="M1141" i="4"/>
  <c r="U1141" i="4"/>
  <c r="C1141" i="4"/>
  <c r="AD1141" i="4"/>
  <c r="E1141" i="4"/>
  <c r="A1142" i="4"/>
  <c r="H1141" i="3" l="1"/>
  <c r="I1141" i="3"/>
  <c r="B1141" i="3"/>
  <c r="J1141" i="3"/>
  <c r="F1141" i="3"/>
  <c r="D1141" i="3"/>
  <c r="C1141" i="3"/>
  <c r="G1141" i="3"/>
  <c r="A1142" i="3"/>
  <c r="E1141" i="3"/>
  <c r="B1141" i="2"/>
  <c r="K1141" i="2"/>
  <c r="A1142" i="2"/>
  <c r="C1141" i="2"/>
  <c r="E1141" i="2"/>
  <c r="I1141" i="2"/>
  <c r="G1141" i="2"/>
  <c r="F1141" i="2"/>
  <c r="H1141" i="2"/>
  <c r="J1141" i="2"/>
  <c r="D1142" i="4"/>
  <c r="L1142" i="4"/>
  <c r="T1142" i="4"/>
  <c r="G1142" i="4"/>
  <c r="E1142" i="4"/>
  <c r="M1142" i="4"/>
  <c r="U1142" i="4"/>
  <c r="W1142" i="4"/>
  <c r="F1142" i="4"/>
  <c r="N1142" i="4"/>
  <c r="V1142" i="4"/>
  <c r="O1142" i="4"/>
  <c r="B1142" i="4"/>
  <c r="J1142" i="4"/>
  <c r="R1142" i="4"/>
  <c r="AD1142" i="4"/>
  <c r="C1142" i="4"/>
  <c r="AC1142" i="4"/>
  <c r="Q1142" i="4"/>
  <c r="H1142" i="4"/>
  <c r="A1143" i="4"/>
  <c r="I1142" i="4"/>
  <c r="K1142" i="4"/>
  <c r="P1142" i="4"/>
  <c r="S1142" i="4"/>
  <c r="X1142" i="4"/>
  <c r="E1120" i="5"/>
  <c r="M1120" i="5"/>
  <c r="A1121" i="5"/>
  <c r="F1120" i="5"/>
  <c r="N1120" i="5"/>
  <c r="G1120" i="5"/>
  <c r="O1120" i="5"/>
  <c r="C1120" i="5"/>
  <c r="K1120" i="5"/>
  <c r="S1120" i="5"/>
  <c r="D1120" i="5"/>
  <c r="T1120" i="5"/>
  <c r="I1120" i="5"/>
  <c r="Q1120" i="5"/>
  <c r="L1120" i="5"/>
  <c r="P1120" i="5"/>
  <c r="R1120" i="5"/>
  <c r="J1120" i="5"/>
  <c r="H1120" i="5"/>
  <c r="B1120" i="5"/>
  <c r="I1142" i="2" l="1"/>
  <c r="J1142" i="2"/>
  <c r="B1142" i="2"/>
  <c r="K1142" i="2"/>
  <c r="G1142" i="2"/>
  <c r="E1142" i="2"/>
  <c r="F1142" i="2"/>
  <c r="H1142" i="2"/>
  <c r="A1143" i="2"/>
  <c r="C1142" i="2"/>
  <c r="I1121" i="5"/>
  <c r="Q1121" i="5"/>
  <c r="B1121" i="5"/>
  <c r="J1121" i="5"/>
  <c r="R1121" i="5"/>
  <c r="C1121" i="5"/>
  <c r="K1121" i="5"/>
  <c r="S1121" i="5"/>
  <c r="G1121" i="5"/>
  <c r="O1121" i="5"/>
  <c r="P1121" i="5"/>
  <c r="E1121" i="5"/>
  <c r="A1122" i="5"/>
  <c r="M1121" i="5"/>
  <c r="T1121" i="5"/>
  <c r="F1121" i="5"/>
  <c r="H1121" i="5"/>
  <c r="L1121" i="5"/>
  <c r="N1121" i="5"/>
  <c r="D1121" i="5"/>
  <c r="B1143" i="4"/>
  <c r="J1143" i="4"/>
  <c r="R1143" i="4"/>
  <c r="AD1143" i="4"/>
  <c r="E1143" i="4"/>
  <c r="U1143" i="4"/>
  <c r="C1143" i="4"/>
  <c r="K1143" i="4"/>
  <c r="S1143" i="4"/>
  <c r="A1144" i="4"/>
  <c r="D1143" i="4"/>
  <c r="L1143" i="4"/>
  <c r="T1143" i="4"/>
  <c r="M1143" i="4"/>
  <c r="H1143" i="4"/>
  <c r="P1143" i="4"/>
  <c r="X1143" i="4"/>
  <c r="V1143" i="4"/>
  <c r="W1143" i="4"/>
  <c r="G1143" i="4"/>
  <c r="I1143" i="4"/>
  <c r="N1143" i="4"/>
  <c r="F1143" i="4"/>
  <c r="AC1143" i="4"/>
  <c r="O1143" i="4"/>
  <c r="Q1143" i="4"/>
  <c r="F1142" i="3"/>
  <c r="G1142" i="3"/>
  <c r="H1142" i="3"/>
  <c r="D1142" i="3"/>
  <c r="B1142" i="3"/>
  <c r="C1142" i="3"/>
  <c r="J1142" i="3"/>
  <c r="E1142" i="3"/>
  <c r="I1142" i="3"/>
  <c r="A1143" i="3"/>
  <c r="G1143" i="2" l="1"/>
  <c r="H1143" i="2"/>
  <c r="I1143" i="2"/>
  <c r="E1143" i="2"/>
  <c r="K1143" i="2"/>
  <c r="B1143" i="2"/>
  <c r="F1143" i="2"/>
  <c r="J1143" i="2"/>
  <c r="C1143" i="2"/>
  <c r="H1144" i="4"/>
  <c r="P1144" i="4"/>
  <c r="X1144" i="4"/>
  <c r="S1144" i="4"/>
  <c r="I1144" i="4"/>
  <c r="Q1144" i="4"/>
  <c r="AC1144" i="4"/>
  <c r="C1144" i="4"/>
  <c r="B1144" i="4"/>
  <c r="J1144" i="4"/>
  <c r="R1144" i="4"/>
  <c r="AD1144" i="4"/>
  <c r="K1144" i="4"/>
  <c r="F1144" i="4"/>
  <c r="N1144" i="4"/>
  <c r="V1144" i="4"/>
  <c r="O1144" i="4"/>
  <c r="G1144" i="4"/>
  <c r="T1144" i="4"/>
  <c r="W1144" i="4"/>
  <c r="U1144" i="4"/>
  <c r="D1144" i="4"/>
  <c r="E1144" i="4"/>
  <c r="L1144" i="4"/>
  <c r="M1144" i="4"/>
  <c r="E1122" i="5"/>
  <c r="M1122" i="5"/>
  <c r="A1123" i="5"/>
  <c r="F1122" i="5"/>
  <c r="N1122" i="5"/>
  <c r="G1122" i="5"/>
  <c r="O1122" i="5"/>
  <c r="C1122" i="5"/>
  <c r="K1122" i="5"/>
  <c r="S1122" i="5"/>
  <c r="L1122" i="5"/>
  <c r="Q1122" i="5"/>
  <c r="I1122" i="5"/>
  <c r="B1122" i="5"/>
  <c r="D1122" i="5"/>
  <c r="T1122" i="5"/>
  <c r="P1122" i="5"/>
  <c r="H1122" i="5"/>
  <c r="J1122" i="5"/>
  <c r="R1122" i="5"/>
  <c r="D1143" i="3"/>
  <c r="E1143" i="3"/>
  <c r="F1143" i="3"/>
  <c r="B1143" i="3"/>
  <c r="J1143" i="3"/>
  <c r="H1143" i="3"/>
  <c r="I1143" i="3"/>
  <c r="C1143" i="3"/>
  <c r="G1143" i="3"/>
  <c r="I1123" i="5" l="1"/>
  <c r="Q1123" i="5"/>
  <c r="B1123" i="5"/>
  <c r="J1123" i="5"/>
  <c r="R1123" i="5"/>
  <c r="C1123" i="5"/>
  <c r="K1123" i="5"/>
  <c r="S1123" i="5"/>
  <c r="G1123" i="5"/>
  <c r="O1123" i="5"/>
  <c r="H1123" i="5"/>
  <c r="M1123" i="5"/>
  <c r="E1123" i="5"/>
  <c r="A1124" i="5"/>
  <c r="D1123" i="5"/>
  <c r="F1123" i="5"/>
  <c r="L1123" i="5"/>
  <c r="N1123" i="5"/>
  <c r="P1123" i="5"/>
  <c r="T1123" i="5"/>
  <c r="E1124" i="5" l="1"/>
  <c r="M1124" i="5"/>
  <c r="A1125" i="5"/>
  <c r="F1124" i="5"/>
  <c r="N1124" i="5"/>
  <c r="G1124" i="5"/>
  <c r="O1124" i="5"/>
  <c r="C1124" i="5"/>
  <c r="K1124" i="5"/>
  <c r="S1124" i="5"/>
  <c r="D1124" i="5"/>
  <c r="T1124" i="5"/>
  <c r="I1124" i="5"/>
  <c r="Q1124" i="5"/>
  <c r="J1124" i="5"/>
  <c r="L1124" i="5"/>
  <c r="P1124" i="5"/>
  <c r="R1124" i="5"/>
  <c r="H1124" i="5"/>
  <c r="B1124" i="5"/>
  <c r="I1125" i="5" l="1"/>
  <c r="Q1125" i="5"/>
  <c r="B1125" i="5"/>
  <c r="J1125" i="5"/>
  <c r="R1125" i="5"/>
  <c r="C1125" i="5"/>
  <c r="K1125" i="5"/>
  <c r="S1125" i="5"/>
  <c r="G1125" i="5"/>
  <c r="O1125" i="5"/>
  <c r="P1125" i="5"/>
  <c r="E1125" i="5"/>
  <c r="A1126" i="5"/>
  <c r="M1125" i="5"/>
  <c r="N1125" i="5"/>
  <c r="T1125" i="5"/>
  <c r="F1125" i="5"/>
  <c r="H1125" i="5"/>
  <c r="L1125" i="5"/>
  <c r="D1125" i="5"/>
  <c r="E1126" i="5" l="1"/>
  <c r="M1126" i="5"/>
  <c r="A1127" i="5"/>
  <c r="F1126" i="5"/>
  <c r="N1126" i="5"/>
  <c r="G1126" i="5"/>
  <c r="O1126" i="5"/>
  <c r="C1126" i="5"/>
  <c r="K1126" i="5"/>
  <c r="S1126" i="5"/>
  <c r="L1126" i="5"/>
  <c r="Q1126" i="5"/>
  <c r="I1126" i="5"/>
  <c r="T1126" i="5"/>
  <c r="B1126" i="5"/>
  <c r="P1126" i="5"/>
  <c r="D1126" i="5"/>
  <c r="H1126" i="5"/>
  <c r="J1126" i="5"/>
  <c r="R1126" i="5"/>
  <c r="I1127" i="5" l="1"/>
  <c r="Q1127" i="5"/>
  <c r="B1127" i="5"/>
  <c r="J1127" i="5"/>
  <c r="R1127" i="5"/>
  <c r="C1127" i="5"/>
  <c r="K1127" i="5"/>
  <c r="S1127" i="5"/>
  <c r="G1127" i="5"/>
  <c r="O1127" i="5"/>
  <c r="H1127" i="5"/>
  <c r="M1127" i="5"/>
  <c r="E1127" i="5"/>
  <c r="A1128" i="5"/>
  <c r="D1127" i="5"/>
  <c r="F1127" i="5"/>
  <c r="L1127" i="5"/>
  <c r="N1127" i="5"/>
  <c r="P1127" i="5"/>
  <c r="T1127" i="5"/>
  <c r="E1128" i="5" l="1"/>
  <c r="M1128" i="5"/>
  <c r="A1129" i="5"/>
  <c r="F1128" i="5"/>
  <c r="N1128" i="5"/>
  <c r="G1128" i="5"/>
  <c r="O1128" i="5"/>
  <c r="C1128" i="5"/>
  <c r="K1128" i="5"/>
  <c r="S1128" i="5"/>
  <c r="D1128" i="5"/>
  <c r="T1128" i="5"/>
  <c r="I1128" i="5"/>
  <c r="Q1128" i="5"/>
  <c r="H1128" i="5"/>
  <c r="J1128" i="5"/>
  <c r="L1128" i="5"/>
  <c r="R1128" i="5"/>
  <c r="P1128" i="5"/>
  <c r="B1128" i="5"/>
  <c r="I1129" i="5" l="1"/>
  <c r="Q1129" i="5"/>
  <c r="B1129" i="5"/>
  <c r="J1129" i="5"/>
  <c r="R1129" i="5"/>
  <c r="C1129" i="5"/>
  <c r="K1129" i="5"/>
  <c r="S1129" i="5"/>
  <c r="G1129" i="5"/>
  <c r="O1129" i="5"/>
  <c r="P1129" i="5"/>
  <c r="E1129" i="5"/>
  <c r="A1130" i="5"/>
  <c r="M1129" i="5"/>
  <c r="L1129" i="5"/>
  <c r="N1129" i="5"/>
  <c r="T1129" i="5"/>
  <c r="F1129" i="5"/>
  <c r="H1129" i="5"/>
  <c r="D1129" i="5"/>
  <c r="E1130" i="5" l="1"/>
  <c r="M1130" i="5"/>
  <c r="A1131" i="5"/>
  <c r="F1130" i="5"/>
  <c r="N1130" i="5"/>
  <c r="G1130" i="5"/>
  <c r="O1130" i="5"/>
  <c r="C1130" i="5"/>
  <c r="K1130" i="5"/>
  <c r="S1130" i="5"/>
  <c r="L1130" i="5"/>
  <c r="Q1130" i="5"/>
  <c r="I1130" i="5"/>
  <c r="R1130" i="5"/>
  <c r="T1130" i="5"/>
  <c r="B1130" i="5"/>
  <c r="P1130" i="5"/>
  <c r="D1130" i="5"/>
  <c r="H1130" i="5"/>
  <c r="J1130" i="5"/>
  <c r="I1131" i="5" l="1"/>
  <c r="Q1131" i="5"/>
  <c r="B1131" i="5"/>
  <c r="J1131" i="5"/>
  <c r="R1131" i="5"/>
  <c r="C1131" i="5"/>
  <c r="K1131" i="5"/>
  <c r="S1131" i="5"/>
  <c r="G1131" i="5"/>
  <c r="O1131" i="5"/>
  <c r="H1131" i="5"/>
  <c r="M1131" i="5"/>
  <c r="E1131" i="5"/>
  <c r="A1132" i="5"/>
  <c r="D1131" i="5"/>
  <c r="L1131" i="5"/>
  <c r="N1131" i="5"/>
  <c r="P1131" i="5"/>
  <c r="T1131" i="5"/>
  <c r="F1131" i="5"/>
  <c r="E1132" i="5" l="1"/>
  <c r="M1132" i="5"/>
  <c r="A1133" i="5"/>
  <c r="F1132" i="5"/>
  <c r="N1132" i="5"/>
  <c r="G1132" i="5"/>
  <c r="O1132" i="5"/>
  <c r="C1132" i="5"/>
  <c r="K1132" i="5"/>
  <c r="S1132" i="5"/>
  <c r="D1132" i="5"/>
  <c r="T1132" i="5"/>
  <c r="I1132" i="5"/>
  <c r="Q1132" i="5"/>
  <c r="B1132" i="5"/>
  <c r="H1132" i="5"/>
  <c r="J1132" i="5"/>
  <c r="R1132" i="5"/>
  <c r="P1132" i="5"/>
  <c r="L1132" i="5"/>
  <c r="I1133" i="5" l="1"/>
  <c r="Q1133" i="5"/>
  <c r="B1133" i="5"/>
  <c r="J1133" i="5"/>
  <c r="R1133" i="5"/>
  <c r="C1133" i="5"/>
  <c r="K1133" i="5"/>
  <c r="S1133" i="5"/>
  <c r="G1133" i="5"/>
  <c r="O1133" i="5"/>
  <c r="P1133" i="5"/>
  <c r="E1133" i="5"/>
  <c r="A1134" i="5"/>
  <c r="M1133" i="5"/>
  <c r="H1133" i="5"/>
  <c r="L1133" i="5"/>
  <c r="N1133" i="5"/>
  <c r="F1133" i="5"/>
  <c r="T1133" i="5"/>
  <c r="D1133" i="5"/>
  <c r="E1134" i="5" l="1"/>
  <c r="M1134" i="5"/>
  <c r="A1135" i="5"/>
  <c r="F1134" i="5"/>
  <c r="N1134" i="5"/>
  <c r="G1134" i="5"/>
  <c r="O1134" i="5"/>
  <c r="C1134" i="5"/>
  <c r="K1134" i="5"/>
  <c r="S1134" i="5"/>
  <c r="L1134" i="5"/>
  <c r="Q1134" i="5"/>
  <c r="I1134" i="5"/>
  <c r="P1134" i="5"/>
  <c r="R1134" i="5"/>
  <c r="T1134" i="5"/>
  <c r="B1134" i="5"/>
  <c r="D1134" i="5"/>
  <c r="H1134" i="5"/>
  <c r="J1134" i="5"/>
  <c r="I1135" i="5" l="1"/>
  <c r="Q1135" i="5"/>
  <c r="B1135" i="5"/>
  <c r="J1135" i="5"/>
  <c r="R1135" i="5"/>
  <c r="C1135" i="5"/>
  <c r="K1135" i="5"/>
  <c r="S1135" i="5"/>
  <c r="G1135" i="5"/>
  <c r="O1135" i="5"/>
  <c r="H1135" i="5"/>
  <c r="M1135" i="5"/>
  <c r="E1135" i="5"/>
  <c r="A1136" i="5"/>
  <c r="T1135" i="5"/>
  <c r="L1135" i="5"/>
  <c r="N1135" i="5"/>
  <c r="P1135" i="5"/>
  <c r="D1135" i="5"/>
  <c r="F1135" i="5"/>
  <c r="E1136" i="5" l="1"/>
  <c r="M1136" i="5"/>
  <c r="A1137" i="5"/>
  <c r="F1136" i="5"/>
  <c r="N1136" i="5"/>
  <c r="G1136" i="5"/>
  <c r="O1136" i="5"/>
  <c r="C1136" i="5"/>
  <c r="K1136" i="5"/>
  <c r="S1136" i="5"/>
  <c r="D1136" i="5"/>
  <c r="T1136" i="5"/>
  <c r="I1136" i="5"/>
  <c r="Q1136" i="5"/>
  <c r="B1136" i="5"/>
  <c r="H1136" i="5"/>
  <c r="R1136" i="5"/>
  <c r="P1136" i="5"/>
  <c r="J1136" i="5"/>
  <c r="L1136" i="5"/>
  <c r="I1137" i="5" l="1"/>
  <c r="Q1137" i="5"/>
  <c r="B1137" i="5"/>
  <c r="J1137" i="5"/>
  <c r="R1137" i="5"/>
  <c r="C1137" i="5"/>
  <c r="K1137" i="5"/>
  <c r="S1137" i="5"/>
  <c r="G1137" i="5"/>
  <c r="O1137" i="5"/>
  <c r="P1137" i="5"/>
  <c r="E1137" i="5"/>
  <c r="A1138" i="5"/>
  <c r="M1137" i="5"/>
  <c r="F1137" i="5"/>
  <c r="H1137" i="5"/>
  <c r="L1137" i="5"/>
  <c r="N1137" i="5"/>
  <c r="T1137" i="5"/>
  <c r="D1137" i="5"/>
  <c r="E1138" i="5" l="1"/>
  <c r="M1138" i="5"/>
  <c r="A1139" i="5"/>
  <c r="F1138" i="5"/>
  <c r="N1138" i="5"/>
  <c r="G1138" i="5"/>
  <c r="O1138" i="5"/>
  <c r="C1138" i="5"/>
  <c r="K1138" i="5"/>
  <c r="S1138" i="5"/>
  <c r="L1138" i="5"/>
  <c r="Q1138" i="5"/>
  <c r="I1138" i="5"/>
  <c r="J1138" i="5"/>
  <c r="P1138" i="5"/>
  <c r="R1138" i="5"/>
  <c r="B1138" i="5"/>
  <c r="D1138" i="5"/>
  <c r="H1138" i="5"/>
  <c r="T1138" i="5"/>
  <c r="I1139" i="5" l="1"/>
  <c r="Q1139" i="5"/>
  <c r="B1139" i="5"/>
  <c r="J1139" i="5"/>
  <c r="R1139" i="5"/>
  <c r="C1139" i="5"/>
  <c r="K1139" i="5"/>
  <c r="S1139" i="5"/>
  <c r="G1139" i="5"/>
  <c r="O1139" i="5"/>
  <c r="H1139" i="5"/>
  <c r="M1139" i="5"/>
  <c r="E1139" i="5"/>
  <c r="A1140" i="5"/>
  <c r="P1139" i="5"/>
  <c r="T1139" i="5"/>
  <c r="L1139" i="5"/>
  <c r="N1139" i="5"/>
  <c r="D1139" i="5"/>
  <c r="F1139" i="5"/>
  <c r="E1140" i="5" l="1"/>
  <c r="M1140" i="5"/>
  <c r="A1141" i="5"/>
  <c r="F1140" i="5"/>
  <c r="N1140" i="5"/>
  <c r="G1140" i="5"/>
  <c r="O1140" i="5"/>
  <c r="C1140" i="5"/>
  <c r="K1140" i="5"/>
  <c r="S1140" i="5"/>
  <c r="D1140" i="5"/>
  <c r="T1140" i="5"/>
  <c r="I1140" i="5"/>
  <c r="Q1140" i="5"/>
  <c r="B1140" i="5"/>
  <c r="H1140" i="5"/>
  <c r="R1140" i="5"/>
  <c r="P1140" i="5"/>
  <c r="J1140" i="5"/>
  <c r="L1140" i="5"/>
  <c r="I1141" i="5" l="1"/>
  <c r="Q1141" i="5"/>
  <c r="B1141" i="5"/>
  <c r="J1141" i="5"/>
  <c r="R1141" i="5"/>
  <c r="C1141" i="5"/>
  <c r="K1141" i="5"/>
  <c r="S1141" i="5"/>
  <c r="G1141" i="5"/>
  <c r="O1141" i="5"/>
  <c r="P1141" i="5"/>
  <c r="E1141" i="5"/>
  <c r="A1142" i="5"/>
  <c r="M1141" i="5"/>
  <c r="D1141" i="5"/>
  <c r="F1141" i="5"/>
  <c r="H1141" i="5"/>
  <c r="N1141" i="5"/>
  <c r="T1141" i="5"/>
  <c r="L1141" i="5"/>
  <c r="E1142" i="5" l="1"/>
  <c r="M1142" i="5"/>
  <c r="A1143" i="5"/>
  <c r="F1142" i="5"/>
  <c r="N1142" i="5"/>
  <c r="G1142" i="5"/>
  <c r="O1142" i="5"/>
  <c r="C1142" i="5"/>
  <c r="K1142" i="5"/>
  <c r="S1142" i="5"/>
  <c r="L1142" i="5"/>
  <c r="Q1142" i="5"/>
  <c r="I1142" i="5"/>
  <c r="H1142" i="5"/>
  <c r="J1142" i="5"/>
  <c r="P1142" i="5"/>
  <c r="B1142" i="5"/>
  <c r="D1142" i="5"/>
  <c r="R1142" i="5"/>
  <c r="T1142" i="5"/>
  <c r="I1143" i="5" l="1"/>
  <c r="Q1143" i="5"/>
  <c r="B1143" i="5"/>
  <c r="J1143" i="5"/>
  <c r="R1143" i="5"/>
  <c r="C1143" i="5"/>
  <c r="K1143" i="5"/>
  <c r="S1143" i="5"/>
  <c r="G1143" i="5"/>
  <c r="O1143" i="5"/>
  <c r="H1143" i="5"/>
  <c r="M1143" i="5"/>
  <c r="E1143" i="5"/>
  <c r="N1143" i="5"/>
  <c r="P1143" i="5"/>
  <c r="T1143" i="5"/>
  <c r="L1143" i="5"/>
  <c r="D1143" i="5"/>
  <c r="F1143" i="5"/>
</calcChain>
</file>

<file path=xl/sharedStrings.xml><?xml version="1.0" encoding="utf-8"?>
<sst xmlns="http://schemas.openxmlformats.org/spreadsheetml/2006/main" count="256" uniqueCount="104">
  <si>
    <t>WITHOUT NOx</t>
  </si>
  <si>
    <t>WITH NOx</t>
  </si>
  <si>
    <t>Selection</t>
  </si>
  <si>
    <t>Natural Gas</t>
  </si>
  <si>
    <t>WITHOUT SO2 &amp; NOx</t>
  </si>
  <si>
    <t>WITH SO2 &amp; NOx</t>
  </si>
  <si>
    <t>Heavy Oil SO2</t>
  </si>
  <si>
    <t>HIGH PRICES</t>
  </si>
  <si>
    <t>MEDIUM PRICES</t>
  </si>
  <si>
    <t>LOW PRICES</t>
  </si>
  <si>
    <t>Coal</t>
  </si>
  <si>
    <t>Light Oil SO2</t>
  </si>
  <si>
    <t>Heavy Oil</t>
  </si>
  <si>
    <t>Light Oil</t>
  </si>
  <si>
    <t>$/MMBTU</t>
  </si>
  <si>
    <t>MONTH</t>
  </si>
  <si>
    <t>RIVIERA</t>
  </si>
  <si>
    <t>CANAVERAL</t>
  </si>
  <si>
    <t>MARTIN</t>
  </si>
  <si>
    <t>PUTNAM</t>
  </si>
  <si>
    <t>FT MYERS</t>
  </si>
  <si>
    <t>LAUDERDALE</t>
  </si>
  <si>
    <t>PORT EVERGLADES</t>
  </si>
  <si>
    <t>OLEANDER</t>
  </si>
  <si>
    <t>WCEC</t>
  </si>
  <si>
    <t>TURKEY POINT</t>
  </si>
  <si>
    <t>HIGH</t>
  </si>
  <si>
    <t>LOW</t>
  </si>
  <si>
    <t>May 05, 2014 - LYSTRA LOUTAN</t>
  </si>
  <si>
    <t>$/BBL.</t>
  </si>
  <si>
    <t>WTI</t>
  </si>
  <si>
    <t>RIVIERA 1%</t>
  </si>
  <si>
    <t>SANFORD 1%</t>
  </si>
  <si>
    <t>INDIAN RIVER &amp; CANAVERAL 1%</t>
  </si>
  <si>
    <r>
      <t>TURKEY POINT 1%</t>
    </r>
    <r>
      <rPr>
        <b/>
        <sz val="14"/>
        <rFont val="Arial"/>
        <family val="2"/>
      </rPr>
      <t>/</t>
    </r>
    <r>
      <rPr>
        <b/>
        <sz val="14"/>
        <color indexed="17"/>
        <rFont val="Arial"/>
        <family val="2"/>
      </rPr>
      <t>0.7%</t>
    </r>
  </si>
  <si>
    <t>MANATEE 1%/0.7%</t>
  </si>
  <si>
    <t>PORT EVERGLADES 1%</t>
  </si>
  <si>
    <t>MARTIN 1%</t>
  </si>
  <si>
    <t>MARTIN 0.7%</t>
  </si>
  <si>
    <t>MM$</t>
  </si>
  <si>
    <t>WEIGHTED AVERAGE GULFSTREAM FIRM</t>
  </si>
  <si>
    <t>WEIGHTED AVERAGE FGT FIRM</t>
  </si>
  <si>
    <t>UPS REPLACEMENT SUNK DEMAND CHARGE</t>
  </si>
  <si>
    <t>UPS REPLACEMENT DISPATCH PRICE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</si>
  <si>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</si>
  <si>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</si>
  <si>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</si>
  <si>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</si>
  <si>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</si>
  <si>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</si>
  <si>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</si>
  <si>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HENRY HUB</t>
  </si>
  <si>
    <t>GULFSTREAM NON-FIRM BACKHAUL</t>
  </si>
  <si>
    <t>GULFSTREAM NON-FIRM</t>
  </si>
  <si>
    <r>
      <t xml:space="preserve">GULFSTREAM FIRM </t>
    </r>
    <r>
      <rPr>
        <b/>
        <sz val="12"/>
        <color indexed="10"/>
        <rFont val="Arial"/>
        <family val="2"/>
      </rPr>
      <t>TRANSNCO 4A</t>
    </r>
    <r>
      <rPr>
        <b/>
        <sz val="12"/>
        <rFont val="Arial"/>
        <family val="2"/>
      </rPr>
      <t xml:space="preserve"> VOLUMES</t>
    </r>
  </si>
  <si>
    <t>GULFSTREAM FIRM CONTRACTUAL DISPATCH PRICE</t>
  </si>
  <si>
    <r>
      <t xml:space="preserve">GULFSTREAM FIRM </t>
    </r>
    <r>
      <rPr>
        <b/>
        <sz val="12"/>
        <color indexed="12"/>
        <rFont val="Arial"/>
        <family val="2"/>
      </rPr>
      <t xml:space="preserve">GULF SOUTH </t>
    </r>
    <r>
      <rPr>
        <b/>
        <sz val="12"/>
        <rFont val="Arial"/>
        <family val="2"/>
      </rPr>
      <t>DISPATCH PRICE</t>
    </r>
  </si>
  <si>
    <r>
      <t xml:space="preserve">GULFSTREAM FIRM </t>
    </r>
    <r>
      <rPr>
        <b/>
        <sz val="12"/>
        <color indexed="17"/>
        <rFont val="Arial"/>
        <family val="2"/>
      </rPr>
      <t>SESH</t>
    </r>
    <r>
      <rPr>
        <b/>
        <sz val="12"/>
        <rFont val="Arial"/>
        <family val="2"/>
      </rPr>
      <t xml:space="preserve"> DISPATCH PRICE</t>
    </r>
  </si>
  <si>
    <t>FGT NON-FIRM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</si>
  <si>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</si>
  <si>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r>
      <t xml:space="preserve">PHASE VIII FGT FIRM FROM </t>
    </r>
    <r>
      <rPr>
        <b/>
        <sz val="12"/>
        <color indexed="17"/>
        <rFont val="Arial"/>
        <family val="2"/>
      </rPr>
      <t>SESH</t>
    </r>
  </si>
  <si>
    <r>
      <t xml:space="preserve">PHASE VIII FGT FIRM FROM </t>
    </r>
    <r>
      <rPr>
        <b/>
        <sz val="12"/>
        <color indexed="10"/>
        <rFont val="Arial"/>
        <family val="2"/>
      </rPr>
      <t>TRANSCO 4A</t>
    </r>
  </si>
  <si>
    <t>PHASE VIII ZONE 3 MOBILE BAY/DESTIN FGT FIRM</t>
  </si>
  <si>
    <r>
      <t xml:space="preserve">ZONE 3 MOBILE BAY/DESTIN FGT FIRM </t>
    </r>
    <r>
      <rPr>
        <b/>
        <sz val="12"/>
        <color indexed="12"/>
        <rFont val="Arial"/>
        <family val="2"/>
      </rPr>
      <t>GULF SOUTH</t>
    </r>
  </si>
  <si>
    <r>
      <t xml:space="preserve">ZONE 3 MOBILE BAY/DESTIN FGT FIRM </t>
    </r>
    <r>
      <rPr>
        <b/>
        <sz val="12"/>
        <color indexed="17"/>
        <rFont val="Arial"/>
        <family val="2"/>
      </rPr>
      <t>SESH</t>
    </r>
  </si>
  <si>
    <t>ZONE 3 MOBILE BAY/DESTIN FGT FIRM</t>
  </si>
  <si>
    <t>ZONE 3 FGT FIRM</t>
  </si>
  <si>
    <t>ZONE 2 FGT FIRM</t>
  </si>
  <si>
    <t>ZONE 1 FGT FIRM</t>
  </si>
  <si>
    <t>ESTMATED SUNK DEMAND CHARGE(S) FOR THE NEW PIPELINE WILL BE PROVIDED UPON REQUEST</t>
  </si>
  <si>
    <t>FIRM TRANSPORT AND STORAGE CONTRACTS THROUGH FGT PHASE VIII</t>
  </si>
  <si>
    <t>SUNK DEMAND CHARGE FOR ALL CURRENT</t>
  </si>
  <si>
    <t>MMCF/DAY</t>
  </si>
  <si>
    <t>DAYS</t>
  </si>
  <si>
    <t>GULFSTREAM NON-FIRM &amp; NON-FIRM BACKHAUL</t>
  </si>
  <si>
    <t>TOTAL GULFSTREAM FIRM</t>
  </si>
  <si>
    <r>
      <t xml:space="preserve">GULFSTREAM FIRN </t>
    </r>
    <r>
      <rPr>
        <b/>
        <sz val="12"/>
        <color indexed="10"/>
        <rFont val="Arial"/>
        <family val="2"/>
      </rPr>
      <t>TRANSNCO 4A</t>
    </r>
    <r>
      <rPr>
        <b/>
        <sz val="12"/>
        <rFont val="Arial"/>
        <family val="2"/>
      </rPr>
      <t xml:space="preserve"> VOLUMES</t>
    </r>
  </si>
  <si>
    <t>GULFSTREAM FIRM CONTRACTUAL BALANCE</t>
  </si>
  <si>
    <r>
      <t xml:space="preserve">GULFSTREAM FIRM </t>
    </r>
    <r>
      <rPr>
        <b/>
        <sz val="12"/>
        <color indexed="12"/>
        <rFont val="Arial"/>
        <family val="2"/>
      </rPr>
      <t>GULF SOUTH</t>
    </r>
    <r>
      <rPr>
        <b/>
        <sz val="12"/>
        <rFont val="Arial"/>
        <family val="2"/>
      </rPr>
      <t xml:space="preserve"> VOLUMES</t>
    </r>
  </si>
  <si>
    <r>
      <t xml:space="preserve">GULFSTREAM FIRM </t>
    </r>
    <r>
      <rPr>
        <b/>
        <sz val="12"/>
        <color indexed="17"/>
        <rFont val="Arial"/>
        <family val="2"/>
      </rPr>
      <t>SESH</t>
    </r>
    <r>
      <rPr>
        <b/>
        <sz val="12"/>
        <rFont val="Arial"/>
        <family val="2"/>
      </rPr>
      <t xml:space="preserve"> VOLUMES</t>
    </r>
  </si>
  <si>
    <t>SABAL TRAIL PIPELINE</t>
  </si>
  <si>
    <t>TOTAL FGT FIRM</t>
  </si>
  <si>
    <t>PHASE VIII FTS 3</t>
  </si>
  <si>
    <t>FGT FIRM BY ZONE</t>
  </si>
  <si>
    <t>DISPATCH PRICE WITH SO2 &amp; NOx</t>
  </si>
  <si>
    <t>DISPATCH PRICE WITHOUT SO2 &amp; NOx</t>
  </si>
  <si>
    <t>WEIGHTED AVERAGE WITH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</si>
  <si>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</si>
  <si>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</si>
  <si>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</si>
  <si>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</si>
  <si>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</si>
  <si>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</si>
  <si>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Florida Power &amp; Light Company</t>
  </si>
  <si>
    <t>Docket No. 160154-EI</t>
  </si>
  <si>
    <t>Staff's First Set of Interrogatories</t>
  </si>
  <si>
    <t>Interrogatory No. 2</t>
  </si>
  <si>
    <t>Tab 1 of 6</t>
  </si>
  <si>
    <t>Attachment No. 28</t>
  </si>
  <si>
    <t>Tab 2 of 6</t>
  </si>
  <si>
    <t>Tab 3 of 6</t>
  </si>
  <si>
    <t>Tab 4 of 6</t>
  </si>
  <si>
    <t>Tab 5 of 6</t>
  </si>
  <si>
    <t>Tab 6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</si>
</sst>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[$-409]mmm\-yy;@"/>
    <numFmt numFmtId="168" formatCode="&quot;$&quot;#,##0.0"/>
    <numFmt numFmtId="169" formatCode="&quot;$&quot;#,##0.0_);[Red]\(&quot;$&quot;#,##0.0\)"/>
    <numFmt numFmtId="170" formatCode="0.0"/>
  </numFmts>
  <fonts count="21">
    <font>
      <sz val="12"/>
      <name val="Helv"/>
    </font>
    <font>
      <sz val="11"/>
      <color theme="1"/>
      <name val="Calibri"/>
      <family val="2"/>
      <scheme val="minor"/>
    </font>
    <font>
      <sz val="12"/>
      <name val="Helv"/>
    </font>
    <font>
      <sz val="12"/>
      <color indexed="12"/>
      <name val="Helv"/>
    </font>
    <font>
      <b/>
      <sz val="12"/>
      <name val="Helv"/>
    </font>
    <font>
      <sz val="10"/>
      <name val="Arial"/>
      <family val="2"/>
    </font>
    <font>
      <sz val="9"/>
      <name val="Geneva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indexed="17"/>
      <name val="Arial"/>
      <family val="2"/>
    </font>
    <font>
      <b/>
      <sz val="12"/>
      <color theme="5" tint="-0.249977111117893"/>
      <name val="Arial"/>
      <family val="2"/>
    </font>
    <font>
      <b/>
      <sz val="16"/>
      <color rgb="FFFF0000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31">
    <xf numFmtId="164" fontId="0" fillId="0" borderId="0">
      <alignment horizontal="left" wrapText="1"/>
    </xf>
    <xf numFmtId="44" fontId="5" fillId="0" borderId="0" applyFont="0" applyFill="0" applyBorder="0" applyAlignment="0" applyProtection="0"/>
    <xf numFmtId="0" fontId="2" fillId="0" borderId="0"/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164" fontId="5" fillId="0" borderId="0">
      <alignment horizontal="left" wrapText="1"/>
    </xf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2" fillId="0" borderId="0"/>
    <xf numFmtId="0" fontId="5" fillId="0" borderId="0"/>
  </cellStyleXfs>
  <cellXfs count="114">
    <xf numFmtId="164" fontId="0" fillId="0" borderId="0" xfId="0">
      <alignment horizontal="left" wrapText="1"/>
    </xf>
    <xf numFmtId="165" fontId="0" fillId="0" borderId="0" xfId="0" applyNumberFormat="1" applyAlignment="1"/>
    <xf numFmtId="165" fontId="3" fillId="0" borderId="1" xfId="0" quotePrefix="1" applyNumberFormat="1" applyFont="1" applyBorder="1" applyAlignment="1">
      <alignment horizontal="left"/>
    </xf>
    <xf numFmtId="165" fontId="3" fillId="0" borderId="3" xfId="0" quotePrefix="1" applyNumberFormat="1" applyFont="1" applyBorder="1" applyAlignment="1">
      <alignment horizontal="left"/>
    </xf>
    <xf numFmtId="165" fontId="4" fillId="0" borderId="4" xfId="0" applyNumberFormat="1" applyFont="1" applyBorder="1" applyAlignment="1"/>
    <xf numFmtId="165" fontId="3" fillId="0" borderId="1" xfId="0" applyNumberFormat="1" applyFont="1" applyBorder="1" applyAlignment="1"/>
    <xf numFmtId="165" fontId="3" fillId="0" borderId="3" xfId="0" applyNumberFormat="1" applyFont="1" applyBorder="1" applyAlignment="1"/>
    <xf numFmtId="165" fontId="4" fillId="0" borderId="4" xfId="0" quotePrefix="1" applyNumberFormat="1" applyFont="1" applyBorder="1" applyAlignment="1">
      <alignment horizontal="left"/>
    </xf>
    <xf numFmtId="0" fontId="5" fillId="0" borderId="0" xfId="30"/>
    <xf numFmtId="0" fontId="5" fillId="0" borderId="0" xfId="30" applyAlignment="1">
      <alignment horizontal="center"/>
    </xf>
    <xf numFmtId="166" fontId="7" fillId="0" borderId="0" xfId="3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0" xfId="0" applyNumberFormat="1" applyFont="1" applyAlignment="1"/>
    <xf numFmtId="17" fontId="2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167" fontId="7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8" fontId="5" fillId="0" borderId="0" xfId="30" applyNumberFormat="1"/>
    <xf numFmtId="0" fontId="5" fillId="0" borderId="0" xfId="30" applyAlignment="1">
      <alignment horizontal="center" wrapText="1"/>
    </xf>
    <xf numFmtId="0" fontId="8" fillId="0" borderId="0" xfId="30" applyFont="1" applyAlignment="1">
      <alignment horizontal="center" wrapText="1"/>
    </xf>
    <xf numFmtId="0" fontId="9" fillId="0" borderId="0" xfId="30" applyFont="1" applyAlignment="1">
      <alignment horizontal="center" wrapText="1"/>
    </xf>
    <xf numFmtId="0" fontId="8" fillId="0" borderId="0" xfId="30" quotePrefix="1" applyFont="1" applyAlignment="1">
      <alignment horizontal="center" wrapText="1"/>
    </xf>
    <xf numFmtId="10" fontId="10" fillId="2" borderId="0" xfId="30" applyNumberFormat="1" applyFont="1" applyFill="1" applyAlignment="1">
      <alignment horizontal="center"/>
    </xf>
    <xf numFmtId="0" fontId="8" fillId="2" borderId="0" xfId="30" applyFont="1" applyFill="1" applyAlignment="1">
      <alignment horizontal="center"/>
    </xf>
    <xf numFmtId="166" fontId="8" fillId="0" borderId="0" xfId="30" applyNumberFormat="1" applyFont="1" applyFill="1" applyAlignment="1">
      <alignment horizontal="center"/>
    </xf>
    <xf numFmtId="15" fontId="8" fillId="0" borderId="0" xfId="30" applyNumberFormat="1" applyFont="1" applyAlignment="1">
      <alignment horizontal="left"/>
    </xf>
    <xf numFmtId="8" fontId="7" fillId="0" borderId="0" xfId="30" applyNumberFormat="1" applyFont="1" applyAlignment="1">
      <alignment horizontal="center"/>
    </xf>
    <xf numFmtId="166" fontId="7" fillId="4" borderId="0" xfId="30" applyNumberFormat="1" applyFont="1" applyFill="1" applyAlignment="1">
      <alignment horizontal="center"/>
    </xf>
    <xf numFmtId="166" fontId="7" fillId="5" borderId="0" xfId="30" applyNumberFormat="1" applyFont="1" applyFill="1" applyAlignment="1">
      <alignment horizontal="center"/>
    </xf>
    <xf numFmtId="8" fontId="7" fillId="6" borderId="0" xfId="30" applyNumberFormat="1" applyFont="1" applyFill="1" applyAlignment="1">
      <alignment horizontal="center"/>
    </xf>
    <xf numFmtId="15" fontId="8" fillId="0" borderId="0" xfId="30" applyNumberFormat="1" applyFont="1" applyFill="1" applyAlignment="1">
      <alignment horizontal="left"/>
    </xf>
    <xf numFmtId="0" fontId="5" fillId="0" borderId="0" xfId="30" applyFill="1" applyAlignment="1">
      <alignment horizontal="center"/>
    </xf>
    <xf numFmtId="168" fontId="7" fillId="0" borderId="0" xfId="30" applyNumberFormat="1" applyFont="1" applyAlignment="1">
      <alignment horizontal="center"/>
    </xf>
    <xf numFmtId="166" fontId="7" fillId="7" borderId="0" xfId="30" applyNumberFormat="1" applyFont="1" applyFill="1" applyAlignment="1">
      <alignment horizontal="center"/>
    </xf>
    <xf numFmtId="168" fontId="5" fillId="0" borderId="0" xfId="30" applyNumberFormat="1"/>
    <xf numFmtId="166" fontId="5" fillId="0" borderId="0" xfId="30" applyNumberFormat="1"/>
    <xf numFmtId="168" fontId="7" fillId="0" borderId="0" xfId="30" applyNumberFormat="1" applyFont="1"/>
    <xf numFmtId="166" fontId="7" fillId="0" borderId="0" xfId="30" applyNumberFormat="1" applyFont="1"/>
    <xf numFmtId="169" fontId="7" fillId="0" borderId="0" xfId="30" applyNumberFormat="1" applyFont="1" applyAlignment="1">
      <alignment horizontal="center"/>
    </xf>
    <xf numFmtId="168" fontId="13" fillId="0" borderId="0" xfId="30" applyNumberFormat="1" applyFont="1" applyAlignment="1">
      <alignment horizontal="center"/>
    </xf>
    <xf numFmtId="168" fontId="13" fillId="8" borderId="0" xfId="30" applyNumberFormat="1" applyFont="1" applyFill="1" applyAlignment="1">
      <alignment horizontal="center"/>
    </xf>
    <xf numFmtId="169" fontId="7" fillId="9" borderId="0" xfId="30" applyNumberFormat="1" applyFont="1" applyFill="1" applyAlignment="1">
      <alignment horizontal="center"/>
    </xf>
    <xf numFmtId="168" fontId="13" fillId="10" borderId="0" xfId="30" applyNumberFormat="1" applyFont="1" applyFill="1" applyAlignment="1">
      <alignment horizontal="center"/>
    </xf>
    <xf numFmtId="168" fontId="13" fillId="11" borderId="0" xfId="30" applyNumberFormat="1" applyFont="1" applyFill="1" applyAlignment="1">
      <alignment horizontal="center"/>
    </xf>
    <xf numFmtId="168" fontId="13" fillId="12" borderId="0" xfId="30" applyNumberFormat="1" applyFont="1" applyFill="1" applyAlignment="1">
      <alignment horizontal="center"/>
    </xf>
    <xf numFmtId="168" fontId="13" fillId="13" borderId="0" xfId="30" applyNumberFormat="1" applyFont="1" applyFill="1" applyAlignment="1">
      <alignment horizontal="center"/>
    </xf>
    <xf numFmtId="0" fontId="8" fillId="4" borderId="0" xfId="30" applyFont="1" applyFill="1" applyAlignment="1">
      <alignment horizontal="center" wrapText="1"/>
    </xf>
    <xf numFmtId="0" fontId="8" fillId="7" borderId="0" xfId="30" applyFont="1" applyFill="1" applyAlignment="1">
      <alignment horizontal="center" wrapText="1"/>
    </xf>
    <xf numFmtId="0" fontId="8" fillId="4" borderId="0" xfId="30" quotePrefix="1" applyFont="1" applyFill="1" applyAlignment="1">
      <alignment horizontal="center" wrapText="1"/>
    </xf>
    <xf numFmtId="0" fontId="8" fillId="3" borderId="0" xfId="30" quotePrefix="1" applyFont="1" applyFill="1" applyAlignment="1">
      <alignment horizontal="center" wrapText="1"/>
    </xf>
    <xf numFmtId="0" fontId="8" fillId="7" borderId="0" xfId="30" quotePrefix="1" applyFont="1" applyFill="1" applyAlignment="1">
      <alignment horizontal="center" wrapText="1"/>
    </xf>
    <xf numFmtId="0" fontId="8" fillId="0" borderId="0" xfId="30" applyFont="1" applyAlignment="1">
      <alignment horizontal="center"/>
    </xf>
    <xf numFmtId="10" fontId="8" fillId="0" borderId="0" xfId="30" applyNumberFormat="1" applyFont="1" applyFill="1" applyAlignment="1">
      <alignment horizontal="center"/>
    </xf>
    <xf numFmtId="0" fontId="8" fillId="0" borderId="0" xfId="30" applyFont="1" applyFill="1" applyAlignment="1">
      <alignment horizontal="center"/>
    </xf>
    <xf numFmtId="10" fontId="8" fillId="2" borderId="0" xfId="30" applyNumberFormat="1" applyFont="1" applyFill="1" applyAlignment="1">
      <alignment horizontal="center"/>
    </xf>
    <xf numFmtId="0" fontId="8" fillId="0" borderId="0" xfId="30" quotePrefix="1" applyFont="1" applyAlignment="1">
      <alignment horizontal="center"/>
    </xf>
    <xf numFmtId="1" fontId="7" fillId="0" borderId="0" xfId="30" applyNumberFormat="1" applyFont="1" applyAlignment="1">
      <alignment horizontal="center"/>
    </xf>
    <xf numFmtId="1" fontId="5" fillId="0" borderId="0" xfId="30" applyNumberFormat="1" applyAlignment="1">
      <alignment horizontal="center"/>
    </xf>
    <xf numFmtId="1" fontId="7" fillId="14" borderId="0" xfId="30" applyNumberFormat="1" applyFont="1" applyFill="1" applyAlignment="1">
      <alignment horizontal="center"/>
    </xf>
    <xf numFmtId="1" fontId="7" fillId="0" borderId="0" xfId="30" applyNumberFormat="1" applyFont="1" applyFill="1" applyAlignment="1">
      <alignment horizontal="center"/>
    </xf>
    <xf numFmtId="3" fontId="7" fillId="0" borderId="0" xfId="30" applyNumberFormat="1" applyFont="1" applyAlignment="1">
      <alignment horizontal="center"/>
    </xf>
    <xf numFmtId="3" fontId="7" fillId="0" borderId="0" xfId="30" applyNumberFormat="1" applyFont="1" applyFill="1" applyAlignment="1">
      <alignment horizontal="center"/>
    </xf>
    <xf numFmtId="3" fontId="7" fillId="14" borderId="0" xfId="30" applyNumberFormat="1" applyFont="1" applyFill="1" applyAlignment="1">
      <alignment horizontal="center"/>
    </xf>
    <xf numFmtId="170" fontId="8" fillId="9" borderId="0" xfId="3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1" fontId="7" fillId="0" borderId="0" xfId="0" applyNumberFormat="1" applyFont="1" applyAlignment="1"/>
    <xf numFmtId="1" fontId="8" fillId="9" borderId="0" xfId="3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9" borderId="0" xfId="30" applyNumberFormat="1" applyFont="1" applyFill="1" applyAlignment="1">
      <alignment horizontal="center"/>
    </xf>
    <xf numFmtId="0" fontId="9" fillId="9" borderId="0" xfId="30" applyFont="1" applyFill="1" applyAlignment="1">
      <alignment horizontal="center" wrapText="1"/>
    </xf>
    <xf numFmtId="0" fontId="8" fillId="3" borderId="0" xfId="30" applyFont="1" applyFill="1" applyAlignment="1">
      <alignment horizontal="center" wrapText="1"/>
    </xf>
    <xf numFmtId="0" fontId="8" fillId="9" borderId="0" xfId="30" applyFont="1" applyFill="1" applyAlignment="1">
      <alignment horizontal="center" wrapText="1"/>
    </xf>
    <xf numFmtId="0" fontId="7" fillId="0" borderId="0" xfId="30" applyFont="1" applyAlignment="1">
      <alignment horizontal="center" wrapText="1"/>
    </xf>
    <xf numFmtId="0" fontId="8" fillId="0" borderId="0" xfId="30" quotePrefix="1" applyFont="1" applyFill="1" applyAlignment="1">
      <alignment horizontal="center"/>
    </xf>
    <xf numFmtId="0" fontId="8" fillId="0" borderId="0" xfId="30" applyFont="1" applyFill="1" applyAlignment="1"/>
    <xf numFmtId="0" fontId="8" fillId="15" borderId="0" xfId="30" applyFont="1" applyFill="1" applyAlignment="1">
      <alignment horizontal="center"/>
    </xf>
    <xf numFmtId="0" fontId="8" fillId="4" borderId="0" xfId="30" quotePrefix="1" applyFont="1" applyFill="1" applyAlignment="1">
      <alignment horizontal="center"/>
    </xf>
    <xf numFmtId="0" fontId="8" fillId="0" borderId="0" xfId="30" applyFont="1"/>
    <xf numFmtId="166" fontId="7" fillId="0" borderId="0" xfId="0" applyNumberFormat="1" applyFont="1" applyAlignment="1">
      <alignment horizontal="center"/>
    </xf>
    <xf numFmtId="166" fontId="7" fillId="0" borderId="0" xfId="1" applyNumberFormat="1" applyFont="1" applyAlignment="1">
      <alignment horizontal="center"/>
    </xf>
    <xf numFmtId="44" fontId="18" fillId="0" borderId="0" xfId="1" applyFont="1" applyAlignment="1">
      <alignment horizontal="center"/>
    </xf>
    <xf numFmtId="0" fontId="9" fillId="0" borderId="0" xfId="30" applyFont="1" applyAlignment="1">
      <alignment horizontal="center"/>
    </xf>
    <xf numFmtId="165" fontId="8" fillId="0" borderId="0" xfId="0" quotePrefix="1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165" fontId="8" fillId="3" borderId="0" xfId="0" quotePrefix="1" applyNumberFormat="1" applyFont="1" applyFill="1" applyAlignment="1">
      <alignment horizontal="center"/>
    </xf>
    <xf numFmtId="165" fontId="8" fillId="7" borderId="0" xfId="0" quotePrefix="1" applyNumberFormat="1" applyFont="1" applyFill="1" applyAlignment="1">
      <alignment horizontal="center"/>
    </xf>
    <xf numFmtId="165" fontId="8" fillId="15" borderId="0" xfId="0" quotePrefix="1" applyNumberFormat="1" applyFont="1" applyFill="1" applyAlignment="1">
      <alignment horizontal="center"/>
    </xf>
    <xf numFmtId="0" fontId="5" fillId="0" borderId="0" xfId="30" applyFill="1"/>
    <xf numFmtId="165" fontId="8" fillId="3" borderId="0" xfId="0" quotePrefix="1" applyNumberFormat="1" applyFont="1" applyFill="1" applyAlignment="1">
      <alignment horizontal="center" vertical="center" wrapText="1"/>
    </xf>
    <xf numFmtId="165" fontId="8" fillId="7" borderId="0" xfId="0" quotePrefix="1" applyNumberFormat="1" applyFont="1" applyFill="1" applyAlignment="1">
      <alignment horizontal="center" vertical="center" wrapText="1"/>
    </xf>
    <xf numFmtId="165" fontId="8" fillId="15" borderId="0" xfId="0" quotePrefix="1" applyNumberFormat="1" applyFont="1" applyFill="1" applyAlignment="1">
      <alignment horizontal="center" vertical="center" wrapText="1"/>
    </xf>
    <xf numFmtId="0" fontId="19" fillId="0" borderId="0" xfId="30" applyFont="1"/>
    <xf numFmtId="10" fontId="8" fillId="2" borderId="0" xfId="30" quotePrefix="1" applyNumberFormat="1" applyFont="1" applyFill="1" applyAlignment="1">
      <alignment horizontal="center"/>
    </xf>
    <xf numFmtId="15" fontId="8" fillId="2" borderId="0" xfId="30" applyNumberFormat="1" applyFont="1" applyFill="1" applyAlignment="1">
      <alignment horizontal="left"/>
    </xf>
    <xf numFmtId="15" fontId="8" fillId="0" borderId="0" xfId="30" quotePrefix="1" applyNumberFormat="1" applyFont="1" applyAlignment="1">
      <alignment horizontal="left"/>
    </xf>
    <xf numFmtId="0" fontId="20" fillId="0" borderId="0" xfId="30" applyFont="1"/>
    <xf numFmtId="165" fontId="4" fillId="0" borderId="0" xfId="0" applyNumberFormat="1" applyFont="1" applyAlignment="1">
      <alignment horizontal="left"/>
    </xf>
    <xf numFmtId="165" fontId="3" fillId="0" borderId="2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8" fillId="0" borderId="0" xfId="30" applyFont="1" applyAlignment="1">
      <alignment horizontal="center"/>
    </xf>
    <xf numFmtId="0" fontId="8" fillId="4" borderId="0" xfId="30" quotePrefix="1" applyFont="1" applyFill="1" applyAlignment="1">
      <alignment horizontal="center"/>
    </xf>
    <xf numFmtId="0" fontId="17" fillId="4" borderId="7" xfId="30" quotePrefix="1" applyFont="1" applyFill="1" applyBorder="1" applyAlignment="1">
      <alignment horizontal="center"/>
    </xf>
    <xf numFmtId="0" fontId="17" fillId="4" borderId="6" xfId="30" quotePrefix="1" applyFont="1" applyFill="1" applyBorder="1" applyAlignment="1">
      <alignment horizontal="center"/>
    </xf>
    <xf numFmtId="0" fontId="17" fillId="4" borderId="5" xfId="30" quotePrefix="1" applyFont="1" applyFill="1" applyBorder="1" applyAlignment="1">
      <alignment horizontal="center"/>
    </xf>
    <xf numFmtId="0" fontId="8" fillId="0" borderId="0" xfId="30" quotePrefix="1" applyFont="1" applyFill="1" applyAlignment="1">
      <alignment horizontal="center"/>
    </xf>
    <xf numFmtId="0" fontId="8" fillId="15" borderId="0" xfId="30" quotePrefix="1" applyFont="1" applyFill="1" applyAlignment="1">
      <alignment horizontal="center"/>
    </xf>
    <xf numFmtId="0" fontId="8" fillId="15" borderId="0" xfId="30" applyFont="1" applyFill="1" applyAlignment="1">
      <alignment horizontal="center"/>
    </xf>
    <xf numFmtId="165" fontId="8" fillId="4" borderId="0" xfId="0" quotePrefix="1" applyNumberFormat="1" applyFont="1" applyFill="1" applyAlignment="1">
      <alignment horizontal="center"/>
    </xf>
    <xf numFmtId="0" fontId="8" fillId="9" borderId="0" xfId="30" quotePrefix="1" applyFont="1" applyFill="1" applyAlignment="1">
      <alignment horizontal="center"/>
    </xf>
    <xf numFmtId="0" fontId="8" fillId="9" borderId="0" xfId="30" applyFont="1" applyFill="1" applyAlignment="1">
      <alignment horizontal="center"/>
    </xf>
    <xf numFmtId="0" fontId="8" fillId="4" borderId="0" xfId="30" applyFont="1" applyFill="1" applyAlignment="1">
      <alignment horizontal="center"/>
    </xf>
  </cellXfs>
  <cellStyles count="31">
    <cellStyle name="_x0013_" xfId="2"/>
    <cellStyle name="_CC Oil" xfId="3"/>
    <cellStyle name="_DSO Oil" xfId="4"/>
    <cellStyle name="_FLCC Oil" xfId="5"/>
    <cellStyle name="_FLPEGT Oil" xfId="6"/>
    <cellStyle name="_FMCT Oil" xfId="7"/>
    <cellStyle name="_GTDW_DataTemplate" xfId="8"/>
    <cellStyle name="_Gulfstream Gas" xfId="9"/>
    <cellStyle name="_MR .7 Oil" xfId="10"/>
    <cellStyle name="_MR 1 Oil" xfId="11"/>
    <cellStyle name="_MRCT Oil" xfId="12"/>
    <cellStyle name="_MT Gulfstream Gas" xfId="13"/>
    <cellStyle name="_MT Oil" xfId="14"/>
    <cellStyle name="_OLCT Oil" xfId="15"/>
    <cellStyle name="_PE Oil" xfId="16"/>
    <cellStyle name="_PN Oil" xfId="17"/>
    <cellStyle name="_RV Oil" xfId="18"/>
    <cellStyle name="_SHCT Oil" xfId="19"/>
    <cellStyle name="_SN Oil" xfId="20"/>
    <cellStyle name="_TP Oil" xfId="21"/>
    <cellStyle name="Comma 2" xfId="22"/>
    <cellStyle name="Currency" xfId="1" builtinId="4"/>
    <cellStyle name="Normal" xfId="0" builtinId="0"/>
    <cellStyle name="Normal 2" xfId="23"/>
    <cellStyle name="Normal 2 2" xfId="24"/>
    <cellStyle name="Normal 2 3" xfId="25"/>
    <cellStyle name="Normal 2 4" xfId="26"/>
    <cellStyle name="Normal 2 5" xfId="27"/>
    <cellStyle name="Normal 3" xfId="28"/>
    <cellStyle name="Normal 4" xfId="29"/>
    <cellStyle name="Normal_060415 RAP Fuel Price Forecast Template - Case 1 (Historical Spread)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2.xml><?xml version="1.0" encoding="utf-8"?>
<formControlPr xmlns="http://schemas.microsoft.com/office/spreadsheetml/2009/9/main" objectType="Drop" dropLines="2" dropStyle="combo" dx="18" fmlaLink="CONTROL!$C$27" fmlaRange="CONTROL!$B$27:$B$28" val="0"/>
</file>

<file path=xl/ctrlProps/ctrlProp3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4.xml><?xml version="1.0" encoding="utf-8"?>
<formControlPr xmlns="http://schemas.microsoft.com/office/spreadsheetml/2009/9/main" objectType="Drop" dropLines="2" dropStyle="combo" dx="18" fmlaLink="CONTROL!$C$38" fmlaRange="CONTROL!$B$38:$B$39" val="0"/>
</file>

<file path=xl/ctrlProps/ctrlProp5.xml><?xml version="1.0" encoding="utf-8"?>
<formControlPr xmlns="http://schemas.microsoft.com/office/spreadsheetml/2009/9/main" objectType="Drop" dropLines="3" dropStyle="combo" dx="18" fmlaLink="CONTROL!$C$21" fmlaRange="CONTROL!$B$21:$B$23" sel="2" val="0"/>
</file>

<file path=xl/ctrlProps/ctrlProp6.xml><?xml version="1.0" encoding="utf-8"?>
<formControlPr xmlns="http://schemas.microsoft.com/office/spreadsheetml/2009/9/main" objectType="Drop" dropLines="2" dropStyle="combo" dx="18" fmlaLink="CONTROL!$C$42" fmlaRange="CONTROL!$B$42:$B$43" val="0"/>
</file>

<file path=xl/ctrlProps/ctrlProp7.xml><?xml version="1.0" encoding="utf-8"?>
<formControlPr xmlns="http://schemas.microsoft.com/office/spreadsheetml/2009/9/main" objectType="Drop" dropLines="3" dropStyle="combo" dx="18" fmlaLink="CONTROL!$C$32" fmlaRange="CONTROL!$B$32:$B$3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28575</xdr:rowOff>
        </xdr:from>
        <xdr:to>
          <xdr:col>7</xdr:col>
          <xdr:colOff>123825</xdr:colOff>
          <xdr:row>8</xdr:row>
          <xdr:rowOff>114300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</xdr:row>
          <xdr:rowOff>57150</xdr:rowOff>
        </xdr:from>
        <xdr:to>
          <xdr:col>8</xdr:col>
          <xdr:colOff>314325</xdr:colOff>
          <xdr:row>8</xdr:row>
          <xdr:rowOff>133350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133350</xdr:rowOff>
        </xdr:from>
        <xdr:to>
          <xdr:col>8</xdr:col>
          <xdr:colOff>304800</xdr:colOff>
          <xdr:row>9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7</xdr:row>
          <xdr:rowOff>133350</xdr:rowOff>
        </xdr:from>
        <xdr:to>
          <xdr:col>9</xdr:col>
          <xdr:colOff>571500</xdr:colOff>
          <xdr:row>9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</xdr:row>
          <xdr:rowOff>28575</xdr:rowOff>
        </xdr:from>
        <xdr:to>
          <xdr:col>8</xdr:col>
          <xdr:colOff>552450</xdr:colOff>
          <xdr:row>8</xdr:row>
          <xdr:rowOff>114300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981075</xdr:colOff>
          <xdr:row>7</xdr:row>
          <xdr:rowOff>133350</xdr:rowOff>
        </xdr:from>
        <xdr:to>
          <xdr:col>12</xdr:col>
          <xdr:colOff>257175</xdr:colOff>
          <xdr:row>9</xdr:row>
          <xdr:rowOff>9525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7</xdr:row>
          <xdr:rowOff>38100</xdr:rowOff>
        </xdr:from>
        <xdr:to>
          <xdr:col>6</xdr:col>
          <xdr:colOff>381000</xdr:colOff>
          <xdr:row>8</xdr:row>
          <xdr:rowOff>95250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4.zip\2014\5.%20May\140505%202014%20-%202100%20LONG-TERM%20FORECAST%20FPL%20METHODOLOGY%20-%20To%20Dele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OIL &amp; GAS SEASONALITY"/>
      <sheetName val="_Setup_"/>
      <sheetName val="FGT PRIMARY FIRM ZONE 2"/>
      <sheetName val="FGT PRIMARY FIRM ZONE 3"/>
      <sheetName val="FGT FIRM ZONE 3 MOBILE BAY-DES"/>
      <sheetName val="FTS 3  FIRM ZONE 3 MOBILE BAY-D"/>
      <sheetName val="TRANSCO 4 LATERAL TO GULFSTREAM"/>
      <sheetName val="SESH TO FGT FIRM ZONE 3 MOB BAY"/>
      <sheetName val="SESH TO FTS 3"/>
      <sheetName val="GULFSTREAM FIRM "/>
      <sheetName val="GULFSTREAM NON-FIRM"/>
      <sheetName val="GULFSTREAM NON-FIRM  BACKHAUL "/>
      <sheetName val="UPS REPLACEMENT"/>
      <sheetName val="Upload"/>
      <sheetName val="GULF SOUTH TO FGT Z3 MOBILE BAY"/>
      <sheetName val="GULF SOUTH TO GULFSTREAM"/>
      <sheetName val="PIRA - LONG TERM OIL BACKUP"/>
      <sheetName val="DISTILLATE &amp; RESIDUAL FUEL OIL"/>
      <sheetName val="PIRA - LONG TERM GAS BACKUP"/>
      <sheetName val="TRANSCO 4A LATERAL TO FTS 3"/>
      <sheetName val="FGT PRIMARY FIRM ZONE 1"/>
      <sheetName val="FGT NON-FIRM"/>
      <sheetName val="SESH TO GULFSTREAM"/>
      <sheetName val="FSC DLVD"/>
      <sheetName val="MOST LIKELY COAL &amp; PET COK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C43"/>
  <sheetViews>
    <sheetView showGridLines="0" zoomScale="70" zoomScaleNormal="70" workbookViewId="0">
      <selection activeCell="D6" sqref="D6"/>
    </sheetView>
  </sheetViews>
  <sheetFormatPr defaultColWidth="8.88671875" defaultRowHeight="15.75"/>
  <cols>
    <col min="1" max="1" width="8.88671875" style="1"/>
    <col min="2" max="2" width="15.5546875" style="1" bestFit="1" customWidth="1"/>
    <col min="3" max="3" width="9.5546875" style="1" bestFit="1" customWidth="1"/>
    <col min="4" max="16384" width="8.88671875" style="1"/>
  </cols>
  <sheetData>
    <row r="1" spans="1:3">
      <c r="A1" s="98" t="s">
        <v>93</v>
      </c>
    </row>
    <row r="2" spans="1:3">
      <c r="A2" s="98" t="s">
        <v>94</v>
      </c>
    </row>
    <row r="3" spans="1:3">
      <c r="A3" s="98" t="s">
        <v>95</v>
      </c>
    </row>
    <row r="4" spans="1:3">
      <c r="A4" s="98" t="s">
        <v>96</v>
      </c>
    </row>
    <row r="5" spans="1:3">
      <c r="A5" s="98" t="s">
        <v>98</v>
      </c>
    </row>
    <row r="6" spans="1:3">
      <c r="A6" s="98" t="s">
        <v>97</v>
      </c>
    </row>
    <row r="8" spans="1:3">
      <c r="B8" s="4" t="s">
        <v>13</v>
      </c>
      <c r="C8" s="4" t="s">
        <v>2</v>
      </c>
    </row>
    <row r="9" spans="1:3">
      <c r="B9" s="6" t="s">
        <v>9</v>
      </c>
      <c r="C9" s="99">
        <v>2</v>
      </c>
    </row>
    <row r="10" spans="1:3">
      <c r="B10" s="6" t="s">
        <v>8</v>
      </c>
      <c r="C10" s="101"/>
    </row>
    <row r="11" spans="1:3">
      <c r="B11" s="5" t="s">
        <v>7</v>
      </c>
      <c r="C11" s="100"/>
    </row>
    <row r="14" spans="1:3">
      <c r="B14" s="4" t="s">
        <v>12</v>
      </c>
      <c r="C14" s="4" t="s">
        <v>2</v>
      </c>
    </row>
    <row r="15" spans="1:3">
      <c r="B15" s="6" t="s">
        <v>9</v>
      </c>
      <c r="C15" s="99">
        <v>2</v>
      </c>
    </row>
    <row r="16" spans="1:3">
      <c r="B16" s="6" t="s">
        <v>8</v>
      </c>
      <c r="C16" s="101"/>
    </row>
    <row r="17" spans="2:3">
      <c r="B17" s="5" t="s">
        <v>7</v>
      </c>
      <c r="C17" s="100"/>
    </row>
    <row r="20" spans="2:3">
      <c r="B20" s="4" t="s">
        <v>3</v>
      </c>
      <c r="C20" s="4" t="s">
        <v>2</v>
      </c>
    </row>
    <row r="21" spans="2:3">
      <c r="B21" s="6" t="s">
        <v>9</v>
      </c>
      <c r="C21" s="99">
        <v>2</v>
      </c>
    </row>
    <row r="22" spans="2:3">
      <c r="B22" s="6" t="s">
        <v>8</v>
      </c>
      <c r="C22" s="101"/>
    </row>
    <row r="23" spans="2:3">
      <c r="B23" s="5" t="s">
        <v>7</v>
      </c>
      <c r="C23" s="100"/>
    </row>
    <row r="26" spans="2:3">
      <c r="B26" s="7" t="s">
        <v>11</v>
      </c>
      <c r="C26" s="7" t="s">
        <v>2</v>
      </c>
    </row>
    <row r="27" spans="2:3">
      <c r="B27" s="3" t="s">
        <v>5</v>
      </c>
      <c r="C27" s="99">
        <v>1</v>
      </c>
    </row>
    <row r="28" spans="2:3">
      <c r="B28" s="2" t="s">
        <v>4</v>
      </c>
      <c r="C28" s="100"/>
    </row>
    <row r="31" spans="2:3">
      <c r="B31" s="4" t="s">
        <v>10</v>
      </c>
      <c r="C31" s="4" t="s">
        <v>2</v>
      </c>
    </row>
    <row r="32" spans="2:3">
      <c r="B32" s="6" t="s">
        <v>9</v>
      </c>
      <c r="C32" s="99">
        <v>2</v>
      </c>
    </row>
    <row r="33" spans="2:3">
      <c r="B33" s="6" t="s">
        <v>8</v>
      </c>
      <c r="C33" s="101"/>
    </row>
    <row r="34" spans="2:3">
      <c r="B34" s="5" t="s">
        <v>7</v>
      </c>
      <c r="C34" s="100"/>
    </row>
    <row r="37" spans="2:3">
      <c r="B37" s="4" t="s">
        <v>6</v>
      </c>
      <c r="C37" s="4" t="s">
        <v>2</v>
      </c>
    </row>
    <row r="38" spans="2:3">
      <c r="B38" s="3" t="s">
        <v>5</v>
      </c>
      <c r="C38" s="99">
        <v>1</v>
      </c>
    </row>
    <row r="39" spans="2:3">
      <c r="B39" s="2" t="s">
        <v>4</v>
      </c>
      <c r="C39" s="100"/>
    </row>
    <row r="41" spans="2:3">
      <c r="B41" s="4" t="s">
        <v>3</v>
      </c>
      <c r="C41" s="4" t="s">
        <v>2</v>
      </c>
    </row>
    <row r="42" spans="2:3">
      <c r="B42" s="3" t="s">
        <v>1</v>
      </c>
      <c r="C42" s="99">
        <v>1</v>
      </c>
    </row>
    <row r="43" spans="2:3">
      <c r="B43" s="2" t="s">
        <v>0</v>
      </c>
      <c r="C43" s="100"/>
    </row>
  </sheetData>
  <mergeCells count="7">
    <mergeCell ref="C42:C43"/>
    <mergeCell ref="C32:C34"/>
    <mergeCell ref="C38:C39"/>
    <mergeCell ref="C9:C11"/>
    <mergeCell ref="C15:C17"/>
    <mergeCell ref="C21:C23"/>
    <mergeCell ref="C27:C28"/>
  </mergeCells>
  <pageMargins left="0.25" right="0.25" top="0.5" bottom="0.5" header="0.25" footer="0.25"/>
  <pageSetup paperSize="3" scale="70" orientation="landscape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Q1163"/>
  <sheetViews>
    <sheetView zoomScale="70" zoomScaleNormal="70" workbookViewId="0">
      <pane xSplit="1" ySplit="11" topLeftCell="B12" activePane="bottomRight" state="frozen"/>
      <selection activeCell="D6" sqref="D6"/>
      <selection pane="topRight" activeCell="D6" sqref="D6"/>
      <selection pane="bottomLeft" activeCell="D6" sqref="D6"/>
      <selection pane="bottomRight" activeCell="A6" sqref="A6"/>
    </sheetView>
  </sheetViews>
  <sheetFormatPr defaultColWidth="7.109375" defaultRowHeight="12.75"/>
  <cols>
    <col min="1" max="1" width="19.77734375" style="9" customWidth="1"/>
    <col min="2" max="4" width="16.109375" style="9" customWidth="1"/>
    <col min="5" max="5" width="21" style="9" customWidth="1"/>
    <col min="6" max="9" width="16.109375" style="9" customWidth="1"/>
    <col min="10" max="10" width="12.33203125" style="8" customWidth="1"/>
    <col min="11" max="11" width="10.77734375" style="8" customWidth="1"/>
    <col min="12" max="12" width="11.6640625" style="8" customWidth="1"/>
    <col min="13" max="16384" width="7.109375" style="8"/>
  </cols>
  <sheetData>
    <row r="1" spans="1:17" ht="15.75">
      <c r="A1" s="98" t="s">
        <v>93</v>
      </c>
    </row>
    <row r="2" spans="1:17" ht="15.75">
      <c r="A2" s="98" t="s">
        <v>94</v>
      </c>
    </row>
    <row r="3" spans="1:17" ht="15.75">
      <c r="A3" s="98" t="s">
        <v>95</v>
      </c>
    </row>
    <row r="4" spans="1:17" ht="15.75">
      <c r="A4" s="98" t="s">
        <v>96</v>
      </c>
    </row>
    <row r="5" spans="1:17" ht="15.75">
      <c r="A5" s="98" t="s">
        <v>98</v>
      </c>
    </row>
    <row r="6" spans="1:17" ht="15.75">
      <c r="A6" s="98" t="s">
        <v>99</v>
      </c>
    </row>
    <row r="8" spans="1:17" ht="15.75">
      <c r="A8" s="25" t="s">
        <v>28</v>
      </c>
      <c r="B8" s="8"/>
      <c r="C8" s="8"/>
      <c r="D8" s="8"/>
      <c r="E8" s="8"/>
      <c r="F8" s="8"/>
      <c r="G8" s="8"/>
      <c r="H8" s="8"/>
      <c r="I8" s="8"/>
    </row>
    <row r="9" spans="1:17" ht="15.75">
      <c r="A9" s="25"/>
      <c r="B9" s="24"/>
      <c r="C9" s="23" t="s">
        <v>27</v>
      </c>
      <c r="D9" s="22">
        <f>1-0.263</f>
        <v>0.73699999999999999</v>
      </c>
      <c r="E9" s="23" t="s">
        <v>26</v>
      </c>
      <c r="F9" s="22">
        <f>1+0.263</f>
        <v>1.2629999999999999</v>
      </c>
      <c r="G9" s="8"/>
      <c r="H9" s="8"/>
      <c r="I9" s="8"/>
    </row>
    <row r="10" spans="1:17" s="18" customFormat="1" ht="21" customHeight="1">
      <c r="B10" s="19" t="s">
        <v>25</v>
      </c>
      <c r="C10" s="19" t="s">
        <v>24</v>
      </c>
      <c r="D10" s="19" t="s">
        <v>23</v>
      </c>
      <c r="E10" s="21" t="s">
        <v>22</v>
      </c>
      <c r="F10" s="19" t="s">
        <v>21</v>
      </c>
      <c r="G10" s="21" t="s">
        <v>20</v>
      </c>
      <c r="H10" s="21" t="s">
        <v>19</v>
      </c>
      <c r="I10" s="19" t="s">
        <v>18</v>
      </c>
      <c r="J10" s="19" t="s">
        <v>17</v>
      </c>
      <c r="K10" s="19" t="s">
        <v>16</v>
      </c>
      <c r="L10" s="19"/>
    </row>
    <row r="11" spans="1:17" s="18" customFormat="1" ht="19.5" customHeight="1">
      <c r="A11" s="20" t="s">
        <v>15</v>
      </c>
      <c r="B11" s="19" t="s">
        <v>14</v>
      </c>
      <c r="C11" s="19" t="s">
        <v>14</v>
      </c>
      <c r="D11" s="19" t="s">
        <v>14</v>
      </c>
      <c r="E11" s="19" t="s">
        <v>14</v>
      </c>
      <c r="F11" s="19" t="s">
        <v>14</v>
      </c>
      <c r="G11" s="19" t="s">
        <v>14</v>
      </c>
      <c r="H11" s="19" t="s">
        <v>14</v>
      </c>
      <c r="I11" s="19" t="s">
        <v>14</v>
      </c>
      <c r="J11" s="19" t="s">
        <v>14</v>
      </c>
      <c r="K11" s="19" t="s">
        <v>14</v>
      </c>
      <c r="L11" s="19"/>
    </row>
    <row r="12" spans="1:17" ht="15">
      <c r="A12" s="16">
        <v>41640</v>
      </c>
      <c r="B12" s="10">
        <v>24.5270274442539</v>
      </c>
      <c r="C12" s="10">
        <v>24.0947804459691</v>
      </c>
      <c r="D12" s="10">
        <v>24.0947804459691</v>
      </c>
      <c r="E12" s="10">
        <v>23.958121955403101</v>
      </c>
      <c r="F12" s="10">
        <v>23.958121955403101</v>
      </c>
      <c r="G12" s="10">
        <v>24.229497427101201</v>
      </c>
      <c r="H12" s="10">
        <v>24.0947804459691</v>
      </c>
      <c r="I12" s="10">
        <v>24.0947804459691</v>
      </c>
      <c r="J12" s="10">
        <v>23.734574614065199</v>
      </c>
      <c r="K12" s="10">
        <v>24.0947804459691</v>
      </c>
      <c r="L12" s="10"/>
      <c r="M12" s="17"/>
      <c r="N12" s="17"/>
      <c r="O12" s="17"/>
      <c r="P12" s="17"/>
      <c r="Q12" s="17"/>
    </row>
    <row r="13" spans="1:17" ht="15">
      <c r="A13" s="16">
        <v>41671</v>
      </c>
      <c r="B13" s="10">
        <v>24.6565862778731</v>
      </c>
      <c r="C13" s="10">
        <v>24.2243392795883</v>
      </c>
      <c r="D13" s="10">
        <v>24.2243392795883</v>
      </c>
      <c r="E13" s="10">
        <v>24.087680789022301</v>
      </c>
      <c r="F13" s="10">
        <v>24.087680789022301</v>
      </c>
      <c r="G13" s="10">
        <v>24.359056260720401</v>
      </c>
      <c r="H13" s="10">
        <v>24.2243392795883</v>
      </c>
      <c r="I13" s="10">
        <v>24.2243392795883</v>
      </c>
      <c r="J13" s="10">
        <v>23.864133447684399</v>
      </c>
      <c r="K13" s="10">
        <v>24.2243392795883</v>
      </c>
      <c r="L13" s="10"/>
      <c r="M13" s="17"/>
      <c r="N13" s="17"/>
      <c r="O13" s="17"/>
      <c r="P13" s="17"/>
      <c r="Q13" s="17"/>
    </row>
    <row r="14" spans="1:17" ht="15">
      <c r="A14" s="16">
        <v>41699</v>
      </c>
      <c r="B14" s="10">
        <v>23.594685077186998</v>
      </c>
      <c r="C14" s="10">
        <v>23.162438078902198</v>
      </c>
      <c r="D14" s="10">
        <v>23.162438078902198</v>
      </c>
      <c r="E14" s="10">
        <v>23.025779588336199</v>
      </c>
      <c r="F14" s="10">
        <v>23.025779588336199</v>
      </c>
      <c r="G14" s="10">
        <v>23.297155060034299</v>
      </c>
      <c r="H14" s="10">
        <v>23.162438078902198</v>
      </c>
      <c r="I14" s="10">
        <v>23.162438078902198</v>
      </c>
      <c r="J14" s="10">
        <v>22.802232246998301</v>
      </c>
      <c r="K14" s="10">
        <v>23.162438078902198</v>
      </c>
      <c r="L14" s="10"/>
      <c r="M14" s="17"/>
      <c r="N14" s="17"/>
      <c r="O14" s="17"/>
      <c r="P14" s="17"/>
      <c r="Q14" s="17"/>
    </row>
    <row r="15" spans="1:17" ht="15">
      <c r="A15" s="16">
        <v>41730</v>
      </c>
      <c r="B15" s="10">
        <v>23.110409948541999</v>
      </c>
      <c r="C15" s="10">
        <v>22.678162950257299</v>
      </c>
      <c r="D15" s="10">
        <v>22.678162950257299</v>
      </c>
      <c r="E15" s="10">
        <v>22.5415044596913</v>
      </c>
      <c r="F15" s="10">
        <v>22.5415044596913</v>
      </c>
      <c r="G15" s="10">
        <v>22.8128799313894</v>
      </c>
      <c r="H15" s="10">
        <v>22.678162950257299</v>
      </c>
      <c r="I15" s="10">
        <v>22.678162950257299</v>
      </c>
      <c r="J15" s="10">
        <v>22.317957118353299</v>
      </c>
      <c r="K15" s="10">
        <v>22.678162950257299</v>
      </c>
      <c r="L15" s="10"/>
      <c r="M15" s="17"/>
      <c r="N15" s="17"/>
      <c r="O15" s="17"/>
      <c r="P15" s="17"/>
      <c r="Q15" s="17"/>
    </row>
    <row r="16" spans="1:17" ht="15">
      <c r="A16" s="16">
        <v>41760</v>
      </c>
      <c r="B16" s="10">
        <v>23.365961578044601</v>
      </c>
      <c r="C16" s="10">
        <v>22.933714579759901</v>
      </c>
      <c r="D16" s="10">
        <v>22.933714579759901</v>
      </c>
      <c r="E16" s="10">
        <v>22.797056089193799</v>
      </c>
      <c r="F16" s="10">
        <v>22.797056089193799</v>
      </c>
      <c r="G16" s="10">
        <v>23.068431560891899</v>
      </c>
      <c r="H16" s="10">
        <v>22.933714579759901</v>
      </c>
      <c r="I16" s="10">
        <v>22.933714579759901</v>
      </c>
      <c r="J16" s="10">
        <v>22.5735087478559</v>
      </c>
      <c r="K16" s="10">
        <v>22.933714579759901</v>
      </c>
      <c r="L16" s="10"/>
      <c r="M16" s="17"/>
      <c r="N16" s="17"/>
      <c r="O16" s="17"/>
      <c r="P16" s="17"/>
      <c r="Q16" s="17"/>
    </row>
    <row r="17" spans="1:17" ht="15">
      <c r="A17" s="16">
        <v>41791</v>
      </c>
      <c r="B17" s="10">
        <f>23.2304 * CHOOSE(CONTROL!$C$9, $D$9, 100%, $F$9) + CHOOSE(CONTROL!$C$27, 0.0021, 0)</f>
        <v>23.232499999999998</v>
      </c>
      <c r="C17" s="10">
        <f>22.7981 * CHOOSE(CONTROL!$C$9, $D$9, 100%, $F$9) + CHOOSE(CONTROL!$C$27, 0.0021, 0)</f>
        <v>22.8002</v>
      </c>
      <c r="D17" s="10">
        <f>22.7981 * CHOOSE(CONTROL!$C$9, $D$9, 100%, $F$9) + CHOOSE(CONTROL!$C$27, 0.0021, 0)</f>
        <v>22.8002</v>
      </c>
      <c r="E17" s="10">
        <f>22.6615 * CHOOSE(CONTROL!$C$9, $D$9, 100%, $F$9) + CHOOSE(CONTROL!$C$27, 0.0021, 0)</f>
        <v>22.663599999999999</v>
      </c>
      <c r="F17" s="10">
        <f>22.6615 * CHOOSE(CONTROL!$C$9, $D$9, 100%, $F$9) + CHOOSE(CONTROL!$C$27, 0.0021, 0)</f>
        <v>22.663599999999999</v>
      </c>
      <c r="G17" s="10">
        <f>22.9329 * CHOOSE(CONTROL!$C$9, $D$9, 100%, $F$9) + CHOOSE(CONTROL!$C$27, 0.0021, 0)</f>
        <v>22.934999999999999</v>
      </c>
      <c r="H17" s="10">
        <f>22.7981 * CHOOSE(CONTROL!$C$9, $D$9, 100%, $F$9) + CHOOSE(CONTROL!$C$27, 0.0021, 0)</f>
        <v>22.8002</v>
      </c>
      <c r="I17" s="10">
        <f>22.7981 * CHOOSE(CONTROL!$C$9, $D$9, 100%, $F$9) + CHOOSE(CONTROL!$C$27, 0.0021, 0)</f>
        <v>22.8002</v>
      </c>
      <c r="J17" s="10">
        <f>22.4379 * CHOOSE(CONTROL!$C$9, $D$9, 100%, $F$9) + CHOOSE(CONTROL!$C$27, 0.0021, 0)</f>
        <v>22.439999999999998</v>
      </c>
      <c r="K17" s="10">
        <f>22.7981 * CHOOSE(CONTROL!$C$9, $D$9, 100%, $F$9) + CHOOSE(CONTROL!$C$27, 0.0021, 0)</f>
        <v>22.8002</v>
      </c>
      <c r="L17" s="10"/>
      <c r="M17" s="17"/>
      <c r="N17" s="17"/>
      <c r="O17" s="17"/>
      <c r="P17" s="17"/>
      <c r="Q17" s="17"/>
    </row>
    <row r="18" spans="1:17" ht="15">
      <c r="A18" s="16">
        <v>41821</v>
      </c>
      <c r="B18" s="10">
        <f>23.2001 * CHOOSE(CONTROL!$C$9, $D$9, 100%, $F$9) + CHOOSE(CONTROL!$C$27, 0.0021, 0)</f>
        <v>23.202199999999998</v>
      </c>
      <c r="C18" s="10">
        <f>22.7679 * CHOOSE(CONTROL!$C$9, $D$9, 100%, $F$9) + CHOOSE(CONTROL!$C$27, 0.0021, 0)</f>
        <v>22.77</v>
      </c>
      <c r="D18" s="10">
        <f>22.7679 * CHOOSE(CONTROL!$C$9, $D$9, 100%, $F$9) + CHOOSE(CONTROL!$C$27, 0.0021, 0)</f>
        <v>22.77</v>
      </c>
      <c r="E18" s="10">
        <f>22.6312 * CHOOSE(CONTROL!$C$9, $D$9, 100%, $F$9) + CHOOSE(CONTROL!$C$27, 0.0021, 0)</f>
        <v>22.633299999999998</v>
      </c>
      <c r="F18" s="10">
        <f>22.6312 * CHOOSE(CONTROL!$C$9, $D$9, 100%, $F$9) + CHOOSE(CONTROL!$C$27, 0.0021, 0)</f>
        <v>22.633299999999998</v>
      </c>
      <c r="G18" s="10">
        <f>22.9026 * CHOOSE(CONTROL!$C$9, $D$9, 100%, $F$9) + CHOOSE(CONTROL!$C$27, 0.0021, 0)</f>
        <v>22.904699999999998</v>
      </c>
      <c r="H18" s="10">
        <f>22.7679 * CHOOSE(CONTROL!$C$9, $D$9, 100%, $F$9) + CHOOSE(CONTROL!$C$27, 0.0021, 0)</f>
        <v>22.77</v>
      </c>
      <c r="I18" s="10">
        <f>22.7679 * CHOOSE(CONTROL!$C$9, $D$9, 100%, $F$9) + CHOOSE(CONTROL!$C$27, 0.0021, 0)</f>
        <v>22.77</v>
      </c>
      <c r="J18" s="10">
        <f>22.4077 * CHOOSE(CONTROL!$C$9, $D$9, 100%, $F$9) + CHOOSE(CONTROL!$C$27, 0.0021, 0)</f>
        <v>22.409799999999997</v>
      </c>
      <c r="K18" s="10">
        <f>22.7679 * CHOOSE(CONTROL!$C$9, $D$9, 100%, $F$9) + CHOOSE(CONTROL!$C$27, 0.0021, 0)</f>
        <v>22.77</v>
      </c>
      <c r="L18" s="10"/>
      <c r="M18" s="17"/>
      <c r="N18" s="17"/>
      <c r="O18" s="17"/>
      <c r="P18" s="17"/>
      <c r="Q18" s="17"/>
    </row>
    <row r="19" spans="1:17" ht="15">
      <c r="A19" s="16">
        <v>41852</v>
      </c>
      <c r="B19" s="10">
        <f>23.1886 * CHOOSE(CONTROL!$C$9, $D$9, 100%, $F$9) + CHOOSE(CONTROL!$C$27, 0.0021, 0)</f>
        <v>23.1907</v>
      </c>
      <c r="C19" s="10">
        <f>22.7564 * CHOOSE(CONTROL!$C$9, $D$9, 100%, $F$9) + CHOOSE(CONTROL!$C$27, 0.0021, 0)</f>
        <v>22.758499999999998</v>
      </c>
      <c r="D19" s="10">
        <f>22.7564 * CHOOSE(CONTROL!$C$9, $D$9, 100%, $F$9) + CHOOSE(CONTROL!$C$27, 0.0021, 0)</f>
        <v>22.758499999999998</v>
      </c>
      <c r="E19" s="10">
        <f>22.6197 * CHOOSE(CONTROL!$C$9, $D$9, 100%, $F$9) + CHOOSE(CONTROL!$C$27, 0.0021, 0)</f>
        <v>22.6218</v>
      </c>
      <c r="F19" s="10">
        <f>22.6197 * CHOOSE(CONTROL!$C$9, $D$9, 100%, $F$9) + CHOOSE(CONTROL!$C$27, 0.0021, 0)</f>
        <v>22.6218</v>
      </c>
      <c r="G19" s="10">
        <f>22.8911 * CHOOSE(CONTROL!$C$9, $D$9, 100%, $F$9) + CHOOSE(CONTROL!$C$27, 0.0021, 0)</f>
        <v>22.8932</v>
      </c>
      <c r="H19" s="10">
        <f>22.7564 * CHOOSE(CONTROL!$C$9, $D$9, 100%, $F$9) + CHOOSE(CONTROL!$C$27, 0.0021, 0)</f>
        <v>22.758499999999998</v>
      </c>
      <c r="I19" s="10">
        <f>22.7564 * CHOOSE(CONTROL!$C$9, $D$9, 100%, $F$9) + CHOOSE(CONTROL!$C$27, 0.0021, 0)</f>
        <v>22.758499999999998</v>
      </c>
      <c r="J19" s="10">
        <f>22.3962 * CHOOSE(CONTROL!$C$9, $D$9, 100%, $F$9) + CHOOSE(CONTROL!$C$27, 0.0021, 0)</f>
        <v>22.398299999999999</v>
      </c>
      <c r="K19" s="10">
        <f>22.7564 * CHOOSE(CONTROL!$C$9, $D$9, 100%, $F$9) + CHOOSE(CONTROL!$C$27, 0.0021, 0)</f>
        <v>22.758499999999998</v>
      </c>
      <c r="L19" s="10"/>
      <c r="M19" s="17"/>
      <c r="N19" s="17"/>
      <c r="O19" s="17"/>
      <c r="P19" s="17"/>
      <c r="Q19" s="17"/>
    </row>
    <row r="20" spans="1:17" ht="15">
      <c r="A20" s="16">
        <v>41883</v>
      </c>
      <c r="B20" s="10">
        <f>23.1922 * CHOOSE(CONTROL!$C$9, $D$9, 100%, $F$9) + CHOOSE(CONTROL!$C$27, 0.0021, 0)</f>
        <v>23.194299999999998</v>
      </c>
      <c r="C20" s="10">
        <f>22.76 * CHOOSE(CONTROL!$C$9, $D$9, 100%, $F$9) + CHOOSE(CONTROL!$C$27, 0.0021, 0)</f>
        <v>22.7621</v>
      </c>
      <c r="D20" s="10">
        <f>22.76 * CHOOSE(CONTROL!$C$9, $D$9, 100%, $F$9) + CHOOSE(CONTROL!$C$27, 0.0021, 0)</f>
        <v>22.7621</v>
      </c>
      <c r="E20" s="10">
        <f>22.6233 * CHOOSE(CONTROL!$C$9, $D$9, 100%, $F$9) + CHOOSE(CONTROL!$C$27, 0.0021, 0)</f>
        <v>22.625399999999999</v>
      </c>
      <c r="F20" s="10">
        <f>22.6233 * CHOOSE(CONTROL!$C$9, $D$9, 100%, $F$9) + CHOOSE(CONTROL!$C$27, 0.0021, 0)</f>
        <v>22.625399999999999</v>
      </c>
      <c r="G20" s="10">
        <f>22.8947 * CHOOSE(CONTROL!$C$9, $D$9, 100%, $F$9) + CHOOSE(CONTROL!$C$27, 0.0021, 0)</f>
        <v>22.896799999999999</v>
      </c>
      <c r="H20" s="10">
        <f>22.76 * CHOOSE(CONTROL!$C$9, $D$9, 100%, $F$9) + CHOOSE(CONTROL!$C$27, 0.0021, 0)</f>
        <v>22.7621</v>
      </c>
      <c r="I20" s="10">
        <f>22.76 * CHOOSE(CONTROL!$C$9, $D$9, 100%, $F$9) + CHOOSE(CONTROL!$C$27, 0.0021, 0)</f>
        <v>22.7621</v>
      </c>
      <c r="J20" s="10">
        <f>22.3998 * CHOOSE(CONTROL!$C$9, $D$9, 100%, $F$9) + CHOOSE(CONTROL!$C$27, 0.0021, 0)</f>
        <v>22.401899999999998</v>
      </c>
      <c r="K20" s="10">
        <f>22.76 * CHOOSE(CONTROL!$C$9, $D$9, 100%, $F$9) + CHOOSE(CONTROL!$C$27, 0.0021, 0)</f>
        <v>22.7621</v>
      </c>
      <c r="L20" s="10"/>
      <c r="M20" s="17"/>
      <c r="N20" s="17"/>
      <c r="O20" s="17"/>
      <c r="P20" s="17"/>
      <c r="Q20" s="17"/>
    </row>
    <row r="21" spans="1:17" ht="15">
      <c r="A21" s="16">
        <v>41913</v>
      </c>
      <c r="B21" s="10">
        <f>23.1929 * CHOOSE(CONTROL!$C$9, $D$9, 100%, $F$9) + CHOOSE(CONTROL!$C$27, 0.0021, 0)</f>
        <v>23.195</v>
      </c>
      <c r="C21" s="10">
        <f>22.7607 * CHOOSE(CONTROL!$C$9, $D$9, 100%, $F$9) + CHOOSE(CONTROL!$C$27, 0.0021, 0)</f>
        <v>22.762799999999999</v>
      </c>
      <c r="D21" s="10">
        <f>22.7607 * CHOOSE(CONTROL!$C$9, $D$9, 100%, $F$9) + CHOOSE(CONTROL!$C$27, 0.0021, 0)</f>
        <v>22.762799999999999</v>
      </c>
      <c r="E21" s="10">
        <f>22.624 * CHOOSE(CONTROL!$C$9, $D$9, 100%, $F$9) + CHOOSE(CONTROL!$C$27, 0.0021, 0)</f>
        <v>22.626099999999997</v>
      </c>
      <c r="F21" s="10">
        <f>22.624 * CHOOSE(CONTROL!$C$9, $D$9, 100%, $F$9) + CHOOSE(CONTROL!$C$27, 0.0021, 0)</f>
        <v>22.626099999999997</v>
      </c>
      <c r="G21" s="10">
        <f>22.8954 * CHOOSE(CONTROL!$C$9, $D$9, 100%, $F$9) + CHOOSE(CONTROL!$C$27, 0.0021, 0)</f>
        <v>22.897499999999997</v>
      </c>
      <c r="H21" s="10">
        <f>22.7607 * CHOOSE(CONTROL!$C$9, $D$9, 100%, $F$9) + CHOOSE(CONTROL!$C$27, 0.0021, 0)</f>
        <v>22.762799999999999</v>
      </c>
      <c r="I21" s="10">
        <f>22.7607 * CHOOSE(CONTROL!$C$9, $D$9, 100%, $F$9) + CHOOSE(CONTROL!$C$27, 0.0021, 0)</f>
        <v>22.762799999999999</v>
      </c>
      <c r="J21" s="10">
        <f>22.4005 * CHOOSE(CONTROL!$C$9, $D$9, 100%, $F$9) + CHOOSE(CONTROL!$C$27, 0.0021, 0)</f>
        <v>22.4026</v>
      </c>
      <c r="K21" s="10">
        <f>22.7607 * CHOOSE(CONTROL!$C$9, $D$9, 100%, $F$9) + CHOOSE(CONTROL!$C$27, 0.0021, 0)</f>
        <v>22.762799999999999</v>
      </c>
      <c r="L21" s="10"/>
      <c r="M21" s="17"/>
      <c r="N21" s="17"/>
      <c r="O21" s="17"/>
      <c r="P21" s="17"/>
      <c r="Q21" s="17"/>
    </row>
    <row r="22" spans="1:17" ht="15">
      <c r="A22" s="16">
        <v>41944</v>
      </c>
      <c r="B22" s="10">
        <f>23.1857 * CHOOSE(CONTROL!$C$9, $D$9, 100%, $F$9) + CHOOSE(CONTROL!$C$27, 0.0021, 0)</f>
        <v>23.187799999999999</v>
      </c>
      <c r="C22" s="10">
        <f>22.7535 * CHOOSE(CONTROL!$C$9, $D$9, 100%, $F$9) + CHOOSE(CONTROL!$C$27, 0.0021, 0)</f>
        <v>22.755599999999998</v>
      </c>
      <c r="D22" s="10">
        <f>22.7535 * CHOOSE(CONTROL!$C$9, $D$9, 100%, $F$9) + CHOOSE(CONTROL!$C$27, 0.0021, 0)</f>
        <v>22.755599999999998</v>
      </c>
      <c r="E22" s="10">
        <f>22.6168 * CHOOSE(CONTROL!$C$9, $D$9, 100%, $F$9) + CHOOSE(CONTROL!$C$27, 0.0021, 0)</f>
        <v>22.6189</v>
      </c>
      <c r="F22" s="10">
        <f>22.6168 * CHOOSE(CONTROL!$C$9, $D$9, 100%, $F$9) + CHOOSE(CONTROL!$C$27, 0.0021, 0)</f>
        <v>22.6189</v>
      </c>
      <c r="G22" s="10">
        <f>22.8882 * CHOOSE(CONTROL!$C$9, $D$9, 100%, $F$9) + CHOOSE(CONTROL!$C$27, 0.0021, 0)</f>
        <v>22.8903</v>
      </c>
      <c r="H22" s="10">
        <f>22.7535 * CHOOSE(CONTROL!$C$9, $D$9, 100%, $F$9) + CHOOSE(CONTROL!$C$27, 0.0021, 0)</f>
        <v>22.755599999999998</v>
      </c>
      <c r="I22" s="10">
        <f>22.7535 * CHOOSE(CONTROL!$C$9, $D$9, 100%, $F$9) + CHOOSE(CONTROL!$C$27, 0.0021, 0)</f>
        <v>22.755599999999998</v>
      </c>
      <c r="J22" s="10">
        <f>22.3933 * CHOOSE(CONTROL!$C$9, $D$9, 100%, $F$9) + CHOOSE(CONTROL!$C$27, 0.0021, 0)</f>
        <v>22.395399999999999</v>
      </c>
      <c r="K22" s="10">
        <f>22.7535 * CHOOSE(CONTROL!$C$9, $D$9, 100%, $F$9) + CHOOSE(CONTROL!$C$27, 0.0021, 0)</f>
        <v>22.755599999999998</v>
      </c>
      <c r="L22" s="10"/>
      <c r="M22" s="17"/>
      <c r="N22" s="17"/>
      <c r="O22" s="17"/>
      <c r="P22" s="17"/>
      <c r="Q22" s="17"/>
    </row>
    <row r="23" spans="1:17" ht="15">
      <c r="A23" s="16">
        <v>41974</v>
      </c>
      <c r="B23" s="10">
        <f>23.1699 * CHOOSE(CONTROL!$C$9, $D$9, 100%, $F$9) + CHOOSE(CONTROL!$C$27, 0.0021, 0)</f>
        <v>23.171999999999997</v>
      </c>
      <c r="C23" s="10">
        <f>22.7376 * CHOOSE(CONTROL!$C$9, $D$9, 100%, $F$9) + CHOOSE(CONTROL!$C$27, 0.0021, 0)</f>
        <v>22.739699999999999</v>
      </c>
      <c r="D23" s="10">
        <f>22.7376 * CHOOSE(CONTROL!$C$9, $D$9, 100%, $F$9) + CHOOSE(CONTROL!$C$27, 0.0021, 0)</f>
        <v>22.739699999999999</v>
      </c>
      <c r="E23" s="10">
        <f>22.601 * CHOOSE(CONTROL!$C$9, $D$9, 100%, $F$9) + CHOOSE(CONTROL!$C$27, 0.0021, 0)</f>
        <v>22.603099999999998</v>
      </c>
      <c r="F23" s="10">
        <f>22.601 * CHOOSE(CONTROL!$C$9, $D$9, 100%, $F$9) + CHOOSE(CONTROL!$C$27, 0.0021, 0)</f>
        <v>22.603099999999998</v>
      </c>
      <c r="G23" s="10">
        <f>22.8723 * CHOOSE(CONTROL!$C$9, $D$9, 100%, $F$9) + CHOOSE(CONTROL!$C$27, 0.0021, 0)</f>
        <v>22.874399999999998</v>
      </c>
      <c r="H23" s="10">
        <f>22.7376 * CHOOSE(CONTROL!$C$9, $D$9, 100%, $F$9) + CHOOSE(CONTROL!$C$27, 0.0021, 0)</f>
        <v>22.739699999999999</v>
      </c>
      <c r="I23" s="10">
        <f>22.7376 * CHOOSE(CONTROL!$C$9, $D$9, 100%, $F$9) + CHOOSE(CONTROL!$C$27, 0.0021, 0)</f>
        <v>22.739699999999999</v>
      </c>
      <c r="J23" s="10">
        <f>22.3774 * CHOOSE(CONTROL!$C$9, $D$9, 100%, $F$9) + CHOOSE(CONTROL!$C$27, 0.0021, 0)</f>
        <v>22.3795</v>
      </c>
      <c r="K23" s="10">
        <f>22.7376 * CHOOSE(CONTROL!$C$9, $D$9, 100%, $F$9) + CHOOSE(CONTROL!$C$27, 0.0021, 0)</f>
        <v>22.739699999999999</v>
      </c>
      <c r="L23" s="10"/>
      <c r="M23" s="17"/>
      <c r="N23" s="17"/>
      <c r="O23" s="17"/>
      <c r="P23" s="17"/>
      <c r="Q23" s="17"/>
    </row>
    <row r="24" spans="1:17" ht="15">
      <c r="A24" s="16">
        <v>42005</v>
      </c>
      <c r="B24" s="10">
        <f>23.1504 * CHOOSE(CONTROL!$C$9, $D$9, 100%, $F$9) + CHOOSE(CONTROL!$C$27, 0.0021, 0)</f>
        <v>23.1525</v>
      </c>
      <c r="C24" s="10">
        <f>22.7182 * CHOOSE(CONTROL!$C$9, $D$9, 100%, $F$9) + CHOOSE(CONTROL!$C$27, 0.0021, 0)</f>
        <v>22.720299999999998</v>
      </c>
      <c r="D24" s="10">
        <f>22.7182 * CHOOSE(CONTROL!$C$9, $D$9, 100%, $F$9) + CHOOSE(CONTROL!$C$27, 0.0021, 0)</f>
        <v>22.720299999999998</v>
      </c>
      <c r="E24" s="10">
        <f>22.5815 * CHOOSE(CONTROL!$C$9, $D$9, 100%, $F$9) + CHOOSE(CONTROL!$C$27, 0.0021, 0)</f>
        <v>22.583599999999997</v>
      </c>
      <c r="F24" s="10">
        <f>22.5815 * CHOOSE(CONTROL!$C$9, $D$9, 100%, $F$9) + CHOOSE(CONTROL!$C$27, 0.0021, 0)</f>
        <v>22.583599999999997</v>
      </c>
      <c r="G24" s="10">
        <f>22.8529 * CHOOSE(CONTROL!$C$9, $D$9, 100%, $F$9) + CHOOSE(CONTROL!$C$27, 0.0021, 0)</f>
        <v>22.855</v>
      </c>
      <c r="H24" s="10">
        <f>22.7182 * CHOOSE(CONTROL!$C$9, $D$9, 100%, $F$9) + CHOOSE(CONTROL!$C$27, 0.0021, 0)</f>
        <v>22.720299999999998</v>
      </c>
      <c r="I24" s="10">
        <f>22.7182 * CHOOSE(CONTROL!$C$9, $D$9, 100%, $F$9) + CHOOSE(CONTROL!$C$27, 0.0021, 0)</f>
        <v>22.720299999999998</v>
      </c>
      <c r="J24" s="10">
        <f>22.358 * CHOOSE(CONTROL!$C$9, $D$9, 100%, $F$9) + CHOOSE(CONTROL!$C$27, 0.0021, 0)</f>
        <v>22.360099999999999</v>
      </c>
      <c r="K24" s="10">
        <f>22.7182 * CHOOSE(CONTROL!$C$9, $D$9, 100%, $F$9) + CHOOSE(CONTROL!$C$27, 0.0021, 0)</f>
        <v>22.720299999999998</v>
      </c>
      <c r="L24" s="10"/>
      <c r="M24" s="17"/>
      <c r="N24" s="17"/>
      <c r="O24" s="17"/>
      <c r="P24" s="17"/>
      <c r="Q24" s="17"/>
    </row>
    <row r="25" spans="1:17" ht="15">
      <c r="A25" s="16">
        <v>42036</v>
      </c>
      <c r="B25" s="10">
        <f>23.095 * CHOOSE(CONTROL!$C$9, $D$9, 100%, $F$9) + CHOOSE(CONTROL!$C$27, 0.0021, 0)</f>
        <v>23.097099999999998</v>
      </c>
      <c r="C25" s="10">
        <f>22.6627 * CHOOSE(CONTROL!$C$9, $D$9, 100%, $F$9) + CHOOSE(CONTROL!$C$27, 0.0021, 0)</f>
        <v>22.6648</v>
      </c>
      <c r="D25" s="10">
        <f>22.6627 * CHOOSE(CONTROL!$C$9, $D$9, 100%, $F$9) + CHOOSE(CONTROL!$C$27, 0.0021, 0)</f>
        <v>22.6648</v>
      </c>
      <c r="E25" s="10">
        <f>22.5261 * CHOOSE(CONTROL!$C$9, $D$9, 100%, $F$9) + CHOOSE(CONTROL!$C$27, 0.0021, 0)</f>
        <v>22.528199999999998</v>
      </c>
      <c r="F25" s="10">
        <f>22.5261 * CHOOSE(CONTROL!$C$9, $D$9, 100%, $F$9) + CHOOSE(CONTROL!$C$27, 0.0021, 0)</f>
        <v>22.528199999999998</v>
      </c>
      <c r="G25" s="10">
        <f>22.7974 * CHOOSE(CONTROL!$C$9, $D$9, 100%, $F$9) + CHOOSE(CONTROL!$C$27, 0.0021, 0)</f>
        <v>22.799499999999998</v>
      </c>
      <c r="H25" s="10">
        <f>22.6627 * CHOOSE(CONTROL!$C$9, $D$9, 100%, $F$9) + CHOOSE(CONTROL!$C$27, 0.0021, 0)</f>
        <v>22.6648</v>
      </c>
      <c r="I25" s="10">
        <f>22.6627 * CHOOSE(CONTROL!$C$9, $D$9, 100%, $F$9) + CHOOSE(CONTROL!$C$27, 0.0021, 0)</f>
        <v>22.6648</v>
      </c>
      <c r="J25" s="10">
        <f>22.3025 * CHOOSE(CONTROL!$C$9, $D$9, 100%, $F$9) + CHOOSE(CONTROL!$C$27, 0.0021, 0)</f>
        <v>22.304599999999997</v>
      </c>
      <c r="K25" s="10">
        <f>22.6627 * CHOOSE(CONTROL!$C$9, $D$9, 100%, $F$9) + CHOOSE(CONTROL!$C$27, 0.0021, 0)</f>
        <v>22.6648</v>
      </c>
      <c r="L25" s="10"/>
      <c r="M25" s="17"/>
      <c r="N25" s="17"/>
      <c r="O25" s="17"/>
      <c r="P25" s="17"/>
      <c r="Q25" s="17"/>
    </row>
    <row r="26" spans="1:17" ht="15">
      <c r="A26" s="16">
        <v>42064</v>
      </c>
      <c r="B26" s="10">
        <f>23.0013 * CHOOSE(CONTROL!$C$9, $D$9, 100%, $F$9) + CHOOSE(CONTROL!$C$27, 0.0021, 0)</f>
        <v>23.003399999999999</v>
      </c>
      <c r="C26" s="10">
        <f>22.5691 * CHOOSE(CONTROL!$C$9, $D$9, 100%, $F$9) + CHOOSE(CONTROL!$C$27, 0.0021, 0)</f>
        <v>22.571199999999997</v>
      </c>
      <c r="D26" s="10">
        <f>22.5691 * CHOOSE(CONTROL!$C$9, $D$9, 100%, $F$9) + CHOOSE(CONTROL!$C$27, 0.0021, 0)</f>
        <v>22.571199999999997</v>
      </c>
      <c r="E26" s="10">
        <f>22.4324 * CHOOSE(CONTROL!$C$9, $D$9, 100%, $F$9) + CHOOSE(CONTROL!$C$27, 0.0021, 0)</f>
        <v>22.4345</v>
      </c>
      <c r="F26" s="10">
        <f>22.4324 * CHOOSE(CONTROL!$C$9, $D$9, 100%, $F$9) + CHOOSE(CONTROL!$C$27, 0.0021, 0)</f>
        <v>22.4345</v>
      </c>
      <c r="G26" s="10">
        <f>22.7038 * CHOOSE(CONTROL!$C$9, $D$9, 100%, $F$9) + CHOOSE(CONTROL!$C$27, 0.0021, 0)</f>
        <v>22.7059</v>
      </c>
      <c r="H26" s="10">
        <f>22.5691 * CHOOSE(CONTROL!$C$9, $D$9, 100%, $F$9) + CHOOSE(CONTROL!$C$27, 0.0021, 0)</f>
        <v>22.571199999999997</v>
      </c>
      <c r="I26" s="10">
        <f>22.5691 * CHOOSE(CONTROL!$C$9, $D$9, 100%, $F$9) + CHOOSE(CONTROL!$C$27, 0.0021, 0)</f>
        <v>22.571199999999997</v>
      </c>
      <c r="J26" s="10">
        <f>22.2089 * CHOOSE(CONTROL!$C$9, $D$9, 100%, $F$9) + CHOOSE(CONTROL!$C$27, 0.0021, 0)</f>
        <v>22.210999999999999</v>
      </c>
      <c r="K26" s="10">
        <f>22.5691 * CHOOSE(CONTROL!$C$9, $D$9, 100%, $F$9) + CHOOSE(CONTROL!$C$27, 0.0021, 0)</f>
        <v>22.571199999999997</v>
      </c>
      <c r="L26" s="10"/>
      <c r="M26" s="17"/>
      <c r="N26" s="17"/>
      <c r="O26" s="17"/>
      <c r="P26" s="17"/>
      <c r="Q26" s="17"/>
    </row>
    <row r="27" spans="1:17" ht="15">
      <c r="A27" s="16">
        <v>42095</v>
      </c>
      <c r="B27" s="10">
        <f>22.8781 * CHOOSE(CONTROL!$C$9, $D$9, 100%, $F$9) + CHOOSE(CONTROL!$C$27, 0.0021, 0)</f>
        <v>22.880199999999999</v>
      </c>
      <c r="C27" s="10">
        <f>22.4459 * CHOOSE(CONTROL!$C$9, $D$9, 100%, $F$9) + CHOOSE(CONTROL!$C$27, 0.0021, 0)</f>
        <v>22.448</v>
      </c>
      <c r="D27" s="10">
        <f>22.4459 * CHOOSE(CONTROL!$C$9, $D$9, 100%, $F$9) + CHOOSE(CONTROL!$C$27, 0.0021, 0)</f>
        <v>22.448</v>
      </c>
      <c r="E27" s="10">
        <f>22.3092 * CHOOSE(CONTROL!$C$9, $D$9, 100%, $F$9) + CHOOSE(CONTROL!$C$27, 0.0021, 0)</f>
        <v>22.311299999999999</v>
      </c>
      <c r="F27" s="10">
        <f>22.3092 * CHOOSE(CONTROL!$C$9, $D$9, 100%, $F$9) + CHOOSE(CONTROL!$C$27, 0.0021, 0)</f>
        <v>22.311299999999999</v>
      </c>
      <c r="G27" s="10">
        <f>22.5806 * CHOOSE(CONTROL!$C$9, $D$9, 100%, $F$9) + CHOOSE(CONTROL!$C$27, 0.0021, 0)</f>
        <v>22.582699999999999</v>
      </c>
      <c r="H27" s="10">
        <f>22.4459 * CHOOSE(CONTROL!$C$9, $D$9, 100%, $F$9) + CHOOSE(CONTROL!$C$27, 0.0021, 0)</f>
        <v>22.448</v>
      </c>
      <c r="I27" s="10">
        <f>22.4459 * CHOOSE(CONTROL!$C$9, $D$9, 100%, $F$9) + CHOOSE(CONTROL!$C$27, 0.0021, 0)</f>
        <v>22.448</v>
      </c>
      <c r="J27" s="10">
        <f>22.0857 * CHOOSE(CONTROL!$C$9, $D$9, 100%, $F$9) + CHOOSE(CONTROL!$C$27, 0.0021, 0)</f>
        <v>22.087799999999998</v>
      </c>
      <c r="K27" s="10">
        <f>22.4459 * CHOOSE(CONTROL!$C$9, $D$9, 100%, $F$9) + CHOOSE(CONTROL!$C$27, 0.0021, 0)</f>
        <v>22.448</v>
      </c>
      <c r="L27" s="10"/>
      <c r="M27" s="17"/>
      <c r="N27" s="17"/>
      <c r="O27" s="17"/>
      <c r="P27" s="17"/>
      <c r="Q27" s="17"/>
    </row>
    <row r="28" spans="1:17" ht="15">
      <c r="A28" s="16">
        <v>42125</v>
      </c>
      <c r="B28" s="10">
        <f>22.7809 * CHOOSE(CONTROL!$C$9, $D$9, 100%, $F$9) + CHOOSE(CONTROL!$C$27, 0.0021, 0)</f>
        <v>22.782999999999998</v>
      </c>
      <c r="C28" s="10">
        <f>22.3486 * CHOOSE(CONTROL!$C$9, $D$9, 100%, $F$9) + CHOOSE(CONTROL!$C$27, 0.0021, 0)</f>
        <v>22.3507</v>
      </c>
      <c r="D28" s="10">
        <f>22.3486 * CHOOSE(CONTROL!$C$9, $D$9, 100%, $F$9) + CHOOSE(CONTROL!$C$27, 0.0021, 0)</f>
        <v>22.3507</v>
      </c>
      <c r="E28" s="10">
        <f>22.212 * CHOOSE(CONTROL!$C$9, $D$9, 100%, $F$9) + CHOOSE(CONTROL!$C$27, 0.0021, 0)</f>
        <v>22.214099999999998</v>
      </c>
      <c r="F28" s="10">
        <f>22.212 * CHOOSE(CONTROL!$C$9, $D$9, 100%, $F$9) + CHOOSE(CONTROL!$C$27, 0.0021, 0)</f>
        <v>22.214099999999998</v>
      </c>
      <c r="G28" s="10">
        <f>22.4833 * CHOOSE(CONTROL!$C$9, $D$9, 100%, $F$9) + CHOOSE(CONTROL!$C$27, 0.0021, 0)</f>
        <v>22.485399999999998</v>
      </c>
      <c r="H28" s="10">
        <f>22.3486 * CHOOSE(CONTROL!$C$9, $D$9, 100%, $F$9) + CHOOSE(CONTROL!$C$27, 0.0021, 0)</f>
        <v>22.3507</v>
      </c>
      <c r="I28" s="10">
        <f>22.3486 * CHOOSE(CONTROL!$C$9, $D$9, 100%, $F$9) + CHOOSE(CONTROL!$C$27, 0.0021, 0)</f>
        <v>22.3507</v>
      </c>
      <c r="J28" s="10">
        <f>21.9884 * CHOOSE(CONTROL!$C$9, $D$9, 100%, $F$9) + CHOOSE(CONTROL!$C$27, 0.0021, 0)</f>
        <v>21.990499999999997</v>
      </c>
      <c r="K28" s="10">
        <f>22.3486 * CHOOSE(CONTROL!$C$9, $D$9, 100%, $F$9) + CHOOSE(CONTROL!$C$27, 0.0021, 0)</f>
        <v>22.3507</v>
      </c>
      <c r="L28" s="10"/>
      <c r="M28" s="17"/>
      <c r="N28" s="17"/>
      <c r="O28" s="17"/>
      <c r="P28" s="17"/>
      <c r="Q28" s="17"/>
    </row>
    <row r="29" spans="1:17" ht="15">
      <c r="A29" s="16">
        <v>42156</v>
      </c>
      <c r="B29" s="10">
        <f>22.7009 * CHOOSE(CONTROL!$C$9, $D$9, 100%, $F$9) + CHOOSE(CONTROL!$C$27, 0.0021, 0)</f>
        <v>22.702999999999999</v>
      </c>
      <c r="C29" s="10">
        <f>22.2686 * CHOOSE(CONTROL!$C$9, $D$9, 100%, $F$9) + CHOOSE(CONTROL!$C$27, 0.0021, 0)</f>
        <v>22.270699999999998</v>
      </c>
      <c r="D29" s="10">
        <f>22.2686 * CHOOSE(CONTROL!$C$9, $D$9, 100%, $F$9) + CHOOSE(CONTROL!$C$27, 0.0021, 0)</f>
        <v>22.270699999999998</v>
      </c>
      <c r="E29" s="10">
        <f>22.132 * CHOOSE(CONTROL!$C$9, $D$9, 100%, $F$9) + CHOOSE(CONTROL!$C$27, 0.0021, 0)</f>
        <v>22.1341</v>
      </c>
      <c r="F29" s="10">
        <f>22.132 * CHOOSE(CONTROL!$C$9, $D$9, 100%, $F$9) + CHOOSE(CONTROL!$C$27, 0.0021, 0)</f>
        <v>22.1341</v>
      </c>
      <c r="G29" s="10">
        <f>22.4034 * CHOOSE(CONTROL!$C$9, $D$9, 100%, $F$9) + CHOOSE(CONTROL!$C$27, 0.0021, 0)</f>
        <v>22.4055</v>
      </c>
      <c r="H29" s="10">
        <f>22.2686 * CHOOSE(CONTROL!$C$9, $D$9, 100%, $F$9) + CHOOSE(CONTROL!$C$27, 0.0021, 0)</f>
        <v>22.270699999999998</v>
      </c>
      <c r="I29" s="10">
        <f>22.2686 * CHOOSE(CONTROL!$C$9, $D$9, 100%, $F$9) + CHOOSE(CONTROL!$C$27, 0.0021, 0)</f>
        <v>22.270699999999998</v>
      </c>
      <c r="J29" s="10">
        <f>21.9084 * CHOOSE(CONTROL!$C$9, $D$9, 100%, $F$9) + CHOOSE(CONTROL!$C$27, 0.0021, 0)</f>
        <v>21.910499999999999</v>
      </c>
      <c r="K29" s="10">
        <f>22.2686 * CHOOSE(CONTROL!$C$9, $D$9, 100%, $F$9) + CHOOSE(CONTROL!$C$27, 0.0021, 0)</f>
        <v>22.270699999999998</v>
      </c>
      <c r="L29" s="10"/>
      <c r="M29" s="17"/>
      <c r="N29" s="17"/>
      <c r="O29" s="17"/>
      <c r="P29" s="17"/>
      <c r="Q29" s="17"/>
    </row>
    <row r="30" spans="1:17" ht="15">
      <c r="A30" s="16">
        <v>42186</v>
      </c>
      <c r="B30" s="10">
        <f>22.6461 * CHOOSE(CONTROL!$C$9, $D$9, 100%, $F$9) + CHOOSE(CONTROL!$C$27, 0.0021, 0)</f>
        <v>22.648199999999999</v>
      </c>
      <c r="C30" s="10">
        <f>22.2139 * CHOOSE(CONTROL!$C$9, $D$9, 100%, $F$9) + CHOOSE(CONTROL!$C$27, 0.0021, 0)</f>
        <v>22.215999999999998</v>
      </c>
      <c r="D30" s="10">
        <f>22.2139 * CHOOSE(CONTROL!$C$9, $D$9, 100%, $F$9) + CHOOSE(CONTROL!$C$27, 0.0021, 0)</f>
        <v>22.215999999999998</v>
      </c>
      <c r="E30" s="10">
        <f>22.0772 * CHOOSE(CONTROL!$C$9, $D$9, 100%, $F$9) + CHOOSE(CONTROL!$C$27, 0.0021, 0)</f>
        <v>22.0793</v>
      </c>
      <c r="F30" s="10">
        <f>22.0772 * CHOOSE(CONTROL!$C$9, $D$9, 100%, $F$9) + CHOOSE(CONTROL!$C$27, 0.0021, 0)</f>
        <v>22.0793</v>
      </c>
      <c r="G30" s="10">
        <f>22.3486 * CHOOSE(CONTROL!$C$9, $D$9, 100%, $F$9) + CHOOSE(CONTROL!$C$27, 0.0021, 0)</f>
        <v>22.3507</v>
      </c>
      <c r="H30" s="10">
        <f>22.2139 * CHOOSE(CONTROL!$C$9, $D$9, 100%, $F$9) + CHOOSE(CONTROL!$C$27, 0.0021, 0)</f>
        <v>22.215999999999998</v>
      </c>
      <c r="I30" s="10">
        <f>22.2139 * CHOOSE(CONTROL!$C$9, $D$9, 100%, $F$9) + CHOOSE(CONTROL!$C$27, 0.0021, 0)</f>
        <v>22.215999999999998</v>
      </c>
      <c r="J30" s="10">
        <f>21.8537 * CHOOSE(CONTROL!$C$9, $D$9, 100%, $F$9) + CHOOSE(CONTROL!$C$27, 0.0021, 0)</f>
        <v>21.855799999999999</v>
      </c>
      <c r="K30" s="10">
        <f>22.2139 * CHOOSE(CONTROL!$C$9, $D$9, 100%, $F$9) + CHOOSE(CONTROL!$C$27, 0.0021, 0)</f>
        <v>22.215999999999998</v>
      </c>
      <c r="L30" s="10"/>
      <c r="M30" s="17"/>
      <c r="N30" s="17"/>
      <c r="O30" s="17"/>
      <c r="P30" s="17"/>
      <c r="Q30" s="17"/>
    </row>
    <row r="31" spans="1:17" ht="15">
      <c r="A31" s="16">
        <v>42217</v>
      </c>
      <c r="B31" s="10">
        <f>22.5979 * CHOOSE(CONTROL!$C$9, $D$9, 100%, $F$9) + CHOOSE(CONTROL!$C$27, 0.0021, 0)</f>
        <v>22.599999999999998</v>
      </c>
      <c r="C31" s="10">
        <f>22.1656 * CHOOSE(CONTROL!$C$9, $D$9, 100%, $F$9) + CHOOSE(CONTROL!$C$27, 0.0021, 0)</f>
        <v>22.1677</v>
      </c>
      <c r="D31" s="10">
        <f>22.1656 * CHOOSE(CONTROL!$C$9, $D$9, 100%, $F$9) + CHOOSE(CONTROL!$C$27, 0.0021, 0)</f>
        <v>22.1677</v>
      </c>
      <c r="E31" s="10">
        <f>22.029 * CHOOSE(CONTROL!$C$9, $D$9, 100%, $F$9) + CHOOSE(CONTROL!$C$27, 0.0021, 0)</f>
        <v>22.031099999999999</v>
      </c>
      <c r="F31" s="10">
        <f>22.029 * CHOOSE(CONTROL!$C$9, $D$9, 100%, $F$9) + CHOOSE(CONTROL!$C$27, 0.0021, 0)</f>
        <v>22.031099999999999</v>
      </c>
      <c r="G31" s="10">
        <f>22.3003 * CHOOSE(CONTROL!$C$9, $D$9, 100%, $F$9) + CHOOSE(CONTROL!$C$27, 0.0021, 0)</f>
        <v>22.302399999999999</v>
      </c>
      <c r="H31" s="10">
        <f>22.1656 * CHOOSE(CONTROL!$C$9, $D$9, 100%, $F$9) + CHOOSE(CONTROL!$C$27, 0.0021, 0)</f>
        <v>22.1677</v>
      </c>
      <c r="I31" s="10">
        <f>22.1656 * CHOOSE(CONTROL!$C$9, $D$9, 100%, $F$9) + CHOOSE(CONTROL!$C$27, 0.0021, 0)</f>
        <v>22.1677</v>
      </c>
      <c r="J31" s="10">
        <f>21.8054 * CHOOSE(CONTROL!$C$9, $D$9, 100%, $F$9) + CHOOSE(CONTROL!$C$27, 0.0021, 0)</f>
        <v>21.807499999999997</v>
      </c>
      <c r="K31" s="10">
        <f>22.1656 * CHOOSE(CONTROL!$C$9, $D$9, 100%, $F$9) + CHOOSE(CONTROL!$C$27, 0.0021, 0)</f>
        <v>22.1677</v>
      </c>
      <c r="L31" s="10"/>
      <c r="M31" s="17"/>
      <c r="N31" s="17"/>
      <c r="O31" s="17"/>
      <c r="P31" s="17"/>
      <c r="Q31" s="17"/>
    </row>
    <row r="32" spans="1:17" ht="15">
      <c r="A32" s="16">
        <v>42248</v>
      </c>
      <c r="B32" s="10">
        <f>22.5705 * CHOOSE(CONTROL!$C$9, $D$9, 100%, $F$9) + CHOOSE(CONTROL!$C$27, 0.0021, 0)</f>
        <v>22.572599999999998</v>
      </c>
      <c r="C32" s="10">
        <f>22.1383 * CHOOSE(CONTROL!$C$9, $D$9, 100%, $F$9) + CHOOSE(CONTROL!$C$27, 0.0021, 0)</f>
        <v>22.1404</v>
      </c>
      <c r="D32" s="10">
        <f>22.1383 * CHOOSE(CONTROL!$C$9, $D$9, 100%, $F$9) + CHOOSE(CONTROL!$C$27, 0.0021, 0)</f>
        <v>22.1404</v>
      </c>
      <c r="E32" s="10">
        <f>22.0016 * CHOOSE(CONTROL!$C$9, $D$9, 100%, $F$9) + CHOOSE(CONTROL!$C$27, 0.0021, 0)</f>
        <v>22.003699999999998</v>
      </c>
      <c r="F32" s="10">
        <f>22.0016 * CHOOSE(CONTROL!$C$9, $D$9, 100%, $F$9) + CHOOSE(CONTROL!$C$27, 0.0021, 0)</f>
        <v>22.003699999999998</v>
      </c>
      <c r="G32" s="10">
        <f>22.273 * CHOOSE(CONTROL!$C$9, $D$9, 100%, $F$9) + CHOOSE(CONTROL!$C$27, 0.0021, 0)</f>
        <v>22.275099999999998</v>
      </c>
      <c r="H32" s="10">
        <f>22.1383 * CHOOSE(CONTROL!$C$9, $D$9, 100%, $F$9) + CHOOSE(CONTROL!$C$27, 0.0021, 0)</f>
        <v>22.1404</v>
      </c>
      <c r="I32" s="10">
        <f>22.1383 * CHOOSE(CONTROL!$C$9, $D$9, 100%, $F$9) + CHOOSE(CONTROL!$C$27, 0.0021, 0)</f>
        <v>22.1404</v>
      </c>
      <c r="J32" s="10">
        <f>21.778 * CHOOSE(CONTROL!$C$9, $D$9, 100%, $F$9) + CHOOSE(CONTROL!$C$27, 0.0021, 0)</f>
        <v>21.780099999999997</v>
      </c>
      <c r="K32" s="10">
        <f>22.1383 * CHOOSE(CONTROL!$C$9, $D$9, 100%, $F$9) + CHOOSE(CONTROL!$C$27, 0.0021, 0)</f>
        <v>22.1404</v>
      </c>
      <c r="L32" s="10"/>
      <c r="M32" s="17"/>
      <c r="N32" s="17"/>
      <c r="O32" s="17"/>
      <c r="P32" s="17"/>
      <c r="Q32" s="17"/>
    </row>
    <row r="33" spans="1:17" ht="15">
      <c r="A33" s="16">
        <v>42278</v>
      </c>
      <c r="B33" s="10">
        <f>22.5417 * CHOOSE(CONTROL!$C$9, $D$9, 100%, $F$9) + CHOOSE(CONTROL!$C$27, 0.0021, 0)</f>
        <v>22.543799999999997</v>
      </c>
      <c r="C33" s="10">
        <f>22.1094 * CHOOSE(CONTROL!$C$9, $D$9, 100%, $F$9) + CHOOSE(CONTROL!$C$27, 0.0021, 0)</f>
        <v>22.111499999999999</v>
      </c>
      <c r="D33" s="10">
        <f>22.1094 * CHOOSE(CONTROL!$C$9, $D$9, 100%, $F$9) + CHOOSE(CONTROL!$C$27, 0.0021, 0)</f>
        <v>22.111499999999999</v>
      </c>
      <c r="E33" s="10">
        <f>21.9728 * CHOOSE(CONTROL!$C$9, $D$9, 100%, $F$9) + CHOOSE(CONTROL!$C$27, 0.0021, 0)</f>
        <v>21.974899999999998</v>
      </c>
      <c r="F33" s="10">
        <f>21.9728 * CHOOSE(CONTROL!$C$9, $D$9, 100%, $F$9) + CHOOSE(CONTROL!$C$27, 0.0021, 0)</f>
        <v>21.974899999999998</v>
      </c>
      <c r="G33" s="10">
        <f>22.2442 * CHOOSE(CONTROL!$C$9, $D$9, 100%, $F$9) + CHOOSE(CONTROL!$C$27, 0.0021, 0)</f>
        <v>22.246299999999998</v>
      </c>
      <c r="H33" s="10">
        <f>22.1094 * CHOOSE(CONTROL!$C$9, $D$9, 100%, $F$9) + CHOOSE(CONTROL!$C$27, 0.0021, 0)</f>
        <v>22.111499999999999</v>
      </c>
      <c r="I33" s="10">
        <f>22.1094 * CHOOSE(CONTROL!$C$9, $D$9, 100%, $F$9) + CHOOSE(CONTROL!$C$27, 0.0021, 0)</f>
        <v>22.111499999999999</v>
      </c>
      <c r="J33" s="10">
        <f>21.7492 * CHOOSE(CONTROL!$C$9, $D$9, 100%, $F$9) + CHOOSE(CONTROL!$C$27, 0.0021, 0)</f>
        <v>21.751299999999997</v>
      </c>
      <c r="K33" s="10">
        <f>22.1094 * CHOOSE(CONTROL!$C$9, $D$9, 100%, $F$9) + CHOOSE(CONTROL!$C$27, 0.0021, 0)</f>
        <v>22.111499999999999</v>
      </c>
      <c r="L33" s="10"/>
      <c r="M33" s="17"/>
      <c r="N33" s="17"/>
      <c r="O33" s="17"/>
      <c r="P33" s="17"/>
      <c r="Q33" s="17"/>
    </row>
    <row r="34" spans="1:17" ht="15">
      <c r="A34" s="16">
        <v>42309</v>
      </c>
      <c r="B34" s="10">
        <f>22.4977 * CHOOSE(CONTROL!$C$9, $D$9, 100%, $F$9) + CHOOSE(CONTROL!$C$27, 0.0021, 0)</f>
        <v>22.499799999999997</v>
      </c>
      <c r="C34" s="10">
        <f>22.0655 * CHOOSE(CONTROL!$C$9, $D$9, 100%, $F$9) + CHOOSE(CONTROL!$C$27, 0.0021, 0)</f>
        <v>22.067599999999999</v>
      </c>
      <c r="D34" s="10">
        <f>22.0655 * CHOOSE(CONTROL!$C$9, $D$9, 100%, $F$9) + CHOOSE(CONTROL!$C$27, 0.0021, 0)</f>
        <v>22.067599999999999</v>
      </c>
      <c r="E34" s="10">
        <f>21.9288 * CHOOSE(CONTROL!$C$9, $D$9, 100%, $F$9) + CHOOSE(CONTROL!$C$27, 0.0021, 0)</f>
        <v>21.930899999999998</v>
      </c>
      <c r="F34" s="10">
        <f>21.9288 * CHOOSE(CONTROL!$C$9, $D$9, 100%, $F$9) + CHOOSE(CONTROL!$C$27, 0.0021, 0)</f>
        <v>21.930899999999998</v>
      </c>
      <c r="G34" s="10">
        <f>22.2002 * CHOOSE(CONTROL!$C$9, $D$9, 100%, $F$9) + CHOOSE(CONTROL!$C$27, 0.0021, 0)</f>
        <v>22.202299999999997</v>
      </c>
      <c r="H34" s="10">
        <f>22.0655 * CHOOSE(CONTROL!$C$9, $D$9, 100%, $F$9) + CHOOSE(CONTROL!$C$27, 0.0021, 0)</f>
        <v>22.067599999999999</v>
      </c>
      <c r="I34" s="10">
        <f>22.0655 * CHOOSE(CONTROL!$C$9, $D$9, 100%, $F$9) + CHOOSE(CONTROL!$C$27, 0.0021, 0)</f>
        <v>22.067599999999999</v>
      </c>
      <c r="J34" s="10">
        <f>21.7053 * CHOOSE(CONTROL!$C$9, $D$9, 100%, $F$9) + CHOOSE(CONTROL!$C$27, 0.0021, 0)</f>
        <v>21.7074</v>
      </c>
      <c r="K34" s="10">
        <f>22.0655 * CHOOSE(CONTROL!$C$9, $D$9, 100%, $F$9) + CHOOSE(CONTROL!$C$27, 0.0021, 0)</f>
        <v>22.067599999999999</v>
      </c>
      <c r="L34" s="10"/>
      <c r="M34" s="17"/>
      <c r="N34" s="17"/>
      <c r="O34" s="17"/>
      <c r="P34" s="17"/>
      <c r="Q34" s="17"/>
    </row>
    <row r="35" spans="1:17" ht="15">
      <c r="A35" s="16">
        <v>42339</v>
      </c>
      <c r="B35" s="10">
        <f>22.4509 * CHOOSE(CONTROL!$C$9, $D$9, 100%, $F$9) + CHOOSE(CONTROL!$C$27, 0.0021, 0)</f>
        <v>22.452999999999999</v>
      </c>
      <c r="C35" s="10">
        <f>22.0187 * CHOOSE(CONTROL!$C$9, $D$9, 100%, $F$9) + CHOOSE(CONTROL!$C$27, 0.0021, 0)</f>
        <v>22.020799999999998</v>
      </c>
      <c r="D35" s="10">
        <f>22.0187 * CHOOSE(CONTROL!$C$9, $D$9, 100%, $F$9) + CHOOSE(CONTROL!$C$27, 0.0021, 0)</f>
        <v>22.020799999999998</v>
      </c>
      <c r="E35" s="10">
        <f>21.882 * CHOOSE(CONTROL!$C$9, $D$9, 100%, $F$9) + CHOOSE(CONTROL!$C$27, 0.0021, 0)</f>
        <v>21.8841</v>
      </c>
      <c r="F35" s="10">
        <f>21.882 * CHOOSE(CONTROL!$C$9, $D$9, 100%, $F$9) + CHOOSE(CONTROL!$C$27, 0.0021, 0)</f>
        <v>21.8841</v>
      </c>
      <c r="G35" s="10">
        <f>22.1534 * CHOOSE(CONTROL!$C$9, $D$9, 100%, $F$9) + CHOOSE(CONTROL!$C$27, 0.0021, 0)</f>
        <v>22.1555</v>
      </c>
      <c r="H35" s="10">
        <f>22.0187 * CHOOSE(CONTROL!$C$9, $D$9, 100%, $F$9) + CHOOSE(CONTROL!$C$27, 0.0021, 0)</f>
        <v>22.020799999999998</v>
      </c>
      <c r="I35" s="10">
        <f>22.0187 * CHOOSE(CONTROL!$C$9, $D$9, 100%, $F$9) + CHOOSE(CONTROL!$C$27, 0.0021, 0)</f>
        <v>22.020799999999998</v>
      </c>
      <c r="J35" s="10">
        <f>21.6585 * CHOOSE(CONTROL!$C$9, $D$9, 100%, $F$9) + CHOOSE(CONTROL!$C$27, 0.0021, 0)</f>
        <v>21.660599999999999</v>
      </c>
      <c r="K35" s="10">
        <f>22.0187 * CHOOSE(CONTROL!$C$9, $D$9, 100%, $F$9) + CHOOSE(CONTROL!$C$27, 0.0021, 0)</f>
        <v>22.020799999999998</v>
      </c>
      <c r="L35" s="10"/>
      <c r="M35" s="17"/>
      <c r="N35" s="17"/>
      <c r="O35" s="17"/>
      <c r="P35" s="17"/>
      <c r="Q35" s="17"/>
    </row>
    <row r="36" spans="1:17" ht="15">
      <c r="A36" s="16">
        <v>42370</v>
      </c>
      <c r="B36" s="10">
        <f>22.4149 * CHOOSE(CONTROL!$C$9, $D$9, 100%, $F$9) + CHOOSE(CONTROL!$C$27, 0.0021, 0)</f>
        <v>22.416999999999998</v>
      </c>
      <c r="C36" s="10">
        <f>21.9826 * CHOOSE(CONTROL!$C$9, $D$9, 100%, $F$9) + CHOOSE(CONTROL!$C$27, 0.0021, 0)</f>
        <v>21.9847</v>
      </c>
      <c r="D36" s="10">
        <f>21.9826 * CHOOSE(CONTROL!$C$9, $D$9, 100%, $F$9) + CHOOSE(CONTROL!$C$27, 0.0021, 0)</f>
        <v>21.9847</v>
      </c>
      <c r="E36" s="10">
        <f>21.846 * CHOOSE(CONTROL!$C$9, $D$9, 100%, $F$9) + CHOOSE(CONTROL!$C$27, 0.0021, 0)</f>
        <v>21.848099999999999</v>
      </c>
      <c r="F36" s="10">
        <f>21.846 * CHOOSE(CONTROL!$C$9, $D$9, 100%, $F$9) + CHOOSE(CONTROL!$C$27, 0.0021, 0)</f>
        <v>21.848099999999999</v>
      </c>
      <c r="G36" s="10">
        <f>22.1174 * CHOOSE(CONTROL!$C$9, $D$9, 100%, $F$9) + CHOOSE(CONTROL!$C$27, 0.0021, 0)</f>
        <v>22.119499999999999</v>
      </c>
      <c r="H36" s="10">
        <f>21.9826 * CHOOSE(CONTROL!$C$9, $D$9, 100%, $F$9) + CHOOSE(CONTROL!$C$27, 0.0021, 0)</f>
        <v>21.9847</v>
      </c>
      <c r="I36" s="10">
        <f>21.9826 * CHOOSE(CONTROL!$C$9, $D$9, 100%, $F$9) + CHOOSE(CONTROL!$C$27, 0.0021, 0)</f>
        <v>21.9847</v>
      </c>
      <c r="J36" s="10">
        <f>21.9826 * CHOOSE(CONTROL!$C$9, $D$9, 100%, $F$9) + CHOOSE(CONTROL!$C$27, 0.0021, 0)</f>
        <v>21.9847</v>
      </c>
      <c r="K36" s="10">
        <f>21.9826 * CHOOSE(CONTROL!$C$9, $D$9, 100%, $F$9) + CHOOSE(CONTROL!$C$27, 0.0021, 0)</f>
        <v>21.9847</v>
      </c>
      <c r="L36" s="10"/>
    </row>
    <row r="37" spans="1:17" ht="15">
      <c r="A37" s="16">
        <v>42401</v>
      </c>
      <c r="B37" s="10">
        <f>22.3428 * CHOOSE(CONTROL!$C$9, $D$9, 100%, $F$9) + CHOOSE(CONTROL!$C$27, 0.0021, 0)</f>
        <v>22.344899999999999</v>
      </c>
      <c r="C37" s="10">
        <f>21.9106 * CHOOSE(CONTROL!$C$9, $D$9, 100%, $F$9) + CHOOSE(CONTROL!$C$27, 0.0021, 0)</f>
        <v>21.912699999999997</v>
      </c>
      <c r="D37" s="10">
        <f>21.9106 * CHOOSE(CONTROL!$C$9, $D$9, 100%, $F$9) + CHOOSE(CONTROL!$C$27, 0.0021, 0)</f>
        <v>21.912699999999997</v>
      </c>
      <c r="E37" s="10">
        <f>21.7739 * CHOOSE(CONTROL!$C$9, $D$9, 100%, $F$9) + CHOOSE(CONTROL!$C$27, 0.0021, 0)</f>
        <v>21.776</v>
      </c>
      <c r="F37" s="10">
        <f>21.7739 * CHOOSE(CONTROL!$C$9, $D$9, 100%, $F$9) + CHOOSE(CONTROL!$C$27, 0.0021, 0)</f>
        <v>21.776</v>
      </c>
      <c r="G37" s="10">
        <f>22.0453 * CHOOSE(CONTROL!$C$9, $D$9, 100%, $F$9) + CHOOSE(CONTROL!$C$27, 0.0021, 0)</f>
        <v>22.0474</v>
      </c>
      <c r="H37" s="10">
        <f>21.9106 * CHOOSE(CONTROL!$C$9, $D$9, 100%, $F$9) + CHOOSE(CONTROL!$C$27, 0.0021, 0)</f>
        <v>21.912699999999997</v>
      </c>
      <c r="I37" s="10">
        <f>21.9106 * CHOOSE(CONTROL!$C$9, $D$9, 100%, $F$9) + CHOOSE(CONTROL!$C$27, 0.0021, 0)</f>
        <v>21.912699999999997</v>
      </c>
      <c r="J37" s="10">
        <f>21.9106 * CHOOSE(CONTROL!$C$9, $D$9, 100%, $F$9) + CHOOSE(CONTROL!$C$27, 0.0021, 0)</f>
        <v>21.912699999999997</v>
      </c>
      <c r="K37" s="10">
        <f>21.9106 * CHOOSE(CONTROL!$C$9, $D$9, 100%, $F$9) + CHOOSE(CONTROL!$C$27, 0.0021, 0)</f>
        <v>21.912699999999997</v>
      </c>
      <c r="L37" s="10"/>
    </row>
    <row r="38" spans="1:17" ht="15">
      <c r="A38" s="16">
        <v>42430</v>
      </c>
      <c r="B38" s="10">
        <f>22.2384 * CHOOSE(CONTROL!$C$9, $D$9, 100%, $F$9) + CHOOSE(CONTROL!$C$27, 0.0021, 0)</f>
        <v>22.240499999999997</v>
      </c>
      <c r="C38" s="10">
        <f>21.8061 * CHOOSE(CONTROL!$C$9, $D$9, 100%, $F$9) + CHOOSE(CONTROL!$C$27, 0.0021, 0)</f>
        <v>21.808199999999999</v>
      </c>
      <c r="D38" s="10">
        <f>21.8061 * CHOOSE(CONTROL!$C$9, $D$9, 100%, $F$9) + CHOOSE(CONTROL!$C$27, 0.0021, 0)</f>
        <v>21.808199999999999</v>
      </c>
      <c r="E38" s="10">
        <f>21.6695 * CHOOSE(CONTROL!$C$9, $D$9, 100%, $F$9) + CHOOSE(CONTROL!$C$27, 0.0021, 0)</f>
        <v>21.671599999999998</v>
      </c>
      <c r="F38" s="10">
        <f>21.6695 * CHOOSE(CONTROL!$C$9, $D$9, 100%, $F$9) + CHOOSE(CONTROL!$C$27, 0.0021, 0)</f>
        <v>21.671599999999998</v>
      </c>
      <c r="G38" s="10">
        <f>21.9409 * CHOOSE(CONTROL!$C$9, $D$9, 100%, $F$9) + CHOOSE(CONTROL!$C$27, 0.0021, 0)</f>
        <v>21.942999999999998</v>
      </c>
      <c r="H38" s="10">
        <f>21.8061 * CHOOSE(CONTROL!$C$9, $D$9, 100%, $F$9) + CHOOSE(CONTROL!$C$27, 0.0021, 0)</f>
        <v>21.808199999999999</v>
      </c>
      <c r="I38" s="10">
        <f>21.8061 * CHOOSE(CONTROL!$C$9, $D$9, 100%, $F$9) + CHOOSE(CONTROL!$C$27, 0.0021, 0)</f>
        <v>21.808199999999999</v>
      </c>
      <c r="J38" s="10">
        <f>21.8061 * CHOOSE(CONTROL!$C$9, $D$9, 100%, $F$9) + CHOOSE(CONTROL!$C$27, 0.0021, 0)</f>
        <v>21.808199999999999</v>
      </c>
      <c r="K38" s="10">
        <f>21.8061 * CHOOSE(CONTROL!$C$9, $D$9, 100%, $F$9) + CHOOSE(CONTROL!$C$27, 0.0021, 0)</f>
        <v>21.808199999999999</v>
      </c>
      <c r="L38" s="10"/>
    </row>
    <row r="39" spans="1:17" ht="15">
      <c r="A39" s="16">
        <v>42461</v>
      </c>
      <c r="B39" s="10">
        <f>22.1231 * CHOOSE(CONTROL!$C$9, $D$9, 100%, $F$9) + CHOOSE(CONTROL!$C$27, 0.0021, 0)</f>
        <v>22.1252</v>
      </c>
      <c r="C39" s="10">
        <f>21.6909 * CHOOSE(CONTROL!$C$9, $D$9, 100%, $F$9) + CHOOSE(CONTROL!$C$27, 0.0021, 0)</f>
        <v>21.692999999999998</v>
      </c>
      <c r="D39" s="10">
        <f>21.6909 * CHOOSE(CONTROL!$C$9, $D$9, 100%, $F$9) + CHOOSE(CONTROL!$C$27, 0.0021, 0)</f>
        <v>21.692999999999998</v>
      </c>
      <c r="E39" s="10">
        <f>21.5542 * CHOOSE(CONTROL!$C$9, $D$9, 100%, $F$9) + CHOOSE(CONTROL!$C$27, 0.0021, 0)</f>
        <v>21.5563</v>
      </c>
      <c r="F39" s="10">
        <f>21.5542 * CHOOSE(CONTROL!$C$9, $D$9, 100%, $F$9) + CHOOSE(CONTROL!$C$27, 0.0021, 0)</f>
        <v>21.5563</v>
      </c>
      <c r="G39" s="10">
        <f>21.8256 * CHOOSE(CONTROL!$C$9, $D$9, 100%, $F$9) + CHOOSE(CONTROL!$C$27, 0.0021, 0)</f>
        <v>21.8277</v>
      </c>
      <c r="H39" s="10">
        <f>21.6909 * CHOOSE(CONTROL!$C$9, $D$9, 100%, $F$9) + CHOOSE(CONTROL!$C$27, 0.0021, 0)</f>
        <v>21.692999999999998</v>
      </c>
      <c r="I39" s="10">
        <f>21.6909 * CHOOSE(CONTROL!$C$9, $D$9, 100%, $F$9) + CHOOSE(CONTROL!$C$27, 0.0021, 0)</f>
        <v>21.692999999999998</v>
      </c>
      <c r="J39" s="10">
        <f>21.6909 * CHOOSE(CONTROL!$C$9, $D$9, 100%, $F$9) + CHOOSE(CONTROL!$C$27, 0.0021, 0)</f>
        <v>21.692999999999998</v>
      </c>
      <c r="K39" s="10">
        <f>21.6909 * CHOOSE(CONTROL!$C$9, $D$9, 100%, $F$9) + CHOOSE(CONTROL!$C$27, 0.0021, 0)</f>
        <v>21.692999999999998</v>
      </c>
      <c r="L39" s="10"/>
    </row>
    <row r="40" spans="1:17" ht="15">
      <c r="A40" s="16">
        <v>42491</v>
      </c>
      <c r="B40" s="10">
        <f>22.0223 * CHOOSE(CONTROL!$C$9, $D$9, 100%, $F$9) + CHOOSE(CONTROL!$C$27, 0.0021, 0)</f>
        <v>22.0244</v>
      </c>
      <c r="C40" s="10">
        <f>21.59 * CHOOSE(CONTROL!$C$9, $D$9, 100%, $F$9) + CHOOSE(CONTROL!$C$27, 0.0021, 0)</f>
        <v>21.592099999999999</v>
      </c>
      <c r="D40" s="10">
        <f>21.59 * CHOOSE(CONTROL!$C$9, $D$9, 100%, $F$9) + CHOOSE(CONTROL!$C$27, 0.0021, 0)</f>
        <v>21.592099999999999</v>
      </c>
      <c r="E40" s="10">
        <f>21.4534 * CHOOSE(CONTROL!$C$9, $D$9, 100%, $F$9) + CHOOSE(CONTROL!$C$27, 0.0021, 0)</f>
        <v>21.455499999999997</v>
      </c>
      <c r="F40" s="10">
        <f>21.4534 * CHOOSE(CONTROL!$C$9, $D$9, 100%, $F$9) + CHOOSE(CONTROL!$C$27, 0.0021, 0)</f>
        <v>21.455499999999997</v>
      </c>
      <c r="G40" s="10">
        <f>21.7247 * CHOOSE(CONTROL!$C$9, $D$9, 100%, $F$9) + CHOOSE(CONTROL!$C$27, 0.0021, 0)</f>
        <v>21.726799999999997</v>
      </c>
      <c r="H40" s="10">
        <f>21.59 * CHOOSE(CONTROL!$C$9, $D$9, 100%, $F$9) + CHOOSE(CONTROL!$C$27, 0.0021, 0)</f>
        <v>21.592099999999999</v>
      </c>
      <c r="I40" s="10">
        <f>21.59 * CHOOSE(CONTROL!$C$9, $D$9, 100%, $F$9) + CHOOSE(CONTROL!$C$27, 0.0021, 0)</f>
        <v>21.592099999999999</v>
      </c>
      <c r="J40" s="10">
        <f>21.59 * CHOOSE(CONTROL!$C$9, $D$9, 100%, $F$9) + CHOOSE(CONTROL!$C$27, 0.0021, 0)</f>
        <v>21.592099999999999</v>
      </c>
      <c r="K40" s="10">
        <f>21.59 * CHOOSE(CONTROL!$C$9, $D$9, 100%, $F$9) + CHOOSE(CONTROL!$C$27, 0.0021, 0)</f>
        <v>21.592099999999999</v>
      </c>
      <c r="L40" s="10"/>
    </row>
    <row r="41" spans="1:17" ht="15">
      <c r="A41" s="16">
        <v>42522</v>
      </c>
      <c r="B41" s="10">
        <f>21.943 * CHOOSE(CONTROL!$C$9, $D$9, 100%, $F$9) + CHOOSE(CONTROL!$C$27, 0.0021, 0)</f>
        <v>21.9451</v>
      </c>
      <c r="C41" s="10">
        <f>21.5108 * CHOOSE(CONTROL!$C$9, $D$9, 100%, $F$9) + CHOOSE(CONTROL!$C$27, 0.0021, 0)</f>
        <v>21.512899999999998</v>
      </c>
      <c r="D41" s="10">
        <f>21.5108 * CHOOSE(CONTROL!$C$9, $D$9, 100%, $F$9) + CHOOSE(CONTROL!$C$27, 0.0021, 0)</f>
        <v>21.512899999999998</v>
      </c>
      <c r="E41" s="10">
        <f>21.3741 * CHOOSE(CONTROL!$C$9, $D$9, 100%, $F$9) + CHOOSE(CONTROL!$C$27, 0.0021, 0)</f>
        <v>21.376199999999997</v>
      </c>
      <c r="F41" s="10">
        <f>21.3741 * CHOOSE(CONTROL!$C$9, $D$9, 100%, $F$9) + CHOOSE(CONTROL!$C$27, 0.0021, 0)</f>
        <v>21.376199999999997</v>
      </c>
      <c r="G41" s="10">
        <f>21.6455 * CHOOSE(CONTROL!$C$9, $D$9, 100%, $F$9) + CHOOSE(CONTROL!$C$27, 0.0021, 0)</f>
        <v>21.647599999999997</v>
      </c>
      <c r="H41" s="10">
        <f>21.5108 * CHOOSE(CONTROL!$C$9, $D$9, 100%, $F$9) + CHOOSE(CONTROL!$C$27, 0.0021, 0)</f>
        <v>21.512899999999998</v>
      </c>
      <c r="I41" s="10">
        <f>21.5108 * CHOOSE(CONTROL!$C$9, $D$9, 100%, $F$9) + CHOOSE(CONTROL!$C$27, 0.0021, 0)</f>
        <v>21.512899999999998</v>
      </c>
      <c r="J41" s="10">
        <f>21.5108 * CHOOSE(CONTROL!$C$9, $D$9, 100%, $F$9) + CHOOSE(CONTROL!$C$27, 0.0021, 0)</f>
        <v>21.512899999999998</v>
      </c>
      <c r="K41" s="10">
        <f>21.5108 * CHOOSE(CONTROL!$C$9, $D$9, 100%, $F$9) + CHOOSE(CONTROL!$C$27, 0.0021, 0)</f>
        <v>21.512899999999998</v>
      </c>
      <c r="L41" s="10"/>
    </row>
    <row r="42" spans="1:17" ht="15">
      <c r="A42" s="16">
        <v>42552</v>
      </c>
      <c r="B42" s="10">
        <f>21.8998 * CHOOSE(CONTROL!$C$9, $D$9, 100%, $F$9) + CHOOSE(CONTROL!$C$27, 0.0021, 0)</f>
        <v>21.901899999999998</v>
      </c>
      <c r="C42" s="10">
        <f>21.4675 * CHOOSE(CONTROL!$C$9, $D$9, 100%, $F$9) + CHOOSE(CONTROL!$C$27, 0.0021, 0)</f>
        <v>21.4696</v>
      </c>
      <c r="D42" s="10">
        <f>21.4675 * CHOOSE(CONTROL!$C$9, $D$9, 100%, $F$9) + CHOOSE(CONTROL!$C$27, 0.0021, 0)</f>
        <v>21.4696</v>
      </c>
      <c r="E42" s="10">
        <f>21.3309 * CHOOSE(CONTROL!$C$9, $D$9, 100%, $F$9) + CHOOSE(CONTROL!$C$27, 0.0021, 0)</f>
        <v>21.332999999999998</v>
      </c>
      <c r="F42" s="10">
        <f>21.3309 * CHOOSE(CONTROL!$C$9, $D$9, 100%, $F$9) + CHOOSE(CONTROL!$C$27, 0.0021, 0)</f>
        <v>21.332999999999998</v>
      </c>
      <c r="G42" s="10">
        <f>21.6023 * CHOOSE(CONTROL!$C$9, $D$9, 100%, $F$9) + CHOOSE(CONTROL!$C$27, 0.0021, 0)</f>
        <v>21.604399999999998</v>
      </c>
      <c r="H42" s="10">
        <f>21.4675 * CHOOSE(CONTROL!$C$9, $D$9, 100%, $F$9) + CHOOSE(CONTROL!$C$27, 0.0021, 0)</f>
        <v>21.4696</v>
      </c>
      <c r="I42" s="10">
        <f>21.4675 * CHOOSE(CONTROL!$C$9, $D$9, 100%, $F$9) + CHOOSE(CONTROL!$C$27, 0.0021, 0)</f>
        <v>21.4696</v>
      </c>
      <c r="J42" s="10">
        <f>21.4675 * CHOOSE(CONTROL!$C$9, $D$9, 100%, $F$9) + CHOOSE(CONTROL!$C$27, 0.0021, 0)</f>
        <v>21.4696</v>
      </c>
      <c r="K42" s="10">
        <f>21.4675 * CHOOSE(CONTROL!$C$9, $D$9, 100%, $F$9) + CHOOSE(CONTROL!$C$27, 0.0021, 0)</f>
        <v>21.4696</v>
      </c>
      <c r="L42" s="10"/>
    </row>
    <row r="43" spans="1:17" ht="15">
      <c r="A43" s="16">
        <v>42583</v>
      </c>
      <c r="B43" s="10">
        <f>21.8638 * CHOOSE(CONTROL!$C$9, $D$9, 100%, $F$9) + CHOOSE(CONTROL!$C$27, 0.0021, 0)</f>
        <v>21.8659</v>
      </c>
      <c r="C43" s="10">
        <f>21.4315 * CHOOSE(CONTROL!$C$9, $D$9, 100%, $F$9) + CHOOSE(CONTROL!$C$27, 0.0021, 0)</f>
        <v>21.433599999999998</v>
      </c>
      <c r="D43" s="10">
        <f>21.4315 * CHOOSE(CONTROL!$C$9, $D$9, 100%, $F$9) + CHOOSE(CONTROL!$C$27, 0.0021, 0)</f>
        <v>21.433599999999998</v>
      </c>
      <c r="E43" s="10">
        <f>21.2949 * CHOOSE(CONTROL!$C$9, $D$9, 100%, $F$9) + CHOOSE(CONTROL!$C$27, 0.0021, 0)</f>
        <v>21.296999999999997</v>
      </c>
      <c r="F43" s="10">
        <f>21.2949 * CHOOSE(CONTROL!$C$9, $D$9, 100%, $F$9) + CHOOSE(CONTROL!$C$27, 0.0021, 0)</f>
        <v>21.296999999999997</v>
      </c>
      <c r="G43" s="10">
        <f>21.5662 * CHOOSE(CONTROL!$C$9, $D$9, 100%, $F$9) + CHOOSE(CONTROL!$C$27, 0.0021, 0)</f>
        <v>21.568299999999997</v>
      </c>
      <c r="H43" s="10">
        <f>21.4315 * CHOOSE(CONTROL!$C$9, $D$9, 100%, $F$9) + CHOOSE(CONTROL!$C$27, 0.0021, 0)</f>
        <v>21.433599999999998</v>
      </c>
      <c r="I43" s="10">
        <f>21.4315 * CHOOSE(CONTROL!$C$9, $D$9, 100%, $F$9) + CHOOSE(CONTROL!$C$27, 0.0021, 0)</f>
        <v>21.433599999999998</v>
      </c>
      <c r="J43" s="10">
        <f>21.4315 * CHOOSE(CONTROL!$C$9, $D$9, 100%, $F$9) + CHOOSE(CONTROL!$C$27, 0.0021, 0)</f>
        <v>21.433599999999998</v>
      </c>
      <c r="K43" s="10">
        <f>21.4315 * CHOOSE(CONTROL!$C$9, $D$9, 100%, $F$9) + CHOOSE(CONTROL!$C$27, 0.0021, 0)</f>
        <v>21.433599999999998</v>
      </c>
      <c r="L43" s="10"/>
    </row>
    <row r="44" spans="1:17" ht="15">
      <c r="A44" s="16">
        <v>42614</v>
      </c>
      <c r="B44" s="10">
        <f>21.8386 * CHOOSE(CONTROL!$C$9, $D$9, 100%, $F$9) + CHOOSE(CONTROL!$C$27, 0.0021, 0)</f>
        <v>21.840699999999998</v>
      </c>
      <c r="C44" s="10">
        <f>21.4063 * CHOOSE(CONTROL!$C$9, $D$9, 100%, $F$9) + CHOOSE(CONTROL!$C$27, 0.0021, 0)</f>
        <v>21.4084</v>
      </c>
      <c r="D44" s="10">
        <f>21.4063 * CHOOSE(CONTROL!$C$9, $D$9, 100%, $F$9) + CHOOSE(CONTROL!$C$27, 0.0021, 0)</f>
        <v>21.4084</v>
      </c>
      <c r="E44" s="10">
        <f>21.2697 * CHOOSE(CONTROL!$C$9, $D$9, 100%, $F$9) + CHOOSE(CONTROL!$C$27, 0.0021, 0)</f>
        <v>21.271799999999999</v>
      </c>
      <c r="F44" s="10">
        <f>21.2697 * CHOOSE(CONTROL!$C$9, $D$9, 100%, $F$9) + CHOOSE(CONTROL!$C$27, 0.0021, 0)</f>
        <v>21.271799999999999</v>
      </c>
      <c r="G44" s="10">
        <f>21.541 * CHOOSE(CONTROL!$C$9, $D$9, 100%, $F$9) + CHOOSE(CONTROL!$C$27, 0.0021, 0)</f>
        <v>21.543099999999999</v>
      </c>
      <c r="H44" s="10">
        <f>21.4063 * CHOOSE(CONTROL!$C$9, $D$9, 100%, $F$9) + CHOOSE(CONTROL!$C$27, 0.0021, 0)</f>
        <v>21.4084</v>
      </c>
      <c r="I44" s="10">
        <f>21.4063 * CHOOSE(CONTROL!$C$9, $D$9, 100%, $F$9) + CHOOSE(CONTROL!$C$27, 0.0021, 0)</f>
        <v>21.4084</v>
      </c>
      <c r="J44" s="10">
        <f>21.4063 * CHOOSE(CONTROL!$C$9, $D$9, 100%, $F$9) + CHOOSE(CONTROL!$C$27, 0.0021, 0)</f>
        <v>21.4084</v>
      </c>
      <c r="K44" s="10">
        <f>21.4063 * CHOOSE(CONTROL!$C$9, $D$9, 100%, $F$9) + CHOOSE(CONTROL!$C$27, 0.0021, 0)</f>
        <v>21.4084</v>
      </c>
      <c r="L44" s="10"/>
    </row>
    <row r="45" spans="1:17" ht="15">
      <c r="A45" s="16">
        <v>42644</v>
      </c>
      <c r="B45" s="10">
        <f>21.8097 * CHOOSE(CONTROL!$C$9, $D$9, 100%, $F$9) + CHOOSE(CONTROL!$C$27, 0.0021, 0)</f>
        <v>21.811799999999998</v>
      </c>
      <c r="C45" s="10">
        <f>21.3775 * CHOOSE(CONTROL!$C$9, $D$9, 100%, $F$9) + CHOOSE(CONTROL!$C$27, 0.0021, 0)</f>
        <v>21.3796</v>
      </c>
      <c r="D45" s="10">
        <f>21.3775 * CHOOSE(CONTROL!$C$9, $D$9, 100%, $F$9) + CHOOSE(CONTROL!$C$27, 0.0021, 0)</f>
        <v>21.3796</v>
      </c>
      <c r="E45" s="10">
        <f>21.2408 * CHOOSE(CONTROL!$C$9, $D$9, 100%, $F$9) + CHOOSE(CONTROL!$C$27, 0.0021, 0)</f>
        <v>21.242899999999999</v>
      </c>
      <c r="F45" s="10">
        <f>21.2408 * CHOOSE(CONTROL!$C$9, $D$9, 100%, $F$9) + CHOOSE(CONTROL!$C$27, 0.0021, 0)</f>
        <v>21.242899999999999</v>
      </c>
      <c r="G45" s="10">
        <f>21.5122 * CHOOSE(CONTROL!$C$9, $D$9, 100%, $F$9) + CHOOSE(CONTROL!$C$27, 0.0021, 0)</f>
        <v>21.514299999999999</v>
      </c>
      <c r="H45" s="10">
        <f>21.3775 * CHOOSE(CONTROL!$C$9, $D$9, 100%, $F$9) + CHOOSE(CONTROL!$C$27, 0.0021, 0)</f>
        <v>21.3796</v>
      </c>
      <c r="I45" s="10">
        <f>21.3775 * CHOOSE(CONTROL!$C$9, $D$9, 100%, $F$9) + CHOOSE(CONTROL!$C$27, 0.0021, 0)</f>
        <v>21.3796</v>
      </c>
      <c r="J45" s="10">
        <f>21.3775 * CHOOSE(CONTROL!$C$9, $D$9, 100%, $F$9) + CHOOSE(CONTROL!$C$27, 0.0021, 0)</f>
        <v>21.3796</v>
      </c>
      <c r="K45" s="10">
        <f>21.3775 * CHOOSE(CONTROL!$C$9, $D$9, 100%, $F$9) + CHOOSE(CONTROL!$C$27, 0.0021, 0)</f>
        <v>21.3796</v>
      </c>
      <c r="L45" s="10"/>
    </row>
    <row r="46" spans="1:17" ht="15">
      <c r="A46" s="16">
        <v>42675</v>
      </c>
      <c r="B46" s="10">
        <f>21.7737 * CHOOSE(CONTROL!$C$9, $D$9, 100%, $F$9) + CHOOSE(CONTROL!$C$27, 0.0021, 0)</f>
        <v>21.7758</v>
      </c>
      <c r="C46" s="10">
        <f>21.3415 * CHOOSE(CONTROL!$C$9, $D$9, 100%, $F$9) + CHOOSE(CONTROL!$C$27, 0.0021, 0)</f>
        <v>21.343599999999999</v>
      </c>
      <c r="D46" s="10">
        <f>21.3415 * CHOOSE(CONTROL!$C$9, $D$9, 100%, $F$9) + CHOOSE(CONTROL!$C$27, 0.0021, 0)</f>
        <v>21.343599999999999</v>
      </c>
      <c r="E46" s="10">
        <f>21.2048 * CHOOSE(CONTROL!$C$9, $D$9, 100%, $F$9) + CHOOSE(CONTROL!$C$27, 0.0021, 0)</f>
        <v>21.206899999999997</v>
      </c>
      <c r="F46" s="10">
        <f>21.2048 * CHOOSE(CONTROL!$C$9, $D$9, 100%, $F$9) + CHOOSE(CONTROL!$C$27, 0.0021, 0)</f>
        <v>21.206899999999997</v>
      </c>
      <c r="G46" s="10">
        <f>21.4762 * CHOOSE(CONTROL!$C$9, $D$9, 100%, $F$9) + CHOOSE(CONTROL!$C$27, 0.0021, 0)</f>
        <v>21.478299999999997</v>
      </c>
      <c r="H46" s="10">
        <f>21.3415 * CHOOSE(CONTROL!$C$9, $D$9, 100%, $F$9) + CHOOSE(CONTROL!$C$27, 0.0021, 0)</f>
        <v>21.343599999999999</v>
      </c>
      <c r="I46" s="10">
        <f>21.3415 * CHOOSE(CONTROL!$C$9, $D$9, 100%, $F$9) + CHOOSE(CONTROL!$C$27, 0.0021, 0)</f>
        <v>21.343599999999999</v>
      </c>
      <c r="J46" s="10">
        <f>21.3415 * CHOOSE(CONTROL!$C$9, $D$9, 100%, $F$9) + CHOOSE(CONTROL!$C$27, 0.0021, 0)</f>
        <v>21.343599999999999</v>
      </c>
      <c r="K46" s="10">
        <f>21.3415 * CHOOSE(CONTROL!$C$9, $D$9, 100%, $F$9) + CHOOSE(CONTROL!$C$27, 0.0021, 0)</f>
        <v>21.343599999999999</v>
      </c>
      <c r="L46" s="10"/>
    </row>
    <row r="47" spans="1:17" ht="15">
      <c r="A47" s="16">
        <v>42705</v>
      </c>
      <c r="B47" s="10">
        <f>21.7377 * CHOOSE(CONTROL!$C$9, $D$9, 100%, $F$9) + CHOOSE(CONTROL!$C$27, 0.0021, 0)</f>
        <v>21.739799999999999</v>
      </c>
      <c r="C47" s="10">
        <f>21.3055 * CHOOSE(CONTROL!$C$9, $D$9, 100%, $F$9) + CHOOSE(CONTROL!$C$27, 0.0021, 0)</f>
        <v>21.307599999999997</v>
      </c>
      <c r="D47" s="10">
        <f>21.3055 * CHOOSE(CONTROL!$C$9, $D$9, 100%, $F$9) + CHOOSE(CONTROL!$C$27, 0.0021, 0)</f>
        <v>21.307599999999997</v>
      </c>
      <c r="E47" s="10">
        <f>21.1688 * CHOOSE(CONTROL!$C$9, $D$9, 100%, $F$9) + CHOOSE(CONTROL!$C$27, 0.0021, 0)</f>
        <v>21.1709</v>
      </c>
      <c r="F47" s="10">
        <f>21.1688 * CHOOSE(CONTROL!$C$9, $D$9, 100%, $F$9) + CHOOSE(CONTROL!$C$27, 0.0021, 0)</f>
        <v>21.1709</v>
      </c>
      <c r="G47" s="10">
        <f>21.4402 * CHOOSE(CONTROL!$C$9, $D$9, 100%, $F$9) + CHOOSE(CONTROL!$C$27, 0.0021, 0)</f>
        <v>21.442299999999999</v>
      </c>
      <c r="H47" s="10">
        <f>21.3055 * CHOOSE(CONTROL!$C$9, $D$9, 100%, $F$9) + CHOOSE(CONTROL!$C$27, 0.0021, 0)</f>
        <v>21.307599999999997</v>
      </c>
      <c r="I47" s="10">
        <f>21.3055 * CHOOSE(CONTROL!$C$9, $D$9, 100%, $F$9) + CHOOSE(CONTROL!$C$27, 0.0021, 0)</f>
        <v>21.307599999999997</v>
      </c>
      <c r="J47" s="10">
        <f>21.3055 * CHOOSE(CONTROL!$C$9, $D$9, 100%, $F$9) + CHOOSE(CONTROL!$C$27, 0.0021, 0)</f>
        <v>21.307599999999997</v>
      </c>
      <c r="K47" s="10">
        <f>21.3055 * CHOOSE(CONTROL!$C$9, $D$9, 100%, $F$9) + CHOOSE(CONTROL!$C$27, 0.0021, 0)</f>
        <v>21.307599999999997</v>
      </c>
      <c r="L47" s="10"/>
    </row>
    <row r="48" spans="1:17" ht="15">
      <c r="A48" s="16">
        <v>42736</v>
      </c>
      <c r="B48" s="10">
        <f>21.882 * CHOOSE(CONTROL!$C$9, $D$9, 100%, $F$9) + CHOOSE(CONTROL!$C$27, 0.0021, 0)</f>
        <v>21.8841</v>
      </c>
      <c r="C48" s="10">
        <f>21.4498 * CHOOSE(CONTROL!$C$9, $D$9, 100%, $F$9) + CHOOSE(CONTROL!$C$27, 0.0021, 0)</f>
        <v>21.451899999999998</v>
      </c>
      <c r="D48" s="10">
        <f>21.4498 * CHOOSE(CONTROL!$C$9, $D$9, 100%, $F$9) + CHOOSE(CONTROL!$C$27, 0.0021, 0)</f>
        <v>21.451899999999998</v>
      </c>
      <c r="E48" s="10">
        <f>21.3131 * CHOOSE(CONTROL!$C$9, $D$9, 100%, $F$9) + CHOOSE(CONTROL!$C$27, 0.0021, 0)</f>
        <v>21.315199999999997</v>
      </c>
      <c r="F48" s="10">
        <f>21.3131 * CHOOSE(CONTROL!$C$9, $D$9, 100%, $F$9) + CHOOSE(CONTROL!$C$27, 0.0021, 0)</f>
        <v>21.315199999999997</v>
      </c>
      <c r="G48" s="10">
        <f>21.5845 * CHOOSE(CONTROL!$C$9, $D$9, 100%, $F$9) + CHOOSE(CONTROL!$C$27, 0.0021, 0)</f>
        <v>21.586599999999997</v>
      </c>
      <c r="H48" s="10">
        <f>21.4498 * CHOOSE(CONTROL!$C$9, $D$9, 100%, $F$9) + CHOOSE(CONTROL!$C$27, 0.0021, 0)</f>
        <v>21.451899999999998</v>
      </c>
      <c r="I48" s="10">
        <f>21.4498 * CHOOSE(CONTROL!$C$9, $D$9, 100%, $F$9) + CHOOSE(CONTROL!$C$27, 0.0021, 0)</f>
        <v>21.451899999999998</v>
      </c>
      <c r="J48" s="10">
        <f>21.4498 * CHOOSE(CONTROL!$C$9, $D$9, 100%, $F$9) + CHOOSE(CONTROL!$C$27, 0.0021, 0)</f>
        <v>21.451899999999998</v>
      </c>
      <c r="K48" s="10">
        <f>21.4498 * CHOOSE(CONTROL!$C$9, $D$9, 100%, $F$9) + CHOOSE(CONTROL!$C$27, 0.0021, 0)</f>
        <v>21.451899999999998</v>
      </c>
      <c r="L48" s="10"/>
    </row>
    <row r="49" spans="1:12" ht="15">
      <c r="A49" s="16">
        <v>42767</v>
      </c>
      <c r="B49" s="10">
        <f>21.3279 * CHOOSE(CONTROL!$C$9, $D$9, 100%, $F$9) + CHOOSE(CONTROL!$C$27, 0.0021, 0)</f>
        <v>21.33</v>
      </c>
      <c r="C49" s="10">
        <f>20.8957 * CHOOSE(CONTROL!$C$9, $D$9, 100%, $F$9) + CHOOSE(CONTROL!$C$27, 0.0021, 0)</f>
        <v>20.8978</v>
      </c>
      <c r="D49" s="10">
        <f>20.8957 * CHOOSE(CONTROL!$C$9, $D$9, 100%, $F$9) + CHOOSE(CONTROL!$C$27, 0.0021, 0)</f>
        <v>20.8978</v>
      </c>
      <c r="E49" s="10">
        <f>20.759 * CHOOSE(CONTROL!$C$9, $D$9, 100%, $F$9) + CHOOSE(CONTROL!$C$27, 0.0021, 0)</f>
        <v>20.761099999999999</v>
      </c>
      <c r="F49" s="10">
        <f>20.759 * CHOOSE(CONTROL!$C$9, $D$9, 100%, $F$9) + CHOOSE(CONTROL!$C$27, 0.0021, 0)</f>
        <v>20.761099999999999</v>
      </c>
      <c r="G49" s="10">
        <f>21.0304 * CHOOSE(CONTROL!$C$9, $D$9, 100%, $F$9) + CHOOSE(CONTROL!$C$27, 0.0021, 0)</f>
        <v>21.032499999999999</v>
      </c>
      <c r="H49" s="10">
        <f>20.8957 * CHOOSE(CONTROL!$C$9, $D$9, 100%, $F$9) + CHOOSE(CONTROL!$C$27, 0.0021, 0)</f>
        <v>20.8978</v>
      </c>
      <c r="I49" s="10">
        <f>20.8957 * CHOOSE(CONTROL!$C$9, $D$9, 100%, $F$9) + CHOOSE(CONTROL!$C$27, 0.0021, 0)</f>
        <v>20.8978</v>
      </c>
      <c r="J49" s="10">
        <f>20.8957 * CHOOSE(CONTROL!$C$9, $D$9, 100%, $F$9) + CHOOSE(CONTROL!$C$27, 0.0021, 0)</f>
        <v>20.8978</v>
      </c>
      <c r="K49" s="10">
        <f>20.8957 * CHOOSE(CONTROL!$C$9, $D$9, 100%, $F$9) + CHOOSE(CONTROL!$C$27, 0.0021, 0)</f>
        <v>20.8978</v>
      </c>
      <c r="L49" s="10"/>
    </row>
    <row r="50" spans="1:12" ht="15">
      <c r="A50" s="16">
        <v>42795</v>
      </c>
      <c r="B50" s="10">
        <f>21.0992 * CHOOSE(CONTROL!$C$9, $D$9, 100%, $F$9) + CHOOSE(CONTROL!$C$27, 0.0021, 0)</f>
        <v>21.101299999999998</v>
      </c>
      <c r="C50" s="10">
        <f>20.667 * CHOOSE(CONTROL!$C$9, $D$9, 100%, $F$9) + CHOOSE(CONTROL!$C$27, 0.0021, 0)</f>
        <v>20.6691</v>
      </c>
      <c r="D50" s="10">
        <f>20.667 * CHOOSE(CONTROL!$C$9, $D$9, 100%, $F$9) + CHOOSE(CONTROL!$C$27, 0.0021, 0)</f>
        <v>20.6691</v>
      </c>
      <c r="E50" s="10">
        <f>20.5303 * CHOOSE(CONTROL!$C$9, $D$9, 100%, $F$9) + CHOOSE(CONTROL!$C$27, 0.0021, 0)</f>
        <v>20.532399999999999</v>
      </c>
      <c r="F50" s="10">
        <f>20.5303 * CHOOSE(CONTROL!$C$9, $D$9, 100%, $F$9) + CHOOSE(CONTROL!$C$27, 0.0021, 0)</f>
        <v>20.532399999999999</v>
      </c>
      <c r="G50" s="10">
        <f>20.8017 * CHOOSE(CONTROL!$C$9, $D$9, 100%, $F$9) + CHOOSE(CONTROL!$C$27, 0.0021, 0)</f>
        <v>20.803799999999999</v>
      </c>
      <c r="H50" s="10">
        <f>20.667 * CHOOSE(CONTROL!$C$9, $D$9, 100%, $F$9) + CHOOSE(CONTROL!$C$27, 0.0021, 0)</f>
        <v>20.6691</v>
      </c>
      <c r="I50" s="10">
        <f>20.667 * CHOOSE(CONTROL!$C$9, $D$9, 100%, $F$9) + CHOOSE(CONTROL!$C$27, 0.0021, 0)</f>
        <v>20.6691</v>
      </c>
      <c r="J50" s="10">
        <f>20.667 * CHOOSE(CONTROL!$C$9, $D$9, 100%, $F$9) + CHOOSE(CONTROL!$C$27, 0.0021, 0)</f>
        <v>20.6691</v>
      </c>
      <c r="K50" s="10">
        <f>20.667 * CHOOSE(CONTROL!$C$9, $D$9, 100%, $F$9) + CHOOSE(CONTROL!$C$27, 0.0021, 0)</f>
        <v>20.6691</v>
      </c>
      <c r="L50" s="10"/>
    </row>
    <row r="51" spans="1:12" ht="15">
      <c r="A51" s="16">
        <v>42826</v>
      </c>
      <c r="B51" s="10">
        <f>20.8261 * CHOOSE(CONTROL!$C$9, $D$9, 100%, $F$9) + CHOOSE(CONTROL!$C$27, 0.0021, 0)</f>
        <v>20.828199999999999</v>
      </c>
      <c r="C51" s="10">
        <f>20.3938 * CHOOSE(CONTROL!$C$9, $D$9, 100%, $F$9) + CHOOSE(CONTROL!$C$27, 0.0021, 0)</f>
        <v>20.395899999999997</v>
      </c>
      <c r="D51" s="10">
        <f>20.3938 * CHOOSE(CONTROL!$C$9, $D$9, 100%, $F$9) + CHOOSE(CONTROL!$C$27, 0.0021, 0)</f>
        <v>20.395899999999997</v>
      </c>
      <c r="E51" s="10">
        <f>20.2572 * CHOOSE(CONTROL!$C$9, $D$9, 100%, $F$9) + CHOOSE(CONTROL!$C$27, 0.0021, 0)</f>
        <v>20.2593</v>
      </c>
      <c r="F51" s="10">
        <f>20.2572 * CHOOSE(CONTROL!$C$9, $D$9, 100%, $F$9) + CHOOSE(CONTROL!$C$27, 0.0021, 0)</f>
        <v>20.2593</v>
      </c>
      <c r="G51" s="10">
        <f>20.5286 * CHOOSE(CONTROL!$C$9, $D$9, 100%, $F$9) + CHOOSE(CONTROL!$C$27, 0.0021, 0)</f>
        <v>20.5307</v>
      </c>
      <c r="H51" s="10">
        <f>20.3938 * CHOOSE(CONTROL!$C$9, $D$9, 100%, $F$9) + CHOOSE(CONTROL!$C$27, 0.0021, 0)</f>
        <v>20.395899999999997</v>
      </c>
      <c r="I51" s="10">
        <f>20.3938 * CHOOSE(CONTROL!$C$9, $D$9, 100%, $F$9) + CHOOSE(CONTROL!$C$27, 0.0021, 0)</f>
        <v>20.395899999999997</v>
      </c>
      <c r="J51" s="10">
        <f>20.3938 * CHOOSE(CONTROL!$C$9, $D$9, 100%, $F$9) + CHOOSE(CONTROL!$C$27, 0.0021, 0)</f>
        <v>20.395899999999997</v>
      </c>
      <c r="K51" s="10">
        <f>20.3938 * CHOOSE(CONTROL!$C$9, $D$9, 100%, $F$9) + CHOOSE(CONTROL!$C$27, 0.0021, 0)</f>
        <v>20.395899999999997</v>
      </c>
      <c r="L51" s="10"/>
    </row>
    <row r="52" spans="1:12" ht="15">
      <c r="A52" s="16">
        <v>42856</v>
      </c>
      <c r="B52" s="10">
        <f>21.2153 * CHOOSE(CONTROL!$C$9, $D$9, 100%, $F$9) + CHOOSE(CONTROL!$C$27, 0.0021, 0)</f>
        <v>21.217399999999998</v>
      </c>
      <c r="C52" s="10">
        <f>20.7831 * CHOOSE(CONTROL!$C$9, $D$9, 100%, $F$9) + CHOOSE(CONTROL!$C$27, 0.0021, 0)</f>
        <v>20.7852</v>
      </c>
      <c r="D52" s="10">
        <f>20.7831 * CHOOSE(CONTROL!$C$9, $D$9, 100%, $F$9) + CHOOSE(CONTROL!$C$27, 0.0021, 0)</f>
        <v>20.7852</v>
      </c>
      <c r="E52" s="10">
        <f>20.6464 * CHOOSE(CONTROL!$C$9, $D$9, 100%, $F$9) + CHOOSE(CONTROL!$C$27, 0.0021, 0)</f>
        <v>20.648499999999999</v>
      </c>
      <c r="F52" s="10">
        <f>20.6464 * CHOOSE(CONTROL!$C$9, $D$9, 100%, $F$9) + CHOOSE(CONTROL!$C$27, 0.0021, 0)</f>
        <v>20.648499999999999</v>
      </c>
      <c r="G52" s="10">
        <f>20.9178 * CHOOSE(CONTROL!$C$9, $D$9, 100%, $F$9) + CHOOSE(CONTROL!$C$27, 0.0021, 0)</f>
        <v>20.919899999999998</v>
      </c>
      <c r="H52" s="10">
        <f>20.7831 * CHOOSE(CONTROL!$C$9, $D$9, 100%, $F$9) + CHOOSE(CONTROL!$C$27, 0.0021, 0)</f>
        <v>20.7852</v>
      </c>
      <c r="I52" s="10">
        <f>20.7831 * CHOOSE(CONTROL!$C$9, $D$9, 100%, $F$9) + CHOOSE(CONTROL!$C$27, 0.0021, 0)</f>
        <v>20.7852</v>
      </c>
      <c r="J52" s="10">
        <f>20.7831 * CHOOSE(CONTROL!$C$9, $D$9, 100%, $F$9) + CHOOSE(CONTROL!$C$27, 0.0021, 0)</f>
        <v>20.7852</v>
      </c>
      <c r="K52" s="10">
        <f>20.7831 * CHOOSE(CONTROL!$C$9, $D$9, 100%, $F$9) + CHOOSE(CONTROL!$C$27, 0.0021, 0)</f>
        <v>20.7852</v>
      </c>
      <c r="L52" s="10"/>
    </row>
    <row r="53" spans="1:12" ht="15">
      <c r="A53" s="16">
        <v>42887</v>
      </c>
      <c r="B53" s="10">
        <f>21.4484 * CHOOSE(CONTROL!$C$9, $D$9, 100%, $F$9) + CHOOSE(CONTROL!$C$27, 0.0021, 0)</f>
        <v>21.450499999999998</v>
      </c>
      <c r="C53" s="10">
        <f>21.0162 * CHOOSE(CONTROL!$C$9, $D$9, 100%, $F$9) + CHOOSE(CONTROL!$C$27, 0.0021, 0)</f>
        <v>21.0183</v>
      </c>
      <c r="D53" s="10">
        <f>21.0162 * CHOOSE(CONTROL!$C$9, $D$9, 100%, $F$9) + CHOOSE(CONTROL!$C$27, 0.0021, 0)</f>
        <v>21.0183</v>
      </c>
      <c r="E53" s="10">
        <f>20.8795 * CHOOSE(CONTROL!$C$9, $D$9, 100%, $F$9) + CHOOSE(CONTROL!$C$27, 0.0021, 0)</f>
        <v>20.881599999999999</v>
      </c>
      <c r="F53" s="10">
        <f>20.8795 * CHOOSE(CONTROL!$C$9, $D$9, 100%, $F$9) + CHOOSE(CONTROL!$C$27, 0.0021, 0)</f>
        <v>20.881599999999999</v>
      </c>
      <c r="G53" s="10">
        <f>21.1509 * CHOOSE(CONTROL!$C$9, $D$9, 100%, $F$9) + CHOOSE(CONTROL!$C$27, 0.0021, 0)</f>
        <v>21.152999999999999</v>
      </c>
      <c r="H53" s="10">
        <f>21.0162 * CHOOSE(CONTROL!$C$9, $D$9, 100%, $F$9) + CHOOSE(CONTROL!$C$27, 0.0021, 0)</f>
        <v>21.0183</v>
      </c>
      <c r="I53" s="10">
        <f>21.0162 * CHOOSE(CONTROL!$C$9, $D$9, 100%, $F$9) + CHOOSE(CONTROL!$C$27, 0.0021, 0)</f>
        <v>21.0183</v>
      </c>
      <c r="J53" s="10">
        <f>21.0162 * CHOOSE(CONTROL!$C$9, $D$9, 100%, $F$9) + CHOOSE(CONTROL!$C$27, 0.0021, 0)</f>
        <v>21.0183</v>
      </c>
      <c r="K53" s="10">
        <f>21.0162 * CHOOSE(CONTROL!$C$9, $D$9, 100%, $F$9) + CHOOSE(CONTROL!$C$27, 0.0021, 0)</f>
        <v>21.0183</v>
      </c>
      <c r="L53" s="10"/>
    </row>
    <row r="54" spans="1:12" ht="15">
      <c r="A54" s="16">
        <v>42917</v>
      </c>
      <c r="B54" s="10">
        <f>21.833 * CHOOSE(CONTROL!$C$9, $D$9, 100%, $F$9) + CHOOSE(CONTROL!$C$27, 0.0021, 0)</f>
        <v>21.835099999999997</v>
      </c>
      <c r="C54" s="10">
        <f>21.4008 * CHOOSE(CONTROL!$C$9, $D$9, 100%, $F$9) + CHOOSE(CONTROL!$C$27, 0.0021, 0)</f>
        <v>21.402899999999999</v>
      </c>
      <c r="D54" s="10">
        <f>21.4008 * CHOOSE(CONTROL!$C$9, $D$9, 100%, $F$9) + CHOOSE(CONTROL!$C$27, 0.0021, 0)</f>
        <v>21.402899999999999</v>
      </c>
      <c r="E54" s="10">
        <f>21.2641 * CHOOSE(CONTROL!$C$9, $D$9, 100%, $F$9) + CHOOSE(CONTROL!$C$27, 0.0021, 0)</f>
        <v>21.266199999999998</v>
      </c>
      <c r="F54" s="10">
        <f>21.2641 * CHOOSE(CONTROL!$C$9, $D$9, 100%, $F$9) + CHOOSE(CONTROL!$C$27, 0.0021, 0)</f>
        <v>21.266199999999998</v>
      </c>
      <c r="G54" s="10">
        <f>21.5355 * CHOOSE(CONTROL!$C$9, $D$9, 100%, $F$9) + CHOOSE(CONTROL!$C$27, 0.0021, 0)</f>
        <v>21.537599999999998</v>
      </c>
      <c r="H54" s="10">
        <f>21.4008 * CHOOSE(CONTROL!$C$9, $D$9, 100%, $F$9) + CHOOSE(CONTROL!$C$27, 0.0021, 0)</f>
        <v>21.402899999999999</v>
      </c>
      <c r="I54" s="10">
        <f>21.4008 * CHOOSE(CONTROL!$C$9, $D$9, 100%, $F$9) + CHOOSE(CONTROL!$C$27, 0.0021, 0)</f>
        <v>21.402899999999999</v>
      </c>
      <c r="J54" s="10">
        <f>21.4008 * CHOOSE(CONTROL!$C$9, $D$9, 100%, $F$9) + CHOOSE(CONTROL!$C$27, 0.0021, 0)</f>
        <v>21.402899999999999</v>
      </c>
      <c r="K54" s="10">
        <f>21.4008 * CHOOSE(CONTROL!$C$9, $D$9, 100%, $F$9) + CHOOSE(CONTROL!$C$27, 0.0021, 0)</f>
        <v>21.402899999999999</v>
      </c>
      <c r="L54" s="10"/>
    </row>
    <row r="55" spans="1:12" ht="15">
      <c r="A55" s="16">
        <v>42948</v>
      </c>
      <c r="B55" s="10">
        <f>21.9504 * CHOOSE(CONTROL!$C$9, $D$9, 100%, $F$9) + CHOOSE(CONTROL!$C$27, 0.0021, 0)</f>
        <v>21.952499999999997</v>
      </c>
      <c r="C55" s="10">
        <f>21.5181 * CHOOSE(CONTROL!$C$9, $D$9, 100%, $F$9) + CHOOSE(CONTROL!$C$27, 0.0021, 0)</f>
        <v>21.520199999999999</v>
      </c>
      <c r="D55" s="10">
        <f>21.5181 * CHOOSE(CONTROL!$C$9, $D$9, 100%, $F$9) + CHOOSE(CONTROL!$C$27, 0.0021, 0)</f>
        <v>21.520199999999999</v>
      </c>
      <c r="E55" s="10">
        <f>21.3815 * CHOOSE(CONTROL!$C$9, $D$9, 100%, $F$9) + CHOOSE(CONTROL!$C$27, 0.0021, 0)</f>
        <v>21.383599999999998</v>
      </c>
      <c r="F55" s="10">
        <f>21.3815 * CHOOSE(CONTROL!$C$9, $D$9, 100%, $F$9) + CHOOSE(CONTROL!$C$27, 0.0021, 0)</f>
        <v>21.383599999999998</v>
      </c>
      <c r="G55" s="10">
        <f>21.6529 * CHOOSE(CONTROL!$C$9, $D$9, 100%, $F$9) + CHOOSE(CONTROL!$C$27, 0.0021, 0)</f>
        <v>21.654999999999998</v>
      </c>
      <c r="H55" s="10">
        <f>21.5181 * CHOOSE(CONTROL!$C$9, $D$9, 100%, $F$9) + CHOOSE(CONTROL!$C$27, 0.0021, 0)</f>
        <v>21.520199999999999</v>
      </c>
      <c r="I55" s="10">
        <f>21.5181 * CHOOSE(CONTROL!$C$9, $D$9, 100%, $F$9) + CHOOSE(CONTROL!$C$27, 0.0021, 0)</f>
        <v>21.520199999999999</v>
      </c>
      <c r="J55" s="10">
        <f>21.5181 * CHOOSE(CONTROL!$C$9, $D$9, 100%, $F$9) + CHOOSE(CONTROL!$C$27, 0.0021, 0)</f>
        <v>21.520199999999999</v>
      </c>
      <c r="K55" s="10">
        <f>21.5181 * CHOOSE(CONTROL!$C$9, $D$9, 100%, $F$9) + CHOOSE(CONTROL!$C$27, 0.0021, 0)</f>
        <v>21.520199999999999</v>
      </c>
      <c r="L55" s="10"/>
    </row>
    <row r="56" spans="1:12" ht="15">
      <c r="A56" s="16">
        <v>42979</v>
      </c>
      <c r="B56" s="10">
        <f>22.3501 * CHOOSE(CONTROL!$C$9, $D$9, 100%, $F$9) + CHOOSE(CONTROL!$C$27, 0.0021, 0)</f>
        <v>22.3522</v>
      </c>
      <c r="C56" s="10">
        <f>21.9179 * CHOOSE(CONTROL!$C$9, $D$9, 100%, $F$9) + CHOOSE(CONTROL!$C$27, 0.0021, 0)</f>
        <v>21.919999999999998</v>
      </c>
      <c r="D56" s="10">
        <f>21.9179 * CHOOSE(CONTROL!$C$9, $D$9, 100%, $F$9) + CHOOSE(CONTROL!$C$27, 0.0021, 0)</f>
        <v>21.919999999999998</v>
      </c>
      <c r="E56" s="10">
        <f>21.7812 * CHOOSE(CONTROL!$C$9, $D$9, 100%, $F$9) + CHOOSE(CONTROL!$C$27, 0.0021, 0)</f>
        <v>21.783299999999997</v>
      </c>
      <c r="F56" s="10">
        <f>21.7812 * CHOOSE(CONTROL!$C$9, $D$9, 100%, $F$9) + CHOOSE(CONTROL!$C$27, 0.0021, 0)</f>
        <v>21.783299999999997</v>
      </c>
      <c r="G56" s="10">
        <f>22.0526 * CHOOSE(CONTROL!$C$9, $D$9, 100%, $F$9) + CHOOSE(CONTROL!$C$27, 0.0021, 0)</f>
        <v>22.0547</v>
      </c>
      <c r="H56" s="10">
        <f>21.9179 * CHOOSE(CONTROL!$C$9, $D$9, 100%, $F$9) + CHOOSE(CONTROL!$C$27, 0.0021, 0)</f>
        <v>21.919999999999998</v>
      </c>
      <c r="I56" s="10">
        <f>21.9179 * CHOOSE(CONTROL!$C$9, $D$9, 100%, $F$9) + CHOOSE(CONTROL!$C$27, 0.0021, 0)</f>
        <v>21.919999999999998</v>
      </c>
      <c r="J56" s="10">
        <f>21.9179 * CHOOSE(CONTROL!$C$9, $D$9, 100%, $F$9) + CHOOSE(CONTROL!$C$27, 0.0021, 0)</f>
        <v>21.919999999999998</v>
      </c>
      <c r="K56" s="10">
        <f>21.9179 * CHOOSE(CONTROL!$C$9, $D$9, 100%, $F$9) + CHOOSE(CONTROL!$C$27, 0.0021, 0)</f>
        <v>21.919999999999998</v>
      </c>
      <c r="L56" s="10"/>
    </row>
    <row r="57" spans="1:12" ht="15">
      <c r="A57" s="16">
        <v>43009</v>
      </c>
      <c r="B57" s="10">
        <f>22.8561 * CHOOSE(CONTROL!$C$9, $D$9, 100%, $F$9) + CHOOSE(CONTROL!$C$27, 0.0021, 0)</f>
        <v>22.8582</v>
      </c>
      <c r="C57" s="10">
        <f>22.4239 * CHOOSE(CONTROL!$C$9, $D$9, 100%, $F$9) + CHOOSE(CONTROL!$C$27, 0.0021, 0)</f>
        <v>22.425999999999998</v>
      </c>
      <c r="D57" s="10">
        <f>22.4239 * CHOOSE(CONTROL!$C$9, $D$9, 100%, $F$9) + CHOOSE(CONTROL!$C$27, 0.0021, 0)</f>
        <v>22.425999999999998</v>
      </c>
      <c r="E57" s="10">
        <f>22.2872 * CHOOSE(CONTROL!$C$9, $D$9, 100%, $F$9) + CHOOSE(CONTROL!$C$27, 0.0021, 0)</f>
        <v>22.289299999999997</v>
      </c>
      <c r="F57" s="10">
        <f>22.2872 * CHOOSE(CONTROL!$C$9, $D$9, 100%, $F$9) + CHOOSE(CONTROL!$C$27, 0.0021, 0)</f>
        <v>22.289299999999997</v>
      </c>
      <c r="G57" s="10">
        <f>22.5586 * CHOOSE(CONTROL!$C$9, $D$9, 100%, $F$9) + CHOOSE(CONTROL!$C$27, 0.0021, 0)</f>
        <v>22.560699999999997</v>
      </c>
      <c r="H57" s="10">
        <f>22.4239 * CHOOSE(CONTROL!$C$9, $D$9, 100%, $F$9) + CHOOSE(CONTROL!$C$27, 0.0021, 0)</f>
        <v>22.425999999999998</v>
      </c>
      <c r="I57" s="10">
        <f>22.4239 * CHOOSE(CONTROL!$C$9, $D$9, 100%, $F$9) + CHOOSE(CONTROL!$C$27, 0.0021, 0)</f>
        <v>22.425999999999998</v>
      </c>
      <c r="J57" s="10">
        <f>22.4239 * CHOOSE(CONTROL!$C$9, $D$9, 100%, $F$9) + CHOOSE(CONTROL!$C$27, 0.0021, 0)</f>
        <v>22.425999999999998</v>
      </c>
      <c r="K57" s="10">
        <f>22.4239 * CHOOSE(CONTROL!$C$9, $D$9, 100%, $F$9) + CHOOSE(CONTROL!$C$27, 0.0021, 0)</f>
        <v>22.425999999999998</v>
      </c>
      <c r="L57" s="10"/>
    </row>
    <row r="58" spans="1:12" ht="15">
      <c r="A58" s="16">
        <v>43040</v>
      </c>
      <c r="B58" s="10">
        <f>22.9036 * CHOOSE(CONTROL!$C$9, $D$9, 100%, $F$9) + CHOOSE(CONTROL!$C$27, 0.0021, 0)</f>
        <v>22.9057</v>
      </c>
      <c r="C58" s="10">
        <f>22.4714 * CHOOSE(CONTROL!$C$9, $D$9, 100%, $F$9) + CHOOSE(CONTROL!$C$27, 0.0021, 0)</f>
        <v>22.473499999999998</v>
      </c>
      <c r="D58" s="10">
        <f>22.4714 * CHOOSE(CONTROL!$C$9, $D$9, 100%, $F$9) + CHOOSE(CONTROL!$C$27, 0.0021, 0)</f>
        <v>22.473499999999998</v>
      </c>
      <c r="E58" s="10">
        <f>22.3347 * CHOOSE(CONTROL!$C$9, $D$9, 100%, $F$9) + CHOOSE(CONTROL!$C$27, 0.0021, 0)</f>
        <v>22.3368</v>
      </c>
      <c r="F58" s="10">
        <f>22.3347 * CHOOSE(CONTROL!$C$9, $D$9, 100%, $F$9) + CHOOSE(CONTROL!$C$27, 0.0021, 0)</f>
        <v>22.3368</v>
      </c>
      <c r="G58" s="10">
        <f>22.6061 * CHOOSE(CONTROL!$C$9, $D$9, 100%, $F$9) + CHOOSE(CONTROL!$C$27, 0.0021, 0)</f>
        <v>22.6082</v>
      </c>
      <c r="H58" s="10">
        <f>22.4714 * CHOOSE(CONTROL!$C$9, $D$9, 100%, $F$9) + CHOOSE(CONTROL!$C$27, 0.0021, 0)</f>
        <v>22.473499999999998</v>
      </c>
      <c r="I58" s="10">
        <f>22.4714 * CHOOSE(CONTROL!$C$9, $D$9, 100%, $F$9) + CHOOSE(CONTROL!$C$27, 0.0021, 0)</f>
        <v>22.473499999999998</v>
      </c>
      <c r="J58" s="10">
        <f>22.4714 * CHOOSE(CONTROL!$C$9, $D$9, 100%, $F$9) + CHOOSE(CONTROL!$C$27, 0.0021, 0)</f>
        <v>22.473499999999998</v>
      </c>
      <c r="K58" s="10">
        <f>22.4714 * CHOOSE(CONTROL!$C$9, $D$9, 100%, $F$9) + CHOOSE(CONTROL!$C$27, 0.0021, 0)</f>
        <v>22.473499999999998</v>
      </c>
      <c r="L58" s="10"/>
    </row>
    <row r="59" spans="1:12" ht="15">
      <c r="A59" s="16">
        <v>43070</v>
      </c>
      <c r="B59" s="10">
        <f>22.4995 * CHOOSE(CONTROL!$C$9, $D$9, 100%, $F$9) + CHOOSE(CONTROL!$C$27, 0.0021, 0)</f>
        <v>22.5016</v>
      </c>
      <c r="C59" s="10">
        <f>22.0673 * CHOOSE(CONTROL!$C$9, $D$9, 100%, $F$9) + CHOOSE(CONTROL!$C$27, 0.0021, 0)</f>
        <v>22.069399999999998</v>
      </c>
      <c r="D59" s="10">
        <f>22.0673 * CHOOSE(CONTROL!$C$9, $D$9, 100%, $F$9) + CHOOSE(CONTROL!$C$27, 0.0021, 0)</f>
        <v>22.069399999999998</v>
      </c>
      <c r="E59" s="10">
        <f>21.9306 * CHOOSE(CONTROL!$C$9, $D$9, 100%, $F$9) + CHOOSE(CONTROL!$C$27, 0.0021, 0)</f>
        <v>21.932699999999997</v>
      </c>
      <c r="F59" s="10">
        <f>21.9306 * CHOOSE(CONTROL!$C$9, $D$9, 100%, $F$9) + CHOOSE(CONTROL!$C$27, 0.0021, 0)</f>
        <v>21.932699999999997</v>
      </c>
      <c r="G59" s="10">
        <f>22.202 * CHOOSE(CONTROL!$C$9, $D$9, 100%, $F$9) + CHOOSE(CONTROL!$C$27, 0.0021, 0)</f>
        <v>22.2041</v>
      </c>
      <c r="H59" s="10">
        <f>22.0673 * CHOOSE(CONTROL!$C$9, $D$9, 100%, $F$9) + CHOOSE(CONTROL!$C$27, 0.0021, 0)</f>
        <v>22.069399999999998</v>
      </c>
      <c r="I59" s="10">
        <f>22.0673 * CHOOSE(CONTROL!$C$9, $D$9, 100%, $F$9) + CHOOSE(CONTROL!$C$27, 0.0021, 0)</f>
        <v>22.069399999999998</v>
      </c>
      <c r="J59" s="10">
        <f>22.0673 * CHOOSE(CONTROL!$C$9, $D$9, 100%, $F$9) + CHOOSE(CONTROL!$C$27, 0.0021, 0)</f>
        <v>22.069399999999998</v>
      </c>
      <c r="K59" s="10">
        <f>22.0673 * CHOOSE(CONTROL!$C$9, $D$9, 100%, $F$9) + CHOOSE(CONTROL!$C$27, 0.0021, 0)</f>
        <v>22.069399999999998</v>
      </c>
      <c r="L59" s="10"/>
    </row>
    <row r="60" spans="1:12" ht="15">
      <c r="A60" s="16">
        <v>43101</v>
      </c>
      <c r="B60" s="10">
        <f>22.5411 * CHOOSE(CONTROL!$C$9, $D$9, 100%, $F$9) + CHOOSE(CONTROL!$C$27, 0.0021, 0)</f>
        <v>22.543199999999999</v>
      </c>
      <c r="C60" s="10">
        <f>22.1089 * CHOOSE(CONTROL!$C$9, $D$9, 100%, $F$9) + CHOOSE(CONTROL!$C$27, 0.0021, 0)</f>
        <v>22.110999999999997</v>
      </c>
      <c r="D60" s="10">
        <f>22.1089 * CHOOSE(CONTROL!$C$9, $D$9, 100%, $F$9) + CHOOSE(CONTROL!$C$27, 0.0021, 0)</f>
        <v>22.110999999999997</v>
      </c>
      <c r="E60" s="10">
        <f>21.9722 * CHOOSE(CONTROL!$C$9, $D$9, 100%, $F$9) + CHOOSE(CONTROL!$C$27, 0.0021, 0)</f>
        <v>21.974299999999999</v>
      </c>
      <c r="F60" s="10">
        <f>21.9722 * CHOOSE(CONTROL!$C$9, $D$9, 100%, $F$9) + CHOOSE(CONTROL!$C$27, 0.0021, 0)</f>
        <v>21.974299999999999</v>
      </c>
      <c r="G60" s="10">
        <f>22.2436 * CHOOSE(CONTROL!$C$9, $D$9, 100%, $F$9) + CHOOSE(CONTROL!$C$27, 0.0021, 0)</f>
        <v>22.245699999999999</v>
      </c>
      <c r="H60" s="10">
        <f>22.1089 * CHOOSE(CONTROL!$C$9, $D$9, 100%, $F$9) + CHOOSE(CONTROL!$C$27, 0.0021, 0)</f>
        <v>22.110999999999997</v>
      </c>
      <c r="I60" s="10">
        <f>22.1089 * CHOOSE(CONTROL!$C$9, $D$9, 100%, $F$9) + CHOOSE(CONTROL!$C$27, 0.0021, 0)</f>
        <v>22.110999999999997</v>
      </c>
      <c r="J60" s="10">
        <f>22.1089 * CHOOSE(CONTROL!$C$9, $D$9, 100%, $F$9) + CHOOSE(CONTROL!$C$27, 0.0021, 0)</f>
        <v>22.110999999999997</v>
      </c>
      <c r="K60" s="10">
        <f>22.1089 * CHOOSE(CONTROL!$C$9, $D$9, 100%, $F$9) + CHOOSE(CONTROL!$C$27, 0.0021, 0)</f>
        <v>22.110999999999997</v>
      </c>
      <c r="L60" s="10"/>
    </row>
    <row r="61" spans="1:12" ht="15">
      <c r="A61" s="16">
        <v>43132</v>
      </c>
      <c r="B61" s="10">
        <f>21.9684 * CHOOSE(CONTROL!$C$9, $D$9, 100%, $F$9) + CHOOSE(CONTROL!$C$27, 0.0021, 0)</f>
        <v>21.970499999999998</v>
      </c>
      <c r="C61" s="10">
        <f>21.5361 * CHOOSE(CONTROL!$C$9, $D$9, 100%, $F$9) + CHOOSE(CONTROL!$C$27, 0.0021, 0)</f>
        <v>21.5382</v>
      </c>
      <c r="D61" s="10">
        <f>21.5361 * CHOOSE(CONTROL!$C$9, $D$9, 100%, $F$9) + CHOOSE(CONTROL!$C$27, 0.0021, 0)</f>
        <v>21.5382</v>
      </c>
      <c r="E61" s="10">
        <f>21.3995 * CHOOSE(CONTROL!$C$9, $D$9, 100%, $F$9) + CHOOSE(CONTROL!$C$27, 0.0021, 0)</f>
        <v>21.401599999999998</v>
      </c>
      <c r="F61" s="10">
        <f>21.3995 * CHOOSE(CONTROL!$C$9, $D$9, 100%, $F$9) + CHOOSE(CONTROL!$C$27, 0.0021, 0)</f>
        <v>21.401599999999998</v>
      </c>
      <c r="G61" s="10">
        <f>21.6708 * CHOOSE(CONTROL!$C$9, $D$9, 100%, $F$9) + CHOOSE(CONTROL!$C$27, 0.0021, 0)</f>
        <v>21.672899999999998</v>
      </c>
      <c r="H61" s="10">
        <f>21.5361 * CHOOSE(CONTROL!$C$9, $D$9, 100%, $F$9) + CHOOSE(CONTROL!$C$27, 0.0021, 0)</f>
        <v>21.5382</v>
      </c>
      <c r="I61" s="10">
        <f>21.5361 * CHOOSE(CONTROL!$C$9, $D$9, 100%, $F$9) + CHOOSE(CONTROL!$C$27, 0.0021, 0)</f>
        <v>21.5382</v>
      </c>
      <c r="J61" s="10">
        <f>21.5361 * CHOOSE(CONTROL!$C$9, $D$9, 100%, $F$9) + CHOOSE(CONTROL!$C$27, 0.0021, 0)</f>
        <v>21.5382</v>
      </c>
      <c r="K61" s="10">
        <f>21.5361 * CHOOSE(CONTROL!$C$9, $D$9, 100%, $F$9) + CHOOSE(CONTROL!$C$27, 0.0021, 0)</f>
        <v>21.5382</v>
      </c>
      <c r="L61" s="10"/>
    </row>
    <row r="62" spans="1:12" ht="15">
      <c r="A62" s="16">
        <v>43160</v>
      </c>
      <c r="B62" s="10">
        <f>21.7319 * CHOOSE(CONTROL!$C$9, $D$9, 100%, $F$9) + CHOOSE(CONTROL!$C$27, 0.0021, 0)</f>
        <v>21.733999999999998</v>
      </c>
      <c r="C62" s="10">
        <f>21.2997 * CHOOSE(CONTROL!$C$9, $D$9, 100%, $F$9) + CHOOSE(CONTROL!$C$27, 0.0021, 0)</f>
        <v>21.3018</v>
      </c>
      <c r="D62" s="10">
        <f>21.2997 * CHOOSE(CONTROL!$C$9, $D$9, 100%, $F$9) + CHOOSE(CONTROL!$C$27, 0.0021, 0)</f>
        <v>21.3018</v>
      </c>
      <c r="E62" s="10">
        <f>21.163 * CHOOSE(CONTROL!$C$9, $D$9, 100%, $F$9) + CHOOSE(CONTROL!$C$27, 0.0021, 0)</f>
        <v>21.165099999999999</v>
      </c>
      <c r="F62" s="10">
        <f>21.163 * CHOOSE(CONTROL!$C$9, $D$9, 100%, $F$9) + CHOOSE(CONTROL!$C$27, 0.0021, 0)</f>
        <v>21.165099999999999</v>
      </c>
      <c r="G62" s="10">
        <f>21.4344 * CHOOSE(CONTROL!$C$9, $D$9, 100%, $F$9) + CHOOSE(CONTROL!$C$27, 0.0021, 0)</f>
        <v>21.436499999999999</v>
      </c>
      <c r="H62" s="10">
        <f>21.2997 * CHOOSE(CONTROL!$C$9, $D$9, 100%, $F$9) + CHOOSE(CONTROL!$C$27, 0.0021, 0)</f>
        <v>21.3018</v>
      </c>
      <c r="I62" s="10">
        <f>21.2997 * CHOOSE(CONTROL!$C$9, $D$9, 100%, $F$9) + CHOOSE(CONTROL!$C$27, 0.0021, 0)</f>
        <v>21.3018</v>
      </c>
      <c r="J62" s="10">
        <f>21.2997 * CHOOSE(CONTROL!$C$9, $D$9, 100%, $F$9) + CHOOSE(CONTROL!$C$27, 0.0021, 0)</f>
        <v>21.3018</v>
      </c>
      <c r="K62" s="10">
        <f>21.2997 * CHOOSE(CONTROL!$C$9, $D$9, 100%, $F$9) + CHOOSE(CONTROL!$C$27, 0.0021, 0)</f>
        <v>21.3018</v>
      </c>
      <c r="L62" s="10"/>
    </row>
    <row r="63" spans="1:12" ht="15">
      <c r="A63" s="16">
        <v>43191</v>
      </c>
      <c r="B63" s="10">
        <f>21.4496 * CHOOSE(CONTROL!$C$9, $D$9, 100%, $F$9) + CHOOSE(CONTROL!$C$27, 0.0021, 0)</f>
        <v>21.451699999999999</v>
      </c>
      <c r="C63" s="10">
        <f>21.0174 * CHOOSE(CONTROL!$C$9, $D$9, 100%, $F$9) + CHOOSE(CONTROL!$C$27, 0.0021, 0)</f>
        <v>21.019499999999997</v>
      </c>
      <c r="D63" s="10">
        <f>21.0174 * CHOOSE(CONTROL!$C$9, $D$9, 100%, $F$9) + CHOOSE(CONTROL!$C$27, 0.0021, 0)</f>
        <v>21.019499999999997</v>
      </c>
      <c r="E63" s="10">
        <f>20.8807 * CHOOSE(CONTROL!$C$9, $D$9, 100%, $F$9) + CHOOSE(CONTROL!$C$27, 0.0021, 0)</f>
        <v>20.8828</v>
      </c>
      <c r="F63" s="10">
        <f>20.8807 * CHOOSE(CONTROL!$C$9, $D$9, 100%, $F$9) + CHOOSE(CONTROL!$C$27, 0.0021, 0)</f>
        <v>20.8828</v>
      </c>
      <c r="G63" s="10">
        <f>21.1521 * CHOOSE(CONTROL!$C$9, $D$9, 100%, $F$9) + CHOOSE(CONTROL!$C$27, 0.0021, 0)</f>
        <v>21.154199999999999</v>
      </c>
      <c r="H63" s="10">
        <f>21.0174 * CHOOSE(CONTROL!$C$9, $D$9, 100%, $F$9) + CHOOSE(CONTROL!$C$27, 0.0021, 0)</f>
        <v>21.019499999999997</v>
      </c>
      <c r="I63" s="10">
        <f>21.0174 * CHOOSE(CONTROL!$C$9, $D$9, 100%, $F$9) + CHOOSE(CONTROL!$C$27, 0.0021, 0)</f>
        <v>21.019499999999997</v>
      </c>
      <c r="J63" s="10">
        <f>21.0174 * CHOOSE(CONTROL!$C$9, $D$9, 100%, $F$9) + CHOOSE(CONTROL!$C$27, 0.0021, 0)</f>
        <v>21.019499999999997</v>
      </c>
      <c r="K63" s="10">
        <f>21.0174 * CHOOSE(CONTROL!$C$9, $D$9, 100%, $F$9) + CHOOSE(CONTROL!$C$27, 0.0021, 0)</f>
        <v>21.019499999999997</v>
      </c>
      <c r="L63" s="10"/>
    </row>
    <row r="64" spans="1:12" ht="15">
      <c r="A64" s="16">
        <v>43221</v>
      </c>
      <c r="B64" s="10">
        <f>21.8519 * CHOOSE(CONTROL!$C$9, $D$9, 100%, $F$9) + CHOOSE(CONTROL!$C$27, 0.0021, 0)</f>
        <v>21.853999999999999</v>
      </c>
      <c r="C64" s="10">
        <f>21.4197 * CHOOSE(CONTROL!$C$9, $D$9, 100%, $F$9) + CHOOSE(CONTROL!$C$27, 0.0021, 0)</f>
        <v>21.421799999999998</v>
      </c>
      <c r="D64" s="10">
        <f>21.4197 * CHOOSE(CONTROL!$C$9, $D$9, 100%, $F$9) + CHOOSE(CONTROL!$C$27, 0.0021, 0)</f>
        <v>21.421799999999998</v>
      </c>
      <c r="E64" s="10">
        <f>21.283 * CHOOSE(CONTROL!$C$9, $D$9, 100%, $F$9) + CHOOSE(CONTROL!$C$27, 0.0021, 0)</f>
        <v>21.2851</v>
      </c>
      <c r="F64" s="10">
        <f>21.283 * CHOOSE(CONTROL!$C$9, $D$9, 100%, $F$9) + CHOOSE(CONTROL!$C$27, 0.0021, 0)</f>
        <v>21.2851</v>
      </c>
      <c r="G64" s="10">
        <f>21.5544 * CHOOSE(CONTROL!$C$9, $D$9, 100%, $F$9) + CHOOSE(CONTROL!$C$27, 0.0021, 0)</f>
        <v>21.5565</v>
      </c>
      <c r="H64" s="10">
        <f>21.4197 * CHOOSE(CONTROL!$C$9, $D$9, 100%, $F$9) + CHOOSE(CONTROL!$C$27, 0.0021, 0)</f>
        <v>21.421799999999998</v>
      </c>
      <c r="I64" s="10">
        <f>21.4197 * CHOOSE(CONTROL!$C$9, $D$9, 100%, $F$9) + CHOOSE(CONTROL!$C$27, 0.0021, 0)</f>
        <v>21.421799999999998</v>
      </c>
      <c r="J64" s="10">
        <f>21.4197 * CHOOSE(CONTROL!$C$9, $D$9, 100%, $F$9) + CHOOSE(CONTROL!$C$27, 0.0021, 0)</f>
        <v>21.421799999999998</v>
      </c>
      <c r="K64" s="10">
        <f>21.4197 * CHOOSE(CONTROL!$C$9, $D$9, 100%, $F$9) + CHOOSE(CONTROL!$C$27, 0.0021, 0)</f>
        <v>21.421799999999998</v>
      </c>
      <c r="L64" s="10"/>
    </row>
    <row r="65" spans="1:12" ht="15">
      <c r="A65" s="16">
        <v>43252</v>
      </c>
      <c r="B65" s="10">
        <f>22.0929 * CHOOSE(CONTROL!$C$9, $D$9, 100%, $F$9) + CHOOSE(CONTROL!$C$27, 0.0021, 0)</f>
        <v>22.094999999999999</v>
      </c>
      <c r="C65" s="10">
        <f>21.6607 * CHOOSE(CONTROL!$C$9, $D$9, 100%, $F$9) + CHOOSE(CONTROL!$C$27, 0.0021, 0)</f>
        <v>21.662799999999997</v>
      </c>
      <c r="D65" s="10">
        <f>21.6607 * CHOOSE(CONTROL!$C$9, $D$9, 100%, $F$9) + CHOOSE(CONTROL!$C$27, 0.0021, 0)</f>
        <v>21.662799999999997</v>
      </c>
      <c r="E65" s="10">
        <f>21.524 * CHOOSE(CONTROL!$C$9, $D$9, 100%, $F$9) + CHOOSE(CONTROL!$C$27, 0.0021, 0)</f>
        <v>21.5261</v>
      </c>
      <c r="F65" s="10">
        <f>21.524 * CHOOSE(CONTROL!$C$9, $D$9, 100%, $F$9) + CHOOSE(CONTROL!$C$27, 0.0021, 0)</f>
        <v>21.5261</v>
      </c>
      <c r="G65" s="10">
        <f>21.7954 * CHOOSE(CONTROL!$C$9, $D$9, 100%, $F$9) + CHOOSE(CONTROL!$C$27, 0.0021, 0)</f>
        <v>21.797499999999999</v>
      </c>
      <c r="H65" s="10">
        <f>21.6607 * CHOOSE(CONTROL!$C$9, $D$9, 100%, $F$9) + CHOOSE(CONTROL!$C$27, 0.0021, 0)</f>
        <v>21.662799999999997</v>
      </c>
      <c r="I65" s="10">
        <f>21.6607 * CHOOSE(CONTROL!$C$9, $D$9, 100%, $F$9) + CHOOSE(CONTROL!$C$27, 0.0021, 0)</f>
        <v>21.662799999999997</v>
      </c>
      <c r="J65" s="10">
        <f>21.6607 * CHOOSE(CONTROL!$C$9, $D$9, 100%, $F$9) + CHOOSE(CONTROL!$C$27, 0.0021, 0)</f>
        <v>21.662799999999997</v>
      </c>
      <c r="K65" s="10">
        <f>21.6607 * CHOOSE(CONTROL!$C$9, $D$9, 100%, $F$9) + CHOOSE(CONTROL!$C$27, 0.0021, 0)</f>
        <v>21.662799999999997</v>
      </c>
      <c r="L65" s="10"/>
    </row>
    <row r="66" spans="1:12" ht="15">
      <c r="A66" s="16">
        <v>43282</v>
      </c>
      <c r="B66" s="10">
        <f>22.4904 * CHOOSE(CONTROL!$C$9, $D$9, 100%, $F$9) + CHOOSE(CONTROL!$C$27, 0.0021, 0)</f>
        <v>22.4925</v>
      </c>
      <c r="C66" s="10">
        <f>22.0582 * CHOOSE(CONTROL!$C$9, $D$9, 100%, $F$9) + CHOOSE(CONTROL!$C$27, 0.0021, 0)</f>
        <v>22.060299999999998</v>
      </c>
      <c r="D66" s="10">
        <f>22.0582 * CHOOSE(CONTROL!$C$9, $D$9, 100%, $F$9) + CHOOSE(CONTROL!$C$27, 0.0021, 0)</f>
        <v>22.060299999999998</v>
      </c>
      <c r="E66" s="10">
        <f>21.9215 * CHOOSE(CONTROL!$C$9, $D$9, 100%, $F$9) + CHOOSE(CONTROL!$C$27, 0.0021, 0)</f>
        <v>21.9236</v>
      </c>
      <c r="F66" s="10">
        <f>21.9215 * CHOOSE(CONTROL!$C$9, $D$9, 100%, $F$9) + CHOOSE(CONTROL!$C$27, 0.0021, 0)</f>
        <v>21.9236</v>
      </c>
      <c r="G66" s="10">
        <f>22.1929 * CHOOSE(CONTROL!$C$9, $D$9, 100%, $F$9) + CHOOSE(CONTROL!$C$27, 0.0021, 0)</f>
        <v>22.195</v>
      </c>
      <c r="H66" s="10">
        <f>22.0582 * CHOOSE(CONTROL!$C$9, $D$9, 100%, $F$9) + CHOOSE(CONTROL!$C$27, 0.0021, 0)</f>
        <v>22.060299999999998</v>
      </c>
      <c r="I66" s="10">
        <f>22.0582 * CHOOSE(CONTROL!$C$9, $D$9, 100%, $F$9) + CHOOSE(CONTROL!$C$27, 0.0021, 0)</f>
        <v>22.060299999999998</v>
      </c>
      <c r="J66" s="10">
        <f>22.0582 * CHOOSE(CONTROL!$C$9, $D$9, 100%, $F$9) + CHOOSE(CONTROL!$C$27, 0.0021, 0)</f>
        <v>22.060299999999998</v>
      </c>
      <c r="K66" s="10">
        <f>22.0582 * CHOOSE(CONTROL!$C$9, $D$9, 100%, $F$9) + CHOOSE(CONTROL!$C$27, 0.0021, 0)</f>
        <v>22.060299999999998</v>
      </c>
      <c r="L66" s="10"/>
    </row>
    <row r="67" spans="1:12" ht="15">
      <c r="A67" s="16">
        <v>43313</v>
      </c>
      <c r="B67" s="10">
        <f>22.6118 * CHOOSE(CONTROL!$C$9, $D$9, 100%, $F$9) + CHOOSE(CONTROL!$C$27, 0.0021, 0)</f>
        <v>22.613899999999997</v>
      </c>
      <c r="C67" s="10">
        <f>22.1795 * CHOOSE(CONTROL!$C$9, $D$9, 100%, $F$9) + CHOOSE(CONTROL!$C$27, 0.0021, 0)</f>
        <v>22.1816</v>
      </c>
      <c r="D67" s="10">
        <f>22.1795 * CHOOSE(CONTROL!$C$9, $D$9, 100%, $F$9) + CHOOSE(CONTROL!$C$27, 0.0021, 0)</f>
        <v>22.1816</v>
      </c>
      <c r="E67" s="10">
        <f>22.0428 * CHOOSE(CONTROL!$C$9, $D$9, 100%, $F$9) + CHOOSE(CONTROL!$C$27, 0.0021, 0)</f>
        <v>22.044899999999998</v>
      </c>
      <c r="F67" s="10">
        <f>22.0428 * CHOOSE(CONTROL!$C$9, $D$9, 100%, $F$9) + CHOOSE(CONTROL!$C$27, 0.0021, 0)</f>
        <v>22.044899999999998</v>
      </c>
      <c r="G67" s="10">
        <f>22.3142 * CHOOSE(CONTROL!$C$9, $D$9, 100%, $F$9) + CHOOSE(CONTROL!$C$27, 0.0021, 0)</f>
        <v>22.316299999999998</v>
      </c>
      <c r="H67" s="10">
        <f>22.1795 * CHOOSE(CONTROL!$C$9, $D$9, 100%, $F$9) + CHOOSE(CONTROL!$C$27, 0.0021, 0)</f>
        <v>22.1816</v>
      </c>
      <c r="I67" s="10">
        <f>22.1795 * CHOOSE(CONTROL!$C$9, $D$9, 100%, $F$9) + CHOOSE(CONTROL!$C$27, 0.0021, 0)</f>
        <v>22.1816</v>
      </c>
      <c r="J67" s="10">
        <f>22.1795 * CHOOSE(CONTROL!$C$9, $D$9, 100%, $F$9) + CHOOSE(CONTROL!$C$27, 0.0021, 0)</f>
        <v>22.1816</v>
      </c>
      <c r="K67" s="10">
        <f>22.1795 * CHOOSE(CONTROL!$C$9, $D$9, 100%, $F$9) + CHOOSE(CONTROL!$C$27, 0.0021, 0)</f>
        <v>22.1816</v>
      </c>
      <c r="L67" s="10"/>
    </row>
    <row r="68" spans="1:12" ht="15">
      <c r="A68" s="16">
        <v>43344</v>
      </c>
      <c r="B68" s="10">
        <f>23.0249 * CHOOSE(CONTROL!$C$9, $D$9, 100%, $F$9) + CHOOSE(CONTROL!$C$27, 0.0021, 0)</f>
        <v>23.026999999999997</v>
      </c>
      <c r="C68" s="10">
        <f>22.5927 * CHOOSE(CONTROL!$C$9, $D$9, 100%, $F$9) + CHOOSE(CONTROL!$C$27, 0.0021, 0)</f>
        <v>22.594799999999999</v>
      </c>
      <c r="D68" s="10">
        <f>22.5927 * CHOOSE(CONTROL!$C$9, $D$9, 100%, $F$9) + CHOOSE(CONTROL!$C$27, 0.0021, 0)</f>
        <v>22.594799999999999</v>
      </c>
      <c r="E68" s="10">
        <f>22.456 * CHOOSE(CONTROL!$C$9, $D$9, 100%, $F$9) + CHOOSE(CONTROL!$C$27, 0.0021, 0)</f>
        <v>22.458099999999998</v>
      </c>
      <c r="F68" s="10">
        <f>22.456 * CHOOSE(CONTROL!$C$9, $D$9, 100%, $F$9) + CHOOSE(CONTROL!$C$27, 0.0021, 0)</f>
        <v>22.458099999999998</v>
      </c>
      <c r="G68" s="10">
        <f>22.7274 * CHOOSE(CONTROL!$C$9, $D$9, 100%, $F$9) + CHOOSE(CONTROL!$C$27, 0.0021, 0)</f>
        <v>22.729499999999998</v>
      </c>
      <c r="H68" s="10">
        <f>22.5927 * CHOOSE(CONTROL!$C$9, $D$9, 100%, $F$9) + CHOOSE(CONTROL!$C$27, 0.0021, 0)</f>
        <v>22.594799999999999</v>
      </c>
      <c r="I68" s="10">
        <f>22.5927 * CHOOSE(CONTROL!$C$9, $D$9, 100%, $F$9) + CHOOSE(CONTROL!$C$27, 0.0021, 0)</f>
        <v>22.594799999999999</v>
      </c>
      <c r="J68" s="10">
        <f>22.5927 * CHOOSE(CONTROL!$C$9, $D$9, 100%, $F$9) + CHOOSE(CONTROL!$C$27, 0.0021, 0)</f>
        <v>22.594799999999999</v>
      </c>
      <c r="K68" s="10">
        <f>22.5927 * CHOOSE(CONTROL!$C$9, $D$9, 100%, $F$9) + CHOOSE(CONTROL!$C$27, 0.0021, 0)</f>
        <v>22.594799999999999</v>
      </c>
      <c r="L68" s="10"/>
    </row>
    <row r="69" spans="1:12" ht="15">
      <c r="A69" s="16">
        <v>43374</v>
      </c>
      <c r="B69" s="10">
        <f>23.548 * CHOOSE(CONTROL!$C$9, $D$9, 100%, $F$9) + CHOOSE(CONTROL!$C$27, 0.0021, 0)</f>
        <v>23.550099999999997</v>
      </c>
      <c r="C69" s="10">
        <f>23.1157 * CHOOSE(CONTROL!$C$9, $D$9, 100%, $F$9) + CHOOSE(CONTROL!$C$27, 0.0021, 0)</f>
        <v>23.117799999999999</v>
      </c>
      <c r="D69" s="10">
        <f>23.1157 * CHOOSE(CONTROL!$C$9, $D$9, 100%, $F$9) + CHOOSE(CONTROL!$C$27, 0.0021, 0)</f>
        <v>23.117799999999999</v>
      </c>
      <c r="E69" s="10">
        <f>22.9791 * CHOOSE(CONTROL!$C$9, $D$9, 100%, $F$9) + CHOOSE(CONTROL!$C$27, 0.0021, 0)</f>
        <v>22.981199999999998</v>
      </c>
      <c r="F69" s="10">
        <f>22.9791 * CHOOSE(CONTROL!$C$9, $D$9, 100%, $F$9) + CHOOSE(CONTROL!$C$27, 0.0021, 0)</f>
        <v>22.981199999999998</v>
      </c>
      <c r="G69" s="10">
        <f>23.2504 * CHOOSE(CONTROL!$C$9, $D$9, 100%, $F$9) + CHOOSE(CONTROL!$C$27, 0.0021, 0)</f>
        <v>23.252499999999998</v>
      </c>
      <c r="H69" s="10">
        <f>23.1157 * CHOOSE(CONTROL!$C$9, $D$9, 100%, $F$9) + CHOOSE(CONTROL!$C$27, 0.0021, 0)</f>
        <v>23.117799999999999</v>
      </c>
      <c r="I69" s="10">
        <f>23.1157 * CHOOSE(CONTROL!$C$9, $D$9, 100%, $F$9) + CHOOSE(CONTROL!$C$27, 0.0021, 0)</f>
        <v>23.117799999999999</v>
      </c>
      <c r="J69" s="10">
        <f>23.1157 * CHOOSE(CONTROL!$C$9, $D$9, 100%, $F$9) + CHOOSE(CONTROL!$C$27, 0.0021, 0)</f>
        <v>23.117799999999999</v>
      </c>
      <c r="K69" s="10">
        <f>23.1157 * CHOOSE(CONTROL!$C$9, $D$9, 100%, $F$9) + CHOOSE(CONTROL!$C$27, 0.0021, 0)</f>
        <v>23.117799999999999</v>
      </c>
      <c r="L69" s="10"/>
    </row>
    <row r="70" spans="1:12" ht="15">
      <c r="A70" s="16">
        <v>43405</v>
      </c>
      <c r="B70" s="10">
        <f>23.5971 * CHOOSE(CONTROL!$C$9, $D$9, 100%, $F$9) + CHOOSE(CONTROL!$C$27, 0.0021, 0)</f>
        <v>23.5992</v>
      </c>
      <c r="C70" s="10">
        <f>23.1648 * CHOOSE(CONTROL!$C$9, $D$9, 100%, $F$9) + CHOOSE(CONTROL!$C$27, 0.0021, 0)</f>
        <v>23.166899999999998</v>
      </c>
      <c r="D70" s="10">
        <f>23.1648 * CHOOSE(CONTROL!$C$9, $D$9, 100%, $F$9) + CHOOSE(CONTROL!$C$27, 0.0021, 0)</f>
        <v>23.166899999999998</v>
      </c>
      <c r="E70" s="10">
        <f>23.0282 * CHOOSE(CONTROL!$C$9, $D$9, 100%, $F$9) + CHOOSE(CONTROL!$C$27, 0.0021, 0)</f>
        <v>23.030299999999997</v>
      </c>
      <c r="F70" s="10">
        <f>23.0282 * CHOOSE(CONTROL!$C$9, $D$9, 100%, $F$9) + CHOOSE(CONTROL!$C$27, 0.0021, 0)</f>
        <v>23.030299999999997</v>
      </c>
      <c r="G70" s="10">
        <f>23.2996 * CHOOSE(CONTROL!$C$9, $D$9, 100%, $F$9) + CHOOSE(CONTROL!$C$27, 0.0021, 0)</f>
        <v>23.3017</v>
      </c>
      <c r="H70" s="10">
        <f>23.1648 * CHOOSE(CONTROL!$C$9, $D$9, 100%, $F$9) + CHOOSE(CONTROL!$C$27, 0.0021, 0)</f>
        <v>23.166899999999998</v>
      </c>
      <c r="I70" s="10">
        <f>23.1648 * CHOOSE(CONTROL!$C$9, $D$9, 100%, $F$9) + CHOOSE(CONTROL!$C$27, 0.0021, 0)</f>
        <v>23.166899999999998</v>
      </c>
      <c r="J70" s="10">
        <f>23.1648 * CHOOSE(CONTROL!$C$9, $D$9, 100%, $F$9) + CHOOSE(CONTROL!$C$27, 0.0021, 0)</f>
        <v>23.166899999999998</v>
      </c>
      <c r="K70" s="10">
        <f>23.1648 * CHOOSE(CONTROL!$C$9, $D$9, 100%, $F$9) + CHOOSE(CONTROL!$C$27, 0.0021, 0)</f>
        <v>23.166899999999998</v>
      </c>
      <c r="L70" s="10"/>
    </row>
    <row r="71" spans="1:12" ht="15">
      <c r="A71" s="16">
        <v>43435</v>
      </c>
      <c r="B71" s="10">
        <f>23.1793 * CHOOSE(CONTROL!$C$9, $D$9, 100%, $F$9) + CHOOSE(CONTROL!$C$27, 0.0021, 0)</f>
        <v>23.1814</v>
      </c>
      <c r="C71" s="10">
        <f>22.7471 * CHOOSE(CONTROL!$C$9, $D$9, 100%, $F$9) + CHOOSE(CONTROL!$C$27, 0.0021, 0)</f>
        <v>22.749199999999998</v>
      </c>
      <c r="D71" s="10">
        <f>22.7471 * CHOOSE(CONTROL!$C$9, $D$9, 100%, $F$9) + CHOOSE(CONTROL!$C$27, 0.0021, 0)</f>
        <v>22.749199999999998</v>
      </c>
      <c r="E71" s="10">
        <f>22.6104 * CHOOSE(CONTROL!$C$9, $D$9, 100%, $F$9) + CHOOSE(CONTROL!$C$27, 0.0021, 0)</f>
        <v>22.612499999999997</v>
      </c>
      <c r="F71" s="10">
        <f>22.6104 * CHOOSE(CONTROL!$C$9, $D$9, 100%, $F$9) + CHOOSE(CONTROL!$C$27, 0.0021, 0)</f>
        <v>22.612499999999997</v>
      </c>
      <c r="G71" s="10">
        <f>22.8818 * CHOOSE(CONTROL!$C$9, $D$9, 100%, $F$9) + CHOOSE(CONTROL!$C$27, 0.0021, 0)</f>
        <v>22.883899999999997</v>
      </c>
      <c r="H71" s="10">
        <f>22.7471 * CHOOSE(CONTROL!$C$9, $D$9, 100%, $F$9) + CHOOSE(CONTROL!$C$27, 0.0021, 0)</f>
        <v>22.749199999999998</v>
      </c>
      <c r="I71" s="10">
        <f>22.7471 * CHOOSE(CONTROL!$C$9, $D$9, 100%, $F$9) + CHOOSE(CONTROL!$C$27, 0.0021, 0)</f>
        <v>22.749199999999998</v>
      </c>
      <c r="J71" s="10">
        <f>22.7471 * CHOOSE(CONTROL!$C$9, $D$9, 100%, $F$9) + CHOOSE(CONTROL!$C$27, 0.0021, 0)</f>
        <v>22.749199999999998</v>
      </c>
      <c r="K71" s="10">
        <f>22.7471 * CHOOSE(CONTROL!$C$9, $D$9, 100%, $F$9) + CHOOSE(CONTROL!$C$27, 0.0021, 0)</f>
        <v>22.749199999999998</v>
      </c>
      <c r="L71" s="10"/>
    </row>
    <row r="72" spans="1:12" ht="15">
      <c r="A72" s="16">
        <v>43466</v>
      </c>
      <c r="B72" s="10">
        <f>23.9219 * CHOOSE(CONTROL!$C$9, $D$9, 100%, $F$9) + CHOOSE(CONTROL!$C$27, 0.0021, 0)</f>
        <v>23.923999999999999</v>
      </c>
      <c r="C72" s="10">
        <f>23.4897 * CHOOSE(CONTROL!$C$9, $D$9, 100%, $F$9) + CHOOSE(CONTROL!$C$27, 0.0021, 0)</f>
        <v>23.491799999999998</v>
      </c>
      <c r="D72" s="10">
        <f>23.4897 * CHOOSE(CONTROL!$C$9, $D$9, 100%, $F$9) + CHOOSE(CONTROL!$C$27, 0.0021, 0)</f>
        <v>23.491799999999998</v>
      </c>
      <c r="E72" s="10">
        <f>23.353 * CHOOSE(CONTROL!$C$9, $D$9, 100%, $F$9) + CHOOSE(CONTROL!$C$27, 0.0021, 0)</f>
        <v>23.3551</v>
      </c>
      <c r="F72" s="10">
        <f>23.353 * CHOOSE(CONTROL!$C$9, $D$9, 100%, $F$9) + CHOOSE(CONTROL!$C$27, 0.0021, 0)</f>
        <v>23.3551</v>
      </c>
      <c r="G72" s="10">
        <f>23.6244 * CHOOSE(CONTROL!$C$9, $D$9, 100%, $F$9) + CHOOSE(CONTROL!$C$27, 0.0021, 0)</f>
        <v>23.6265</v>
      </c>
      <c r="H72" s="10">
        <f>23.4897 * CHOOSE(CONTROL!$C$9, $D$9, 100%, $F$9) + CHOOSE(CONTROL!$C$27, 0.0021, 0)</f>
        <v>23.491799999999998</v>
      </c>
      <c r="I72" s="10">
        <f>23.4897 * CHOOSE(CONTROL!$C$9, $D$9, 100%, $F$9) + CHOOSE(CONTROL!$C$27, 0.0021, 0)</f>
        <v>23.491799999999998</v>
      </c>
      <c r="J72" s="10">
        <f>23.4897 * CHOOSE(CONTROL!$C$9, $D$9, 100%, $F$9) + CHOOSE(CONTROL!$C$27, 0.0021, 0)</f>
        <v>23.491799999999998</v>
      </c>
      <c r="K72" s="10">
        <f>23.4897 * CHOOSE(CONTROL!$C$9, $D$9, 100%, $F$9) + CHOOSE(CONTROL!$C$27, 0.0021, 0)</f>
        <v>23.491799999999998</v>
      </c>
      <c r="L72" s="10"/>
    </row>
    <row r="73" spans="1:12" ht="15">
      <c r="A73" s="16">
        <v>43497</v>
      </c>
      <c r="B73" s="10">
        <f>23.3101 * CHOOSE(CONTROL!$C$9, $D$9, 100%, $F$9) + CHOOSE(CONTROL!$C$27, 0.0021, 0)</f>
        <v>23.312199999999997</v>
      </c>
      <c r="C73" s="10">
        <f>22.8779 * CHOOSE(CONTROL!$C$9, $D$9, 100%, $F$9) + CHOOSE(CONTROL!$C$27, 0.0021, 0)</f>
        <v>22.88</v>
      </c>
      <c r="D73" s="10">
        <f>22.8779 * CHOOSE(CONTROL!$C$9, $D$9, 100%, $F$9) + CHOOSE(CONTROL!$C$27, 0.0021, 0)</f>
        <v>22.88</v>
      </c>
      <c r="E73" s="10">
        <f>22.7412 * CHOOSE(CONTROL!$C$9, $D$9, 100%, $F$9) + CHOOSE(CONTROL!$C$27, 0.0021, 0)</f>
        <v>22.743299999999998</v>
      </c>
      <c r="F73" s="10">
        <f>22.7412 * CHOOSE(CONTROL!$C$9, $D$9, 100%, $F$9) + CHOOSE(CONTROL!$C$27, 0.0021, 0)</f>
        <v>22.743299999999998</v>
      </c>
      <c r="G73" s="10">
        <f>23.0126 * CHOOSE(CONTROL!$C$9, $D$9, 100%, $F$9) + CHOOSE(CONTROL!$C$27, 0.0021, 0)</f>
        <v>23.014699999999998</v>
      </c>
      <c r="H73" s="10">
        <f>22.8779 * CHOOSE(CONTROL!$C$9, $D$9, 100%, $F$9) + CHOOSE(CONTROL!$C$27, 0.0021, 0)</f>
        <v>22.88</v>
      </c>
      <c r="I73" s="10">
        <f>22.8779 * CHOOSE(CONTROL!$C$9, $D$9, 100%, $F$9) + CHOOSE(CONTROL!$C$27, 0.0021, 0)</f>
        <v>22.88</v>
      </c>
      <c r="J73" s="10">
        <f>22.8779 * CHOOSE(CONTROL!$C$9, $D$9, 100%, $F$9) + CHOOSE(CONTROL!$C$27, 0.0021, 0)</f>
        <v>22.88</v>
      </c>
      <c r="K73" s="10">
        <f>22.8779 * CHOOSE(CONTROL!$C$9, $D$9, 100%, $F$9) + CHOOSE(CONTROL!$C$27, 0.0021, 0)</f>
        <v>22.88</v>
      </c>
      <c r="L73" s="10"/>
    </row>
    <row r="74" spans="1:12" ht="15">
      <c r="A74" s="16">
        <v>43525</v>
      </c>
      <c r="B74" s="10">
        <f>23.0576 * CHOOSE(CONTROL!$C$9, $D$9, 100%, $F$9) + CHOOSE(CONTROL!$C$27, 0.0021, 0)</f>
        <v>23.059699999999999</v>
      </c>
      <c r="C74" s="10">
        <f>22.6253 * CHOOSE(CONTROL!$C$9, $D$9, 100%, $F$9) + CHOOSE(CONTROL!$C$27, 0.0021, 0)</f>
        <v>22.627399999999998</v>
      </c>
      <c r="D74" s="10">
        <f>22.6253 * CHOOSE(CONTROL!$C$9, $D$9, 100%, $F$9) + CHOOSE(CONTROL!$C$27, 0.0021, 0)</f>
        <v>22.627399999999998</v>
      </c>
      <c r="E74" s="10">
        <f>22.4887 * CHOOSE(CONTROL!$C$9, $D$9, 100%, $F$9) + CHOOSE(CONTROL!$C$27, 0.0021, 0)</f>
        <v>22.4908</v>
      </c>
      <c r="F74" s="10">
        <f>22.4887 * CHOOSE(CONTROL!$C$9, $D$9, 100%, $F$9) + CHOOSE(CONTROL!$C$27, 0.0021, 0)</f>
        <v>22.4908</v>
      </c>
      <c r="G74" s="10">
        <f>22.7601 * CHOOSE(CONTROL!$C$9, $D$9, 100%, $F$9) + CHOOSE(CONTROL!$C$27, 0.0021, 0)</f>
        <v>22.7622</v>
      </c>
      <c r="H74" s="10">
        <f>22.6253 * CHOOSE(CONTROL!$C$9, $D$9, 100%, $F$9) + CHOOSE(CONTROL!$C$27, 0.0021, 0)</f>
        <v>22.627399999999998</v>
      </c>
      <c r="I74" s="10">
        <f>22.6253 * CHOOSE(CONTROL!$C$9, $D$9, 100%, $F$9) + CHOOSE(CONTROL!$C$27, 0.0021, 0)</f>
        <v>22.627399999999998</v>
      </c>
      <c r="J74" s="10">
        <f>22.6253 * CHOOSE(CONTROL!$C$9, $D$9, 100%, $F$9) + CHOOSE(CONTROL!$C$27, 0.0021, 0)</f>
        <v>22.627399999999998</v>
      </c>
      <c r="K74" s="10">
        <f>22.6253 * CHOOSE(CONTROL!$C$9, $D$9, 100%, $F$9) + CHOOSE(CONTROL!$C$27, 0.0021, 0)</f>
        <v>22.627399999999998</v>
      </c>
      <c r="L74" s="10"/>
    </row>
    <row r="75" spans="1:12" ht="15">
      <c r="A75" s="16">
        <v>43556</v>
      </c>
      <c r="B75" s="10">
        <f>22.756 * CHOOSE(CONTROL!$C$9, $D$9, 100%, $F$9) + CHOOSE(CONTROL!$C$27, 0.0021, 0)</f>
        <v>22.758099999999999</v>
      </c>
      <c r="C75" s="10">
        <f>22.3238 * CHOOSE(CONTROL!$C$9, $D$9, 100%, $F$9) + CHOOSE(CONTROL!$C$27, 0.0021, 0)</f>
        <v>22.325899999999997</v>
      </c>
      <c r="D75" s="10">
        <f>22.3238 * CHOOSE(CONTROL!$C$9, $D$9, 100%, $F$9) + CHOOSE(CONTROL!$C$27, 0.0021, 0)</f>
        <v>22.325899999999997</v>
      </c>
      <c r="E75" s="10">
        <f>22.1871 * CHOOSE(CONTROL!$C$9, $D$9, 100%, $F$9) + CHOOSE(CONTROL!$C$27, 0.0021, 0)</f>
        <v>22.1892</v>
      </c>
      <c r="F75" s="10">
        <f>22.1871 * CHOOSE(CONTROL!$C$9, $D$9, 100%, $F$9) + CHOOSE(CONTROL!$C$27, 0.0021, 0)</f>
        <v>22.1892</v>
      </c>
      <c r="G75" s="10">
        <f>22.4585 * CHOOSE(CONTROL!$C$9, $D$9, 100%, $F$9) + CHOOSE(CONTROL!$C$27, 0.0021, 0)</f>
        <v>22.460599999999999</v>
      </c>
      <c r="H75" s="10">
        <f>22.3238 * CHOOSE(CONTROL!$C$9, $D$9, 100%, $F$9) + CHOOSE(CONTROL!$C$27, 0.0021, 0)</f>
        <v>22.325899999999997</v>
      </c>
      <c r="I75" s="10">
        <f>22.3238 * CHOOSE(CONTROL!$C$9, $D$9, 100%, $F$9) + CHOOSE(CONTROL!$C$27, 0.0021, 0)</f>
        <v>22.325899999999997</v>
      </c>
      <c r="J75" s="10">
        <f>22.3238 * CHOOSE(CONTROL!$C$9, $D$9, 100%, $F$9) + CHOOSE(CONTROL!$C$27, 0.0021, 0)</f>
        <v>22.325899999999997</v>
      </c>
      <c r="K75" s="10">
        <f>22.3238 * CHOOSE(CONTROL!$C$9, $D$9, 100%, $F$9) + CHOOSE(CONTROL!$C$27, 0.0021, 0)</f>
        <v>22.325899999999997</v>
      </c>
      <c r="L75" s="10"/>
    </row>
    <row r="76" spans="1:12" ht="15">
      <c r="A76" s="16">
        <v>43586</v>
      </c>
      <c r="B76" s="10">
        <f>23.1858 * CHOOSE(CONTROL!$C$9, $D$9, 100%, $F$9) + CHOOSE(CONTROL!$C$27, 0.0021, 0)</f>
        <v>23.187899999999999</v>
      </c>
      <c r="C76" s="10">
        <f>22.7535 * CHOOSE(CONTROL!$C$9, $D$9, 100%, $F$9) + CHOOSE(CONTROL!$C$27, 0.0021, 0)</f>
        <v>22.755599999999998</v>
      </c>
      <c r="D76" s="10">
        <f>22.7535 * CHOOSE(CONTROL!$C$9, $D$9, 100%, $F$9) + CHOOSE(CONTROL!$C$27, 0.0021, 0)</f>
        <v>22.755599999999998</v>
      </c>
      <c r="E76" s="10">
        <f>22.6169 * CHOOSE(CONTROL!$C$9, $D$9, 100%, $F$9) + CHOOSE(CONTROL!$C$27, 0.0021, 0)</f>
        <v>22.619</v>
      </c>
      <c r="F76" s="10">
        <f>22.6169 * CHOOSE(CONTROL!$C$9, $D$9, 100%, $F$9) + CHOOSE(CONTROL!$C$27, 0.0021, 0)</f>
        <v>22.619</v>
      </c>
      <c r="G76" s="10">
        <f>22.8882 * CHOOSE(CONTROL!$C$9, $D$9, 100%, $F$9) + CHOOSE(CONTROL!$C$27, 0.0021, 0)</f>
        <v>22.8903</v>
      </c>
      <c r="H76" s="10">
        <f>22.7535 * CHOOSE(CONTROL!$C$9, $D$9, 100%, $F$9) + CHOOSE(CONTROL!$C$27, 0.0021, 0)</f>
        <v>22.755599999999998</v>
      </c>
      <c r="I76" s="10">
        <f>22.7535 * CHOOSE(CONTROL!$C$9, $D$9, 100%, $F$9) + CHOOSE(CONTROL!$C$27, 0.0021, 0)</f>
        <v>22.755599999999998</v>
      </c>
      <c r="J76" s="10">
        <f>22.7535 * CHOOSE(CONTROL!$C$9, $D$9, 100%, $F$9) + CHOOSE(CONTROL!$C$27, 0.0021, 0)</f>
        <v>22.755599999999998</v>
      </c>
      <c r="K76" s="10">
        <f>22.7535 * CHOOSE(CONTROL!$C$9, $D$9, 100%, $F$9) + CHOOSE(CONTROL!$C$27, 0.0021, 0)</f>
        <v>22.755599999999998</v>
      </c>
      <c r="L76" s="10"/>
    </row>
    <row r="77" spans="1:12" ht="15">
      <c r="A77" s="16">
        <v>43617</v>
      </c>
      <c r="B77" s="10">
        <f>23.4432 * CHOOSE(CONTROL!$C$9, $D$9, 100%, $F$9) + CHOOSE(CONTROL!$C$27, 0.0021, 0)</f>
        <v>23.4453</v>
      </c>
      <c r="C77" s="10">
        <f>23.0109 * CHOOSE(CONTROL!$C$9, $D$9, 100%, $F$9) + CHOOSE(CONTROL!$C$27, 0.0021, 0)</f>
        <v>23.012999999999998</v>
      </c>
      <c r="D77" s="10">
        <f>23.0109 * CHOOSE(CONTROL!$C$9, $D$9, 100%, $F$9) + CHOOSE(CONTROL!$C$27, 0.0021, 0)</f>
        <v>23.012999999999998</v>
      </c>
      <c r="E77" s="10">
        <f>22.8743 * CHOOSE(CONTROL!$C$9, $D$9, 100%, $F$9) + CHOOSE(CONTROL!$C$27, 0.0021, 0)</f>
        <v>22.8764</v>
      </c>
      <c r="F77" s="10">
        <f>22.8743 * CHOOSE(CONTROL!$C$9, $D$9, 100%, $F$9) + CHOOSE(CONTROL!$C$27, 0.0021, 0)</f>
        <v>22.8764</v>
      </c>
      <c r="G77" s="10">
        <f>23.1457 * CHOOSE(CONTROL!$C$9, $D$9, 100%, $F$9) + CHOOSE(CONTROL!$C$27, 0.0021, 0)</f>
        <v>23.1478</v>
      </c>
      <c r="H77" s="10">
        <f>23.0109 * CHOOSE(CONTROL!$C$9, $D$9, 100%, $F$9) + CHOOSE(CONTROL!$C$27, 0.0021, 0)</f>
        <v>23.012999999999998</v>
      </c>
      <c r="I77" s="10">
        <f>23.0109 * CHOOSE(CONTROL!$C$9, $D$9, 100%, $F$9) + CHOOSE(CONTROL!$C$27, 0.0021, 0)</f>
        <v>23.012999999999998</v>
      </c>
      <c r="J77" s="10">
        <f>23.0109 * CHOOSE(CONTROL!$C$9, $D$9, 100%, $F$9) + CHOOSE(CONTROL!$C$27, 0.0021, 0)</f>
        <v>23.012999999999998</v>
      </c>
      <c r="K77" s="10">
        <f>23.0109 * CHOOSE(CONTROL!$C$9, $D$9, 100%, $F$9) + CHOOSE(CONTROL!$C$27, 0.0021, 0)</f>
        <v>23.012999999999998</v>
      </c>
      <c r="L77" s="10"/>
    </row>
    <row r="78" spans="1:12" ht="15">
      <c r="A78" s="16">
        <v>43647</v>
      </c>
      <c r="B78" s="10">
        <f>23.8678 * CHOOSE(CONTROL!$C$9, $D$9, 100%, $F$9) + CHOOSE(CONTROL!$C$27, 0.0021, 0)</f>
        <v>23.869899999999998</v>
      </c>
      <c r="C78" s="10">
        <f>23.4355 * CHOOSE(CONTROL!$C$9, $D$9, 100%, $F$9) + CHOOSE(CONTROL!$C$27, 0.0021, 0)</f>
        <v>23.4376</v>
      </c>
      <c r="D78" s="10">
        <f>23.4355 * CHOOSE(CONTROL!$C$9, $D$9, 100%, $F$9) + CHOOSE(CONTROL!$C$27, 0.0021, 0)</f>
        <v>23.4376</v>
      </c>
      <c r="E78" s="10">
        <f>23.2989 * CHOOSE(CONTROL!$C$9, $D$9, 100%, $F$9) + CHOOSE(CONTROL!$C$27, 0.0021, 0)</f>
        <v>23.300999999999998</v>
      </c>
      <c r="F78" s="10">
        <f>23.2989 * CHOOSE(CONTROL!$C$9, $D$9, 100%, $F$9) + CHOOSE(CONTROL!$C$27, 0.0021, 0)</f>
        <v>23.300999999999998</v>
      </c>
      <c r="G78" s="10">
        <f>23.5703 * CHOOSE(CONTROL!$C$9, $D$9, 100%, $F$9) + CHOOSE(CONTROL!$C$27, 0.0021, 0)</f>
        <v>23.572399999999998</v>
      </c>
      <c r="H78" s="10">
        <f>23.4355 * CHOOSE(CONTROL!$C$9, $D$9, 100%, $F$9) + CHOOSE(CONTROL!$C$27, 0.0021, 0)</f>
        <v>23.4376</v>
      </c>
      <c r="I78" s="10">
        <f>23.4355 * CHOOSE(CONTROL!$C$9, $D$9, 100%, $F$9) + CHOOSE(CONTROL!$C$27, 0.0021, 0)</f>
        <v>23.4376</v>
      </c>
      <c r="J78" s="10">
        <f>23.4355 * CHOOSE(CONTROL!$C$9, $D$9, 100%, $F$9) + CHOOSE(CONTROL!$C$27, 0.0021, 0)</f>
        <v>23.4376</v>
      </c>
      <c r="K78" s="10">
        <f>23.4355 * CHOOSE(CONTROL!$C$9, $D$9, 100%, $F$9) + CHOOSE(CONTROL!$C$27, 0.0021, 0)</f>
        <v>23.4376</v>
      </c>
      <c r="L78" s="10"/>
    </row>
    <row r="79" spans="1:12" ht="15">
      <c r="A79" s="16">
        <v>43678</v>
      </c>
      <c r="B79" s="10">
        <f>23.9974 * CHOOSE(CONTROL!$C$9, $D$9, 100%, $F$9) + CHOOSE(CONTROL!$C$27, 0.0021, 0)</f>
        <v>23.999499999999998</v>
      </c>
      <c r="C79" s="10">
        <f>23.5652 * CHOOSE(CONTROL!$C$9, $D$9, 100%, $F$9) + CHOOSE(CONTROL!$C$27, 0.0021, 0)</f>
        <v>23.567299999999999</v>
      </c>
      <c r="D79" s="10">
        <f>23.5652 * CHOOSE(CONTROL!$C$9, $D$9, 100%, $F$9) + CHOOSE(CONTROL!$C$27, 0.0021, 0)</f>
        <v>23.567299999999999</v>
      </c>
      <c r="E79" s="10">
        <f>23.4285 * CHOOSE(CONTROL!$C$9, $D$9, 100%, $F$9) + CHOOSE(CONTROL!$C$27, 0.0021, 0)</f>
        <v>23.430599999999998</v>
      </c>
      <c r="F79" s="10">
        <f>23.4285 * CHOOSE(CONTROL!$C$9, $D$9, 100%, $F$9) + CHOOSE(CONTROL!$C$27, 0.0021, 0)</f>
        <v>23.430599999999998</v>
      </c>
      <c r="G79" s="10">
        <f>23.6999 * CHOOSE(CONTROL!$C$9, $D$9, 100%, $F$9) + CHOOSE(CONTROL!$C$27, 0.0021, 0)</f>
        <v>23.701999999999998</v>
      </c>
      <c r="H79" s="10">
        <f>23.5652 * CHOOSE(CONTROL!$C$9, $D$9, 100%, $F$9) + CHOOSE(CONTROL!$C$27, 0.0021, 0)</f>
        <v>23.567299999999999</v>
      </c>
      <c r="I79" s="10">
        <f>23.5652 * CHOOSE(CONTROL!$C$9, $D$9, 100%, $F$9) + CHOOSE(CONTROL!$C$27, 0.0021, 0)</f>
        <v>23.567299999999999</v>
      </c>
      <c r="J79" s="10">
        <f>23.5652 * CHOOSE(CONTROL!$C$9, $D$9, 100%, $F$9) + CHOOSE(CONTROL!$C$27, 0.0021, 0)</f>
        <v>23.567299999999999</v>
      </c>
      <c r="K79" s="10">
        <f>23.5652 * CHOOSE(CONTROL!$C$9, $D$9, 100%, $F$9) + CHOOSE(CONTROL!$C$27, 0.0021, 0)</f>
        <v>23.567299999999999</v>
      </c>
      <c r="L79" s="10"/>
    </row>
    <row r="80" spans="1:12" ht="15">
      <c r="A80" s="16">
        <v>43709</v>
      </c>
      <c r="B80" s="10">
        <f>24.4388 * CHOOSE(CONTROL!$C$9, $D$9, 100%, $F$9) + CHOOSE(CONTROL!$C$27, 0.0021, 0)</f>
        <v>24.440899999999999</v>
      </c>
      <c r="C80" s="10">
        <f>24.0065 * CHOOSE(CONTROL!$C$9, $D$9, 100%, $F$9) + CHOOSE(CONTROL!$C$27, 0.0021, 0)</f>
        <v>24.008599999999998</v>
      </c>
      <c r="D80" s="10">
        <f>24.0065 * CHOOSE(CONTROL!$C$9, $D$9, 100%, $F$9) + CHOOSE(CONTROL!$C$27, 0.0021, 0)</f>
        <v>24.008599999999998</v>
      </c>
      <c r="E80" s="10">
        <f>23.8699 * CHOOSE(CONTROL!$C$9, $D$9, 100%, $F$9) + CHOOSE(CONTROL!$C$27, 0.0021, 0)</f>
        <v>23.872</v>
      </c>
      <c r="F80" s="10">
        <f>23.8699 * CHOOSE(CONTROL!$C$9, $D$9, 100%, $F$9) + CHOOSE(CONTROL!$C$27, 0.0021, 0)</f>
        <v>23.872</v>
      </c>
      <c r="G80" s="10">
        <f>24.1412 * CHOOSE(CONTROL!$C$9, $D$9, 100%, $F$9) + CHOOSE(CONTROL!$C$27, 0.0021, 0)</f>
        <v>24.1433</v>
      </c>
      <c r="H80" s="10">
        <f>24.0065 * CHOOSE(CONTROL!$C$9, $D$9, 100%, $F$9) + CHOOSE(CONTROL!$C$27, 0.0021, 0)</f>
        <v>24.008599999999998</v>
      </c>
      <c r="I80" s="10">
        <f>24.0065 * CHOOSE(CONTROL!$C$9, $D$9, 100%, $F$9) + CHOOSE(CONTROL!$C$27, 0.0021, 0)</f>
        <v>24.008599999999998</v>
      </c>
      <c r="J80" s="10">
        <f>24.0065 * CHOOSE(CONTROL!$C$9, $D$9, 100%, $F$9) + CHOOSE(CONTROL!$C$27, 0.0021, 0)</f>
        <v>24.008599999999998</v>
      </c>
      <c r="K80" s="10">
        <f>24.0065 * CHOOSE(CONTROL!$C$9, $D$9, 100%, $F$9) + CHOOSE(CONTROL!$C$27, 0.0021, 0)</f>
        <v>24.008599999999998</v>
      </c>
      <c r="L80" s="10"/>
    </row>
    <row r="81" spans="1:12" ht="15">
      <c r="A81" s="16">
        <v>43739</v>
      </c>
      <c r="B81" s="10">
        <f>24.9975 * CHOOSE(CONTROL!$C$9, $D$9, 100%, $F$9) + CHOOSE(CONTROL!$C$27, 0.0021, 0)</f>
        <v>24.999599999999997</v>
      </c>
      <c r="C81" s="10">
        <f>24.5652 * CHOOSE(CONTROL!$C$9, $D$9, 100%, $F$9) + CHOOSE(CONTROL!$C$27, 0.0021, 0)</f>
        <v>24.567299999999999</v>
      </c>
      <c r="D81" s="10">
        <f>24.5652 * CHOOSE(CONTROL!$C$9, $D$9, 100%, $F$9) + CHOOSE(CONTROL!$C$27, 0.0021, 0)</f>
        <v>24.567299999999999</v>
      </c>
      <c r="E81" s="10">
        <f>24.4286 * CHOOSE(CONTROL!$C$9, $D$9, 100%, $F$9) + CHOOSE(CONTROL!$C$27, 0.0021, 0)</f>
        <v>24.430699999999998</v>
      </c>
      <c r="F81" s="10">
        <f>24.4286 * CHOOSE(CONTROL!$C$9, $D$9, 100%, $F$9) + CHOOSE(CONTROL!$C$27, 0.0021, 0)</f>
        <v>24.430699999999998</v>
      </c>
      <c r="G81" s="10">
        <f>24.6999 * CHOOSE(CONTROL!$C$9, $D$9, 100%, $F$9) + CHOOSE(CONTROL!$C$27, 0.0021, 0)</f>
        <v>24.701999999999998</v>
      </c>
      <c r="H81" s="10">
        <f>24.5652 * CHOOSE(CONTROL!$C$9, $D$9, 100%, $F$9) + CHOOSE(CONTROL!$C$27, 0.0021, 0)</f>
        <v>24.567299999999999</v>
      </c>
      <c r="I81" s="10">
        <f>24.5652 * CHOOSE(CONTROL!$C$9, $D$9, 100%, $F$9) + CHOOSE(CONTROL!$C$27, 0.0021, 0)</f>
        <v>24.567299999999999</v>
      </c>
      <c r="J81" s="10">
        <f>24.5652 * CHOOSE(CONTROL!$C$9, $D$9, 100%, $F$9) + CHOOSE(CONTROL!$C$27, 0.0021, 0)</f>
        <v>24.567299999999999</v>
      </c>
      <c r="K81" s="10">
        <f>24.5652 * CHOOSE(CONTROL!$C$9, $D$9, 100%, $F$9) + CHOOSE(CONTROL!$C$27, 0.0021, 0)</f>
        <v>24.567299999999999</v>
      </c>
      <c r="L81" s="10"/>
    </row>
    <row r="82" spans="1:12" ht="15">
      <c r="A82" s="16">
        <v>43770</v>
      </c>
      <c r="B82" s="10">
        <f>25.0499 * CHOOSE(CONTROL!$C$9, $D$9, 100%, $F$9) + CHOOSE(CONTROL!$C$27, 0.0021, 0)</f>
        <v>25.052</v>
      </c>
      <c r="C82" s="10">
        <f>24.6177 * CHOOSE(CONTROL!$C$9, $D$9, 100%, $F$9) + CHOOSE(CONTROL!$C$27, 0.0021, 0)</f>
        <v>24.619799999999998</v>
      </c>
      <c r="D82" s="10">
        <f>24.6177 * CHOOSE(CONTROL!$C$9, $D$9, 100%, $F$9) + CHOOSE(CONTROL!$C$27, 0.0021, 0)</f>
        <v>24.619799999999998</v>
      </c>
      <c r="E82" s="10">
        <f>24.481 * CHOOSE(CONTROL!$C$9, $D$9, 100%, $F$9) + CHOOSE(CONTROL!$C$27, 0.0021, 0)</f>
        <v>24.4831</v>
      </c>
      <c r="F82" s="10">
        <f>24.481 * CHOOSE(CONTROL!$C$9, $D$9, 100%, $F$9) + CHOOSE(CONTROL!$C$27, 0.0021, 0)</f>
        <v>24.4831</v>
      </c>
      <c r="G82" s="10">
        <f>24.7524 * CHOOSE(CONTROL!$C$9, $D$9, 100%, $F$9) + CHOOSE(CONTROL!$C$27, 0.0021, 0)</f>
        <v>24.7545</v>
      </c>
      <c r="H82" s="10">
        <f>24.6177 * CHOOSE(CONTROL!$C$9, $D$9, 100%, $F$9) + CHOOSE(CONTROL!$C$27, 0.0021, 0)</f>
        <v>24.619799999999998</v>
      </c>
      <c r="I82" s="10">
        <f>24.6177 * CHOOSE(CONTROL!$C$9, $D$9, 100%, $F$9) + CHOOSE(CONTROL!$C$27, 0.0021, 0)</f>
        <v>24.619799999999998</v>
      </c>
      <c r="J82" s="10">
        <f>24.6177 * CHOOSE(CONTROL!$C$9, $D$9, 100%, $F$9) + CHOOSE(CONTROL!$C$27, 0.0021, 0)</f>
        <v>24.619799999999998</v>
      </c>
      <c r="K82" s="10">
        <f>24.6177 * CHOOSE(CONTROL!$C$9, $D$9, 100%, $F$9) + CHOOSE(CONTROL!$C$27, 0.0021, 0)</f>
        <v>24.619799999999998</v>
      </c>
      <c r="L82" s="10"/>
    </row>
    <row r="83" spans="1:12" ht="15">
      <c r="A83" s="16">
        <v>43800</v>
      </c>
      <c r="B83" s="10">
        <f>24.6037 * CHOOSE(CONTROL!$C$9, $D$9, 100%, $F$9) + CHOOSE(CONTROL!$C$27, 0.0021, 0)</f>
        <v>24.605799999999999</v>
      </c>
      <c r="C83" s="10">
        <f>24.1715 * CHOOSE(CONTROL!$C$9, $D$9, 100%, $F$9) + CHOOSE(CONTROL!$C$27, 0.0021, 0)</f>
        <v>24.1736</v>
      </c>
      <c r="D83" s="10">
        <f>24.1715 * CHOOSE(CONTROL!$C$9, $D$9, 100%, $F$9) + CHOOSE(CONTROL!$C$27, 0.0021, 0)</f>
        <v>24.1736</v>
      </c>
      <c r="E83" s="10">
        <f>24.0348 * CHOOSE(CONTROL!$C$9, $D$9, 100%, $F$9) + CHOOSE(CONTROL!$C$27, 0.0021, 0)</f>
        <v>24.036899999999999</v>
      </c>
      <c r="F83" s="10">
        <f>24.0348 * CHOOSE(CONTROL!$C$9, $D$9, 100%, $F$9) + CHOOSE(CONTROL!$C$27, 0.0021, 0)</f>
        <v>24.036899999999999</v>
      </c>
      <c r="G83" s="10">
        <f>24.3062 * CHOOSE(CONTROL!$C$9, $D$9, 100%, $F$9) + CHOOSE(CONTROL!$C$27, 0.0021, 0)</f>
        <v>24.308299999999999</v>
      </c>
      <c r="H83" s="10">
        <f>24.1715 * CHOOSE(CONTROL!$C$9, $D$9, 100%, $F$9) + CHOOSE(CONTROL!$C$27, 0.0021, 0)</f>
        <v>24.1736</v>
      </c>
      <c r="I83" s="10">
        <f>24.1715 * CHOOSE(CONTROL!$C$9, $D$9, 100%, $F$9) + CHOOSE(CONTROL!$C$27, 0.0021, 0)</f>
        <v>24.1736</v>
      </c>
      <c r="J83" s="10">
        <f>24.1715 * CHOOSE(CONTROL!$C$9, $D$9, 100%, $F$9) + CHOOSE(CONTROL!$C$27, 0.0021, 0)</f>
        <v>24.1736</v>
      </c>
      <c r="K83" s="10">
        <f>24.1715 * CHOOSE(CONTROL!$C$9, $D$9, 100%, $F$9) + CHOOSE(CONTROL!$C$27, 0.0021, 0)</f>
        <v>24.1736</v>
      </c>
      <c r="L83" s="10"/>
    </row>
    <row r="84" spans="1:12" ht="15">
      <c r="A84" s="16">
        <v>43831</v>
      </c>
      <c r="B84" s="10">
        <f>24.9339 * CHOOSE(CONTROL!$C$9, $D$9, 100%, $F$9) + CHOOSE(CONTROL!$C$27, 0.0021, 0)</f>
        <v>24.936</v>
      </c>
      <c r="C84" s="10">
        <f>24.5017 * CHOOSE(CONTROL!$C$9, $D$9, 100%, $F$9) + CHOOSE(CONTROL!$C$27, 0.0021, 0)</f>
        <v>24.503799999999998</v>
      </c>
      <c r="D84" s="10">
        <f>24.5017 * CHOOSE(CONTROL!$C$9, $D$9, 100%, $F$9) + CHOOSE(CONTROL!$C$27, 0.0021, 0)</f>
        <v>24.503799999999998</v>
      </c>
      <c r="E84" s="10">
        <f>24.365 * CHOOSE(CONTROL!$C$9, $D$9, 100%, $F$9) + CHOOSE(CONTROL!$C$27, 0.0021, 0)</f>
        <v>24.367099999999997</v>
      </c>
      <c r="F84" s="10">
        <f>24.365 * CHOOSE(CONTROL!$C$9, $D$9, 100%, $F$9) + CHOOSE(CONTROL!$C$27, 0.0021, 0)</f>
        <v>24.367099999999997</v>
      </c>
      <c r="G84" s="10">
        <f>24.6364 * CHOOSE(CONTROL!$C$9, $D$9, 100%, $F$9) + CHOOSE(CONTROL!$C$27, 0.0021, 0)</f>
        <v>24.638499999999997</v>
      </c>
      <c r="H84" s="10">
        <f>24.5017 * CHOOSE(CONTROL!$C$9, $D$9, 100%, $F$9) + CHOOSE(CONTROL!$C$27, 0.0021, 0)</f>
        <v>24.503799999999998</v>
      </c>
      <c r="I84" s="10">
        <f>24.5017 * CHOOSE(CONTROL!$C$9, $D$9, 100%, $F$9) + CHOOSE(CONTROL!$C$27, 0.0021, 0)</f>
        <v>24.503799999999998</v>
      </c>
      <c r="J84" s="10">
        <f>24.5017 * CHOOSE(CONTROL!$C$9, $D$9, 100%, $F$9) + CHOOSE(CONTROL!$C$27, 0.0021, 0)</f>
        <v>24.503799999999998</v>
      </c>
      <c r="K84" s="10">
        <f>24.5017 * CHOOSE(CONTROL!$C$9, $D$9, 100%, $F$9) + CHOOSE(CONTROL!$C$27, 0.0021, 0)</f>
        <v>24.503799999999998</v>
      </c>
      <c r="L84" s="10"/>
    </row>
    <row r="85" spans="1:12" ht="15">
      <c r="A85" s="16">
        <v>43862</v>
      </c>
      <c r="B85" s="10">
        <f>24.2935 * CHOOSE(CONTROL!$C$9, $D$9, 100%, $F$9) + CHOOSE(CONTROL!$C$27, 0.0021, 0)</f>
        <v>24.2956</v>
      </c>
      <c r="C85" s="10">
        <f>23.8612 * CHOOSE(CONTROL!$C$9, $D$9, 100%, $F$9) + CHOOSE(CONTROL!$C$27, 0.0021, 0)</f>
        <v>23.863299999999999</v>
      </c>
      <c r="D85" s="10">
        <f>23.8612 * CHOOSE(CONTROL!$C$9, $D$9, 100%, $F$9) + CHOOSE(CONTROL!$C$27, 0.0021, 0)</f>
        <v>23.863299999999999</v>
      </c>
      <c r="E85" s="10">
        <f>23.7246 * CHOOSE(CONTROL!$C$9, $D$9, 100%, $F$9) + CHOOSE(CONTROL!$C$27, 0.0021, 0)</f>
        <v>23.726699999999997</v>
      </c>
      <c r="F85" s="10">
        <f>23.7246 * CHOOSE(CONTROL!$C$9, $D$9, 100%, $F$9) + CHOOSE(CONTROL!$C$27, 0.0021, 0)</f>
        <v>23.726699999999997</v>
      </c>
      <c r="G85" s="10">
        <f>23.996 * CHOOSE(CONTROL!$C$9, $D$9, 100%, $F$9) + CHOOSE(CONTROL!$C$27, 0.0021, 0)</f>
        <v>23.998099999999997</v>
      </c>
      <c r="H85" s="10">
        <f>23.8612 * CHOOSE(CONTROL!$C$9, $D$9, 100%, $F$9) + CHOOSE(CONTROL!$C$27, 0.0021, 0)</f>
        <v>23.863299999999999</v>
      </c>
      <c r="I85" s="10">
        <f>23.8612 * CHOOSE(CONTROL!$C$9, $D$9, 100%, $F$9) + CHOOSE(CONTROL!$C$27, 0.0021, 0)</f>
        <v>23.863299999999999</v>
      </c>
      <c r="J85" s="10">
        <f>23.8612 * CHOOSE(CONTROL!$C$9, $D$9, 100%, $F$9) + CHOOSE(CONTROL!$C$27, 0.0021, 0)</f>
        <v>23.863299999999999</v>
      </c>
      <c r="K85" s="10">
        <f>23.8612 * CHOOSE(CONTROL!$C$9, $D$9, 100%, $F$9) + CHOOSE(CONTROL!$C$27, 0.0021, 0)</f>
        <v>23.863299999999999</v>
      </c>
      <c r="L85" s="10"/>
    </row>
    <row r="86" spans="1:12" ht="15">
      <c r="A86" s="16">
        <v>43891</v>
      </c>
      <c r="B86" s="10">
        <f>24.0291 * CHOOSE(CONTROL!$C$9, $D$9, 100%, $F$9) + CHOOSE(CONTROL!$C$27, 0.0021, 0)</f>
        <v>24.031199999999998</v>
      </c>
      <c r="C86" s="10">
        <f>23.5969 * CHOOSE(CONTROL!$C$9, $D$9, 100%, $F$9) + CHOOSE(CONTROL!$C$27, 0.0021, 0)</f>
        <v>23.599</v>
      </c>
      <c r="D86" s="10">
        <f>23.5969 * CHOOSE(CONTROL!$C$9, $D$9, 100%, $F$9) + CHOOSE(CONTROL!$C$27, 0.0021, 0)</f>
        <v>23.599</v>
      </c>
      <c r="E86" s="10">
        <f>23.4602 * CHOOSE(CONTROL!$C$9, $D$9, 100%, $F$9) + CHOOSE(CONTROL!$C$27, 0.0021, 0)</f>
        <v>23.462299999999999</v>
      </c>
      <c r="F86" s="10">
        <f>23.4602 * CHOOSE(CONTROL!$C$9, $D$9, 100%, $F$9) + CHOOSE(CONTROL!$C$27, 0.0021, 0)</f>
        <v>23.462299999999999</v>
      </c>
      <c r="G86" s="10">
        <f>23.7316 * CHOOSE(CONTROL!$C$9, $D$9, 100%, $F$9) + CHOOSE(CONTROL!$C$27, 0.0021, 0)</f>
        <v>23.733699999999999</v>
      </c>
      <c r="H86" s="10">
        <f>23.5969 * CHOOSE(CONTROL!$C$9, $D$9, 100%, $F$9) + CHOOSE(CONTROL!$C$27, 0.0021, 0)</f>
        <v>23.599</v>
      </c>
      <c r="I86" s="10">
        <f>23.5969 * CHOOSE(CONTROL!$C$9, $D$9, 100%, $F$9) + CHOOSE(CONTROL!$C$27, 0.0021, 0)</f>
        <v>23.599</v>
      </c>
      <c r="J86" s="10">
        <f>23.5969 * CHOOSE(CONTROL!$C$9, $D$9, 100%, $F$9) + CHOOSE(CONTROL!$C$27, 0.0021, 0)</f>
        <v>23.599</v>
      </c>
      <c r="K86" s="10">
        <f>23.5969 * CHOOSE(CONTROL!$C$9, $D$9, 100%, $F$9) + CHOOSE(CONTROL!$C$27, 0.0021, 0)</f>
        <v>23.599</v>
      </c>
      <c r="L86" s="10"/>
    </row>
    <row r="87" spans="1:12" ht="15">
      <c r="A87" s="16">
        <v>43922</v>
      </c>
      <c r="B87" s="10">
        <f>23.7135 * CHOOSE(CONTROL!$C$9, $D$9, 100%, $F$9) + CHOOSE(CONTROL!$C$27, 0.0021, 0)</f>
        <v>23.715599999999998</v>
      </c>
      <c r="C87" s="10">
        <f>23.2812 * CHOOSE(CONTROL!$C$9, $D$9, 100%, $F$9) + CHOOSE(CONTROL!$C$27, 0.0021, 0)</f>
        <v>23.283299999999997</v>
      </c>
      <c r="D87" s="10">
        <f>23.2812 * CHOOSE(CONTROL!$C$9, $D$9, 100%, $F$9) + CHOOSE(CONTROL!$C$27, 0.0021, 0)</f>
        <v>23.283299999999997</v>
      </c>
      <c r="E87" s="10">
        <f>23.1446 * CHOOSE(CONTROL!$C$9, $D$9, 100%, $F$9) + CHOOSE(CONTROL!$C$27, 0.0021, 0)</f>
        <v>23.146699999999999</v>
      </c>
      <c r="F87" s="10">
        <f>23.1446 * CHOOSE(CONTROL!$C$9, $D$9, 100%, $F$9) + CHOOSE(CONTROL!$C$27, 0.0021, 0)</f>
        <v>23.146699999999999</v>
      </c>
      <c r="G87" s="10">
        <f>23.4159 * CHOOSE(CONTROL!$C$9, $D$9, 100%, $F$9) + CHOOSE(CONTROL!$C$27, 0.0021, 0)</f>
        <v>23.417999999999999</v>
      </c>
      <c r="H87" s="10">
        <f>23.2812 * CHOOSE(CONTROL!$C$9, $D$9, 100%, $F$9) + CHOOSE(CONTROL!$C$27, 0.0021, 0)</f>
        <v>23.283299999999997</v>
      </c>
      <c r="I87" s="10">
        <f>23.2812 * CHOOSE(CONTROL!$C$9, $D$9, 100%, $F$9) + CHOOSE(CONTROL!$C$27, 0.0021, 0)</f>
        <v>23.283299999999997</v>
      </c>
      <c r="J87" s="10">
        <f>23.2812 * CHOOSE(CONTROL!$C$9, $D$9, 100%, $F$9) + CHOOSE(CONTROL!$C$27, 0.0021, 0)</f>
        <v>23.283299999999997</v>
      </c>
      <c r="K87" s="10">
        <f>23.2812 * CHOOSE(CONTROL!$C$9, $D$9, 100%, $F$9) + CHOOSE(CONTROL!$C$27, 0.0021, 0)</f>
        <v>23.283299999999997</v>
      </c>
      <c r="L87" s="10"/>
    </row>
    <row r="88" spans="1:12" ht="15">
      <c r="A88" s="16">
        <v>43952</v>
      </c>
      <c r="B88" s="10">
        <f>24.1633 * CHOOSE(CONTROL!$C$9, $D$9, 100%, $F$9) + CHOOSE(CONTROL!$C$27, 0.0021, 0)</f>
        <v>24.165399999999998</v>
      </c>
      <c r="C88" s="10">
        <f>23.7311 * CHOOSE(CONTROL!$C$9, $D$9, 100%, $F$9) + CHOOSE(CONTROL!$C$27, 0.0021, 0)</f>
        <v>23.7332</v>
      </c>
      <c r="D88" s="10">
        <f>23.7311 * CHOOSE(CONTROL!$C$9, $D$9, 100%, $F$9) + CHOOSE(CONTROL!$C$27, 0.0021, 0)</f>
        <v>23.7332</v>
      </c>
      <c r="E88" s="10">
        <f>23.5944 * CHOOSE(CONTROL!$C$9, $D$9, 100%, $F$9) + CHOOSE(CONTROL!$C$27, 0.0021, 0)</f>
        <v>23.596499999999999</v>
      </c>
      <c r="F88" s="10">
        <f>23.5944 * CHOOSE(CONTROL!$C$9, $D$9, 100%, $F$9) + CHOOSE(CONTROL!$C$27, 0.0021, 0)</f>
        <v>23.596499999999999</v>
      </c>
      <c r="G88" s="10">
        <f>23.8658 * CHOOSE(CONTROL!$C$9, $D$9, 100%, $F$9) + CHOOSE(CONTROL!$C$27, 0.0021, 0)</f>
        <v>23.867899999999999</v>
      </c>
      <c r="H88" s="10">
        <f>23.7311 * CHOOSE(CONTROL!$C$9, $D$9, 100%, $F$9) + CHOOSE(CONTROL!$C$27, 0.0021, 0)</f>
        <v>23.7332</v>
      </c>
      <c r="I88" s="10">
        <f>23.7311 * CHOOSE(CONTROL!$C$9, $D$9, 100%, $F$9) + CHOOSE(CONTROL!$C$27, 0.0021, 0)</f>
        <v>23.7332</v>
      </c>
      <c r="J88" s="10">
        <f>23.7311 * CHOOSE(CONTROL!$C$9, $D$9, 100%, $F$9) + CHOOSE(CONTROL!$C$27, 0.0021, 0)</f>
        <v>23.7332</v>
      </c>
      <c r="K88" s="10">
        <f>23.7311 * CHOOSE(CONTROL!$C$9, $D$9, 100%, $F$9) + CHOOSE(CONTROL!$C$27, 0.0021, 0)</f>
        <v>23.7332</v>
      </c>
      <c r="L88" s="10"/>
    </row>
    <row r="89" spans="1:12" ht="15">
      <c r="A89" s="16">
        <v>43983</v>
      </c>
      <c r="B89" s="10">
        <f>24.4328 * CHOOSE(CONTROL!$C$9, $D$9, 100%, $F$9) + CHOOSE(CONTROL!$C$27, 0.0021, 0)</f>
        <v>24.434899999999999</v>
      </c>
      <c r="C89" s="10">
        <f>24.0005 * CHOOSE(CONTROL!$C$9, $D$9, 100%, $F$9) + CHOOSE(CONTROL!$C$27, 0.0021, 0)</f>
        <v>24.002599999999997</v>
      </c>
      <c r="D89" s="10">
        <f>24.0005 * CHOOSE(CONTROL!$C$9, $D$9, 100%, $F$9) + CHOOSE(CONTROL!$C$27, 0.0021, 0)</f>
        <v>24.002599999999997</v>
      </c>
      <c r="E89" s="10">
        <f>23.8639 * CHOOSE(CONTROL!$C$9, $D$9, 100%, $F$9) + CHOOSE(CONTROL!$C$27, 0.0021, 0)</f>
        <v>23.866</v>
      </c>
      <c r="F89" s="10">
        <f>23.8639 * CHOOSE(CONTROL!$C$9, $D$9, 100%, $F$9) + CHOOSE(CONTROL!$C$27, 0.0021, 0)</f>
        <v>23.866</v>
      </c>
      <c r="G89" s="10">
        <f>24.1352 * CHOOSE(CONTROL!$C$9, $D$9, 100%, $F$9) + CHOOSE(CONTROL!$C$27, 0.0021, 0)</f>
        <v>24.1373</v>
      </c>
      <c r="H89" s="10">
        <f>24.0005 * CHOOSE(CONTROL!$C$9, $D$9, 100%, $F$9) + CHOOSE(CONTROL!$C$27, 0.0021, 0)</f>
        <v>24.002599999999997</v>
      </c>
      <c r="I89" s="10">
        <f>24.0005 * CHOOSE(CONTROL!$C$9, $D$9, 100%, $F$9) + CHOOSE(CONTROL!$C$27, 0.0021, 0)</f>
        <v>24.002599999999997</v>
      </c>
      <c r="J89" s="10">
        <f>24.0005 * CHOOSE(CONTROL!$C$9, $D$9, 100%, $F$9) + CHOOSE(CONTROL!$C$27, 0.0021, 0)</f>
        <v>24.002599999999997</v>
      </c>
      <c r="K89" s="10">
        <f>24.0005 * CHOOSE(CONTROL!$C$9, $D$9, 100%, $F$9) + CHOOSE(CONTROL!$C$27, 0.0021, 0)</f>
        <v>24.002599999999997</v>
      </c>
      <c r="L89" s="10"/>
    </row>
    <row r="90" spans="1:12" ht="15">
      <c r="A90" s="16">
        <v>44013</v>
      </c>
      <c r="B90" s="10">
        <f>24.8772 * CHOOSE(CONTROL!$C$9, $D$9, 100%, $F$9) + CHOOSE(CONTROL!$C$27, 0.0021, 0)</f>
        <v>24.879299999999997</v>
      </c>
      <c r="C90" s="10">
        <f>24.445 * CHOOSE(CONTROL!$C$9, $D$9, 100%, $F$9) + CHOOSE(CONTROL!$C$27, 0.0021, 0)</f>
        <v>24.447099999999999</v>
      </c>
      <c r="D90" s="10">
        <f>24.445 * CHOOSE(CONTROL!$C$9, $D$9, 100%, $F$9) + CHOOSE(CONTROL!$C$27, 0.0021, 0)</f>
        <v>24.447099999999999</v>
      </c>
      <c r="E90" s="10">
        <f>24.3083 * CHOOSE(CONTROL!$C$9, $D$9, 100%, $F$9) + CHOOSE(CONTROL!$C$27, 0.0021, 0)</f>
        <v>24.310399999999998</v>
      </c>
      <c r="F90" s="10">
        <f>24.3083 * CHOOSE(CONTROL!$C$9, $D$9, 100%, $F$9) + CHOOSE(CONTROL!$C$27, 0.0021, 0)</f>
        <v>24.310399999999998</v>
      </c>
      <c r="G90" s="10">
        <f>24.5797 * CHOOSE(CONTROL!$C$9, $D$9, 100%, $F$9) + CHOOSE(CONTROL!$C$27, 0.0021, 0)</f>
        <v>24.581799999999998</v>
      </c>
      <c r="H90" s="10">
        <f>24.445 * CHOOSE(CONTROL!$C$9, $D$9, 100%, $F$9) + CHOOSE(CONTROL!$C$27, 0.0021, 0)</f>
        <v>24.447099999999999</v>
      </c>
      <c r="I90" s="10">
        <f>24.445 * CHOOSE(CONTROL!$C$9, $D$9, 100%, $F$9) + CHOOSE(CONTROL!$C$27, 0.0021, 0)</f>
        <v>24.447099999999999</v>
      </c>
      <c r="J90" s="10">
        <f>24.445 * CHOOSE(CONTROL!$C$9, $D$9, 100%, $F$9) + CHOOSE(CONTROL!$C$27, 0.0021, 0)</f>
        <v>24.447099999999999</v>
      </c>
      <c r="K90" s="10">
        <f>24.445 * CHOOSE(CONTROL!$C$9, $D$9, 100%, $F$9) + CHOOSE(CONTROL!$C$27, 0.0021, 0)</f>
        <v>24.447099999999999</v>
      </c>
      <c r="L90" s="10"/>
    </row>
    <row r="91" spans="1:12" ht="15">
      <c r="A91" s="16">
        <v>44044</v>
      </c>
      <c r="B91" s="10">
        <f>25.0129 * CHOOSE(CONTROL!$C$9, $D$9, 100%, $F$9) + CHOOSE(CONTROL!$C$27, 0.0021, 0)</f>
        <v>25.014999999999997</v>
      </c>
      <c r="C91" s="10">
        <f>24.5807 * CHOOSE(CONTROL!$C$9, $D$9, 100%, $F$9) + CHOOSE(CONTROL!$C$27, 0.0021, 0)</f>
        <v>24.582799999999999</v>
      </c>
      <c r="D91" s="10">
        <f>24.5807 * CHOOSE(CONTROL!$C$9, $D$9, 100%, $F$9) + CHOOSE(CONTROL!$C$27, 0.0021, 0)</f>
        <v>24.582799999999999</v>
      </c>
      <c r="E91" s="10">
        <f>24.444 * CHOOSE(CONTROL!$C$9, $D$9, 100%, $F$9) + CHOOSE(CONTROL!$C$27, 0.0021, 0)</f>
        <v>24.446099999999998</v>
      </c>
      <c r="F91" s="10">
        <f>24.444 * CHOOSE(CONTROL!$C$9, $D$9, 100%, $F$9) + CHOOSE(CONTROL!$C$27, 0.0021, 0)</f>
        <v>24.446099999999998</v>
      </c>
      <c r="G91" s="10">
        <f>24.7154 * CHOOSE(CONTROL!$C$9, $D$9, 100%, $F$9) + CHOOSE(CONTROL!$C$27, 0.0021, 0)</f>
        <v>24.717499999999998</v>
      </c>
      <c r="H91" s="10">
        <f>24.5807 * CHOOSE(CONTROL!$C$9, $D$9, 100%, $F$9) + CHOOSE(CONTROL!$C$27, 0.0021, 0)</f>
        <v>24.582799999999999</v>
      </c>
      <c r="I91" s="10">
        <f>24.5807 * CHOOSE(CONTROL!$C$9, $D$9, 100%, $F$9) + CHOOSE(CONTROL!$C$27, 0.0021, 0)</f>
        <v>24.582799999999999</v>
      </c>
      <c r="J91" s="10">
        <f>24.5807 * CHOOSE(CONTROL!$C$9, $D$9, 100%, $F$9) + CHOOSE(CONTROL!$C$27, 0.0021, 0)</f>
        <v>24.582799999999999</v>
      </c>
      <c r="K91" s="10">
        <f>24.5807 * CHOOSE(CONTROL!$C$9, $D$9, 100%, $F$9) + CHOOSE(CONTROL!$C$27, 0.0021, 0)</f>
        <v>24.582799999999999</v>
      </c>
      <c r="L91" s="10"/>
    </row>
    <row r="92" spans="1:12" ht="15">
      <c r="A92" s="16">
        <v>44075</v>
      </c>
      <c r="B92" s="10">
        <f>25.4749 * CHOOSE(CONTROL!$C$9, $D$9, 100%, $F$9) + CHOOSE(CONTROL!$C$27, 0.0021, 0)</f>
        <v>25.477</v>
      </c>
      <c r="C92" s="10">
        <f>25.0427 * CHOOSE(CONTROL!$C$9, $D$9, 100%, $F$9) + CHOOSE(CONTROL!$C$27, 0.0021, 0)</f>
        <v>25.044799999999999</v>
      </c>
      <c r="D92" s="10">
        <f>25.0427 * CHOOSE(CONTROL!$C$9, $D$9, 100%, $F$9) + CHOOSE(CONTROL!$C$27, 0.0021, 0)</f>
        <v>25.044799999999999</v>
      </c>
      <c r="E92" s="10">
        <f>24.906 * CHOOSE(CONTROL!$C$9, $D$9, 100%, $F$9) + CHOOSE(CONTROL!$C$27, 0.0021, 0)</f>
        <v>24.908099999999997</v>
      </c>
      <c r="F92" s="10">
        <f>24.906 * CHOOSE(CONTROL!$C$9, $D$9, 100%, $F$9) + CHOOSE(CONTROL!$C$27, 0.0021, 0)</f>
        <v>24.908099999999997</v>
      </c>
      <c r="G92" s="10">
        <f>25.1774 * CHOOSE(CONTROL!$C$9, $D$9, 100%, $F$9) + CHOOSE(CONTROL!$C$27, 0.0021, 0)</f>
        <v>25.179499999999997</v>
      </c>
      <c r="H92" s="10">
        <f>25.0427 * CHOOSE(CONTROL!$C$9, $D$9, 100%, $F$9) + CHOOSE(CONTROL!$C$27, 0.0021, 0)</f>
        <v>25.044799999999999</v>
      </c>
      <c r="I92" s="10">
        <f>25.0427 * CHOOSE(CONTROL!$C$9, $D$9, 100%, $F$9) + CHOOSE(CONTROL!$C$27, 0.0021, 0)</f>
        <v>25.044799999999999</v>
      </c>
      <c r="J92" s="10">
        <f>25.0427 * CHOOSE(CONTROL!$C$9, $D$9, 100%, $F$9) + CHOOSE(CONTROL!$C$27, 0.0021, 0)</f>
        <v>25.044799999999999</v>
      </c>
      <c r="K92" s="10">
        <f>25.0427 * CHOOSE(CONTROL!$C$9, $D$9, 100%, $F$9) + CHOOSE(CONTROL!$C$27, 0.0021, 0)</f>
        <v>25.044799999999999</v>
      </c>
      <c r="L92" s="10"/>
    </row>
    <row r="93" spans="1:12" ht="15">
      <c r="A93" s="16">
        <v>44105</v>
      </c>
      <c r="B93" s="10">
        <f>26.0598 * CHOOSE(CONTROL!$C$9, $D$9, 100%, $F$9) + CHOOSE(CONTROL!$C$27, 0.0021, 0)</f>
        <v>26.061899999999998</v>
      </c>
      <c r="C93" s="10">
        <f>25.6275 * CHOOSE(CONTROL!$C$9, $D$9, 100%, $F$9) + CHOOSE(CONTROL!$C$27, 0.0021, 0)</f>
        <v>25.6296</v>
      </c>
      <c r="D93" s="10">
        <f>25.6275 * CHOOSE(CONTROL!$C$9, $D$9, 100%, $F$9) + CHOOSE(CONTROL!$C$27, 0.0021, 0)</f>
        <v>25.6296</v>
      </c>
      <c r="E93" s="10">
        <f>25.4909 * CHOOSE(CONTROL!$C$9, $D$9, 100%, $F$9) + CHOOSE(CONTROL!$C$27, 0.0021, 0)</f>
        <v>25.492999999999999</v>
      </c>
      <c r="F93" s="10">
        <f>25.4909 * CHOOSE(CONTROL!$C$9, $D$9, 100%, $F$9) + CHOOSE(CONTROL!$C$27, 0.0021, 0)</f>
        <v>25.492999999999999</v>
      </c>
      <c r="G93" s="10">
        <f>25.7622 * CHOOSE(CONTROL!$C$9, $D$9, 100%, $F$9) + CHOOSE(CONTROL!$C$27, 0.0021, 0)</f>
        <v>25.764299999999999</v>
      </c>
      <c r="H93" s="10">
        <f>25.6275 * CHOOSE(CONTROL!$C$9, $D$9, 100%, $F$9) + CHOOSE(CONTROL!$C$27, 0.0021, 0)</f>
        <v>25.6296</v>
      </c>
      <c r="I93" s="10">
        <f>25.6275 * CHOOSE(CONTROL!$C$9, $D$9, 100%, $F$9) + CHOOSE(CONTROL!$C$27, 0.0021, 0)</f>
        <v>25.6296</v>
      </c>
      <c r="J93" s="10">
        <f>25.6275 * CHOOSE(CONTROL!$C$9, $D$9, 100%, $F$9) + CHOOSE(CONTROL!$C$27, 0.0021, 0)</f>
        <v>25.6296</v>
      </c>
      <c r="K93" s="10">
        <f>25.6275 * CHOOSE(CONTROL!$C$9, $D$9, 100%, $F$9) + CHOOSE(CONTROL!$C$27, 0.0021, 0)</f>
        <v>25.6296</v>
      </c>
      <c r="L93" s="10"/>
    </row>
    <row r="94" spans="1:12" ht="15">
      <c r="A94" s="16">
        <v>44136</v>
      </c>
      <c r="B94" s="10">
        <f>26.1147 * CHOOSE(CONTROL!$C$9, $D$9, 100%, $F$9) + CHOOSE(CONTROL!$C$27, 0.0021, 0)</f>
        <v>26.116799999999998</v>
      </c>
      <c r="C94" s="10">
        <f>25.6824 * CHOOSE(CONTROL!$C$9, $D$9, 100%, $F$9) + CHOOSE(CONTROL!$C$27, 0.0021, 0)</f>
        <v>25.6845</v>
      </c>
      <c r="D94" s="10">
        <f>25.6824 * CHOOSE(CONTROL!$C$9, $D$9, 100%, $F$9) + CHOOSE(CONTROL!$C$27, 0.0021, 0)</f>
        <v>25.6845</v>
      </c>
      <c r="E94" s="10">
        <f>25.5458 * CHOOSE(CONTROL!$C$9, $D$9, 100%, $F$9) + CHOOSE(CONTROL!$C$27, 0.0021, 0)</f>
        <v>25.547899999999998</v>
      </c>
      <c r="F94" s="10">
        <f>25.5458 * CHOOSE(CONTROL!$C$9, $D$9, 100%, $F$9) + CHOOSE(CONTROL!$C$27, 0.0021, 0)</f>
        <v>25.547899999999998</v>
      </c>
      <c r="G94" s="10">
        <f>25.8172 * CHOOSE(CONTROL!$C$9, $D$9, 100%, $F$9) + CHOOSE(CONTROL!$C$27, 0.0021, 0)</f>
        <v>25.819299999999998</v>
      </c>
      <c r="H94" s="10">
        <f>25.6824 * CHOOSE(CONTROL!$C$9, $D$9, 100%, $F$9) + CHOOSE(CONTROL!$C$27, 0.0021, 0)</f>
        <v>25.6845</v>
      </c>
      <c r="I94" s="10">
        <f>25.6824 * CHOOSE(CONTROL!$C$9, $D$9, 100%, $F$9) + CHOOSE(CONTROL!$C$27, 0.0021, 0)</f>
        <v>25.6845</v>
      </c>
      <c r="J94" s="10">
        <f>25.6824 * CHOOSE(CONTROL!$C$9, $D$9, 100%, $F$9) + CHOOSE(CONTROL!$C$27, 0.0021, 0)</f>
        <v>25.6845</v>
      </c>
      <c r="K94" s="10">
        <f>25.6824 * CHOOSE(CONTROL!$C$9, $D$9, 100%, $F$9) + CHOOSE(CONTROL!$C$27, 0.0021, 0)</f>
        <v>25.6845</v>
      </c>
      <c r="L94" s="10"/>
    </row>
    <row r="95" spans="1:12" ht="15">
      <c r="A95" s="16">
        <v>44166</v>
      </c>
      <c r="B95" s="10">
        <f>25.6476 * CHOOSE(CONTROL!$C$9, $D$9, 100%, $F$9) + CHOOSE(CONTROL!$C$27, 0.0021, 0)</f>
        <v>25.649699999999999</v>
      </c>
      <c r="C95" s="10">
        <f>25.2153 * CHOOSE(CONTROL!$C$9, $D$9, 100%, $F$9) + CHOOSE(CONTROL!$C$27, 0.0021, 0)</f>
        <v>25.217399999999998</v>
      </c>
      <c r="D95" s="10">
        <f>25.2153 * CHOOSE(CONTROL!$C$9, $D$9, 100%, $F$9) + CHOOSE(CONTROL!$C$27, 0.0021, 0)</f>
        <v>25.217399999999998</v>
      </c>
      <c r="E95" s="10">
        <f>25.0787 * CHOOSE(CONTROL!$C$9, $D$9, 100%, $F$9) + CHOOSE(CONTROL!$C$27, 0.0021, 0)</f>
        <v>25.0808</v>
      </c>
      <c r="F95" s="10">
        <f>25.0787 * CHOOSE(CONTROL!$C$9, $D$9, 100%, $F$9) + CHOOSE(CONTROL!$C$27, 0.0021, 0)</f>
        <v>25.0808</v>
      </c>
      <c r="G95" s="10">
        <f>25.3501 * CHOOSE(CONTROL!$C$9, $D$9, 100%, $F$9) + CHOOSE(CONTROL!$C$27, 0.0021, 0)</f>
        <v>25.3522</v>
      </c>
      <c r="H95" s="10">
        <f>25.2153 * CHOOSE(CONTROL!$C$9, $D$9, 100%, $F$9) + CHOOSE(CONTROL!$C$27, 0.0021, 0)</f>
        <v>25.217399999999998</v>
      </c>
      <c r="I95" s="10">
        <f>25.2153 * CHOOSE(CONTROL!$C$9, $D$9, 100%, $F$9) + CHOOSE(CONTROL!$C$27, 0.0021, 0)</f>
        <v>25.217399999999998</v>
      </c>
      <c r="J95" s="10">
        <f>25.2153 * CHOOSE(CONTROL!$C$9, $D$9, 100%, $F$9) + CHOOSE(CONTROL!$C$27, 0.0021, 0)</f>
        <v>25.217399999999998</v>
      </c>
      <c r="K95" s="10">
        <f>25.2153 * CHOOSE(CONTROL!$C$9, $D$9, 100%, $F$9) + CHOOSE(CONTROL!$C$27, 0.0021, 0)</f>
        <v>25.217399999999998</v>
      </c>
      <c r="L95" s="10"/>
    </row>
    <row r="96" spans="1:12" ht="15">
      <c r="A96" s="16">
        <v>44197</v>
      </c>
      <c r="B96" s="10">
        <f>25.9425 * CHOOSE(CONTROL!$C$9, $D$9, 100%, $F$9) + CHOOSE(CONTROL!$C$27, 0.0021, 0)</f>
        <v>25.944599999999998</v>
      </c>
      <c r="C96" s="10">
        <f>25.5102 * CHOOSE(CONTROL!$C$9, $D$9, 100%, $F$9) + CHOOSE(CONTROL!$C$27, 0.0021, 0)</f>
        <v>25.5123</v>
      </c>
      <c r="D96" s="10">
        <f>25.5102 * CHOOSE(CONTROL!$C$9, $D$9, 100%, $F$9) + CHOOSE(CONTROL!$C$27, 0.0021, 0)</f>
        <v>25.5123</v>
      </c>
      <c r="E96" s="10">
        <f>25.3736 * CHOOSE(CONTROL!$C$9, $D$9, 100%, $F$9) + CHOOSE(CONTROL!$C$27, 0.0021, 0)</f>
        <v>25.375699999999998</v>
      </c>
      <c r="F96" s="10">
        <f>25.3736 * CHOOSE(CONTROL!$C$9, $D$9, 100%, $F$9) + CHOOSE(CONTROL!$C$27, 0.0021, 0)</f>
        <v>25.375699999999998</v>
      </c>
      <c r="G96" s="10">
        <f>25.6449 * CHOOSE(CONTROL!$C$9, $D$9, 100%, $F$9) + CHOOSE(CONTROL!$C$27, 0.0021, 0)</f>
        <v>25.646999999999998</v>
      </c>
      <c r="H96" s="10">
        <f>25.5102 * CHOOSE(CONTROL!$C$9, $D$9, 100%, $F$9) + CHOOSE(CONTROL!$C$27, 0.0021, 0)</f>
        <v>25.5123</v>
      </c>
      <c r="I96" s="10">
        <f>25.5102 * CHOOSE(CONTROL!$C$9, $D$9, 100%, $F$9) + CHOOSE(CONTROL!$C$27, 0.0021, 0)</f>
        <v>25.5123</v>
      </c>
      <c r="J96" s="10">
        <f>25.5102 * CHOOSE(CONTROL!$C$9, $D$9, 100%, $F$9) + CHOOSE(CONTROL!$C$27, 0.0021, 0)</f>
        <v>25.5123</v>
      </c>
      <c r="K96" s="10">
        <f>25.5102 * CHOOSE(CONTROL!$C$9, $D$9, 100%, $F$9) + CHOOSE(CONTROL!$C$27, 0.0021, 0)</f>
        <v>25.5123</v>
      </c>
      <c r="L96" s="10"/>
    </row>
    <row r="97" spans="1:12" ht="15">
      <c r="A97" s="16">
        <v>44228</v>
      </c>
      <c r="B97" s="10">
        <f>25.2735 * CHOOSE(CONTROL!$C$9, $D$9, 100%, $F$9) + CHOOSE(CONTROL!$C$27, 0.0021, 0)</f>
        <v>25.275599999999997</v>
      </c>
      <c r="C97" s="10">
        <f>24.8413 * CHOOSE(CONTROL!$C$9, $D$9, 100%, $F$9) + CHOOSE(CONTROL!$C$27, 0.0021, 0)</f>
        <v>24.843399999999999</v>
      </c>
      <c r="D97" s="10">
        <f>24.8413 * CHOOSE(CONTROL!$C$9, $D$9, 100%, $F$9) + CHOOSE(CONTROL!$C$27, 0.0021, 0)</f>
        <v>24.843399999999999</v>
      </c>
      <c r="E97" s="10">
        <f>24.7046 * CHOOSE(CONTROL!$C$9, $D$9, 100%, $F$9) + CHOOSE(CONTROL!$C$27, 0.0021, 0)</f>
        <v>24.706699999999998</v>
      </c>
      <c r="F97" s="10">
        <f>24.7046 * CHOOSE(CONTROL!$C$9, $D$9, 100%, $F$9) + CHOOSE(CONTROL!$C$27, 0.0021, 0)</f>
        <v>24.706699999999998</v>
      </c>
      <c r="G97" s="10">
        <f>24.976 * CHOOSE(CONTROL!$C$9, $D$9, 100%, $F$9) + CHOOSE(CONTROL!$C$27, 0.0021, 0)</f>
        <v>24.978099999999998</v>
      </c>
      <c r="H97" s="10">
        <f>24.8413 * CHOOSE(CONTROL!$C$9, $D$9, 100%, $F$9) + CHOOSE(CONTROL!$C$27, 0.0021, 0)</f>
        <v>24.843399999999999</v>
      </c>
      <c r="I97" s="10">
        <f>24.8413 * CHOOSE(CONTROL!$C$9, $D$9, 100%, $F$9) + CHOOSE(CONTROL!$C$27, 0.0021, 0)</f>
        <v>24.843399999999999</v>
      </c>
      <c r="J97" s="10">
        <f>24.8413 * CHOOSE(CONTROL!$C$9, $D$9, 100%, $F$9) + CHOOSE(CONTROL!$C$27, 0.0021, 0)</f>
        <v>24.843399999999999</v>
      </c>
      <c r="K97" s="10">
        <f>24.8413 * CHOOSE(CONTROL!$C$9, $D$9, 100%, $F$9) + CHOOSE(CONTROL!$C$27, 0.0021, 0)</f>
        <v>24.843399999999999</v>
      </c>
      <c r="L97" s="10"/>
    </row>
    <row r="98" spans="1:12" ht="15">
      <c r="A98" s="16">
        <v>44256</v>
      </c>
      <c r="B98" s="10">
        <f>24.9974 * CHOOSE(CONTROL!$C$9, $D$9, 100%, $F$9) + CHOOSE(CONTROL!$C$27, 0.0021, 0)</f>
        <v>24.999499999999998</v>
      </c>
      <c r="C98" s="10">
        <f>24.5651 * CHOOSE(CONTROL!$C$9, $D$9, 100%, $F$9) + CHOOSE(CONTROL!$C$27, 0.0021, 0)</f>
        <v>24.5672</v>
      </c>
      <c r="D98" s="10">
        <f>24.5651 * CHOOSE(CONTROL!$C$9, $D$9, 100%, $F$9) + CHOOSE(CONTROL!$C$27, 0.0021, 0)</f>
        <v>24.5672</v>
      </c>
      <c r="E98" s="10">
        <f>24.4285 * CHOOSE(CONTROL!$C$9, $D$9, 100%, $F$9) + CHOOSE(CONTROL!$C$27, 0.0021, 0)</f>
        <v>24.430599999999998</v>
      </c>
      <c r="F98" s="10">
        <f>24.4285 * CHOOSE(CONTROL!$C$9, $D$9, 100%, $F$9) + CHOOSE(CONTROL!$C$27, 0.0021, 0)</f>
        <v>24.430599999999998</v>
      </c>
      <c r="G98" s="10">
        <f>24.6998 * CHOOSE(CONTROL!$C$9, $D$9, 100%, $F$9) + CHOOSE(CONTROL!$C$27, 0.0021, 0)</f>
        <v>24.701899999999998</v>
      </c>
      <c r="H98" s="10">
        <f>24.5651 * CHOOSE(CONTROL!$C$9, $D$9, 100%, $F$9) + CHOOSE(CONTROL!$C$27, 0.0021, 0)</f>
        <v>24.5672</v>
      </c>
      <c r="I98" s="10">
        <f>24.5651 * CHOOSE(CONTROL!$C$9, $D$9, 100%, $F$9) + CHOOSE(CONTROL!$C$27, 0.0021, 0)</f>
        <v>24.5672</v>
      </c>
      <c r="J98" s="10">
        <f>24.5651 * CHOOSE(CONTROL!$C$9, $D$9, 100%, $F$9) + CHOOSE(CONTROL!$C$27, 0.0021, 0)</f>
        <v>24.5672</v>
      </c>
      <c r="K98" s="10">
        <f>24.5651 * CHOOSE(CONTROL!$C$9, $D$9, 100%, $F$9) + CHOOSE(CONTROL!$C$27, 0.0021, 0)</f>
        <v>24.5672</v>
      </c>
      <c r="L98" s="10"/>
    </row>
    <row r="99" spans="1:12" ht="15">
      <c r="A99" s="16">
        <v>44287</v>
      </c>
      <c r="B99" s="10">
        <f>24.6676 * CHOOSE(CONTROL!$C$9, $D$9, 100%, $F$9) + CHOOSE(CONTROL!$C$27, 0.0021, 0)</f>
        <v>24.669699999999999</v>
      </c>
      <c r="C99" s="10">
        <f>24.2354 * CHOOSE(CONTROL!$C$9, $D$9, 100%, $F$9) + CHOOSE(CONTROL!$C$27, 0.0021, 0)</f>
        <v>24.237499999999997</v>
      </c>
      <c r="D99" s="10">
        <f>24.2354 * CHOOSE(CONTROL!$C$9, $D$9, 100%, $F$9) + CHOOSE(CONTROL!$C$27, 0.0021, 0)</f>
        <v>24.237499999999997</v>
      </c>
      <c r="E99" s="10">
        <f>24.0987 * CHOOSE(CONTROL!$C$9, $D$9, 100%, $F$9) + CHOOSE(CONTROL!$C$27, 0.0021, 0)</f>
        <v>24.1008</v>
      </c>
      <c r="F99" s="10">
        <f>24.0987 * CHOOSE(CONTROL!$C$9, $D$9, 100%, $F$9) + CHOOSE(CONTROL!$C$27, 0.0021, 0)</f>
        <v>24.1008</v>
      </c>
      <c r="G99" s="10">
        <f>24.3701 * CHOOSE(CONTROL!$C$9, $D$9, 100%, $F$9) + CHOOSE(CONTROL!$C$27, 0.0021, 0)</f>
        <v>24.372199999999999</v>
      </c>
      <c r="H99" s="10">
        <f>24.2354 * CHOOSE(CONTROL!$C$9, $D$9, 100%, $F$9) + CHOOSE(CONTROL!$C$27, 0.0021, 0)</f>
        <v>24.237499999999997</v>
      </c>
      <c r="I99" s="10">
        <f>24.2354 * CHOOSE(CONTROL!$C$9, $D$9, 100%, $F$9) + CHOOSE(CONTROL!$C$27, 0.0021, 0)</f>
        <v>24.237499999999997</v>
      </c>
      <c r="J99" s="10">
        <f>24.2354 * CHOOSE(CONTROL!$C$9, $D$9, 100%, $F$9) + CHOOSE(CONTROL!$C$27, 0.0021, 0)</f>
        <v>24.237499999999997</v>
      </c>
      <c r="K99" s="10">
        <f>24.2354 * CHOOSE(CONTROL!$C$9, $D$9, 100%, $F$9) + CHOOSE(CONTROL!$C$27, 0.0021, 0)</f>
        <v>24.237499999999997</v>
      </c>
      <c r="L99" s="10"/>
    </row>
    <row r="100" spans="1:12" ht="15">
      <c r="A100" s="16">
        <v>44317</v>
      </c>
      <c r="B100" s="10">
        <f>25.1375 * CHOOSE(CONTROL!$C$9, $D$9, 100%, $F$9) + CHOOSE(CONTROL!$C$27, 0.0021, 0)</f>
        <v>25.139599999999998</v>
      </c>
      <c r="C100" s="10">
        <f>24.7053 * CHOOSE(CONTROL!$C$9, $D$9, 100%, $F$9) + CHOOSE(CONTROL!$C$27, 0.0021, 0)</f>
        <v>24.7074</v>
      </c>
      <c r="D100" s="10">
        <f>24.7053 * CHOOSE(CONTROL!$C$9, $D$9, 100%, $F$9) + CHOOSE(CONTROL!$C$27, 0.0021, 0)</f>
        <v>24.7074</v>
      </c>
      <c r="E100" s="10">
        <f>24.5686 * CHOOSE(CONTROL!$C$9, $D$9, 100%, $F$9) + CHOOSE(CONTROL!$C$27, 0.0021, 0)</f>
        <v>24.570699999999999</v>
      </c>
      <c r="F100" s="10">
        <f>24.5686 * CHOOSE(CONTROL!$C$9, $D$9, 100%, $F$9) + CHOOSE(CONTROL!$C$27, 0.0021, 0)</f>
        <v>24.570699999999999</v>
      </c>
      <c r="G100" s="10">
        <f>24.84 * CHOOSE(CONTROL!$C$9, $D$9, 100%, $F$9) + CHOOSE(CONTROL!$C$27, 0.0021, 0)</f>
        <v>24.842099999999999</v>
      </c>
      <c r="H100" s="10">
        <f>24.7053 * CHOOSE(CONTROL!$C$9, $D$9, 100%, $F$9) + CHOOSE(CONTROL!$C$27, 0.0021, 0)</f>
        <v>24.7074</v>
      </c>
      <c r="I100" s="10">
        <f>24.7053 * CHOOSE(CONTROL!$C$9, $D$9, 100%, $F$9) + CHOOSE(CONTROL!$C$27, 0.0021, 0)</f>
        <v>24.7074</v>
      </c>
      <c r="J100" s="10">
        <f>24.7053 * CHOOSE(CONTROL!$C$9, $D$9, 100%, $F$9) + CHOOSE(CONTROL!$C$27, 0.0021, 0)</f>
        <v>24.7074</v>
      </c>
      <c r="K100" s="10">
        <f>24.7053 * CHOOSE(CONTROL!$C$9, $D$9, 100%, $F$9) + CHOOSE(CONTROL!$C$27, 0.0021, 0)</f>
        <v>24.7074</v>
      </c>
      <c r="L100" s="10"/>
    </row>
    <row r="101" spans="1:12" ht="15">
      <c r="A101" s="16">
        <v>44348</v>
      </c>
      <c r="B101" s="10">
        <f>25.419 * CHOOSE(CONTROL!$C$9, $D$9, 100%, $F$9) + CHOOSE(CONTROL!$C$27, 0.0021, 0)</f>
        <v>25.421099999999999</v>
      </c>
      <c r="C101" s="10">
        <f>24.9867 * CHOOSE(CONTROL!$C$9, $D$9, 100%, $F$9) + CHOOSE(CONTROL!$C$27, 0.0021, 0)</f>
        <v>24.988799999999998</v>
      </c>
      <c r="D101" s="10">
        <f>24.9867 * CHOOSE(CONTROL!$C$9, $D$9, 100%, $F$9) + CHOOSE(CONTROL!$C$27, 0.0021, 0)</f>
        <v>24.988799999999998</v>
      </c>
      <c r="E101" s="10">
        <f>24.8501 * CHOOSE(CONTROL!$C$9, $D$9, 100%, $F$9) + CHOOSE(CONTROL!$C$27, 0.0021, 0)</f>
        <v>24.8522</v>
      </c>
      <c r="F101" s="10">
        <f>24.8501 * CHOOSE(CONTROL!$C$9, $D$9, 100%, $F$9) + CHOOSE(CONTROL!$C$27, 0.0021, 0)</f>
        <v>24.8522</v>
      </c>
      <c r="G101" s="10">
        <f>25.1215 * CHOOSE(CONTROL!$C$9, $D$9, 100%, $F$9) + CHOOSE(CONTROL!$C$27, 0.0021, 0)</f>
        <v>25.1236</v>
      </c>
      <c r="H101" s="10">
        <f>24.9867 * CHOOSE(CONTROL!$C$9, $D$9, 100%, $F$9) + CHOOSE(CONTROL!$C$27, 0.0021, 0)</f>
        <v>24.988799999999998</v>
      </c>
      <c r="I101" s="10">
        <f>24.9867 * CHOOSE(CONTROL!$C$9, $D$9, 100%, $F$9) + CHOOSE(CONTROL!$C$27, 0.0021, 0)</f>
        <v>24.988799999999998</v>
      </c>
      <c r="J101" s="10">
        <f>24.9867 * CHOOSE(CONTROL!$C$9, $D$9, 100%, $F$9) + CHOOSE(CONTROL!$C$27, 0.0021, 0)</f>
        <v>24.988799999999998</v>
      </c>
      <c r="K101" s="10">
        <f>24.9867 * CHOOSE(CONTROL!$C$9, $D$9, 100%, $F$9) + CHOOSE(CONTROL!$C$27, 0.0021, 0)</f>
        <v>24.988799999999998</v>
      </c>
      <c r="L101" s="10"/>
    </row>
    <row r="102" spans="1:12" ht="15">
      <c r="A102" s="16">
        <v>44378</v>
      </c>
      <c r="B102" s="10">
        <f>25.8833 * CHOOSE(CONTROL!$C$9, $D$9, 100%, $F$9) + CHOOSE(CONTROL!$C$27, 0.0021, 0)</f>
        <v>25.885399999999997</v>
      </c>
      <c r="C102" s="10">
        <f>25.451 * CHOOSE(CONTROL!$C$9, $D$9, 100%, $F$9) + CHOOSE(CONTROL!$C$27, 0.0021, 0)</f>
        <v>25.453099999999999</v>
      </c>
      <c r="D102" s="10">
        <f>25.451 * CHOOSE(CONTROL!$C$9, $D$9, 100%, $F$9) + CHOOSE(CONTROL!$C$27, 0.0021, 0)</f>
        <v>25.453099999999999</v>
      </c>
      <c r="E102" s="10">
        <f>25.3144 * CHOOSE(CONTROL!$C$9, $D$9, 100%, $F$9) + CHOOSE(CONTROL!$C$27, 0.0021, 0)</f>
        <v>25.316499999999998</v>
      </c>
      <c r="F102" s="10">
        <f>25.3144 * CHOOSE(CONTROL!$C$9, $D$9, 100%, $F$9) + CHOOSE(CONTROL!$C$27, 0.0021, 0)</f>
        <v>25.316499999999998</v>
      </c>
      <c r="G102" s="10">
        <f>25.5857 * CHOOSE(CONTROL!$C$9, $D$9, 100%, $F$9) + CHOOSE(CONTROL!$C$27, 0.0021, 0)</f>
        <v>25.587799999999998</v>
      </c>
      <c r="H102" s="10">
        <f>25.451 * CHOOSE(CONTROL!$C$9, $D$9, 100%, $F$9) + CHOOSE(CONTROL!$C$27, 0.0021, 0)</f>
        <v>25.453099999999999</v>
      </c>
      <c r="I102" s="10">
        <f>25.451 * CHOOSE(CONTROL!$C$9, $D$9, 100%, $F$9) + CHOOSE(CONTROL!$C$27, 0.0021, 0)</f>
        <v>25.453099999999999</v>
      </c>
      <c r="J102" s="10">
        <f>25.451 * CHOOSE(CONTROL!$C$9, $D$9, 100%, $F$9) + CHOOSE(CONTROL!$C$27, 0.0021, 0)</f>
        <v>25.453099999999999</v>
      </c>
      <c r="K102" s="10">
        <f>25.451 * CHOOSE(CONTROL!$C$9, $D$9, 100%, $F$9) + CHOOSE(CONTROL!$C$27, 0.0021, 0)</f>
        <v>25.453099999999999</v>
      </c>
      <c r="L102" s="10"/>
    </row>
    <row r="103" spans="1:12" ht="15">
      <c r="A103" s="16">
        <v>44409</v>
      </c>
      <c r="B103" s="10">
        <f>26.025 * CHOOSE(CONTROL!$C$9, $D$9, 100%, $F$9) + CHOOSE(CONTROL!$C$27, 0.0021, 0)</f>
        <v>26.027099999999997</v>
      </c>
      <c r="C103" s="10">
        <f>25.5927 * CHOOSE(CONTROL!$C$9, $D$9, 100%, $F$9) + CHOOSE(CONTROL!$C$27, 0.0021, 0)</f>
        <v>25.594799999999999</v>
      </c>
      <c r="D103" s="10">
        <f>25.5927 * CHOOSE(CONTROL!$C$9, $D$9, 100%, $F$9) + CHOOSE(CONTROL!$C$27, 0.0021, 0)</f>
        <v>25.594799999999999</v>
      </c>
      <c r="E103" s="10">
        <f>25.4561 * CHOOSE(CONTROL!$C$9, $D$9, 100%, $F$9) + CHOOSE(CONTROL!$C$27, 0.0021, 0)</f>
        <v>25.458199999999998</v>
      </c>
      <c r="F103" s="10">
        <f>25.4561 * CHOOSE(CONTROL!$C$9, $D$9, 100%, $F$9) + CHOOSE(CONTROL!$C$27, 0.0021, 0)</f>
        <v>25.458199999999998</v>
      </c>
      <c r="G103" s="10">
        <f>25.7274 * CHOOSE(CONTROL!$C$9, $D$9, 100%, $F$9) + CHOOSE(CONTROL!$C$27, 0.0021, 0)</f>
        <v>25.729499999999998</v>
      </c>
      <c r="H103" s="10">
        <f>25.5927 * CHOOSE(CONTROL!$C$9, $D$9, 100%, $F$9) + CHOOSE(CONTROL!$C$27, 0.0021, 0)</f>
        <v>25.594799999999999</v>
      </c>
      <c r="I103" s="10">
        <f>25.5927 * CHOOSE(CONTROL!$C$9, $D$9, 100%, $F$9) + CHOOSE(CONTROL!$C$27, 0.0021, 0)</f>
        <v>25.594799999999999</v>
      </c>
      <c r="J103" s="10">
        <f>25.5927 * CHOOSE(CONTROL!$C$9, $D$9, 100%, $F$9) + CHOOSE(CONTROL!$C$27, 0.0021, 0)</f>
        <v>25.594799999999999</v>
      </c>
      <c r="K103" s="10">
        <f>25.5927 * CHOOSE(CONTROL!$C$9, $D$9, 100%, $F$9) + CHOOSE(CONTROL!$C$27, 0.0021, 0)</f>
        <v>25.594799999999999</v>
      </c>
      <c r="L103" s="10"/>
    </row>
    <row r="104" spans="1:12" ht="15">
      <c r="A104" s="16">
        <v>44440</v>
      </c>
      <c r="B104" s="10">
        <f>26.5076 * CHOOSE(CONTROL!$C$9, $D$9, 100%, $F$9) + CHOOSE(CONTROL!$C$27, 0.0021, 0)</f>
        <v>26.509699999999999</v>
      </c>
      <c r="C104" s="10">
        <f>26.0753 * CHOOSE(CONTROL!$C$9, $D$9, 100%, $F$9) + CHOOSE(CONTROL!$C$27, 0.0021, 0)</f>
        <v>26.077399999999997</v>
      </c>
      <c r="D104" s="10">
        <f>26.0753 * CHOOSE(CONTROL!$C$9, $D$9, 100%, $F$9) + CHOOSE(CONTROL!$C$27, 0.0021, 0)</f>
        <v>26.077399999999997</v>
      </c>
      <c r="E104" s="10">
        <f>25.9387 * CHOOSE(CONTROL!$C$9, $D$9, 100%, $F$9) + CHOOSE(CONTROL!$C$27, 0.0021, 0)</f>
        <v>25.940799999999999</v>
      </c>
      <c r="F104" s="10">
        <f>25.9387 * CHOOSE(CONTROL!$C$9, $D$9, 100%, $F$9) + CHOOSE(CONTROL!$C$27, 0.0021, 0)</f>
        <v>25.940799999999999</v>
      </c>
      <c r="G104" s="10">
        <f>26.21 * CHOOSE(CONTROL!$C$9, $D$9, 100%, $F$9) + CHOOSE(CONTROL!$C$27, 0.0021, 0)</f>
        <v>26.2121</v>
      </c>
      <c r="H104" s="10">
        <f>26.0753 * CHOOSE(CONTROL!$C$9, $D$9, 100%, $F$9) + CHOOSE(CONTROL!$C$27, 0.0021, 0)</f>
        <v>26.077399999999997</v>
      </c>
      <c r="I104" s="10">
        <f>26.0753 * CHOOSE(CONTROL!$C$9, $D$9, 100%, $F$9) + CHOOSE(CONTROL!$C$27, 0.0021, 0)</f>
        <v>26.077399999999997</v>
      </c>
      <c r="J104" s="10">
        <f>26.0753 * CHOOSE(CONTROL!$C$9, $D$9, 100%, $F$9) + CHOOSE(CONTROL!$C$27, 0.0021, 0)</f>
        <v>26.077399999999997</v>
      </c>
      <c r="K104" s="10">
        <f>26.0753 * CHOOSE(CONTROL!$C$9, $D$9, 100%, $F$9) + CHOOSE(CONTROL!$C$27, 0.0021, 0)</f>
        <v>26.077399999999997</v>
      </c>
      <c r="L104" s="10"/>
    </row>
    <row r="105" spans="1:12" ht="15">
      <c r="A105" s="16">
        <v>44470</v>
      </c>
      <c r="B105" s="10">
        <f>27.1185 * CHOOSE(CONTROL!$C$9, $D$9, 100%, $F$9) + CHOOSE(CONTROL!$C$27, 0.0021, 0)</f>
        <v>27.1206</v>
      </c>
      <c r="C105" s="10">
        <f>26.6862 * CHOOSE(CONTROL!$C$9, $D$9, 100%, $F$9) + CHOOSE(CONTROL!$C$27, 0.0021, 0)</f>
        <v>26.688299999999998</v>
      </c>
      <c r="D105" s="10">
        <f>26.6862 * CHOOSE(CONTROL!$C$9, $D$9, 100%, $F$9) + CHOOSE(CONTROL!$C$27, 0.0021, 0)</f>
        <v>26.688299999999998</v>
      </c>
      <c r="E105" s="10">
        <f>26.5496 * CHOOSE(CONTROL!$C$9, $D$9, 100%, $F$9) + CHOOSE(CONTROL!$C$27, 0.0021, 0)</f>
        <v>26.5517</v>
      </c>
      <c r="F105" s="10">
        <f>26.5496 * CHOOSE(CONTROL!$C$9, $D$9, 100%, $F$9) + CHOOSE(CONTROL!$C$27, 0.0021, 0)</f>
        <v>26.5517</v>
      </c>
      <c r="G105" s="10">
        <f>26.8209 * CHOOSE(CONTROL!$C$9, $D$9, 100%, $F$9) + CHOOSE(CONTROL!$C$27, 0.0021, 0)</f>
        <v>26.823</v>
      </c>
      <c r="H105" s="10">
        <f>26.6862 * CHOOSE(CONTROL!$C$9, $D$9, 100%, $F$9) + CHOOSE(CONTROL!$C$27, 0.0021, 0)</f>
        <v>26.688299999999998</v>
      </c>
      <c r="I105" s="10">
        <f>26.6862 * CHOOSE(CONTROL!$C$9, $D$9, 100%, $F$9) + CHOOSE(CONTROL!$C$27, 0.0021, 0)</f>
        <v>26.688299999999998</v>
      </c>
      <c r="J105" s="10">
        <f>26.6862 * CHOOSE(CONTROL!$C$9, $D$9, 100%, $F$9) + CHOOSE(CONTROL!$C$27, 0.0021, 0)</f>
        <v>26.688299999999998</v>
      </c>
      <c r="K105" s="10">
        <f>26.6862 * CHOOSE(CONTROL!$C$9, $D$9, 100%, $F$9) + CHOOSE(CONTROL!$C$27, 0.0021, 0)</f>
        <v>26.688299999999998</v>
      </c>
      <c r="L105" s="10"/>
    </row>
    <row r="106" spans="1:12" ht="15">
      <c r="A106" s="16">
        <v>44501</v>
      </c>
      <c r="B106" s="10">
        <f>27.1758 * CHOOSE(CONTROL!$C$9, $D$9, 100%, $F$9) + CHOOSE(CONTROL!$C$27, 0.0021, 0)</f>
        <v>27.177899999999998</v>
      </c>
      <c r="C106" s="10">
        <f>26.7436 * CHOOSE(CONTROL!$C$9, $D$9, 100%, $F$9) + CHOOSE(CONTROL!$C$27, 0.0021, 0)</f>
        <v>26.745699999999999</v>
      </c>
      <c r="D106" s="10">
        <f>26.7436 * CHOOSE(CONTROL!$C$9, $D$9, 100%, $F$9) + CHOOSE(CONTROL!$C$27, 0.0021, 0)</f>
        <v>26.745699999999999</v>
      </c>
      <c r="E106" s="10">
        <f>26.6069 * CHOOSE(CONTROL!$C$9, $D$9, 100%, $F$9) + CHOOSE(CONTROL!$C$27, 0.0021, 0)</f>
        <v>26.608999999999998</v>
      </c>
      <c r="F106" s="10">
        <f>26.6069 * CHOOSE(CONTROL!$C$9, $D$9, 100%, $F$9) + CHOOSE(CONTROL!$C$27, 0.0021, 0)</f>
        <v>26.608999999999998</v>
      </c>
      <c r="G106" s="10">
        <f>26.8783 * CHOOSE(CONTROL!$C$9, $D$9, 100%, $F$9) + CHOOSE(CONTROL!$C$27, 0.0021, 0)</f>
        <v>26.880399999999998</v>
      </c>
      <c r="H106" s="10">
        <f>26.7436 * CHOOSE(CONTROL!$C$9, $D$9, 100%, $F$9) + CHOOSE(CONTROL!$C$27, 0.0021, 0)</f>
        <v>26.745699999999999</v>
      </c>
      <c r="I106" s="10">
        <f>26.7436 * CHOOSE(CONTROL!$C$9, $D$9, 100%, $F$9) + CHOOSE(CONTROL!$C$27, 0.0021, 0)</f>
        <v>26.745699999999999</v>
      </c>
      <c r="J106" s="10">
        <f>26.7436 * CHOOSE(CONTROL!$C$9, $D$9, 100%, $F$9) + CHOOSE(CONTROL!$C$27, 0.0021, 0)</f>
        <v>26.745699999999999</v>
      </c>
      <c r="K106" s="10">
        <f>26.7436 * CHOOSE(CONTROL!$C$9, $D$9, 100%, $F$9) + CHOOSE(CONTROL!$C$27, 0.0021, 0)</f>
        <v>26.745699999999999</v>
      </c>
      <c r="L106" s="10"/>
    </row>
    <row r="107" spans="1:12" ht="15">
      <c r="A107" s="16">
        <v>44531</v>
      </c>
      <c r="B107" s="10">
        <f>26.6879 * CHOOSE(CONTROL!$C$9, $D$9, 100%, $F$9) + CHOOSE(CONTROL!$C$27, 0.0021, 0)</f>
        <v>26.689999999999998</v>
      </c>
      <c r="C107" s="10">
        <f>26.2557 * CHOOSE(CONTROL!$C$9, $D$9, 100%, $F$9) + CHOOSE(CONTROL!$C$27, 0.0021, 0)</f>
        <v>26.2578</v>
      </c>
      <c r="D107" s="10">
        <f>26.2557 * CHOOSE(CONTROL!$C$9, $D$9, 100%, $F$9) + CHOOSE(CONTROL!$C$27, 0.0021, 0)</f>
        <v>26.2578</v>
      </c>
      <c r="E107" s="10">
        <f>26.119 * CHOOSE(CONTROL!$C$9, $D$9, 100%, $F$9) + CHOOSE(CONTROL!$C$27, 0.0021, 0)</f>
        <v>26.121099999999998</v>
      </c>
      <c r="F107" s="10">
        <f>26.119 * CHOOSE(CONTROL!$C$9, $D$9, 100%, $F$9) + CHOOSE(CONTROL!$C$27, 0.0021, 0)</f>
        <v>26.121099999999998</v>
      </c>
      <c r="G107" s="10">
        <f>26.3904 * CHOOSE(CONTROL!$C$9, $D$9, 100%, $F$9) + CHOOSE(CONTROL!$C$27, 0.0021, 0)</f>
        <v>26.392499999999998</v>
      </c>
      <c r="H107" s="10">
        <f>26.2557 * CHOOSE(CONTROL!$C$9, $D$9, 100%, $F$9) + CHOOSE(CONTROL!$C$27, 0.0021, 0)</f>
        <v>26.2578</v>
      </c>
      <c r="I107" s="10">
        <f>26.2557 * CHOOSE(CONTROL!$C$9, $D$9, 100%, $F$9) + CHOOSE(CONTROL!$C$27, 0.0021, 0)</f>
        <v>26.2578</v>
      </c>
      <c r="J107" s="10">
        <f>26.2557 * CHOOSE(CONTROL!$C$9, $D$9, 100%, $F$9) + CHOOSE(CONTROL!$C$27, 0.0021, 0)</f>
        <v>26.2578</v>
      </c>
      <c r="K107" s="10">
        <f>26.2557 * CHOOSE(CONTROL!$C$9, $D$9, 100%, $F$9) + CHOOSE(CONTROL!$C$27, 0.0021, 0)</f>
        <v>26.2578</v>
      </c>
      <c r="L107" s="10"/>
    </row>
    <row r="108" spans="1:12" ht="15">
      <c r="A108" s="16">
        <v>44562</v>
      </c>
      <c r="B108" s="10">
        <f>27.1005 * CHOOSE(CONTROL!$C$9, $D$9, 100%, $F$9) + CHOOSE(CONTROL!$C$27, 0.0021, 0)</f>
        <v>27.102599999999999</v>
      </c>
      <c r="C108" s="10">
        <f>26.6682 * CHOOSE(CONTROL!$C$9, $D$9, 100%, $F$9) + CHOOSE(CONTROL!$C$27, 0.0021, 0)</f>
        <v>26.670299999999997</v>
      </c>
      <c r="D108" s="10">
        <f>26.6682 * CHOOSE(CONTROL!$C$9, $D$9, 100%, $F$9) + CHOOSE(CONTROL!$C$27, 0.0021, 0)</f>
        <v>26.670299999999997</v>
      </c>
      <c r="E108" s="10">
        <f>26.5316 * CHOOSE(CONTROL!$C$9, $D$9, 100%, $F$9) + CHOOSE(CONTROL!$C$27, 0.0021, 0)</f>
        <v>26.5337</v>
      </c>
      <c r="F108" s="10">
        <f>26.5316 * CHOOSE(CONTROL!$C$9, $D$9, 100%, $F$9) + CHOOSE(CONTROL!$C$27, 0.0021, 0)</f>
        <v>26.5337</v>
      </c>
      <c r="G108" s="10">
        <f>26.803 * CHOOSE(CONTROL!$C$9, $D$9, 100%, $F$9) + CHOOSE(CONTROL!$C$27, 0.0021, 0)</f>
        <v>26.805099999999999</v>
      </c>
      <c r="H108" s="10">
        <f>26.6682 * CHOOSE(CONTROL!$C$9, $D$9, 100%, $F$9) + CHOOSE(CONTROL!$C$27, 0.0021, 0)</f>
        <v>26.670299999999997</v>
      </c>
      <c r="I108" s="10">
        <f>26.6682 * CHOOSE(CONTROL!$C$9, $D$9, 100%, $F$9) + CHOOSE(CONTROL!$C$27, 0.0021, 0)</f>
        <v>26.670299999999997</v>
      </c>
      <c r="J108" s="10">
        <f>26.6682 * CHOOSE(CONTROL!$C$9, $D$9, 100%, $F$9) + CHOOSE(CONTROL!$C$27, 0.0021, 0)</f>
        <v>26.670299999999997</v>
      </c>
      <c r="K108" s="10">
        <f>26.6682 * CHOOSE(CONTROL!$C$9, $D$9, 100%, $F$9) + CHOOSE(CONTROL!$C$27, 0.0021, 0)</f>
        <v>26.670299999999997</v>
      </c>
      <c r="L108" s="10"/>
    </row>
    <row r="109" spans="1:12" ht="15">
      <c r="A109" s="16">
        <v>44593</v>
      </c>
      <c r="B109" s="10">
        <f>26.3988 * CHOOSE(CONTROL!$C$9, $D$9, 100%, $F$9) + CHOOSE(CONTROL!$C$27, 0.0021, 0)</f>
        <v>26.4009</v>
      </c>
      <c r="C109" s="10">
        <f>25.9665 * CHOOSE(CONTROL!$C$9, $D$9, 100%, $F$9) + CHOOSE(CONTROL!$C$27, 0.0021, 0)</f>
        <v>25.968599999999999</v>
      </c>
      <c r="D109" s="10">
        <f>25.9665 * CHOOSE(CONTROL!$C$9, $D$9, 100%, $F$9) + CHOOSE(CONTROL!$C$27, 0.0021, 0)</f>
        <v>25.968599999999999</v>
      </c>
      <c r="E109" s="10">
        <f>25.8299 * CHOOSE(CONTROL!$C$9, $D$9, 100%, $F$9) + CHOOSE(CONTROL!$C$27, 0.0021, 0)</f>
        <v>25.831999999999997</v>
      </c>
      <c r="F109" s="10">
        <f>25.8299 * CHOOSE(CONTROL!$C$9, $D$9, 100%, $F$9) + CHOOSE(CONTROL!$C$27, 0.0021, 0)</f>
        <v>25.831999999999997</v>
      </c>
      <c r="G109" s="10">
        <f>26.1012 * CHOOSE(CONTROL!$C$9, $D$9, 100%, $F$9) + CHOOSE(CONTROL!$C$27, 0.0021, 0)</f>
        <v>26.103299999999997</v>
      </c>
      <c r="H109" s="10">
        <f>25.9665 * CHOOSE(CONTROL!$C$9, $D$9, 100%, $F$9) + CHOOSE(CONTROL!$C$27, 0.0021, 0)</f>
        <v>25.968599999999999</v>
      </c>
      <c r="I109" s="10">
        <f>25.9665 * CHOOSE(CONTROL!$C$9, $D$9, 100%, $F$9) + CHOOSE(CONTROL!$C$27, 0.0021, 0)</f>
        <v>25.968599999999999</v>
      </c>
      <c r="J109" s="10">
        <f>25.9665 * CHOOSE(CONTROL!$C$9, $D$9, 100%, $F$9) + CHOOSE(CONTROL!$C$27, 0.0021, 0)</f>
        <v>25.968599999999999</v>
      </c>
      <c r="K109" s="10">
        <f>25.9665 * CHOOSE(CONTROL!$C$9, $D$9, 100%, $F$9) + CHOOSE(CONTROL!$C$27, 0.0021, 0)</f>
        <v>25.968599999999999</v>
      </c>
      <c r="L109" s="10"/>
    </row>
    <row r="110" spans="1:12" ht="15">
      <c r="A110" s="16">
        <v>44621</v>
      </c>
      <c r="B110" s="10">
        <f>26.1091 * CHOOSE(CONTROL!$C$9, $D$9, 100%, $F$9) + CHOOSE(CONTROL!$C$27, 0.0021, 0)</f>
        <v>26.1112</v>
      </c>
      <c r="C110" s="10">
        <f>25.6769 * CHOOSE(CONTROL!$C$9, $D$9, 100%, $F$9) + CHOOSE(CONTROL!$C$27, 0.0021, 0)</f>
        <v>25.678999999999998</v>
      </c>
      <c r="D110" s="10">
        <f>25.6769 * CHOOSE(CONTROL!$C$9, $D$9, 100%, $F$9) + CHOOSE(CONTROL!$C$27, 0.0021, 0)</f>
        <v>25.678999999999998</v>
      </c>
      <c r="E110" s="10">
        <f>25.5402 * CHOOSE(CONTROL!$C$9, $D$9, 100%, $F$9) + CHOOSE(CONTROL!$C$27, 0.0021, 0)</f>
        <v>25.542299999999997</v>
      </c>
      <c r="F110" s="10">
        <f>25.5402 * CHOOSE(CONTROL!$C$9, $D$9, 100%, $F$9) + CHOOSE(CONTROL!$C$27, 0.0021, 0)</f>
        <v>25.542299999999997</v>
      </c>
      <c r="G110" s="10">
        <f>25.8116 * CHOOSE(CONTROL!$C$9, $D$9, 100%, $F$9) + CHOOSE(CONTROL!$C$27, 0.0021, 0)</f>
        <v>25.813699999999997</v>
      </c>
      <c r="H110" s="10">
        <f>25.6769 * CHOOSE(CONTROL!$C$9, $D$9, 100%, $F$9) + CHOOSE(CONTROL!$C$27, 0.0021, 0)</f>
        <v>25.678999999999998</v>
      </c>
      <c r="I110" s="10">
        <f>25.6769 * CHOOSE(CONTROL!$C$9, $D$9, 100%, $F$9) + CHOOSE(CONTROL!$C$27, 0.0021, 0)</f>
        <v>25.678999999999998</v>
      </c>
      <c r="J110" s="10">
        <f>25.6769 * CHOOSE(CONTROL!$C$9, $D$9, 100%, $F$9) + CHOOSE(CONTROL!$C$27, 0.0021, 0)</f>
        <v>25.678999999999998</v>
      </c>
      <c r="K110" s="10">
        <f>25.6769 * CHOOSE(CONTROL!$C$9, $D$9, 100%, $F$9) + CHOOSE(CONTROL!$C$27, 0.0021, 0)</f>
        <v>25.678999999999998</v>
      </c>
      <c r="L110" s="10"/>
    </row>
    <row r="111" spans="1:12" ht="15">
      <c r="A111" s="16">
        <v>44652</v>
      </c>
      <c r="B111" s="10">
        <f>25.7632 * CHOOSE(CONTROL!$C$9, $D$9, 100%, $F$9) + CHOOSE(CONTROL!$C$27, 0.0021, 0)</f>
        <v>25.7653</v>
      </c>
      <c r="C111" s="10">
        <f>25.331 * CHOOSE(CONTROL!$C$9, $D$9, 100%, $F$9) + CHOOSE(CONTROL!$C$27, 0.0021, 0)</f>
        <v>25.333099999999998</v>
      </c>
      <c r="D111" s="10">
        <f>25.331 * CHOOSE(CONTROL!$C$9, $D$9, 100%, $F$9) + CHOOSE(CONTROL!$C$27, 0.0021, 0)</f>
        <v>25.333099999999998</v>
      </c>
      <c r="E111" s="10">
        <f>25.1943 * CHOOSE(CONTROL!$C$9, $D$9, 100%, $F$9) + CHOOSE(CONTROL!$C$27, 0.0021, 0)</f>
        <v>25.196399999999997</v>
      </c>
      <c r="F111" s="10">
        <f>25.1943 * CHOOSE(CONTROL!$C$9, $D$9, 100%, $F$9) + CHOOSE(CONTROL!$C$27, 0.0021, 0)</f>
        <v>25.196399999999997</v>
      </c>
      <c r="G111" s="10">
        <f>25.4657 * CHOOSE(CONTROL!$C$9, $D$9, 100%, $F$9) + CHOOSE(CONTROL!$C$27, 0.0021, 0)</f>
        <v>25.467799999999997</v>
      </c>
      <c r="H111" s="10">
        <f>25.331 * CHOOSE(CONTROL!$C$9, $D$9, 100%, $F$9) + CHOOSE(CONTROL!$C$27, 0.0021, 0)</f>
        <v>25.333099999999998</v>
      </c>
      <c r="I111" s="10">
        <f>25.331 * CHOOSE(CONTROL!$C$9, $D$9, 100%, $F$9) + CHOOSE(CONTROL!$C$27, 0.0021, 0)</f>
        <v>25.333099999999998</v>
      </c>
      <c r="J111" s="10">
        <f>25.331 * CHOOSE(CONTROL!$C$9, $D$9, 100%, $F$9) + CHOOSE(CONTROL!$C$27, 0.0021, 0)</f>
        <v>25.333099999999998</v>
      </c>
      <c r="K111" s="10">
        <f>25.331 * CHOOSE(CONTROL!$C$9, $D$9, 100%, $F$9) + CHOOSE(CONTROL!$C$27, 0.0021, 0)</f>
        <v>25.333099999999998</v>
      </c>
      <c r="L111" s="10"/>
    </row>
    <row r="112" spans="1:12" ht="15">
      <c r="A112" s="16">
        <v>44682</v>
      </c>
      <c r="B112" s="10">
        <f>26.2561 * CHOOSE(CONTROL!$C$9, $D$9, 100%, $F$9) + CHOOSE(CONTROL!$C$27, 0.0021, 0)</f>
        <v>26.258199999999999</v>
      </c>
      <c r="C112" s="10">
        <f>25.8239 * CHOOSE(CONTROL!$C$9, $D$9, 100%, $F$9) + CHOOSE(CONTROL!$C$27, 0.0021, 0)</f>
        <v>25.825999999999997</v>
      </c>
      <c r="D112" s="10">
        <f>25.8239 * CHOOSE(CONTROL!$C$9, $D$9, 100%, $F$9) + CHOOSE(CONTROL!$C$27, 0.0021, 0)</f>
        <v>25.825999999999997</v>
      </c>
      <c r="E112" s="10">
        <f>25.6872 * CHOOSE(CONTROL!$C$9, $D$9, 100%, $F$9) + CHOOSE(CONTROL!$C$27, 0.0021, 0)</f>
        <v>25.689299999999999</v>
      </c>
      <c r="F112" s="10">
        <f>25.6872 * CHOOSE(CONTROL!$C$9, $D$9, 100%, $F$9) + CHOOSE(CONTROL!$C$27, 0.0021, 0)</f>
        <v>25.689299999999999</v>
      </c>
      <c r="G112" s="10">
        <f>25.9586 * CHOOSE(CONTROL!$C$9, $D$9, 100%, $F$9) + CHOOSE(CONTROL!$C$27, 0.0021, 0)</f>
        <v>25.960699999999999</v>
      </c>
      <c r="H112" s="10">
        <f>25.8239 * CHOOSE(CONTROL!$C$9, $D$9, 100%, $F$9) + CHOOSE(CONTROL!$C$27, 0.0021, 0)</f>
        <v>25.825999999999997</v>
      </c>
      <c r="I112" s="10">
        <f>25.8239 * CHOOSE(CONTROL!$C$9, $D$9, 100%, $F$9) + CHOOSE(CONTROL!$C$27, 0.0021, 0)</f>
        <v>25.825999999999997</v>
      </c>
      <c r="J112" s="10">
        <f>25.8239 * CHOOSE(CONTROL!$C$9, $D$9, 100%, $F$9) + CHOOSE(CONTROL!$C$27, 0.0021, 0)</f>
        <v>25.825999999999997</v>
      </c>
      <c r="K112" s="10">
        <f>25.8239 * CHOOSE(CONTROL!$C$9, $D$9, 100%, $F$9) + CHOOSE(CONTROL!$C$27, 0.0021, 0)</f>
        <v>25.825999999999997</v>
      </c>
      <c r="L112" s="10"/>
    </row>
    <row r="113" spans="1:12" ht="15">
      <c r="A113" s="16">
        <v>44713</v>
      </c>
      <c r="B113" s="10">
        <f>26.5514 * CHOOSE(CONTROL!$C$9, $D$9, 100%, $F$9) + CHOOSE(CONTROL!$C$27, 0.0021, 0)</f>
        <v>26.5535</v>
      </c>
      <c r="C113" s="10">
        <f>26.1191 * CHOOSE(CONTROL!$C$9, $D$9, 100%, $F$9) + CHOOSE(CONTROL!$C$27, 0.0021, 0)</f>
        <v>26.121199999999998</v>
      </c>
      <c r="D113" s="10">
        <f>26.1191 * CHOOSE(CONTROL!$C$9, $D$9, 100%, $F$9) + CHOOSE(CONTROL!$C$27, 0.0021, 0)</f>
        <v>26.121199999999998</v>
      </c>
      <c r="E113" s="10">
        <f>25.9825 * CHOOSE(CONTROL!$C$9, $D$9, 100%, $F$9) + CHOOSE(CONTROL!$C$27, 0.0021, 0)</f>
        <v>25.9846</v>
      </c>
      <c r="F113" s="10">
        <f>25.9825 * CHOOSE(CONTROL!$C$9, $D$9, 100%, $F$9) + CHOOSE(CONTROL!$C$27, 0.0021, 0)</f>
        <v>25.9846</v>
      </c>
      <c r="G113" s="10">
        <f>26.2538 * CHOOSE(CONTROL!$C$9, $D$9, 100%, $F$9) + CHOOSE(CONTROL!$C$27, 0.0021, 0)</f>
        <v>26.255899999999997</v>
      </c>
      <c r="H113" s="10">
        <f>26.1191 * CHOOSE(CONTROL!$C$9, $D$9, 100%, $F$9) + CHOOSE(CONTROL!$C$27, 0.0021, 0)</f>
        <v>26.121199999999998</v>
      </c>
      <c r="I113" s="10">
        <f>26.1191 * CHOOSE(CONTROL!$C$9, $D$9, 100%, $F$9) + CHOOSE(CONTROL!$C$27, 0.0021, 0)</f>
        <v>26.121199999999998</v>
      </c>
      <c r="J113" s="10">
        <f>26.1191 * CHOOSE(CONTROL!$C$9, $D$9, 100%, $F$9) + CHOOSE(CONTROL!$C$27, 0.0021, 0)</f>
        <v>26.121199999999998</v>
      </c>
      <c r="K113" s="10">
        <f>26.1191 * CHOOSE(CONTROL!$C$9, $D$9, 100%, $F$9) + CHOOSE(CONTROL!$C$27, 0.0021, 0)</f>
        <v>26.121199999999998</v>
      </c>
      <c r="L113" s="10"/>
    </row>
    <row r="114" spans="1:12" ht="15">
      <c r="A114" s="16">
        <v>44743</v>
      </c>
      <c r="B114" s="10">
        <f>27.0384 * CHOOSE(CONTROL!$C$9, $D$9, 100%, $F$9) + CHOOSE(CONTROL!$C$27, 0.0021, 0)</f>
        <v>27.040499999999998</v>
      </c>
      <c r="C114" s="10">
        <f>26.6061 * CHOOSE(CONTROL!$C$9, $D$9, 100%, $F$9) + CHOOSE(CONTROL!$C$27, 0.0021, 0)</f>
        <v>26.6082</v>
      </c>
      <c r="D114" s="10">
        <f>26.6061 * CHOOSE(CONTROL!$C$9, $D$9, 100%, $F$9) + CHOOSE(CONTROL!$C$27, 0.0021, 0)</f>
        <v>26.6082</v>
      </c>
      <c r="E114" s="10">
        <f>26.4695 * CHOOSE(CONTROL!$C$9, $D$9, 100%, $F$9) + CHOOSE(CONTROL!$C$27, 0.0021, 0)</f>
        <v>26.471599999999999</v>
      </c>
      <c r="F114" s="10">
        <f>26.4695 * CHOOSE(CONTROL!$C$9, $D$9, 100%, $F$9) + CHOOSE(CONTROL!$C$27, 0.0021, 0)</f>
        <v>26.471599999999999</v>
      </c>
      <c r="G114" s="10">
        <f>26.7409 * CHOOSE(CONTROL!$C$9, $D$9, 100%, $F$9) + CHOOSE(CONTROL!$C$27, 0.0021, 0)</f>
        <v>26.742999999999999</v>
      </c>
      <c r="H114" s="10">
        <f>26.6061 * CHOOSE(CONTROL!$C$9, $D$9, 100%, $F$9) + CHOOSE(CONTROL!$C$27, 0.0021, 0)</f>
        <v>26.6082</v>
      </c>
      <c r="I114" s="10">
        <f>26.6061 * CHOOSE(CONTROL!$C$9, $D$9, 100%, $F$9) + CHOOSE(CONTROL!$C$27, 0.0021, 0)</f>
        <v>26.6082</v>
      </c>
      <c r="J114" s="10">
        <f>26.6061 * CHOOSE(CONTROL!$C$9, $D$9, 100%, $F$9) + CHOOSE(CONTROL!$C$27, 0.0021, 0)</f>
        <v>26.6082</v>
      </c>
      <c r="K114" s="10">
        <f>26.6061 * CHOOSE(CONTROL!$C$9, $D$9, 100%, $F$9) + CHOOSE(CONTROL!$C$27, 0.0021, 0)</f>
        <v>26.6082</v>
      </c>
      <c r="L114" s="10"/>
    </row>
    <row r="115" spans="1:12" ht="15">
      <c r="A115" s="16">
        <v>44774</v>
      </c>
      <c r="B115" s="10">
        <f>27.187 * CHOOSE(CONTROL!$C$9, $D$9, 100%, $F$9) + CHOOSE(CONTROL!$C$27, 0.0021, 0)</f>
        <v>27.1891</v>
      </c>
      <c r="C115" s="10">
        <f>26.7548 * CHOOSE(CONTROL!$C$9, $D$9, 100%, $F$9) + CHOOSE(CONTROL!$C$27, 0.0021, 0)</f>
        <v>26.756899999999998</v>
      </c>
      <c r="D115" s="10">
        <f>26.7548 * CHOOSE(CONTROL!$C$9, $D$9, 100%, $F$9) + CHOOSE(CONTROL!$C$27, 0.0021, 0)</f>
        <v>26.756899999999998</v>
      </c>
      <c r="E115" s="10">
        <f>26.6181 * CHOOSE(CONTROL!$C$9, $D$9, 100%, $F$9) + CHOOSE(CONTROL!$C$27, 0.0021, 0)</f>
        <v>26.620199999999997</v>
      </c>
      <c r="F115" s="10">
        <f>26.6181 * CHOOSE(CONTROL!$C$9, $D$9, 100%, $F$9) + CHOOSE(CONTROL!$C$27, 0.0021, 0)</f>
        <v>26.620199999999997</v>
      </c>
      <c r="G115" s="10">
        <f>26.8895 * CHOOSE(CONTROL!$C$9, $D$9, 100%, $F$9) + CHOOSE(CONTROL!$C$27, 0.0021, 0)</f>
        <v>26.8916</v>
      </c>
      <c r="H115" s="10">
        <f>26.7548 * CHOOSE(CONTROL!$C$9, $D$9, 100%, $F$9) + CHOOSE(CONTROL!$C$27, 0.0021, 0)</f>
        <v>26.756899999999998</v>
      </c>
      <c r="I115" s="10">
        <f>26.7548 * CHOOSE(CONTROL!$C$9, $D$9, 100%, $F$9) + CHOOSE(CONTROL!$C$27, 0.0021, 0)</f>
        <v>26.756899999999998</v>
      </c>
      <c r="J115" s="10">
        <f>26.7548 * CHOOSE(CONTROL!$C$9, $D$9, 100%, $F$9) + CHOOSE(CONTROL!$C$27, 0.0021, 0)</f>
        <v>26.756899999999998</v>
      </c>
      <c r="K115" s="10">
        <f>26.7548 * CHOOSE(CONTROL!$C$9, $D$9, 100%, $F$9) + CHOOSE(CONTROL!$C$27, 0.0021, 0)</f>
        <v>26.756899999999998</v>
      </c>
      <c r="L115" s="10"/>
    </row>
    <row r="116" spans="1:12" ht="15">
      <c r="A116" s="16">
        <v>44805</v>
      </c>
      <c r="B116" s="10">
        <f>27.6933 * CHOOSE(CONTROL!$C$9, $D$9, 100%, $F$9) + CHOOSE(CONTROL!$C$27, 0.0021, 0)</f>
        <v>27.695399999999999</v>
      </c>
      <c r="C116" s="10">
        <f>27.261 * CHOOSE(CONTROL!$C$9, $D$9, 100%, $F$9) + CHOOSE(CONTROL!$C$27, 0.0021, 0)</f>
        <v>27.263099999999998</v>
      </c>
      <c r="D116" s="10">
        <f>27.261 * CHOOSE(CONTROL!$C$9, $D$9, 100%, $F$9) + CHOOSE(CONTROL!$C$27, 0.0021, 0)</f>
        <v>27.263099999999998</v>
      </c>
      <c r="E116" s="10">
        <f>27.1244 * CHOOSE(CONTROL!$C$9, $D$9, 100%, $F$9) + CHOOSE(CONTROL!$C$27, 0.0021, 0)</f>
        <v>27.1265</v>
      </c>
      <c r="F116" s="10">
        <f>27.1244 * CHOOSE(CONTROL!$C$9, $D$9, 100%, $F$9) + CHOOSE(CONTROL!$C$27, 0.0021, 0)</f>
        <v>27.1265</v>
      </c>
      <c r="G116" s="10">
        <f>27.3957 * CHOOSE(CONTROL!$C$9, $D$9, 100%, $F$9) + CHOOSE(CONTROL!$C$27, 0.0021, 0)</f>
        <v>27.3978</v>
      </c>
      <c r="H116" s="10">
        <f>27.261 * CHOOSE(CONTROL!$C$9, $D$9, 100%, $F$9) + CHOOSE(CONTROL!$C$27, 0.0021, 0)</f>
        <v>27.263099999999998</v>
      </c>
      <c r="I116" s="10">
        <f>27.261 * CHOOSE(CONTROL!$C$9, $D$9, 100%, $F$9) + CHOOSE(CONTROL!$C$27, 0.0021, 0)</f>
        <v>27.263099999999998</v>
      </c>
      <c r="J116" s="10">
        <f>27.261 * CHOOSE(CONTROL!$C$9, $D$9, 100%, $F$9) + CHOOSE(CONTROL!$C$27, 0.0021, 0)</f>
        <v>27.263099999999998</v>
      </c>
      <c r="K116" s="10">
        <f>27.261 * CHOOSE(CONTROL!$C$9, $D$9, 100%, $F$9) + CHOOSE(CONTROL!$C$27, 0.0021, 0)</f>
        <v>27.263099999999998</v>
      </c>
      <c r="L116" s="10"/>
    </row>
    <row r="117" spans="1:12" ht="15">
      <c r="A117" s="16">
        <v>44835</v>
      </c>
      <c r="B117" s="10">
        <f>28.3341 * CHOOSE(CONTROL!$C$9, $D$9, 100%, $F$9) + CHOOSE(CONTROL!$C$27, 0.0021, 0)</f>
        <v>28.336199999999998</v>
      </c>
      <c r="C117" s="10">
        <f>27.9018 * CHOOSE(CONTROL!$C$9, $D$9, 100%, $F$9) + CHOOSE(CONTROL!$C$27, 0.0021, 0)</f>
        <v>27.9039</v>
      </c>
      <c r="D117" s="10">
        <f>27.9018 * CHOOSE(CONTROL!$C$9, $D$9, 100%, $F$9) + CHOOSE(CONTROL!$C$27, 0.0021, 0)</f>
        <v>27.9039</v>
      </c>
      <c r="E117" s="10">
        <f>27.7652 * CHOOSE(CONTROL!$C$9, $D$9, 100%, $F$9) + CHOOSE(CONTROL!$C$27, 0.0021, 0)</f>
        <v>27.767299999999999</v>
      </c>
      <c r="F117" s="10">
        <f>27.7652 * CHOOSE(CONTROL!$C$9, $D$9, 100%, $F$9) + CHOOSE(CONTROL!$C$27, 0.0021, 0)</f>
        <v>27.767299999999999</v>
      </c>
      <c r="G117" s="10">
        <f>28.0365 * CHOOSE(CONTROL!$C$9, $D$9, 100%, $F$9) + CHOOSE(CONTROL!$C$27, 0.0021, 0)</f>
        <v>28.038599999999999</v>
      </c>
      <c r="H117" s="10">
        <f>27.9018 * CHOOSE(CONTROL!$C$9, $D$9, 100%, $F$9) + CHOOSE(CONTROL!$C$27, 0.0021, 0)</f>
        <v>27.9039</v>
      </c>
      <c r="I117" s="10">
        <f>27.9018 * CHOOSE(CONTROL!$C$9, $D$9, 100%, $F$9) + CHOOSE(CONTROL!$C$27, 0.0021, 0)</f>
        <v>27.9039</v>
      </c>
      <c r="J117" s="10">
        <f>27.9018 * CHOOSE(CONTROL!$C$9, $D$9, 100%, $F$9) + CHOOSE(CONTROL!$C$27, 0.0021, 0)</f>
        <v>27.9039</v>
      </c>
      <c r="K117" s="10">
        <f>27.9018 * CHOOSE(CONTROL!$C$9, $D$9, 100%, $F$9) + CHOOSE(CONTROL!$C$27, 0.0021, 0)</f>
        <v>27.9039</v>
      </c>
      <c r="L117" s="10"/>
    </row>
    <row r="118" spans="1:12" ht="15">
      <c r="A118" s="16">
        <v>44866</v>
      </c>
      <c r="B118" s="10">
        <f>28.3942 * CHOOSE(CONTROL!$C$9, $D$9, 100%, $F$9) + CHOOSE(CONTROL!$C$27, 0.0021, 0)</f>
        <v>28.3963</v>
      </c>
      <c r="C118" s="10">
        <f>27.962 * CHOOSE(CONTROL!$C$9, $D$9, 100%, $F$9) + CHOOSE(CONTROL!$C$27, 0.0021, 0)</f>
        <v>27.964099999999998</v>
      </c>
      <c r="D118" s="10">
        <f>27.962 * CHOOSE(CONTROL!$C$9, $D$9, 100%, $F$9) + CHOOSE(CONTROL!$C$27, 0.0021, 0)</f>
        <v>27.964099999999998</v>
      </c>
      <c r="E118" s="10">
        <f>27.8253 * CHOOSE(CONTROL!$C$9, $D$9, 100%, $F$9) + CHOOSE(CONTROL!$C$27, 0.0021, 0)</f>
        <v>27.827399999999997</v>
      </c>
      <c r="F118" s="10">
        <f>27.8253 * CHOOSE(CONTROL!$C$9, $D$9, 100%, $F$9) + CHOOSE(CONTROL!$C$27, 0.0021, 0)</f>
        <v>27.827399999999997</v>
      </c>
      <c r="G118" s="10">
        <f>28.0967 * CHOOSE(CONTROL!$C$9, $D$9, 100%, $F$9) + CHOOSE(CONTROL!$C$27, 0.0021, 0)</f>
        <v>28.098799999999997</v>
      </c>
      <c r="H118" s="10">
        <f>27.962 * CHOOSE(CONTROL!$C$9, $D$9, 100%, $F$9) + CHOOSE(CONTROL!$C$27, 0.0021, 0)</f>
        <v>27.964099999999998</v>
      </c>
      <c r="I118" s="10">
        <f>27.962 * CHOOSE(CONTROL!$C$9, $D$9, 100%, $F$9) + CHOOSE(CONTROL!$C$27, 0.0021, 0)</f>
        <v>27.964099999999998</v>
      </c>
      <c r="J118" s="10">
        <f>27.962 * CHOOSE(CONTROL!$C$9, $D$9, 100%, $F$9) + CHOOSE(CONTROL!$C$27, 0.0021, 0)</f>
        <v>27.964099999999998</v>
      </c>
      <c r="K118" s="10">
        <f>27.962 * CHOOSE(CONTROL!$C$9, $D$9, 100%, $F$9) + CHOOSE(CONTROL!$C$27, 0.0021, 0)</f>
        <v>27.964099999999998</v>
      </c>
      <c r="L118" s="10"/>
    </row>
    <row r="119" spans="1:12" ht="15">
      <c r="A119" s="16">
        <v>44896</v>
      </c>
      <c r="B119" s="10">
        <f>27.8824 * CHOOSE(CONTROL!$C$9, $D$9, 100%, $F$9) + CHOOSE(CONTROL!$C$27, 0.0021, 0)</f>
        <v>27.884499999999999</v>
      </c>
      <c r="C119" s="10">
        <f>27.4502 * CHOOSE(CONTROL!$C$9, $D$9, 100%, $F$9) + CHOOSE(CONTROL!$C$27, 0.0021, 0)</f>
        <v>27.452299999999997</v>
      </c>
      <c r="D119" s="10">
        <f>27.4502 * CHOOSE(CONTROL!$C$9, $D$9, 100%, $F$9) + CHOOSE(CONTROL!$C$27, 0.0021, 0)</f>
        <v>27.452299999999997</v>
      </c>
      <c r="E119" s="10">
        <f>27.3135 * CHOOSE(CONTROL!$C$9, $D$9, 100%, $F$9) + CHOOSE(CONTROL!$C$27, 0.0021, 0)</f>
        <v>27.3156</v>
      </c>
      <c r="F119" s="10">
        <f>27.3135 * CHOOSE(CONTROL!$C$9, $D$9, 100%, $F$9) + CHOOSE(CONTROL!$C$27, 0.0021, 0)</f>
        <v>27.3156</v>
      </c>
      <c r="G119" s="10">
        <f>27.5849 * CHOOSE(CONTROL!$C$9, $D$9, 100%, $F$9) + CHOOSE(CONTROL!$C$27, 0.0021, 0)</f>
        <v>27.587</v>
      </c>
      <c r="H119" s="10">
        <f>27.4502 * CHOOSE(CONTROL!$C$9, $D$9, 100%, $F$9) + CHOOSE(CONTROL!$C$27, 0.0021, 0)</f>
        <v>27.452299999999997</v>
      </c>
      <c r="I119" s="10">
        <f>27.4502 * CHOOSE(CONTROL!$C$9, $D$9, 100%, $F$9) + CHOOSE(CONTROL!$C$27, 0.0021, 0)</f>
        <v>27.452299999999997</v>
      </c>
      <c r="J119" s="10">
        <f>27.4502 * CHOOSE(CONTROL!$C$9, $D$9, 100%, $F$9) + CHOOSE(CONTROL!$C$27, 0.0021, 0)</f>
        <v>27.452299999999997</v>
      </c>
      <c r="K119" s="10">
        <f>27.4502 * CHOOSE(CONTROL!$C$9, $D$9, 100%, $F$9) + CHOOSE(CONTROL!$C$27, 0.0021, 0)</f>
        <v>27.452299999999997</v>
      </c>
      <c r="L119" s="10"/>
    </row>
    <row r="120" spans="1:12" ht="15">
      <c r="A120" s="16">
        <v>44927</v>
      </c>
      <c r="B120" s="10">
        <f>28.1898 * CHOOSE(CONTROL!$C$9, $D$9, 100%, $F$9) + CHOOSE(CONTROL!$C$27, 0.0021, 0)</f>
        <v>28.1919</v>
      </c>
      <c r="C120" s="10">
        <f>27.7575 * CHOOSE(CONTROL!$C$9, $D$9, 100%, $F$9) + CHOOSE(CONTROL!$C$27, 0.0021, 0)</f>
        <v>27.759599999999999</v>
      </c>
      <c r="D120" s="10">
        <f>27.7575 * CHOOSE(CONTROL!$C$9, $D$9, 100%, $F$9) + CHOOSE(CONTROL!$C$27, 0.0021, 0)</f>
        <v>27.759599999999999</v>
      </c>
      <c r="E120" s="10">
        <f>27.6209 * CHOOSE(CONTROL!$C$9, $D$9, 100%, $F$9) + CHOOSE(CONTROL!$C$27, 0.0021, 0)</f>
        <v>27.622999999999998</v>
      </c>
      <c r="F120" s="10">
        <f>27.6209 * CHOOSE(CONTROL!$C$9, $D$9, 100%, $F$9) + CHOOSE(CONTROL!$C$27, 0.0021, 0)</f>
        <v>27.622999999999998</v>
      </c>
      <c r="G120" s="10">
        <f>27.8922 * CHOOSE(CONTROL!$C$9, $D$9, 100%, $F$9) + CHOOSE(CONTROL!$C$27, 0.0021, 0)</f>
        <v>27.894299999999998</v>
      </c>
      <c r="H120" s="10">
        <f>27.7575 * CHOOSE(CONTROL!$C$9, $D$9, 100%, $F$9) + CHOOSE(CONTROL!$C$27, 0.0021, 0)</f>
        <v>27.759599999999999</v>
      </c>
      <c r="I120" s="10">
        <f>27.7575 * CHOOSE(CONTROL!$C$9, $D$9, 100%, $F$9) + CHOOSE(CONTROL!$C$27, 0.0021, 0)</f>
        <v>27.759599999999999</v>
      </c>
      <c r="J120" s="10">
        <f>27.7575 * CHOOSE(CONTROL!$C$9, $D$9, 100%, $F$9) + CHOOSE(CONTROL!$C$27, 0.0021, 0)</f>
        <v>27.759599999999999</v>
      </c>
      <c r="K120" s="10">
        <f>27.7575 * CHOOSE(CONTROL!$C$9, $D$9, 100%, $F$9) + CHOOSE(CONTROL!$C$27, 0.0021, 0)</f>
        <v>27.759599999999999</v>
      </c>
      <c r="L120" s="10"/>
    </row>
    <row r="121" spans="1:12" ht="15">
      <c r="A121" s="16">
        <v>44958</v>
      </c>
      <c r="B121" s="10">
        <f>27.4573 * CHOOSE(CONTROL!$C$9, $D$9, 100%, $F$9) + CHOOSE(CONTROL!$C$27, 0.0021, 0)</f>
        <v>27.459399999999999</v>
      </c>
      <c r="C121" s="10">
        <f>27.025 * CHOOSE(CONTROL!$C$9, $D$9, 100%, $F$9) + CHOOSE(CONTROL!$C$27, 0.0021, 0)</f>
        <v>27.027099999999997</v>
      </c>
      <c r="D121" s="10">
        <f>27.025 * CHOOSE(CONTROL!$C$9, $D$9, 100%, $F$9) + CHOOSE(CONTROL!$C$27, 0.0021, 0)</f>
        <v>27.027099999999997</v>
      </c>
      <c r="E121" s="10">
        <f>26.8884 * CHOOSE(CONTROL!$C$9, $D$9, 100%, $F$9) + CHOOSE(CONTROL!$C$27, 0.0021, 0)</f>
        <v>26.890499999999999</v>
      </c>
      <c r="F121" s="10">
        <f>26.8884 * CHOOSE(CONTROL!$C$9, $D$9, 100%, $F$9) + CHOOSE(CONTROL!$C$27, 0.0021, 0)</f>
        <v>26.890499999999999</v>
      </c>
      <c r="G121" s="10">
        <f>27.1597 * CHOOSE(CONTROL!$C$9, $D$9, 100%, $F$9) + CHOOSE(CONTROL!$C$27, 0.0021, 0)</f>
        <v>27.161799999999999</v>
      </c>
      <c r="H121" s="10">
        <f>27.025 * CHOOSE(CONTROL!$C$9, $D$9, 100%, $F$9) + CHOOSE(CONTROL!$C$27, 0.0021, 0)</f>
        <v>27.027099999999997</v>
      </c>
      <c r="I121" s="10">
        <f>27.025 * CHOOSE(CONTROL!$C$9, $D$9, 100%, $F$9) + CHOOSE(CONTROL!$C$27, 0.0021, 0)</f>
        <v>27.027099999999997</v>
      </c>
      <c r="J121" s="10">
        <f>27.025 * CHOOSE(CONTROL!$C$9, $D$9, 100%, $F$9) + CHOOSE(CONTROL!$C$27, 0.0021, 0)</f>
        <v>27.027099999999997</v>
      </c>
      <c r="K121" s="10">
        <f>27.025 * CHOOSE(CONTROL!$C$9, $D$9, 100%, $F$9) + CHOOSE(CONTROL!$C$27, 0.0021, 0)</f>
        <v>27.027099999999997</v>
      </c>
      <c r="L121" s="10"/>
    </row>
    <row r="122" spans="1:12" ht="15">
      <c r="A122" s="16">
        <v>44986</v>
      </c>
      <c r="B122" s="10">
        <f>27.1549 * CHOOSE(CONTROL!$C$9, $D$9, 100%, $F$9) + CHOOSE(CONTROL!$C$27, 0.0021, 0)</f>
        <v>27.157</v>
      </c>
      <c r="C122" s="10">
        <f>26.7226 * CHOOSE(CONTROL!$C$9, $D$9, 100%, $F$9) + CHOOSE(CONTROL!$C$27, 0.0021, 0)</f>
        <v>26.724699999999999</v>
      </c>
      <c r="D122" s="10">
        <f>26.7226 * CHOOSE(CONTROL!$C$9, $D$9, 100%, $F$9) + CHOOSE(CONTROL!$C$27, 0.0021, 0)</f>
        <v>26.724699999999999</v>
      </c>
      <c r="E122" s="10">
        <f>26.586 * CHOOSE(CONTROL!$C$9, $D$9, 100%, $F$9) + CHOOSE(CONTROL!$C$27, 0.0021, 0)</f>
        <v>26.588099999999997</v>
      </c>
      <c r="F122" s="10">
        <f>26.586 * CHOOSE(CONTROL!$C$9, $D$9, 100%, $F$9) + CHOOSE(CONTROL!$C$27, 0.0021, 0)</f>
        <v>26.588099999999997</v>
      </c>
      <c r="G122" s="10">
        <f>26.8573 * CHOOSE(CONTROL!$C$9, $D$9, 100%, $F$9) + CHOOSE(CONTROL!$C$27, 0.0021, 0)</f>
        <v>26.859399999999997</v>
      </c>
      <c r="H122" s="10">
        <f>26.7226 * CHOOSE(CONTROL!$C$9, $D$9, 100%, $F$9) + CHOOSE(CONTROL!$C$27, 0.0021, 0)</f>
        <v>26.724699999999999</v>
      </c>
      <c r="I122" s="10">
        <f>26.7226 * CHOOSE(CONTROL!$C$9, $D$9, 100%, $F$9) + CHOOSE(CONTROL!$C$27, 0.0021, 0)</f>
        <v>26.724699999999999</v>
      </c>
      <c r="J122" s="10">
        <f>26.7226 * CHOOSE(CONTROL!$C$9, $D$9, 100%, $F$9) + CHOOSE(CONTROL!$C$27, 0.0021, 0)</f>
        <v>26.724699999999999</v>
      </c>
      <c r="K122" s="10">
        <f>26.7226 * CHOOSE(CONTROL!$C$9, $D$9, 100%, $F$9) + CHOOSE(CONTROL!$C$27, 0.0021, 0)</f>
        <v>26.724699999999999</v>
      </c>
      <c r="L122" s="10"/>
    </row>
    <row r="123" spans="1:12" ht="15">
      <c r="A123" s="16">
        <v>45017</v>
      </c>
      <c r="B123" s="10">
        <f>26.7938 * CHOOSE(CONTROL!$C$9, $D$9, 100%, $F$9) + CHOOSE(CONTROL!$C$27, 0.0021, 0)</f>
        <v>26.7959</v>
      </c>
      <c r="C123" s="10">
        <f>26.3616 * CHOOSE(CONTROL!$C$9, $D$9, 100%, $F$9) + CHOOSE(CONTROL!$C$27, 0.0021, 0)</f>
        <v>26.363699999999998</v>
      </c>
      <c r="D123" s="10">
        <f>26.3616 * CHOOSE(CONTROL!$C$9, $D$9, 100%, $F$9) + CHOOSE(CONTROL!$C$27, 0.0021, 0)</f>
        <v>26.363699999999998</v>
      </c>
      <c r="E123" s="10">
        <f>26.2249 * CHOOSE(CONTROL!$C$9, $D$9, 100%, $F$9) + CHOOSE(CONTROL!$C$27, 0.0021, 0)</f>
        <v>26.227</v>
      </c>
      <c r="F123" s="10">
        <f>26.2249 * CHOOSE(CONTROL!$C$9, $D$9, 100%, $F$9) + CHOOSE(CONTROL!$C$27, 0.0021, 0)</f>
        <v>26.227</v>
      </c>
      <c r="G123" s="10">
        <f>26.4963 * CHOOSE(CONTROL!$C$9, $D$9, 100%, $F$9) + CHOOSE(CONTROL!$C$27, 0.0021, 0)</f>
        <v>26.4984</v>
      </c>
      <c r="H123" s="10">
        <f>26.3616 * CHOOSE(CONTROL!$C$9, $D$9, 100%, $F$9) + CHOOSE(CONTROL!$C$27, 0.0021, 0)</f>
        <v>26.363699999999998</v>
      </c>
      <c r="I123" s="10">
        <f>26.3616 * CHOOSE(CONTROL!$C$9, $D$9, 100%, $F$9) + CHOOSE(CONTROL!$C$27, 0.0021, 0)</f>
        <v>26.363699999999998</v>
      </c>
      <c r="J123" s="10">
        <f>26.3616 * CHOOSE(CONTROL!$C$9, $D$9, 100%, $F$9) + CHOOSE(CONTROL!$C$27, 0.0021, 0)</f>
        <v>26.363699999999998</v>
      </c>
      <c r="K123" s="10">
        <f>26.3616 * CHOOSE(CONTROL!$C$9, $D$9, 100%, $F$9) + CHOOSE(CONTROL!$C$27, 0.0021, 0)</f>
        <v>26.363699999999998</v>
      </c>
      <c r="L123" s="10"/>
    </row>
    <row r="124" spans="1:12" ht="15">
      <c r="A124" s="16">
        <v>45047</v>
      </c>
      <c r="B124" s="10">
        <f>27.3084 * CHOOSE(CONTROL!$C$9, $D$9, 100%, $F$9) + CHOOSE(CONTROL!$C$27, 0.0021, 0)</f>
        <v>27.310499999999998</v>
      </c>
      <c r="C124" s="10">
        <f>26.8761 * CHOOSE(CONTROL!$C$9, $D$9, 100%, $F$9) + CHOOSE(CONTROL!$C$27, 0.0021, 0)</f>
        <v>26.8782</v>
      </c>
      <c r="D124" s="10">
        <f>26.8761 * CHOOSE(CONTROL!$C$9, $D$9, 100%, $F$9) + CHOOSE(CONTROL!$C$27, 0.0021, 0)</f>
        <v>26.8782</v>
      </c>
      <c r="E124" s="10">
        <f>26.7395 * CHOOSE(CONTROL!$C$9, $D$9, 100%, $F$9) + CHOOSE(CONTROL!$C$27, 0.0021, 0)</f>
        <v>26.741599999999998</v>
      </c>
      <c r="F124" s="10">
        <f>26.7395 * CHOOSE(CONTROL!$C$9, $D$9, 100%, $F$9) + CHOOSE(CONTROL!$C$27, 0.0021, 0)</f>
        <v>26.741599999999998</v>
      </c>
      <c r="G124" s="10">
        <f>27.0108 * CHOOSE(CONTROL!$C$9, $D$9, 100%, $F$9) + CHOOSE(CONTROL!$C$27, 0.0021, 0)</f>
        <v>27.012899999999998</v>
      </c>
      <c r="H124" s="10">
        <f>26.8761 * CHOOSE(CONTROL!$C$9, $D$9, 100%, $F$9) + CHOOSE(CONTROL!$C$27, 0.0021, 0)</f>
        <v>26.8782</v>
      </c>
      <c r="I124" s="10">
        <f>26.8761 * CHOOSE(CONTROL!$C$9, $D$9, 100%, $F$9) + CHOOSE(CONTROL!$C$27, 0.0021, 0)</f>
        <v>26.8782</v>
      </c>
      <c r="J124" s="10">
        <f>26.8761 * CHOOSE(CONTROL!$C$9, $D$9, 100%, $F$9) + CHOOSE(CONTROL!$C$27, 0.0021, 0)</f>
        <v>26.8782</v>
      </c>
      <c r="K124" s="10">
        <f>26.8761 * CHOOSE(CONTROL!$C$9, $D$9, 100%, $F$9) + CHOOSE(CONTROL!$C$27, 0.0021, 0)</f>
        <v>26.8782</v>
      </c>
      <c r="L124" s="10"/>
    </row>
    <row r="125" spans="1:12" ht="15">
      <c r="A125" s="16">
        <v>45078</v>
      </c>
      <c r="B125" s="10">
        <f>27.6166 * CHOOSE(CONTROL!$C$9, $D$9, 100%, $F$9) + CHOOSE(CONTROL!$C$27, 0.0021, 0)</f>
        <v>27.618699999999997</v>
      </c>
      <c r="C125" s="10">
        <f>27.1843 * CHOOSE(CONTROL!$C$9, $D$9, 100%, $F$9) + CHOOSE(CONTROL!$C$27, 0.0021, 0)</f>
        <v>27.186399999999999</v>
      </c>
      <c r="D125" s="10">
        <f>27.1843 * CHOOSE(CONTROL!$C$9, $D$9, 100%, $F$9) + CHOOSE(CONTROL!$C$27, 0.0021, 0)</f>
        <v>27.186399999999999</v>
      </c>
      <c r="E125" s="10">
        <f>27.0477 * CHOOSE(CONTROL!$C$9, $D$9, 100%, $F$9) + CHOOSE(CONTROL!$C$27, 0.0021, 0)</f>
        <v>27.049799999999998</v>
      </c>
      <c r="F125" s="10">
        <f>27.0477 * CHOOSE(CONTROL!$C$9, $D$9, 100%, $F$9) + CHOOSE(CONTROL!$C$27, 0.0021, 0)</f>
        <v>27.049799999999998</v>
      </c>
      <c r="G125" s="10">
        <f>27.319 * CHOOSE(CONTROL!$C$9, $D$9, 100%, $F$9) + CHOOSE(CONTROL!$C$27, 0.0021, 0)</f>
        <v>27.321099999999998</v>
      </c>
      <c r="H125" s="10">
        <f>27.1843 * CHOOSE(CONTROL!$C$9, $D$9, 100%, $F$9) + CHOOSE(CONTROL!$C$27, 0.0021, 0)</f>
        <v>27.186399999999999</v>
      </c>
      <c r="I125" s="10">
        <f>27.1843 * CHOOSE(CONTROL!$C$9, $D$9, 100%, $F$9) + CHOOSE(CONTROL!$C$27, 0.0021, 0)</f>
        <v>27.186399999999999</v>
      </c>
      <c r="J125" s="10">
        <f>27.1843 * CHOOSE(CONTROL!$C$9, $D$9, 100%, $F$9) + CHOOSE(CONTROL!$C$27, 0.0021, 0)</f>
        <v>27.186399999999999</v>
      </c>
      <c r="K125" s="10">
        <f>27.1843 * CHOOSE(CONTROL!$C$9, $D$9, 100%, $F$9) + CHOOSE(CONTROL!$C$27, 0.0021, 0)</f>
        <v>27.186399999999999</v>
      </c>
      <c r="L125" s="10"/>
    </row>
    <row r="126" spans="1:12" ht="15">
      <c r="A126" s="16">
        <v>45108</v>
      </c>
      <c r="B126" s="10">
        <f>28.125 * CHOOSE(CONTROL!$C$9, $D$9, 100%, $F$9) + CHOOSE(CONTROL!$C$27, 0.0021, 0)</f>
        <v>28.127099999999999</v>
      </c>
      <c r="C126" s="10">
        <f>27.6927 * CHOOSE(CONTROL!$C$9, $D$9, 100%, $F$9) + CHOOSE(CONTROL!$C$27, 0.0021, 0)</f>
        <v>27.694799999999997</v>
      </c>
      <c r="D126" s="10">
        <f>27.6927 * CHOOSE(CONTROL!$C$9, $D$9, 100%, $F$9) + CHOOSE(CONTROL!$C$27, 0.0021, 0)</f>
        <v>27.694799999999997</v>
      </c>
      <c r="E126" s="10">
        <f>27.5561 * CHOOSE(CONTROL!$C$9, $D$9, 100%, $F$9) + CHOOSE(CONTROL!$C$27, 0.0021, 0)</f>
        <v>27.558199999999999</v>
      </c>
      <c r="F126" s="10">
        <f>27.5561 * CHOOSE(CONTROL!$C$9, $D$9, 100%, $F$9) + CHOOSE(CONTROL!$C$27, 0.0021, 0)</f>
        <v>27.558199999999999</v>
      </c>
      <c r="G126" s="10">
        <f>27.8274 * CHOOSE(CONTROL!$C$9, $D$9, 100%, $F$9) + CHOOSE(CONTROL!$C$27, 0.0021, 0)</f>
        <v>27.829499999999999</v>
      </c>
      <c r="H126" s="10">
        <f>27.6927 * CHOOSE(CONTROL!$C$9, $D$9, 100%, $F$9) + CHOOSE(CONTROL!$C$27, 0.0021, 0)</f>
        <v>27.694799999999997</v>
      </c>
      <c r="I126" s="10">
        <f>27.6927 * CHOOSE(CONTROL!$C$9, $D$9, 100%, $F$9) + CHOOSE(CONTROL!$C$27, 0.0021, 0)</f>
        <v>27.694799999999997</v>
      </c>
      <c r="J126" s="10">
        <f>27.6927 * CHOOSE(CONTROL!$C$9, $D$9, 100%, $F$9) + CHOOSE(CONTROL!$C$27, 0.0021, 0)</f>
        <v>27.694799999999997</v>
      </c>
      <c r="K126" s="10">
        <f>27.6927 * CHOOSE(CONTROL!$C$9, $D$9, 100%, $F$9) + CHOOSE(CONTROL!$C$27, 0.0021, 0)</f>
        <v>27.694799999999997</v>
      </c>
      <c r="L126" s="10"/>
    </row>
    <row r="127" spans="1:12" ht="15">
      <c r="A127" s="16">
        <v>45139</v>
      </c>
      <c r="B127" s="10">
        <f>28.2801 * CHOOSE(CONTROL!$C$9, $D$9, 100%, $F$9) + CHOOSE(CONTROL!$C$27, 0.0021, 0)</f>
        <v>28.2822</v>
      </c>
      <c r="C127" s="10">
        <f>27.8479 * CHOOSE(CONTROL!$C$9, $D$9, 100%, $F$9) + CHOOSE(CONTROL!$C$27, 0.0021, 0)</f>
        <v>27.849999999999998</v>
      </c>
      <c r="D127" s="10">
        <f>27.8479 * CHOOSE(CONTROL!$C$9, $D$9, 100%, $F$9) + CHOOSE(CONTROL!$C$27, 0.0021, 0)</f>
        <v>27.849999999999998</v>
      </c>
      <c r="E127" s="10">
        <f>27.7112 * CHOOSE(CONTROL!$C$9, $D$9, 100%, $F$9) + CHOOSE(CONTROL!$C$27, 0.0021, 0)</f>
        <v>27.7133</v>
      </c>
      <c r="F127" s="10">
        <f>27.7112 * CHOOSE(CONTROL!$C$9, $D$9, 100%, $F$9) + CHOOSE(CONTROL!$C$27, 0.0021, 0)</f>
        <v>27.7133</v>
      </c>
      <c r="G127" s="10">
        <f>27.9826 * CHOOSE(CONTROL!$C$9, $D$9, 100%, $F$9) + CHOOSE(CONTROL!$C$27, 0.0021, 0)</f>
        <v>27.9847</v>
      </c>
      <c r="H127" s="10">
        <f>27.8479 * CHOOSE(CONTROL!$C$9, $D$9, 100%, $F$9) + CHOOSE(CONTROL!$C$27, 0.0021, 0)</f>
        <v>27.849999999999998</v>
      </c>
      <c r="I127" s="10">
        <f>27.8479 * CHOOSE(CONTROL!$C$9, $D$9, 100%, $F$9) + CHOOSE(CONTROL!$C$27, 0.0021, 0)</f>
        <v>27.849999999999998</v>
      </c>
      <c r="J127" s="10">
        <f>27.8479 * CHOOSE(CONTROL!$C$9, $D$9, 100%, $F$9) + CHOOSE(CONTROL!$C$27, 0.0021, 0)</f>
        <v>27.849999999999998</v>
      </c>
      <c r="K127" s="10">
        <f>27.8479 * CHOOSE(CONTROL!$C$9, $D$9, 100%, $F$9) + CHOOSE(CONTROL!$C$27, 0.0021, 0)</f>
        <v>27.849999999999998</v>
      </c>
      <c r="L127" s="10"/>
    </row>
    <row r="128" spans="1:12" ht="15">
      <c r="A128" s="16">
        <v>45170</v>
      </c>
      <c r="B128" s="10">
        <f>28.8086 * CHOOSE(CONTROL!$C$9, $D$9, 100%, $F$9) + CHOOSE(CONTROL!$C$27, 0.0021, 0)</f>
        <v>28.810699999999997</v>
      </c>
      <c r="C128" s="10">
        <f>28.3764 * CHOOSE(CONTROL!$C$9, $D$9, 100%, $F$9) + CHOOSE(CONTROL!$C$27, 0.0021, 0)</f>
        <v>28.378499999999999</v>
      </c>
      <c r="D128" s="10">
        <f>28.3764 * CHOOSE(CONTROL!$C$9, $D$9, 100%, $F$9) + CHOOSE(CONTROL!$C$27, 0.0021, 0)</f>
        <v>28.378499999999999</v>
      </c>
      <c r="E128" s="10">
        <f>28.2397 * CHOOSE(CONTROL!$C$9, $D$9, 100%, $F$9) + CHOOSE(CONTROL!$C$27, 0.0021, 0)</f>
        <v>28.241799999999998</v>
      </c>
      <c r="F128" s="10">
        <f>28.2397 * CHOOSE(CONTROL!$C$9, $D$9, 100%, $F$9) + CHOOSE(CONTROL!$C$27, 0.0021, 0)</f>
        <v>28.241799999999998</v>
      </c>
      <c r="G128" s="10">
        <f>28.5111 * CHOOSE(CONTROL!$C$9, $D$9, 100%, $F$9) + CHOOSE(CONTROL!$C$27, 0.0021, 0)</f>
        <v>28.513199999999998</v>
      </c>
      <c r="H128" s="10">
        <f>28.3764 * CHOOSE(CONTROL!$C$9, $D$9, 100%, $F$9) + CHOOSE(CONTROL!$C$27, 0.0021, 0)</f>
        <v>28.378499999999999</v>
      </c>
      <c r="I128" s="10">
        <f>28.3764 * CHOOSE(CONTROL!$C$9, $D$9, 100%, $F$9) + CHOOSE(CONTROL!$C$27, 0.0021, 0)</f>
        <v>28.378499999999999</v>
      </c>
      <c r="J128" s="10">
        <f>28.3764 * CHOOSE(CONTROL!$C$9, $D$9, 100%, $F$9) + CHOOSE(CONTROL!$C$27, 0.0021, 0)</f>
        <v>28.378499999999999</v>
      </c>
      <c r="K128" s="10">
        <f>28.3764 * CHOOSE(CONTROL!$C$9, $D$9, 100%, $F$9) + CHOOSE(CONTROL!$C$27, 0.0021, 0)</f>
        <v>28.378499999999999</v>
      </c>
      <c r="L128" s="10"/>
    </row>
    <row r="129" spans="1:12" ht="15">
      <c r="A129" s="16">
        <v>45200</v>
      </c>
      <c r="B129" s="10">
        <f>29.4775 * CHOOSE(CONTROL!$C$9, $D$9, 100%, $F$9) + CHOOSE(CONTROL!$C$27, 0.0021, 0)</f>
        <v>29.479599999999998</v>
      </c>
      <c r="C129" s="10">
        <f>29.0453 * CHOOSE(CONTROL!$C$9, $D$9, 100%, $F$9) + CHOOSE(CONTROL!$C$27, 0.0021, 0)</f>
        <v>29.0474</v>
      </c>
      <c r="D129" s="10">
        <f>29.0453 * CHOOSE(CONTROL!$C$9, $D$9, 100%, $F$9) + CHOOSE(CONTROL!$C$27, 0.0021, 0)</f>
        <v>29.0474</v>
      </c>
      <c r="E129" s="10">
        <f>28.9086 * CHOOSE(CONTROL!$C$9, $D$9, 100%, $F$9) + CHOOSE(CONTROL!$C$27, 0.0021, 0)</f>
        <v>28.910699999999999</v>
      </c>
      <c r="F129" s="10">
        <f>28.9086 * CHOOSE(CONTROL!$C$9, $D$9, 100%, $F$9) + CHOOSE(CONTROL!$C$27, 0.0021, 0)</f>
        <v>28.910699999999999</v>
      </c>
      <c r="G129" s="10">
        <f>29.18 * CHOOSE(CONTROL!$C$9, $D$9, 100%, $F$9) + CHOOSE(CONTROL!$C$27, 0.0021, 0)</f>
        <v>29.182099999999998</v>
      </c>
      <c r="H129" s="10">
        <f>29.0453 * CHOOSE(CONTROL!$C$9, $D$9, 100%, $F$9) + CHOOSE(CONTROL!$C$27, 0.0021, 0)</f>
        <v>29.0474</v>
      </c>
      <c r="I129" s="10">
        <f>29.0453 * CHOOSE(CONTROL!$C$9, $D$9, 100%, $F$9) + CHOOSE(CONTROL!$C$27, 0.0021, 0)</f>
        <v>29.0474</v>
      </c>
      <c r="J129" s="10">
        <f>29.0453 * CHOOSE(CONTROL!$C$9, $D$9, 100%, $F$9) + CHOOSE(CONTROL!$C$27, 0.0021, 0)</f>
        <v>29.0474</v>
      </c>
      <c r="K129" s="10">
        <f>29.0453 * CHOOSE(CONTROL!$C$9, $D$9, 100%, $F$9) + CHOOSE(CONTROL!$C$27, 0.0021, 0)</f>
        <v>29.0474</v>
      </c>
      <c r="L129" s="10"/>
    </row>
    <row r="130" spans="1:12" ht="15">
      <c r="A130" s="16">
        <v>45231</v>
      </c>
      <c r="B130" s="10">
        <f>29.5403 * CHOOSE(CONTROL!$C$9, $D$9, 100%, $F$9) + CHOOSE(CONTROL!$C$27, 0.0021, 0)</f>
        <v>29.542399999999997</v>
      </c>
      <c r="C130" s="10">
        <f>29.1081 * CHOOSE(CONTROL!$C$9, $D$9, 100%, $F$9) + CHOOSE(CONTROL!$C$27, 0.0021, 0)</f>
        <v>29.110199999999999</v>
      </c>
      <c r="D130" s="10">
        <f>29.1081 * CHOOSE(CONTROL!$C$9, $D$9, 100%, $F$9) + CHOOSE(CONTROL!$C$27, 0.0021, 0)</f>
        <v>29.110199999999999</v>
      </c>
      <c r="E130" s="10">
        <f>28.9714 * CHOOSE(CONTROL!$C$9, $D$9, 100%, $F$9) + CHOOSE(CONTROL!$C$27, 0.0021, 0)</f>
        <v>28.973499999999998</v>
      </c>
      <c r="F130" s="10">
        <f>28.9714 * CHOOSE(CONTROL!$C$9, $D$9, 100%, $F$9) + CHOOSE(CONTROL!$C$27, 0.0021, 0)</f>
        <v>28.973499999999998</v>
      </c>
      <c r="G130" s="10">
        <f>29.2428 * CHOOSE(CONTROL!$C$9, $D$9, 100%, $F$9) + CHOOSE(CONTROL!$C$27, 0.0021, 0)</f>
        <v>29.244899999999998</v>
      </c>
      <c r="H130" s="10">
        <f>29.1081 * CHOOSE(CONTROL!$C$9, $D$9, 100%, $F$9) + CHOOSE(CONTROL!$C$27, 0.0021, 0)</f>
        <v>29.110199999999999</v>
      </c>
      <c r="I130" s="10">
        <f>29.1081 * CHOOSE(CONTROL!$C$9, $D$9, 100%, $F$9) + CHOOSE(CONTROL!$C$27, 0.0021, 0)</f>
        <v>29.110199999999999</v>
      </c>
      <c r="J130" s="10">
        <f>29.1081 * CHOOSE(CONTROL!$C$9, $D$9, 100%, $F$9) + CHOOSE(CONTROL!$C$27, 0.0021, 0)</f>
        <v>29.110199999999999</v>
      </c>
      <c r="K130" s="10">
        <f>29.1081 * CHOOSE(CONTROL!$C$9, $D$9, 100%, $F$9) + CHOOSE(CONTROL!$C$27, 0.0021, 0)</f>
        <v>29.110199999999999</v>
      </c>
      <c r="L130" s="10"/>
    </row>
    <row r="131" spans="1:12" ht="15">
      <c r="A131" s="16">
        <v>45261</v>
      </c>
      <c r="B131" s="10">
        <f>29.0061 * CHOOSE(CONTROL!$C$9, $D$9, 100%, $F$9) + CHOOSE(CONTROL!$C$27, 0.0021, 0)</f>
        <v>29.008199999999999</v>
      </c>
      <c r="C131" s="10">
        <f>28.5738 * CHOOSE(CONTROL!$C$9, $D$9, 100%, $F$9) + CHOOSE(CONTROL!$C$27, 0.0021, 0)</f>
        <v>28.575899999999997</v>
      </c>
      <c r="D131" s="10">
        <f>28.5738 * CHOOSE(CONTROL!$C$9, $D$9, 100%, $F$9) + CHOOSE(CONTROL!$C$27, 0.0021, 0)</f>
        <v>28.575899999999997</v>
      </c>
      <c r="E131" s="10">
        <f>28.4372 * CHOOSE(CONTROL!$C$9, $D$9, 100%, $F$9) + CHOOSE(CONTROL!$C$27, 0.0021, 0)</f>
        <v>28.439299999999999</v>
      </c>
      <c r="F131" s="10">
        <f>28.4372 * CHOOSE(CONTROL!$C$9, $D$9, 100%, $F$9) + CHOOSE(CONTROL!$C$27, 0.0021, 0)</f>
        <v>28.439299999999999</v>
      </c>
      <c r="G131" s="10">
        <f>28.7085 * CHOOSE(CONTROL!$C$9, $D$9, 100%, $F$9) + CHOOSE(CONTROL!$C$27, 0.0021, 0)</f>
        <v>28.710599999999999</v>
      </c>
      <c r="H131" s="10">
        <f>28.5738 * CHOOSE(CONTROL!$C$9, $D$9, 100%, $F$9) + CHOOSE(CONTROL!$C$27, 0.0021, 0)</f>
        <v>28.575899999999997</v>
      </c>
      <c r="I131" s="10">
        <f>28.5738 * CHOOSE(CONTROL!$C$9, $D$9, 100%, $F$9) + CHOOSE(CONTROL!$C$27, 0.0021, 0)</f>
        <v>28.575899999999997</v>
      </c>
      <c r="J131" s="10">
        <f>28.5738 * CHOOSE(CONTROL!$C$9, $D$9, 100%, $F$9) + CHOOSE(CONTROL!$C$27, 0.0021, 0)</f>
        <v>28.575899999999997</v>
      </c>
      <c r="K131" s="10">
        <f>28.5738 * CHOOSE(CONTROL!$C$9, $D$9, 100%, $F$9) + CHOOSE(CONTROL!$C$27, 0.0021, 0)</f>
        <v>28.575899999999997</v>
      </c>
      <c r="L131" s="10"/>
    </row>
    <row r="132" spans="1:12" ht="15">
      <c r="A132" s="16">
        <v>45292</v>
      </c>
      <c r="B132" s="10">
        <f>29.2241 * CHOOSE(CONTROL!$C$9, $D$9, 100%, $F$9) + CHOOSE(CONTROL!$C$27, 0.0021, 0)</f>
        <v>29.226199999999999</v>
      </c>
      <c r="C132" s="10">
        <f>28.7919 * CHOOSE(CONTROL!$C$9, $D$9, 100%, $F$9) + CHOOSE(CONTROL!$C$27, 0.0021, 0)</f>
        <v>28.793999999999997</v>
      </c>
      <c r="D132" s="10">
        <f>28.7919 * CHOOSE(CONTROL!$C$9, $D$9, 100%, $F$9) + CHOOSE(CONTROL!$C$27, 0.0021, 0)</f>
        <v>28.793999999999997</v>
      </c>
      <c r="E132" s="10">
        <f>28.6552 * CHOOSE(CONTROL!$C$9, $D$9, 100%, $F$9) + CHOOSE(CONTROL!$C$27, 0.0021, 0)</f>
        <v>28.657299999999999</v>
      </c>
      <c r="F132" s="10">
        <f>28.6552 * CHOOSE(CONTROL!$C$9, $D$9, 100%, $F$9) + CHOOSE(CONTROL!$C$27, 0.0021, 0)</f>
        <v>28.657299999999999</v>
      </c>
      <c r="G132" s="10">
        <f>28.9266 * CHOOSE(CONTROL!$C$9, $D$9, 100%, $F$9) + CHOOSE(CONTROL!$C$27, 0.0021, 0)</f>
        <v>28.928699999999999</v>
      </c>
      <c r="H132" s="10">
        <f>28.7919 * CHOOSE(CONTROL!$C$9, $D$9, 100%, $F$9) + CHOOSE(CONTROL!$C$27, 0.0021, 0)</f>
        <v>28.793999999999997</v>
      </c>
      <c r="I132" s="10">
        <f>28.7919 * CHOOSE(CONTROL!$C$9, $D$9, 100%, $F$9) + CHOOSE(CONTROL!$C$27, 0.0021, 0)</f>
        <v>28.793999999999997</v>
      </c>
      <c r="J132" s="10">
        <f>28.7919 * CHOOSE(CONTROL!$C$9, $D$9, 100%, $F$9) + CHOOSE(CONTROL!$C$27, 0.0021, 0)</f>
        <v>28.793999999999997</v>
      </c>
      <c r="K132" s="10">
        <f>28.7919 * CHOOSE(CONTROL!$C$9, $D$9, 100%, $F$9) + CHOOSE(CONTROL!$C$27, 0.0021, 0)</f>
        <v>28.793999999999997</v>
      </c>
      <c r="L132" s="10"/>
    </row>
    <row r="133" spans="1:12" ht="15">
      <c r="A133" s="16">
        <v>45323</v>
      </c>
      <c r="B133" s="10">
        <f>28.4623 * CHOOSE(CONTROL!$C$9, $D$9, 100%, $F$9) + CHOOSE(CONTROL!$C$27, 0.0021, 0)</f>
        <v>28.464399999999998</v>
      </c>
      <c r="C133" s="10">
        <f>28.0301 * CHOOSE(CONTROL!$C$9, $D$9, 100%, $F$9) + CHOOSE(CONTROL!$C$27, 0.0021, 0)</f>
        <v>28.0322</v>
      </c>
      <c r="D133" s="10">
        <f>28.0301 * CHOOSE(CONTROL!$C$9, $D$9, 100%, $F$9) + CHOOSE(CONTROL!$C$27, 0.0021, 0)</f>
        <v>28.0322</v>
      </c>
      <c r="E133" s="10">
        <f>27.8934 * CHOOSE(CONTROL!$C$9, $D$9, 100%, $F$9) + CHOOSE(CONTROL!$C$27, 0.0021, 0)</f>
        <v>27.895499999999998</v>
      </c>
      <c r="F133" s="10">
        <f>27.8934 * CHOOSE(CONTROL!$C$9, $D$9, 100%, $F$9) + CHOOSE(CONTROL!$C$27, 0.0021, 0)</f>
        <v>27.895499999999998</v>
      </c>
      <c r="G133" s="10">
        <f>28.1648 * CHOOSE(CONTROL!$C$9, $D$9, 100%, $F$9) + CHOOSE(CONTROL!$C$27, 0.0021, 0)</f>
        <v>28.166899999999998</v>
      </c>
      <c r="H133" s="10">
        <f>28.0301 * CHOOSE(CONTROL!$C$9, $D$9, 100%, $F$9) + CHOOSE(CONTROL!$C$27, 0.0021, 0)</f>
        <v>28.0322</v>
      </c>
      <c r="I133" s="10">
        <f>28.0301 * CHOOSE(CONTROL!$C$9, $D$9, 100%, $F$9) + CHOOSE(CONTROL!$C$27, 0.0021, 0)</f>
        <v>28.0322</v>
      </c>
      <c r="J133" s="10">
        <f>28.0301 * CHOOSE(CONTROL!$C$9, $D$9, 100%, $F$9) + CHOOSE(CONTROL!$C$27, 0.0021, 0)</f>
        <v>28.0322</v>
      </c>
      <c r="K133" s="10">
        <f>28.0301 * CHOOSE(CONTROL!$C$9, $D$9, 100%, $F$9) + CHOOSE(CONTROL!$C$27, 0.0021, 0)</f>
        <v>28.0322</v>
      </c>
      <c r="L133" s="10"/>
    </row>
    <row r="134" spans="1:12" ht="15">
      <c r="A134" s="16">
        <v>45352</v>
      </c>
      <c r="B134" s="10">
        <f>28.1479 * CHOOSE(CONTROL!$C$9, $D$9, 100%, $F$9) + CHOOSE(CONTROL!$C$27, 0.0021, 0)</f>
        <v>28.15</v>
      </c>
      <c r="C134" s="10">
        <f>27.7156 * CHOOSE(CONTROL!$C$9, $D$9, 100%, $F$9) + CHOOSE(CONTROL!$C$27, 0.0021, 0)</f>
        <v>27.717699999999997</v>
      </c>
      <c r="D134" s="10">
        <f>27.7156 * CHOOSE(CONTROL!$C$9, $D$9, 100%, $F$9) + CHOOSE(CONTROL!$C$27, 0.0021, 0)</f>
        <v>27.717699999999997</v>
      </c>
      <c r="E134" s="10">
        <f>27.579 * CHOOSE(CONTROL!$C$9, $D$9, 100%, $F$9) + CHOOSE(CONTROL!$C$27, 0.0021, 0)</f>
        <v>27.581099999999999</v>
      </c>
      <c r="F134" s="10">
        <f>27.579 * CHOOSE(CONTROL!$C$9, $D$9, 100%, $F$9) + CHOOSE(CONTROL!$C$27, 0.0021, 0)</f>
        <v>27.581099999999999</v>
      </c>
      <c r="G134" s="10">
        <f>27.8503 * CHOOSE(CONTROL!$C$9, $D$9, 100%, $F$9) + CHOOSE(CONTROL!$C$27, 0.0021, 0)</f>
        <v>27.852399999999999</v>
      </c>
      <c r="H134" s="10">
        <f>27.7156 * CHOOSE(CONTROL!$C$9, $D$9, 100%, $F$9) + CHOOSE(CONTROL!$C$27, 0.0021, 0)</f>
        <v>27.717699999999997</v>
      </c>
      <c r="I134" s="10">
        <f>27.7156 * CHOOSE(CONTROL!$C$9, $D$9, 100%, $F$9) + CHOOSE(CONTROL!$C$27, 0.0021, 0)</f>
        <v>27.717699999999997</v>
      </c>
      <c r="J134" s="10">
        <f>27.7156 * CHOOSE(CONTROL!$C$9, $D$9, 100%, $F$9) + CHOOSE(CONTROL!$C$27, 0.0021, 0)</f>
        <v>27.717699999999997</v>
      </c>
      <c r="K134" s="10">
        <f>27.7156 * CHOOSE(CONTROL!$C$9, $D$9, 100%, $F$9) + CHOOSE(CONTROL!$C$27, 0.0021, 0)</f>
        <v>27.717699999999997</v>
      </c>
      <c r="L134" s="10"/>
    </row>
    <row r="135" spans="1:12" ht="15">
      <c r="A135" s="16">
        <v>45383</v>
      </c>
      <c r="B135" s="10">
        <f>27.7724 * CHOOSE(CONTROL!$C$9, $D$9, 100%, $F$9) + CHOOSE(CONTROL!$C$27, 0.0021, 0)</f>
        <v>27.7745</v>
      </c>
      <c r="C135" s="10">
        <f>27.3401 * CHOOSE(CONTROL!$C$9, $D$9, 100%, $F$9) + CHOOSE(CONTROL!$C$27, 0.0021, 0)</f>
        <v>27.342199999999998</v>
      </c>
      <c r="D135" s="10">
        <f>27.3401 * CHOOSE(CONTROL!$C$9, $D$9, 100%, $F$9) + CHOOSE(CONTROL!$C$27, 0.0021, 0)</f>
        <v>27.342199999999998</v>
      </c>
      <c r="E135" s="10">
        <f>27.2035 * CHOOSE(CONTROL!$C$9, $D$9, 100%, $F$9) + CHOOSE(CONTROL!$C$27, 0.0021, 0)</f>
        <v>27.205599999999997</v>
      </c>
      <c r="F135" s="10">
        <f>27.2035 * CHOOSE(CONTROL!$C$9, $D$9, 100%, $F$9) + CHOOSE(CONTROL!$C$27, 0.0021, 0)</f>
        <v>27.205599999999997</v>
      </c>
      <c r="G135" s="10">
        <f>27.4749 * CHOOSE(CONTROL!$C$9, $D$9, 100%, $F$9) + CHOOSE(CONTROL!$C$27, 0.0021, 0)</f>
        <v>27.477</v>
      </c>
      <c r="H135" s="10">
        <f>27.3401 * CHOOSE(CONTROL!$C$9, $D$9, 100%, $F$9) + CHOOSE(CONTROL!$C$27, 0.0021, 0)</f>
        <v>27.342199999999998</v>
      </c>
      <c r="I135" s="10">
        <f>27.3401 * CHOOSE(CONTROL!$C$9, $D$9, 100%, $F$9) + CHOOSE(CONTROL!$C$27, 0.0021, 0)</f>
        <v>27.342199999999998</v>
      </c>
      <c r="J135" s="10">
        <f>27.3401 * CHOOSE(CONTROL!$C$9, $D$9, 100%, $F$9) + CHOOSE(CONTROL!$C$27, 0.0021, 0)</f>
        <v>27.342199999999998</v>
      </c>
      <c r="K135" s="10">
        <f>27.3401 * CHOOSE(CONTROL!$C$9, $D$9, 100%, $F$9) + CHOOSE(CONTROL!$C$27, 0.0021, 0)</f>
        <v>27.342199999999998</v>
      </c>
      <c r="L135" s="10"/>
    </row>
    <row r="136" spans="1:12" ht="15">
      <c r="A136" s="16">
        <v>45413</v>
      </c>
      <c r="B136" s="10">
        <f>28.3075 * CHOOSE(CONTROL!$C$9, $D$9, 100%, $F$9) + CHOOSE(CONTROL!$C$27, 0.0021, 0)</f>
        <v>28.3096</v>
      </c>
      <c r="C136" s="10">
        <f>27.8752 * CHOOSE(CONTROL!$C$9, $D$9, 100%, $F$9) + CHOOSE(CONTROL!$C$27, 0.0021, 0)</f>
        <v>27.877299999999998</v>
      </c>
      <c r="D136" s="10">
        <f>27.8752 * CHOOSE(CONTROL!$C$9, $D$9, 100%, $F$9) + CHOOSE(CONTROL!$C$27, 0.0021, 0)</f>
        <v>27.877299999999998</v>
      </c>
      <c r="E136" s="10">
        <f>27.7386 * CHOOSE(CONTROL!$C$9, $D$9, 100%, $F$9) + CHOOSE(CONTROL!$C$27, 0.0021, 0)</f>
        <v>27.7407</v>
      </c>
      <c r="F136" s="10">
        <f>27.7386 * CHOOSE(CONTROL!$C$9, $D$9, 100%, $F$9) + CHOOSE(CONTROL!$C$27, 0.0021, 0)</f>
        <v>27.7407</v>
      </c>
      <c r="G136" s="10">
        <f>28.01 * CHOOSE(CONTROL!$C$9, $D$9, 100%, $F$9) + CHOOSE(CONTROL!$C$27, 0.0021, 0)</f>
        <v>28.0121</v>
      </c>
      <c r="H136" s="10">
        <f>27.8752 * CHOOSE(CONTROL!$C$9, $D$9, 100%, $F$9) + CHOOSE(CONTROL!$C$27, 0.0021, 0)</f>
        <v>27.877299999999998</v>
      </c>
      <c r="I136" s="10">
        <f>27.8752 * CHOOSE(CONTROL!$C$9, $D$9, 100%, $F$9) + CHOOSE(CONTROL!$C$27, 0.0021, 0)</f>
        <v>27.877299999999998</v>
      </c>
      <c r="J136" s="10">
        <f>27.8752 * CHOOSE(CONTROL!$C$9, $D$9, 100%, $F$9) + CHOOSE(CONTROL!$C$27, 0.0021, 0)</f>
        <v>27.877299999999998</v>
      </c>
      <c r="K136" s="10">
        <f>27.8752 * CHOOSE(CONTROL!$C$9, $D$9, 100%, $F$9) + CHOOSE(CONTROL!$C$27, 0.0021, 0)</f>
        <v>27.877299999999998</v>
      </c>
      <c r="L136" s="10"/>
    </row>
    <row r="137" spans="1:12" ht="15">
      <c r="A137" s="16">
        <v>45444</v>
      </c>
      <c r="B137" s="10">
        <f>28.628 * CHOOSE(CONTROL!$C$9, $D$9, 100%, $F$9) + CHOOSE(CONTROL!$C$27, 0.0021, 0)</f>
        <v>28.630099999999999</v>
      </c>
      <c r="C137" s="10">
        <f>28.1957 * CHOOSE(CONTROL!$C$9, $D$9, 100%, $F$9) + CHOOSE(CONTROL!$C$27, 0.0021, 0)</f>
        <v>28.197799999999997</v>
      </c>
      <c r="D137" s="10">
        <f>28.1957 * CHOOSE(CONTROL!$C$9, $D$9, 100%, $F$9) + CHOOSE(CONTROL!$C$27, 0.0021, 0)</f>
        <v>28.197799999999997</v>
      </c>
      <c r="E137" s="10">
        <f>28.0591 * CHOOSE(CONTROL!$C$9, $D$9, 100%, $F$9) + CHOOSE(CONTROL!$C$27, 0.0021, 0)</f>
        <v>28.061199999999999</v>
      </c>
      <c r="F137" s="10">
        <f>28.0591 * CHOOSE(CONTROL!$C$9, $D$9, 100%, $F$9) + CHOOSE(CONTROL!$C$27, 0.0021, 0)</f>
        <v>28.061199999999999</v>
      </c>
      <c r="G137" s="10">
        <f>28.3305 * CHOOSE(CONTROL!$C$9, $D$9, 100%, $F$9) + CHOOSE(CONTROL!$C$27, 0.0021, 0)</f>
        <v>28.332599999999999</v>
      </c>
      <c r="H137" s="10">
        <f>28.1957 * CHOOSE(CONTROL!$C$9, $D$9, 100%, $F$9) + CHOOSE(CONTROL!$C$27, 0.0021, 0)</f>
        <v>28.197799999999997</v>
      </c>
      <c r="I137" s="10">
        <f>28.1957 * CHOOSE(CONTROL!$C$9, $D$9, 100%, $F$9) + CHOOSE(CONTROL!$C$27, 0.0021, 0)</f>
        <v>28.197799999999997</v>
      </c>
      <c r="J137" s="10">
        <f>28.1957 * CHOOSE(CONTROL!$C$9, $D$9, 100%, $F$9) + CHOOSE(CONTROL!$C$27, 0.0021, 0)</f>
        <v>28.197799999999997</v>
      </c>
      <c r="K137" s="10">
        <f>28.1957 * CHOOSE(CONTROL!$C$9, $D$9, 100%, $F$9) + CHOOSE(CONTROL!$C$27, 0.0021, 0)</f>
        <v>28.197799999999997</v>
      </c>
      <c r="L137" s="10"/>
    </row>
    <row r="138" spans="1:12" ht="15">
      <c r="A138" s="16">
        <v>45474</v>
      </c>
      <c r="B138" s="10">
        <f>29.1567 * CHOOSE(CONTROL!$C$9, $D$9, 100%, $F$9) + CHOOSE(CONTROL!$C$27, 0.0021, 0)</f>
        <v>29.158799999999999</v>
      </c>
      <c r="C138" s="10">
        <f>28.7244 * CHOOSE(CONTROL!$C$9, $D$9, 100%, $F$9) + CHOOSE(CONTROL!$C$27, 0.0021, 0)</f>
        <v>28.726499999999998</v>
      </c>
      <c r="D138" s="10">
        <f>28.7244 * CHOOSE(CONTROL!$C$9, $D$9, 100%, $F$9) + CHOOSE(CONTROL!$C$27, 0.0021, 0)</f>
        <v>28.726499999999998</v>
      </c>
      <c r="E138" s="10">
        <f>28.5878 * CHOOSE(CONTROL!$C$9, $D$9, 100%, $F$9) + CHOOSE(CONTROL!$C$27, 0.0021, 0)</f>
        <v>28.5899</v>
      </c>
      <c r="F138" s="10">
        <f>28.5878 * CHOOSE(CONTROL!$C$9, $D$9, 100%, $F$9) + CHOOSE(CONTROL!$C$27, 0.0021, 0)</f>
        <v>28.5899</v>
      </c>
      <c r="G138" s="10">
        <f>28.8592 * CHOOSE(CONTROL!$C$9, $D$9, 100%, $F$9) + CHOOSE(CONTROL!$C$27, 0.0021, 0)</f>
        <v>28.8613</v>
      </c>
      <c r="H138" s="10">
        <f>28.7244 * CHOOSE(CONTROL!$C$9, $D$9, 100%, $F$9) + CHOOSE(CONTROL!$C$27, 0.0021, 0)</f>
        <v>28.726499999999998</v>
      </c>
      <c r="I138" s="10">
        <f>28.7244 * CHOOSE(CONTROL!$C$9, $D$9, 100%, $F$9) + CHOOSE(CONTROL!$C$27, 0.0021, 0)</f>
        <v>28.726499999999998</v>
      </c>
      <c r="J138" s="10">
        <f>28.7244 * CHOOSE(CONTROL!$C$9, $D$9, 100%, $F$9) + CHOOSE(CONTROL!$C$27, 0.0021, 0)</f>
        <v>28.726499999999998</v>
      </c>
      <c r="K138" s="10">
        <f>28.7244 * CHOOSE(CONTROL!$C$9, $D$9, 100%, $F$9) + CHOOSE(CONTROL!$C$27, 0.0021, 0)</f>
        <v>28.726499999999998</v>
      </c>
      <c r="L138" s="10"/>
    </row>
    <row r="139" spans="1:12" ht="15">
      <c r="A139" s="16">
        <v>45505</v>
      </c>
      <c r="B139" s="10">
        <f>29.3181 * CHOOSE(CONTROL!$C$9, $D$9, 100%, $F$9) + CHOOSE(CONTROL!$C$27, 0.0021, 0)</f>
        <v>29.3202</v>
      </c>
      <c r="C139" s="10">
        <f>28.8858 * CHOOSE(CONTROL!$C$9, $D$9, 100%, $F$9) + CHOOSE(CONTROL!$C$27, 0.0021, 0)</f>
        <v>28.887899999999998</v>
      </c>
      <c r="D139" s="10">
        <f>28.8858 * CHOOSE(CONTROL!$C$9, $D$9, 100%, $F$9) + CHOOSE(CONTROL!$C$27, 0.0021, 0)</f>
        <v>28.887899999999998</v>
      </c>
      <c r="E139" s="10">
        <f>28.7492 * CHOOSE(CONTROL!$C$9, $D$9, 100%, $F$9) + CHOOSE(CONTROL!$C$27, 0.0021, 0)</f>
        <v>28.751299999999997</v>
      </c>
      <c r="F139" s="10">
        <f>28.7492 * CHOOSE(CONTROL!$C$9, $D$9, 100%, $F$9) + CHOOSE(CONTROL!$C$27, 0.0021, 0)</f>
        <v>28.751299999999997</v>
      </c>
      <c r="G139" s="10">
        <f>29.0205 * CHOOSE(CONTROL!$C$9, $D$9, 100%, $F$9) + CHOOSE(CONTROL!$C$27, 0.0021, 0)</f>
        <v>29.022599999999997</v>
      </c>
      <c r="H139" s="10">
        <f>28.8858 * CHOOSE(CONTROL!$C$9, $D$9, 100%, $F$9) + CHOOSE(CONTROL!$C$27, 0.0021, 0)</f>
        <v>28.887899999999998</v>
      </c>
      <c r="I139" s="10">
        <f>28.8858 * CHOOSE(CONTROL!$C$9, $D$9, 100%, $F$9) + CHOOSE(CONTROL!$C$27, 0.0021, 0)</f>
        <v>28.887899999999998</v>
      </c>
      <c r="J139" s="10">
        <f>28.8858 * CHOOSE(CONTROL!$C$9, $D$9, 100%, $F$9) + CHOOSE(CONTROL!$C$27, 0.0021, 0)</f>
        <v>28.887899999999998</v>
      </c>
      <c r="K139" s="10">
        <f>28.8858 * CHOOSE(CONTROL!$C$9, $D$9, 100%, $F$9) + CHOOSE(CONTROL!$C$27, 0.0021, 0)</f>
        <v>28.887899999999998</v>
      </c>
      <c r="L139" s="10"/>
    </row>
    <row r="140" spans="1:12" ht="15">
      <c r="A140" s="16">
        <v>45536</v>
      </c>
      <c r="B140" s="10">
        <f>29.8676 * CHOOSE(CONTROL!$C$9, $D$9, 100%, $F$9) + CHOOSE(CONTROL!$C$27, 0.0021, 0)</f>
        <v>29.869699999999998</v>
      </c>
      <c r="C140" s="10">
        <f>29.4354 * CHOOSE(CONTROL!$C$9, $D$9, 100%, $F$9) + CHOOSE(CONTROL!$C$27, 0.0021, 0)</f>
        <v>29.4375</v>
      </c>
      <c r="D140" s="10">
        <f>29.4354 * CHOOSE(CONTROL!$C$9, $D$9, 100%, $F$9) + CHOOSE(CONTROL!$C$27, 0.0021, 0)</f>
        <v>29.4375</v>
      </c>
      <c r="E140" s="10">
        <f>29.2987 * CHOOSE(CONTROL!$C$9, $D$9, 100%, $F$9) + CHOOSE(CONTROL!$C$27, 0.0021, 0)</f>
        <v>29.300799999999999</v>
      </c>
      <c r="F140" s="10">
        <f>29.2987 * CHOOSE(CONTROL!$C$9, $D$9, 100%, $F$9) + CHOOSE(CONTROL!$C$27, 0.0021, 0)</f>
        <v>29.300799999999999</v>
      </c>
      <c r="G140" s="10">
        <f>29.5701 * CHOOSE(CONTROL!$C$9, $D$9, 100%, $F$9) + CHOOSE(CONTROL!$C$27, 0.0021, 0)</f>
        <v>29.572199999999999</v>
      </c>
      <c r="H140" s="10">
        <f>29.4354 * CHOOSE(CONTROL!$C$9, $D$9, 100%, $F$9) + CHOOSE(CONTROL!$C$27, 0.0021, 0)</f>
        <v>29.4375</v>
      </c>
      <c r="I140" s="10">
        <f>29.4354 * CHOOSE(CONTROL!$C$9, $D$9, 100%, $F$9) + CHOOSE(CONTROL!$C$27, 0.0021, 0)</f>
        <v>29.4375</v>
      </c>
      <c r="J140" s="10">
        <f>29.4354 * CHOOSE(CONTROL!$C$9, $D$9, 100%, $F$9) + CHOOSE(CONTROL!$C$27, 0.0021, 0)</f>
        <v>29.4375</v>
      </c>
      <c r="K140" s="10">
        <f>29.4354 * CHOOSE(CONTROL!$C$9, $D$9, 100%, $F$9) + CHOOSE(CONTROL!$C$27, 0.0021, 0)</f>
        <v>29.4375</v>
      </c>
      <c r="L140" s="10"/>
    </row>
    <row r="141" spans="1:12" ht="15">
      <c r="A141" s="16">
        <v>45566</v>
      </c>
      <c r="B141" s="10">
        <f>30.5633 * CHOOSE(CONTROL!$C$9, $D$9, 100%, $F$9) + CHOOSE(CONTROL!$C$27, 0.0021, 0)</f>
        <v>30.5654</v>
      </c>
      <c r="C141" s="10">
        <f>30.131 * CHOOSE(CONTROL!$C$9, $D$9, 100%, $F$9) + CHOOSE(CONTROL!$C$27, 0.0021, 0)</f>
        <v>30.133099999999999</v>
      </c>
      <c r="D141" s="10">
        <f>30.131 * CHOOSE(CONTROL!$C$9, $D$9, 100%, $F$9) + CHOOSE(CONTROL!$C$27, 0.0021, 0)</f>
        <v>30.133099999999999</v>
      </c>
      <c r="E141" s="10">
        <f>29.9944 * CHOOSE(CONTROL!$C$9, $D$9, 100%, $F$9) + CHOOSE(CONTROL!$C$27, 0.0021, 0)</f>
        <v>29.996499999999997</v>
      </c>
      <c r="F141" s="10">
        <f>29.9944 * CHOOSE(CONTROL!$C$9, $D$9, 100%, $F$9) + CHOOSE(CONTROL!$C$27, 0.0021, 0)</f>
        <v>29.996499999999997</v>
      </c>
      <c r="G141" s="10">
        <f>30.2658 * CHOOSE(CONTROL!$C$9, $D$9, 100%, $F$9) + CHOOSE(CONTROL!$C$27, 0.0021, 0)</f>
        <v>30.267899999999997</v>
      </c>
      <c r="H141" s="10">
        <f>30.131 * CHOOSE(CONTROL!$C$9, $D$9, 100%, $F$9) + CHOOSE(CONTROL!$C$27, 0.0021, 0)</f>
        <v>30.133099999999999</v>
      </c>
      <c r="I141" s="10">
        <f>30.131 * CHOOSE(CONTROL!$C$9, $D$9, 100%, $F$9) + CHOOSE(CONTROL!$C$27, 0.0021, 0)</f>
        <v>30.133099999999999</v>
      </c>
      <c r="J141" s="10">
        <f>30.131 * CHOOSE(CONTROL!$C$9, $D$9, 100%, $F$9) + CHOOSE(CONTROL!$C$27, 0.0021, 0)</f>
        <v>30.133099999999999</v>
      </c>
      <c r="K141" s="10">
        <f>30.131 * CHOOSE(CONTROL!$C$9, $D$9, 100%, $F$9) + CHOOSE(CONTROL!$C$27, 0.0021, 0)</f>
        <v>30.133099999999999</v>
      </c>
      <c r="L141" s="10"/>
    </row>
    <row r="142" spans="1:12" ht="15">
      <c r="A142" s="16">
        <v>45597</v>
      </c>
      <c r="B142" s="10">
        <f>30.6286 * CHOOSE(CONTROL!$C$9, $D$9, 100%, $F$9) + CHOOSE(CONTROL!$C$27, 0.0021, 0)</f>
        <v>30.630699999999997</v>
      </c>
      <c r="C142" s="10">
        <f>30.1963 * CHOOSE(CONTROL!$C$9, $D$9, 100%, $F$9) + CHOOSE(CONTROL!$C$27, 0.0021, 0)</f>
        <v>30.198399999999999</v>
      </c>
      <c r="D142" s="10">
        <f>30.1963 * CHOOSE(CONTROL!$C$9, $D$9, 100%, $F$9) + CHOOSE(CONTROL!$C$27, 0.0021, 0)</f>
        <v>30.198399999999999</v>
      </c>
      <c r="E142" s="10">
        <f>30.0597 * CHOOSE(CONTROL!$C$9, $D$9, 100%, $F$9) + CHOOSE(CONTROL!$C$27, 0.0021, 0)</f>
        <v>30.061799999999998</v>
      </c>
      <c r="F142" s="10">
        <f>30.0597 * CHOOSE(CONTROL!$C$9, $D$9, 100%, $F$9) + CHOOSE(CONTROL!$C$27, 0.0021, 0)</f>
        <v>30.061799999999998</v>
      </c>
      <c r="G142" s="10">
        <f>30.3311 * CHOOSE(CONTROL!$C$9, $D$9, 100%, $F$9) + CHOOSE(CONTROL!$C$27, 0.0021, 0)</f>
        <v>30.333199999999998</v>
      </c>
      <c r="H142" s="10">
        <f>30.1963 * CHOOSE(CONTROL!$C$9, $D$9, 100%, $F$9) + CHOOSE(CONTROL!$C$27, 0.0021, 0)</f>
        <v>30.198399999999999</v>
      </c>
      <c r="I142" s="10">
        <f>30.1963 * CHOOSE(CONTROL!$C$9, $D$9, 100%, $F$9) + CHOOSE(CONTROL!$C$27, 0.0021, 0)</f>
        <v>30.198399999999999</v>
      </c>
      <c r="J142" s="10">
        <f>30.1963 * CHOOSE(CONTROL!$C$9, $D$9, 100%, $F$9) + CHOOSE(CONTROL!$C$27, 0.0021, 0)</f>
        <v>30.198399999999999</v>
      </c>
      <c r="K142" s="10">
        <f>30.1963 * CHOOSE(CONTROL!$C$9, $D$9, 100%, $F$9) + CHOOSE(CONTROL!$C$27, 0.0021, 0)</f>
        <v>30.198399999999999</v>
      </c>
      <c r="L142" s="10"/>
    </row>
    <row r="143" spans="1:12" ht="15">
      <c r="A143" s="16">
        <v>45627</v>
      </c>
      <c r="B143" s="10">
        <f>30.073 * CHOOSE(CONTROL!$C$9, $D$9, 100%, $F$9) + CHOOSE(CONTROL!$C$27, 0.0021, 0)</f>
        <v>30.075099999999999</v>
      </c>
      <c r="C143" s="10">
        <f>29.6407 * CHOOSE(CONTROL!$C$9, $D$9, 100%, $F$9) + CHOOSE(CONTROL!$C$27, 0.0021, 0)</f>
        <v>29.642799999999998</v>
      </c>
      <c r="D143" s="10">
        <f>29.6407 * CHOOSE(CONTROL!$C$9, $D$9, 100%, $F$9) + CHOOSE(CONTROL!$C$27, 0.0021, 0)</f>
        <v>29.642799999999998</v>
      </c>
      <c r="E143" s="10">
        <f>29.5041 * CHOOSE(CONTROL!$C$9, $D$9, 100%, $F$9) + CHOOSE(CONTROL!$C$27, 0.0021, 0)</f>
        <v>29.5062</v>
      </c>
      <c r="F143" s="10">
        <f>29.5041 * CHOOSE(CONTROL!$C$9, $D$9, 100%, $F$9) + CHOOSE(CONTROL!$C$27, 0.0021, 0)</f>
        <v>29.5062</v>
      </c>
      <c r="G143" s="10">
        <f>29.7755 * CHOOSE(CONTROL!$C$9, $D$9, 100%, $F$9) + CHOOSE(CONTROL!$C$27, 0.0021, 0)</f>
        <v>29.7776</v>
      </c>
      <c r="H143" s="10">
        <f>29.6407 * CHOOSE(CONTROL!$C$9, $D$9, 100%, $F$9) + CHOOSE(CONTROL!$C$27, 0.0021, 0)</f>
        <v>29.642799999999998</v>
      </c>
      <c r="I143" s="10">
        <f>29.6407 * CHOOSE(CONTROL!$C$9, $D$9, 100%, $F$9) + CHOOSE(CONTROL!$C$27, 0.0021, 0)</f>
        <v>29.642799999999998</v>
      </c>
      <c r="J143" s="10">
        <f>29.6407 * CHOOSE(CONTROL!$C$9, $D$9, 100%, $F$9) + CHOOSE(CONTROL!$C$27, 0.0021, 0)</f>
        <v>29.642799999999998</v>
      </c>
      <c r="K143" s="10">
        <f>29.6407 * CHOOSE(CONTROL!$C$9, $D$9, 100%, $F$9) + CHOOSE(CONTROL!$C$27, 0.0021, 0)</f>
        <v>29.642799999999998</v>
      </c>
      <c r="L143" s="10"/>
    </row>
    <row r="144" spans="1:12" ht="15">
      <c r="A144" s="16">
        <v>45658</v>
      </c>
      <c r="B144" s="10">
        <f>30.2103 * CHOOSE(CONTROL!$C$9, $D$9, 100%, $F$9) + CHOOSE(CONTROL!$C$27, 0.0021, 0)</f>
        <v>30.212399999999999</v>
      </c>
      <c r="C144" s="10">
        <f>29.7781 * CHOOSE(CONTROL!$C$9, $D$9, 100%, $F$9) + CHOOSE(CONTROL!$C$27, 0.0021, 0)</f>
        <v>29.780199999999997</v>
      </c>
      <c r="D144" s="10">
        <f>29.7781 * CHOOSE(CONTROL!$C$9, $D$9, 100%, $F$9) + CHOOSE(CONTROL!$C$27, 0.0021, 0)</f>
        <v>29.780199999999997</v>
      </c>
      <c r="E144" s="10">
        <f>29.6414 * CHOOSE(CONTROL!$C$9, $D$9, 100%, $F$9) + CHOOSE(CONTROL!$C$27, 0.0021, 0)</f>
        <v>29.6435</v>
      </c>
      <c r="F144" s="10">
        <f>29.6414 * CHOOSE(CONTROL!$C$9, $D$9, 100%, $F$9) + CHOOSE(CONTROL!$C$27, 0.0021, 0)</f>
        <v>29.6435</v>
      </c>
      <c r="G144" s="10">
        <f>29.9128 * CHOOSE(CONTROL!$C$9, $D$9, 100%, $F$9) + CHOOSE(CONTROL!$C$27, 0.0021, 0)</f>
        <v>29.914899999999999</v>
      </c>
      <c r="H144" s="10">
        <f>29.7781 * CHOOSE(CONTROL!$C$9, $D$9, 100%, $F$9) + CHOOSE(CONTROL!$C$27, 0.0021, 0)</f>
        <v>29.780199999999997</v>
      </c>
      <c r="I144" s="10">
        <f>29.7781 * CHOOSE(CONTROL!$C$9, $D$9, 100%, $F$9) + CHOOSE(CONTROL!$C$27, 0.0021, 0)</f>
        <v>29.780199999999997</v>
      </c>
      <c r="J144" s="10">
        <f>29.7781 * CHOOSE(CONTROL!$C$9, $D$9, 100%, $F$9) + CHOOSE(CONTROL!$C$27, 0.0021, 0)</f>
        <v>29.780199999999997</v>
      </c>
      <c r="K144" s="10">
        <f>29.7781 * CHOOSE(CONTROL!$C$9, $D$9, 100%, $F$9) + CHOOSE(CONTROL!$C$27, 0.0021, 0)</f>
        <v>29.780199999999997</v>
      </c>
      <c r="L144" s="10"/>
    </row>
    <row r="145" spans="1:12" ht="15">
      <c r="A145" s="16">
        <v>45689</v>
      </c>
      <c r="B145" s="10">
        <f>29.4206 * CHOOSE(CONTROL!$C$9, $D$9, 100%, $F$9) + CHOOSE(CONTROL!$C$27, 0.0021, 0)</f>
        <v>29.422699999999999</v>
      </c>
      <c r="C145" s="10">
        <f>28.9884 * CHOOSE(CONTROL!$C$9, $D$9, 100%, $F$9) + CHOOSE(CONTROL!$C$27, 0.0021, 0)</f>
        <v>28.990499999999997</v>
      </c>
      <c r="D145" s="10">
        <f>28.9884 * CHOOSE(CONTROL!$C$9, $D$9, 100%, $F$9) + CHOOSE(CONTROL!$C$27, 0.0021, 0)</f>
        <v>28.990499999999997</v>
      </c>
      <c r="E145" s="10">
        <f>28.8517 * CHOOSE(CONTROL!$C$9, $D$9, 100%, $F$9) + CHOOSE(CONTROL!$C$27, 0.0021, 0)</f>
        <v>28.8538</v>
      </c>
      <c r="F145" s="10">
        <f>28.8517 * CHOOSE(CONTROL!$C$9, $D$9, 100%, $F$9) + CHOOSE(CONTROL!$C$27, 0.0021, 0)</f>
        <v>28.8538</v>
      </c>
      <c r="G145" s="10">
        <f>29.1231 * CHOOSE(CONTROL!$C$9, $D$9, 100%, $F$9) + CHOOSE(CONTROL!$C$27, 0.0021, 0)</f>
        <v>29.1252</v>
      </c>
      <c r="H145" s="10">
        <f>28.9884 * CHOOSE(CONTROL!$C$9, $D$9, 100%, $F$9) + CHOOSE(CONTROL!$C$27, 0.0021, 0)</f>
        <v>28.990499999999997</v>
      </c>
      <c r="I145" s="10">
        <f>28.9884 * CHOOSE(CONTROL!$C$9, $D$9, 100%, $F$9) + CHOOSE(CONTROL!$C$27, 0.0021, 0)</f>
        <v>28.990499999999997</v>
      </c>
      <c r="J145" s="10">
        <f>28.9884 * CHOOSE(CONTROL!$C$9, $D$9, 100%, $F$9) + CHOOSE(CONTROL!$C$27, 0.0021, 0)</f>
        <v>28.990499999999997</v>
      </c>
      <c r="K145" s="10">
        <f>28.9884 * CHOOSE(CONTROL!$C$9, $D$9, 100%, $F$9) + CHOOSE(CONTROL!$C$27, 0.0021, 0)</f>
        <v>28.990499999999997</v>
      </c>
      <c r="L145" s="10"/>
    </row>
    <row r="146" spans="1:12" ht="15">
      <c r="A146" s="16">
        <v>45717</v>
      </c>
      <c r="B146" s="10">
        <f>29.0947 * CHOOSE(CONTROL!$C$9, $D$9, 100%, $F$9) + CHOOSE(CONTROL!$C$27, 0.0021, 0)</f>
        <v>29.096799999999998</v>
      </c>
      <c r="C146" s="10">
        <f>28.6624 * CHOOSE(CONTROL!$C$9, $D$9, 100%, $F$9) + CHOOSE(CONTROL!$C$27, 0.0021, 0)</f>
        <v>28.6645</v>
      </c>
      <c r="D146" s="10">
        <f>28.6624 * CHOOSE(CONTROL!$C$9, $D$9, 100%, $F$9) + CHOOSE(CONTROL!$C$27, 0.0021, 0)</f>
        <v>28.6645</v>
      </c>
      <c r="E146" s="10">
        <f>28.5258 * CHOOSE(CONTROL!$C$9, $D$9, 100%, $F$9) + CHOOSE(CONTROL!$C$27, 0.0021, 0)</f>
        <v>28.527899999999999</v>
      </c>
      <c r="F146" s="10">
        <f>28.5258 * CHOOSE(CONTROL!$C$9, $D$9, 100%, $F$9) + CHOOSE(CONTROL!$C$27, 0.0021, 0)</f>
        <v>28.527899999999999</v>
      </c>
      <c r="G146" s="10">
        <f>28.7971 * CHOOSE(CONTROL!$C$9, $D$9, 100%, $F$9) + CHOOSE(CONTROL!$C$27, 0.0021, 0)</f>
        <v>28.799199999999999</v>
      </c>
      <c r="H146" s="10">
        <f>28.6624 * CHOOSE(CONTROL!$C$9, $D$9, 100%, $F$9) + CHOOSE(CONTROL!$C$27, 0.0021, 0)</f>
        <v>28.6645</v>
      </c>
      <c r="I146" s="10">
        <f>28.6624 * CHOOSE(CONTROL!$C$9, $D$9, 100%, $F$9) + CHOOSE(CONTROL!$C$27, 0.0021, 0)</f>
        <v>28.6645</v>
      </c>
      <c r="J146" s="10">
        <f>28.6624 * CHOOSE(CONTROL!$C$9, $D$9, 100%, $F$9) + CHOOSE(CONTROL!$C$27, 0.0021, 0)</f>
        <v>28.6645</v>
      </c>
      <c r="K146" s="10">
        <f>28.6624 * CHOOSE(CONTROL!$C$9, $D$9, 100%, $F$9) + CHOOSE(CONTROL!$C$27, 0.0021, 0)</f>
        <v>28.6645</v>
      </c>
      <c r="L146" s="10"/>
    </row>
    <row r="147" spans="1:12" ht="15">
      <c r="A147" s="16">
        <v>45748</v>
      </c>
      <c r="B147" s="10">
        <f>28.7054 * CHOOSE(CONTROL!$C$9, $D$9, 100%, $F$9) + CHOOSE(CONTROL!$C$27, 0.0021, 0)</f>
        <v>28.7075</v>
      </c>
      <c r="C147" s="10">
        <f>28.2732 * CHOOSE(CONTROL!$C$9, $D$9, 100%, $F$9) + CHOOSE(CONTROL!$C$27, 0.0021, 0)</f>
        <v>28.275299999999998</v>
      </c>
      <c r="D147" s="10">
        <f>28.2732 * CHOOSE(CONTROL!$C$9, $D$9, 100%, $F$9) + CHOOSE(CONTROL!$C$27, 0.0021, 0)</f>
        <v>28.275299999999998</v>
      </c>
      <c r="E147" s="10">
        <f>28.1365 * CHOOSE(CONTROL!$C$9, $D$9, 100%, $F$9) + CHOOSE(CONTROL!$C$27, 0.0021, 0)</f>
        <v>28.1386</v>
      </c>
      <c r="F147" s="10">
        <f>28.1365 * CHOOSE(CONTROL!$C$9, $D$9, 100%, $F$9) + CHOOSE(CONTROL!$C$27, 0.0021, 0)</f>
        <v>28.1386</v>
      </c>
      <c r="G147" s="10">
        <f>28.4079 * CHOOSE(CONTROL!$C$9, $D$9, 100%, $F$9) + CHOOSE(CONTROL!$C$27, 0.0021, 0)</f>
        <v>28.41</v>
      </c>
      <c r="H147" s="10">
        <f>28.2732 * CHOOSE(CONTROL!$C$9, $D$9, 100%, $F$9) + CHOOSE(CONTROL!$C$27, 0.0021, 0)</f>
        <v>28.275299999999998</v>
      </c>
      <c r="I147" s="10">
        <f>28.2732 * CHOOSE(CONTROL!$C$9, $D$9, 100%, $F$9) + CHOOSE(CONTROL!$C$27, 0.0021, 0)</f>
        <v>28.275299999999998</v>
      </c>
      <c r="J147" s="10">
        <f>28.2732 * CHOOSE(CONTROL!$C$9, $D$9, 100%, $F$9) + CHOOSE(CONTROL!$C$27, 0.0021, 0)</f>
        <v>28.275299999999998</v>
      </c>
      <c r="K147" s="10">
        <f>28.2732 * CHOOSE(CONTROL!$C$9, $D$9, 100%, $F$9) + CHOOSE(CONTROL!$C$27, 0.0021, 0)</f>
        <v>28.275299999999998</v>
      </c>
      <c r="L147" s="10"/>
    </row>
    <row r="148" spans="1:12" ht="15">
      <c r="A148" s="16">
        <v>45778</v>
      </c>
      <c r="B148" s="10">
        <f>29.2601 * CHOOSE(CONTROL!$C$9, $D$9, 100%, $F$9) + CHOOSE(CONTROL!$C$27, 0.0021, 0)</f>
        <v>29.2622</v>
      </c>
      <c r="C148" s="10">
        <f>28.8279 * CHOOSE(CONTROL!$C$9, $D$9, 100%, $F$9) + CHOOSE(CONTROL!$C$27, 0.0021, 0)</f>
        <v>28.83</v>
      </c>
      <c r="D148" s="10">
        <f>28.8279 * CHOOSE(CONTROL!$C$9, $D$9, 100%, $F$9) + CHOOSE(CONTROL!$C$27, 0.0021, 0)</f>
        <v>28.83</v>
      </c>
      <c r="E148" s="10">
        <f>28.6912 * CHOOSE(CONTROL!$C$9, $D$9, 100%, $F$9) + CHOOSE(CONTROL!$C$27, 0.0021, 0)</f>
        <v>28.693299999999997</v>
      </c>
      <c r="F148" s="10">
        <f>28.6912 * CHOOSE(CONTROL!$C$9, $D$9, 100%, $F$9) + CHOOSE(CONTROL!$C$27, 0.0021, 0)</f>
        <v>28.693299999999997</v>
      </c>
      <c r="G148" s="10">
        <f>28.9626 * CHOOSE(CONTROL!$C$9, $D$9, 100%, $F$9) + CHOOSE(CONTROL!$C$27, 0.0021, 0)</f>
        <v>28.964699999999997</v>
      </c>
      <c r="H148" s="10">
        <f>28.8279 * CHOOSE(CONTROL!$C$9, $D$9, 100%, $F$9) + CHOOSE(CONTROL!$C$27, 0.0021, 0)</f>
        <v>28.83</v>
      </c>
      <c r="I148" s="10">
        <f>28.8279 * CHOOSE(CONTROL!$C$9, $D$9, 100%, $F$9) + CHOOSE(CONTROL!$C$27, 0.0021, 0)</f>
        <v>28.83</v>
      </c>
      <c r="J148" s="10">
        <f>28.8279 * CHOOSE(CONTROL!$C$9, $D$9, 100%, $F$9) + CHOOSE(CONTROL!$C$27, 0.0021, 0)</f>
        <v>28.83</v>
      </c>
      <c r="K148" s="10">
        <f>28.8279 * CHOOSE(CONTROL!$C$9, $D$9, 100%, $F$9) + CHOOSE(CONTROL!$C$27, 0.0021, 0)</f>
        <v>28.83</v>
      </c>
      <c r="L148" s="10"/>
    </row>
    <row r="149" spans="1:12" ht="15">
      <c r="A149" s="16">
        <v>45809</v>
      </c>
      <c r="B149" s="10">
        <f>29.5924 * CHOOSE(CONTROL!$C$9, $D$9, 100%, $F$9) + CHOOSE(CONTROL!$C$27, 0.0021, 0)</f>
        <v>29.5945</v>
      </c>
      <c r="C149" s="10">
        <f>29.1601 * CHOOSE(CONTROL!$C$9, $D$9, 100%, $F$9) + CHOOSE(CONTROL!$C$27, 0.0021, 0)</f>
        <v>29.162199999999999</v>
      </c>
      <c r="D149" s="10">
        <f>29.1601 * CHOOSE(CONTROL!$C$9, $D$9, 100%, $F$9) + CHOOSE(CONTROL!$C$27, 0.0021, 0)</f>
        <v>29.162199999999999</v>
      </c>
      <c r="E149" s="10">
        <f>29.0235 * CHOOSE(CONTROL!$C$9, $D$9, 100%, $F$9) + CHOOSE(CONTROL!$C$27, 0.0021, 0)</f>
        <v>29.025599999999997</v>
      </c>
      <c r="F149" s="10">
        <f>29.0235 * CHOOSE(CONTROL!$C$9, $D$9, 100%, $F$9) + CHOOSE(CONTROL!$C$27, 0.0021, 0)</f>
        <v>29.025599999999997</v>
      </c>
      <c r="G149" s="10">
        <f>29.2948 * CHOOSE(CONTROL!$C$9, $D$9, 100%, $F$9) + CHOOSE(CONTROL!$C$27, 0.0021, 0)</f>
        <v>29.296899999999997</v>
      </c>
      <c r="H149" s="10">
        <f>29.1601 * CHOOSE(CONTROL!$C$9, $D$9, 100%, $F$9) + CHOOSE(CONTROL!$C$27, 0.0021, 0)</f>
        <v>29.162199999999999</v>
      </c>
      <c r="I149" s="10">
        <f>29.1601 * CHOOSE(CONTROL!$C$9, $D$9, 100%, $F$9) + CHOOSE(CONTROL!$C$27, 0.0021, 0)</f>
        <v>29.162199999999999</v>
      </c>
      <c r="J149" s="10">
        <f>29.1601 * CHOOSE(CONTROL!$C$9, $D$9, 100%, $F$9) + CHOOSE(CONTROL!$C$27, 0.0021, 0)</f>
        <v>29.162199999999999</v>
      </c>
      <c r="K149" s="10">
        <f>29.1601 * CHOOSE(CONTROL!$C$9, $D$9, 100%, $F$9) + CHOOSE(CONTROL!$C$27, 0.0021, 0)</f>
        <v>29.162199999999999</v>
      </c>
      <c r="L149" s="10"/>
    </row>
    <row r="150" spans="1:12" ht="15">
      <c r="A150" s="16">
        <v>45839</v>
      </c>
      <c r="B150" s="10">
        <f>30.1404 * CHOOSE(CONTROL!$C$9, $D$9, 100%, $F$9) + CHOOSE(CONTROL!$C$27, 0.0021, 0)</f>
        <v>30.142499999999998</v>
      </c>
      <c r="C150" s="10">
        <f>29.7082 * CHOOSE(CONTROL!$C$9, $D$9, 100%, $F$9) + CHOOSE(CONTROL!$C$27, 0.0021, 0)</f>
        <v>29.7103</v>
      </c>
      <c r="D150" s="10">
        <f>29.7082 * CHOOSE(CONTROL!$C$9, $D$9, 100%, $F$9) + CHOOSE(CONTROL!$C$27, 0.0021, 0)</f>
        <v>29.7103</v>
      </c>
      <c r="E150" s="10">
        <f>29.5715 * CHOOSE(CONTROL!$C$9, $D$9, 100%, $F$9) + CHOOSE(CONTROL!$C$27, 0.0021, 0)</f>
        <v>29.573599999999999</v>
      </c>
      <c r="F150" s="10">
        <f>29.5715 * CHOOSE(CONTROL!$C$9, $D$9, 100%, $F$9) + CHOOSE(CONTROL!$C$27, 0.0021, 0)</f>
        <v>29.573599999999999</v>
      </c>
      <c r="G150" s="10">
        <f>29.8429 * CHOOSE(CONTROL!$C$9, $D$9, 100%, $F$9) + CHOOSE(CONTROL!$C$27, 0.0021, 0)</f>
        <v>29.844999999999999</v>
      </c>
      <c r="H150" s="10">
        <f>29.7082 * CHOOSE(CONTROL!$C$9, $D$9, 100%, $F$9) + CHOOSE(CONTROL!$C$27, 0.0021, 0)</f>
        <v>29.7103</v>
      </c>
      <c r="I150" s="10">
        <f>29.7082 * CHOOSE(CONTROL!$C$9, $D$9, 100%, $F$9) + CHOOSE(CONTROL!$C$27, 0.0021, 0)</f>
        <v>29.7103</v>
      </c>
      <c r="J150" s="10">
        <f>29.7082 * CHOOSE(CONTROL!$C$9, $D$9, 100%, $F$9) + CHOOSE(CONTROL!$C$27, 0.0021, 0)</f>
        <v>29.7103</v>
      </c>
      <c r="K150" s="10">
        <f>29.7082 * CHOOSE(CONTROL!$C$9, $D$9, 100%, $F$9) + CHOOSE(CONTROL!$C$27, 0.0021, 0)</f>
        <v>29.7103</v>
      </c>
      <c r="L150" s="10"/>
    </row>
    <row r="151" spans="1:12" ht="15">
      <c r="A151" s="16">
        <v>45870</v>
      </c>
      <c r="B151" s="10">
        <f>30.3077 * CHOOSE(CONTROL!$C$9, $D$9, 100%, $F$9) + CHOOSE(CONTROL!$C$27, 0.0021, 0)</f>
        <v>30.309799999999999</v>
      </c>
      <c r="C151" s="10">
        <f>29.8755 * CHOOSE(CONTROL!$C$9, $D$9, 100%, $F$9) + CHOOSE(CONTROL!$C$27, 0.0021, 0)</f>
        <v>29.877599999999997</v>
      </c>
      <c r="D151" s="10">
        <f>29.8755 * CHOOSE(CONTROL!$C$9, $D$9, 100%, $F$9) + CHOOSE(CONTROL!$C$27, 0.0021, 0)</f>
        <v>29.877599999999997</v>
      </c>
      <c r="E151" s="10">
        <f>29.7388 * CHOOSE(CONTROL!$C$9, $D$9, 100%, $F$9) + CHOOSE(CONTROL!$C$27, 0.0021, 0)</f>
        <v>29.7409</v>
      </c>
      <c r="F151" s="10">
        <f>29.7388 * CHOOSE(CONTROL!$C$9, $D$9, 100%, $F$9) + CHOOSE(CONTROL!$C$27, 0.0021, 0)</f>
        <v>29.7409</v>
      </c>
      <c r="G151" s="10">
        <f>30.0102 * CHOOSE(CONTROL!$C$9, $D$9, 100%, $F$9) + CHOOSE(CONTROL!$C$27, 0.0021, 0)</f>
        <v>30.0123</v>
      </c>
      <c r="H151" s="10">
        <f>29.8755 * CHOOSE(CONTROL!$C$9, $D$9, 100%, $F$9) + CHOOSE(CONTROL!$C$27, 0.0021, 0)</f>
        <v>29.877599999999997</v>
      </c>
      <c r="I151" s="10">
        <f>29.8755 * CHOOSE(CONTROL!$C$9, $D$9, 100%, $F$9) + CHOOSE(CONTROL!$C$27, 0.0021, 0)</f>
        <v>29.877599999999997</v>
      </c>
      <c r="J151" s="10">
        <f>29.8755 * CHOOSE(CONTROL!$C$9, $D$9, 100%, $F$9) + CHOOSE(CONTROL!$C$27, 0.0021, 0)</f>
        <v>29.877599999999997</v>
      </c>
      <c r="K151" s="10">
        <f>29.8755 * CHOOSE(CONTROL!$C$9, $D$9, 100%, $F$9) + CHOOSE(CONTROL!$C$27, 0.0021, 0)</f>
        <v>29.877599999999997</v>
      </c>
      <c r="L151" s="10"/>
    </row>
    <row r="152" spans="1:12" ht="15">
      <c r="A152" s="16">
        <v>45901</v>
      </c>
      <c r="B152" s="10">
        <f>30.8774 * CHOOSE(CONTROL!$C$9, $D$9, 100%, $F$9) + CHOOSE(CONTROL!$C$27, 0.0021, 0)</f>
        <v>30.8795</v>
      </c>
      <c r="C152" s="10">
        <f>30.4452 * CHOOSE(CONTROL!$C$9, $D$9, 100%, $F$9) + CHOOSE(CONTROL!$C$27, 0.0021, 0)</f>
        <v>30.447299999999998</v>
      </c>
      <c r="D152" s="10">
        <f>30.4452 * CHOOSE(CONTROL!$C$9, $D$9, 100%, $F$9) + CHOOSE(CONTROL!$C$27, 0.0021, 0)</f>
        <v>30.447299999999998</v>
      </c>
      <c r="E152" s="10">
        <f>30.3085 * CHOOSE(CONTROL!$C$9, $D$9, 100%, $F$9) + CHOOSE(CONTROL!$C$27, 0.0021, 0)</f>
        <v>30.310599999999997</v>
      </c>
      <c r="F152" s="10">
        <f>30.3085 * CHOOSE(CONTROL!$C$9, $D$9, 100%, $F$9) + CHOOSE(CONTROL!$C$27, 0.0021, 0)</f>
        <v>30.310599999999997</v>
      </c>
      <c r="G152" s="10">
        <f>30.5799 * CHOOSE(CONTROL!$C$9, $D$9, 100%, $F$9) + CHOOSE(CONTROL!$C$27, 0.0021, 0)</f>
        <v>30.581999999999997</v>
      </c>
      <c r="H152" s="10">
        <f>30.4452 * CHOOSE(CONTROL!$C$9, $D$9, 100%, $F$9) + CHOOSE(CONTROL!$C$27, 0.0021, 0)</f>
        <v>30.447299999999998</v>
      </c>
      <c r="I152" s="10">
        <f>30.4452 * CHOOSE(CONTROL!$C$9, $D$9, 100%, $F$9) + CHOOSE(CONTROL!$C$27, 0.0021, 0)</f>
        <v>30.447299999999998</v>
      </c>
      <c r="J152" s="10">
        <f>30.4452 * CHOOSE(CONTROL!$C$9, $D$9, 100%, $F$9) + CHOOSE(CONTROL!$C$27, 0.0021, 0)</f>
        <v>30.447299999999998</v>
      </c>
      <c r="K152" s="10">
        <f>30.4452 * CHOOSE(CONTROL!$C$9, $D$9, 100%, $F$9) + CHOOSE(CONTROL!$C$27, 0.0021, 0)</f>
        <v>30.447299999999998</v>
      </c>
      <c r="L152" s="10"/>
    </row>
    <row r="153" spans="1:12" ht="15">
      <c r="A153" s="16">
        <v>45931</v>
      </c>
      <c r="B153" s="10">
        <f>31.5985 * CHOOSE(CONTROL!$C$9, $D$9, 100%, $F$9) + CHOOSE(CONTROL!$C$27, 0.0021, 0)</f>
        <v>31.6006</v>
      </c>
      <c r="C153" s="10">
        <f>31.1663 * CHOOSE(CONTROL!$C$9, $D$9, 100%, $F$9) + CHOOSE(CONTROL!$C$27, 0.0021, 0)</f>
        <v>31.168399999999998</v>
      </c>
      <c r="D153" s="10">
        <f>31.1663 * CHOOSE(CONTROL!$C$9, $D$9, 100%, $F$9) + CHOOSE(CONTROL!$C$27, 0.0021, 0)</f>
        <v>31.168399999999998</v>
      </c>
      <c r="E153" s="10">
        <f>31.0296 * CHOOSE(CONTROL!$C$9, $D$9, 100%, $F$9) + CHOOSE(CONTROL!$C$27, 0.0021, 0)</f>
        <v>31.031699999999997</v>
      </c>
      <c r="F153" s="10">
        <f>31.0296 * CHOOSE(CONTROL!$C$9, $D$9, 100%, $F$9) + CHOOSE(CONTROL!$C$27, 0.0021, 0)</f>
        <v>31.031699999999997</v>
      </c>
      <c r="G153" s="10">
        <f>31.301 * CHOOSE(CONTROL!$C$9, $D$9, 100%, $F$9) + CHOOSE(CONTROL!$C$27, 0.0021, 0)</f>
        <v>31.303099999999997</v>
      </c>
      <c r="H153" s="10">
        <f>31.1663 * CHOOSE(CONTROL!$C$9, $D$9, 100%, $F$9) + CHOOSE(CONTROL!$C$27, 0.0021, 0)</f>
        <v>31.168399999999998</v>
      </c>
      <c r="I153" s="10">
        <f>31.1663 * CHOOSE(CONTROL!$C$9, $D$9, 100%, $F$9) + CHOOSE(CONTROL!$C$27, 0.0021, 0)</f>
        <v>31.168399999999998</v>
      </c>
      <c r="J153" s="10">
        <f>31.1663 * CHOOSE(CONTROL!$C$9, $D$9, 100%, $F$9) + CHOOSE(CONTROL!$C$27, 0.0021, 0)</f>
        <v>31.168399999999998</v>
      </c>
      <c r="K153" s="10">
        <f>31.1663 * CHOOSE(CONTROL!$C$9, $D$9, 100%, $F$9) + CHOOSE(CONTROL!$C$27, 0.0021, 0)</f>
        <v>31.168399999999998</v>
      </c>
      <c r="L153" s="10"/>
    </row>
    <row r="154" spans="1:12" ht="15">
      <c r="A154" s="16">
        <v>45962</v>
      </c>
      <c r="B154" s="10">
        <f>31.6662 * CHOOSE(CONTROL!$C$9, $D$9, 100%, $F$9) + CHOOSE(CONTROL!$C$27, 0.0021, 0)</f>
        <v>31.668299999999999</v>
      </c>
      <c r="C154" s="10">
        <f>31.234 * CHOOSE(CONTROL!$C$9, $D$9, 100%, $F$9) + CHOOSE(CONTROL!$C$27, 0.0021, 0)</f>
        <v>31.2361</v>
      </c>
      <c r="D154" s="10">
        <f>31.234 * CHOOSE(CONTROL!$C$9, $D$9, 100%, $F$9) + CHOOSE(CONTROL!$C$27, 0.0021, 0)</f>
        <v>31.2361</v>
      </c>
      <c r="E154" s="10">
        <f>31.0973 * CHOOSE(CONTROL!$C$9, $D$9, 100%, $F$9) + CHOOSE(CONTROL!$C$27, 0.0021, 0)</f>
        <v>31.099399999999999</v>
      </c>
      <c r="F154" s="10">
        <f>31.0973 * CHOOSE(CONTROL!$C$9, $D$9, 100%, $F$9) + CHOOSE(CONTROL!$C$27, 0.0021, 0)</f>
        <v>31.099399999999999</v>
      </c>
      <c r="G154" s="10">
        <f>31.3687 * CHOOSE(CONTROL!$C$9, $D$9, 100%, $F$9) + CHOOSE(CONTROL!$C$27, 0.0021, 0)</f>
        <v>31.370799999999999</v>
      </c>
      <c r="H154" s="10">
        <f>31.234 * CHOOSE(CONTROL!$C$9, $D$9, 100%, $F$9) + CHOOSE(CONTROL!$C$27, 0.0021, 0)</f>
        <v>31.2361</v>
      </c>
      <c r="I154" s="10">
        <f>31.234 * CHOOSE(CONTROL!$C$9, $D$9, 100%, $F$9) + CHOOSE(CONTROL!$C$27, 0.0021, 0)</f>
        <v>31.2361</v>
      </c>
      <c r="J154" s="10">
        <f>31.234 * CHOOSE(CONTROL!$C$9, $D$9, 100%, $F$9) + CHOOSE(CONTROL!$C$27, 0.0021, 0)</f>
        <v>31.2361</v>
      </c>
      <c r="K154" s="10">
        <f>31.234 * CHOOSE(CONTROL!$C$9, $D$9, 100%, $F$9) + CHOOSE(CONTROL!$C$27, 0.0021, 0)</f>
        <v>31.2361</v>
      </c>
      <c r="L154" s="10"/>
    </row>
    <row r="155" spans="1:12" ht="15">
      <c r="A155" s="16">
        <v>45992</v>
      </c>
      <c r="B155" s="10">
        <f>31.0903 * CHOOSE(CONTROL!$C$9, $D$9, 100%, $F$9) + CHOOSE(CONTROL!$C$27, 0.0021, 0)</f>
        <v>31.092399999999998</v>
      </c>
      <c r="C155" s="10">
        <f>30.658 * CHOOSE(CONTROL!$C$9, $D$9, 100%, $F$9) + CHOOSE(CONTROL!$C$27, 0.0021, 0)</f>
        <v>30.6601</v>
      </c>
      <c r="D155" s="10">
        <f>30.658 * CHOOSE(CONTROL!$C$9, $D$9, 100%, $F$9) + CHOOSE(CONTROL!$C$27, 0.0021, 0)</f>
        <v>30.6601</v>
      </c>
      <c r="E155" s="10">
        <f>30.5214 * CHOOSE(CONTROL!$C$9, $D$9, 100%, $F$9) + CHOOSE(CONTROL!$C$27, 0.0021, 0)</f>
        <v>30.523499999999999</v>
      </c>
      <c r="F155" s="10">
        <f>30.5214 * CHOOSE(CONTROL!$C$9, $D$9, 100%, $F$9) + CHOOSE(CONTROL!$C$27, 0.0021, 0)</f>
        <v>30.523499999999999</v>
      </c>
      <c r="G155" s="10">
        <f>30.7928 * CHOOSE(CONTROL!$C$9, $D$9, 100%, $F$9) + CHOOSE(CONTROL!$C$27, 0.0021, 0)</f>
        <v>30.794899999999998</v>
      </c>
      <c r="H155" s="10">
        <f>30.658 * CHOOSE(CONTROL!$C$9, $D$9, 100%, $F$9) + CHOOSE(CONTROL!$C$27, 0.0021, 0)</f>
        <v>30.6601</v>
      </c>
      <c r="I155" s="10">
        <f>30.658 * CHOOSE(CONTROL!$C$9, $D$9, 100%, $F$9) + CHOOSE(CONTROL!$C$27, 0.0021, 0)</f>
        <v>30.6601</v>
      </c>
      <c r="J155" s="10">
        <f>30.658 * CHOOSE(CONTROL!$C$9, $D$9, 100%, $F$9) + CHOOSE(CONTROL!$C$27, 0.0021, 0)</f>
        <v>30.6601</v>
      </c>
      <c r="K155" s="10">
        <f>30.658 * CHOOSE(CONTROL!$C$9, $D$9, 100%, $F$9) + CHOOSE(CONTROL!$C$27, 0.0021, 0)</f>
        <v>30.6601</v>
      </c>
      <c r="L155" s="10"/>
    </row>
    <row r="156" spans="1:12" ht="15">
      <c r="A156" s="16">
        <v>46023</v>
      </c>
      <c r="B156" s="10">
        <f>31.3151 * CHOOSE(CONTROL!$C$9, $D$9, 100%, $F$9) + CHOOSE(CONTROL!$C$27, 0.0021, 0)</f>
        <v>31.3172</v>
      </c>
      <c r="C156" s="10">
        <f>30.8828 * CHOOSE(CONTROL!$C$9, $D$9, 100%, $F$9) + CHOOSE(CONTROL!$C$27, 0.0021, 0)</f>
        <v>30.884899999999998</v>
      </c>
      <c r="D156" s="10">
        <f>30.8828 * CHOOSE(CONTROL!$C$9, $D$9, 100%, $F$9) + CHOOSE(CONTROL!$C$27, 0.0021, 0)</f>
        <v>30.884899999999998</v>
      </c>
      <c r="E156" s="10">
        <f>30.7462 * CHOOSE(CONTROL!$C$9, $D$9, 100%, $F$9) + CHOOSE(CONTROL!$C$27, 0.0021, 0)</f>
        <v>30.7483</v>
      </c>
      <c r="F156" s="10">
        <f>30.7462 * CHOOSE(CONTROL!$C$9, $D$9, 100%, $F$9) + CHOOSE(CONTROL!$C$27, 0.0021, 0)</f>
        <v>30.7483</v>
      </c>
      <c r="G156" s="10">
        <f>31.0175 * CHOOSE(CONTROL!$C$9, $D$9, 100%, $F$9) + CHOOSE(CONTROL!$C$27, 0.0021, 0)</f>
        <v>31.019599999999997</v>
      </c>
      <c r="H156" s="10">
        <f>30.8828 * CHOOSE(CONTROL!$C$9, $D$9, 100%, $F$9) + CHOOSE(CONTROL!$C$27, 0.0021, 0)</f>
        <v>30.884899999999998</v>
      </c>
      <c r="I156" s="10">
        <f>30.8828 * CHOOSE(CONTROL!$C$9, $D$9, 100%, $F$9) + CHOOSE(CONTROL!$C$27, 0.0021, 0)</f>
        <v>30.884899999999998</v>
      </c>
      <c r="J156" s="10">
        <f>30.8828 * CHOOSE(CONTROL!$C$9, $D$9, 100%, $F$9) + CHOOSE(CONTROL!$C$27, 0.0021, 0)</f>
        <v>30.884899999999998</v>
      </c>
      <c r="K156" s="10">
        <f>30.8828 * CHOOSE(CONTROL!$C$9, $D$9, 100%, $F$9) + CHOOSE(CONTROL!$C$27, 0.0021, 0)</f>
        <v>30.884899999999998</v>
      </c>
      <c r="L156" s="10"/>
    </row>
    <row r="157" spans="1:12" ht="15">
      <c r="A157" s="16">
        <v>46054</v>
      </c>
      <c r="B157" s="10">
        <f>30.4941 * CHOOSE(CONTROL!$C$9, $D$9, 100%, $F$9) + CHOOSE(CONTROL!$C$27, 0.0021, 0)</f>
        <v>30.496199999999998</v>
      </c>
      <c r="C157" s="10">
        <f>30.0619 * CHOOSE(CONTROL!$C$9, $D$9, 100%, $F$9) + CHOOSE(CONTROL!$C$27, 0.0021, 0)</f>
        <v>30.064</v>
      </c>
      <c r="D157" s="10">
        <f>30.0619 * CHOOSE(CONTROL!$C$9, $D$9, 100%, $F$9) + CHOOSE(CONTROL!$C$27, 0.0021, 0)</f>
        <v>30.064</v>
      </c>
      <c r="E157" s="10">
        <f>29.9252 * CHOOSE(CONTROL!$C$9, $D$9, 100%, $F$9) + CHOOSE(CONTROL!$C$27, 0.0021, 0)</f>
        <v>29.927299999999999</v>
      </c>
      <c r="F157" s="10">
        <f>29.9252 * CHOOSE(CONTROL!$C$9, $D$9, 100%, $F$9) + CHOOSE(CONTROL!$C$27, 0.0021, 0)</f>
        <v>29.927299999999999</v>
      </c>
      <c r="G157" s="10">
        <f>30.1966 * CHOOSE(CONTROL!$C$9, $D$9, 100%, $F$9) + CHOOSE(CONTROL!$C$27, 0.0021, 0)</f>
        <v>30.198699999999999</v>
      </c>
      <c r="H157" s="10">
        <f>30.0619 * CHOOSE(CONTROL!$C$9, $D$9, 100%, $F$9) + CHOOSE(CONTROL!$C$27, 0.0021, 0)</f>
        <v>30.064</v>
      </c>
      <c r="I157" s="10">
        <f>30.0619 * CHOOSE(CONTROL!$C$9, $D$9, 100%, $F$9) + CHOOSE(CONTROL!$C$27, 0.0021, 0)</f>
        <v>30.064</v>
      </c>
      <c r="J157" s="10">
        <f>30.0619 * CHOOSE(CONTROL!$C$9, $D$9, 100%, $F$9) + CHOOSE(CONTROL!$C$27, 0.0021, 0)</f>
        <v>30.064</v>
      </c>
      <c r="K157" s="10">
        <f>30.0619 * CHOOSE(CONTROL!$C$9, $D$9, 100%, $F$9) + CHOOSE(CONTROL!$C$27, 0.0021, 0)</f>
        <v>30.064</v>
      </c>
      <c r="L157" s="10"/>
    </row>
    <row r="158" spans="1:12" ht="15">
      <c r="A158" s="16">
        <v>46082</v>
      </c>
      <c r="B158" s="10">
        <f>30.1553 * CHOOSE(CONTROL!$C$9, $D$9, 100%, $F$9) + CHOOSE(CONTROL!$C$27, 0.0021, 0)</f>
        <v>30.157399999999999</v>
      </c>
      <c r="C158" s="10">
        <f>29.723 * CHOOSE(CONTROL!$C$9, $D$9, 100%, $F$9) + CHOOSE(CONTROL!$C$27, 0.0021, 0)</f>
        <v>29.725099999999998</v>
      </c>
      <c r="D158" s="10">
        <f>29.723 * CHOOSE(CONTROL!$C$9, $D$9, 100%, $F$9) + CHOOSE(CONTROL!$C$27, 0.0021, 0)</f>
        <v>29.725099999999998</v>
      </c>
      <c r="E158" s="10">
        <f>29.5864 * CHOOSE(CONTROL!$C$9, $D$9, 100%, $F$9) + CHOOSE(CONTROL!$C$27, 0.0021, 0)</f>
        <v>29.5885</v>
      </c>
      <c r="F158" s="10">
        <f>29.5864 * CHOOSE(CONTROL!$C$9, $D$9, 100%, $F$9) + CHOOSE(CONTROL!$C$27, 0.0021, 0)</f>
        <v>29.5885</v>
      </c>
      <c r="G158" s="10">
        <f>29.8577 * CHOOSE(CONTROL!$C$9, $D$9, 100%, $F$9) + CHOOSE(CONTROL!$C$27, 0.0021, 0)</f>
        <v>29.8598</v>
      </c>
      <c r="H158" s="10">
        <f>29.723 * CHOOSE(CONTROL!$C$9, $D$9, 100%, $F$9) + CHOOSE(CONTROL!$C$27, 0.0021, 0)</f>
        <v>29.725099999999998</v>
      </c>
      <c r="I158" s="10">
        <f>29.723 * CHOOSE(CONTROL!$C$9, $D$9, 100%, $F$9) + CHOOSE(CONTROL!$C$27, 0.0021, 0)</f>
        <v>29.725099999999998</v>
      </c>
      <c r="J158" s="10">
        <f>29.723 * CHOOSE(CONTROL!$C$9, $D$9, 100%, $F$9) + CHOOSE(CONTROL!$C$27, 0.0021, 0)</f>
        <v>29.725099999999998</v>
      </c>
      <c r="K158" s="10">
        <f>29.723 * CHOOSE(CONTROL!$C$9, $D$9, 100%, $F$9) + CHOOSE(CONTROL!$C$27, 0.0021, 0)</f>
        <v>29.725099999999998</v>
      </c>
      <c r="L158" s="10"/>
    </row>
    <row r="159" spans="1:12" ht="15">
      <c r="A159" s="16">
        <v>46113</v>
      </c>
      <c r="B159" s="10">
        <f>29.7506 * CHOOSE(CONTROL!$C$9, $D$9, 100%, $F$9) + CHOOSE(CONTROL!$C$27, 0.0021, 0)</f>
        <v>29.752699999999997</v>
      </c>
      <c r="C159" s="10">
        <f>29.3184 * CHOOSE(CONTROL!$C$9, $D$9, 100%, $F$9) + CHOOSE(CONTROL!$C$27, 0.0021, 0)</f>
        <v>29.320499999999999</v>
      </c>
      <c r="D159" s="10">
        <f>29.3184 * CHOOSE(CONTROL!$C$9, $D$9, 100%, $F$9) + CHOOSE(CONTROL!$C$27, 0.0021, 0)</f>
        <v>29.320499999999999</v>
      </c>
      <c r="E159" s="10">
        <f>29.1817 * CHOOSE(CONTROL!$C$9, $D$9, 100%, $F$9) + CHOOSE(CONTROL!$C$27, 0.0021, 0)</f>
        <v>29.183799999999998</v>
      </c>
      <c r="F159" s="10">
        <f>29.1817 * CHOOSE(CONTROL!$C$9, $D$9, 100%, $F$9) + CHOOSE(CONTROL!$C$27, 0.0021, 0)</f>
        <v>29.183799999999998</v>
      </c>
      <c r="G159" s="10">
        <f>29.4531 * CHOOSE(CONTROL!$C$9, $D$9, 100%, $F$9) + CHOOSE(CONTROL!$C$27, 0.0021, 0)</f>
        <v>29.455199999999998</v>
      </c>
      <c r="H159" s="10">
        <f>29.3184 * CHOOSE(CONTROL!$C$9, $D$9, 100%, $F$9) + CHOOSE(CONTROL!$C$27, 0.0021, 0)</f>
        <v>29.320499999999999</v>
      </c>
      <c r="I159" s="10">
        <f>29.3184 * CHOOSE(CONTROL!$C$9, $D$9, 100%, $F$9) + CHOOSE(CONTROL!$C$27, 0.0021, 0)</f>
        <v>29.320499999999999</v>
      </c>
      <c r="J159" s="10">
        <f>29.3184 * CHOOSE(CONTROL!$C$9, $D$9, 100%, $F$9) + CHOOSE(CONTROL!$C$27, 0.0021, 0)</f>
        <v>29.320499999999999</v>
      </c>
      <c r="K159" s="10">
        <f>29.3184 * CHOOSE(CONTROL!$C$9, $D$9, 100%, $F$9) + CHOOSE(CONTROL!$C$27, 0.0021, 0)</f>
        <v>29.320499999999999</v>
      </c>
      <c r="L159" s="10"/>
    </row>
    <row r="160" spans="1:12" ht="15">
      <c r="A160" s="16">
        <v>46143</v>
      </c>
      <c r="B160" s="10">
        <f>30.3273 * CHOOSE(CONTROL!$C$9, $D$9, 100%, $F$9) + CHOOSE(CONTROL!$C$27, 0.0021, 0)</f>
        <v>30.3294</v>
      </c>
      <c r="C160" s="10">
        <f>29.895 * CHOOSE(CONTROL!$C$9, $D$9, 100%, $F$9) + CHOOSE(CONTROL!$C$27, 0.0021, 0)</f>
        <v>29.897099999999998</v>
      </c>
      <c r="D160" s="10">
        <f>29.895 * CHOOSE(CONTROL!$C$9, $D$9, 100%, $F$9) + CHOOSE(CONTROL!$C$27, 0.0021, 0)</f>
        <v>29.897099999999998</v>
      </c>
      <c r="E160" s="10">
        <f>29.7584 * CHOOSE(CONTROL!$C$9, $D$9, 100%, $F$9) + CHOOSE(CONTROL!$C$27, 0.0021, 0)</f>
        <v>29.7605</v>
      </c>
      <c r="F160" s="10">
        <f>29.7584 * CHOOSE(CONTROL!$C$9, $D$9, 100%, $F$9) + CHOOSE(CONTROL!$C$27, 0.0021, 0)</f>
        <v>29.7605</v>
      </c>
      <c r="G160" s="10">
        <f>30.0298 * CHOOSE(CONTROL!$C$9, $D$9, 100%, $F$9) + CHOOSE(CONTROL!$C$27, 0.0021, 0)</f>
        <v>30.0319</v>
      </c>
      <c r="H160" s="10">
        <f>29.895 * CHOOSE(CONTROL!$C$9, $D$9, 100%, $F$9) + CHOOSE(CONTROL!$C$27, 0.0021, 0)</f>
        <v>29.897099999999998</v>
      </c>
      <c r="I160" s="10">
        <f>29.895 * CHOOSE(CONTROL!$C$9, $D$9, 100%, $F$9) + CHOOSE(CONTROL!$C$27, 0.0021, 0)</f>
        <v>29.897099999999998</v>
      </c>
      <c r="J160" s="10">
        <f>29.895 * CHOOSE(CONTROL!$C$9, $D$9, 100%, $F$9) + CHOOSE(CONTROL!$C$27, 0.0021, 0)</f>
        <v>29.897099999999998</v>
      </c>
      <c r="K160" s="10">
        <f>29.895 * CHOOSE(CONTROL!$C$9, $D$9, 100%, $F$9) + CHOOSE(CONTROL!$C$27, 0.0021, 0)</f>
        <v>29.897099999999998</v>
      </c>
      <c r="L160" s="10"/>
    </row>
    <row r="161" spans="1:12" ht="15">
      <c r="A161" s="16">
        <v>46174</v>
      </c>
      <c r="B161" s="10">
        <f>30.6727 * CHOOSE(CONTROL!$C$9, $D$9, 100%, $F$9) + CHOOSE(CONTROL!$C$27, 0.0021, 0)</f>
        <v>30.674799999999998</v>
      </c>
      <c r="C161" s="10">
        <f>30.2404 * CHOOSE(CONTROL!$C$9, $D$9, 100%, $F$9) + CHOOSE(CONTROL!$C$27, 0.0021, 0)</f>
        <v>30.2425</v>
      </c>
      <c r="D161" s="10">
        <f>30.2404 * CHOOSE(CONTROL!$C$9, $D$9, 100%, $F$9) + CHOOSE(CONTROL!$C$27, 0.0021, 0)</f>
        <v>30.2425</v>
      </c>
      <c r="E161" s="10">
        <f>30.1038 * CHOOSE(CONTROL!$C$9, $D$9, 100%, $F$9) + CHOOSE(CONTROL!$C$27, 0.0021, 0)</f>
        <v>30.105899999999998</v>
      </c>
      <c r="F161" s="10">
        <f>30.1038 * CHOOSE(CONTROL!$C$9, $D$9, 100%, $F$9) + CHOOSE(CONTROL!$C$27, 0.0021, 0)</f>
        <v>30.105899999999998</v>
      </c>
      <c r="G161" s="10">
        <f>30.3751 * CHOOSE(CONTROL!$C$9, $D$9, 100%, $F$9) + CHOOSE(CONTROL!$C$27, 0.0021, 0)</f>
        <v>30.377199999999998</v>
      </c>
      <c r="H161" s="10">
        <f>30.2404 * CHOOSE(CONTROL!$C$9, $D$9, 100%, $F$9) + CHOOSE(CONTROL!$C$27, 0.0021, 0)</f>
        <v>30.2425</v>
      </c>
      <c r="I161" s="10">
        <f>30.2404 * CHOOSE(CONTROL!$C$9, $D$9, 100%, $F$9) + CHOOSE(CONTROL!$C$27, 0.0021, 0)</f>
        <v>30.2425</v>
      </c>
      <c r="J161" s="10">
        <f>30.2404 * CHOOSE(CONTROL!$C$9, $D$9, 100%, $F$9) + CHOOSE(CONTROL!$C$27, 0.0021, 0)</f>
        <v>30.2425</v>
      </c>
      <c r="K161" s="10">
        <f>30.2404 * CHOOSE(CONTROL!$C$9, $D$9, 100%, $F$9) + CHOOSE(CONTROL!$C$27, 0.0021, 0)</f>
        <v>30.2425</v>
      </c>
      <c r="L161" s="10"/>
    </row>
    <row r="162" spans="1:12" ht="15">
      <c r="A162" s="16">
        <v>46204</v>
      </c>
      <c r="B162" s="10">
        <f>31.2424 * CHOOSE(CONTROL!$C$9, $D$9, 100%, $F$9) + CHOOSE(CONTROL!$C$27, 0.0021, 0)</f>
        <v>31.244499999999999</v>
      </c>
      <c r="C162" s="10">
        <f>30.8102 * CHOOSE(CONTROL!$C$9, $D$9, 100%, $F$9) + CHOOSE(CONTROL!$C$27, 0.0021, 0)</f>
        <v>30.812299999999997</v>
      </c>
      <c r="D162" s="10">
        <f>30.8102 * CHOOSE(CONTROL!$C$9, $D$9, 100%, $F$9) + CHOOSE(CONTROL!$C$27, 0.0021, 0)</f>
        <v>30.812299999999997</v>
      </c>
      <c r="E162" s="10">
        <f>30.6735 * CHOOSE(CONTROL!$C$9, $D$9, 100%, $F$9) + CHOOSE(CONTROL!$C$27, 0.0021, 0)</f>
        <v>30.675599999999999</v>
      </c>
      <c r="F162" s="10">
        <f>30.6735 * CHOOSE(CONTROL!$C$9, $D$9, 100%, $F$9) + CHOOSE(CONTROL!$C$27, 0.0021, 0)</f>
        <v>30.675599999999999</v>
      </c>
      <c r="G162" s="10">
        <f>30.9449 * CHOOSE(CONTROL!$C$9, $D$9, 100%, $F$9) + CHOOSE(CONTROL!$C$27, 0.0021, 0)</f>
        <v>30.946999999999999</v>
      </c>
      <c r="H162" s="10">
        <f>30.8102 * CHOOSE(CONTROL!$C$9, $D$9, 100%, $F$9) + CHOOSE(CONTROL!$C$27, 0.0021, 0)</f>
        <v>30.812299999999997</v>
      </c>
      <c r="I162" s="10">
        <f>30.8102 * CHOOSE(CONTROL!$C$9, $D$9, 100%, $F$9) + CHOOSE(CONTROL!$C$27, 0.0021, 0)</f>
        <v>30.812299999999997</v>
      </c>
      <c r="J162" s="10">
        <f>30.8102 * CHOOSE(CONTROL!$C$9, $D$9, 100%, $F$9) + CHOOSE(CONTROL!$C$27, 0.0021, 0)</f>
        <v>30.812299999999997</v>
      </c>
      <c r="K162" s="10">
        <f>30.8102 * CHOOSE(CONTROL!$C$9, $D$9, 100%, $F$9) + CHOOSE(CONTROL!$C$27, 0.0021, 0)</f>
        <v>30.812299999999997</v>
      </c>
      <c r="L162" s="10"/>
    </row>
    <row r="163" spans="1:12" ht="15">
      <c r="A163" s="16">
        <v>46235</v>
      </c>
      <c r="B163" s="10">
        <f>31.4163 * CHOOSE(CONTROL!$C$9, $D$9, 100%, $F$9) + CHOOSE(CONTROL!$C$27, 0.0021, 0)</f>
        <v>31.418399999999998</v>
      </c>
      <c r="C163" s="10">
        <f>30.9841 * CHOOSE(CONTROL!$C$9, $D$9, 100%, $F$9) + CHOOSE(CONTROL!$C$27, 0.0021, 0)</f>
        <v>30.9862</v>
      </c>
      <c r="D163" s="10">
        <f>30.9841 * CHOOSE(CONTROL!$C$9, $D$9, 100%, $F$9) + CHOOSE(CONTROL!$C$27, 0.0021, 0)</f>
        <v>30.9862</v>
      </c>
      <c r="E163" s="10">
        <f>30.8474 * CHOOSE(CONTROL!$C$9, $D$9, 100%, $F$9) + CHOOSE(CONTROL!$C$27, 0.0021, 0)</f>
        <v>30.849499999999999</v>
      </c>
      <c r="F163" s="10">
        <f>30.8474 * CHOOSE(CONTROL!$C$9, $D$9, 100%, $F$9) + CHOOSE(CONTROL!$C$27, 0.0021, 0)</f>
        <v>30.849499999999999</v>
      </c>
      <c r="G163" s="10">
        <f>31.1188 * CHOOSE(CONTROL!$C$9, $D$9, 100%, $F$9) + CHOOSE(CONTROL!$C$27, 0.0021, 0)</f>
        <v>31.120899999999999</v>
      </c>
      <c r="H163" s="10">
        <f>30.9841 * CHOOSE(CONTROL!$C$9, $D$9, 100%, $F$9) + CHOOSE(CONTROL!$C$27, 0.0021, 0)</f>
        <v>30.9862</v>
      </c>
      <c r="I163" s="10">
        <f>30.9841 * CHOOSE(CONTROL!$C$9, $D$9, 100%, $F$9) + CHOOSE(CONTROL!$C$27, 0.0021, 0)</f>
        <v>30.9862</v>
      </c>
      <c r="J163" s="10">
        <f>30.9841 * CHOOSE(CONTROL!$C$9, $D$9, 100%, $F$9) + CHOOSE(CONTROL!$C$27, 0.0021, 0)</f>
        <v>30.9862</v>
      </c>
      <c r="K163" s="10">
        <f>30.9841 * CHOOSE(CONTROL!$C$9, $D$9, 100%, $F$9) + CHOOSE(CONTROL!$C$27, 0.0021, 0)</f>
        <v>30.9862</v>
      </c>
      <c r="L163" s="10"/>
    </row>
    <row r="164" spans="1:12" ht="15">
      <c r="A164" s="16">
        <v>46266</v>
      </c>
      <c r="B164" s="10">
        <f>32.0086 * CHOOSE(CONTROL!$C$9, $D$9, 100%, $F$9) + CHOOSE(CONTROL!$C$27, 0.0021, 0)</f>
        <v>32.0107</v>
      </c>
      <c r="C164" s="10">
        <f>31.5763 * CHOOSE(CONTROL!$C$9, $D$9, 100%, $F$9) + CHOOSE(CONTROL!$C$27, 0.0021, 0)</f>
        <v>31.578399999999998</v>
      </c>
      <c r="D164" s="10">
        <f>31.5763 * CHOOSE(CONTROL!$C$9, $D$9, 100%, $F$9) + CHOOSE(CONTROL!$C$27, 0.0021, 0)</f>
        <v>31.578399999999998</v>
      </c>
      <c r="E164" s="10">
        <f>31.4397 * CHOOSE(CONTROL!$C$9, $D$9, 100%, $F$9) + CHOOSE(CONTROL!$C$27, 0.0021, 0)</f>
        <v>31.441799999999997</v>
      </c>
      <c r="F164" s="10">
        <f>31.4397 * CHOOSE(CONTROL!$C$9, $D$9, 100%, $F$9) + CHOOSE(CONTROL!$C$27, 0.0021, 0)</f>
        <v>31.441799999999997</v>
      </c>
      <c r="G164" s="10">
        <f>31.711 * CHOOSE(CONTROL!$C$9, $D$9, 100%, $F$9) + CHOOSE(CONTROL!$C$27, 0.0021, 0)</f>
        <v>31.713099999999997</v>
      </c>
      <c r="H164" s="10">
        <f>31.5763 * CHOOSE(CONTROL!$C$9, $D$9, 100%, $F$9) + CHOOSE(CONTROL!$C$27, 0.0021, 0)</f>
        <v>31.578399999999998</v>
      </c>
      <c r="I164" s="10">
        <f>31.5763 * CHOOSE(CONTROL!$C$9, $D$9, 100%, $F$9) + CHOOSE(CONTROL!$C$27, 0.0021, 0)</f>
        <v>31.578399999999998</v>
      </c>
      <c r="J164" s="10">
        <f>31.5763 * CHOOSE(CONTROL!$C$9, $D$9, 100%, $F$9) + CHOOSE(CONTROL!$C$27, 0.0021, 0)</f>
        <v>31.578399999999998</v>
      </c>
      <c r="K164" s="10">
        <f>31.5763 * CHOOSE(CONTROL!$C$9, $D$9, 100%, $F$9) + CHOOSE(CONTROL!$C$27, 0.0021, 0)</f>
        <v>31.578399999999998</v>
      </c>
      <c r="L164" s="10"/>
    </row>
    <row r="165" spans="1:12" ht="15">
      <c r="A165" s="16">
        <v>46296</v>
      </c>
      <c r="B165" s="10">
        <f>32.7582 * CHOOSE(CONTROL!$C$9, $D$9, 100%, $F$9) + CHOOSE(CONTROL!$C$27, 0.0021, 0)</f>
        <v>32.760300000000001</v>
      </c>
      <c r="C165" s="10">
        <f>32.326 * CHOOSE(CONTROL!$C$9, $D$9, 100%, $F$9) + CHOOSE(CONTROL!$C$27, 0.0021, 0)</f>
        <v>32.328099999999999</v>
      </c>
      <c r="D165" s="10">
        <f>32.326 * CHOOSE(CONTROL!$C$9, $D$9, 100%, $F$9) + CHOOSE(CONTROL!$C$27, 0.0021, 0)</f>
        <v>32.328099999999999</v>
      </c>
      <c r="E165" s="10">
        <f>32.1893 * CHOOSE(CONTROL!$C$9, $D$9, 100%, $F$9) + CHOOSE(CONTROL!$C$27, 0.0021, 0)</f>
        <v>32.191400000000002</v>
      </c>
      <c r="F165" s="10">
        <f>32.1893 * CHOOSE(CONTROL!$C$9, $D$9, 100%, $F$9) + CHOOSE(CONTROL!$C$27, 0.0021, 0)</f>
        <v>32.191400000000002</v>
      </c>
      <c r="G165" s="10">
        <f>32.4607 * CHOOSE(CONTROL!$C$9, $D$9, 100%, $F$9) + CHOOSE(CONTROL!$C$27, 0.0021, 0)</f>
        <v>32.462800000000001</v>
      </c>
      <c r="H165" s="10">
        <f>32.326 * CHOOSE(CONTROL!$C$9, $D$9, 100%, $F$9) + CHOOSE(CONTROL!$C$27, 0.0021, 0)</f>
        <v>32.328099999999999</v>
      </c>
      <c r="I165" s="10">
        <f>32.326 * CHOOSE(CONTROL!$C$9, $D$9, 100%, $F$9) + CHOOSE(CONTROL!$C$27, 0.0021, 0)</f>
        <v>32.328099999999999</v>
      </c>
      <c r="J165" s="10">
        <f>32.326 * CHOOSE(CONTROL!$C$9, $D$9, 100%, $F$9) + CHOOSE(CONTROL!$C$27, 0.0021, 0)</f>
        <v>32.328099999999999</v>
      </c>
      <c r="K165" s="10">
        <f>32.326 * CHOOSE(CONTROL!$C$9, $D$9, 100%, $F$9) + CHOOSE(CONTROL!$C$27, 0.0021, 0)</f>
        <v>32.328099999999999</v>
      </c>
      <c r="L165" s="10"/>
    </row>
    <row r="166" spans="1:12" ht="15">
      <c r="A166" s="16">
        <v>46327</v>
      </c>
      <c r="B166" s="10">
        <f>32.8286 * CHOOSE(CONTROL!$C$9, $D$9, 100%, $F$9) + CHOOSE(CONTROL!$C$27, 0.0021, 0)</f>
        <v>32.8307</v>
      </c>
      <c r="C166" s="10">
        <f>32.3964 * CHOOSE(CONTROL!$C$9, $D$9, 100%, $F$9) + CHOOSE(CONTROL!$C$27, 0.0021, 0)</f>
        <v>32.398499999999999</v>
      </c>
      <c r="D166" s="10">
        <f>32.3964 * CHOOSE(CONTROL!$C$9, $D$9, 100%, $F$9) + CHOOSE(CONTROL!$C$27, 0.0021, 0)</f>
        <v>32.398499999999999</v>
      </c>
      <c r="E166" s="10">
        <f>32.2597 * CHOOSE(CONTROL!$C$9, $D$9, 100%, $F$9) + CHOOSE(CONTROL!$C$27, 0.0021, 0)</f>
        <v>32.261800000000001</v>
      </c>
      <c r="F166" s="10">
        <f>32.2597 * CHOOSE(CONTROL!$C$9, $D$9, 100%, $F$9) + CHOOSE(CONTROL!$C$27, 0.0021, 0)</f>
        <v>32.261800000000001</v>
      </c>
      <c r="G166" s="10">
        <f>32.5311 * CHOOSE(CONTROL!$C$9, $D$9, 100%, $F$9) + CHOOSE(CONTROL!$C$27, 0.0021, 0)</f>
        <v>32.533200000000001</v>
      </c>
      <c r="H166" s="10">
        <f>32.3964 * CHOOSE(CONTROL!$C$9, $D$9, 100%, $F$9) + CHOOSE(CONTROL!$C$27, 0.0021, 0)</f>
        <v>32.398499999999999</v>
      </c>
      <c r="I166" s="10">
        <f>32.3964 * CHOOSE(CONTROL!$C$9, $D$9, 100%, $F$9) + CHOOSE(CONTROL!$C$27, 0.0021, 0)</f>
        <v>32.398499999999999</v>
      </c>
      <c r="J166" s="10">
        <f>32.3964 * CHOOSE(CONTROL!$C$9, $D$9, 100%, $F$9) + CHOOSE(CONTROL!$C$27, 0.0021, 0)</f>
        <v>32.398499999999999</v>
      </c>
      <c r="K166" s="10">
        <f>32.3964 * CHOOSE(CONTROL!$C$9, $D$9, 100%, $F$9) + CHOOSE(CONTROL!$C$27, 0.0021, 0)</f>
        <v>32.398499999999999</v>
      </c>
      <c r="L166" s="10"/>
    </row>
    <row r="167" spans="1:12" ht="15">
      <c r="A167" s="16">
        <v>46357</v>
      </c>
      <c r="B167" s="10">
        <f>32.2299 * CHOOSE(CONTROL!$C$9, $D$9, 100%, $F$9) + CHOOSE(CONTROL!$C$27, 0.0021, 0)</f>
        <v>32.231999999999999</v>
      </c>
      <c r="C167" s="10">
        <f>31.7976 * CHOOSE(CONTROL!$C$9, $D$9, 100%, $F$9) + CHOOSE(CONTROL!$C$27, 0.0021, 0)</f>
        <v>31.799699999999998</v>
      </c>
      <c r="D167" s="10">
        <f>31.7976 * CHOOSE(CONTROL!$C$9, $D$9, 100%, $F$9) + CHOOSE(CONTROL!$C$27, 0.0021, 0)</f>
        <v>31.799699999999998</v>
      </c>
      <c r="E167" s="10">
        <f>31.661 * CHOOSE(CONTROL!$C$9, $D$9, 100%, $F$9) + CHOOSE(CONTROL!$C$27, 0.0021, 0)</f>
        <v>31.6631</v>
      </c>
      <c r="F167" s="10">
        <f>31.661 * CHOOSE(CONTROL!$C$9, $D$9, 100%, $F$9) + CHOOSE(CONTROL!$C$27, 0.0021, 0)</f>
        <v>31.6631</v>
      </c>
      <c r="G167" s="10">
        <f>31.9323 * CHOOSE(CONTROL!$C$9, $D$9, 100%, $F$9) + CHOOSE(CONTROL!$C$27, 0.0021, 0)</f>
        <v>31.9344</v>
      </c>
      <c r="H167" s="10">
        <f>31.7976 * CHOOSE(CONTROL!$C$9, $D$9, 100%, $F$9) + CHOOSE(CONTROL!$C$27, 0.0021, 0)</f>
        <v>31.799699999999998</v>
      </c>
      <c r="I167" s="10">
        <f>31.7976 * CHOOSE(CONTROL!$C$9, $D$9, 100%, $F$9) + CHOOSE(CONTROL!$C$27, 0.0021, 0)</f>
        <v>31.799699999999998</v>
      </c>
      <c r="J167" s="10">
        <f>31.7976 * CHOOSE(CONTROL!$C$9, $D$9, 100%, $F$9) + CHOOSE(CONTROL!$C$27, 0.0021, 0)</f>
        <v>31.799699999999998</v>
      </c>
      <c r="K167" s="10">
        <f>31.7976 * CHOOSE(CONTROL!$C$9, $D$9, 100%, $F$9) + CHOOSE(CONTROL!$C$27, 0.0021, 0)</f>
        <v>31.799699999999998</v>
      </c>
      <c r="L167" s="10"/>
    </row>
    <row r="168" spans="1:12" ht="15">
      <c r="A168" s="16">
        <v>46388</v>
      </c>
      <c r="B168" s="10">
        <f>32.3734 * CHOOSE(CONTROL!$C$9, $D$9, 100%, $F$9) + CHOOSE(CONTROL!$C$27, 0.0021, 0)</f>
        <v>32.375499999999995</v>
      </c>
      <c r="C168" s="10">
        <f>31.9412 * CHOOSE(CONTROL!$C$9, $D$9, 100%, $F$9) + CHOOSE(CONTROL!$C$27, 0.0021, 0)</f>
        <v>31.943299999999997</v>
      </c>
      <c r="D168" s="10">
        <f>31.9412 * CHOOSE(CONTROL!$C$9, $D$9, 100%, $F$9) + CHOOSE(CONTROL!$C$27, 0.0021, 0)</f>
        <v>31.943299999999997</v>
      </c>
      <c r="E168" s="10">
        <f>31.8045 * CHOOSE(CONTROL!$C$9, $D$9, 100%, $F$9) + CHOOSE(CONTROL!$C$27, 0.0021, 0)</f>
        <v>31.8066</v>
      </c>
      <c r="F168" s="10">
        <f>31.8045 * CHOOSE(CONTROL!$C$9, $D$9, 100%, $F$9) + CHOOSE(CONTROL!$C$27, 0.0021, 0)</f>
        <v>31.8066</v>
      </c>
      <c r="G168" s="10">
        <f>32.0759 * CHOOSE(CONTROL!$C$9, $D$9, 100%, $F$9) + CHOOSE(CONTROL!$C$27, 0.0021, 0)</f>
        <v>32.077999999999996</v>
      </c>
      <c r="H168" s="10">
        <f>31.9412 * CHOOSE(CONTROL!$C$9, $D$9, 100%, $F$9) + CHOOSE(CONTROL!$C$27, 0.0021, 0)</f>
        <v>31.943299999999997</v>
      </c>
      <c r="I168" s="10">
        <f>31.9412 * CHOOSE(CONTROL!$C$9, $D$9, 100%, $F$9) + CHOOSE(CONTROL!$C$27, 0.0021, 0)</f>
        <v>31.943299999999997</v>
      </c>
      <c r="J168" s="10">
        <f>31.9412 * CHOOSE(CONTROL!$C$9, $D$9, 100%, $F$9) + CHOOSE(CONTROL!$C$27, 0.0021, 0)</f>
        <v>31.943299999999997</v>
      </c>
      <c r="K168" s="10">
        <f>31.9412 * CHOOSE(CONTROL!$C$9, $D$9, 100%, $F$9) + CHOOSE(CONTROL!$C$27, 0.0021, 0)</f>
        <v>31.943299999999997</v>
      </c>
      <c r="L168" s="10"/>
    </row>
    <row r="169" spans="1:12" ht="15">
      <c r="A169" s="16">
        <v>46419</v>
      </c>
      <c r="B169" s="10">
        <f>31.5226 * CHOOSE(CONTROL!$C$9, $D$9, 100%, $F$9) + CHOOSE(CONTROL!$C$27, 0.0021, 0)</f>
        <v>31.524699999999999</v>
      </c>
      <c r="C169" s="10">
        <f>31.0903 * CHOOSE(CONTROL!$C$9, $D$9, 100%, $F$9) + CHOOSE(CONTROL!$C$27, 0.0021, 0)</f>
        <v>31.092399999999998</v>
      </c>
      <c r="D169" s="10">
        <f>31.0903 * CHOOSE(CONTROL!$C$9, $D$9, 100%, $F$9) + CHOOSE(CONTROL!$C$27, 0.0021, 0)</f>
        <v>31.092399999999998</v>
      </c>
      <c r="E169" s="10">
        <f>30.9537 * CHOOSE(CONTROL!$C$9, $D$9, 100%, $F$9) + CHOOSE(CONTROL!$C$27, 0.0021, 0)</f>
        <v>30.9558</v>
      </c>
      <c r="F169" s="10">
        <f>30.9537 * CHOOSE(CONTROL!$C$9, $D$9, 100%, $F$9) + CHOOSE(CONTROL!$C$27, 0.0021, 0)</f>
        <v>30.9558</v>
      </c>
      <c r="G169" s="10">
        <f>31.225 * CHOOSE(CONTROL!$C$9, $D$9, 100%, $F$9) + CHOOSE(CONTROL!$C$27, 0.0021, 0)</f>
        <v>31.2271</v>
      </c>
      <c r="H169" s="10">
        <f>31.0903 * CHOOSE(CONTROL!$C$9, $D$9, 100%, $F$9) + CHOOSE(CONTROL!$C$27, 0.0021, 0)</f>
        <v>31.092399999999998</v>
      </c>
      <c r="I169" s="10">
        <f>31.0903 * CHOOSE(CONTROL!$C$9, $D$9, 100%, $F$9) + CHOOSE(CONTROL!$C$27, 0.0021, 0)</f>
        <v>31.092399999999998</v>
      </c>
      <c r="J169" s="10">
        <f>31.0903 * CHOOSE(CONTROL!$C$9, $D$9, 100%, $F$9) + CHOOSE(CONTROL!$C$27, 0.0021, 0)</f>
        <v>31.092399999999998</v>
      </c>
      <c r="K169" s="10">
        <f>31.0903 * CHOOSE(CONTROL!$C$9, $D$9, 100%, $F$9) + CHOOSE(CONTROL!$C$27, 0.0021, 0)</f>
        <v>31.092399999999998</v>
      </c>
      <c r="L169" s="10"/>
    </row>
    <row r="170" spans="1:12" ht="15">
      <c r="A170" s="16">
        <v>46447</v>
      </c>
      <c r="B170" s="10">
        <f>31.1713 * CHOOSE(CONTROL!$C$9, $D$9, 100%, $F$9) + CHOOSE(CONTROL!$C$27, 0.0021, 0)</f>
        <v>31.173399999999997</v>
      </c>
      <c r="C170" s="10">
        <f>30.7391 * CHOOSE(CONTROL!$C$9, $D$9, 100%, $F$9) + CHOOSE(CONTROL!$C$27, 0.0021, 0)</f>
        <v>30.741199999999999</v>
      </c>
      <c r="D170" s="10">
        <f>30.7391 * CHOOSE(CONTROL!$C$9, $D$9, 100%, $F$9) + CHOOSE(CONTROL!$C$27, 0.0021, 0)</f>
        <v>30.741199999999999</v>
      </c>
      <c r="E170" s="10">
        <f>30.6024 * CHOOSE(CONTROL!$C$9, $D$9, 100%, $F$9) + CHOOSE(CONTROL!$C$27, 0.0021, 0)</f>
        <v>30.604499999999998</v>
      </c>
      <c r="F170" s="10">
        <f>30.6024 * CHOOSE(CONTROL!$C$9, $D$9, 100%, $F$9) + CHOOSE(CONTROL!$C$27, 0.0021, 0)</f>
        <v>30.604499999999998</v>
      </c>
      <c r="G170" s="10">
        <f>30.8738 * CHOOSE(CONTROL!$C$9, $D$9, 100%, $F$9) + CHOOSE(CONTROL!$C$27, 0.0021, 0)</f>
        <v>30.875899999999998</v>
      </c>
      <c r="H170" s="10">
        <f>30.7391 * CHOOSE(CONTROL!$C$9, $D$9, 100%, $F$9) + CHOOSE(CONTROL!$C$27, 0.0021, 0)</f>
        <v>30.741199999999999</v>
      </c>
      <c r="I170" s="10">
        <f>30.7391 * CHOOSE(CONTROL!$C$9, $D$9, 100%, $F$9) + CHOOSE(CONTROL!$C$27, 0.0021, 0)</f>
        <v>30.741199999999999</v>
      </c>
      <c r="J170" s="10">
        <f>30.7391 * CHOOSE(CONTROL!$C$9, $D$9, 100%, $F$9) + CHOOSE(CONTROL!$C$27, 0.0021, 0)</f>
        <v>30.741199999999999</v>
      </c>
      <c r="K170" s="10">
        <f>30.7391 * CHOOSE(CONTROL!$C$9, $D$9, 100%, $F$9) + CHOOSE(CONTROL!$C$27, 0.0021, 0)</f>
        <v>30.741199999999999</v>
      </c>
      <c r="L170" s="10"/>
    </row>
    <row r="171" spans="1:12" ht="15">
      <c r="A171" s="16">
        <v>46478</v>
      </c>
      <c r="B171" s="10">
        <f>30.752 * CHOOSE(CONTROL!$C$9, $D$9, 100%, $F$9) + CHOOSE(CONTROL!$C$27, 0.0021, 0)</f>
        <v>30.754099999999998</v>
      </c>
      <c r="C171" s="10">
        <f>30.3197 * CHOOSE(CONTROL!$C$9, $D$9, 100%, $F$9) + CHOOSE(CONTROL!$C$27, 0.0021, 0)</f>
        <v>30.3218</v>
      </c>
      <c r="D171" s="10">
        <f>30.3197 * CHOOSE(CONTROL!$C$9, $D$9, 100%, $F$9) + CHOOSE(CONTROL!$C$27, 0.0021, 0)</f>
        <v>30.3218</v>
      </c>
      <c r="E171" s="10">
        <f>30.1831 * CHOOSE(CONTROL!$C$9, $D$9, 100%, $F$9) + CHOOSE(CONTROL!$C$27, 0.0021, 0)</f>
        <v>30.185199999999998</v>
      </c>
      <c r="F171" s="10">
        <f>30.1831 * CHOOSE(CONTROL!$C$9, $D$9, 100%, $F$9) + CHOOSE(CONTROL!$C$27, 0.0021, 0)</f>
        <v>30.185199999999998</v>
      </c>
      <c r="G171" s="10">
        <f>30.4544 * CHOOSE(CONTROL!$C$9, $D$9, 100%, $F$9) + CHOOSE(CONTROL!$C$27, 0.0021, 0)</f>
        <v>30.456499999999998</v>
      </c>
      <c r="H171" s="10">
        <f>30.3197 * CHOOSE(CONTROL!$C$9, $D$9, 100%, $F$9) + CHOOSE(CONTROL!$C$27, 0.0021, 0)</f>
        <v>30.3218</v>
      </c>
      <c r="I171" s="10">
        <f>30.3197 * CHOOSE(CONTROL!$C$9, $D$9, 100%, $F$9) + CHOOSE(CONTROL!$C$27, 0.0021, 0)</f>
        <v>30.3218</v>
      </c>
      <c r="J171" s="10">
        <f>30.3197 * CHOOSE(CONTROL!$C$9, $D$9, 100%, $F$9) + CHOOSE(CONTROL!$C$27, 0.0021, 0)</f>
        <v>30.3218</v>
      </c>
      <c r="K171" s="10">
        <f>30.3197 * CHOOSE(CONTROL!$C$9, $D$9, 100%, $F$9) + CHOOSE(CONTROL!$C$27, 0.0021, 0)</f>
        <v>30.3218</v>
      </c>
      <c r="L171" s="10"/>
    </row>
    <row r="172" spans="1:12" ht="15">
      <c r="A172" s="16">
        <v>46508</v>
      </c>
      <c r="B172" s="10">
        <f>31.3496 * CHOOSE(CONTROL!$C$9, $D$9, 100%, $F$9) + CHOOSE(CONTROL!$C$27, 0.0021, 0)</f>
        <v>31.351699999999997</v>
      </c>
      <c r="C172" s="10">
        <f>30.9174 * CHOOSE(CONTROL!$C$9, $D$9, 100%, $F$9) + CHOOSE(CONTROL!$C$27, 0.0021, 0)</f>
        <v>30.919499999999999</v>
      </c>
      <c r="D172" s="10">
        <f>30.9174 * CHOOSE(CONTROL!$C$9, $D$9, 100%, $F$9) + CHOOSE(CONTROL!$C$27, 0.0021, 0)</f>
        <v>30.919499999999999</v>
      </c>
      <c r="E172" s="10">
        <f>30.7807 * CHOOSE(CONTROL!$C$9, $D$9, 100%, $F$9) + CHOOSE(CONTROL!$C$27, 0.0021, 0)</f>
        <v>30.782799999999998</v>
      </c>
      <c r="F172" s="10">
        <f>30.7807 * CHOOSE(CONTROL!$C$9, $D$9, 100%, $F$9) + CHOOSE(CONTROL!$C$27, 0.0021, 0)</f>
        <v>30.782799999999998</v>
      </c>
      <c r="G172" s="10">
        <f>31.0521 * CHOOSE(CONTROL!$C$9, $D$9, 100%, $F$9) + CHOOSE(CONTROL!$C$27, 0.0021, 0)</f>
        <v>31.054199999999998</v>
      </c>
      <c r="H172" s="10">
        <f>30.9174 * CHOOSE(CONTROL!$C$9, $D$9, 100%, $F$9) + CHOOSE(CONTROL!$C$27, 0.0021, 0)</f>
        <v>30.919499999999999</v>
      </c>
      <c r="I172" s="10">
        <f>30.9174 * CHOOSE(CONTROL!$C$9, $D$9, 100%, $F$9) + CHOOSE(CONTROL!$C$27, 0.0021, 0)</f>
        <v>30.919499999999999</v>
      </c>
      <c r="J172" s="10">
        <f>30.9174 * CHOOSE(CONTROL!$C$9, $D$9, 100%, $F$9) + CHOOSE(CONTROL!$C$27, 0.0021, 0)</f>
        <v>30.919499999999999</v>
      </c>
      <c r="K172" s="10">
        <f>30.9174 * CHOOSE(CONTROL!$C$9, $D$9, 100%, $F$9) + CHOOSE(CONTROL!$C$27, 0.0021, 0)</f>
        <v>30.919499999999999</v>
      </c>
      <c r="L172" s="10"/>
    </row>
    <row r="173" spans="1:12" ht="15">
      <c r="A173" s="16">
        <v>46539</v>
      </c>
      <c r="B173" s="10">
        <f>31.7076 * CHOOSE(CONTROL!$C$9, $D$9, 100%, $F$9) + CHOOSE(CONTROL!$C$27, 0.0021, 0)</f>
        <v>31.709699999999998</v>
      </c>
      <c r="C173" s="10">
        <f>31.2754 * CHOOSE(CONTROL!$C$9, $D$9, 100%, $F$9) + CHOOSE(CONTROL!$C$27, 0.0021, 0)</f>
        <v>31.2775</v>
      </c>
      <c r="D173" s="10">
        <f>31.2754 * CHOOSE(CONTROL!$C$9, $D$9, 100%, $F$9) + CHOOSE(CONTROL!$C$27, 0.0021, 0)</f>
        <v>31.2775</v>
      </c>
      <c r="E173" s="10">
        <f>31.1387 * CHOOSE(CONTROL!$C$9, $D$9, 100%, $F$9) + CHOOSE(CONTROL!$C$27, 0.0021, 0)</f>
        <v>31.140799999999999</v>
      </c>
      <c r="F173" s="10">
        <f>31.1387 * CHOOSE(CONTROL!$C$9, $D$9, 100%, $F$9) + CHOOSE(CONTROL!$C$27, 0.0021, 0)</f>
        <v>31.140799999999999</v>
      </c>
      <c r="G173" s="10">
        <f>31.4101 * CHOOSE(CONTROL!$C$9, $D$9, 100%, $F$9) + CHOOSE(CONTROL!$C$27, 0.0021, 0)</f>
        <v>31.412199999999999</v>
      </c>
      <c r="H173" s="10">
        <f>31.2754 * CHOOSE(CONTROL!$C$9, $D$9, 100%, $F$9) + CHOOSE(CONTROL!$C$27, 0.0021, 0)</f>
        <v>31.2775</v>
      </c>
      <c r="I173" s="10">
        <f>31.2754 * CHOOSE(CONTROL!$C$9, $D$9, 100%, $F$9) + CHOOSE(CONTROL!$C$27, 0.0021, 0)</f>
        <v>31.2775</v>
      </c>
      <c r="J173" s="10">
        <f>31.2754 * CHOOSE(CONTROL!$C$9, $D$9, 100%, $F$9) + CHOOSE(CONTROL!$C$27, 0.0021, 0)</f>
        <v>31.2775</v>
      </c>
      <c r="K173" s="10">
        <f>31.2754 * CHOOSE(CONTROL!$C$9, $D$9, 100%, $F$9) + CHOOSE(CONTROL!$C$27, 0.0021, 0)</f>
        <v>31.2775</v>
      </c>
      <c r="L173" s="10"/>
    </row>
    <row r="174" spans="1:12" ht="15">
      <c r="A174" s="16">
        <v>46569</v>
      </c>
      <c r="B174" s="10">
        <f>32.2981 * CHOOSE(CONTROL!$C$9, $D$9, 100%, $F$9) + CHOOSE(CONTROL!$C$27, 0.0021, 0)</f>
        <v>32.300199999999997</v>
      </c>
      <c r="C174" s="10">
        <f>31.8659 * CHOOSE(CONTROL!$C$9, $D$9, 100%, $F$9) + CHOOSE(CONTROL!$C$27, 0.0021, 0)</f>
        <v>31.867999999999999</v>
      </c>
      <c r="D174" s="10">
        <f>31.8659 * CHOOSE(CONTROL!$C$9, $D$9, 100%, $F$9) + CHOOSE(CONTROL!$C$27, 0.0021, 0)</f>
        <v>31.867999999999999</v>
      </c>
      <c r="E174" s="10">
        <f>31.7292 * CHOOSE(CONTROL!$C$9, $D$9, 100%, $F$9) + CHOOSE(CONTROL!$C$27, 0.0021, 0)</f>
        <v>31.731299999999997</v>
      </c>
      <c r="F174" s="10">
        <f>31.7292 * CHOOSE(CONTROL!$C$9, $D$9, 100%, $F$9) + CHOOSE(CONTROL!$C$27, 0.0021, 0)</f>
        <v>31.731299999999997</v>
      </c>
      <c r="G174" s="10">
        <f>32.0006 * CHOOSE(CONTROL!$C$9, $D$9, 100%, $F$9) + CHOOSE(CONTROL!$C$27, 0.0021, 0)</f>
        <v>32.002699999999997</v>
      </c>
      <c r="H174" s="10">
        <f>31.8659 * CHOOSE(CONTROL!$C$9, $D$9, 100%, $F$9) + CHOOSE(CONTROL!$C$27, 0.0021, 0)</f>
        <v>31.867999999999999</v>
      </c>
      <c r="I174" s="10">
        <f>31.8659 * CHOOSE(CONTROL!$C$9, $D$9, 100%, $F$9) + CHOOSE(CONTROL!$C$27, 0.0021, 0)</f>
        <v>31.867999999999999</v>
      </c>
      <c r="J174" s="10">
        <f>31.8659 * CHOOSE(CONTROL!$C$9, $D$9, 100%, $F$9) + CHOOSE(CONTROL!$C$27, 0.0021, 0)</f>
        <v>31.867999999999999</v>
      </c>
      <c r="K174" s="10">
        <f>31.8659 * CHOOSE(CONTROL!$C$9, $D$9, 100%, $F$9) + CHOOSE(CONTROL!$C$27, 0.0021, 0)</f>
        <v>31.867999999999999</v>
      </c>
      <c r="L174" s="10"/>
    </row>
    <row r="175" spans="1:12" ht="15">
      <c r="A175" s="16">
        <v>46600</v>
      </c>
      <c r="B175" s="10">
        <f>32.4784 * CHOOSE(CONTROL!$C$9, $D$9, 100%, $F$9) + CHOOSE(CONTROL!$C$27, 0.0021, 0)</f>
        <v>32.480499999999999</v>
      </c>
      <c r="C175" s="10">
        <f>32.0461 * CHOOSE(CONTROL!$C$9, $D$9, 100%, $F$9) + CHOOSE(CONTROL!$C$27, 0.0021, 0)</f>
        <v>32.048200000000001</v>
      </c>
      <c r="D175" s="10">
        <f>32.0461 * CHOOSE(CONTROL!$C$9, $D$9, 100%, $F$9) + CHOOSE(CONTROL!$C$27, 0.0021, 0)</f>
        <v>32.048200000000001</v>
      </c>
      <c r="E175" s="10">
        <f>31.9095 * CHOOSE(CONTROL!$C$9, $D$9, 100%, $F$9) + CHOOSE(CONTROL!$C$27, 0.0021, 0)</f>
        <v>31.9116</v>
      </c>
      <c r="F175" s="10">
        <f>31.9095 * CHOOSE(CONTROL!$C$9, $D$9, 100%, $F$9) + CHOOSE(CONTROL!$C$27, 0.0021, 0)</f>
        <v>31.9116</v>
      </c>
      <c r="G175" s="10">
        <f>32.1809 * CHOOSE(CONTROL!$C$9, $D$9, 100%, $F$9) + CHOOSE(CONTROL!$C$27, 0.0021, 0)</f>
        <v>32.183</v>
      </c>
      <c r="H175" s="10">
        <f>32.0461 * CHOOSE(CONTROL!$C$9, $D$9, 100%, $F$9) + CHOOSE(CONTROL!$C$27, 0.0021, 0)</f>
        <v>32.048200000000001</v>
      </c>
      <c r="I175" s="10">
        <f>32.0461 * CHOOSE(CONTROL!$C$9, $D$9, 100%, $F$9) + CHOOSE(CONTROL!$C$27, 0.0021, 0)</f>
        <v>32.048200000000001</v>
      </c>
      <c r="J175" s="10">
        <f>32.0461 * CHOOSE(CONTROL!$C$9, $D$9, 100%, $F$9) + CHOOSE(CONTROL!$C$27, 0.0021, 0)</f>
        <v>32.048200000000001</v>
      </c>
      <c r="K175" s="10">
        <f>32.0461 * CHOOSE(CONTROL!$C$9, $D$9, 100%, $F$9) + CHOOSE(CONTROL!$C$27, 0.0021, 0)</f>
        <v>32.048200000000001</v>
      </c>
      <c r="L175" s="10"/>
    </row>
    <row r="176" spans="1:12" ht="15">
      <c r="A176" s="16">
        <v>46631</v>
      </c>
      <c r="B176" s="10">
        <f>33.0922 * CHOOSE(CONTROL!$C$9, $D$9, 100%, $F$9) + CHOOSE(CONTROL!$C$27, 0.0021, 0)</f>
        <v>33.094299999999997</v>
      </c>
      <c r="C176" s="10">
        <f>32.66 * CHOOSE(CONTROL!$C$9, $D$9, 100%, $F$9) + CHOOSE(CONTROL!$C$27, 0.0021, 0)</f>
        <v>32.662099999999995</v>
      </c>
      <c r="D176" s="10">
        <f>32.66 * CHOOSE(CONTROL!$C$9, $D$9, 100%, $F$9) + CHOOSE(CONTROL!$C$27, 0.0021, 0)</f>
        <v>32.662099999999995</v>
      </c>
      <c r="E176" s="10">
        <f>32.5233 * CHOOSE(CONTROL!$C$9, $D$9, 100%, $F$9) + CHOOSE(CONTROL!$C$27, 0.0021, 0)</f>
        <v>32.525399999999998</v>
      </c>
      <c r="F176" s="10">
        <f>32.5233 * CHOOSE(CONTROL!$C$9, $D$9, 100%, $F$9) + CHOOSE(CONTROL!$C$27, 0.0021, 0)</f>
        <v>32.525399999999998</v>
      </c>
      <c r="G176" s="10">
        <f>32.7947 * CHOOSE(CONTROL!$C$9, $D$9, 100%, $F$9) + CHOOSE(CONTROL!$C$27, 0.0021, 0)</f>
        <v>32.796799999999998</v>
      </c>
      <c r="H176" s="10">
        <f>32.66 * CHOOSE(CONTROL!$C$9, $D$9, 100%, $F$9) + CHOOSE(CONTROL!$C$27, 0.0021, 0)</f>
        <v>32.662099999999995</v>
      </c>
      <c r="I176" s="10">
        <f>32.66 * CHOOSE(CONTROL!$C$9, $D$9, 100%, $F$9) + CHOOSE(CONTROL!$C$27, 0.0021, 0)</f>
        <v>32.662099999999995</v>
      </c>
      <c r="J176" s="10">
        <f>32.66 * CHOOSE(CONTROL!$C$9, $D$9, 100%, $F$9) + CHOOSE(CONTROL!$C$27, 0.0021, 0)</f>
        <v>32.662099999999995</v>
      </c>
      <c r="K176" s="10">
        <f>32.66 * CHOOSE(CONTROL!$C$9, $D$9, 100%, $F$9) + CHOOSE(CONTROL!$C$27, 0.0021, 0)</f>
        <v>32.662099999999995</v>
      </c>
      <c r="L176" s="10"/>
    </row>
    <row r="177" spans="1:12" ht="15">
      <c r="A177" s="16">
        <v>46661</v>
      </c>
      <c r="B177" s="10">
        <f>33.8692 * CHOOSE(CONTROL!$C$9, $D$9, 100%, $F$9) + CHOOSE(CONTROL!$C$27, 0.0021, 0)</f>
        <v>33.871299999999998</v>
      </c>
      <c r="C177" s="10">
        <f>33.437 * CHOOSE(CONTROL!$C$9, $D$9, 100%, $F$9) + CHOOSE(CONTROL!$C$27, 0.0021, 0)</f>
        <v>33.439099999999996</v>
      </c>
      <c r="D177" s="10">
        <f>33.437 * CHOOSE(CONTROL!$C$9, $D$9, 100%, $F$9) + CHOOSE(CONTROL!$C$27, 0.0021, 0)</f>
        <v>33.439099999999996</v>
      </c>
      <c r="E177" s="10">
        <f>33.3003 * CHOOSE(CONTROL!$C$9, $D$9, 100%, $F$9) + CHOOSE(CONTROL!$C$27, 0.0021, 0)</f>
        <v>33.302399999999999</v>
      </c>
      <c r="F177" s="10">
        <f>33.3003 * CHOOSE(CONTROL!$C$9, $D$9, 100%, $F$9) + CHOOSE(CONTROL!$C$27, 0.0021, 0)</f>
        <v>33.302399999999999</v>
      </c>
      <c r="G177" s="10">
        <f>33.5717 * CHOOSE(CONTROL!$C$9, $D$9, 100%, $F$9) + CHOOSE(CONTROL!$C$27, 0.0021, 0)</f>
        <v>33.573799999999999</v>
      </c>
      <c r="H177" s="10">
        <f>33.437 * CHOOSE(CONTROL!$C$9, $D$9, 100%, $F$9) + CHOOSE(CONTROL!$C$27, 0.0021, 0)</f>
        <v>33.439099999999996</v>
      </c>
      <c r="I177" s="10">
        <f>33.437 * CHOOSE(CONTROL!$C$9, $D$9, 100%, $F$9) + CHOOSE(CONTROL!$C$27, 0.0021, 0)</f>
        <v>33.439099999999996</v>
      </c>
      <c r="J177" s="10">
        <f>33.437 * CHOOSE(CONTROL!$C$9, $D$9, 100%, $F$9) + CHOOSE(CONTROL!$C$27, 0.0021, 0)</f>
        <v>33.439099999999996</v>
      </c>
      <c r="K177" s="10">
        <f>33.437 * CHOOSE(CONTROL!$C$9, $D$9, 100%, $F$9) + CHOOSE(CONTROL!$C$27, 0.0021, 0)</f>
        <v>33.439099999999996</v>
      </c>
      <c r="L177" s="10"/>
    </row>
    <row r="178" spans="1:12" ht="15">
      <c r="A178" s="16">
        <v>46692</v>
      </c>
      <c r="B178" s="10">
        <f>33.9422 * CHOOSE(CONTROL!$C$9, $D$9, 100%, $F$9) + CHOOSE(CONTROL!$C$27, 0.0021, 0)</f>
        <v>33.944299999999998</v>
      </c>
      <c r="C178" s="10">
        <f>33.5099 * CHOOSE(CONTROL!$C$9, $D$9, 100%, $F$9) + CHOOSE(CONTROL!$C$27, 0.0021, 0)</f>
        <v>33.512</v>
      </c>
      <c r="D178" s="10">
        <f>33.5099 * CHOOSE(CONTROL!$C$9, $D$9, 100%, $F$9) + CHOOSE(CONTROL!$C$27, 0.0021, 0)</f>
        <v>33.512</v>
      </c>
      <c r="E178" s="10">
        <f>33.3733 * CHOOSE(CONTROL!$C$9, $D$9, 100%, $F$9) + CHOOSE(CONTROL!$C$27, 0.0021, 0)</f>
        <v>33.375399999999999</v>
      </c>
      <c r="F178" s="10">
        <f>33.3733 * CHOOSE(CONTROL!$C$9, $D$9, 100%, $F$9) + CHOOSE(CONTROL!$C$27, 0.0021, 0)</f>
        <v>33.375399999999999</v>
      </c>
      <c r="G178" s="10">
        <f>33.6446 * CHOOSE(CONTROL!$C$9, $D$9, 100%, $F$9) + CHOOSE(CONTROL!$C$27, 0.0021, 0)</f>
        <v>33.646699999999996</v>
      </c>
      <c r="H178" s="10">
        <f>33.5099 * CHOOSE(CONTROL!$C$9, $D$9, 100%, $F$9) + CHOOSE(CONTROL!$C$27, 0.0021, 0)</f>
        <v>33.512</v>
      </c>
      <c r="I178" s="10">
        <f>33.5099 * CHOOSE(CONTROL!$C$9, $D$9, 100%, $F$9) + CHOOSE(CONTROL!$C$27, 0.0021, 0)</f>
        <v>33.512</v>
      </c>
      <c r="J178" s="10">
        <f>33.5099 * CHOOSE(CONTROL!$C$9, $D$9, 100%, $F$9) + CHOOSE(CONTROL!$C$27, 0.0021, 0)</f>
        <v>33.512</v>
      </c>
      <c r="K178" s="10">
        <f>33.5099 * CHOOSE(CONTROL!$C$9, $D$9, 100%, $F$9) + CHOOSE(CONTROL!$C$27, 0.0021, 0)</f>
        <v>33.512</v>
      </c>
      <c r="L178" s="10"/>
    </row>
    <row r="179" spans="1:12" ht="15">
      <c r="A179" s="16">
        <v>46722</v>
      </c>
      <c r="B179" s="10">
        <f>33.3216 * CHOOSE(CONTROL!$C$9, $D$9, 100%, $F$9) + CHOOSE(CONTROL!$C$27, 0.0021, 0)</f>
        <v>33.323699999999995</v>
      </c>
      <c r="C179" s="10">
        <f>32.8893 * CHOOSE(CONTROL!$C$9, $D$9, 100%, $F$9) + CHOOSE(CONTROL!$C$27, 0.0021, 0)</f>
        <v>32.891399999999997</v>
      </c>
      <c r="D179" s="10">
        <f>32.8893 * CHOOSE(CONTROL!$C$9, $D$9, 100%, $F$9) + CHOOSE(CONTROL!$C$27, 0.0021, 0)</f>
        <v>32.891399999999997</v>
      </c>
      <c r="E179" s="10">
        <f>32.7527 * CHOOSE(CONTROL!$C$9, $D$9, 100%, $F$9) + CHOOSE(CONTROL!$C$27, 0.0021, 0)</f>
        <v>32.754799999999996</v>
      </c>
      <c r="F179" s="10">
        <f>32.7527 * CHOOSE(CONTROL!$C$9, $D$9, 100%, $F$9) + CHOOSE(CONTROL!$C$27, 0.0021, 0)</f>
        <v>32.754799999999996</v>
      </c>
      <c r="G179" s="10">
        <f>33.0241 * CHOOSE(CONTROL!$C$9, $D$9, 100%, $F$9) + CHOOSE(CONTROL!$C$27, 0.0021, 0)</f>
        <v>33.026199999999996</v>
      </c>
      <c r="H179" s="10">
        <f>32.8893 * CHOOSE(CONTROL!$C$9, $D$9, 100%, $F$9) + CHOOSE(CONTROL!$C$27, 0.0021, 0)</f>
        <v>32.891399999999997</v>
      </c>
      <c r="I179" s="10">
        <f>32.8893 * CHOOSE(CONTROL!$C$9, $D$9, 100%, $F$9) + CHOOSE(CONTROL!$C$27, 0.0021, 0)</f>
        <v>32.891399999999997</v>
      </c>
      <c r="J179" s="10">
        <f>32.8893 * CHOOSE(CONTROL!$C$9, $D$9, 100%, $F$9) + CHOOSE(CONTROL!$C$27, 0.0021, 0)</f>
        <v>32.891399999999997</v>
      </c>
      <c r="K179" s="10">
        <f>32.8893 * CHOOSE(CONTROL!$C$9, $D$9, 100%, $F$9) + CHOOSE(CONTROL!$C$27, 0.0021, 0)</f>
        <v>32.891399999999997</v>
      </c>
      <c r="L179" s="10"/>
    </row>
    <row r="180" spans="1:12" ht="15">
      <c r="A180" s="16">
        <v>46753</v>
      </c>
      <c r="B180" s="10">
        <f>33.4267 * CHOOSE(CONTROL!$C$9, $D$9, 100%, $F$9) + CHOOSE(CONTROL!$C$27, 0.0021, 0)</f>
        <v>33.428799999999995</v>
      </c>
      <c r="C180" s="10">
        <f>32.9944 * CHOOSE(CONTROL!$C$9, $D$9, 100%, $F$9) + CHOOSE(CONTROL!$C$27, 0.0021, 0)</f>
        <v>32.996499999999997</v>
      </c>
      <c r="D180" s="10">
        <f>32.9944 * CHOOSE(CONTROL!$C$9, $D$9, 100%, $F$9) + CHOOSE(CONTROL!$C$27, 0.0021, 0)</f>
        <v>32.996499999999997</v>
      </c>
      <c r="E180" s="10">
        <f>32.8577 * CHOOSE(CONTROL!$C$9, $D$9, 100%, $F$9) + CHOOSE(CONTROL!$C$27, 0.0021, 0)</f>
        <v>32.8598</v>
      </c>
      <c r="F180" s="10">
        <f>32.8577 * CHOOSE(CONTROL!$C$9, $D$9, 100%, $F$9) + CHOOSE(CONTROL!$C$27, 0.0021, 0)</f>
        <v>32.8598</v>
      </c>
      <c r="G180" s="10">
        <f>33.1291 * CHOOSE(CONTROL!$C$9, $D$9, 100%, $F$9) + CHOOSE(CONTROL!$C$27, 0.0021, 0)</f>
        <v>33.1312</v>
      </c>
      <c r="H180" s="10">
        <f>32.9944 * CHOOSE(CONTROL!$C$9, $D$9, 100%, $F$9) + CHOOSE(CONTROL!$C$27, 0.0021, 0)</f>
        <v>32.996499999999997</v>
      </c>
      <c r="I180" s="10">
        <f>32.9944 * CHOOSE(CONTROL!$C$9, $D$9, 100%, $F$9) + CHOOSE(CONTROL!$C$27, 0.0021, 0)</f>
        <v>32.996499999999997</v>
      </c>
      <c r="J180" s="10">
        <f>32.9944 * CHOOSE(CONTROL!$C$9, $D$9, 100%, $F$9) + CHOOSE(CONTROL!$C$27, 0.0021, 0)</f>
        <v>32.996499999999997</v>
      </c>
      <c r="K180" s="10">
        <f>32.9944 * CHOOSE(CONTROL!$C$9, $D$9, 100%, $F$9) + CHOOSE(CONTROL!$C$27, 0.0021, 0)</f>
        <v>32.996499999999997</v>
      </c>
      <c r="L180" s="10"/>
    </row>
    <row r="181" spans="1:12" ht="15">
      <c r="A181" s="16">
        <v>46784</v>
      </c>
      <c r="B181" s="10">
        <f>32.546 * CHOOSE(CONTROL!$C$9, $D$9, 100%, $F$9) + CHOOSE(CONTROL!$C$27, 0.0021, 0)</f>
        <v>32.548099999999998</v>
      </c>
      <c r="C181" s="10">
        <f>32.1138 * CHOOSE(CONTROL!$C$9, $D$9, 100%, $F$9) + CHOOSE(CONTROL!$C$27, 0.0021, 0)</f>
        <v>32.115899999999996</v>
      </c>
      <c r="D181" s="10">
        <f>32.1138 * CHOOSE(CONTROL!$C$9, $D$9, 100%, $F$9) + CHOOSE(CONTROL!$C$27, 0.0021, 0)</f>
        <v>32.115899999999996</v>
      </c>
      <c r="E181" s="10">
        <f>31.9771 * CHOOSE(CONTROL!$C$9, $D$9, 100%, $F$9) + CHOOSE(CONTROL!$C$27, 0.0021, 0)</f>
        <v>31.979199999999999</v>
      </c>
      <c r="F181" s="10">
        <f>31.9771 * CHOOSE(CONTROL!$C$9, $D$9, 100%, $F$9) + CHOOSE(CONTROL!$C$27, 0.0021, 0)</f>
        <v>31.979199999999999</v>
      </c>
      <c r="G181" s="10">
        <f>32.2485 * CHOOSE(CONTROL!$C$9, $D$9, 100%, $F$9) + CHOOSE(CONTROL!$C$27, 0.0021, 0)</f>
        <v>32.250599999999999</v>
      </c>
      <c r="H181" s="10">
        <f>32.1138 * CHOOSE(CONTROL!$C$9, $D$9, 100%, $F$9) + CHOOSE(CONTROL!$C$27, 0.0021, 0)</f>
        <v>32.115899999999996</v>
      </c>
      <c r="I181" s="10">
        <f>32.1138 * CHOOSE(CONTROL!$C$9, $D$9, 100%, $F$9) + CHOOSE(CONTROL!$C$27, 0.0021, 0)</f>
        <v>32.115899999999996</v>
      </c>
      <c r="J181" s="10">
        <f>32.1138 * CHOOSE(CONTROL!$C$9, $D$9, 100%, $F$9) + CHOOSE(CONTROL!$C$27, 0.0021, 0)</f>
        <v>32.115899999999996</v>
      </c>
      <c r="K181" s="10">
        <f>32.1138 * CHOOSE(CONTROL!$C$9, $D$9, 100%, $F$9) + CHOOSE(CONTROL!$C$27, 0.0021, 0)</f>
        <v>32.115899999999996</v>
      </c>
      <c r="L181" s="10"/>
    </row>
    <row r="182" spans="1:12" ht="15">
      <c r="A182" s="16">
        <v>46813</v>
      </c>
      <c r="B182" s="10">
        <f>32.1825 * CHOOSE(CONTROL!$C$9, $D$9, 100%, $F$9) + CHOOSE(CONTROL!$C$27, 0.0021, 0)</f>
        <v>32.184599999999996</v>
      </c>
      <c r="C182" s="10">
        <f>31.7502 * CHOOSE(CONTROL!$C$9, $D$9, 100%, $F$9) + CHOOSE(CONTROL!$C$27, 0.0021, 0)</f>
        <v>31.752299999999998</v>
      </c>
      <c r="D182" s="10">
        <f>31.7502 * CHOOSE(CONTROL!$C$9, $D$9, 100%, $F$9) + CHOOSE(CONTROL!$C$27, 0.0021, 0)</f>
        <v>31.752299999999998</v>
      </c>
      <c r="E182" s="10">
        <f>31.6136 * CHOOSE(CONTROL!$C$9, $D$9, 100%, $F$9) + CHOOSE(CONTROL!$C$27, 0.0021, 0)</f>
        <v>31.6157</v>
      </c>
      <c r="F182" s="10">
        <f>31.6136 * CHOOSE(CONTROL!$C$9, $D$9, 100%, $F$9) + CHOOSE(CONTROL!$C$27, 0.0021, 0)</f>
        <v>31.6157</v>
      </c>
      <c r="G182" s="10">
        <f>31.8849 * CHOOSE(CONTROL!$C$9, $D$9, 100%, $F$9) + CHOOSE(CONTROL!$C$27, 0.0021, 0)</f>
        <v>31.886999999999997</v>
      </c>
      <c r="H182" s="10">
        <f>31.7502 * CHOOSE(CONTROL!$C$9, $D$9, 100%, $F$9) + CHOOSE(CONTROL!$C$27, 0.0021, 0)</f>
        <v>31.752299999999998</v>
      </c>
      <c r="I182" s="10">
        <f>31.7502 * CHOOSE(CONTROL!$C$9, $D$9, 100%, $F$9) + CHOOSE(CONTROL!$C$27, 0.0021, 0)</f>
        <v>31.752299999999998</v>
      </c>
      <c r="J182" s="10">
        <f>31.7502 * CHOOSE(CONTROL!$C$9, $D$9, 100%, $F$9) + CHOOSE(CONTROL!$C$27, 0.0021, 0)</f>
        <v>31.752299999999998</v>
      </c>
      <c r="K182" s="10">
        <f>31.7502 * CHOOSE(CONTROL!$C$9, $D$9, 100%, $F$9) + CHOOSE(CONTROL!$C$27, 0.0021, 0)</f>
        <v>31.752299999999998</v>
      </c>
      <c r="L182" s="10"/>
    </row>
    <row r="183" spans="1:12" ht="15">
      <c r="A183" s="16">
        <v>46844</v>
      </c>
      <c r="B183" s="10">
        <f>31.7484 * CHOOSE(CONTROL!$C$9, $D$9, 100%, $F$9) + CHOOSE(CONTROL!$C$27, 0.0021, 0)</f>
        <v>31.750499999999999</v>
      </c>
      <c r="C183" s="10">
        <f>31.3162 * CHOOSE(CONTROL!$C$9, $D$9, 100%, $F$9) + CHOOSE(CONTROL!$C$27, 0.0021, 0)</f>
        <v>31.318299999999997</v>
      </c>
      <c r="D183" s="10">
        <f>31.3162 * CHOOSE(CONTROL!$C$9, $D$9, 100%, $F$9) + CHOOSE(CONTROL!$C$27, 0.0021, 0)</f>
        <v>31.318299999999997</v>
      </c>
      <c r="E183" s="10">
        <f>31.1795 * CHOOSE(CONTROL!$C$9, $D$9, 100%, $F$9) + CHOOSE(CONTROL!$C$27, 0.0021, 0)</f>
        <v>31.1816</v>
      </c>
      <c r="F183" s="10">
        <f>31.1795 * CHOOSE(CONTROL!$C$9, $D$9, 100%, $F$9) + CHOOSE(CONTROL!$C$27, 0.0021, 0)</f>
        <v>31.1816</v>
      </c>
      <c r="G183" s="10">
        <f>31.4509 * CHOOSE(CONTROL!$C$9, $D$9, 100%, $F$9) + CHOOSE(CONTROL!$C$27, 0.0021, 0)</f>
        <v>31.452999999999999</v>
      </c>
      <c r="H183" s="10">
        <f>31.3162 * CHOOSE(CONTROL!$C$9, $D$9, 100%, $F$9) + CHOOSE(CONTROL!$C$27, 0.0021, 0)</f>
        <v>31.318299999999997</v>
      </c>
      <c r="I183" s="10">
        <f>31.3162 * CHOOSE(CONTROL!$C$9, $D$9, 100%, $F$9) + CHOOSE(CONTROL!$C$27, 0.0021, 0)</f>
        <v>31.318299999999997</v>
      </c>
      <c r="J183" s="10">
        <f>31.3162 * CHOOSE(CONTROL!$C$9, $D$9, 100%, $F$9) + CHOOSE(CONTROL!$C$27, 0.0021, 0)</f>
        <v>31.318299999999997</v>
      </c>
      <c r="K183" s="10">
        <f>31.3162 * CHOOSE(CONTROL!$C$9, $D$9, 100%, $F$9) + CHOOSE(CONTROL!$C$27, 0.0021, 0)</f>
        <v>31.318299999999997</v>
      </c>
      <c r="L183" s="10"/>
    </row>
    <row r="184" spans="1:12" ht="15">
      <c r="A184" s="16">
        <v>46874</v>
      </c>
      <c r="B184" s="10">
        <f>32.367 * CHOOSE(CONTROL!$C$9, $D$9, 100%, $F$9) + CHOOSE(CONTROL!$C$27, 0.0021, 0)</f>
        <v>32.369099999999996</v>
      </c>
      <c r="C184" s="10">
        <f>31.9348 * CHOOSE(CONTROL!$C$9, $D$9, 100%, $F$9) + CHOOSE(CONTROL!$C$27, 0.0021, 0)</f>
        <v>31.936899999999998</v>
      </c>
      <c r="D184" s="10">
        <f>31.9348 * CHOOSE(CONTROL!$C$9, $D$9, 100%, $F$9) + CHOOSE(CONTROL!$C$27, 0.0021, 0)</f>
        <v>31.936899999999998</v>
      </c>
      <c r="E184" s="10">
        <f>31.7981 * CHOOSE(CONTROL!$C$9, $D$9, 100%, $F$9) + CHOOSE(CONTROL!$C$27, 0.0021, 0)</f>
        <v>31.8002</v>
      </c>
      <c r="F184" s="10">
        <f>31.7981 * CHOOSE(CONTROL!$C$9, $D$9, 100%, $F$9) + CHOOSE(CONTROL!$C$27, 0.0021, 0)</f>
        <v>31.8002</v>
      </c>
      <c r="G184" s="10">
        <f>32.0695 * CHOOSE(CONTROL!$C$9, $D$9, 100%, $F$9) + CHOOSE(CONTROL!$C$27, 0.0021, 0)</f>
        <v>32.071599999999997</v>
      </c>
      <c r="H184" s="10">
        <f>31.9348 * CHOOSE(CONTROL!$C$9, $D$9, 100%, $F$9) + CHOOSE(CONTROL!$C$27, 0.0021, 0)</f>
        <v>31.936899999999998</v>
      </c>
      <c r="I184" s="10">
        <f>31.9348 * CHOOSE(CONTROL!$C$9, $D$9, 100%, $F$9) + CHOOSE(CONTROL!$C$27, 0.0021, 0)</f>
        <v>31.936899999999998</v>
      </c>
      <c r="J184" s="10">
        <f>31.9348 * CHOOSE(CONTROL!$C$9, $D$9, 100%, $F$9) + CHOOSE(CONTROL!$C$27, 0.0021, 0)</f>
        <v>31.936899999999998</v>
      </c>
      <c r="K184" s="10">
        <f>31.9348 * CHOOSE(CONTROL!$C$9, $D$9, 100%, $F$9) + CHOOSE(CONTROL!$C$27, 0.0021, 0)</f>
        <v>31.936899999999998</v>
      </c>
      <c r="L184" s="10"/>
    </row>
    <row r="185" spans="1:12" ht="15">
      <c r="A185" s="16">
        <v>46905</v>
      </c>
      <c r="B185" s="10">
        <f>32.7375 * CHOOSE(CONTROL!$C$9, $D$9, 100%, $F$9) + CHOOSE(CONTROL!$C$27, 0.0021, 0)</f>
        <v>32.739599999999996</v>
      </c>
      <c r="C185" s="10">
        <f>32.3053 * CHOOSE(CONTROL!$C$9, $D$9, 100%, $F$9) + CHOOSE(CONTROL!$C$27, 0.0021, 0)</f>
        <v>32.307400000000001</v>
      </c>
      <c r="D185" s="10">
        <f>32.3053 * CHOOSE(CONTROL!$C$9, $D$9, 100%, $F$9) + CHOOSE(CONTROL!$C$27, 0.0021, 0)</f>
        <v>32.307400000000001</v>
      </c>
      <c r="E185" s="10">
        <f>32.1686 * CHOOSE(CONTROL!$C$9, $D$9, 100%, $F$9) + CHOOSE(CONTROL!$C$27, 0.0021, 0)</f>
        <v>32.170699999999997</v>
      </c>
      <c r="F185" s="10">
        <f>32.1686 * CHOOSE(CONTROL!$C$9, $D$9, 100%, $F$9) + CHOOSE(CONTROL!$C$27, 0.0021, 0)</f>
        <v>32.170699999999997</v>
      </c>
      <c r="G185" s="10">
        <f>32.44 * CHOOSE(CONTROL!$C$9, $D$9, 100%, $F$9) + CHOOSE(CONTROL!$C$27, 0.0021, 0)</f>
        <v>32.442099999999996</v>
      </c>
      <c r="H185" s="10">
        <f>32.3053 * CHOOSE(CONTROL!$C$9, $D$9, 100%, $F$9) + CHOOSE(CONTROL!$C$27, 0.0021, 0)</f>
        <v>32.307400000000001</v>
      </c>
      <c r="I185" s="10">
        <f>32.3053 * CHOOSE(CONTROL!$C$9, $D$9, 100%, $F$9) + CHOOSE(CONTROL!$C$27, 0.0021, 0)</f>
        <v>32.307400000000001</v>
      </c>
      <c r="J185" s="10">
        <f>32.3053 * CHOOSE(CONTROL!$C$9, $D$9, 100%, $F$9) + CHOOSE(CONTROL!$C$27, 0.0021, 0)</f>
        <v>32.307400000000001</v>
      </c>
      <c r="K185" s="10">
        <f>32.3053 * CHOOSE(CONTROL!$C$9, $D$9, 100%, $F$9) + CHOOSE(CONTROL!$C$27, 0.0021, 0)</f>
        <v>32.307400000000001</v>
      </c>
      <c r="L185" s="10"/>
    </row>
    <row r="186" spans="1:12" ht="15">
      <c r="A186" s="16">
        <v>46935</v>
      </c>
      <c r="B186" s="10">
        <f>33.3487 * CHOOSE(CONTROL!$C$9, $D$9, 100%, $F$9) + CHOOSE(CONTROL!$C$27, 0.0021, 0)</f>
        <v>33.3508</v>
      </c>
      <c r="C186" s="10">
        <f>32.9165 * CHOOSE(CONTROL!$C$9, $D$9, 100%, $F$9) + CHOOSE(CONTROL!$C$27, 0.0021, 0)</f>
        <v>32.918599999999998</v>
      </c>
      <c r="D186" s="10">
        <f>32.9165 * CHOOSE(CONTROL!$C$9, $D$9, 100%, $F$9) + CHOOSE(CONTROL!$C$27, 0.0021, 0)</f>
        <v>32.918599999999998</v>
      </c>
      <c r="E186" s="10">
        <f>32.7798 * CHOOSE(CONTROL!$C$9, $D$9, 100%, $F$9) + CHOOSE(CONTROL!$C$27, 0.0021, 0)</f>
        <v>32.7819</v>
      </c>
      <c r="F186" s="10">
        <f>32.7798 * CHOOSE(CONTROL!$C$9, $D$9, 100%, $F$9) + CHOOSE(CONTROL!$C$27, 0.0021, 0)</f>
        <v>32.7819</v>
      </c>
      <c r="G186" s="10">
        <f>33.0512 * CHOOSE(CONTROL!$C$9, $D$9, 100%, $F$9) + CHOOSE(CONTROL!$C$27, 0.0021, 0)</f>
        <v>33.0533</v>
      </c>
      <c r="H186" s="10">
        <f>32.9165 * CHOOSE(CONTROL!$C$9, $D$9, 100%, $F$9) + CHOOSE(CONTROL!$C$27, 0.0021, 0)</f>
        <v>32.918599999999998</v>
      </c>
      <c r="I186" s="10">
        <f>32.9165 * CHOOSE(CONTROL!$C$9, $D$9, 100%, $F$9) + CHOOSE(CONTROL!$C$27, 0.0021, 0)</f>
        <v>32.918599999999998</v>
      </c>
      <c r="J186" s="10">
        <f>32.9165 * CHOOSE(CONTROL!$C$9, $D$9, 100%, $F$9) + CHOOSE(CONTROL!$C$27, 0.0021, 0)</f>
        <v>32.918599999999998</v>
      </c>
      <c r="K186" s="10">
        <f>32.9165 * CHOOSE(CONTROL!$C$9, $D$9, 100%, $F$9) + CHOOSE(CONTROL!$C$27, 0.0021, 0)</f>
        <v>32.918599999999998</v>
      </c>
      <c r="L186" s="10"/>
    </row>
    <row r="187" spans="1:12" ht="15">
      <c r="A187" s="16">
        <v>46966</v>
      </c>
      <c r="B187" s="10">
        <f>33.5353 * CHOOSE(CONTROL!$C$9, $D$9, 100%, $F$9) + CHOOSE(CONTROL!$C$27, 0.0021, 0)</f>
        <v>33.537399999999998</v>
      </c>
      <c r="C187" s="10">
        <f>33.103 * CHOOSE(CONTROL!$C$9, $D$9, 100%, $F$9) + CHOOSE(CONTROL!$C$27, 0.0021, 0)</f>
        <v>33.1051</v>
      </c>
      <c r="D187" s="10">
        <f>33.103 * CHOOSE(CONTROL!$C$9, $D$9, 100%, $F$9) + CHOOSE(CONTROL!$C$27, 0.0021, 0)</f>
        <v>33.1051</v>
      </c>
      <c r="E187" s="10">
        <f>32.9664 * CHOOSE(CONTROL!$C$9, $D$9, 100%, $F$9) + CHOOSE(CONTROL!$C$27, 0.0021, 0)</f>
        <v>32.968499999999999</v>
      </c>
      <c r="F187" s="10">
        <f>32.9664 * CHOOSE(CONTROL!$C$9, $D$9, 100%, $F$9) + CHOOSE(CONTROL!$C$27, 0.0021, 0)</f>
        <v>32.968499999999999</v>
      </c>
      <c r="G187" s="10">
        <f>33.2378 * CHOOSE(CONTROL!$C$9, $D$9, 100%, $F$9) + CHOOSE(CONTROL!$C$27, 0.0021, 0)</f>
        <v>33.239899999999999</v>
      </c>
      <c r="H187" s="10">
        <f>33.103 * CHOOSE(CONTROL!$C$9, $D$9, 100%, $F$9) + CHOOSE(CONTROL!$C$27, 0.0021, 0)</f>
        <v>33.1051</v>
      </c>
      <c r="I187" s="10">
        <f>33.103 * CHOOSE(CONTROL!$C$9, $D$9, 100%, $F$9) + CHOOSE(CONTROL!$C$27, 0.0021, 0)</f>
        <v>33.1051</v>
      </c>
      <c r="J187" s="10">
        <f>33.103 * CHOOSE(CONTROL!$C$9, $D$9, 100%, $F$9) + CHOOSE(CONTROL!$C$27, 0.0021, 0)</f>
        <v>33.1051</v>
      </c>
      <c r="K187" s="10">
        <f>33.103 * CHOOSE(CONTROL!$C$9, $D$9, 100%, $F$9) + CHOOSE(CONTROL!$C$27, 0.0021, 0)</f>
        <v>33.1051</v>
      </c>
      <c r="L187" s="10"/>
    </row>
    <row r="188" spans="1:12" ht="15">
      <c r="A188" s="16">
        <v>46997</v>
      </c>
      <c r="B188" s="10">
        <f>34.1706 * CHOOSE(CONTROL!$C$9, $D$9, 100%, $F$9) + CHOOSE(CONTROL!$C$27, 0.0021, 0)</f>
        <v>34.172699999999999</v>
      </c>
      <c r="C188" s="10">
        <f>33.7384 * CHOOSE(CONTROL!$C$9, $D$9, 100%, $F$9) + CHOOSE(CONTROL!$C$27, 0.0021, 0)</f>
        <v>33.740499999999997</v>
      </c>
      <c r="D188" s="10">
        <f>33.7384 * CHOOSE(CONTROL!$C$9, $D$9, 100%, $F$9) + CHOOSE(CONTROL!$C$27, 0.0021, 0)</f>
        <v>33.740499999999997</v>
      </c>
      <c r="E188" s="10">
        <f>33.6017 * CHOOSE(CONTROL!$C$9, $D$9, 100%, $F$9) + CHOOSE(CONTROL!$C$27, 0.0021, 0)</f>
        <v>33.6038</v>
      </c>
      <c r="F188" s="10">
        <f>33.6017 * CHOOSE(CONTROL!$C$9, $D$9, 100%, $F$9) + CHOOSE(CONTROL!$C$27, 0.0021, 0)</f>
        <v>33.6038</v>
      </c>
      <c r="G188" s="10">
        <f>33.8731 * CHOOSE(CONTROL!$C$9, $D$9, 100%, $F$9) + CHOOSE(CONTROL!$C$27, 0.0021, 0)</f>
        <v>33.8752</v>
      </c>
      <c r="H188" s="10">
        <f>33.7384 * CHOOSE(CONTROL!$C$9, $D$9, 100%, $F$9) + CHOOSE(CONTROL!$C$27, 0.0021, 0)</f>
        <v>33.740499999999997</v>
      </c>
      <c r="I188" s="10">
        <f>33.7384 * CHOOSE(CONTROL!$C$9, $D$9, 100%, $F$9) + CHOOSE(CONTROL!$C$27, 0.0021, 0)</f>
        <v>33.740499999999997</v>
      </c>
      <c r="J188" s="10">
        <f>33.7384 * CHOOSE(CONTROL!$C$9, $D$9, 100%, $F$9) + CHOOSE(CONTROL!$C$27, 0.0021, 0)</f>
        <v>33.740499999999997</v>
      </c>
      <c r="K188" s="10">
        <f>33.7384 * CHOOSE(CONTROL!$C$9, $D$9, 100%, $F$9) + CHOOSE(CONTROL!$C$27, 0.0021, 0)</f>
        <v>33.740499999999997</v>
      </c>
      <c r="L188" s="10"/>
    </row>
    <row r="189" spans="1:12" ht="15">
      <c r="A189" s="16">
        <v>47027</v>
      </c>
      <c r="B189" s="10">
        <f>34.9748 * CHOOSE(CONTROL!$C$9, $D$9, 100%, $F$9) + CHOOSE(CONTROL!$C$27, 0.0021, 0)</f>
        <v>34.976900000000001</v>
      </c>
      <c r="C189" s="10">
        <f>34.5426 * CHOOSE(CONTROL!$C$9, $D$9, 100%, $F$9) + CHOOSE(CONTROL!$C$27, 0.0021, 0)</f>
        <v>34.544699999999999</v>
      </c>
      <c r="D189" s="10">
        <f>34.5426 * CHOOSE(CONTROL!$C$9, $D$9, 100%, $F$9) + CHOOSE(CONTROL!$C$27, 0.0021, 0)</f>
        <v>34.544699999999999</v>
      </c>
      <c r="E189" s="10">
        <f>34.4059 * CHOOSE(CONTROL!$C$9, $D$9, 100%, $F$9) + CHOOSE(CONTROL!$C$27, 0.0021, 0)</f>
        <v>34.408000000000001</v>
      </c>
      <c r="F189" s="10">
        <f>34.4059 * CHOOSE(CONTROL!$C$9, $D$9, 100%, $F$9) + CHOOSE(CONTROL!$C$27, 0.0021, 0)</f>
        <v>34.408000000000001</v>
      </c>
      <c r="G189" s="10">
        <f>34.6773 * CHOOSE(CONTROL!$C$9, $D$9, 100%, $F$9) + CHOOSE(CONTROL!$C$27, 0.0021, 0)</f>
        <v>34.679400000000001</v>
      </c>
      <c r="H189" s="10">
        <f>34.5426 * CHOOSE(CONTROL!$C$9, $D$9, 100%, $F$9) + CHOOSE(CONTROL!$C$27, 0.0021, 0)</f>
        <v>34.544699999999999</v>
      </c>
      <c r="I189" s="10">
        <f>34.5426 * CHOOSE(CONTROL!$C$9, $D$9, 100%, $F$9) + CHOOSE(CONTROL!$C$27, 0.0021, 0)</f>
        <v>34.544699999999999</v>
      </c>
      <c r="J189" s="10">
        <f>34.5426 * CHOOSE(CONTROL!$C$9, $D$9, 100%, $F$9) + CHOOSE(CONTROL!$C$27, 0.0021, 0)</f>
        <v>34.544699999999999</v>
      </c>
      <c r="K189" s="10">
        <f>34.5426 * CHOOSE(CONTROL!$C$9, $D$9, 100%, $F$9) + CHOOSE(CONTROL!$C$27, 0.0021, 0)</f>
        <v>34.544699999999999</v>
      </c>
      <c r="L189" s="10"/>
    </row>
    <row r="190" spans="1:12" ht="15">
      <c r="A190" s="16">
        <v>47058</v>
      </c>
      <c r="B190" s="10">
        <f>35.0503 * CHOOSE(CONTROL!$C$9, $D$9, 100%, $F$9) + CHOOSE(CONTROL!$C$27, 0.0021, 0)</f>
        <v>35.052399999999999</v>
      </c>
      <c r="C190" s="10">
        <f>34.6181 * CHOOSE(CONTROL!$C$9, $D$9, 100%, $F$9) + CHOOSE(CONTROL!$C$27, 0.0021, 0)</f>
        <v>34.620199999999997</v>
      </c>
      <c r="D190" s="10">
        <f>34.6181 * CHOOSE(CONTROL!$C$9, $D$9, 100%, $F$9) + CHOOSE(CONTROL!$C$27, 0.0021, 0)</f>
        <v>34.620199999999997</v>
      </c>
      <c r="E190" s="10">
        <f>34.4814 * CHOOSE(CONTROL!$C$9, $D$9, 100%, $F$9) + CHOOSE(CONTROL!$C$27, 0.0021, 0)</f>
        <v>34.483499999999999</v>
      </c>
      <c r="F190" s="10">
        <f>34.4814 * CHOOSE(CONTROL!$C$9, $D$9, 100%, $F$9) + CHOOSE(CONTROL!$C$27, 0.0021, 0)</f>
        <v>34.483499999999999</v>
      </c>
      <c r="G190" s="10">
        <f>34.7528 * CHOOSE(CONTROL!$C$9, $D$9, 100%, $F$9) + CHOOSE(CONTROL!$C$27, 0.0021, 0)</f>
        <v>34.754899999999999</v>
      </c>
      <c r="H190" s="10">
        <f>34.6181 * CHOOSE(CONTROL!$C$9, $D$9, 100%, $F$9) + CHOOSE(CONTROL!$C$27, 0.0021, 0)</f>
        <v>34.620199999999997</v>
      </c>
      <c r="I190" s="10">
        <f>34.6181 * CHOOSE(CONTROL!$C$9, $D$9, 100%, $F$9) + CHOOSE(CONTROL!$C$27, 0.0021, 0)</f>
        <v>34.620199999999997</v>
      </c>
      <c r="J190" s="10">
        <f>34.6181 * CHOOSE(CONTROL!$C$9, $D$9, 100%, $F$9) + CHOOSE(CONTROL!$C$27, 0.0021, 0)</f>
        <v>34.620199999999997</v>
      </c>
      <c r="K190" s="10">
        <f>34.6181 * CHOOSE(CONTROL!$C$9, $D$9, 100%, $F$9) + CHOOSE(CONTROL!$C$27, 0.0021, 0)</f>
        <v>34.620199999999997</v>
      </c>
      <c r="L190" s="10"/>
    </row>
    <row r="191" spans="1:12" ht="15">
      <c r="A191" s="16">
        <v>47088</v>
      </c>
      <c r="B191" s="10">
        <f>34.408 * CHOOSE(CONTROL!$C$9, $D$9, 100%, $F$9) + CHOOSE(CONTROL!$C$27, 0.0021, 0)</f>
        <v>34.4101</v>
      </c>
      <c r="C191" s="10">
        <f>33.9758 * CHOOSE(CONTROL!$C$9, $D$9, 100%, $F$9) + CHOOSE(CONTROL!$C$27, 0.0021, 0)</f>
        <v>33.977899999999998</v>
      </c>
      <c r="D191" s="10">
        <f>33.9758 * CHOOSE(CONTROL!$C$9, $D$9, 100%, $F$9) + CHOOSE(CONTROL!$C$27, 0.0021, 0)</f>
        <v>33.977899999999998</v>
      </c>
      <c r="E191" s="10">
        <f>33.8391 * CHOOSE(CONTROL!$C$9, $D$9, 100%, $F$9) + CHOOSE(CONTROL!$C$27, 0.0021, 0)</f>
        <v>33.841200000000001</v>
      </c>
      <c r="F191" s="10">
        <f>33.8391 * CHOOSE(CONTROL!$C$9, $D$9, 100%, $F$9) + CHOOSE(CONTROL!$C$27, 0.0021, 0)</f>
        <v>33.841200000000001</v>
      </c>
      <c r="G191" s="10">
        <f>34.1105 * CHOOSE(CONTROL!$C$9, $D$9, 100%, $F$9) + CHOOSE(CONTROL!$C$27, 0.0021, 0)</f>
        <v>34.1126</v>
      </c>
      <c r="H191" s="10">
        <f>33.9758 * CHOOSE(CONTROL!$C$9, $D$9, 100%, $F$9) + CHOOSE(CONTROL!$C$27, 0.0021, 0)</f>
        <v>33.977899999999998</v>
      </c>
      <c r="I191" s="10">
        <f>33.9758 * CHOOSE(CONTROL!$C$9, $D$9, 100%, $F$9) + CHOOSE(CONTROL!$C$27, 0.0021, 0)</f>
        <v>33.977899999999998</v>
      </c>
      <c r="J191" s="10">
        <f>33.9758 * CHOOSE(CONTROL!$C$9, $D$9, 100%, $F$9) + CHOOSE(CONTROL!$C$27, 0.0021, 0)</f>
        <v>33.977899999999998</v>
      </c>
      <c r="K191" s="10">
        <f>33.9758 * CHOOSE(CONTROL!$C$9, $D$9, 100%, $F$9) + CHOOSE(CONTROL!$C$27, 0.0021, 0)</f>
        <v>33.977899999999998</v>
      </c>
      <c r="L191" s="10"/>
    </row>
    <row r="192" spans="1:12" ht="15">
      <c r="A192" s="16">
        <v>47119</v>
      </c>
      <c r="B192" s="10">
        <f>34.5211 * CHOOSE(CONTROL!$C$9, $D$9, 100%, $F$9) + CHOOSE(CONTROL!$C$27, 0.0021, 0)</f>
        <v>34.523199999999996</v>
      </c>
      <c r="C192" s="10">
        <f>34.0889 * CHOOSE(CONTROL!$C$9, $D$9, 100%, $F$9) + CHOOSE(CONTROL!$C$27, 0.0021, 0)</f>
        <v>34.091000000000001</v>
      </c>
      <c r="D192" s="10">
        <f>34.0889 * CHOOSE(CONTROL!$C$9, $D$9, 100%, $F$9) + CHOOSE(CONTROL!$C$27, 0.0021, 0)</f>
        <v>34.091000000000001</v>
      </c>
      <c r="E192" s="10">
        <f>33.9522 * CHOOSE(CONTROL!$C$9, $D$9, 100%, $F$9) + CHOOSE(CONTROL!$C$27, 0.0021, 0)</f>
        <v>33.954299999999996</v>
      </c>
      <c r="F192" s="10">
        <f>33.9522 * CHOOSE(CONTROL!$C$9, $D$9, 100%, $F$9) + CHOOSE(CONTROL!$C$27, 0.0021, 0)</f>
        <v>33.954299999999996</v>
      </c>
      <c r="G192" s="10">
        <f>34.2236 * CHOOSE(CONTROL!$C$9, $D$9, 100%, $F$9) + CHOOSE(CONTROL!$C$27, 0.0021, 0)</f>
        <v>34.225699999999996</v>
      </c>
      <c r="H192" s="10">
        <f>34.0889 * CHOOSE(CONTROL!$C$9, $D$9, 100%, $F$9) + CHOOSE(CONTROL!$C$27, 0.0021, 0)</f>
        <v>34.091000000000001</v>
      </c>
      <c r="I192" s="10">
        <f>34.0889 * CHOOSE(CONTROL!$C$9, $D$9, 100%, $F$9) + CHOOSE(CONTROL!$C$27, 0.0021, 0)</f>
        <v>34.091000000000001</v>
      </c>
      <c r="J192" s="10">
        <f>34.0889 * CHOOSE(CONTROL!$C$9, $D$9, 100%, $F$9) + CHOOSE(CONTROL!$C$27, 0.0021, 0)</f>
        <v>34.091000000000001</v>
      </c>
      <c r="K192" s="10">
        <f>34.0889 * CHOOSE(CONTROL!$C$9, $D$9, 100%, $F$9) + CHOOSE(CONTROL!$C$27, 0.0021, 0)</f>
        <v>34.091000000000001</v>
      </c>
      <c r="L192" s="10"/>
    </row>
    <row r="193" spans="1:12" ht="15">
      <c r="A193" s="16">
        <v>47150</v>
      </c>
      <c r="B193" s="10">
        <f>33.6095 * CHOOSE(CONTROL!$C$9, $D$9, 100%, $F$9) + CHOOSE(CONTROL!$C$27, 0.0021, 0)</f>
        <v>33.611599999999996</v>
      </c>
      <c r="C193" s="10">
        <f>33.1773 * CHOOSE(CONTROL!$C$9, $D$9, 100%, $F$9) + CHOOSE(CONTROL!$C$27, 0.0021, 0)</f>
        <v>33.179400000000001</v>
      </c>
      <c r="D193" s="10">
        <f>33.1773 * CHOOSE(CONTROL!$C$9, $D$9, 100%, $F$9) + CHOOSE(CONTROL!$C$27, 0.0021, 0)</f>
        <v>33.179400000000001</v>
      </c>
      <c r="E193" s="10">
        <f>33.0406 * CHOOSE(CONTROL!$C$9, $D$9, 100%, $F$9) + CHOOSE(CONTROL!$C$27, 0.0021, 0)</f>
        <v>33.042699999999996</v>
      </c>
      <c r="F193" s="10">
        <f>33.0406 * CHOOSE(CONTROL!$C$9, $D$9, 100%, $F$9) + CHOOSE(CONTROL!$C$27, 0.0021, 0)</f>
        <v>33.042699999999996</v>
      </c>
      <c r="G193" s="10">
        <f>33.312 * CHOOSE(CONTROL!$C$9, $D$9, 100%, $F$9) + CHOOSE(CONTROL!$C$27, 0.0021, 0)</f>
        <v>33.314099999999996</v>
      </c>
      <c r="H193" s="10">
        <f>33.1773 * CHOOSE(CONTROL!$C$9, $D$9, 100%, $F$9) + CHOOSE(CONTROL!$C$27, 0.0021, 0)</f>
        <v>33.179400000000001</v>
      </c>
      <c r="I193" s="10">
        <f>33.1773 * CHOOSE(CONTROL!$C$9, $D$9, 100%, $F$9) + CHOOSE(CONTROL!$C$27, 0.0021, 0)</f>
        <v>33.179400000000001</v>
      </c>
      <c r="J193" s="10">
        <f>33.1773 * CHOOSE(CONTROL!$C$9, $D$9, 100%, $F$9) + CHOOSE(CONTROL!$C$27, 0.0021, 0)</f>
        <v>33.179400000000001</v>
      </c>
      <c r="K193" s="10">
        <f>33.1773 * CHOOSE(CONTROL!$C$9, $D$9, 100%, $F$9) + CHOOSE(CONTROL!$C$27, 0.0021, 0)</f>
        <v>33.179400000000001</v>
      </c>
      <c r="L193" s="10"/>
    </row>
    <row r="194" spans="1:12" ht="15">
      <c r="A194" s="16">
        <v>47178</v>
      </c>
      <c r="B194" s="10">
        <f>33.2332 * CHOOSE(CONTROL!$C$9, $D$9, 100%, $F$9) + CHOOSE(CONTROL!$C$27, 0.0021, 0)</f>
        <v>33.235299999999995</v>
      </c>
      <c r="C194" s="10">
        <f>32.8009 * CHOOSE(CONTROL!$C$9, $D$9, 100%, $F$9) + CHOOSE(CONTROL!$C$27, 0.0021, 0)</f>
        <v>32.802999999999997</v>
      </c>
      <c r="D194" s="10">
        <f>32.8009 * CHOOSE(CONTROL!$C$9, $D$9, 100%, $F$9) + CHOOSE(CONTROL!$C$27, 0.0021, 0)</f>
        <v>32.802999999999997</v>
      </c>
      <c r="E194" s="10">
        <f>32.6643 * CHOOSE(CONTROL!$C$9, $D$9, 100%, $F$9) + CHOOSE(CONTROL!$C$27, 0.0021, 0)</f>
        <v>32.666399999999996</v>
      </c>
      <c r="F194" s="10">
        <f>32.6643 * CHOOSE(CONTROL!$C$9, $D$9, 100%, $F$9) + CHOOSE(CONTROL!$C$27, 0.0021, 0)</f>
        <v>32.666399999999996</v>
      </c>
      <c r="G194" s="10">
        <f>32.9357 * CHOOSE(CONTROL!$C$9, $D$9, 100%, $F$9) + CHOOSE(CONTROL!$C$27, 0.0021, 0)</f>
        <v>32.937799999999996</v>
      </c>
      <c r="H194" s="10">
        <f>32.8009 * CHOOSE(CONTROL!$C$9, $D$9, 100%, $F$9) + CHOOSE(CONTROL!$C$27, 0.0021, 0)</f>
        <v>32.802999999999997</v>
      </c>
      <c r="I194" s="10">
        <f>32.8009 * CHOOSE(CONTROL!$C$9, $D$9, 100%, $F$9) + CHOOSE(CONTROL!$C$27, 0.0021, 0)</f>
        <v>32.802999999999997</v>
      </c>
      <c r="J194" s="10">
        <f>32.8009 * CHOOSE(CONTROL!$C$9, $D$9, 100%, $F$9) + CHOOSE(CONTROL!$C$27, 0.0021, 0)</f>
        <v>32.802999999999997</v>
      </c>
      <c r="K194" s="10">
        <f>32.8009 * CHOOSE(CONTROL!$C$9, $D$9, 100%, $F$9) + CHOOSE(CONTROL!$C$27, 0.0021, 0)</f>
        <v>32.802999999999997</v>
      </c>
      <c r="L194" s="10"/>
    </row>
    <row r="195" spans="1:12" ht="15">
      <c r="A195" s="16">
        <v>47209</v>
      </c>
      <c r="B195" s="10">
        <f>32.7839 * CHOOSE(CONTROL!$C$9, $D$9, 100%, $F$9) + CHOOSE(CONTROL!$C$27, 0.0021, 0)</f>
        <v>32.786000000000001</v>
      </c>
      <c r="C195" s="10">
        <f>32.3516 * CHOOSE(CONTROL!$C$9, $D$9, 100%, $F$9) + CHOOSE(CONTROL!$C$27, 0.0021, 0)</f>
        <v>32.353699999999996</v>
      </c>
      <c r="D195" s="10">
        <f>32.3516 * CHOOSE(CONTROL!$C$9, $D$9, 100%, $F$9) + CHOOSE(CONTROL!$C$27, 0.0021, 0)</f>
        <v>32.353699999999996</v>
      </c>
      <c r="E195" s="10">
        <f>32.215 * CHOOSE(CONTROL!$C$9, $D$9, 100%, $F$9) + CHOOSE(CONTROL!$C$27, 0.0021, 0)</f>
        <v>32.217100000000002</v>
      </c>
      <c r="F195" s="10">
        <f>32.215 * CHOOSE(CONTROL!$C$9, $D$9, 100%, $F$9) + CHOOSE(CONTROL!$C$27, 0.0021, 0)</f>
        <v>32.217100000000002</v>
      </c>
      <c r="G195" s="10">
        <f>32.4863 * CHOOSE(CONTROL!$C$9, $D$9, 100%, $F$9) + CHOOSE(CONTROL!$C$27, 0.0021, 0)</f>
        <v>32.488399999999999</v>
      </c>
      <c r="H195" s="10">
        <f>32.3516 * CHOOSE(CONTROL!$C$9, $D$9, 100%, $F$9) + CHOOSE(CONTROL!$C$27, 0.0021, 0)</f>
        <v>32.353699999999996</v>
      </c>
      <c r="I195" s="10">
        <f>32.3516 * CHOOSE(CONTROL!$C$9, $D$9, 100%, $F$9) + CHOOSE(CONTROL!$C$27, 0.0021, 0)</f>
        <v>32.353699999999996</v>
      </c>
      <c r="J195" s="10">
        <f>32.3516 * CHOOSE(CONTROL!$C$9, $D$9, 100%, $F$9) + CHOOSE(CONTROL!$C$27, 0.0021, 0)</f>
        <v>32.353699999999996</v>
      </c>
      <c r="K195" s="10">
        <f>32.3516 * CHOOSE(CONTROL!$C$9, $D$9, 100%, $F$9) + CHOOSE(CONTROL!$C$27, 0.0021, 0)</f>
        <v>32.353699999999996</v>
      </c>
      <c r="L195" s="10"/>
    </row>
    <row r="196" spans="1:12" ht="15">
      <c r="A196" s="16">
        <v>47239</v>
      </c>
      <c r="B196" s="10">
        <f>33.4242 * CHOOSE(CONTROL!$C$9, $D$9, 100%, $F$9) + CHOOSE(CONTROL!$C$27, 0.0021, 0)</f>
        <v>33.426299999999998</v>
      </c>
      <c r="C196" s="10">
        <f>32.992 * CHOOSE(CONTROL!$C$9, $D$9, 100%, $F$9) + CHOOSE(CONTROL!$C$27, 0.0021, 0)</f>
        <v>32.994099999999996</v>
      </c>
      <c r="D196" s="10">
        <f>32.992 * CHOOSE(CONTROL!$C$9, $D$9, 100%, $F$9) + CHOOSE(CONTROL!$C$27, 0.0021, 0)</f>
        <v>32.994099999999996</v>
      </c>
      <c r="E196" s="10">
        <f>32.8553 * CHOOSE(CONTROL!$C$9, $D$9, 100%, $F$9) + CHOOSE(CONTROL!$C$27, 0.0021, 0)</f>
        <v>32.857399999999998</v>
      </c>
      <c r="F196" s="10">
        <f>32.8553 * CHOOSE(CONTROL!$C$9, $D$9, 100%, $F$9) + CHOOSE(CONTROL!$C$27, 0.0021, 0)</f>
        <v>32.857399999999998</v>
      </c>
      <c r="G196" s="10">
        <f>33.1267 * CHOOSE(CONTROL!$C$9, $D$9, 100%, $F$9) + CHOOSE(CONTROL!$C$27, 0.0021, 0)</f>
        <v>33.128799999999998</v>
      </c>
      <c r="H196" s="10">
        <f>32.992 * CHOOSE(CONTROL!$C$9, $D$9, 100%, $F$9) + CHOOSE(CONTROL!$C$27, 0.0021, 0)</f>
        <v>32.994099999999996</v>
      </c>
      <c r="I196" s="10">
        <f>32.992 * CHOOSE(CONTROL!$C$9, $D$9, 100%, $F$9) + CHOOSE(CONTROL!$C$27, 0.0021, 0)</f>
        <v>32.994099999999996</v>
      </c>
      <c r="J196" s="10">
        <f>32.992 * CHOOSE(CONTROL!$C$9, $D$9, 100%, $F$9) + CHOOSE(CONTROL!$C$27, 0.0021, 0)</f>
        <v>32.994099999999996</v>
      </c>
      <c r="K196" s="10">
        <f>32.992 * CHOOSE(CONTROL!$C$9, $D$9, 100%, $F$9) + CHOOSE(CONTROL!$C$27, 0.0021, 0)</f>
        <v>32.994099999999996</v>
      </c>
      <c r="L196" s="10"/>
    </row>
    <row r="197" spans="1:12" ht="15">
      <c r="A197" s="16">
        <v>47270</v>
      </c>
      <c r="B197" s="10">
        <f>33.8077 * CHOOSE(CONTROL!$C$9, $D$9, 100%, $F$9) + CHOOSE(CONTROL!$C$27, 0.0021, 0)</f>
        <v>33.809799999999996</v>
      </c>
      <c r="C197" s="10">
        <f>33.3755 * CHOOSE(CONTROL!$C$9, $D$9, 100%, $F$9) + CHOOSE(CONTROL!$C$27, 0.0021, 0)</f>
        <v>33.377600000000001</v>
      </c>
      <c r="D197" s="10">
        <f>33.3755 * CHOOSE(CONTROL!$C$9, $D$9, 100%, $F$9) + CHOOSE(CONTROL!$C$27, 0.0021, 0)</f>
        <v>33.377600000000001</v>
      </c>
      <c r="E197" s="10">
        <f>33.2388 * CHOOSE(CONTROL!$C$9, $D$9, 100%, $F$9) + CHOOSE(CONTROL!$C$27, 0.0021, 0)</f>
        <v>33.240899999999996</v>
      </c>
      <c r="F197" s="10">
        <f>33.2388 * CHOOSE(CONTROL!$C$9, $D$9, 100%, $F$9) + CHOOSE(CONTROL!$C$27, 0.0021, 0)</f>
        <v>33.240899999999996</v>
      </c>
      <c r="G197" s="10">
        <f>33.5102 * CHOOSE(CONTROL!$C$9, $D$9, 100%, $F$9) + CHOOSE(CONTROL!$C$27, 0.0021, 0)</f>
        <v>33.512299999999996</v>
      </c>
      <c r="H197" s="10">
        <f>33.3755 * CHOOSE(CONTROL!$C$9, $D$9, 100%, $F$9) + CHOOSE(CONTROL!$C$27, 0.0021, 0)</f>
        <v>33.377600000000001</v>
      </c>
      <c r="I197" s="10">
        <f>33.3755 * CHOOSE(CONTROL!$C$9, $D$9, 100%, $F$9) + CHOOSE(CONTROL!$C$27, 0.0021, 0)</f>
        <v>33.377600000000001</v>
      </c>
      <c r="J197" s="10">
        <f>33.3755 * CHOOSE(CONTROL!$C$9, $D$9, 100%, $F$9) + CHOOSE(CONTROL!$C$27, 0.0021, 0)</f>
        <v>33.377600000000001</v>
      </c>
      <c r="K197" s="10">
        <f>33.3755 * CHOOSE(CONTROL!$C$9, $D$9, 100%, $F$9) + CHOOSE(CONTROL!$C$27, 0.0021, 0)</f>
        <v>33.377600000000001</v>
      </c>
      <c r="L197" s="10"/>
    </row>
    <row r="198" spans="1:12" ht="15">
      <c r="A198" s="16">
        <v>47300</v>
      </c>
      <c r="B198" s="10">
        <f>34.4404 * CHOOSE(CONTROL!$C$9, $D$9, 100%, $F$9) + CHOOSE(CONTROL!$C$27, 0.0021, 0)</f>
        <v>34.442499999999995</v>
      </c>
      <c r="C198" s="10">
        <f>34.0082 * CHOOSE(CONTROL!$C$9, $D$9, 100%, $F$9) + CHOOSE(CONTROL!$C$27, 0.0021, 0)</f>
        <v>34.010300000000001</v>
      </c>
      <c r="D198" s="10">
        <f>34.0082 * CHOOSE(CONTROL!$C$9, $D$9, 100%, $F$9) + CHOOSE(CONTROL!$C$27, 0.0021, 0)</f>
        <v>34.010300000000001</v>
      </c>
      <c r="E198" s="10">
        <f>33.8715 * CHOOSE(CONTROL!$C$9, $D$9, 100%, $F$9) + CHOOSE(CONTROL!$C$27, 0.0021, 0)</f>
        <v>33.873599999999996</v>
      </c>
      <c r="F198" s="10">
        <f>33.8715 * CHOOSE(CONTROL!$C$9, $D$9, 100%, $F$9) + CHOOSE(CONTROL!$C$27, 0.0021, 0)</f>
        <v>33.873599999999996</v>
      </c>
      <c r="G198" s="10">
        <f>34.1429 * CHOOSE(CONTROL!$C$9, $D$9, 100%, $F$9) + CHOOSE(CONTROL!$C$27, 0.0021, 0)</f>
        <v>34.144999999999996</v>
      </c>
      <c r="H198" s="10">
        <f>34.0082 * CHOOSE(CONTROL!$C$9, $D$9, 100%, $F$9) + CHOOSE(CONTROL!$C$27, 0.0021, 0)</f>
        <v>34.010300000000001</v>
      </c>
      <c r="I198" s="10">
        <f>34.0082 * CHOOSE(CONTROL!$C$9, $D$9, 100%, $F$9) + CHOOSE(CONTROL!$C$27, 0.0021, 0)</f>
        <v>34.010300000000001</v>
      </c>
      <c r="J198" s="10">
        <f>34.0082 * CHOOSE(CONTROL!$C$9, $D$9, 100%, $F$9) + CHOOSE(CONTROL!$C$27, 0.0021, 0)</f>
        <v>34.010300000000001</v>
      </c>
      <c r="K198" s="10">
        <f>34.0082 * CHOOSE(CONTROL!$C$9, $D$9, 100%, $F$9) + CHOOSE(CONTROL!$C$27, 0.0021, 0)</f>
        <v>34.010300000000001</v>
      </c>
      <c r="L198" s="10"/>
    </row>
    <row r="199" spans="1:12" ht="15">
      <c r="A199" s="16">
        <v>47331</v>
      </c>
      <c r="B199" s="10">
        <f>34.6336 * CHOOSE(CONTROL!$C$9, $D$9, 100%, $F$9) + CHOOSE(CONTROL!$C$27, 0.0021, 0)</f>
        <v>34.6357</v>
      </c>
      <c r="C199" s="10">
        <f>34.2013 * CHOOSE(CONTROL!$C$9, $D$9, 100%, $F$9) + CHOOSE(CONTROL!$C$27, 0.0021, 0)</f>
        <v>34.203400000000002</v>
      </c>
      <c r="D199" s="10">
        <f>34.2013 * CHOOSE(CONTROL!$C$9, $D$9, 100%, $F$9) + CHOOSE(CONTROL!$C$27, 0.0021, 0)</f>
        <v>34.203400000000002</v>
      </c>
      <c r="E199" s="10">
        <f>34.0646 * CHOOSE(CONTROL!$C$9, $D$9, 100%, $F$9) + CHOOSE(CONTROL!$C$27, 0.0021, 0)</f>
        <v>34.066699999999997</v>
      </c>
      <c r="F199" s="10">
        <f>34.0646 * CHOOSE(CONTROL!$C$9, $D$9, 100%, $F$9) + CHOOSE(CONTROL!$C$27, 0.0021, 0)</f>
        <v>34.066699999999997</v>
      </c>
      <c r="G199" s="10">
        <f>34.336 * CHOOSE(CONTROL!$C$9, $D$9, 100%, $F$9) + CHOOSE(CONTROL!$C$27, 0.0021, 0)</f>
        <v>34.338099999999997</v>
      </c>
      <c r="H199" s="10">
        <f>34.2013 * CHOOSE(CONTROL!$C$9, $D$9, 100%, $F$9) + CHOOSE(CONTROL!$C$27, 0.0021, 0)</f>
        <v>34.203400000000002</v>
      </c>
      <c r="I199" s="10">
        <f>34.2013 * CHOOSE(CONTROL!$C$9, $D$9, 100%, $F$9) + CHOOSE(CONTROL!$C$27, 0.0021, 0)</f>
        <v>34.203400000000002</v>
      </c>
      <c r="J199" s="10">
        <f>34.2013 * CHOOSE(CONTROL!$C$9, $D$9, 100%, $F$9) + CHOOSE(CONTROL!$C$27, 0.0021, 0)</f>
        <v>34.203400000000002</v>
      </c>
      <c r="K199" s="10">
        <f>34.2013 * CHOOSE(CONTROL!$C$9, $D$9, 100%, $F$9) + CHOOSE(CONTROL!$C$27, 0.0021, 0)</f>
        <v>34.203400000000002</v>
      </c>
      <c r="L199" s="10"/>
    </row>
    <row r="200" spans="1:12" ht="15">
      <c r="A200" s="16">
        <v>47362</v>
      </c>
      <c r="B200" s="10">
        <f>35.2912 * CHOOSE(CONTROL!$C$9, $D$9, 100%, $F$9) + CHOOSE(CONTROL!$C$27, 0.0021, 0)</f>
        <v>35.293300000000002</v>
      </c>
      <c r="C200" s="10">
        <f>34.859 * CHOOSE(CONTROL!$C$9, $D$9, 100%, $F$9) + CHOOSE(CONTROL!$C$27, 0.0021, 0)</f>
        <v>34.8611</v>
      </c>
      <c r="D200" s="10">
        <f>34.859 * CHOOSE(CONTROL!$C$9, $D$9, 100%, $F$9) + CHOOSE(CONTROL!$C$27, 0.0021, 0)</f>
        <v>34.8611</v>
      </c>
      <c r="E200" s="10">
        <f>34.7223 * CHOOSE(CONTROL!$C$9, $D$9, 100%, $F$9) + CHOOSE(CONTROL!$C$27, 0.0021, 0)</f>
        <v>34.724399999999996</v>
      </c>
      <c r="F200" s="10">
        <f>34.7223 * CHOOSE(CONTROL!$C$9, $D$9, 100%, $F$9) + CHOOSE(CONTROL!$C$27, 0.0021, 0)</f>
        <v>34.724399999999996</v>
      </c>
      <c r="G200" s="10">
        <f>34.9937 * CHOOSE(CONTROL!$C$9, $D$9, 100%, $F$9) + CHOOSE(CONTROL!$C$27, 0.0021, 0)</f>
        <v>34.995799999999996</v>
      </c>
      <c r="H200" s="10">
        <f>34.859 * CHOOSE(CONTROL!$C$9, $D$9, 100%, $F$9) + CHOOSE(CONTROL!$C$27, 0.0021, 0)</f>
        <v>34.8611</v>
      </c>
      <c r="I200" s="10">
        <f>34.859 * CHOOSE(CONTROL!$C$9, $D$9, 100%, $F$9) + CHOOSE(CONTROL!$C$27, 0.0021, 0)</f>
        <v>34.8611</v>
      </c>
      <c r="J200" s="10">
        <f>34.859 * CHOOSE(CONTROL!$C$9, $D$9, 100%, $F$9) + CHOOSE(CONTROL!$C$27, 0.0021, 0)</f>
        <v>34.8611</v>
      </c>
      <c r="K200" s="10">
        <f>34.859 * CHOOSE(CONTROL!$C$9, $D$9, 100%, $F$9) + CHOOSE(CONTROL!$C$27, 0.0021, 0)</f>
        <v>34.8611</v>
      </c>
      <c r="L200" s="10"/>
    </row>
    <row r="201" spans="1:12" ht="15">
      <c r="A201" s="16">
        <v>47392</v>
      </c>
      <c r="B201" s="10">
        <f>36.1237 * CHOOSE(CONTROL!$C$9, $D$9, 100%, $F$9) + CHOOSE(CONTROL!$C$27, 0.0021, 0)</f>
        <v>36.125799999999998</v>
      </c>
      <c r="C201" s="10">
        <f>35.6914 * CHOOSE(CONTROL!$C$9, $D$9, 100%, $F$9) + CHOOSE(CONTROL!$C$27, 0.0021, 0)</f>
        <v>35.6935</v>
      </c>
      <c r="D201" s="10">
        <f>35.6914 * CHOOSE(CONTROL!$C$9, $D$9, 100%, $F$9) + CHOOSE(CONTROL!$C$27, 0.0021, 0)</f>
        <v>35.6935</v>
      </c>
      <c r="E201" s="10">
        <f>35.5548 * CHOOSE(CONTROL!$C$9, $D$9, 100%, $F$9) + CHOOSE(CONTROL!$C$27, 0.0021, 0)</f>
        <v>35.556899999999999</v>
      </c>
      <c r="F201" s="10">
        <f>35.5548 * CHOOSE(CONTROL!$C$9, $D$9, 100%, $F$9) + CHOOSE(CONTROL!$C$27, 0.0021, 0)</f>
        <v>35.556899999999999</v>
      </c>
      <c r="G201" s="10">
        <f>35.8262 * CHOOSE(CONTROL!$C$9, $D$9, 100%, $F$9) + CHOOSE(CONTROL!$C$27, 0.0021, 0)</f>
        <v>35.828299999999999</v>
      </c>
      <c r="H201" s="10">
        <f>35.6914 * CHOOSE(CONTROL!$C$9, $D$9, 100%, $F$9) + CHOOSE(CONTROL!$C$27, 0.0021, 0)</f>
        <v>35.6935</v>
      </c>
      <c r="I201" s="10">
        <f>35.6914 * CHOOSE(CONTROL!$C$9, $D$9, 100%, $F$9) + CHOOSE(CONTROL!$C$27, 0.0021, 0)</f>
        <v>35.6935</v>
      </c>
      <c r="J201" s="10">
        <f>35.6914 * CHOOSE(CONTROL!$C$9, $D$9, 100%, $F$9) + CHOOSE(CONTROL!$C$27, 0.0021, 0)</f>
        <v>35.6935</v>
      </c>
      <c r="K201" s="10">
        <f>35.6914 * CHOOSE(CONTROL!$C$9, $D$9, 100%, $F$9) + CHOOSE(CONTROL!$C$27, 0.0021, 0)</f>
        <v>35.6935</v>
      </c>
      <c r="L201" s="10"/>
    </row>
    <row r="202" spans="1:12" ht="15">
      <c r="A202" s="16">
        <v>47423</v>
      </c>
      <c r="B202" s="10">
        <f>36.2018 * CHOOSE(CONTROL!$C$9, $D$9, 100%, $F$9) + CHOOSE(CONTROL!$C$27, 0.0021, 0)</f>
        <v>36.203899999999997</v>
      </c>
      <c r="C202" s="10">
        <f>35.7696 * CHOOSE(CONTROL!$C$9, $D$9, 100%, $F$9) + CHOOSE(CONTROL!$C$27, 0.0021, 0)</f>
        <v>35.771699999999996</v>
      </c>
      <c r="D202" s="10">
        <f>35.7696 * CHOOSE(CONTROL!$C$9, $D$9, 100%, $F$9) + CHOOSE(CONTROL!$C$27, 0.0021, 0)</f>
        <v>35.771699999999996</v>
      </c>
      <c r="E202" s="10">
        <f>35.6329 * CHOOSE(CONTROL!$C$9, $D$9, 100%, $F$9) + CHOOSE(CONTROL!$C$27, 0.0021, 0)</f>
        <v>35.634999999999998</v>
      </c>
      <c r="F202" s="10">
        <f>35.6329 * CHOOSE(CONTROL!$C$9, $D$9, 100%, $F$9) + CHOOSE(CONTROL!$C$27, 0.0021, 0)</f>
        <v>35.634999999999998</v>
      </c>
      <c r="G202" s="10">
        <f>35.9043 * CHOOSE(CONTROL!$C$9, $D$9, 100%, $F$9) + CHOOSE(CONTROL!$C$27, 0.0021, 0)</f>
        <v>35.906399999999998</v>
      </c>
      <c r="H202" s="10">
        <f>35.7696 * CHOOSE(CONTROL!$C$9, $D$9, 100%, $F$9) + CHOOSE(CONTROL!$C$27, 0.0021, 0)</f>
        <v>35.771699999999996</v>
      </c>
      <c r="I202" s="10">
        <f>35.7696 * CHOOSE(CONTROL!$C$9, $D$9, 100%, $F$9) + CHOOSE(CONTROL!$C$27, 0.0021, 0)</f>
        <v>35.771699999999996</v>
      </c>
      <c r="J202" s="10">
        <f>35.7696 * CHOOSE(CONTROL!$C$9, $D$9, 100%, $F$9) + CHOOSE(CONTROL!$C$27, 0.0021, 0)</f>
        <v>35.771699999999996</v>
      </c>
      <c r="K202" s="10">
        <f>35.7696 * CHOOSE(CONTROL!$C$9, $D$9, 100%, $F$9) + CHOOSE(CONTROL!$C$27, 0.0021, 0)</f>
        <v>35.771699999999996</v>
      </c>
      <c r="L202" s="10"/>
    </row>
    <row r="203" spans="1:12" ht="15">
      <c r="A203" s="16">
        <v>47453</v>
      </c>
      <c r="B203" s="10">
        <f>35.537 * CHOOSE(CONTROL!$C$9, $D$9, 100%, $F$9) + CHOOSE(CONTROL!$C$27, 0.0021, 0)</f>
        <v>35.539099999999998</v>
      </c>
      <c r="C203" s="10">
        <f>35.1047 * CHOOSE(CONTROL!$C$9, $D$9, 100%, $F$9) + CHOOSE(CONTROL!$C$27, 0.0021, 0)</f>
        <v>35.1068</v>
      </c>
      <c r="D203" s="10">
        <f>35.1047 * CHOOSE(CONTROL!$C$9, $D$9, 100%, $F$9) + CHOOSE(CONTROL!$C$27, 0.0021, 0)</f>
        <v>35.1068</v>
      </c>
      <c r="E203" s="10">
        <f>34.968 * CHOOSE(CONTROL!$C$9, $D$9, 100%, $F$9) + CHOOSE(CONTROL!$C$27, 0.0021, 0)</f>
        <v>34.970100000000002</v>
      </c>
      <c r="F203" s="10">
        <f>34.968 * CHOOSE(CONTROL!$C$9, $D$9, 100%, $F$9) + CHOOSE(CONTROL!$C$27, 0.0021, 0)</f>
        <v>34.970100000000002</v>
      </c>
      <c r="G203" s="10">
        <f>35.2394 * CHOOSE(CONTROL!$C$9, $D$9, 100%, $F$9) + CHOOSE(CONTROL!$C$27, 0.0021, 0)</f>
        <v>35.241500000000002</v>
      </c>
      <c r="H203" s="10">
        <f>35.1047 * CHOOSE(CONTROL!$C$9, $D$9, 100%, $F$9) + CHOOSE(CONTROL!$C$27, 0.0021, 0)</f>
        <v>35.1068</v>
      </c>
      <c r="I203" s="10">
        <f>35.1047 * CHOOSE(CONTROL!$C$9, $D$9, 100%, $F$9) + CHOOSE(CONTROL!$C$27, 0.0021, 0)</f>
        <v>35.1068</v>
      </c>
      <c r="J203" s="10">
        <f>35.1047 * CHOOSE(CONTROL!$C$9, $D$9, 100%, $F$9) + CHOOSE(CONTROL!$C$27, 0.0021, 0)</f>
        <v>35.1068</v>
      </c>
      <c r="K203" s="10">
        <f>35.1047 * CHOOSE(CONTROL!$C$9, $D$9, 100%, $F$9) + CHOOSE(CONTROL!$C$27, 0.0021, 0)</f>
        <v>35.1068</v>
      </c>
      <c r="L203" s="10"/>
    </row>
    <row r="204" spans="1:12" ht="15">
      <c r="A204" s="16">
        <v>47484</v>
      </c>
      <c r="B204" s="10">
        <f>35.6568 * CHOOSE(CONTROL!$C$9, $D$9, 100%, $F$9) + CHOOSE(CONTROL!$C$27, 0.0021, 0)</f>
        <v>35.658899999999996</v>
      </c>
      <c r="C204" s="10">
        <f>35.2245 * CHOOSE(CONTROL!$C$9, $D$9, 100%, $F$9) + CHOOSE(CONTROL!$C$27, 0.0021, 0)</f>
        <v>35.226599999999998</v>
      </c>
      <c r="D204" s="10">
        <f>35.2245 * CHOOSE(CONTROL!$C$9, $D$9, 100%, $F$9) + CHOOSE(CONTROL!$C$27, 0.0021, 0)</f>
        <v>35.226599999999998</v>
      </c>
      <c r="E204" s="10">
        <f>35.0879 * CHOOSE(CONTROL!$C$9, $D$9, 100%, $F$9) + CHOOSE(CONTROL!$C$27, 0.0021, 0)</f>
        <v>35.089999999999996</v>
      </c>
      <c r="F204" s="10">
        <f>35.0879 * CHOOSE(CONTROL!$C$9, $D$9, 100%, $F$9) + CHOOSE(CONTROL!$C$27, 0.0021, 0)</f>
        <v>35.089999999999996</v>
      </c>
      <c r="G204" s="10">
        <f>35.3593 * CHOOSE(CONTROL!$C$9, $D$9, 100%, $F$9) + CHOOSE(CONTROL!$C$27, 0.0021, 0)</f>
        <v>35.361399999999996</v>
      </c>
      <c r="H204" s="10">
        <f>35.2245 * CHOOSE(CONTROL!$C$9, $D$9, 100%, $F$9) + CHOOSE(CONTROL!$C$27, 0.0021, 0)</f>
        <v>35.226599999999998</v>
      </c>
      <c r="I204" s="10">
        <f>35.2245 * CHOOSE(CONTROL!$C$9, $D$9, 100%, $F$9) + CHOOSE(CONTROL!$C$27, 0.0021, 0)</f>
        <v>35.226599999999998</v>
      </c>
      <c r="J204" s="10">
        <f>35.2245 * CHOOSE(CONTROL!$C$9, $D$9, 100%, $F$9) + CHOOSE(CONTROL!$C$27, 0.0021, 0)</f>
        <v>35.226599999999998</v>
      </c>
      <c r="K204" s="10">
        <f>35.2245 * CHOOSE(CONTROL!$C$9, $D$9, 100%, $F$9) + CHOOSE(CONTROL!$C$27, 0.0021, 0)</f>
        <v>35.226599999999998</v>
      </c>
      <c r="L204" s="10"/>
    </row>
    <row r="205" spans="1:12" ht="15">
      <c r="A205" s="16">
        <v>47515</v>
      </c>
      <c r="B205" s="10">
        <f>34.7131 * CHOOSE(CONTROL!$C$9, $D$9, 100%, $F$9) + CHOOSE(CONTROL!$C$27, 0.0021, 0)</f>
        <v>34.715199999999996</v>
      </c>
      <c r="C205" s="10">
        <f>34.2808 * CHOOSE(CONTROL!$C$9, $D$9, 100%, $F$9) + CHOOSE(CONTROL!$C$27, 0.0021, 0)</f>
        <v>34.282899999999998</v>
      </c>
      <c r="D205" s="10">
        <f>34.2808 * CHOOSE(CONTROL!$C$9, $D$9, 100%, $F$9) + CHOOSE(CONTROL!$C$27, 0.0021, 0)</f>
        <v>34.282899999999998</v>
      </c>
      <c r="E205" s="10">
        <f>34.1442 * CHOOSE(CONTROL!$C$9, $D$9, 100%, $F$9) + CHOOSE(CONTROL!$C$27, 0.0021, 0)</f>
        <v>34.146299999999997</v>
      </c>
      <c r="F205" s="10">
        <f>34.1442 * CHOOSE(CONTROL!$C$9, $D$9, 100%, $F$9) + CHOOSE(CONTROL!$C$27, 0.0021, 0)</f>
        <v>34.146299999999997</v>
      </c>
      <c r="G205" s="10">
        <f>34.4155 * CHOOSE(CONTROL!$C$9, $D$9, 100%, $F$9) + CHOOSE(CONTROL!$C$27, 0.0021, 0)</f>
        <v>34.4176</v>
      </c>
      <c r="H205" s="10">
        <f>34.2808 * CHOOSE(CONTROL!$C$9, $D$9, 100%, $F$9) + CHOOSE(CONTROL!$C$27, 0.0021, 0)</f>
        <v>34.282899999999998</v>
      </c>
      <c r="I205" s="10">
        <f>34.2808 * CHOOSE(CONTROL!$C$9, $D$9, 100%, $F$9) + CHOOSE(CONTROL!$C$27, 0.0021, 0)</f>
        <v>34.282899999999998</v>
      </c>
      <c r="J205" s="10">
        <f>34.2808 * CHOOSE(CONTROL!$C$9, $D$9, 100%, $F$9) + CHOOSE(CONTROL!$C$27, 0.0021, 0)</f>
        <v>34.282899999999998</v>
      </c>
      <c r="K205" s="10">
        <f>34.2808 * CHOOSE(CONTROL!$C$9, $D$9, 100%, $F$9) + CHOOSE(CONTROL!$C$27, 0.0021, 0)</f>
        <v>34.282899999999998</v>
      </c>
      <c r="L205" s="10"/>
    </row>
    <row r="206" spans="1:12" ht="15">
      <c r="A206" s="16">
        <v>47543</v>
      </c>
      <c r="B206" s="10">
        <f>34.3235 * CHOOSE(CONTROL!$C$9, $D$9, 100%, $F$9) + CHOOSE(CONTROL!$C$27, 0.0021, 0)</f>
        <v>34.325600000000001</v>
      </c>
      <c r="C206" s="10">
        <f>33.8912 * CHOOSE(CONTROL!$C$9, $D$9, 100%, $F$9) + CHOOSE(CONTROL!$C$27, 0.0021, 0)</f>
        <v>33.893299999999996</v>
      </c>
      <c r="D206" s="10">
        <f>33.8912 * CHOOSE(CONTROL!$C$9, $D$9, 100%, $F$9) + CHOOSE(CONTROL!$C$27, 0.0021, 0)</f>
        <v>33.893299999999996</v>
      </c>
      <c r="E206" s="10">
        <f>33.7546 * CHOOSE(CONTROL!$C$9, $D$9, 100%, $F$9) + CHOOSE(CONTROL!$C$27, 0.0021, 0)</f>
        <v>33.756700000000002</v>
      </c>
      <c r="F206" s="10">
        <f>33.7546 * CHOOSE(CONTROL!$C$9, $D$9, 100%, $F$9) + CHOOSE(CONTROL!$C$27, 0.0021, 0)</f>
        <v>33.756700000000002</v>
      </c>
      <c r="G206" s="10">
        <f>34.026 * CHOOSE(CONTROL!$C$9, $D$9, 100%, $F$9) + CHOOSE(CONTROL!$C$27, 0.0021, 0)</f>
        <v>34.028100000000002</v>
      </c>
      <c r="H206" s="10">
        <f>33.8912 * CHOOSE(CONTROL!$C$9, $D$9, 100%, $F$9) + CHOOSE(CONTROL!$C$27, 0.0021, 0)</f>
        <v>33.893299999999996</v>
      </c>
      <c r="I206" s="10">
        <f>33.8912 * CHOOSE(CONTROL!$C$9, $D$9, 100%, $F$9) + CHOOSE(CONTROL!$C$27, 0.0021, 0)</f>
        <v>33.893299999999996</v>
      </c>
      <c r="J206" s="10">
        <f>33.8912 * CHOOSE(CONTROL!$C$9, $D$9, 100%, $F$9) + CHOOSE(CONTROL!$C$27, 0.0021, 0)</f>
        <v>33.893299999999996</v>
      </c>
      <c r="K206" s="10">
        <f>33.8912 * CHOOSE(CONTROL!$C$9, $D$9, 100%, $F$9) + CHOOSE(CONTROL!$C$27, 0.0021, 0)</f>
        <v>33.893299999999996</v>
      </c>
      <c r="L206" s="10"/>
    </row>
    <row r="207" spans="1:12" ht="15">
      <c r="A207" s="16">
        <v>47574</v>
      </c>
      <c r="B207" s="10">
        <f>33.8583 * CHOOSE(CONTROL!$C$9, $D$9, 100%, $F$9) + CHOOSE(CONTROL!$C$27, 0.0021, 0)</f>
        <v>33.860399999999998</v>
      </c>
      <c r="C207" s="10">
        <f>33.4261 * CHOOSE(CONTROL!$C$9, $D$9, 100%, $F$9) + CHOOSE(CONTROL!$C$27, 0.0021, 0)</f>
        <v>33.428199999999997</v>
      </c>
      <c r="D207" s="10">
        <f>33.4261 * CHOOSE(CONTROL!$C$9, $D$9, 100%, $F$9) + CHOOSE(CONTROL!$C$27, 0.0021, 0)</f>
        <v>33.428199999999997</v>
      </c>
      <c r="E207" s="10">
        <f>33.2894 * CHOOSE(CONTROL!$C$9, $D$9, 100%, $F$9) + CHOOSE(CONTROL!$C$27, 0.0021, 0)</f>
        <v>33.291499999999999</v>
      </c>
      <c r="F207" s="10">
        <f>33.2894 * CHOOSE(CONTROL!$C$9, $D$9, 100%, $F$9) + CHOOSE(CONTROL!$C$27, 0.0021, 0)</f>
        <v>33.291499999999999</v>
      </c>
      <c r="G207" s="10">
        <f>33.5608 * CHOOSE(CONTROL!$C$9, $D$9, 100%, $F$9) + CHOOSE(CONTROL!$C$27, 0.0021, 0)</f>
        <v>33.562899999999999</v>
      </c>
      <c r="H207" s="10">
        <f>33.4261 * CHOOSE(CONTROL!$C$9, $D$9, 100%, $F$9) + CHOOSE(CONTROL!$C$27, 0.0021, 0)</f>
        <v>33.428199999999997</v>
      </c>
      <c r="I207" s="10">
        <f>33.4261 * CHOOSE(CONTROL!$C$9, $D$9, 100%, $F$9) + CHOOSE(CONTROL!$C$27, 0.0021, 0)</f>
        <v>33.428199999999997</v>
      </c>
      <c r="J207" s="10">
        <f>33.4261 * CHOOSE(CONTROL!$C$9, $D$9, 100%, $F$9) + CHOOSE(CONTROL!$C$27, 0.0021, 0)</f>
        <v>33.428199999999997</v>
      </c>
      <c r="K207" s="10">
        <f>33.4261 * CHOOSE(CONTROL!$C$9, $D$9, 100%, $F$9) + CHOOSE(CONTROL!$C$27, 0.0021, 0)</f>
        <v>33.428199999999997</v>
      </c>
      <c r="L207" s="10"/>
    </row>
    <row r="208" spans="1:12" ht="15">
      <c r="A208" s="16">
        <v>47604</v>
      </c>
      <c r="B208" s="10">
        <f>34.5212 * CHOOSE(CONTROL!$C$9, $D$9, 100%, $F$9) + CHOOSE(CONTROL!$C$27, 0.0021, 0)</f>
        <v>34.523299999999999</v>
      </c>
      <c r="C208" s="10">
        <f>34.089 * CHOOSE(CONTROL!$C$9, $D$9, 100%, $F$9) + CHOOSE(CONTROL!$C$27, 0.0021, 0)</f>
        <v>34.091099999999997</v>
      </c>
      <c r="D208" s="10">
        <f>34.089 * CHOOSE(CONTROL!$C$9, $D$9, 100%, $F$9) + CHOOSE(CONTROL!$C$27, 0.0021, 0)</f>
        <v>34.091099999999997</v>
      </c>
      <c r="E208" s="10">
        <f>33.9523 * CHOOSE(CONTROL!$C$9, $D$9, 100%, $F$9) + CHOOSE(CONTROL!$C$27, 0.0021, 0)</f>
        <v>33.9544</v>
      </c>
      <c r="F208" s="10">
        <f>33.9523 * CHOOSE(CONTROL!$C$9, $D$9, 100%, $F$9) + CHOOSE(CONTROL!$C$27, 0.0021, 0)</f>
        <v>33.9544</v>
      </c>
      <c r="G208" s="10">
        <f>34.2237 * CHOOSE(CONTROL!$C$9, $D$9, 100%, $F$9) + CHOOSE(CONTROL!$C$27, 0.0021, 0)</f>
        <v>34.2258</v>
      </c>
      <c r="H208" s="10">
        <f>34.089 * CHOOSE(CONTROL!$C$9, $D$9, 100%, $F$9) + CHOOSE(CONTROL!$C$27, 0.0021, 0)</f>
        <v>34.091099999999997</v>
      </c>
      <c r="I208" s="10">
        <f>34.089 * CHOOSE(CONTROL!$C$9, $D$9, 100%, $F$9) + CHOOSE(CONTROL!$C$27, 0.0021, 0)</f>
        <v>34.091099999999997</v>
      </c>
      <c r="J208" s="10">
        <f>34.089 * CHOOSE(CONTROL!$C$9, $D$9, 100%, $F$9) + CHOOSE(CONTROL!$C$27, 0.0021, 0)</f>
        <v>34.091099999999997</v>
      </c>
      <c r="K208" s="10">
        <f>34.089 * CHOOSE(CONTROL!$C$9, $D$9, 100%, $F$9) + CHOOSE(CONTROL!$C$27, 0.0021, 0)</f>
        <v>34.091099999999997</v>
      </c>
      <c r="L208" s="10"/>
    </row>
    <row r="209" spans="1:12" ht="15">
      <c r="A209" s="16">
        <v>47635</v>
      </c>
      <c r="B209" s="10">
        <f>34.9183 * CHOOSE(CONTROL!$C$9, $D$9, 100%, $F$9) + CHOOSE(CONTROL!$C$27, 0.0021, 0)</f>
        <v>34.920400000000001</v>
      </c>
      <c r="C209" s="10">
        <f>34.486 * CHOOSE(CONTROL!$C$9, $D$9, 100%, $F$9) + CHOOSE(CONTROL!$C$27, 0.0021, 0)</f>
        <v>34.488099999999996</v>
      </c>
      <c r="D209" s="10">
        <f>34.486 * CHOOSE(CONTROL!$C$9, $D$9, 100%, $F$9) + CHOOSE(CONTROL!$C$27, 0.0021, 0)</f>
        <v>34.488099999999996</v>
      </c>
      <c r="E209" s="10">
        <f>34.3494 * CHOOSE(CONTROL!$C$9, $D$9, 100%, $F$9) + CHOOSE(CONTROL!$C$27, 0.0021, 0)</f>
        <v>34.351500000000001</v>
      </c>
      <c r="F209" s="10">
        <f>34.3494 * CHOOSE(CONTROL!$C$9, $D$9, 100%, $F$9) + CHOOSE(CONTROL!$C$27, 0.0021, 0)</f>
        <v>34.351500000000001</v>
      </c>
      <c r="G209" s="10">
        <f>34.6208 * CHOOSE(CONTROL!$C$9, $D$9, 100%, $F$9) + CHOOSE(CONTROL!$C$27, 0.0021, 0)</f>
        <v>34.622900000000001</v>
      </c>
      <c r="H209" s="10">
        <f>34.486 * CHOOSE(CONTROL!$C$9, $D$9, 100%, $F$9) + CHOOSE(CONTROL!$C$27, 0.0021, 0)</f>
        <v>34.488099999999996</v>
      </c>
      <c r="I209" s="10">
        <f>34.486 * CHOOSE(CONTROL!$C$9, $D$9, 100%, $F$9) + CHOOSE(CONTROL!$C$27, 0.0021, 0)</f>
        <v>34.488099999999996</v>
      </c>
      <c r="J209" s="10">
        <f>34.486 * CHOOSE(CONTROL!$C$9, $D$9, 100%, $F$9) + CHOOSE(CONTROL!$C$27, 0.0021, 0)</f>
        <v>34.488099999999996</v>
      </c>
      <c r="K209" s="10">
        <f>34.486 * CHOOSE(CONTROL!$C$9, $D$9, 100%, $F$9) + CHOOSE(CONTROL!$C$27, 0.0021, 0)</f>
        <v>34.488099999999996</v>
      </c>
      <c r="L209" s="10"/>
    </row>
    <row r="210" spans="1:12" ht="15">
      <c r="A210" s="16">
        <v>47665</v>
      </c>
      <c r="B210" s="10">
        <f>35.5733 * CHOOSE(CONTROL!$C$9, $D$9, 100%, $F$9) + CHOOSE(CONTROL!$C$27, 0.0021, 0)</f>
        <v>35.575400000000002</v>
      </c>
      <c r="C210" s="10">
        <f>35.141 * CHOOSE(CONTROL!$C$9, $D$9, 100%, $F$9) + CHOOSE(CONTROL!$C$27, 0.0021, 0)</f>
        <v>35.143099999999997</v>
      </c>
      <c r="D210" s="10">
        <f>35.141 * CHOOSE(CONTROL!$C$9, $D$9, 100%, $F$9) + CHOOSE(CONTROL!$C$27, 0.0021, 0)</f>
        <v>35.143099999999997</v>
      </c>
      <c r="E210" s="10">
        <f>35.0044 * CHOOSE(CONTROL!$C$9, $D$9, 100%, $F$9) + CHOOSE(CONTROL!$C$27, 0.0021, 0)</f>
        <v>35.006499999999996</v>
      </c>
      <c r="F210" s="10">
        <f>35.0044 * CHOOSE(CONTROL!$C$9, $D$9, 100%, $F$9) + CHOOSE(CONTROL!$C$27, 0.0021, 0)</f>
        <v>35.006499999999996</v>
      </c>
      <c r="G210" s="10">
        <f>35.2757 * CHOOSE(CONTROL!$C$9, $D$9, 100%, $F$9) + CHOOSE(CONTROL!$C$27, 0.0021, 0)</f>
        <v>35.277799999999999</v>
      </c>
      <c r="H210" s="10">
        <f>35.141 * CHOOSE(CONTROL!$C$9, $D$9, 100%, $F$9) + CHOOSE(CONTROL!$C$27, 0.0021, 0)</f>
        <v>35.143099999999997</v>
      </c>
      <c r="I210" s="10">
        <f>35.141 * CHOOSE(CONTROL!$C$9, $D$9, 100%, $F$9) + CHOOSE(CONTROL!$C$27, 0.0021, 0)</f>
        <v>35.143099999999997</v>
      </c>
      <c r="J210" s="10">
        <f>35.141 * CHOOSE(CONTROL!$C$9, $D$9, 100%, $F$9) + CHOOSE(CONTROL!$C$27, 0.0021, 0)</f>
        <v>35.143099999999997</v>
      </c>
      <c r="K210" s="10">
        <f>35.141 * CHOOSE(CONTROL!$C$9, $D$9, 100%, $F$9) + CHOOSE(CONTROL!$C$27, 0.0021, 0)</f>
        <v>35.143099999999997</v>
      </c>
      <c r="L210" s="10"/>
    </row>
    <row r="211" spans="1:12" ht="15">
      <c r="A211" s="16">
        <v>47696</v>
      </c>
      <c r="B211" s="10">
        <f>35.7732 * CHOOSE(CONTROL!$C$9, $D$9, 100%, $F$9) + CHOOSE(CONTROL!$C$27, 0.0021, 0)</f>
        <v>35.775300000000001</v>
      </c>
      <c r="C211" s="10">
        <f>35.341 * CHOOSE(CONTROL!$C$9, $D$9, 100%, $F$9) + CHOOSE(CONTROL!$C$27, 0.0021, 0)</f>
        <v>35.3431</v>
      </c>
      <c r="D211" s="10">
        <f>35.341 * CHOOSE(CONTROL!$C$9, $D$9, 100%, $F$9) + CHOOSE(CONTROL!$C$27, 0.0021, 0)</f>
        <v>35.3431</v>
      </c>
      <c r="E211" s="10">
        <f>35.2043 * CHOOSE(CONTROL!$C$9, $D$9, 100%, $F$9) + CHOOSE(CONTROL!$C$27, 0.0021, 0)</f>
        <v>35.206400000000002</v>
      </c>
      <c r="F211" s="10">
        <f>35.2043 * CHOOSE(CONTROL!$C$9, $D$9, 100%, $F$9) + CHOOSE(CONTROL!$C$27, 0.0021, 0)</f>
        <v>35.206400000000002</v>
      </c>
      <c r="G211" s="10">
        <f>35.4757 * CHOOSE(CONTROL!$C$9, $D$9, 100%, $F$9) + CHOOSE(CONTROL!$C$27, 0.0021, 0)</f>
        <v>35.477800000000002</v>
      </c>
      <c r="H211" s="10">
        <f>35.341 * CHOOSE(CONTROL!$C$9, $D$9, 100%, $F$9) + CHOOSE(CONTROL!$C$27, 0.0021, 0)</f>
        <v>35.3431</v>
      </c>
      <c r="I211" s="10">
        <f>35.341 * CHOOSE(CONTROL!$C$9, $D$9, 100%, $F$9) + CHOOSE(CONTROL!$C$27, 0.0021, 0)</f>
        <v>35.3431</v>
      </c>
      <c r="J211" s="10">
        <f>35.341 * CHOOSE(CONTROL!$C$9, $D$9, 100%, $F$9) + CHOOSE(CONTROL!$C$27, 0.0021, 0)</f>
        <v>35.3431</v>
      </c>
      <c r="K211" s="10">
        <f>35.341 * CHOOSE(CONTROL!$C$9, $D$9, 100%, $F$9) + CHOOSE(CONTROL!$C$27, 0.0021, 0)</f>
        <v>35.3431</v>
      </c>
      <c r="L211" s="10"/>
    </row>
    <row r="212" spans="1:12" ht="15">
      <c r="A212" s="16">
        <v>47727</v>
      </c>
      <c r="B212" s="10">
        <f>36.454 * CHOOSE(CONTROL!$C$9, $D$9, 100%, $F$9) + CHOOSE(CONTROL!$C$27, 0.0021, 0)</f>
        <v>36.456099999999999</v>
      </c>
      <c r="C212" s="10">
        <f>36.0218 * CHOOSE(CONTROL!$C$9, $D$9, 100%, $F$9) + CHOOSE(CONTROL!$C$27, 0.0021, 0)</f>
        <v>36.023899999999998</v>
      </c>
      <c r="D212" s="10">
        <f>36.0218 * CHOOSE(CONTROL!$C$9, $D$9, 100%, $F$9) + CHOOSE(CONTROL!$C$27, 0.0021, 0)</f>
        <v>36.023899999999998</v>
      </c>
      <c r="E212" s="10">
        <f>35.8851 * CHOOSE(CONTROL!$C$9, $D$9, 100%, $F$9) + CHOOSE(CONTROL!$C$27, 0.0021, 0)</f>
        <v>35.8872</v>
      </c>
      <c r="F212" s="10">
        <f>35.8851 * CHOOSE(CONTROL!$C$9, $D$9, 100%, $F$9) + CHOOSE(CONTROL!$C$27, 0.0021, 0)</f>
        <v>35.8872</v>
      </c>
      <c r="G212" s="10">
        <f>36.1565 * CHOOSE(CONTROL!$C$9, $D$9, 100%, $F$9) + CHOOSE(CONTROL!$C$27, 0.0021, 0)</f>
        <v>36.1586</v>
      </c>
      <c r="H212" s="10">
        <f>36.0218 * CHOOSE(CONTROL!$C$9, $D$9, 100%, $F$9) + CHOOSE(CONTROL!$C$27, 0.0021, 0)</f>
        <v>36.023899999999998</v>
      </c>
      <c r="I212" s="10">
        <f>36.0218 * CHOOSE(CONTROL!$C$9, $D$9, 100%, $F$9) + CHOOSE(CONTROL!$C$27, 0.0021, 0)</f>
        <v>36.023899999999998</v>
      </c>
      <c r="J212" s="10">
        <f>36.0218 * CHOOSE(CONTROL!$C$9, $D$9, 100%, $F$9) + CHOOSE(CONTROL!$C$27, 0.0021, 0)</f>
        <v>36.023899999999998</v>
      </c>
      <c r="K212" s="10">
        <f>36.0218 * CHOOSE(CONTROL!$C$9, $D$9, 100%, $F$9) + CHOOSE(CONTROL!$C$27, 0.0021, 0)</f>
        <v>36.023899999999998</v>
      </c>
      <c r="L212" s="10"/>
    </row>
    <row r="213" spans="1:12" ht="15">
      <c r="A213" s="16">
        <v>47757</v>
      </c>
      <c r="B213" s="10">
        <f>37.3158 * CHOOSE(CONTROL!$C$9, $D$9, 100%, $F$9) + CHOOSE(CONTROL!$C$27, 0.0021, 0)</f>
        <v>37.317900000000002</v>
      </c>
      <c r="C213" s="10">
        <f>36.8836 * CHOOSE(CONTROL!$C$9, $D$9, 100%, $F$9) + CHOOSE(CONTROL!$C$27, 0.0021, 0)</f>
        <v>36.8857</v>
      </c>
      <c r="D213" s="10">
        <f>36.8836 * CHOOSE(CONTROL!$C$9, $D$9, 100%, $F$9) + CHOOSE(CONTROL!$C$27, 0.0021, 0)</f>
        <v>36.8857</v>
      </c>
      <c r="E213" s="10">
        <f>36.7469 * CHOOSE(CONTROL!$C$9, $D$9, 100%, $F$9) + CHOOSE(CONTROL!$C$27, 0.0021, 0)</f>
        <v>36.748999999999995</v>
      </c>
      <c r="F213" s="10">
        <f>36.7469 * CHOOSE(CONTROL!$C$9, $D$9, 100%, $F$9) + CHOOSE(CONTROL!$C$27, 0.0021, 0)</f>
        <v>36.748999999999995</v>
      </c>
      <c r="G213" s="10">
        <f>37.0183 * CHOOSE(CONTROL!$C$9, $D$9, 100%, $F$9) + CHOOSE(CONTROL!$C$27, 0.0021, 0)</f>
        <v>37.020400000000002</v>
      </c>
      <c r="H213" s="10">
        <f>36.8836 * CHOOSE(CONTROL!$C$9, $D$9, 100%, $F$9) + CHOOSE(CONTROL!$C$27, 0.0021, 0)</f>
        <v>36.8857</v>
      </c>
      <c r="I213" s="10">
        <f>36.8836 * CHOOSE(CONTROL!$C$9, $D$9, 100%, $F$9) + CHOOSE(CONTROL!$C$27, 0.0021, 0)</f>
        <v>36.8857</v>
      </c>
      <c r="J213" s="10">
        <f>36.8836 * CHOOSE(CONTROL!$C$9, $D$9, 100%, $F$9) + CHOOSE(CONTROL!$C$27, 0.0021, 0)</f>
        <v>36.8857</v>
      </c>
      <c r="K213" s="10">
        <f>36.8836 * CHOOSE(CONTROL!$C$9, $D$9, 100%, $F$9) + CHOOSE(CONTROL!$C$27, 0.0021, 0)</f>
        <v>36.8857</v>
      </c>
      <c r="L213" s="10"/>
    </row>
    <row r="214" spans="1:12" ht="15">
      <c r="A214" s="16">
        <v>47788</v>
      </c>
      <c r="B214" s="10">
        <f>37.3968 * CHOOSE(CONTROL!$C$9, $D$9, 100%, $F$9) + CHOOSE(CONTROL!$C$27, 0.0021, 0)</f>
        <v>37.398899999999998</v>
      </c>
      <c r="C214" s="10">
        <f>36.9645 * CHOOSE(CONTROL!$C$9, $D$9, 100%, $F$9) + CHOOSE(CONTROL!$C$27, 0.0021, 0)</f>
        <v>36.9666</v>
      </c>
      <c r="D214" s="10">
        <f>36.9645 * CHOOSE(CONTROL!$C$9, $D$9, 100%, $F$9) + CHOOSE(CONTROL!$C$27, 0.0021, 0)</f>
        <v>36.9666</v>
      </c>
      <c r="E214" s="10">
        <f>36.8278 * CHOOSE(CONTROL!$C$9, $D$9, 100%, $F$9) + CHOOSE(CONTROL!$C$27, 0.0021, 0)</f>
        <v>36.829900000000002</v>
      </c>
      <c r="F214" s="10">
        <f>36.8278 * CHOOSE(CONTROL!$C$9, $D$9, 100%, $F$9) + CHOOSE(CONTROL!$C$27, 0.0021, 0)</f>
        <v>36.829900000000002</v>
      </c>
      <c r="G214" s="10">
        <f>37.0992 * CHOOSE(CONTROL!$C$9, $D$9, 100%, $F$9) + CHOOSE(CONTROL!$C$27, 0.0021, 0)</f>
        <v>37.101300000000002</v>
      </c>
      <c r="H214" s="10">
        <f>36.9645 * CHOOSE(CONTROL!$C$9, $D$9, 100%, $F$9) + CHOOSE(CONTROL!$C$27, 0.0021, 0)</f>
        <v>36.9666</v>
      </c>
      <c r="I214" s="10">
        <f>36.9645 * CHOOSE(CONTROL!$C$9, $D$9, 100%, $F$9) + CHOOSE(CONTROL!$C$27, 0.0021, 0)</f>
        <v>36.9666</v>
      </c>
      <c r="J214" s="10">
        <f>36.9645 * CHOOSE(CONTROL!$C$9, $D$9, 100%, $F$9) + CHOOSE(CONTROL!$C$27, 0.0021, 0)</f>
        <v>36.9666</v>
      </c>
      <c r="K214" s="10">
        <f>36.9645 * CHOOSE(CONTROL!$C$9, $D$9, 100%, $F$9) + CHOOSE(CONTROL!$C$27, 0.0021, 0)</f>
        <v>36.9666</v>
      </c>
      <c r="L214" s="10"/>
    </row>
    <row r="215" spans="1:12" ht="15">
      <c r="A215" s="16">
        <v>47818</v>
      </c>
      <c r="B215" s="10">
        <f>36.7084 * CHOOSE(CONTROL!$C$9, $D$9, 100%, $F$9) + CHOOSE(CONTROL!$C$27, 0.0021, 0)</f>
        <v>36.710499999999996</v>
      </c>
      <c r="C215" s="10">
        <f>36.2762 * CHOOSE(CONTROL!$C$9, $D$9, 100%, $F$9) + CHOOSE(CONTROL!$C$27, 0.0021, 0)</f>
        <v>36.278300000000002</v>
      </c>
      <c r="D215" s="10">
        <f>36.2762 * CHOOSE(CONTROL!$C$9, $D$9, 100%, $F$9) + CHOOSE(CONTROL!$C$27, 0.0021, 0)</f>
        <v>36.278300000000002</v>
      </c>
      <c r="E215" s="10">
        <f>36.1395 * CHOOSE(CONTROL!$C$9, $D$9, 100%, $F$9) + CHOOSE(CONTROL!$C$27, 0.0021, 0)</f>
        <v>36.141599999999997</v>
      </c>
      <c r="F215" s="10">
        <f>36.1395 * CHOOSE(CONTROL!$C$9, $D$9, 100%, $F$9) + CHOOSE(CONTROL!$C$27, 0.0021, 0)</f>
        <v>36.141599999999997</v>
      </c>
      <c r="G215" s="10">
        <f>36.4109 * CHOOSE(CONTROL!$C$9, $D$9, 100%, $F$9) + CHOOSE(CONTROL!$C$27, 0.0021, 0)</f>
        <v>36.412999999999997</v>
      </c>
      <c r="H215" s="10">
        <f>36.2762 * CHOOSE(CONTROL!$C$9, $D$9, 100%, $F$9) + CHOOSE(CONTROL!$C$27, 0.0021, 0)</f>
        <v>36.278300000000002</v>
      </c>
      <c r="I215" s="10">
        <f>36.2762 * CHOOSE(CONTROL!$C$9, $D$9, 100%, $F$9) + CHOOSE(CONTROL!$C$27, 0.0021, 0)</f>
        <v>36.278300000000002</v>
      </c>
      <c r="J215" s="10">
        <f>36.2762 * CHOOSE(CONTROL!$C$9, $D$9, 100%, $F$9) + CHOOSE(CONTROL!$C$27, 0.0021, 0)</f>
        <v>36.278300000000002</v>
      </c>
      <c r="K215" s="10">
        <f>36.2762 * CHOOSE(CONTROL!$C$9, $D$9, 100%, $F$9) + CHOOSE(CONTROL!$C$27, 0.0021, 0)</f>
        <v>36.278300000000002</v>
      </c>
      <c r="L215" s="10"/>
    </row>
    <row r="216" spans="1:12" ht="15">
      <c r="A216" s="16">
        <v>47849</v>
      </c>
      <c r="B216" s="10">
        <f>36.1814 * CHOOSE(CONTROL!$C$9, $D$9, 100%, $F$9) + CHOOSE(CONTROL!$C$27, 0.0021, 0)</f>
        <v>36.183499999999995</v>
      </c>
      <c r="C216" s="10">
        <f>35.7492 * CHOOSE(CONTROL!$C$9, $D$9, 100%, $F$9) + CHOOSE(CONTROL!$C$27, 0.0021, 0)</f>
        <v>35.751300000000001</v>
      </c>
      <c r="D216" s="10">
        <f>35.7492 * CHOOSE(CONTROL!$C$9, $D$9, 100%, $F$9) + CHOOSE(CONTROL!$C$27, 0.0021, 0)</f>
        <v>35.751300000000001</v>
      </c>
      <c r="E216" s="10">
        <f>35.6125 * CHOOSE(CONTROL!$C$9, $D$9, 100%, $F$9) + CHOOSE(CONTROL!$C$27, 0.0021, 0)</f>
        <v>35.614599999999996</v>
      </c>
      <c r="F216" s="10">
        <f>35.6125 * CHOOSE(CONTROL!$C$9, $D$9, 100%, $F$9) + CHOOSE(CONTROL!$C$27, 0.0021, 0)</f>
        <v>35.614599999999996</v>
      </c>
      <c r="G216" s="10">
        <f>35.8839 * CHOOSE(CONTROL!$C$9, $D$9, 100%, $F$9) + CHOOSE(CONTROL!$C$27, 0.0021, 0)</f>
        <v>35.885999999999996</v>
      </c>
      <c r="H216" s="10">
        <f>35.7492 * CHOOSE(CONTROL!$C$9, $D$9, 100%, $F$9) + CHOOSE(CONTROL!$C$27, 0.0021, 0)</f>
        <v>35.751300000000001</v>
      </c>
      <c r="I216" s="10">
        <f>35.7492 * CHOOSE(CONTROL!$C$9, $D$9, 100%, $F$9) + CHOOSE(CONTROL!$C$27, 0.0021, 0)</f>
        <v>35.751300000000001</v>
      </c>
      <c r="J216" s="10">
        <f>35.7492 * CHOOSE(CONTROL!$C$9, $D$9, 100%, $F$9) + CHOOSE(CONTROL!$C$27, 0.0021, 0)</f>
        <v>35.751300000000001</v>
      </c>
      <c r="K216" s="10">
        <f>35.7492 * CHOOSE(CONTROL!$C$9, $D$9, 100%, $F$9) + CHOOSE(CONTROL!$C$27, 0.0021, 0)</f>
        <v>35.751300000000001</v>
      </c>
      <c r="L216" s="10"/>
    </row>
    <row r="217" spans="1:12" ht="15">
      <c r="A217" s="16">
        <v>47880</v>
      </c>
      <c r="B217" s="10">
        <f>35.2229 * CHOOSE(CONTROL!$C$9, $D$9, 100%, $F$9) + CHOOSE(CONTROL!$C$27, 0.0021, 0)</f>
        <v>35.225000000000001</v>
      </c>
      <c r="C217" s="10">
        <f>34.7906 * CHOOSE(CONTROL!$C$9, $D$9, 100%, $F$9) + CHOOSE(CONTROL!$C$27, 0.0021, 0)</f>
        <v>34.792699999999996</v>
      </c>
      <c r="D217" s="10">
        <f>34.7906 * CHOOSE(CONTROL!$C$9, $D$9, 100%, $F$9) + CHOOSE(CONTROL!$C$27, 0.0021, 0)</f>
        <v>34.792699999999996</v>
      </c>
      <c r="E217" s="10">
        <f>34.654 * CHOOSE(CONTROL!$C$9, $D$9, 100%, $F$9) + CHOOSE(CONTROL!$C$27, 0.0021, 0)</f>
        <v>34.656100000000002</v>
      </c>
      <c r="F217" s="10">
        <f>34.654 * CHOOSE(CONTROL!$C$9, $D$9, 100%, $F$9) + CHOOSE(CONTROL!$C$27, 0.0021, 0)</f>
        <v>34.656100000000002</v>
      </c>
      <c r="G217" s="10">
        <f>34.9253 * CHOOSE(CONTROL!$C$9, $D$9, 100%, $F$9) + CHOOSE(CONTROL!$C$27, 0.0021, 0)</f>
        <v>34.927399999999999</v>
      </c>
      <c r="H217" s="10">
        <f>34.7906 * CHOOSE(CONTROL!$C$9, $D$9, 100%, $F$9) + CHOOSE(CONTROL!$C$27, 0.0021, 0)</f>
        <v>34.792699999999996</v>
      </c>
      <c r="I217" s="10">
        <f>34.7906 * CHOOSE(CONTROL!$C$9, $D$9, 100%, $F$9) + CHOOSE(CONTROL!$C$27, 0.0021, 0)</f>
        <v>34.792699999999996</v>
      </c>
      <c r="J217" s="10">
        <f>34.7906 * CHOOSE(CONTROL!$C$9, $D$9, 100%, $F$9) + CHOOSE(CONTROL!$C$27, 0.0021, 0)</f>
        <v>34.792699999999996</v>
      </c>
      <c r="K217" s="10">
        <f>34.7906 * CHOOSE(CONTROL!$C$9, $D$9, 100%, $F$9) + CHOOSE(CONTROL!$C$27, 0.0021, 0)</f>
        <v>34.792699999999996</v>
      </c>
      <c r="L217" s="10"/>
    </row>
    <row r="218" spans="1:12" ht="15">
      <c r="A218" s="16">
        <v>47908</v>
      </c>
      <c r="B218" s="10">
        <f>34.8272 * CHOOSE(CONTROL!$C$9, $D$9, 100%, $F$9) + CHOOSE(CONTROL!$C$27, 0.0021, 0)</f>
        <v>34.829299999999996</v>
      </c>
      <c r="C218" s="10">
        <f>34.3949 * CHOOSE(CONTROL!$C$9, $D$9, 100%, $F$9) + CHOOSE(CONTROL!$C$27, 0.0021, 0)</f>
        <v>34.396999999999998</v>
      </c>
      <c r="D218" s="10">
        <f>34.3949 * CHOOSE(CONTROL!$C$9, $D$9, 100%, $F$9) + CHOOSE(CONTROL!$C$27, 0.0021, 0)</f>
        <v>34.396999999999998</v>
      </c>
      <c r="E218" s="10">
        <f>34.2583 * CHOOSE(CONTROL!$C$9, $D$9, 100%, $F$9) + CHOOSE(CONTROL!$C$27, 0.0021, 0)</f>
        <v>34.260399999999997</v>
      </c>
      <c r="F218" s="10">
        <f>34.2583 * CHOOSE(CONTROL!$C$9, $D$9, 100%, $F$9) + CHOOSE(CONTROL!$C$27, 0.0021, 0)</f>
        <v>34.260399999999997</v>
      </c>
      <c r="G218" s="10">
        <f>34.5297 * CHOOSE(CONTROL!$C$9, $D$9, 100%, $F$9) + CHOOSE(CONTROL!$C$27, 0.0021, 0)</f>
        <v>34.531799999999997</v>
      </c>
      <c r="H218" s="10">
        <f>34.3949 * CHOOSE(CONTROL!$C$9, $D$9, 100%, $F$9) + CHOOSE(CONTROL!$C$27, 0.0021, 0)</f>
        <v>34.396999999999998</v>
      </c>
      <c r="I218" s="10">
        <f>34.3949 * CHOOSE(CONTROL!$C$9, $D$9, 100%, $F$9) + CHOOSE(CONTROL!$C$27, 0.0021, 0)</f>
        <v>34.396999999999998</v>
      </c>
      <c r="J218" s="10">
        <f>34.3949 * CHOOSE(CONTROL!$C$9, $D$9, 100%, $F$9) + CHOOSE(CONTROL!$C$27, 0.0021, 0)</f>
        <v>34.396999999999998</v>
      </c>
      <c r="K218" s="10">
        <f>34.3949 * CHOOSE(CONTROL!$C$9, $D$9, 100%, $F$9) + CHOOSE(CONTROL!$C$27, 0.0021, 0)</f>
        <v>34.396999999999998</v>
      </c>
      <c r="L218" s="10"/>
    </row>
    <row r="219" spans="1:12" ht="15">
      <c r="A219" s="16">
        <v>47939</v>
      </c>
      <c r="B219" s="10">
        <f>34.3547 * CHOOSE(CONTROL!$C$9, $D$9, 100%, $F$9) + CHOOSE(CONTROL!$C$27, 0.0021, 0)</f>
        <v>34.3568</v>
      </c>
      <c r="C219" s="10">
        <f>33.9225 * CHOOSE(CONTROL!$C$9, $D$9, 100%, $F$9) + CHOOSE(CONTROL!$C$27, 0.0021, 0)</f>
        <v>33.924599999999998</v>
      </c>
      <c r="D219" s="10">
        <f>33.9225 * CHOOSE(CONTROL!$C$9, $D$9, 100%, $F$9) + CHOOSE(CONTROL!$C$27, 0.0021, 0)</f>
        <v>33.924599999999998</v>
      </c>
      <c r="E219" s="10">
        <f>33.7858 * CHOOSE(CONTROL!$C$9, $D$9, 100%, $F$9) + CHOOSE(CONTROL!$C$27, 0.0021, 0)</f>
        <v>33.7879</v>
      </c>
      <c r="F219" s="10">
        <f>33.7858 * CHOOSE(CONTROL!$C$9, $D$9, 100%, $F$9) + CHOOSE(CONTROL!$C$27, 0.0021, 0)</f>
        <v>33.7879</v>
      </c>
      <c r="G219" s="10">
        <f>34.0572 * CHOOSE(CONTROL!$C$9, $D$9, 100%, $F$9) + CHOOSE(CONTROL!$C$27, 0.0021, 0)</f>
        <v>34.0593</v>
      </c>
      <c r="H219" s="10">
        <f>33.9225 * CHOOSE(CONTROL!$C$9, $D$9, 100%, $F$9) + CHOOSE(CONTROL!$C$27, 0.0021, 0)</f>
        <v>33.924599999999998</v>
      </c>
      <c r="I219" s="10">
        <f>33.9225 * CHOOSE(CONTROL!$C$9, $D$9, 100%, $F$9) + CHOOSE(CONTROL!$C$27, 0.0021, 0)</f>
        <v>33.924599999999998</v>
      </c>
      <c r="J219" s="10">
        <f>33.9225 * CHOOSE(CONTROL!$C$9, $D$9, 100%, $F$9) + CHOOSE(CONTROL!$C$27, 0.0021, 0)</f>
        <v>33.924599999999998</v>
      </c>
      <c r="K219" s="10">
        <f>33.9225 * CHOOSE(CONTROL!$C$9, $D$9, 100%, $F$9) + CHOOSE(CONTROL!$C$27, 0.0021, 0)</f>
        <v>33.924599999999998</v>
      </c>
      <c r="L219" s="10"/>
    </row>
    <row r="220" spans="1:12" ht="15">
      <c r="A220" s="16">
        <v>47969</v>
      </c>
      <c r="B220" s="10">
        <f>35.028 * CHOOSE(CONTROL!$C$9, $D$9, 100%, $F$9) + CHOOSE(CONTROL!$C$27, 0.0021, 0)</f>
        <v>35.030099999999997</v>
      </c>
      <c r="C220" s="10">
        <f>34.5958 * CHOOSE(CONTROL!$C$9, $D$9, 100%, $F$9) + CHOOSE(CONTROL!$C$27, 0.0021, 0)</f>
        <v>34.597899999999996</v>
      </c>
      <c r="D220" s="10">
        <f>34.5958 * CHOOSE(CONTROL!$C$9, $D$9, 100%, $F$9) + CHOOSE(CONTROL!$C$27, 0.0021, 0)</f>
        <v>34.597899999999996</v>
      </c>
      <c r="E220" s="10">
        <f>34.4591 * CHOOSE(CONTROL!$C$9, $D$9, 100%, $F$9) + CHOOSE(CONTROL!$C$27, 0.0021, 0)</f>
        <v>34.461199999999998</v>
      </c>
      <c r="F220" s="10">
        <f>34.4591 * CHOOSE(CONTROL!$C$9, $D$9, 100%, $F$9) + CHOOSE(CONTROL!$C$27, 0.0021, 0)</f>
        <v>34.461199999999998</v>
      </c>
      <c r="G220" s="10">
        <f>34.7305 * CHOOSE(CONTROL!$C$9, $D$9, 100%, $F$9) + CHOOSE(CONTROL!$C$27, 0.0021, 0)</f>
        <v>34.732599999999998</v>
      </c>
      <c r="H220" s="10">
        <f>34.5958 * CHOOSE(CONTROL!$C$9, $D$9, 100%, $F$9) + CHOOSE(CONTROL!$C$27, 0.0021, 0)</f>
        <v>34.597899999999996</v>
      </c>
      <c r="I220" s="10">
        <f>34.5958 * CHOOSE(CONTROL!$C$9, $D$9, 100%, $F$9) + CHOOSE(CONTROL!$C$27, 0.0021, 0)</f>
        <v>34.597899999999996</v>
      </c>
      <c r="J220" s="10">
        <f>34.5958 * CHOOSE(CONTROL!$C$9, $D$9, 100%, $F$9) + CHOOSE(CONTROL!$C$27, 0.0021, 0)</f>
        <v>34.597899999999996</v>
      </c>
      <c r="K220" s="10">
        <f>34.5958 * CHOOSE(CONTROL!$C$9, $D$9, 100%, $F$9) + CHOOSE(CONTROL!$C$27, 0.0021, 0)</f>
        <v>34.597899999999996</v>
      </c>
      <c r="L220" s="10"/>
    </row>
    <row r="221" spans="1:12" ht="15">
      <c r="A221" s="16">
        <v>48000</v>
      </c>
      <c r="B221" s="10">
        <f>35.4313 * CHOOSE(CONTROL!$C$9, $D$9, 100%, $F$9) + CHOOSE(CONTROL!$C$27, 0.0021, 0)</f>
        <v>35.433399999999999</v>
      </c>
      <c r="C221" s="10">
        <f>34.9991 * CHOOSE(CONTROL!$C$9, $D$9, 100%, $F$9) + CHOOSE(CONTROL!$C$27, 0.0021, 0)</f>
        <v>35.001199999999997</v>
      </c>
      <c r="D221" s="10">
        <f>34.9991 * CHOOSE(CONTROL!$C$9, $D$9, 100%, $F$9) + CHOOSE(CONTROL!$C$27, 0.0021, 0)</f>
        <v>35.001199999999997</v>
      </c>
      <c r="E221" s="10">
        <f>34.8624 * CHOOSE(CONTROL!$C$9, $D$9, 100%, $F$9) + CHOOSE(CONTROL!$C$27, 0.0021, 0)</f>
        <v>34.8645</v>
      </c>
      <c r="F221" s="10">
        <f>34.8624 * CHOOSE(CONTROL!$C$9, $D$9, 100%, $F$9) + CHOOSE(CONTROL!$C$27, 0.0021, 0)</f>
        <v>34.8645</v>
      </c>
      <c r="G221" s="10">
        <f>35.1338 * CHOOSE(CONTROL!$C$9, $D$9, 100%, $F$9) + CHOOSE(CONTROL!$C$27, 0.0021, 0)</f>
        <v>35.135899999999999</v>
      </c>
      <c r="H221" s="10">
        <f>34.9991 * CHOOSE(CONTROL!$C$9, $D$9, 100%, $F$9) + CHOOSE(CONTROL!$C$27, 0.0021, 0)</f>
        <v>35.001199999999997</v>
      </c>
      <c r="I221" s="10">
        <f>34.9991 * CHOOSE(CONTROL!$C$9, $D$9, 100%, $F$9) + CHOOSE(CONTROL!$C$27, 0.0021, 0)</f>
        <v>35.001199999999997</v>
      </c>
      <c r="J221" s="10">
        <f>34.9991 * CHOOSE(CONTROL!$C$9, $D$9, 100%, $F$9) + CHOOSE(CONTROL!$C$27, 0.0021, 0)</f>
        <v>35.001199999999997</v>
      </c>
      <c r="K221" s="10">
        <f>34.9991 * CHOOSE(CONTROL!$C$9, $D$9, 100%, $F$9) + CHOOSE(CONTROL!$C$27, 0.0021, 0)</f>
        <v>35.001199999999997</v>
      </c>
      <c r="L221" s="10"/>
    </row>
    <row r="222" spans="1:12" ht="15">
      <c r="A222" s="16">
        <v>48030</v>
      </c>
      <c r="B222" s="10">
        <f>36.0966 * CHOOSE(CONTROL!$C$9, $D$9, 100%, $F$9) + CHOOSE(CONTROL!$C$27, 0.0021, 0)</f>
        <v>36.098700000000001</v>
      </c>
      <c r="C222" s="10">
        <f>35.6644 * CHOOSE(CONTROL!$C$9, $D$9, 100%, $F$9) + CHOOSE(CONTROL!$C$27, 0.0021, 0)</f>
        <v>35.666499999999999</v>
      </c>
      <c r="D222" s="10">
        <f>35.6644 * CHOOSE(CONTROL!$C$9, $D$9, 100%, $F$9) + CHOOSE(CONTROL!$C$27, 0.0021, 0)</f>
        <v>35.666499999999999</v>
      </c>
      <c r="E222" s="10">
        <f>35.5277 * CHOOSE(CONTROL!$C$9, $D$9, 100%, $F$9) + CHOOSE(CONTROL!$C$27, 0.0021, 0)</f>
        <v>35.529800000000002</v>
      </c>
      <c r="F222" s="10">
        <f>35.5277 * CHOOSE(CONTROL!$C$9, $D$9, 100%, $F$9) + CHOOSE(CONTROL!$C$27, 0.0021, 0)</f>
        <v>35.529800000000002</v>
      </c>
      <c r="G222" s="10">
        <f>35.7991 * CHOOSE(CONTROL!$C$9, $D$9, 100%, $F$9) + CHOOSE(CONTROL!$C$27, 0.0021, 0)</f>
        <v>35.801200000000001</v>
      </c>
      <c r="H222" s="10">
        <f>35.6644 * CHOOSE(CONTROL!$C$9, $D$9, 100%, $F$9) + CHOOSE(CONTROL!$C$27, 0.0021, 0)</f>
        <v>35.666499999999999</v>
      </c>
      <c r="I222" s="10">
        <f>35.6644 * CHOOSE(CONTROL!$C$9, $D$9, 100%, $F$9) + CHOOSE(CONTROL!$C$27, 0.0021, 0)</f>
        <v>35.666499999999999</v>
      </c>
      <c r="J222" s="10">
        <f>35.6644 * CHOOSE(CONTROL!$C$9, $D$9, 100%, $F$9) + CHOOSE(CONTROL!$C$27, 0.0021, 0)</f>
        <v>35.666499999999999</v>
      </c>
      <c r="K222" s="10">
        <f>35.6644 * CHOOSE(CONTROL!$C$9, $D$9, 100%, $F$9) + CHOOSE(CONTROL!$C$27, 0.0021, 0)</f>
        <v>35.666499999999999</v>
      </c>
      <c r="L222" s="10"/>
    </row>
    <row r="223" spans="1:12" ht="15">
      <c r="A223" s="16">
        <v>48061</v>
      </c>
      <c r="B223" s="10">
        <f>36.2997 * CHOOSE(CONTROL!$C$9, $D$9, 100%, $F$9) + CHOOSE(CONTROL!$C$27, 0.0021, 0)</f>
        <v>36.3018</v>
      </c>
      <c r="C223" s="10">
        <f>35.8674 * CHOOSE(CONTROL!$C$9, $D$9, 100%, $F$9) + CHOOSE(CONTROL!$C$27, 0.0021, 0)</f>
        <v>35.869500000000002</v>
      </c>
      <c r="D223" s="10">
        <f>35.8674 * CHOOSE(CONTROL!$C$9, $D$9, 100%, $F$9) + CHOOSE(CONTROL!$C$27, 0.0021, 0)</f>
        <v>35.869500000000002</v>
      </c>
      <c r="E223" s="10">
        <f>35.7308 * CHOOSE(CONTROL!$C$9, $D$9, 100%, $F$9) + CHOOSE(CONTROL!$C$27, 0.0021, 0)</f>
        <v>35.732900000000001</v>
      </c>
      <c r="F223" s="10">
        <f>35.7308 * CHOOSE(CONTROL!$C$9, $D$9, 100%, $F$9) + CHOOSE(CONTROL!$C$27, 0.0021, 0)</f>
        <v>35.732900000000001</v>
      </c>
      <c r="G223" s="10">
        <f>36.0022 * CHOOSE(CONTROL!$C$9, $D$9, 100%, $F$9) + CHOOSE(CONTROL!$C$27, 0.0021, 0)</f>
        <v>36.004300000000001</v>
      </c>
      <c r="H223" s="10">
        <f>35.8674 * CHOOSE(CONTROL!$C$9, $D$9, 100%, $F$9) + CHOOSE(CONTROL!$C$27, 0.0021, 0)</f>
        <v>35.869500000000002</v>
      </c>
      <c r="I223" s="10">
        <f>35.8674 * CHOOSE(CONTROL!$C$9, $D$9, 100%, $F$9) + CHOOSE(CONTROL!$C$27, 0.0021, 0)</f>
        <v>35.869500000000002</v>
      </c>
      <c r="J223" s="10">
        <f>35.8674 * CHOOSE(CONTROL!$C$9, $D$9, 100%, $F$9) + CHOOSE(CONTROL!$C$27, 0.0021, 0)</f>
        <v>35.869500000000002</v>
      </c>
      <c r="K223" s="10">
        <f>35.8674 * CHOOSE(CONTROL!$C$9, $D$9, 100%, $F$9) + CHOOSE(CONTROL!$C$27, 0.0021, 0)</f>
        <v>35.869500000000002</v>
      </c>
      <c r="L223" s="10"/>
    </row>
    <row r="224" spans="1:12" ht="15">
      <c r="A224" s="16">
        <v>48092</v>
      </c>
      <c r="B224" s="10">
        <f>36.9912 * CHOOSE(CONTROL!$C$9, $D$9, 100%, $F$9) + CHOOSE(CONTROL!$C$27, 0.0021, 0)</f>
        <v>36.993299999999998</v>
      </c>
      <c r="C224" s="10">
        <f>36.559 * CHOOSE(CONTROL!$C$9, $D$9, 100%, $F$9) + CHOOSE(CONTROL!$C$27, 0.0021, 0)</f>
        <v>36.561099999999996</v>
      </c>
      <c r="D224" s="10">
        <f>36.559 * CHOOSE(CONTROL!$C$9, $D$9, 100%, $F$9) + CHOOSE(CONTROL!$C$27, 0.0021, 0)</f>
        <v>36.561099999999996</v>
      </c>
      <c r="E224" s="10">
        <f>36.4223 * CHOOSE(CONTROL!$C$9, $D$9, 100%, $F$9) + CHOOSE(CONTROL!$C$27, 0.0021, 0)</f>
        <v>36.424399999999999</v>
      </c>
      <c r="F224" s="10">
        <f>36.4223 * CHOOSE(CONTROL!$C$9, $D$9, 100%, $F$9) + CHOOSE(CONTROL!$C$27, 0.0021, 0)</f>
        <v>36.424399999999999</v>
      </c>
      <c r="G224" s="10">
        <f>36.6937 * CHOOSE(CONTROL!$C$9, $D$9, 100%, $F$9) + CHOOSE(CONTROL!$C$27, 0.0021, 0)</f>
        <v>36.695799999999998</v>
      </c>
      <c r="H224" s="10">
        <f>36.559 * CHOOSE(CONTROL!$C$9, $D$9, 100%, $F$9) + CHOOSE(CONTROL!$C$27, 0.0021, 0)</f>
        <v>36.561099999999996</v>
      </c>
      <c r="I224" s="10">
        <f>36.559 * CHOOSE(CONTROL!$C$9, $D$9, 100%, $F$9) + CHOOSE(CONTROL!$C$27, 0.0021, 0)</f>
        <v>36.561099999999996</v>
      </c>
      <c r="J224" s="10">
        <f>36.559 * CHOOSE(CONTROL!$C$9, $D$9, 100%, $F$9) + CHOOSE(CONTROL!$C$27, 0.0021, 0)</f>
        <v>36.561099999999996</v>
      </c>
      <c r="K224" s="10">
        <f>36.559 * CHOOSE(CONTROL!$C$9, $D$9, 100%, $F$9) + CHOOSE(CONTROL!$C$27, 0.0021, 0)</f>
        <v>36.561099999999996</v>
      </c>
      <c r="L224" s="10"/>
    </row>
    <row r="225" spans="1:12" ht="15">
      <c r="A225" s="16">
        <v>48122</v>
      </c>
      <c r="B225" s="10">
        <f>37.8666 * CHOOSE(CONTROL!$C$9, $D$9, 100%, $F$9) + CHOOSE(CONTROL!$C$27, 0.0021, 0)</f>
        <v>37.868699999999997</v>
      </c>
      <c r="C225" s="10">
        <f>37.4343 * CHOOSE(CONTROL!$C$9, $D$9, 100%, $F$9) + CHOOSE(CONTROL!$C$27, 0.0021, 0)</f>
        <v>37.436399999999999</v>
      </c>
      <c r="D225" s="10">
        <f>37.4343 * CHOOSE(CONTROL!$C$9, $D$9, 100%, $F$9) + CHOOSE(CONTROL!$C$27, 0.0021, 0)</f>
        <v>37.436399999999999</v>
      </c>
      <c r="E225" s="10">
        <f>37.2977 * CHOOSE(CONTROL!$C$9, $D$9, 100%, $F$9) + CHOOSE(CONTROL!$C$27, 0.0021, 0)</f>
        <v>37.299799999999998</v>
      </c>
      <c r="F225" s="10">
        <f>37.2977 * CHOOSE(CONTROL!$C$9, $D$9, 100%, $F$9) + CHOOSE(CONTROL!$C$27, 0.0021, 0)</f>
        <v>37.299799999999998</v>
      </c>
      <c r="G225" s="10">
        <f>37.5691 * CHOOSE(CONTROL!$C$9, $D$9, 100%, $F$9) + CHOOSE(CONTROL!$C$27, 0.0021, 0)</f>
        <v>37.571199999999997</v>
      </c>
      <c r="H225" s="10">
        <f>37.4343 * CHOOSE(CONTROL!$C$9, $D$9, 100%, $F$9) + CHOOSE(CONTROL!$C$27, 0.0021, 0)</f>
        <v>37.436399999999999</v>
      </c>
      <c r="I225" s="10">
        <f>37.4343 * CHOOSE(CONTROL!$C$9, $D$9, 100%, $F$9) + CHOOSE(CONTROL!$C$27, 0.0021, 0)</f>
        <v>37.436399999999999</v>
      </c>
      <c r="J225" s="10">
        <f>37.4343 * CHOOSE(CONTROL!$C$9, $D$9, 100%, $F$9) + CHOOSE(CONTROL!$C$27, 0.0021, 0)</f>
        <v>37.436399999999999</v>
      </c>
      <c r="K225" s="10">
        <f>37.4343 * CHOOSE(CONTROL!$C$9, $D$9, 100%, $F$9) + CHOOSE(CONTROL!$C$27, 0.0021, 0)</f>
        <v>37.436399999999999</v>
      </c>
      <c r="L225" s="10"/>
    </row>
    <row r="226" spans="1:12" ht="15">
      <c r="A226" s="16">
        <v>48153</v>
      </c>
      <c r="B226" s="10">
        <f>37.9488 * CHOOSE(CONTROL!$C$9, $D$9, 100%, $F$9) + CHOOSE(CONTROL!$C$27, 0.0021, 0)</f>
        <v>37.950899999999997</v>
      </c>
      <c r="C226" s="10">
        <f>37.5165 * CHOOSE(CONTROL!$C$9, $D$9, 100%, $F$9) + CHOOSE(CONTROL!$C$27, 0.0021, 0)</f>
        <v>37.518599999999999</v>
      </c>
      <c r="D226" s="10">
        <f>37.5165 * CHOOSE(CONTROL!$C$9, $D$9, 100%, $F$9) + CHOOSE(CONTROL!$C$27, 0.0021, 0)</f>
        <v>37.518599999999999</v>
      </c>
      <c r="E226" s="10">
        <f>37.3799 * CHOOSE(CONTROL!$C$9, $D$9, 100%, $F$9) + CHOOSE(CONTROL!$C$27, 0.0021, 0)</f>
        <v>37.381999999999998</v>
      </c>
      <c r="F226" s="10">
        <f>37.3799 * CHOOSE(CONTROL!$C$9, $D$9, 100%, $F$9) + CHOOSE(CONTROL!$C$27, 0.0021, 0)</f>
        <v>37.381999999999998</v>
      </c>
      <c r="G226" s="10">
        <f>37.6512 * CHOOSE(CONTROL!$C$9, $D$9, 100%, $F$9) + CHOOSE(CONTROL!$C$27, 0.0021, 0)</f>
        <v>37.653300000000002</v>
      </c>
      <c r="H226" s="10">
        <f>37.5165 * CHOOSE(CONTROL!$C$9, $D$9, 100%, $F$9) + CHOOSE(CONTROL!$C$27, 0.0021, 0)</f>
        <v>37.518599999999999</v>
      </c>
      <c r="I226" s="10">
        <f>37.5165 * CHOOSE(CONTROL!$C$9, $D$9, 100%, $F$9) + CHOOSE(CONTROL!$C$27, 0.0021, 0)</f>
        <v>37.518599999999999</v>
      </c>
      <c r="J226" s="10">
        <f>37.5165 * CHOOSE(CONTROL!$C$9, $D$9, 100%, $F$9) + CHOOSE(CONTROL!$C$27, 0.0021, 0)</f>
        <v>37.518599999999999</v>
      </c>
      <c r="K226" s="10">
        <f>37.5165 * CHOOSE(CONTROL!$C$9, $D$9, 100%, $F$9) + CHOOSE(CONTROL!$C$27, 0.0021, 0)</f>
        <v>37.518599999999999</v>
      </c>
      <c r="L226" s="10"/>
    </row>
    <row r="227" spans="1:12" ht="15">
      <c r="A227" s="16">
        <v>48183</v>
      </c>
      <c r="B227" s="10">
        <f>37.2496 * CHOOSE(CONTROL!$C$9, $D$9, 100%, $F$9) + CHOOSE(CONTROL!$C$27, 0.0021, 0)</f>
        <v>37.2517</v>
      </c>
      <c r="C227" s="10">
        <f>36.8174 * CHOOSE(CONTROL!$C$9, $D$9, 100%, $F$9) + CHOOSE(CONTROL!$C$27, 0.0021, 0)</f>
        <v>36.819499999999998</v>
      </c>
      <c r="D227" s="10">
        <f>36.8174 * CHOOSE(CONTROL!$C$9, $D$9, 100%, $F$9) + CHOOSE(CONTROL!$C$27, 0.0021, 0)</f>
        <v>36.819499999999998</v>
      </c>
      <c r="E227" s="10">
        <f>36.6807 * CHOOSE(CONTROL!$C$9, $D$9, 100%, $F$9) + CHOOSE(CONTROL!$C$27, 0.0021, 0)</f>
        <v>36.6828</v>
      </c>
      <c r="F227" s="10">
        <f>36.6807 * CHOOSE(CONTROL!$C$9, $D$9, 100%, $F$9) + CHOOSE(CONTROL!$C$27, 0.0021, 0)</f>
        <v>36.6828</v>
      </c>
      <c r="G227" s="10">
        <f>36.9521 * CHOOSE(CONTROL!$C$9, $D$9, 100%, $F$9) + CHOOSE(CONTROL!$C$27, 0.0021, 0)</f>
        <v>36.9542</v>
      </c>
      <c r="H227" s="10">
        <f>36.8174 * CHOOSE(CONTROL!$C$9, $D$9, 100%, $F$9) + CHOOSE(CONTROL!$C$27, 0.0021, 0)</f>
        <v>36.819499999999998</v>
      </c>
      <c r="I227" s="10">
        <f>36.8174 * CHOOSE(CONTROL!$C$9, $D$9, 100%, $F$9) + CHOOSE(CONTROL!$C$27, 0.0021, 0)</f>
        <v>36.819499999999998</v>
      </c>
      <c r="J227" s="10">
        <f>36.8174 * CHOOSE(CONTROL!$C$9, $D$9, 100%, $F$9) + CHOOSE(CONTROL!$C$27, 0.0021, 0)</f>
        <v>36.819499999999998</v>
      </c>
      <c r="K227" s="10">
        <f>36.8174 * CHOOSE(CONTROL!$C$9, $D$9, 100%, $F$9) + CHOOSE(CONTROL!$C$27, 0.0021, 0)</f>
        <v>36.819499999999998</v>
      </c>
      <c r="L227" s="10"/>
    </row>
    <row r="228" spans="1:12" ht="15">
      <c r="A228" s="16">
        <v>48214</v>
      </c>
      <c r="B228" s="10">
        <f>36.7143 * CHOOSE(CONTROL!$C$9, $D$9, 100%, $F$9) + CHOOSE(CONTROL!$C$27, 0.0021, 0)</f>
        <v>36.7164</v>
      </c>
      <c r="C228" s="10">
        <f>36.2821 * CHOOSE(CONTROL!$C$9, $D$9, 100%, $F$9) + CHOOSE(CONTROL!$C$27, 0.0021, 0)</f>
        <v>36.284199999999998</v>
      </c>
      <c r="D228" s="10">
        <f>36.2821 * CHOOSE(CONTROL!$C$9, $D$9, 100%, $F$9) + CHOOSE(CONTROL!$C$27, 0.0021, 0)</f>
        <v>36.284199999999998</v>
      </c>
      <c r="E228" s="10">
        <f>36.1454 * CHOOSE(CONTROL!$C$9, $D$9, 100%, $F$9) + CHOOSE(CONTROL!$C$27, 0.0021, 0)</f>
        <v>36.147500000000001</v>
      </c>
      <c r="F228" s="10">
        <f>36.1454 * CHOOSE(CONTROL!$C$9, $D$9, 100%, $F$9) + CHOOSE(CONTROL!$C$27, 0.0021, 0)</f>
        <v>36.147500000000001</v>
      </c>
      <c r="G228" s="10">
        <f>36.4168 * CHOOSE(CONTROL!$C$9, $D$9, 100%, $F$9) + CHOOSE(CONTROL!$C$27, 0.0021, 0)</f>
        <v>36.418900000000001</v>
      </c>
      <c r="H228" s="10">
        <f>36.2821 * CHOOSE(CONTROL!$C$9, $D$9, 100%, $F$9) + CHOOSE(CONTROL!$C$27, 0.0021, 0)</f>
        <v>36.284199999999998</v>
      </c>
      <c r="I228" s="10">
        <f>36.2821 * CHOOSE(CONTROL!$C$9, $D$9, 100%, $F$9) + CHOOSE(CONTROL!$C$27, 0.0021, 0)</f>
        <v>36.284199999999998</v>
      </c>
      <c r="J228" s="10">
        <f>36.2821 * CHOOSE(CONTROL!$C$9, $D$9, 100%, $F$9) + CHOOSE(CONTROL!$C$27, 0.0021, 0)</f>
        <v>36.284199999999998</v>
      </c>
      <c r="K228" s="10">
        <f>36.2821 * CHOOSE(CONTROL!$C$9, $D$9, 100%, $F$9) + CHOOSE(CONTROL!$C$27, 0.0021, 0)</f>
        <v>36.284199999999998</v>
      </c>
      <c r="L228" s="10"/>
    </row>
    <row r="229" spans="1:12" ht="15">
      <c r="A229" s="16">
        <v>48245</v>
      </c>
      <c r="B229" s="10">
        <f>35.7407 * CHOOSE(CONTROL!$C$9, $D$9, 100%, $F$9) + CHOOSE(CONTROL!$C$27, 0.0021, 0)</f>
        <v>35.742799999999995</v>
      </c>
      <c r="C229" s="10">
        <f>35.3085 * CHOOSE(CONTROL!$C$9, $D$9, 100%, $F$9) + CHOOSE(CONTROL!$C$27, 0.0021, 0)</f>
        <v>35.310600000000001</v>
      </c>
      <c r="D229" s="10">
        <f>35.3085 * CHOOSE(CONTROL!$C$9, $D$9, 100%, $F$9) + CHOOSE(CONTROL!$C$27, 0.0021, 0)</f>
        <v>35.310600000000001</v>
      </c>
      <c r="E229" s="10">
        <f>35.1718 * CHOOSE(CONTROL!$C$9, $D$9, 100%, $F$9) + CHOOSE(CONTROL!$C$27, 0.0021, 0)</f>
        <v>35.173899999999996</v>
      </c>
      <c r="F229" s="10">
        <f>35.1718 * CHOOSE(CONTROL!$C$9, $D$9, 100%, $F$9) + CHOOSE(CONTROL!$C$27, 0.0021, 0)</f>
        <v>35.173899999999996</v>
      </c>
      <c r="G229" s="10">
        <f>35.4432 * CHOOSE(CONTROL!$C$9, $D$9, 100%, $F$9) + CHOOSE(CONTROL!$C$27, 0.0021, 0)</f>
        <v>35.445299999999996</v>
      </c>
      <c r="H229" s="10">
        <f>35.3085 * CHOOSE(CONTROL!$C$9, $D$9, 100%, $F$9) + CHOOSE(CONTROL!$C$27, 0.0021, 0)</f>
        <v>35.310600000000001</v>
      </c>
      <c r="I229" s="10">
        <f>35.3085 * CHOOSE(CONTROL!$C$9, $D$9, 100%, $F$9) + CHOOSE(CONTROL!$C$27, 0.0021, 0)</f>
        <v>35.310600000000001</v>
      </c>
      <c r="J229" s="10">
        <f>35.3085 * CHOOSE(CONTROL!$C$9, $D$9, 100%, $F$9) + CHOOSE(CONTROL!$C$27, 0.0021, 0)</f>
        <v>35.310600000000001</v>
      </c>
      <c r="K229" s="10">
        <f>35.3085 * CHOOSE(CONTROL!$C$9, $D$9, 100%, $F$9) + CHOOSE(CONTROL!$C$27, 0.0021, 0)</f>
        <v>35.310600000000001</v>
      </c>
      <c r="L229" s="10"/>
    </row>
    <row r="230" spans="1:12" ht="15">
      <c r="A230" s="16">
        <v>48274</v>
      </c>
      <c r="B230" s="10">
        <f>35.3388 * CHOOSE(CONTROL!$C$9, $D$9, 100%, $F$9) + CHOOSE(CONTROL!$C$27, 0.0021, 0)</f>
        <v>35.340899999999998</v>
      </c>
      <c r="C230" s="10">
        <f>34.9065 * CHOOSE(CONTROL!$C$9, $D$9, 100%, $F$9) + CHOOSE(CONTROL!$C$27, 0.0021, 0)</f>
        <v>34.9086</v>
      </c>
      <c r="D230" s="10">
        <f>34.9065 * CHOOSE(CONTROL!$C$9, $D$9, 100%, $F$9) + CHOOSE(CONTROL!$C$27, 0.0021, 0)</f>
        <v>34.9086</v>
      </c>
      <c r="E230" s="10">
        <f>34.7699 * CHOOSE(CONTROL!$C$9, $D$9, 100%, $F$9) + CHOOSE(CONTROL!$C$27, 0.0021, 0)</f>
        <v>34.771999999999998</v>
      </c>
      <c r="F230" s="10">
        <f>34.7699 * CHOOSE(CONTROL!$C$9, $D$9, 100%, $F$9) + CHOOSE(CONTROL!$C$27, 0.0021, 0)</f>
        <v>34.771999999999998</v>
      </c>
      <c r="G230" s="10">
        <f>35.0413 * CHOOSE(CONTROL!$C$9, $D$9, 100%, $F$9) + CHOOSE(CONTROL!$C$27, 0.0021, 0)</f>
        <v>35.043399999999998</v>
      </c>
      <c r="H230" s="10">
        <f>34.9065 * CHOOSE(CONTROL!$C$9, $D$9, 100%, $F$9) + CHOOSE(CONTROL!$C$27, 0.0021, 0)</f>
        <v>34.9086</v>
      </c>
      <c r="I230" s="10">
        <f>34.9065 * CHOOSE(CONTROL!$C$9, $D$9, 100%, $F$9) + CHOOSE(CONTROL!$C$27, 0.0021, 0)</f>
        <v>34.9086</v>
      </c>
      <c r="J230" s="10">
        <f>34.9065 * CHOOSE(CONTROL!$C$9, $D$9, 100%, $F$9) + CHOOSE(CONTROL!$C$27, 0.0021, 0)</f>
        <v>34.9086</v>
      </c>
      <c r="K230" s="10">
        <f>34.9065 * CHOOSE(CONTROL!$C$9, $D$9, 100%, $F$9) + CHOOSE(CONTROL!$C$27, 0.0021, 0)</f>
        <v>34.9086</v>
      </c>
      <c r="L230" s="10"/>
    </row>
    <row r="231" spans="1:12" ht="15">
      <c r="A231" s="16">
        <v>48305</v>
      </c>
      <c r="B231" s="10">
        <f>34.8589 * CHOOSE(CONTROL!$C$9, $D$9, 100%, $F$9) + CHOOSE(CONTROL!$C$27, 0.0021, 0)</f>
        <v>34.860999999999997</v>
      </c>
      <c r="C231" s="10">
        <f>34.4266 * CHOOSE(CONTROL!$C$9, $D$9, 100%, $F$9) + CHOOSE(CONTROL!$C$27, 0.0021, 0)</f>
        <v>34.428699999999999</v>
      </c>
      <c r="D231" s="10">
        <f>34.4266 * CHOOSE(CONTROL!$C$9, $D$9, 100%, $F$9) + CHOOSE(CONTROL!$C$27, 0.0021, 0)</f>
        <v>34.428699999999999</v>
      </c>
      <c r="E231" s="10">
        <f>34.29 * CHOOSE(CONTROL!$C$9, $D$9, 100%, $F$9) + CHOOSE(CONTROL!$C$27, 0.0021, 0)</f>
        <v>34.292099999999998</v>
      </c>
      <c r="F231" s="10">
        <f>34.29 * CHOOSE(CONTROL!$C$9, $D$9, 100%, $F$9) + CHOOSE(CONTROL!$C$27, 0.0021, 0)</f>
        <v>34.292099999999998</v>
      </c>
      <c r="G231" s="10">
        <f>34.5614 * CHOOSE(CONTROL!$C$9, $D$9, 100%, $F$9) + CHOOSE(CONTROL!$C$27, 0.0021, 0)</f>
        <v>34.563499999999998</v>
      </c>
      <c r="H231" s="10">
        <f>34.4266 * CHOOSE(CONTROL!$C$9, $D$9, 100%, $F$9) + CHOOSE(CONTROL!$C$27, 0.0021, 0)</f>
        <v>34.428699999999999</v>
      </c>
      <c r="I231" s="10">
        <f>34.4266 * CHOOSE(CONTROL!$C$9, $D$9, 100%, $F$9) + CHOOSE(CONTROL!$C$27, 0.0021, 0)</f>
        <v>34.428699999999999</v>
      </c>
      <c r="J231" s="10">
        <f>34.4266 * CHOOSE(CONTROL!$C$9, $D$9, 100%, $F$9) + CHOOSE(CONTROL!$C$27, 0.0021, 0)</f>
        <v>34.428699999999999</v>
      </c>
      <c r="K231" s="10">
        <f>34.4266 * CHOOSE(CONTROL!$C$9, $D$9, 100%, $F$9) + CHOOSE(CONTROL!$C$27, 0.0021, 0)</f>
        <v>34.428699999999999</v>
      </c>
      <c r="L231" s="10"/>
    </row>
    <row r="232" spans="1:12" ht="15">
      <c r="A232" s="16">
        <v>48335</v>
      </c>
      <c r="B232" s="10">
        <f>35.5428 * CHOOSE(CONTROL!$C$9, $D$9, 100%, $F$9) + CHOOSE(CONTROL!$C$27, 0.0021, 0)</f>
        <v>35.544899999999998</v>
      </c>
      <c r="C232" s="10">
        <f>35.1106 * CHOOSE(CONTROL!$C$9, $D$9, 100%, $F$9) + CHOOSE(CONTROL!$C$27, 0.0021, 0)</f>
        <v>35.112699999999997</v>
      </c>
      <c r="D232" s="10">
        <f>35.1106 * CHOOSE(CONTROL!$C$9, $D$9, 100%, $F$9) + CHOOSE(CONTROL!$C$27, 0.0021, 0)</f>
        <v>35.112699999999997</v>
      </c>
      <c r="E232" s="10">
        <f>34.9739 * CHOOSE(CONTROL!$C$9, $D$9, 100%, $F$9) + CHOOSE(CONTROL!$C$27, 0.0021, 0)</f>
        <v>34.975999999999999</v>
      </c>
      <c r="F232" s="10">
        <f>34.9739 * CHOOSE(CONTROL!$C$9, $D$9, 100%, $F$9) + CHOOSE(CONTROL!$C$27, 0.0021, 0)</f>
        <v>34.975999999999999</v>
      </c>
      <c r="G232" s="10">
        <f>35.2453 * CHOOSE(CONTROL!$C$9, $D$9, 100%, $F$9) + CHOOSE(CONTROL!$C$27, 0.0021, 0)</f>
        <v>35.247399999999999</v>
      </c>
      <c r="H232" s="10">
        <f>35.1106 * CHOOSE(CONTROL!$C$9, $D$9, 100%, $F$9) + CHOOSE(CONTROL!$C$27, 0.0021, 0)</f>
        <v>35.112699999999997</v>
      </c>
      <c r="I232" s="10">
        <f>35.1106 * CHOOSE(CONTROL!$C$9, $D$9, 100%, $F$9) + CHOOSE(CONTROL!$C$27, 0.0021, 0)</f>
        <v>35.112699999999997</v>
      </c>
      <c r="J232" s="10">
        <f>35.1106 * CHOOSE(CONTROL!$C$9, $D$9, 100%, $F$9) + CHOOSE(CONTROL!$C$27, 0.0021, 0)</f>
        <v>35.112699999999997</v>
      </c>
      <c r="K232" s="10">
        <f>35.1106 * CHOOSE(CONTROL!$C$9, $D$9, 100%, $F$9) + CHOOSE(CONTROL!$C$27, 0.0021, 0)</f>
        <v>35.112699999999997</v>
      </c>
      <c r="L232" s="10"/>
    </row>
    <row r="233" spans="1:12" ht="15">
      <c r="A233" s="16">
        <v>48366</v>
      </c>
      <c r="B233" s="10">
        <f>35.9524 * CHOOSE(CONTROL!$C$9, $D$9, 100%, $F$9) + CHOOSE(CONTROL!$C$27, 0.0021, 0)</f>
        <v>35.954499999999996</v>
      </c>
      <c r="C233" s="10">
        <f>35.5202 * CHOOSE(CONTROL!$C$9, $D$9, 100%, $F$9) + CHOOSE(CONTROL!$C$27, 0.0021, 0)</f>
        <v>35.522300000000001</v>
      </c>
      <c r="D233" s="10">
        <f>35.5202 * CHOOSE(CONTROL!$C$9, $D$9, 100%, $F$9) + CHOOSE(CONTROL!$C$27, 0.0021, 0)</f>
        <v>35.522300000000001</v>
      </c>
      <c r="E233" s="10">
        <f>35.3835 * CHOOSE(CONTROL!$C$9, $D$9, 100%, $F$9) + CHOOSE(CONTROL!$C$27, 0.0021, 0)</f>
        <v>35.385599999999997</v>
      </c>
      <c r="F233" s="10">
        <f>35.3835 * CHOOSE(CONTROL!$C$9, $D$9, 100%, $F$9) + CHOOSE(CONTROL!$C$27, 0.0021, 0)</f>
        <v>35.385599999999997</v>
      </c>
      <c r="G233" s="10">
        <f>35.6549 * CHOOSE(CONTROL!$C$9, $D$9, 100%, $F$9) + CHOOSE(CONTROL!$C$27, 0.0021, 0)</f>
        <v>35.656999999999996</v>
      </c>
      <c r="H233" s="10">
        <f>35.5202 * CHOOSE(CONTROL!$C$9, $D$9, 100%, $F$9) + CHOOSE(CONTROL!$C$27, 0.0021, 0)</f>
        <v>35.522300000000001</v>
      </c>
      <c r="I233" s="10">
        <f>35.5202 * CHOOSE(CONTROL!$C$9, $D$9, 100%, $F$9) + CHOOSE(CONTROL!$C$27, 0.0021, 0)</f>
        <v>35.522300000000001</v>
      </c>
      <c r="J233" s="10">
        <f>35.5202 * CHOOSE(CONTROL!$C$9, $D$9, 100%, $F$9) + CHOOSE(CONTROL!$C$27, 0.0021, 0)</f>
        <v>35.522300000000001</v>
      </c>
      <c r="K233" s="10">
        <f>35.5202 * CHOOSE(CONTROL!$C$9, $D$9, 100%, $F$9) + CHOOSE(CONTROL!$C$27, 0.0021, 0)</f>
        <v>35.522300000000001</v>
      </c>
      <c r="L233" s="10"/>
    </row>
    <row r="234" spans="1:12" ht="15">
      <c r="A234" s="16">
        <v>48396</v>
      </c>
      <c r="B234" s="10">
        <f>36.6282 * CHOOSE(CONTROL!$C$9, $D$9, 100%, $F$9) + CHOOSE(CONTROL!$C$27, 0.0021, 0)</f>
        <v>36.630299999999998</v>
      </c>
      <c r="C234" s="10">
        <f>36.1959 * CHOOSE(CONTROL!$C$9, $D$9, 100%, $F$9) + CHOOSE(CONTROL!$C$27, 0.0021, 0)</f>
        <v>36.198</v>
      </c>
      <c r="D234" s="10">
        <f>36.1959 * CHOOSE(CONTROL!$C$9, $D$9, 100%, $F$9) + CHOOSE(CONTROL!$C$27, 0.0021, 0)</f>
        <v>36.198</v>
      </c>
      <c r="E234" s="10">
        <f>36.0593 * CHOOSE(CONTROL!$C$9, $D$9, 100%, $F$9) + CHOOSE(CONTROL!$C$27, 0.0021, 0)</f>
        <v>36.061399999999999</v>
      </c>
      <c r="F234" s="10">
        <f>36.0593 * CHOOSE(CONTROL!$C$9, $D$9, 100%, $F$9) + CHOOSE(CONTROL!$C$27, 0.0021, 0)</f>
        <v>36.061399999999999</v>
      </c>
      <c r="G234" s="10">
        <f>36.3307 * CHOOSE(CONTROL!$C$9, $D$9, 100%, $F$9) + CHOOSE(CONTROL!$C$27, 0.0021, 0)</f>
        <v>36.332799999999999</v>
      </c>
      <c r="H234" s="10">
        <f>36.1959 * CHOOSE(CONTROL!$C$9, $D$9, 100%, $F$9) + CHOOSE(CONTROL!$C$27, 0.0021, 0)</f>
        <v>36.198</v>
      </c>
      <c r="I234" s="10">
        <f>36.1959 * CHOOSE(CONTROL!$C$9, $D$9, 100%, $F$9) + CHOOSE(CONTROL!$C$27, 0.0021, 0)</f>
        <v>36.198</v>
      </c>
      <c r="J234" s="10">
        <f>36.1959 * CHOOSE(CONTROL!$C$9, $D$9, 100%, $F$9) + CHOOSE(CONTROL!$C$27, 0.0021, 0)</f>
        <v>36.198</v>
      </c>
      <c r="K234" s="10">
        <f>36.1959 * CHOOSE(CONTROL!$C$9, $D$9, 100%, $F$9) + CHOOSE(CONTROL!$C$27, 0.0021, 0)</f>
        <v>36.198</v>
      </c>
      <c r="L234" s="10"/>
    </row>
    <row r="235" spans="1:12" ht="15">
      <c r="A235" s="16">
        <v>48427</v>
      </c>
      <c r="B235" s="10">
        <f>36.8344 * CHOOSE(CONTROL!$C$9, $D$9, 100%, $F$9) + CHOOSE(CONTROL!$C$27, 0.0021, 0)</f>
        <v>36.836500000000001</v>
      </c>
      <c r="C235" s="10">
        <f>36.4022 * CHOOSE(CONTROL!$C$9, $D$9, 100%, $F$9) + CHOOSE(CONTROL!$C$27, 0.0021, 0)</f>
        <v>36.404299999999999</v>
      </c>
      <c r="D235" s="10">
        <f>36.4022 * CHOOSE(CONTROL!$C$9, $D$9, 100%, $F$9) + CHOOSE(CONTROL!$C$27, 0.0021, 0)</f>
        <v>36.404299999999999</v>
      </c>
      <c r="E235" s="10">
        <f>36.2655 * CHOOSE(CONTROL!$C$9, $D$9, 100%, $F$9) + CHOOSE(CONTROL!$C$27, 0.0021, 0)</f>
        <v>36.267600000000002</v>
      </c>
      <c r="F235" s="10">
        <f>36.2655 * CHOOSE(CONTROL!$C$9, $D$9, 100%, $F$9) + CHOOSE(CONTROL!$C$27, 0.0021, 0)</f>
        <v>36.267600000000002</v>
      </c>
      <c r="G235" s="10">
        <f>36.5369 * CHOOSE(CONTROL!$C$9, $D$9, 100%, $F$9) + CHOOSE(CONTROL!$C$27, 0.0021, 0)</f>
        <v>36.539000000000001</v>
      </c>
      <c r="H235" s="10">
        <f>36.4022 * CHOOSE(CONTROL!$C$9, $D$9, 100%, $F$9) + CHOOSE(CONTROL!$C$27, 0.0021, 0)</f>
        <v>36.404299999999999</v>
      </c>
      <c r="I235" s="10">
        <f>36.4022 * CHOOSE(CONTROL!$C$9, $D$9, 100%, $F$9) + CHOOSE(CONTROL!$C$27, 0.0021, 0)</f>
        <v>36.404299999999999</v>
      </c>
      <c r="J235" s="10">
        <f>36.4022 * CHOOSE(CONTROL!$C$9, $D$9, 100%, $F$9) + CHOOSE(CONTROL!$C$27, 0.0021, 0)</f>
        <v>36.404299999999999</v>
      </c>
      <c r="K235" s="10">
        <f>36.4022 * CHOOSE(CONTROL!$C$9, $D$9, 100%, $F$9) + CHOOSE(CONTROL!$C$27, 0.0021, 0)</f>
        <v>36.404299999999999</v>
      </c>
      <c r="L235" s="10"/>
    </row>
    <row r="236" spans="1:12" ht="15">
      <c r="A236" s="16">
        <v>48458</v>
      </c>
      <c r="B236" s="10">
        <f>37.5369 * CHOOSE(CONTROL!$C$9, $D$9, 100%, $F$9) + CHOOSE(CONTROL!$C$27, 0.0021, 0)</f>
        <v>37.539000000000001</v>
      </c>
      <c r="C236" s="10">
        <f>37.1046 * CHOOSE(CONTROL!$C$9, $D$9, 100%, $F$9) + CHOOSE(CONTROL!$C$27, 0.0021, 0)</f>
        <v>37.106699999999996</v>
      </c>
      <c r="D236" s="10">
        <f>37.1046 * CHOOSE(CONTROL!$C$9, $D$9, 100%, $F$9) + CHOOSE(CONTROL!$C$27, 0.0021, 0)</f>
        <v>37.106699999999996</v>
      </c>
      <c r="E236" s="10">
        <f>36.968 * CHOOSE(CONTROL!$C$9, $D$9, 100%, $F$9) + CHOOSE(CONTROL!$C$27, 0.0021, 0)</f>
        <v>36.970100000000002</v>
      </c>
      <c r="F236" s="10">
        <f>36.968 * CHOOSE(CONTROL!$C$9, $D$9, 100%, $F$9) + CHOOSE(CONTROL!$C$27, 0.0021, 0)</f>
        <v>36.970100000000002</v>
      </c>
      <c r="G236" s="10">
        <f>37.2393 * CHOOSE(CONTROL!$C$9, $D$9, 100%, $F$9) + CHOOSE(CONTROL!$C$27, 0.0021, 0)</f>
        <v>37.241399999999999</v>
      </c>
      <c r="H236" s="10">
        <f>37.1046 * CHOOSE(CONTROL!$C$9, $D$9, 100%, $F$9) + CHOOSE(CONTROL!$C$27, 0.0021, 0)</f>
        <v>37.106699999999996</v>
      </c>
      <c r="I236" s="10">
        <f>37.1046 * CHOOSE(CONTROL!$C$9, $D$9, 100%, $F$9) + CHOOSE(CONTROL!$C$27, 0.0021, 0)</f>
        <v>37.106699999999996</v>
      </c>
      <c r="J236" s="10">
        <f>37.1046 * CHOOSE(CONTROL!$C$9, $D$9, 100%, $F$9) + CHOOSE(CONTROL!$C$27, 0.0021, 0)</f>
        <v>37.106699999999996</v>
      </c>
      <c r="K236" s="10">
        <f>37.1046 * CHOOSE(CONTROL!$C$9, $D$9, 100%, $F$9) + CHOOSE(CONTROL!$C$27, 0.0021, 0)</f>
        <v>37.106699999999996</v>
      </c>
      <c r="L236" s="10"/>
    </row>
    <row r="237" spans="1:12" ht="15">
      <c r="A237" s="16">
        <v>48488</v>
      </c>
      <c r="B237" s="10">
        <f>38.426 * CHOOSE(CONTROL!$C$9, $D$9, 100%, $F$9) + CHOOSE(CONTROL!$C$27, 0.0021, 0)</f>
        <v>38.428100000000001</v>
      </c>
      <c r="C237" s="10">
        <f>37.9937 * CHOOSE(CONTROL!$C$9, $D$9, 100%, $F$9) + CHOOSE(CONTROL!$C$27, 0.0021, 0)</f>
        <v>37.995799999999996</v>
      </c>
      <c r="D237" s="10">
        <f>37.9937 * CHOOSE(CONTROL!$C$9, $D$9, 100%, $F$9) + CHOOSE(CONTROL!$C$27, 0.0021, 0)</f>
        <v>37.995799999999996</v>
      </c>
      <c r="E237" s="10">
        <f>37.8571 * CHOOSE(CONTROL!$C$9, $D$9, 100%, $F$9) + CHOOSE(CONTROL!$C$27, 0.0021, 0)</f>
        <v>37.859200000000001</v>
      </c>
      <c r="F237" s="10">
        <f>37.8571 * CHOOSE(CONTROL!$C$9, $D$9, 100%, $F$9) + CHOOSE(CONTROL!$C$27, 0.0021, 0)</f>
        <v>37.859200000000001</v>
      </c>
      <c r="G237" s="10">
        <f>38.1285 * CHOOSE(CONTROL!$C$9, $D$9, 100%, $F$9) + CHOOSE(CONTROL!$C$27, 0.0021, 0)</f>
        <v>38.130600000000001</v>
      </c>
      <c r="H237" s="10">
        <f>37.9937 * CHOOSE(CONTROL!$C$9, $D$9, 100%, $F$9) + CHOOSE(CONTROL!$C$27, 0.0021, 0)</f>
        <v>37.995799999999996</v>
      </c>
      <c r="I237" s="10">
        <f>37.9937 * CHOOSE(CONTROL!$C$9, $D$9, 100%, $F$9) + CHOOSE(CONTROL!$C$27, 0.0021, 0)</f>
        <v>37.995799999999996</v>
      </c>
      <c r="J237" s="10">
        <f>37.9937 * CHOOSE(CONTROL!$C$9, $D$9, 100%, $F$9) + CHOOSE(CONTROL!$C$27, 0.0021, 0)</f>
        <v>37.995799999999996</v>
      </c>
      <c r="K237" s="10">
        <f>37.9937 * CHOOSE(CONTROL!$C$9, $D$9, 100%, $F$9) + CHOOSE(CONTROL!$C$27, 0.0021, 0)</f>
        <v>37.995799999999996</v>
      </c>
      <c r="L237" s="10"/>
    </row>
    <row r="238" spans="1:12" ht="15">
      <c r="A238" s="16">
        <v>48519</v>
      </c>
      <c r="B238" s="10">
        <f>38.5095 * CHOOSE(CONTROL!$C$9, $D$9, 100%, $F$9) + CHOOSE(CONTROL!$C$27, 0.0021, 0)</f>
        <v>38.511600000000001</v>
      </c>
      <c r="C238" s="10">
        <f>38.0772 * CHOOSE(CONTROL!$C$9, $D$9, 100%, $F$9) + CHOOSE(CONTROL!$C$27, 0.0021, 0)</f>
        <v>38.079299999999996</v>
      </c>
      <c r="D238" s="10">
        <f>38.0772 * CHOOSE(CONTROL!$C$9, $D$9, 100%, $F$9) + CHOOSE(CONTROL!$C$27, 0.0021, 0)</f>
        <v>38.079299999999996</v>
      </c>
      <c r="E238" s="10">
        <f>37.9406 * CHOOSE(CONTROL!$C$9, $D$9, 100%, $F$9) + CHOOSE(CONTROL!$C$27, 0.0021, 0)</f>
        <v>37.942700000000002</v>
      </c>
      <c r="F238" s="10">
        <f>37.9406 * CHOOSE(CONTROL!$C$9, $D$9, 100%, $F$9) + CHOOSE(CONTROL!$C$27, 0.0021, 0)</f>
        <v>37.942700000000002</v>
      </c>
      <c r="G238" s="10">
        <f>38.2119 * CHOOSE(CONTROL!$C$9, $D$9, 100%, $F$9) + CHOOSE(CONTROL!$C$27, 0.0021, 0)</f>
        <v>38.213999999999999</v>
      </c>
      <c r="H238" s="10">
        <f>38.0772 * CHOOSE(CONTROL!$C$9, $D$9, 100%, $F$9) + CHOOSE(CONTROL!$C$27, 0.0021, 0)</f>
        <v>38.079299999999996</v>
      </c>
      <c r="I238" s="10">
        <f>38.0772 * CHOOSE(CONTROL!$C$9, $D$9, 100%, $F$9) + CHOOSE(CONTROL!$C$27, 0.0021, 0)</f>
        <v>38.079299999999996</v>
      </c>
      <c r="J238" s="10">
        <f>38.0772 * CHOOSE(CONTROL!$C$9, $D$9, 100%, $F$9) + CHOOSE(CONTROL!$C$27, 0.0021, 0)</f>
        <v>38.079299999999996</v>
      </c>
      <c r="K238" s="10">
        <f>38.0772 * CHOOSE(CONTROL!$C$9, $D$9, 100%, $F$9) + CHOOSE(CONTROL!$C$27, 0.0021, 0)</f>
        <v>38.079299999999996</v>
      </c>
      <c r="L238" s="10"/>
    </row>
    <row r="239" spans="1:12" ht="15">
      <c r="A239" s="16">
        <v>48549</v>
      </c>
      <c r="B239" s="10">
        <f>37.7993 * CHOOSE(CONTROL!$C$9, $D$9, 100%, $F$9) + CHOOSE(CONTROL!$C$27, 0.0021, 0)</f>
        <v>37.801400000000001</v>
      </c>
      <c r="C239" s="10">
        <f>37.3671 * CHOOSE(CONTROL!$C$9, $D$9, 100%, $F$9) + CHOOSE(CONTROL!$C$27, 0.0021, 0)</f>
        <v>37.369199999999999</v>
      </c>
      <c r="D239" s="10">
        <f>37.3671 * CHOOSE(CONTROL!$C$9, $D$9, 100%, $F$9) + CHOOSE(CONTROL!$C$27, 0.0021, 0)</f>
        <v>37.369199999999999</v>
      </c>
      <c r="E239" s="10">
        <f>37.2304 * CHOOSE(CONTROL!$C$9, $D$9, 100%, $F$9) + CHOOSE(CONTROL!$C$27, 0.0021, 0)</f>
        <v>37.232500000000002</v>
      </c>
      <c r="F239" s="10">
        <f>37.2304 * CHOOSE(CONTROL!$C$9, $D$9, 100%, $F$9) + CHOOSE(CONTROL!$C$27, 0.0021, 0)</f>
        <v>37.232500000000002</v>
      </c>
      <c r="G239" s="10">
        <f>37.5018 * CHOOSE(CONTROL!$C$9, $D$9, 100%, $F$9) + CHOOSE(CONTROL!$C$27, 0.0021, 0)</f>
        <v>37.503900000000002</v>
      </c>
      <c r="H239" s="10">
        <f>37.3671 * CHOOSE(CONTROL!$C$9, $D$9, 100%, $F$9) + CHOOSE(CONTROL!$C$27, 0.0021, 0)</f>
        <v>37.369199999999999</v>
      </c>
      <c r="I239" s="10">
        <f>37.3671 * CHOOSE(CONTROL!$C$9, $D$9, 100%, $F$9) + CHOOSE(CONTROL!$C$27, 0.0021, 0)</f>
        <v>37.369199999999999</v>
      </c>
      <c r="J239" s="10">
        <f>37.3671 * CHOOSE(CONTROL!$C$9, $D$9, 100%, $F$9) + CHOOSE(CONTROL!$C$27, 0.0021, 0)</f>
        <v>37.369199999999999</v>
      </c>
      <c r="K239" s="10">
        <f>37.3671 * CHOOSE(CONTROL!$C$9, $D$9, 100%, $F$9) + CHOOSE(CONTROL!$C$27, 0.0021, 0)</f>
        <v>37.369199999999999</v>
      </c>
      <c r="L239" s="10"/>
    </row>
    <row r="240" spans="1:12" ht="15">
      <c r="A240" s="16">
        <v>48580</v>
      </c>
      <c r="B240" s="10">
        <f>37.2556 * CHOOSE(CONTROL!$C$9, $D$9, 100%, $F$9) + CHOOSE(CONTROL!$C$27, 0.0021, 0)</f>
        <v>37.2577</v>
      </c>
      <c r="C240" s="10">
        <f>36.8234 * CHOOSE(CONTROL!$C$9, $D$9, 100%, $F$9) + CHOOSE(CONTROL!$C$27, 0.0021, 0)</f>
        <v>36.825499999999998</v>
      </c>
      <c r="D240" s="10">
        <f>36.8234 * CHOOSE(CONTROL!$C$9, $D$9, 100%, $F$9) + CHOOSE(CONTROL!$C$27, 0.0021, 0)</f>
        <v>36.825499999999998</v>
      </c>
      <c r="E240" s="10">
        <f>36.6867 * CHOOSE(CONTROL!$C$9, $D$9, 100%, $F$9) + CHOOSE(CONTROL!$C$27, 0.0021, 0)</f>
        <v>36.688800000000001</v>
      </c>
      <c r="F240" s="10">
        <f>36.6867 * CHOOSE(CONTROL!$C$9, $D$9, 100%, $F$9) + CHOOSE(CONTROL!$C$27, 0.0021, 0)</f>
        <v>36.688800000000001</v>
      </c>
      <c r="G240" s="10">
        <f>36.9581 * CHOOSE(CONTROL!$C$9, $D$9, 100%, $F$9) + CHOOSE(CONTROL!$C$27, 0.0021, 0)</f>
        <v>36.9602</v>
      </c>
      <c r="H240" s="10">
        <f>36.8234 * CHOOSE(CONTROL!$C$9, $D$9, 100%, $F$9) + CHOOSE(CONTROL!$C$27, 0.0021, 0)</f>
        <v>36.825499999999998</v>
      </c>
      <c r="I240" s="10">
        <f>36.8234 * CHOOSE(CONTROL!$C$9, $D$9, 100%, $F$9) + CHOOSE(CONTROL!$C$27, 0.0021, 0)</f>
        <v>36.825499999999998</v>
      </c>
      <c r="J240" s="10">
        <f>36.8234 * CHOOSE(CONTROL!$C$9, $D$9, 100%, $F$9) + CHOOSE(CONTROL!$C$27, 0.0021, 0)</f>
        <v>36.825499999999998</v>
      </c>
      <c r="K240" s="10">
        <f>36.8234 * CHOOSE(CONTROL!$C$9, $D$9, 100%, $F$9) + CHOOSE(CONTROL!$C$27, 0.0021, 0)</f>
        <v>36.825499999999998</v>
      </c>
      <c r="L240" s="10"/>
    </row>
    <row r="241" spans="1:12" ht="15">
      <c r="A241" s="16">
        <v>48611</v>
      </c>
      <c r="B241" s="10">
        <f>36.2667 * CHOOSE(CONTROL!$C$9, $D$9, 100%, $F$9) + CHOOSE(CONTROL!$C$27, 0.0021, 0)</f>
        <v>36.268799999999999</v>
      </c>
      <c r="C241" s="10">
        <f>35.8344 * CHOOSE(CONTROL!$C$9, $D$9, 100%, $F$9) + CHOOSE(CONTROL!$C$27, 0.0021, 0)</f>
        <v>35.836500000000001</v>
      </c>
      <c r="D241" s="10">
        <f>35.8344 * CHOOSE(CONTROL!$C$9, $D$9, 100%, $F$9) + CHOOSE(CONTROL!$C$27, 0.0021, 0)</f>
        <v>35.836500000000001</v>
      </c>
      <c r="E241" s="10">
        <f>35.6978 * CHOOSE(CONTROL!$C$9, $D$9, 100%, $F$9) + CHOOSE(CONTROL!$C$27, 0.0021, 0)</f>
        <v>35.6999</v>
      </c>
      <c r="F241" s="10">
        <f>35.6978 * CHOOSE(CONTROL!$C$9, $D$9, 100%, $F$9) + CHOOSE(CONTROL!$C$27, 0.0021, 0)</f>
        <v>35.6999</v>
      </c>
      <c r="G241" s="10">
        <f>35.9691 * CHOOSE(CONTROL!$C$9, $D$9, 100%, $F$9) + CHOOSE(CONTROL!$C$27, 0.0021, 0)</f>
        <v>35.971199999999996</v>
      </c>
      <c r="H241" s="10">
        <f>35.8344 * CHOOSE(CONTROL!$C$9, $D$9, 100%, $F$9) + CHOOSE(CONTROL!$C$27, 0.0021, 0)</f>
        <v>35.836500000000001</v>
      </c>
      <c r="I241" s="10">
        <f>35.8344 * CHOOSE(CONTROL!$C$9, $D$9, 100%, $F$9) + CHOOSE(CONTROL!$C$27, 0.0021, 0)</f>
        <v>35.836500000000001</v>
      </c>
      <c r="J241" s="10">
        <f>35.8344 * CHOOSE(CONTROL!$C$9, $D$9, 100%, $F$9) + CHOOSE(CONTROL!$C$27, 0.0021, 0)</f>
        <v>35.836500000000001</v>
      </c>
      <c r="K241" s="10">
        <f>35.8344 * CHOOSE(CONTROL!$C$9, $D$9, 100%, $F$9) + CHOOSE(CONTROL!$C$27, 0.0021, 0)</f>
        <v>35.836500000000001</v>
      </c>
      <c r="L241" s="10"/>
    </row>
    <row r="242" spans="1:12" ht="15">
      <c r="A242" s="16">
        <v>48639</v>
      </c>
      <c r="B242" s="10">
        <f>35.8584 * CHOOSE(CONTROL!$C$9, $D$9, 100%, $F$9) + CHOOSE(CONTROL!$C$27, 0.0021, 0)</f>
        <v>35.860500000000002</v>
      </c>
      <c r="C242" s="10">
        <f>35.4262 * CHOOSE(CONTROL!$C$9, $D$9, 100%, $F$9) + CHOOSE(CONTROL!$C$27, 0.0021, 0)</f>
        <v>35.4283</v>
      </c>
      <c r="D242" s="10">
        <f>35.4262 * CHOOSE(CONTROL!$C$9, $D$9, 100%, $F$9) + CHOOSE(CONTROL!$C$27, 0.0021, 0)</f>
        <v>35.4283</v>
      </c>
      <c r="E242" s="10">
        <f>35.2895 * CHOOSE(CONTROL!$C$9, $D$9, 100%, $F$9) + CHOOSE(CONTROL!$C$27, 0.0021, 0)</f>
        <v>35.291599999999995</v>
      </c>
      <c r="F242" s="10">
        <f>35.2895 * CHOOSE(CONTROL!$C$9, $D$9, 100%, $F$9) + CHOOSE(CONTROL!$C$27, 0.0021, 0)</f>
        <v>35.291599999999995</v>
      </c>
      <c r="G242" s="10">
        <f>35.5609 * CHOOSE(CONTROL!$C$9, $D$9, 100%, $F$9) + CHOOSE(CONTROL!$C$27, 0.0021, 0)</f>
        <v>35.562999999999995</v>
      </c>
      <c r="H242" s="10">
        <f>35.4262 * CHOOSE(CONTROL!$C$9, $D$9, 100%, $F$9) + CHOOSE(CONTROL!$C$27, 0.0021, 0)</f>
        <v>35.4283</v>
      </c>
      <c r="I242" s="10">
        <f>35.4262 * CHOOSE(CONTROL!$C$9, $D$9, 100%, $F$9) + CHOOSE(CONTROL!$C$27, 0.0021, 0)</f>
        <v>35.4283</v>
      </c>
      <c r="J242" s="10">
        <f>35.4262 * CHOOSE(CONTROL!$C$9, $D$9, 100%, $F$9) + CHOOSE(CONTROL!$C$27, 0.0021, 0)</f>
        <v>35.4283</v>
      </c>
      <c r="K242" s="10">
        <f>35.4262 * CHOOSE(CONTROL!$C$9, $D$9, 100%, $F$9) + CHOOSE(CONTROL!$C$27, 0.0021, 0)</f>
        <v>35.4283</v>
      </c>
      <c r="L242" s="10"/>
    </row>
    <row r="243" spans="1:12" ht="15">
      <c r="A243" s="16">
        <v>48670</v>
      </c>
      <c r="B243" s="10">
        <f>35.371 * CHOOSE(CONTROL!$C$9, $D$9, 100%, $F$9) + CHOOSE(CONTROL!$C$27, 0.0021, 0)</f>
        <v>35.373100000000001</v>
      </c>
      <c r="C243" s="10">
        <f>34.9388 * CHOOSE(CONTROL!$C$9, $D$9, 100%, $F$9) + CHOOSE(CONTROL!$C$27, 0.0021, 0)</f>
        <v>34.940899999999999</v>
      </c>
      <c r="D243" s="10">
        <f>34.9388 * CHOOSE(CONTROL!$C$9, $D$9, 100%, $F$9) + CHOOSE(CONTROL!$C$27, 0.0021, 0)</f>
        <v>34.940899999999999</v>
      </c>
      <c r="E243" s="10">
        <f>34.8021 * CHOOSE(CONTROL!$C$9, $D$9, 100%, $F$9) + CHOOSE(CONTROL!$C$27, 0.0021, 0)</f>
        <v>34.804200000000002</v>
      </c>
      <c r="F243" s="10">
        <f>34.8021 * CHOOSE(CONTROL!$C$9, $D$9, 100%, $F$9) + CHOOSE(CONTROL!$C$27, 0.0021, 0)</f>
        <v>34.804200000000002</v>
      </c>
      <c r="G243" s="10">
        <f>35.0735 * CHOOSE(CONTROL!$C$9, $D$9, 100%, $F$9) + CHOOSE(CONTROL!$C$27, 0.0021, 0)</f>
        <v>35.075600000000001</v>
      </c>
      <c r="H243" s="10">
        <f>34.9388 * CHOOSE(CONTROL!$C$9, $D$9, 100%, $F$9) + CHOOSE(CONTROL!$C$27, 0.0021, 0)</f>
        <v>34.940899999999999</v>
      </c>
      <c r="I243" s="10">
        <f>34.9388 * CHOOSE(CONTROL!$C$9, $D$9, 100%, $F$9) + CHOOSE(CONTROL!$C$27, 0.0021, 0)</f>
        <v>34.940899999999999</v>
      </c>
      <c r="J243" s="10">
        <f>34.9388 * CHOOSE(CONTROL!$C$9, $D$9, 100%, $F$9) + CHOOSE(CONTROL!$C$27, 0.0021, 0)</f>
        <v>34.940899999999999</v>
      </c>
      <c r="K243" s="10">
        <f>34.9388 * CHOOSE(CONTROL!$C$9, $D$9, 100%, $F$9) + CHOOSE(CONTROL!$C$27, 0.0021, 0)</f>
        <v>34.940899999999999</v>
      </c>
      <c r="L243" s="10"/>
    </row>
    <row r="244" spans="1:12" ht="15">
      <c r="A244" s="16">
        <v>48700</v>
      </c>
      <c r="B244" s="10">
        <f>36.0657 * CHOOSE(CONTROL!$C$9, $D$9, 100%, $F$9) + CHOOSE(CONTROL!$C$27, 0.0021, 0)</f>
        <v>36.067799999999998</v>
      </c>
      <c r="C244" s="10">
        <f>35.6334 * CHOOSE(CONTROL!$C$9, $D$9, 100%, $F$9) + CHOOSE(CONTROL!$C$27, 0.0021, 0)</f>
        <v>35.6355</v>
      </c>
      <c r="D244" s="10">
        <f>35.6334 * CHOOSE(CONTROL!$C$9, $D$9, 100%, $F$9) + CHOOSE(CONTROL!$C$27, 0.0021, 0)</f>
        <v>35.6355</v>
      </c>
      <c r="E244" s="10">
        <f>35.4968 * CHOOSE(CONTROL!$C$9, $D$9, 100%, $F$9) + CHOOSE(CONTROL!$C$27, 0.0021, 0)</f>
        <v>35.498899999999999</v>
      </c>
      <c r="F244" s="10">
        <f>35.4968 * CHOOSE(CONTROL!$C$9, $D$9, 100%, $F$9) + CHOOSE(CONTROL!$C$27, 0.0021, 0)</f>
        <v>35.498899999999999</v>
      </c>
      <c r="G244" s="10">
        <f>35.7681 * CHOOSE(CONTROL!$C$9, $D$9, 100%, $F$9) + CHOOSE(CONTROL!$C$27, 0.0021, 0)</f>
        <v>35.770199999999996</v>
      </c>
      <c r="H244" s="10">
        <f>35.6334 * CHOOSE(CONTROL!$C$9, $D$9, 100%, $F$9) + CHOOSE(CONTROL!$C$27, 0.0021, 0)</f>
        <v>35.6355</v>
      </c>
      <c r="I244" s="10">
        <f>35.6334 * CHOOSE(CONTROL!$C$9, $D$9, 100%, $F$9) + CHOOSE(CONTROL!$C$27, 0.0021, 0)</f>
        <v>35.6355</v>
      </c>
      <c r="J244" s="10">
        <f>35.6334 * CHOOSE(CONTROL!$C$9, $D$9, 100%, $F$9) + CHOOSE(CONTROL!$C$27, 0.0021, 0)</f>
        <v>35.6355</v>
      </c>
      <c r="K244" s="10">
        <f>35.6334 * CHOOSE(CONTROL!$C$9, $D$9, 100%, $F$9) + CHOOSE(CONTROL!$C$27, 0.0021, 0)</f>
        <v>35.6355</v>
      </c>
      <c r="L244" s="10"/>
    </row>
    <row r="245" spans="1:12" ht="15">
      <c r="A245" s="16">
        <v>48731</v>
      </c>
      <c r="B245" s="10">
        <f>36.4817 * CHOOSE(CONTROL!$C$9, $D$9, 100%, $F$9) + CHOOSE(CONTROL!$C$27, 0.0021, 0)</f>
        <v>36.483799999999995</v>
      </c>
      <c r="C245" s="10">
        <f>36.0495 * CHOOSE(CONTROL!$C$9, $D$9, 100%, $F$9) + CHOOSE(CONTROL!$C$27, 0.0021, 0)</f>
        <v>36.051600000000001</v>
      </c>
      <c r="D245" s="10">
        <f>36.0495 * CHOOSE(CONTROL!$C$9, $D$9, 100%, $F$9) + CHOOSE(CONTROL!$C$27, 0.0021, 0)</f>
        <v>36.051600000000001</v>
      </c>
      <c r="E245" s="10">
        <f>35.9128 * CHOOSE(CONTROL!$C$9, $D$9, 100%, $F$9) + CHOOSE(CONTROL!$C$27, 0.0021, 0)</f>
        <v>35.914899999999996</v>
      </c>
      <c r="F245" s="10">
        <f>35.9128 * CHOOSE(CONTROL!$C$9, $D$9, 100%, $F$9) + CHOOSE(CONTROL!$C$27, 0.0021, 0)</f>
        <v>35.914899999999996</v>
      </c>
      <c r="G245" s="10">
        <f>36.1842 * CHOOSE(CONTROL!$C$9, $D$9, 100%, $F$9) + CHOOSE(CONTROL!$C$27, 0.0021, 0)</f>
        <v>36.186299999999996</v>
      </c>
      <c r="H245" s="10">
        <f>36.0495 * CHOOSE(CONTROL!$C$9, $D$9, 100%, $F$9) + CHOOSE(CONTROL!$C$27, 0.0021, 0)</f>
        <v>36.051600000000001</v>
      </c>
      <c r="I245" s="10">
        <f>36.0495 * CHOOSE(CONTROL!$C$9, $D$9, 100%, $F$9) + CHOOSE(CONTROL!$C$27, 0.0021, 0)</f>
        <v>36.051600000000001</v>
      </c>
      <c r="J245" s="10">
        <f>36.0495 * CHOOSE(CONTROL!$C$9, $D$9, 100%, $F$9) + CHOOSE(CONTROL!$C$27, 0.0021, 0)</f>
        <v>36.051600000000001</v>
      </c>
      <c r="K245" s="10">
        <f>36.0495 * CHOOSE(CONTROL!$C$9, $D$9, 100%, $F$9) + CHOOSE(CONTROL!$C$27, 0.0021, 0)</f>
        <v>36.051600000000001</v>
      </c>
      <c r="L245" s="10"/>
    </row>
    <row r="246" spans="1:12" ht="15">
      <c r="A246" s="16">
        <v>48761</v>
      </c>
      <c r="B246" s="10">
        <f>37.1681 * CHOOSE(CONTROL!$C$9, $D$9, 100%, $F$9) + CHOOSE(CONTROL!$C$27, 0.0021, 0)</f>
        <v>37.170200000000001</v>
      </c>
      <c r="C246" s="10">
        <f>36.7359 * CHOOSE(CONTROL!$C$9, $D$9, 100%, $F$9) + CHOOSE(CONTROL!$C$27, 0.0021, 0)</f>
        <v>36.738</v>
      </c>
      <c r="D246" s="10">
        <f>36.7359 * CHOOSE(CONTROL!$C$9, $D$9, 100%, $F$9) + CHOOSE(CONTROL!$C$27, 0.0021, 0)</f>
        <v>36.738</v>
      </c>
      <c r="E246" s="10">
        <f>36.5992 * CHOOSE(CONTROL!$C$9, $D$9, 100%, $F$9) + CHOOSE(CONTROL!$C$27, 0.0021, 0)</f>
        <v>36.601300000000002</v>
      </c>
      <c r="F246" s="10">
        <f>36.5992 * CHOOSE(CONTROL!$C$9, $D$9, 100%, $F$9) + CHOOSE(CONTROL!$C$27, 0.0021, 0)</f>
        <v>36.601300000000002</v>
      </c>
      <c r="G246" s="10">
        <f>36.8706 * CHOOSE(CONTROL!$C$9, $D$9, 100%, $F$9) + CHOOSE(CONTROL!$C$27, 0.0021, 0)</f>
        <v>36.872700000000002</v>
      </c>
      <c r="H246" s="10">
        <f>36.7359 * CHOOSE(CONTROL!$C$9, $D$9, 100%, $F$9) + CHOOSE(CONTROL!$C$27, 0.0021, 0)</f>
        <v>36.738</v>
      </c>
      <c r="I246" s="10">
        <f>36.7359 * CHOOSE(CONTROL!$C$9, $D$9, 100%, $F$9) + CHOOSE(CONTROL!$C$27, 0.0021, 0)</f>
        <v>36.738</v>
      </c>
      <c r="J246" s="10">
        <f>36.7359 * CHOOSE(CONTROL!$C$9, $D$9, 100%, $F$9) + CHOOSE(CONTROL!$C$27, 0.0021, 0)</f>
        <v>36.738</v>
      </c>
      <c r="K246" s="10">
        <f>36.7359 * CHOOSE(CONTROL!$C$9, $D$9, 100%, $F$9) + CHOOSE(CONTROL!$C$27, 0.0021, 0)</f>
        <v>36.738</v>
      </c>
      <c r="L246" s="10"/>
    </row>
    <row r="247" spans="1:12" ht="15">
      <c r="A247" s="16">
        <v>48792</v>
      </c>
      <c r="B247" s="10">
        <f>37.3776 * CHOOSE(CONTROL!$C$9, $D$9, 100%, $F$9) + CHOOSE(CONTROL!$C$27, 0.0021, 0)</f>
        <v>37.3797</v>
      </c>
      <c r="C247" s="10">
        <f>36.9454 * CHOOSE(CONTROL!$C$9, $D$9, 100%, $F$9) + CHOOSE(CONTROL!$C$27, 0.0021, 0)</f>
        <v>36.947499999999998</v>
      </c>
      <c r="D247" s="10">
        <f>36.9454 * CHOOSE(CONTROL!$C$9, $D$9, 100%, $F$9) + CHOOSE(CONTROL!$C$27, 0.0021, 0)</f>
        <v>36.947499999999998</v>
      </c>
      <c r="E247" s="10">
        <f>36.8087 * CHOOSE(CONTROL!$C$9, $D$9, 100%, $F$9) + CHOOSE(CONTROL!$C$27, 0.0021, 0)</f>
        <v>36.8108</v>
      </c>
      <c r="F247" s="10">
        <f>36.8087 * CHOOSE(CONTROL!$C$9, $D$9, 100%, $F$9) + CHOOSE(CONTROL!$C$27, 0.0021, 0)</f>
        <v>36.8108</v>
      </c>
      <c r="G247" s="10">
        <f>37.0801 * CHOOSE(CONTROL!$C$9, $D$9, 100%, $F$9) + CHOOSE(CONTROL!$C$27, 0.0021, 0)</f>
        <v>37.0822</v>
      </c>
      <c r="H247" s="10">
        <f>36.9454 * CHOOSE(CONTROL!$C$9, $D$9, 100%, $F$9) + CHOOSE(CONTROL!$C$27, 0.0021, 0)</f>
        <v>36.947499999999998</v>
      </c>
      <c r="I247" s="10">
        <f>36.9454 * CHOOSE(CONTROL!$C$9, $D$9, 100%, $F$9) + CHOOSE(CONTROL!$C$27, 0.0021, 0)</f>
        <v>36.947499999999998</v>
      </c>
      <c r="J247" s="10">
        <f>36.9454 * CHOOSE(CONTROL!$C$9, $D$9, 100%, $F$9) + CHOOSE(CONTROL!$C$27, 0.0021, 0)</f>
        <v>36.947499999999998</v>
      </c>
      <c r="K247" s="10">
        <f>36.9454 * CHOOSE(CONTROL!$C$9, $D$9, 100%, $F$9) + CHOOSE(CONTROL!$C$27, 0.0021, 0)</f>
        <v>36.947499999999998</v>
      </c>
      <c r="L247" s="10"/>
    </row>
    <row r="248" spans="1:12" ht="15">
      <c r="A248" s="16">
        <v>48823</v>
      </c>
      <c r="B248" s="10">
        <f>38.0911 * CHOOSE(CONTROL!$C$9, $D$9, 100%, $F$9) + CHOOSE(CONTROL!$C$27, 0.0021, 0)</f>
        <v>38.093199999999996</v>
      </c>
      <c r="C248" s="10">
        <f>37.6588 * CHOOSE(CONTROL!$C$9, $D$9, 100%, $F$9) + CHOOSE(CONTROL!$C$27, 0.0021, 0)</f>
        <v>37.660899999999998</v>
      </c>
      <c r="D248" s="10">
        <f>37.6588 * CHOOSE(CONTROL!$C$9, $D$9, 100%, $F$9) + CHOOSE(CONTROL!$C$27, 0.0021, 0)</f>
        <v>37.660899999999998</v>
      </c>
      <c r="E248" s="10">
        <f>37.5222 * CHOOSE(CONTROL!$C$9, $D$9, 100%, $F$9) + CHOOSE(CONTROL!$C$27, 0.0021, 0)</f>
        <v>37.524299999999997</v>
      </c>
      <c r="F248" s="10">
        <f>37.5222 * CHOOSE(CONTROL!$C$9, $D$9, 100%, $F$9) + CHOOSE(CONTROL!$C$27, 0.0021, 0)</f>
        <v>37.524299999999997</v>
      </c>
      <c r="G248" s="10">
        <f>37.7935 * CHOOSE(CONTROL!$C$9, $D$9, 100%, $F$9) + CHOOSE(CONTROL!$C$27, 0.0021, 0)</f>
        <v>37.7956</v>
      </c>
      <c r="H248" s="10">
        <f>37.6588 * CHOOSE(CONTROL!$C$9, $D$9, 100%, $F$9) + CHOOSE(CONTROL!$C$27, 0.0021, 0)</f>
        <v>37.660899999999998</v>
      </c>
      <c r="I248" s="10">
        <f>37.6588 * CHOOSE(CONTROL!$C$9, $D$9, 100%, $F$9) + CHOOSE(CONTROL!$C$27, 0.0021, 0)</f>
        <v>37.660899999999998</v>
      </c>
      <c r="J248" s="10">
        <f>37.6588 * CHOOSE(CONTROL!$C$9, $D$9, 100%, $F$9) + CHOOSE(CONTROL!$C$27, 0.0021, 0)</f>
        <v>37.660899999999998</v>
      </c>
      <c r="K248" s="10">
        <f>37.6588 * CHOOSE(CONTROL!$C$9, $D$9, 100%, $F$9) + CHOOSE(CONTROL!$C$27, 0.0021, 0)</f>
        <v>37.660899999999998</v>
      </c>
      <c r="L248" s="10"/>
    </row>
    <row r="249" spans="1:12" ht="15">
      <c r="A249" s="16">
        <v>48853</v>
      </c>
      <c r="B249" s="10">
        <f>38.9942 * CHOOSE(CONTROL!$C$9, $D$9, 100%, $F$9) + CHOOSE(CONTROL!$C$27, 0.0021, 0)</f>
        <v>38.996299999999998</v>
      </c>
      <c r="C249" s="10">
        <f>38.5619 * CHOOSE(CONTROL!$C$9, $D$9, 100%, $F$9) + CHOOSE(CONTROL!$C$27, 0.0021, 0)</f>
        <v>38.564</v>
      </c>
      <c r="D249" s="10">
        <f>38.5619 * CHOOSE(CONTROL!$C$9, $D$9, 100%, $F$9) + CHOOSE(CONTROL!$C$27, 0.0021, 0)</f>
        <v>38.564</v>
      </c>
      <c r="E249" s="10">
        <f>38.4253 * CHOOSE(CONTROL!$C$9, $D$9, 100%, $F$9) + CHOOSE(CONTROL!$C$27, 0.0021, 0)</f>
        <v>38.427399999999999</v>
      </c>
      <c r="F249" s="10">
        <f>38.4253 * CHOOSE(CONTROL!$C$9, $D$9, 100%, $F$9) + CHOOSE(CONTROL!$C$27, 0.0021, 0)</f>
        <v>38.427399999999999</v>
      </c>
      <c r="G249" s="10">
        <f>38.6967 * CHOOSE(CONTROL!$C$9, $D$9, 100%, $F$9) + CHOOSE(CONTROL!$C$27, 0.0021, 0)</f>
        <v>38.698799999999999</v>
      </c>
      <c r="H249" s="10">
        <f>38.5619 * CHOOSE(CONTROL!$C$9, $D$9, 100%, $F$9) + CHOOSE(CONTROL!$C$27, 0.0021, 0)</f>
        <v>38.564</v>
      </c>
      <c r="I249" s="10">
        <f>38.5619 * CHOOSE(CONTROL!$C$9, $D$9, 100%, $F$9) + CHOOSE(CONTROL!$C$27, 0.0021, 0)</f>
        <v>38.564</v>
      </c>
      <c r="J249" s="10">
        <f>38.5619 * CHOOSE(CONTROL!$C$9, $D$9, 100%, $F$9) + CHOOSE(CONTROL!$C$27, 0.0021, 0)</f>
        <v>38.564</v>
      </c>
      <c r="K249" s="10">
        <f>38.5619 * CHOOSE(CONTROL!$C$9, $D$9, 100%, $F$9) + CHOOSE(CONTROL!$C$27, 0.0021, 0)</f>
        <v>38.564</v>
      </c>
      <c r="L249" s="10"/>
    </row>
    <row r="250" spans="1:12" ht="15">
      <c r="A250" s="16">
        <v>48884</v>
      </c>
      <c r="B250" s="10">
        <f>39.079 * CHOOSE(CONTROL!$C$9, $D$9, 100%, $F$9) + CHOOSE(CONTROL!$C$27, 0.0021, 0)</f>
        <v>39.081099999999999</v>
      </c>
      <c r="C250" s="10">
        <f>38.6467 * CHOOSE(CONTROL!$C$9, $D$9, 100%, $F$9) + CHOOSE(CONTROL!$C$27, 0.0021, 0)</f>
        <v>38.648800000000001</v>
      </c>
      <c r="D250" s="10">
        <f>38.6467 * CHOOSE(CONTROL!$C$9, $D$9, 100%, $F$9) + CHOOSE(CONTROL!$C$27, 0.0021, 0)</f>
        <v>38.648800000000001</v>
      </c>
      <c r="E250" s="10">
        <f>38.5101 * CHOOSE(CONTROL!$C$9, $D$9, 100%, $F$9) + CHOOSE(CONTROL!$C$27, 0.0021, 0)</f>
        <v>38.5122</v>
      </c>
      <c r="F250" s="10">
        <f>38.5101 * CHOOSE(CONTROL!$C$9, $D$9, 100%, $F$9) + CHOOSE(CONTROL!$C$27, 0.0021, 0)</f>
        <v>38.5122</v>
      </c>
      <c r="G250" s="10">
        <f>38.7814 * CHOOSE(CONTROL!$C$9, $D$9, 100%, $F$9) + CHOOSE(CONTROL!$C$27, 0.0021, 0)</f>
        <v>38.783499999999997</v>
      </c>
      <c r="H250" s="10">
        <f>38.6467 * CHOOSE(CONTROL!$C$9, $D$9, 100%, $F$9) + CHOOSE(CONTROL!$C$27, 0.0021, 0)</f>
        <v>38.648800000000001</v>
      </c>
      <c r="I250" s="10">
        <f>38.6467 * CHOOSE(CONTROL!$C$9, $D$9, 100%, $F$9) + CHOOSE(CONTROL!$C$27, 0.0021, 0)</f>
        <v>38.648800000000001</v>
      </c>
      <c r="J250" s="10">
        <f>38.6467 * CHOOSE(CONTROL!$C$9, $D$9, 100%, $F$9) + CHOOSE(CONTROL!$C$27, 0.0021, 0)</f>
        <v>38.648800000000001</v>
      </c>
      <c r="K250" s="10">
        <f>38.6467 * CHOOSE(CONTROL!$C$9, $D$9, 100%, $F$9) + CHOOSE(CONTROL!$C$27, 0.0021, 0)</f>
        <v>38.648800000000001</v>
      </c>
      <c r="L250" s="10"/>
    </row>
    <row r="251" spans="1:12" ht="15">
      <c r="A251" s="16">
        <v>48914</v>
      </c>
      <c r="B251" s="10">
        <f>38.3577 * CHOOSE(CONTROL!$C$9, $D$9, 100%, $F$9) + CHOOSE(CONTROL!$C$27, 0.0021, 0)</f>
        <v>38.3598</v>
      </c>
      <c r="C251" s="10">
        <f>37.9254 * CHOOSE(CONTROL!$C$9, $D$9, 100%, $F$9) + CHOOSE(CONTROL!$C$27, 0.0021, 0)</f>
        <v>37.927500000000002</v>
      </c>
      <c r="D251" s="10">
        <f>37.9254 * CHOOSE(CONTROL!$C$9, $D$9, 100%, $F$9) + CHOOSE(CONTROL!$C$27, 0.0021, 0)</f>
        <v>37.927500000000002</v>
      </c>
      <c r="E251" s="10">
        <f>37.7888 * CHOOSE(CONTROL!$C$9, $D$9, 100%, $F$9) + CHOOSE(CONTROL!$C$27, 0.0021, 0)</f>
        <v>37.790900000000001</v>
      </c>
      <c r="F251" s="10">
        <f>37.7888 * CHOOSE(CONTROL!$C$9, $D$9, 100%, $F$9) + CHOOSE(CONTROL!$C$27, 0.0021, 0)</f>
        <v>37.790900000000001</v>
      </c>
      <c r="G251" s="10">
        <f>38.0601 * CHOOSE(CONTROL!$C$9, $D$9, 100%, $F$9) + CHOOSE(CONTROL!$C$27, 0.0021, 0)</f>
        <v>38.062199999999997</v>
      </c>
      <c r="H251" s="10">
        <f>37.9254 * CHOOSE(CONTROL!$C$9, $D$9, 100%, $F$9) + CHOOSE(CONTROL!$C$27, 0.0021, 0)</f>
        <v>37.927500000000002</v>
      </c>
      <c r="I251" s="10">
        <f>37.9254 * CHOOSE(CONTROL!$C$9, $D$9, 100%, $F$9) + CHOOSE(CONTROL!$C$27, 0.0021, 0)</f>
        <v>37.927500000000002</v>
      </c>
      <c r="J251" s="10">
        <f>37.9254 * CHOOSE(CONTROL!$C$9, $D$9, 100%, $F$9) + CHOOSE(CONTROL!$C$27, 0.0021, 0)</f>
        <v>37.927500000000002</v>
      </c>
      <c r="K251" s="10">
        <f>37.9254 * CHOOSE(CONTROL!$C$9, $D$9, 100%, $F$9) + CHOOSE(CONTROL!$C$27, 0.0021, 0)</f>
        <v>37.927500000000002</v>
      </c>
      <c r="L251" s="10"/>
    </row>
    <row r="252" spans="1:12" ht="15">
      <c r="A252" s="16">
        <v>48945</v>
      </c>
      <c r="B252" s="10">
        <f>37.8054 * CHOOSE(CONTROL!$C$9, $D$9, 100%, $F$9) + CHOOSE(CONTROL!$C$27, 0.0021, 0)</f>
        <v>37.807499999999997</v>
      </c>
      <c r="C252" s="10">
        <f>37.3732 * CHOOSE(CONTROL!$C$9, $D$9, 100%, $F$9) + CHOOSE(CONTROL!$C$27, 0.0021, 0)</f>
        <v>37.375299999999996</v>
      </c>
      <c r="D252" s="10">
        <f>37.3732 * CHOOSE(CONTROL!$C$9, $D$9, 100%, $F$9) + CHOOSE(CONTROL!$C$27, 0.0021, 0)</f>
        <v>37.375299999999996</v>
      </c>
      <c r="E252" s="10">
        <f>37.2365 * CHOOSE(CONTROL!$C$9, $D$9, 100%, $F$9) + CHOOSE(CONTROL!$C$27, 0.0021, 0)</f>
        <v>37.238599999999998</v>
      </c>
      <c r="F252" s="10">
        <f>37.2365 * CHOOSE(CONTROL!$C$9, $D$9, 100%, $F$9) + CHOOSE(CONTROL!$C$27, 0.0021, 0)</f>
        <v>37.238599999999998</v>
      </c>
      <c r="G252" s="10">
        <f>37.5079 * CHOOSE(CONTROL!$C$9, $D$9, 100%, $F$9) + CHOOSE(CONTROL!$C$27, 0.0021, 0)</f>
        <v>37.51</v>
      </c>
      <c r="H252" s="10">
        <f>37.3732 * CHOOSE(CONTROL!$C$9, $D$9, 100%, $F$9) + CHOOSE(CONTROL!$C$27, 0.0021, 0)</f>
        <v>37.375299999999996</v>
      </c>
      <c r="I252" s="10">
        <f>37.3732 * CHOOSE(CONTROL!$C$9, $D$9, 100%, $F$9) + CHOOSE(CONTROL!$C$27, 0.0021, 0)</f>
        <v>37.375299999999996</v>
      </c>
      <c r="J252" s="10">
        <f>37.3732 * CHOOSE(CONTROL!$C$9, $D$9, 100%, $F$9) + CHOOSE(CONTROL!$C$27, 0.0021, 0)</f>
        <v>37.375299999999996</v>
      </c>
      <c r="K252" s="10">
        <f>37.3732 * CHOOSE(CONTROL!$C$9, $D$9, 100%, $F$9) + CHOOSE(CONTROL!$C$27, 0.0021, 0)</f>
        <v>37.375299999999996</v>
      </c>
      <c r="L252" s="10"/>
    </row>
    <row r="253" spans="1:12" ht="15">
      <c r="A253" s="16">
        <v>48976</v>
      </c>
      <c r="B253" s="10">
        <f>36.8009 * CHOOSE(CONTROL!$C$9, $D$9, 100%, $F$9) + CHOOSE(CONTROL!$C$27, 0.0021, 0)</f>
        <v>36.802999999999997</v>
      </c>
      <c r="C253" s="10">
        <f>36.3687 * CHOOSE(CONTROL!$C$9, $D$9, 100%, $F$9) + CHOOSE(CONTROL!$C$27, 0.0021, 0)</f>
        <v>36.370799999999996</v>
      </c>
      <c r="D253" s="10">
        <f>36.3687 * CHOOSE(CONTROL!$C$9, $D$9, 100%, $F$9) + CHOOSE(CONTROL!$C$27, 0.0021, 0)</f>
        <v>36.370799999999996</v>
      </c>
      <c r="E253" s="10">
        <f>36.232 * CHOOSE(CONTROL!$C$9, $D$9, 100%, $F$9) + CHOOSE(CONTROL!$C$27, 0.0021, 0)</f>
        <v>36.234099999999998</v>
      </c>
      <c r="F253" s="10">
        <f>36.232 * CHOOSE(CONTROL!$C$9, $D$9, 100%, $F$9) + CHOOSE(CONTROL!$C$27, 0.0021, 0)</f>
        <v>36.234099999999998</v>
      </c>
      <c r="G253" s="10">
        <f>36.5034 * CHOOSE(CONTROL!$C$9, $D$9, 100%, $F$9) + CHOOSE(CONTROL!$C$27, 0.0021, 0)</f>
        <v>36.505499999999998</v>
      </c>
      <c r="H253" s="10">
        <f>36.3687 * CHOOSE(CONTROL!$C$9, $D$9, 100%, $F$9) + CHOOSE(CONTROL!$C$27, 0.0021, 0)</f>
        <v>36.370799999999996</v>
      </c>
      <c r="I253" s="10">
        <f>36.3687 * CHOOSE(CONTROL!$C$9, $D$9, 100%, $F$9) + CHOOSE(CONTROL!$C$27, 0.0021, 0)</f>
        <v>36.370799999999996</v>
      </c>
      <c r="J253" s="10">
        <f>36.3687 * CHOOSE(CONTROL!$C$9, $D$9, 100%, $F$9) + CHOOSE(CONTROL!$C$27, 0.0021, 0)</f>
        <v>36.370799999999996</v>
      </c>
      <c r="K253" s="10">
        <f>36.3687 * CHOOSE(CONTROL!$C$9, $D$9, 100%, $F$9) + CHOOSE(CONTROL!$C$27, 0.0021, 0)</f>
        <v>36.370799999999996</v>
      </c>
      <c r="L253" s="10"/>
    </row>
    <row r="254" spans="1:12" ht="15">
      <c r="A254" s="16">
        <v>49004</v>
      </c>
      <c r="B254" s="10">
        <f>36.3863 * CHOOSE(CONTROL!$C$9, $D$9, 100%, $F$9) + CHOOSE(CONTROL!$C$27, 0.0021, 0)</f>
        <v>36.388399999999997</v>
      </c>
      <c r="C254" s="10">
        <f>35.954 * CHOOSE(CONTROL!$C$9, $D$9, 100%, $F$9) + CHOOSE(CONTROL!$C$27, 0.0021, 0)</f>
        <v>35.956099999999999</v>
      </c>
      <c r="D254" s="10">
        <f>35.954 * CHOOSE(CONTROL!$C$9, $D$9, 100%, $F$9) + CHOOSE(CONTROL!$C$27, 0.0021, 0)</f>
        <v>35.956099999999999</v>
      </c>
      <c r="E254" s="10">
        <f>35.8174 * CHOOSE(CONTROL!$C$9, $D$9, 100%, $F$9) + CHOOSE(CONTROL!$C$27, 0.0021, 0)</f>
        <v>35.819499999999998</v>
      </c>
      <c r="F254" s="10">
        <f>35.8174 * CHOOSE(CONTROL!$C$9, $D$9, 100%, $F$9) + CHOOSE(CONTROL!$C$27, 0.0021, 0)</f>
        <v>35.819499999999998</v>
      </c>
      <c r="G254" s="10">
        <f>36.0887 * CHOOSE(CONTROL!$C$9, $D$9, 100%, $F$9) + CHOOSE(CONTROL!$C$27, 0.0021, 0)</f>
        <v>36.090800000000002</v>
      </c>
      <c r="H254" s="10">
        <f>35.954 * CHOOSE(CONTROL!$C$9, $D$9, 100%, $F$9) + CHOOSE(CONTROL!$C$27, 0.0021, 0)</f>
        <v>35.956099999999999</v>
      </c>
      <c r="I254" s="10">
        <f>35.954 * CHOOSE(CONTROL!$C$9, $D$9, 100%, $F$9) + CHOOSE(CONTROL!$C$27, 0.0021, 0)</f>
        <v>35.956099999999999</v>
      </c>
      <c r="J254" s="10">
        <f>35.954 * CHOOSE(CONTROL!$C$9, $D$9, 100%, $F$9) + CHOOSE(CONTROL!$C$27, 0.0021, 0)</f>
        <v>35.956099999999999</v>
      </c>
      <c r="K254" s="10">
        <f>35.954 * CHOOSE(CONTROL!$C$9, $D$9, 100%, $F$9) + CHOOSE(CONTROL!$C$27, 0.0021, 0)</f>
        <v>35.956099999999999</v>
      </c>
      <c r="L254" s="10"/>
    </row>
    <row r="255" spans="1:12" ht="15">
      <c r="A255" s="16">
        <v>49035</v>
      </c>
      <c r="B255" s="10">
        <f>35.8912 * CHOOSE(CONTROL!$C$9, $D$9, 100%, $F$9) + CHOOSE(CONTROL!$C$27, 0.0021, 0)</f>
        <v>35.893299999999996</v>
      </c>
      <c r="C255" s="10">
        <f>35.4589 * CHOOSE(CONTROL!$C$9, $D$9, 100%, $F$9) + CHOOSE(CONTROL!$C$27, 0.0021, 0)</f>
        <v>35.460999999999999</v>
      </c>
      <c r="D255" s="10">
        <f>35.4589 * CHOOSE(CONTROL!$C$9, $D$9, 100%, $F$9) + CHOOSE(CONTROL!$C$27, 0.0021, 0)</f>
        <v>35.460999999999999</v>
      </c>
      <c r="E255" s="10">
        <f>35.3223 * CHOOSE(CONTROL!$C$9, $D$9, 100%, $F$9) + CHOOSE(CONTROL!$C$27, 0.0021, 0)</f>
        <v>35.324399999999997</v>
      </c>
      <c r="F255" s="10">
        <f>35.3223 * CHOOSE(CONTROL!$C$9, $D$9, 100%, $F$9) + CHOOSE(CONTROL!$C$27, 0.0021, 0)</f>
        <v>35.324399999999997</v>
      </c>
      <c r="G255" s="10">
        <f>35.5936 * CHOOSE(CONTROL!$C$9, $D$9, 100%, $F$9) + CHOOSE(CONTROL!$C$27, 0.0021, 0)</f>
        <v>35.595700000000001</v>
      </c>
      <c r="H255" s="10">
        <f>35.4589 * CHOOSE(CONTROL!$C$9, $D$9, 100%, $F$9) + CHOOSE(CONTROL!$C$27, 0.0021, 0)</f>
        <v>35.460999999999999</v>
      </c>
      <c r="I255" s="10">
        <f>35.4589 * CHOOSE(CONTROL!$C$9, $D$9, 100%, $F$9) + CHOOSE(CONTROL!$C$27, 0.0021, 0)</f>
        <v>35.460999999999999</v>
      </c>
      <c r="J255" s="10">
        <f>35.4589 * CHOOSE(CONTROL!$C$9, $D$9, 100%, $F$9) + CHOOSE(CONTROL!$C$27, 0.0021, 0)</f>
        <v>35.460999999999999</v>
      </c>
      <c r="K255" s="10">
        <f>35.4589 * CHOOSE(CONTROL!$C$9, $D$9, 100%, $F$9) + CHOOSE(CONTROL!$C$27, 0.0021, 0)</f>
        <v>35.460999999999999</v>
      </c>
      <c r="L255" s="10"/>
    </row>
    <row r="256" spans="1:12" ht="15">
      <c r="A256" s="16">
        <v>49065</v>
      </c>
      <c r="B256" s="10">
        <f>36.5967 * CHOOSE(CONTROL!$C$9, $D$9, 100%, $F$9) + CHOOSE(CONTROL!$C$27, 0.0021, 0)</f>
        <v>36.598799999999997</v>
      </c>
      <c r="C256" s="10">
        <f>36.1645 * CHOOSE(CONTROL!$C$9, $D$9, 100%, $F$9) + CHOOSE(CONTROL!$C$27, 0.0021, 0)</f>
        <v>36.166599999999995</v>
      </c>
      <c r="D256" s="10">
        <f>36.1645 * CHOOSE(CONTROL!$C$9, $D$9, 100%, $F$9) + CHOOSE(CONTROL!$C$27, 0.0021, 0)</f>
        <v>36.166599999999995</v>
      </c>
      <c r="E256" s="10">
        <f>36.0278 * CHOOSE(CONTROL!$C$9, $D$9, 100%, $F$9) + CHOOSE(CONTROL!$C$27, 0.0021, 0)</f>
        <v>36.029899999999998</v>
      </c>
      <c r="F256" s="10">
        <f>36.0278 * CHOOSE(CONTROL!$C$9, $D$9, 100%, $F$9) + CHOOSE(CONTROL!$C$27, 0.0021, 0)</f>
        <v>36.029899999999998</v>
      </c>
      <c r="G256" s="10">
        <f>36.2992 * CHOOSE(CONTROL!$C$9, $D$9, 100%, $F$9) + CHOOSE(CONTROL!$C$27, 0.0021, 0)</f>
        <v>36.301299999999998</v>
      </c>
      <c r="H256" s="10">
        <f>36.1645 * CHOOSE(CONTROL!$C$9, $D$9, 100%, $F$9) + CHOOSE(CONTROL!$C$27, 0.0021, 0)</f>
        <v>36.166599999999995</v>
      </c>
      <c r="I256" s="10">
        <f>36.1645 * CHOOSE(CONTROL!$C$9, $D$9, 100%, $F$9) + CHOOSE(CONTROL!$C$27, 0.0021, 0)</f>
        <v>36.166599999999995</v>
      </c>
      <c r="J256" s="10">
        <f>36.1645 * CHOOSE(CONTROL!$C$9, $D$9, 100%, $F$9) + CHOOSE(CONTROL!$C$27, 0.0021, 0)</f>
        <v>36.166599999999995</v>
      </c>
      <c r="K256" s="10">
        <f>36.1645 * CHOOSE(CONTROL!$C$9, $D$9, 100%, $F$9) + CHOOSE(CONTROL!$C$27, 0.0021, 0)</f>
        <v>36.166599999999995</v>
      </c>
      <c r="L256" s="10"/>
    </row>
    <row r="257" spans="1:12" ht="15">
      <c r="A257" s="16">
        <v>49096</v>
      </c>
      <c r="B257" s="10">
        <f>37.0194 * CHOOSE(CONTROL!$C$9, $D$9, 100%, $F$9) + CHOOSE(CONTROL!$C$27, 0.0021, 0)</f>
        <v>37.021499999999996</v>
      </c>
      <c r="C257" s="10">
        <f>36.5871 * CHOOSE(CONTROL!$C$9, $D$9, 100%, $F$9) + CHOOSE(CONTROL!$C$27, 0.0021, 0)</f>
        <v>36.589199999999998</v>
      </c>
      <c r="D257" s="10">
        <f>36.5871 * CHOOSE(CONTROL!$C$9, $D$9, 100%, $F$9) + CHOOSE(CONTROL!$C$27, 0.0021, 0)</f>
        <v>36.589199999999998</v>
      </c>
      <c r="E257" s="10">
        <f>36.4505 * CHOOSE(CONTROL!$C$9, $D$9, 100%, $F$9) + CHOOSE(CONTROL!$C$27, 0.0021, 0)</f>
        <v>36.452599999999997</v>
      </c>
      <c r="F257" s="10">
        <f>36.4505 * CHOOSE(CONTROL!$C$9, $D$9, 100%, $F$9) + CHOOSE(CONTROL!$C$27, 0.0021, 0)</f>
        <v>36.452599999999997</v>
      </c>
      <c r="G257" s="10">
        <f>36.7218 * CHOOSE(CONTROL!$C$9, $D$9, 100%, $F$9) + CHOOSE(CONTROL!$C$27, 0.0021, 0)</f>
        <v>36.7239</v>
      </c>
      <c r="H257" s="10">
        <f>36.5871 * CHOOSE(CONTROL!$C$9, $D$9, 100%, $F$9) + CHOOSE(CONTROL!$C$27, 0.0021, 0)</f>
        <v>36.589199999999998</v>
      </c>
      <c r="I257" s="10">
        <f>36.5871 * CHOOSE(CONTROL!$C$9, $D$9, 100%, $F$9) + CHOOSE(CONTROL!$C$27, 0.0021, 0)</f>
        <v>36.589199999999998</v>
      </c>
      <c r="J257" s="10">
        <f>36.5871 * CHOOSE(CONTROL!$C$9, $D$9, 100%, $F$9) + CHOOSE(CONTROL!$C$27, 0.0021, 0)</f>
        <v>36.589199999999998</v>
      </c>
      <c r="K257" s="10">
        <f>36.5871 * CHOOSE(CONTROL!$C$9, $D$9, 100%, $F$9) + CHOOSE(CONTROL!$C$27, 0.0021, 0)</f>
        <v>36.589199999999998</v>
      </c>
      <c r="L257" s="10"/>
    </row>
    <row r="258" spans="1:12" ht="15">
      <c r="A258" s="16">
        <v>49126</v>
      </c>
      <c r="B258" s="10">
        <f>37.7165 * CHOOSE(CONTROL!$C$9, $D$9, 100%, $F$9) + CHOOSE(CONTROL!$C$27, 0.0021, 0)</f>
        <v>37.718600000000002</v>
      </c>
      <c r="C258" s="10">
        <f>37.2843 * CHOOSE(CONTROL!$C$9, $D$9, 100%, $F$9) + CHOOSE(CONTROL!$C$27, 0.0021, 0)</f>
        <v>37.2864</v>
      </c>
      <c r="D258" s="10">
        <f>37.2843 * CHOOSE(CONTROL!$C$9, $D$9, 100%, $F$9) + CHOOSE(CONTROL!$C$27, 0.0021, 0)</f>
        <v>37.2864</v>
      </c>
      <c r="E258" s="10">
        <f>37.1476 * CHOOSE(CONTROL!$C$9, $D$9, 100%, $F$9) + CHOOSE(CONTROL!$C$27, 0.0021, 0)</f>
        <v>37.149699999999996</v>
      </c>
      <c r="F258" s="10">
        <f>37.1476 * CHOOSE(CONTROL!$C$9, $D$9, 100%, $F$9) + CHOOSE(CONTROL!$C$27, 0.0021, 0)</f>
        <v>37.149699999999996</v>
      </c>
      <c r="G258" s="10">
        <f>37.419 * CHOOSE(CONTROL!$C$9, $D$9, 100%, $F$9) + CHOOSE(CONTROL!$C$27, 0.0021, 0)</f>
        <v>37.421099999999996</v>
      </c>
      <c r="H258" s="10">
        <f>37.2843 * CHOOSE(CONTROL!$C$9, $D$9, 100%, $F$9) + CHOOSE(CONTROL!$C$27, 0.0021, 0)</f>
        <v>37.2864</v>
      </c>
      <c r="I258" s="10">
        <f>37.2843 * CHOOSE(CONTROL!$C$9, $D$9, 100%, $F$9) + CHOOSE(CONTROL!$C$27, 0.0021, 0)</f>
        <v>37.2864</v>
      </c>
      <c r="J258" s="10">
        <f>37.2843 * CHOOSE(CONTROL!$C$9, $D$9, 100%, $F$9) + CHOOSE(CONTROL!$C$27, 0.0021, 0)</f>
        <v>37.2864</v>
      </c>
      <c r="K258" s="10">
        <f>37.2843 * CHOOSE(CONTROL!$C$9, $D$9, 100%, $F$9) + CHOOSE(CONTROL!$C$27, 0.0021, 0)</f>
        <v>37.2864</v>
      </c>
      <c r="L258" s="10"/>
    </row>
    <row r="259" spans="1:12" ht="15">
      <c r="A259" s="16">
        <v>49157</v>
      </c>
      <c r="B259" s="10">
        <f>37.9293 * CHOOSE(CONTROL!$C$9, $D$9, 100%, $F$9) + CHOOSE(CONTROL!$C$27, 0.0021, 0)</f>
        <v>37.931399999999996</v>
      </c>
      <c r="C259" s="10">
        <f>37.4971 * CHOOSE(CONTROL!$C$9, $D$9, 100%, $F$9) + CHOOSE(CONTROL!$C$27, 0.0021, 0)</f>
        <v>37.499200000000002</v>
      </c>
      <c r="D259" s="10">
        <f>37.4971 * CHOOSE(CONTROL!$C$9, $D$9, 100%, $F$9) + CHOOSE(CONTROL!$C$27, 0.0021, 0)</f>
        <v>37.499200000000002</v>
      </c>
      <c r="E259" s="10">
        <f>37.3604 * CHOOSE(CONTROL!$C$9, $D$9, 100%, $F$9) + CHOOSE(CONTROL!$C$27, 0.0021, 0)</f>
        <v>37.362499999999997</v>
      </c>
      <c r="F259" s="10">
        <f>37.3604 * CHOOSE(CONTROL!$C$9, $D$9, 100%, $F$9) + CHOOSE(CONTROL!$C$27, 0.0021, 0)</f>
        <v>37.362499999999997</v>
      </c>
      <c r="G259" s="10">
        <f>37.6318 * CHOOSE(CONTROL!$C$9, $D$9, 100%, $F$9) + CHOOSE(CONTROL!$C$27, 0.0021, 0)</f>
        <v>37.633899999999997</v>
      </c>
      <c r="H259" s="10">
        <f>37.4971 * CHOOSE(CONTROL!$C$9, $D$9, 100%, $F$9) + CHOOSE(CONTROL!$C$27, 0.0021, 0)</f>
        <v>37.499200000000002</v>
      </c>
      <c r="I259" s="10">
        <f>37.4971 * CHOOSE(CONTROL!$C$9, $D$9, 100%, $F$9) + CHOOSE(CONTROL!$C$27, 0.0021, 0)</f>
        <v>37.499200000000002</v>
      </c>
      <c r="J259" s="10">
        <f>37.4971 * CHOOSE(CONTROL!$C$9, $D$9, 100%, $F$9) + CHOOSE(CONTROL!$C$27, 0.0021, 0)</f>
        <v>37.499200000000002</v>
      </c>
      <c r="K259" s="10">
        <f>37.4971 * CHOOSE(CONTROL!$C$9, $D$9, 100%, $F$9) + CHOOSE(CONTROL!$C$27, 0.0021, 0)</f>
        <v>37.499200000000002</v>
      </c>
      <c r="L259" s="10"/>
    </row>
    <row r="260" spans="1:12" ht="15">
      <c r="A260" s="16">
        <v>49188</v>
      </c>
      <c r="B260" s="10">
        <f>38.654 * CHOOSE(CONTROL!$C$9, $D$9, 100%, $F$9) + CHOOSE(CONTROL!$C$27, 0.0021, 0)</f>
        <v>38.656100000000002</v>
      </c>
      <c r="C260" s="10">
        <f>38.2218 * CHOOSE(CONTROL!$C$9, $D$9, 100%, $F$9) + CHOOSE(CONTROL!$C$27, 0.0021, 0)</f>
        <v>38.2239</v>
      </c>
      <c r="D260" s="10">
        <f>38.2218 * CHOOSE(CONTROL!$C$9, $D$9, 100%, $F$9) + CHOOSE(CONTROL!$C$27, 0.0021, 0)</f>
        <v>38.2239</v>
      </c>
      <c r="E260" s="10">
        <f>38.0851 * CHOOSE(CONTROL!$C$9, $D$9, 100%, $F$9) + CHOOSE(CONTROL!$C$27, 0.0021, 0)</f>
        <v>38.087199999999996</v>
      </c>
      <c r="F260" s="10">
        <f>38.0851 * CHOOSE(CONTROL!$C$9, $D$9, 100%, $F$9) + CHOOSE(CONTROL!$C$27, 0.0021, 0)</f>
        <v>38.087199999999996</v>
      </c>
      <c r="G260" s="10">
        <f>38.3565 * CHOOSE(CONTROL!$C$9, $D$9, 100%, $F$9) + CHOOSE(CONTROL!$C$27, 0.0021, 0)</f>
        <v>38.358599999999996</v>
      </c>
      <c r="H260" s="10">
        <f>38.2218 * CHOOSE(CONTROL!$C$9, $D$9, 100%, $F$9) + CHOOSE(CONTROL!$C$27, 0.0021, 0)</f>
        <v>38.2239</v>
      </c>
      <c r="I260" s="10">
        <f>38.2218 * CHOOSE(CONTROL!$C$9, $D$9, 100%, $F$9) + CHOOSE(CONTROL!$C$27, 0.0021, 0)</f>
        <v>38.2239</v>
      </c>
      <c r="J260" s="10">
        <f>38.2218 * CHOOSE(CONTROL!$C$9, $D$9, 100%, $F$9) + CHOOSE(CONTROL!$C$27, 0.0021, 0)</f>
        <v>38.2239</v>
      </c>
      <c r="K260" s="10">
        <f>38.2218 * CHOOSE(CONTROL!$C$9, $D$9, 100%, $F$9) + CHOOSE(CONTROL!$C$27, 0.0021, 0)</f>
        <v>38.2239</v>
      </c>
      <c r="L260" s="10"/>
    </row>
    <row r="261" spans="1:12" ht="15">
      <c r="A261" s="16">
        <v>49218</v>
      </c>
      <c r="B261" s="10">
        <f>39.5713 * CHOOSE(CONTROL!$C$9, $D$9, 100%, $F$9) + CHOOSE(CONTROL!$C$27, 0.0021, 0)</f>
        <v>39.573399999999999</v>
      </c>
      <c r="C261" s="10">
        <f>39.1391 * CHOOSE(CONTROL!$C$9, $D$9, 100%, $F$9) + CHOOSE(CONTROL!$C$27, 0.0021, 0)</f>
        <v>39.141199999999998</v>
      </c>
      <c r="D261" s="10">
        <f>39.1391 * CHOOSE(CONTROL!$C$9, $D$9, 100%, $F$9) + CHOOSE(CONTROL!$C$27, 0.0021, 0)</f>
        <v>39.141199999999998</v>
      </c>
      <c r="E261" s="10">
        <f>39.0024 * CHOOSE(CONTROL!$C$9, $D$9, 100%, $F$9) + CHOOSE(CONTROL!$C$27, 0.0021, 0)</f>
        <v>39.0045</v>
      </c>
      <c r="F261" s="10">
        <f>39.0024 * CHOOSE(CONTROL!$C$9, $D$9, 100%, $F$9) + CHOOSE(CONTROL!$C$27, 0.0021, 0)</f>
        <v>39.0045</v>
      </c>
      <c r="G261" s="10">
        <f>39.2738 * CHOOSE(CONTROL!$C$9, $D$9, 100%, $F$9) + CHOOSE(CONTROL!$C$27, 0.0021, 0)</f>
        <v>39.2759</v>
      </c>
      <c r="H261" s="10">
        <f>39.1391 * CHOOSE(CONTROL!$C$9, $D$9, 100%, $F$9) + CHOOSE(CONTROL!$C$27, 0.0021, 0)</f>
        <v>39.141199999999998</v>
      </c>
      <c r="I261" s="10">
        <f>39.1391 * CHOOSE(CONTROL!$C$9, $D$9, 100%, $F$9) + CHOOSE(CONTROL!$C$27, 0.0021, 0)</f>
        <v>39.141199999999998</v>
      </c>
      <c r="J261" s="10">
        <f>39.1391 * CHOOSE(CONTROL!$C$9, $D$9, 100%, $F$9) + CHOOSE(CONTROL!$C$27, 0.0021, 0)</f>
        <v>39.141199999999998</v>
      </c>
      <c r="K261" s="10">
        <f>39.1391 * CHOOSE(CONTROL!$C$9, $D$9, 100%, $F$9) + CHOOSE(CONTROL!$C$27, 0.0021, 0)</f>
        <v>39.141199999999998</v>
      </c>
      <c r="L261" s="10"/>
    </row>
    <row r="262" spans="1:12" ht="15">
      <c r="A262" s="16">
        <v>49249</v>
      </c>
      <c r="B262" s="10">
        <f>39.6574 * CHOOSE(CONTROL!$C$9, $D$9, 100%, $F$9) + CHOOSE(CONTROL!$C$27, 0.0021, 0)</f>
        <v>39.659500000000001</v>
      </c>
      <c r="C262" s="10">
        <f>39.2252 * CHOOSE(CONTROL!$C$9, $D$9, 100%, $F$9) + CHOOSE(CONTROL!$C$27, 0.0021, 0)</f>
        <v>39.2273</v>
      </c>
      <c r="D262" s="10">
        <f>39.2252 * CHOOSE(CONTROL!$C$9, $D$9, 100%, $F$9) + CHOOSE(CONTROL!$C$27, 0.0021, 0)</f>
        <v>39.2273</v>
      </c>
      <c r="E262" s="10">
        <f>39.0885 * CHOOSE(CONTROL!$C$9, $D$9, 100%, $F$9) + CHOOSE(CONTROL!$C$27, 0.0021, 0)</f>
        <v>39.090600000000002</v>
      </c>
      <c r="F262" s="10">
        <f>39.0885 * CHOOSE(CONTROL!$C$9, $D$9, 100%, $F$9) + CHOOSE(CONTROL!$C$27, 0.0021, 0)</f>
        <v>39.090600000000002</v>
      </c>
      <c r="G262" s="10">
        <f>39.3599 * CHOOSE(CONTROL!$C$9, $D$9, 100%, $F$9) + CHOOSE(CONTROL!$C$27, 0.0021, 0)</f>
        <v>39.362000000000002</v>
      </c>
      <c r="H262" s="10">
        <f>39.2252 * CHOOSE(CONTROL!$C$9, $D$9, 100%, $F$9) + CHOOSE(CONTROL!$C$27, 0.0021, 0)</f>
        <v>39.2273</v>
      </c>
      <c r="I262" s="10">
        <f>39.2252 * CHOOSE(CONTROL!$C$9, $D$9, 100%, $F$9) + CHOOSE(CONTROL!$C$27, 0.0021, 0)</f>
        <v>39.2273</v>
      </c>
      <c r="J262" s="10">
        <f>39.2252 * CHOOSE(CONTROL!$C$9, $D$9, 100%, $F$9) + CHOOSE(CONTROL!$C$27, 0.0021, 0)</f>
        <v>39.2273</v>
      </c>
      <c r="K262" s="10">
        <f>39.2252 * CHOOSE(CONTROL!$C$9, $D$9, 100%, $F$9) + CHOOSE(CONTROL!$C$27, 0.0021, 0)</f>
        <v>39.2273</v>
      </c>
      <c r="L262" s="10"/>
    </row>
    <row r="263" spans="1:12" ht="15">
      <c r="A263" s="16">
        <v>49279</v>
      </c>
      <c r="B263" s="10">
        <f>38.9248 * CHOOSE(CONTROL!$C$9, $D$9, 100%, $F$9) + CHOOSE(CONTROL!$C$27, 0.0021, 0)</f>
        <v>38.926899999999996</v>
      </c>
      <c r="C263" s="10">
        <f>38.4926 * CHOOSE(CONTROL!$C$9, $D$9, 100%, $F$9) + CHOOSE(CONTROL!$C$27, 0.0021, 0)</f>
        <v>38.494700000000002</v>
      </c>
      <c r="D263" s="10">
        <f>38.4926 * CHOOSE(CONTROL!$C$9, $D$9, 100%, $F$9) + CHOOSE(CONTROL!$C$27, 0.0021, 0)</f>
        <v>38.494700000000002</v>
      </c>
      <c r="E263" s="10">
        <f>38.3559 * CHOOSE(CONTROL!$C$9, $D$9, 100%, $F$9) + CHOOSE(CONTROL!$C$27, 0.0021, 0)</f>
        <v>38.357999999999997</v>
      </c>
      <c r="F263" s="10">
        <f>38.3559 * CHOOSE(CONTROL!$C$9, $D$9, 100%, $F$9) + CHOOSE(CONTROL!$C$27, 0.0021, 0)</f>
        <v>38.357999999999997</v>
      </c>
      <c r="G263" s="10">
        <f>38.6273 * CHOOSE(CONTROL!$C$9, $D$9, 100%, $F$9) + CHOOSE(CONTROL!$C$27, 0.0021, 0)</f>
        <v>38.629399999999997</v>
      </c>
      <c r="H263" s="10">
        <f>38.4926 * CHOOSE(CONTROL!$C$9, $D$9, 100%, $F$9) + CHOOSE(CONTROL!$C$27, 0.0021, 0)</f>
        <v>38.494700000000002</v>
      </c>
      <c r="I263" s="10">
        <f>38.4926 * CHOOSE(CONTROL!$C$9, $D$9, 100%, $F$9) + CHOOSE(CONTROL!$C$27, 0.0021, 0)</f>
        <v>38.494700000000002</v>
      </c>
      <c r="J263" s="10">
        <f>38.4926 * CHOOSE(CONTROL!$C$9, $D$9, 100%, $F$9) + CHOOSE(CONTROL!$C$27, 0.0021, 0)</f>
        <v>38.494700000000002</v>
      </c>
      <c r="K263" s="10">
        <f>38.4926 * CHOOSE(CONTROL!$C$9, $D$9, 100%, $F$9) + CHOOSE(CONTROL!$C$27, 0.0021, 0)</f>
        <v>38.494700000000002</v>
      </c>
      <c r="L263" s="10"/>
    </row>
    <row r="264" spans="1:12" ht="15">
      <c r="A264" s="16">
        <v>49310</v>
      </c>
      <c r="B264" s="10">
        <f>38.3639 * CHOOSE(CONTROL!$C$9, $D$9, 100%, $F$9) + CHOOSE(CONTROL!$C$27, 0.0021, 0)</f>
        <v>38.366</v>
      </c>
      <c r="C264" s="10">
        <f>37.9316 * CHOOSE(CONTROL!$C$9, $D$9, 100%, $F$9) + CHOOSE(CONTROL!$C$27, 0.0021, 0)</f>
        <v>37.933700000000002</v>
      </c>
      <c r="D264" s="10">
        <f>37.9316 * CHOOSE(CONTROL!$C$9, $D$9, 100%, $F$9) + CHOOSE(CONTROL!$C$27, 0.0021, 0)</f>
        <v>37.933700000000002</v>
      </c>
      <c r="E264" s="10">
        <f>37.795 * CHOOSE(CONTROL!$C$9, $D$9, 100%, $F$9) + CHOOSE(CONTROL!$C$27, 0.0021, 0)</f>
        <v>37.7971</v>
      </c>
      <c r="F264" s="10">
        <f>37.795 * CHOOSE(CONTROL!$C$9, $D$9, 100%, $F$9) + CHOOSE(CONTROL!$C$27, 0.0021, 0)</f>
        <v>37.7971</v>
      </c>
      <c r="G264" s="10">
        <f>38.0663 * CHOOSE(CONTROL!$C$9, $D$9, 100%, $F$9) + CHOOSE(CONTROL!$C$27, 0.0021, 0)</f>
        <v>38.068399999999997</v>
      </c>
      <c r="H264" s="10">
        <f>37.9316 * CHOOSE(CONTROL!$C$9, $D$9, 100%, $F$9) + CHOOSE(CONTROL!$C$27, 0.0021, 0)</f>
        <v>37.933700000000002</v>
      </c>
      <c r="I264" s="10">
        <f>37.9316 * CHOOSE(CONTROL!$C$9, $D$9, 100%, $F$9) + CHOOSE(CONTROL!$C$27, 0.0021, 0)</f>
        <v>37.933700000000002</v>
      </c>
      <c r="J264" s="10">
        <f>37.9316 * CHOOSE(CONTROL!$C$9, $D$9, 100%, $F$9) + CHOOSE(CONTROL!$C$27, 0.0021, 0)</f>
        <v>37.933700000000002</v>
      </c>
      <c r="K264" s="10">
        <f>37.9316 * CHOOSE(CONTROL!$C$9, $D$9, 100%, $F$9) + CHOOSE(CONTROL!$C$27, 0.0021, 0)</f>
        <v>37.933700000000002</v>
      </c>
      <c r="L264" s="10"/>
    </row>
    <row r="265" spans="1:12" ht="15">
      <c r="A265" s="16">
        <v>49341</v>
      </c>
      <c r="B265" s="10">
        <f>37.3436 * CHOOSE(CONTROL!$C$9, $D$9, 100%, $F$9) + CHOOSE(CONTROL!$C$27, 0.0021, 0)</f>
        <v>37.345700000000001</v>
      </c>
      <c r="C265" s="10">
        <f>36.9113 * CHOOSE(CONTROL!$C$9, $D$9, 100%, $F$9) + CHOOSE(CONTROL!$C$27, 0.0021, 0)</f>
        <v>36.913399999999996</v>
      </c>
      <c r="D265" s="10">
        <f>36.9113 * CHOOSE(CONTROL!$C$9, $D$9, 100%, $F$9) + CHOOSE(CONTROL!$C$27, 0.0021, 0)</f>
        <v>36.913399999999996</v>
      </c>
      <c r="E265" s="10">
        <f>36.7747 * CHOOSE(CONTROL!$C$9, $D$9, 100%, $F$9) + CHOOSE(CONTROL!$C$27, 0.0021, 0)</f>
        <v>36.776800000000001</v>
      </c>
      <c r="F265" s="10">
        <f>36.7747 * CHOOSE(CONTROL!$C$9, $D$9, 100%, $F$9) + CHOOSE(CONTROL!$C$27, 0.0021, 0)</f>
        <v>36.776800000000001</v>
      </c>
      <c r="G265" s="10">
        <f>37.046 * CHOOSE(CONTROL!$C$9, $D$9, 100%, $F$9) + CHOOSE(CONTROL!$C$27, 0.0021, 0)</f>
        <v>37.048099999999998</v>
      </c>
      <c r="H265" s="10">
        <f>36.9113 * CHOOSE(CONTROL!$C$9, $D$9, 100%, $F$9) + CHOOSE(CONTROL!$C$27, 0.0021, 0)</f>
        <v>36.913399999999996</v>
      </c>
      <c r="I265" s="10">
        <f>36.9113 * CHOOSE(CONTROL!$C$9, $D$9, 100%, $F$9) + CHOOSE(CONTROL!$C$27, 0.0021, 0)</f>
        <v>36.913399999999996</v>
      </c>
      <c r="J265" s="10">
        <f>36.9113 * CHOOSE(CONTROL!$C$9, $D$9, 100%, $F$9) + CHOOSE(CONTROL!$C$27, 0.0021, 0)</f>
        <v>36.913399999999996</v>
      </c>
      <c r="K265" s="10">
        <f>36.9113 * CHOOSE(CONTROL!$C$9, $D$9, 100%, $F$9) + CHOOSE(CONTROL!$C$27, 0.0021, 0)</f>
        <v>36.913399999999996</v>
      </c>
      <c r="L265" s="10"/>
    </row>
    <row r="266" spans="1:12" ht="15">
      <c r="A266" s="16">
        <v>49369</v>
      </c>
      <c r="B266" s="10">
        <f>36.9224 * CHOOSE(CONTROL!$C$9, $D$9, 100%, $F$9) + CHOOSE(CONTROL!$C$27, 0.0021, 0)</f>
        <v>36.924500000000002</v>
      </c>
      <c r="C266" s="10">
        <f>36.4901 * CHOOSE(CONTROL!$C$9, $D$9, 100%, $F$9) + CHOOSE(CONTROL!$C$27, 0.0021, 0)</f>
        <v>36.492199999999997</v>
      </c>
      <c r="D266" s="10">
        <f>36.4901 * CHOOSE(CONTROL!$C$9, $D$9, 100%, $F$9) + CHOOSE(CONTROL!$C$27, 0.0021, 0)</f>
        <v>36.492199999999997</v>
      </c>
      <c r="E266" s="10">
        <f>36.3535 * CHOOSE(CONTROL!$C$9, $D$9, 100%, $F$9) + CHOOSE(CONTROL!$C$27, 0.0021, 0)</f>
        <v>36.355599999999995</v>
      </c>
      <c r="F266" s="10">
        <f>36.3535 * CHOOSE(CONTROL!$C$9, $D$9, 100%, $F$9) + CHOOSE(CONTROL!$C$27, 0.0021, 0)</f>
        <v>36.355599999999995</v>
      </c>
      <c r="G266" s="10">
        <f>36.6249 * CHOOSE(CONTROL!$C$9, $D$9, 100%, $F$9) + CHOOSE(CONTROL!$C$27, 0.0021, 0)</f>
        <v>36.626999999999995</v>
      </c>
      <c r="H266" s="10">
        <f>36.4901 * CHOOSE(CONTROL!$C$9, $D$9, 100%, $F$9) + CHOOSE(CONTROL!$C$27, 0.0021, 0)</f>
        <v>36.492199999999997</v>
      </c>
      <c r="I266" s="10">
        <f>36.4901 * CHOOSE(CONTROL!$C$9, $D$9, 100%, $F$9) + CHOOSE(CONTROL!$C$27, 0.0021, 0)</f>
        <v>36.492199999999997</v>
      </c>
      <c r="J266" s="10">
        <f>36.4901 * CHOOSE(CONTROL!$C$9, $D$9, 100%, $F$9) + CHOOSE(CONTROL!$C$27, 0.0021, 0)</f>
        <v>36.492199999999997</v>
      </c>
      <c r="K266" s="10">
        <f>36.4901 * CHOOSE(CONTROL!$C$9, $D$9, 100%, $F$9) + CHOOSE(CONTROL!$C$27, 0.0021, 0)</f>
        <v>36.492199999999997</v>
      </c>
      <c r="L266" s="10"/>
    </row>
    <row r="267" spans="1:12" ht="15">
      <c r="A267" s="16">
        <v>49400</v>
      </c>
      <c r="B267" s="10">
        <f>36.4195 * CHOOSE(CONTROL!$C$9, $D$9, 100%, $F$9) + CHOOSE(CONTROL!$C$27, 0.0021, 0)</f>
        <v>36.421599999999998</v>
      </c>
      <c r="C267" s="10">
        <f>35.9872 * CHOOSE(CONTROL!$C$9, $D$9, 100%, $F$9) + CHOOSE(CONTROL!$C$27, 0.0021, 0)</f>
        <v>35.9893</v>
      </c>
      <c r="D267" s="10">
        <f>35.9872 * CHOOSE(CONTROL!$C$9, $D$9, 100%, $F$9) + CHOOSE(CONTROL!$C$27, 0.0021, 0)</f>
        <v>35.9893</v>
      </c>
      <c r="E267" s="10">
        <f>35.8506 * CHOOSE(CONTROL!$C$9, $D$9, 100%, $F$9) + CHOOSE(CONTROL!$C$27, 0.0021, 0)</f>
        <v>35.852699999999999</v>
      </c>
      <c r="F267" s="10">
        <f>35.8506 * CHOOSE(CONTROL!$C$9, $D$9, 100%, $F$9) + CHOOSE(CONTROL!$C$27, 0.0021, 0)</f>
        <v>35.852699999999999</v>
      </c>
      <c r="G267" s="10">
        <f>36.122 * CHOOSE(CONTROL!$C$9, $D$9, 100%, $F$9) + CHOOSE(CONTROL!$C$27, 0.0021, 0)</f>
        <v>36.124099999999999</v>
      </c>
      <c r="H267" s="10">
        <f>35.9872 * CHOOSE(CONTROL!$C$9, $D$9, 100%, $F$9) + CHOOSE(CONTROL!$C$27, 0.0021, 0)</f>
        <v>35.9893</v>
      </c>
      <c r="I267" s="10">
        <f>35.9872 * CHOOSE(CONTROL!$C$9, $D$9, 100%, $F$9) + CHOOSE(CONTROL!$C$27, 0.0021, 0)</f>
        <v>35.9893</v>
      </c>
      <c r="J267" s="10">
        <f>35.9872 * CHOOSE(CONTROL!$C$9, $D$9, 100%, $F$9) + CHOOSE(CONTROL!$C$27, 0.0021, 0)</f>
        <v>35.9893</v>
      </c>
      <c r="K267" s="10">
        <f>35.9872 * CHOOSE(CONTROL!$C$9, $D$9, 100%, $F$9) + CHOOSE(CONTROL!$C$27, 0.0021, 0)</f>
        <v>35.9893</v>
      </c>
      <c r="L267" s="10"/>
    </row>
    <row r="268" spans="1:12" ht="15">
      <c r="A268" s="16">
        <v>49430</v>
      </c>
      <c r="B268" s="10">
        <f>37.1362 * CHOOSE(CONTROL!$C$9, $D$9, 100%, $F$9) + CHOOSE(CONTROL!$C$27, 0.0021, 0)</f>
        <v>37.138300000000001</v>
      </c>
      <c r="C268" s="10">
        <f>36.7039 * CHOOSE(CONTROL!$C$9, $D$9, 100%, $F$9) + CHOOSE(CONTROL!$C$27, 0.0021, 0)</f>
        <v>36.705999999999996</v>
      </c>
      <c r="D268" s="10">
        <f>36.7039 * CHOOSE(CONTROL!$C$9, $D$9, 100%, $F$9) + CHOOSE(CONTROL!$C$27, 0.0021, 0)</f>
        <v>36.705999999999996</v>
      </c>
      <c r="E268" s="10">
        <f>36.5673 * CHOOSE(CONTROL!$C$9, $D$9, 100%, $F$9) + CHOOSE(CONTROL!$C$27, 0.0021, 0)</f>
        <v>36.569400000000002</v>
      </c>
      <c r="F268" s="10">
        <f>36.5673 * CHOOSE(CONTROL!$C$9, $D$9, 100%, $F$9) + CHOOSE(CONTROL!$C$27, 0.0021, 0)</f>
        <v>36.569400000000002</v>
      </c>
      <c r="G268" s="10">
        <f>36.8387 * CHOOSE(CONTROL!$C$9, $D$9, 100%, $F$9) + CHOOSE(CONTROL!$C$27, 0.0021, 0)</f>
        <v>36.840800000000002</v>
      </c>
      <c r="H268" s="10">
        <f>36.7039 * CHOOSE(CONTROL!$C$9, $D$9, 100%, $F$9) + CHOOSE(CONTROL!$C$27, 0.0021, 0)</f>
        <v>36.705999999999996</v>
      </c>
      <c r="I268" s="10">
        <f>36.7039 * CHOOSE(CONTROL!$C$9, $D$9, 100%, $F$9) + CHOOSE(CONTROL!$C$27, 0.0021, 0)</f>
        <v>36.705999999999996</v>
      </c>
      <c r="J268" s="10">
        <f>36.7039 * CHOOSE(CONTROL!$C$9, $D$9, 100%, $F$9) + CHOOSE(CONTROL!$C$27, 0.0021, 0)</f>
        <v>36.705999999999996</v>
      </c>
      <c r="K268" s="10">
        <f>36.7039 * CHOOSE(CONTROL!$C$9, $D$9, 100%, $F$9) + CHOOSE(CONTROL!$C$27, 0.0021, 0)</f>
        <v>36.705999999999996</v>
      </c>
      <c r="L268" s="10"/>
    </row>
    <row r="269" spans="1:12" ht="15">
      <c r="A269" s="15">
        <v>49461</v>
      </c>
      <c r="B269" s="10">
        <f>37.5654 * CHOOSE(CONTROL!$C$9, $D$9, 100%, $F$9) + CHOOSE(CONTROL!$C$27, 0.0021, 0)</f>
        <v>37.567499999999995</v>
      </c>
      <c r="C269" s="10">
        <f>37.1332 * CHOOSE(CONTROL!$C$9, $D$9, 100%, $F$9) + CHOOSE(CONTROL!$C$27, 0.0021, 0)</f>
        <v>37.135300000000001</v>
      </c>
      <c r="D269" s="10">
        <f>37.1332 * CHOOSE(CONTROL!$C$9, $D$9, 100%, $F$9) + CHOOSE(CONTROL!$C$27, 0.0021, 0)</f>
        <v>37.135300000000001</v>
      </c>
      <c r="E269" s="10">
        <f>36.9965 * CHOOSE(CONTROL!$C$9, $D$9, 100%, $F$9) + CHOOSE(CONTROL!$C$27, 0.0021, 0)</f>
        <v>36.998599999999996</v>
      </c>
      <c r="F269" s="10">
        <f>36.9965 * CHOOSE(CONTROL!$C$9, $D$9, 100%, $F$9) + CHOOSE(CONTROL!$C$27, 0.0021, 0)</f>
        <v>36.998599999999996</v>
      </c>
      <c r="G269" s="10">
        <f>37.2679 * CHOOSE(CONTROL!$C$9, $D$9, 100%, $F$9) + CHOOSE(CONTROL!$C$27, 0.0021, 0)</f>
        <v>37.269999999999996</v>
      </c>
      <c r="H269" s="10">
        <f>37.1332 * CHOOSE(CONTROL!$C$9, $D$9, 100%, $F$9) + CHOOSE(CONTROL!$C$27, 0.0021, 0)</f>
        <v>37.135300000000001</v>
      </c>
      <c r="I269" s="10">
        <f>37.1332 * CHOOSE(CONTROL!$C$9, $D$9, 100%, $F$9) + CHOOSE(CONTROL!$C$27, 0.0021, 0)</f>
        <v>37.135300000000001</v>
      </c>
      <c r="J269" s="10">
        <f>37.1332 * CHOOSE(CONTROL!$C$9, $D$9, 100%, $F$9) + CHOOSE(CONTROL!$C$27, 0.0021, 0)</f>
        <v>37.135300000000001</v>
      </c>
      <c r="K269" s="10">
        <f>37.1332 * CHOOSE(CONTROL!$C$9, $D$9, 100%, $F$9) + CHOOSE(CONTROL!$C$27, 0.0021, 0)</f>
        <v>37.135300000000001</v>
      </c>
      <c r="L269" s="10"/>
    </row>
    <row r="270" spans="1:12" ht="15">
      <c r="A270" s="15">
        <v>49491</v>
      </c>
      <c r="B270" s="10">
        <f>38.2736 * CHOOSE(CONTROL!$C$9, $D$9, 100%, $F$9) + CHOOSE(CONTROL!$C$27, 0.0021, 0)</f>
        <v>38.275700000000001</v>
      </c>
      <c r="C270" s="10">
        <f>37.8413 * CHOOSE(CONTROL!$C$9, $D$9, 100%, $F$9) + CHOOSE(CONTROL!$C$27, 0.0021, 0)</f>
        <v>37.843399999999995</v>
      </c>
      <c r="D270" s="10">
        <f>37.8413 * CHOOSE(CONTROL!$C$9, $D$9, 100%, $F$9) + CHOOSE(CONTROL!$C$27, 0.0021, 0)</f>
        <v>37.843399999999995</v>
      </c>
      <c r="E270" s="10">
        <f>37.7047 * CHOOSE(CONTROL!$C$9, $D$9, 100%, $F$9) + CHOOSE(CONTROL!$C$27, 0.0021, 0)</f>
        <v>37.706800000000001</v>
      </c>
      <c r="F270" s="10">
        <f>37.7047 * CHOOSE(CONTROL!$C$9, $D$9, 100%, $F$9) + CHOOSE(CONTROL!$C$27, 0.0021, 0)</f>
        <v>37.706800000000001</v>
      </c>
      <c r="G270" s="10">
        <f>37.976 * CHOOSE(CONTROL!$C$9, $D$9, 100%, $F$9) + CHOOSE(CONTROL!$C$27, 0.0021, 0)</f>
        <v>37.978099999999998</v>
      </c>
      <c r="H270" s="10">
        <f>37.8413 * CHOOSE(CONTROL!$C$9, $D$9, 100%, $F$9) + CHOOSE(CONTROL!$C$27, 0.0021, 0)</f>
        <v>37.843399999999995</v>
      </c>
      <c r="I270" s="10">
        <f>37.8413 * CHOOSE(CONTROL!$C$9, $D$9, 100%, $F$9) + CHOOSE(CONTROL!$C$27, 0.0021, 0)</f>
        <v>37.843399999999995</v>
      </c>
      <c r="J270" s="10">
        <f>37.8413 * CHOOSE(CONTROL!$C$9, $D$9, 100%, $F$9) + CHOOSE(CONTROL!$C$27, 0.0021, 0)</f>
        <v>37.843399999999995</v>
      </c>
      <c r="K270" s="10">
        <f>37.8413 * CHOOSE(CONTROL!$C$9, $D$9, 100%, $F$9) + CHOOSE(CONTROL!$C$27, 0.0021, 0)</f>
        <v>37.843399999999995</v>
      </c>
      <c r="L270" s="10"/>
    </row>
    <row r="271" spans="1:12" ht="15">
      <c r="A271" s="15">
        <v>49522</v>
      </c>
      <c r="B271" s="10">
        <f>38.4897 * CHOOSE(CONTROL!$C$9, $D$9, 100%, $F$9) + CHOOSE(CONTROL!$C$27, 0.0021, 0)</f>
        <v>38.491799999999998</v>
      </c>
      <c r="C271" s="10">
        <f>38.0575 * CHOOSE(CONTROL!$C$9, $D$9, 100%, $F$9) + CHOOSE(CONTROL!$C$27, 0.0021, 0)</f>
        <v>38.059599999999996</v>
      </c>
      <c r="D271" s="10">
        <f>38.0575 * CHOOSE(CONTROL!$C$9, $D$9, 100%, $F$9) + CHOOSE(CONTROL!$C$27, 0.0021, 0)</f>
        <v>38.059599999999996</v>
      </c>
      <c r="E271" s="10">
        <f>37.9208 * CHOOSE(CONTROL!$C$9, $D$9, 100%, $F$9) + CHOOSE(CONTROL!$C$27, 0.0021, 0)</f>
        <v>37.922899999999998</v>
      </c>
      <c r="F271" s="10">
        <f>37.9208 * CHOOSE(CONTROL!$C$9, $D$9, 100%, $F$9) + CHOOSE(CONTROL!$C$27, 0.0021, 0)</f>
        <v>37.922899999999998</v>
      </c>
      <c r="G271" s="10">
        <f>38.1922 * CHOOSE(CONTROL!$C$9, $D$9, 100%, $F$9) + CHOOSE(CONTROL!$C$27, 0.0021, 0)</f>
        <v>38.194299999999998</v>
      </c>
      <c r="H271" s="10">
        <f>38.0575 * CHOOSE(CONTROL!$C$9, $D$9, 100%, $F$9) + CHOOSE(CONTROL!$C$27, 0.0021, 0)</f>
        <v>38.059599999999996</v>
      </c>
      <c r="I271" s="10">
        <f>38.0575 * CHOOSE(CONTROL!$C$9, $D$9, 100%, $F$9) + CHOOSE(CONTROL!$C$27, 0.0021, 0)</f>
        <v>38.059599999999996</v>
      </c>
      <c r="J271" s="10">
        <f>38.0575 * CHOOSE(CONTROL!$C$9, $D$9, 100%, $F$9) + CHOOSE(CONTROL!$C$27, 0.0021, 0)</f>
        <v>38.059599999999996</v>
      </c>
      <c r="K271" s="10">
        <f>38.0575 * CHOOSE(CONTROL!$C$9, $D$9, 100%, $F$9) + CHOOSE(CONTROL!$C$27, 0.0021, 0)</f>
        <v>38.059599999999996</v>
      </c>
      <c r="L271" s="10"/>
    </row>
    <row r="272" spans="1:12" ht="15">
      <c r="A272" s="15">
        <v>49553</v>
      </c>
      <c r="B272" s="10">
        <f>39.2258 * CHOOSE(CONTROL!$C$9, $D$9, 100%, $F$9) + CHOOSE(CONTROL!$C$27, 0.0021, 0)</f>
        <v>39.227899999999998</v>
      </c>
      <c r="C272" s="10">
        <f>38.7935 * CHOOSE(CONTROL!$C$9, $D$9, 100%, $F$9) + CHOOSE(CONTROL!$C$27, 0.0021, 0)</f>
        <v>38.7956</v>
      </c>
      <c r="D272" s="10">
        <f>38.7935 * CHOOSE(CONTROL!$C$9, $D$9, 100%, $F$9) + CHOOSE(CONTROL!$C$27, 0.0021, 0)</f>
        <v>38.7956</v>
      </c>
      <c r="E272" s="10">
        <f>38.6569 * CHOOSE(CONTROL!$C$9, $D$9, 100%, $F$9) + CHOOSE(CONTROL!$C$27, 0.0021, 0)</f>
        <v>38.658999999999999</v>
      </c>
      <c r="F272" s="10">
        <f>38.6569 * CHOOSE(CONTROL!$C$9, $D$9, 100%, $F$9) + CHOOSE(CONTROL!$C$27, 0.0021, 0)</f>
        <v>38.658999999999999</v>
      </c>
      <c r="G272" s="10">
        <f>38.9283 * CHOOSE(CONTROL!$C$9, $D$9, 100%, $F$9) + CHOOSE(CONTROL!$C$27, 0.0021, 0)</f>
        <v>38.930399999999999</v>
      </c>
      <c r="H272" s="10">
        <f>38.7935 * CHOOSE(CONTROL!$C$9, $D$9, 100%, $F$9) + CHOOSE(CONTROL!$C$27, 0.0021, 0)</f>
        <v>38.7956</v>
      </c>
      <c r="I272" s="10">
        <f>38.7935 * CHOOSE(CONTROL!$C$9, $D$9, 100%, $F$9) + CHOOSE(CONTROL!$C$27, 0.0021, 0)</f>
        <v>38.7956</v>
      </c>
      <c r="J272" s="10">
        <f>38.7935 * CHOOSE(CONTROL!$C$9, $D$9, 100%, $F$9) + CHOOSE(CONTROL!$C$27, 0.0021, 0)</f>
        <v>38.7956</v>
      </c>
      <c r="K272" s="10">
        <f>38.7935 * CHOOSE(CONTROL!$C$9, $D$9, 100%, $F$9) + CHOOSE(CONTROL!$C$27, 0.0021, 0)</f>
        <v>38.7956</v>
      </c>
      <c r="L272" s="10"/>
    </row>
    <row r="273" spans="1:12" ht="15">
      <c r="A273" s="15">
        <v>49583</v>
      </c>
      <c r="B273" s="10">
        <f>40.1575 * CHOOSE(CONTROL!$C$9, $D$9, 100%, $F$9) + CHOOSE(CONTROL!$C$27, 0.0021, 0)</f>
        <v>40.159599999999998</v>
      </c>
      <c r="C273" s="10">
        <f>39.7253 * CHOOSE(CONTROL!$C$9, $D$9, 100%, $F$9) + CHOOSE(CONTROL!$C$27, 0.0021, 0)</f>
        <v>39.727399999999996</v>
      </c>
      <c r="D273" s="10">
        <f>39.7253 * CHOOSE(CONTROL!$C$9, $D$9, 100%, $F$9) + CHOOSE(CONTROL!$C$27, 0.0021, 0)</f>
        <v>39.727399999999996</v>
      </c>
      <c r="E273" s="10">
        <f>39.5886 * CHOOSE(CONTROL!$C$9, $D$9, 100%, $F$9) + CHOOSE(CONTROL!$C$27, 0.0021, 0)</f>
        <v>39.590699999999998</v>
      </c>
      <c r="F273" s="10">
        <f>39.5886 * CHOOSE(CONTROL!$C$9, $D$9, 100%, $F$9) + CHOOSE(CONTROL!$C$27, 0.0021, 0)</f>
        <v>39.590699999999998</v>
      </c>
      <c r="G273" s="10">
        <f>39.86 * CHOOSE(CONTROL!$C$9, $D$9, 100%, $F$9) + CHOOSE(CONTROL!$C$27, 0.0021, 0)</f>
        <v>39.862099999999998</v>
      </c>
      <c r="H273" s="10">
        <f>39.7253 * CHOOSE(CONTROL!$C$9, $D$9, 100%, $F$9) + CHOOSE(CONTROL!$C$27, 0.0021, 0)</f>
        <v>39.727399999999996</v>
      </c>
      <c r="I273" s="10">
        <f>39.7253 * CHOOSE(CONTROL!$C$9, $D$9, 100%, $F$9) + CHOOSE(CONTROL!$C$27, 0.0021, 0)</f>
        <v>39.727399999999996</v>
      </c>
      <c r="J273" s="10">
        <f>39.7253 * CHOOSE(CONTROL!$C$9, $D$9, 100%, $F$9) + CHOOSE(CONTROL!$C$27, 0.0021, 0)</f>
        <v>39.727399999999996</v>
      </c>
      <c r="K273" s="10">
        <f>39.7253 * CHOOSE(CONTROL!$C$9, $D$9, 100%, $F$9) + CHOOSE(CONTROL!$C$27, 0.0021, 0)</f>
        <v>39.727399999999996</v>
      </c>
      <c r="L273" s="10"/>
    </row>
    <row r="274" spans="1:12" ht="15">
      <c r="A274" s="15">
        <v>49614</v>
      </c>
      <c r="B274" s="10">
        <f>40.245 * CHOOSE(CONTROL!$C$9, $D$9, 100%, $F$9) + CHOOSE(CONTROL!$C$27, 0.0021, 0)</f>
        <v>40.247099999999996</v>
      </c>
      <c r="C274" s="10">
        <f>39.8128 * CHOOSE(CONTROL!$C$9, $D$9, 100%, $F$9) + CHOOSE(CONTROL!$C$27, 0.0021, 0)</f>
        <v>39.814900000000002</v>
      </c>
      <c r="D274" s="10">
        <f>39.8128 * CHOOSE(CONTROL!$C$9, $D$9, 100%, $F$9) + CHOOSE(CONTROL!$C$27, 0.0021, 0)</f>
        <v>39.814900000000002</v>
      </c>
      <c r="E274" s="10">
        <f>39.6761 * CHOOSE(CONTROL!$C$9, $D$9, 100%, $F$9) + CHOOSE(CONTROL!$C$27, 0.0021, 0)</f>
        <v>39.678199999999997</v>
      </c>
      <c r="F274" s="10">
        <f>39.6761 * CHOOSE(CONTROL!$C$9, $D$9, 100%, $F$9) + CHOOSE(CONTROL!$C$27, 0.0021, 0)</f>
        <v>39.678199999999997</v>
      </c>
      <c r="G274" s="10">
        <f>39.9475 * CHOOSE(CONTROL!$C$9, $D$9, 100%, $F$9) + CHOOSE(CONTROL!$C$27, 0.0021, 0)</f>
        <v>39.949599999999997</v>
      </c>
      <c r="H274" s="10">
        <f>39.8128 * CHOOSE(CONTROL!$C$9, $D$9, 100%, $F$9) + CHOOSE(CONTROL!$C$27, 0.0021, 0)</f>
        <v>39.814900000000002</v>
      </c>
      <c r="I274" s="10">
        <f>39.8128 * CHOOSE(CONTROL!$C$9, $D$9, 100%, $F$9) + CHOOSE(CONTROL!$C$27, 0.0021, 0)</f>
        <v>39.814900000000002</v>
      </c>
      <c r="J274" s="10">
        <f>39.8128 * CHOOSE(CONTROL!$C$9, $D$9, 100%, $F$9) + CHOOSE(CONTROL!$C$27, 0.0021, 0)</f>
        <v>39.814900000000002</v>
      </c>
      <c r="K274" s="10">
        <f>39.8128 * CHOOSE(CONTROL!$C$9, $D$9, 100%, $F$9) + CHOOSE(CONTROL!$C$27, 0.0021, 0)</f>
        <v>39.814900000000002</v>
      </c>
      <c r="L274" s="10"/>
    </row>
    <row r="275" spans="1:12" ht="15">
      <c r="A275" s="15">
        <v>49644</v>
      </c>
      <c r="B275" s="10">
        <f>39.5008 * CHOOSE(CONTROL!$C$9, $D$9, 100%, $F$9) + CHOOSE(CONTROL!$C$27, 0.0021, 0)</f>
        <v>39.502899999999997</v>
      </c>
      <c r="C275" s="10">
        <f>39.0686 * CHOOSE(CONTROL!$C$9, $D$9, 100%, $F$9) + CHOOSE(CONTROL!$C$27, 0.0021, 0)</f>
        <v>39.070700000000002</v>
      </c>
      <c r="D275" s="10">
        <f>39.0686 * CHOOSE(CONTROL!$C$9, $D$9, 100%, $F$9) + CHOOSE(CONTROL!$C$27, 0.0021, 0)</f>
        <v>39.070700000000002</v>
      </c>
      <c r="E275" s="10">
        <f>38.9319 * CHOOSE(CONTROL!$C$9, $D$9, 100%, $F$9) + CHOOSE(CONTROL!$C$27, 0.0021, 0)</f>
        <v>38.933999999999997</v>
      </c>
      <c r="F275" s="10">
        <f>38.9319 * CHOOSE(CONTROL!$C$9, $D$9, 100%, $F$9) + CHOOSE(CONTROL!$C$27, 0.0021, 0)</f>
        <v>38.933999999999997</v>
      </c>
      <c r="G275" s="10">
        <f>39.2033 * CHOOSE(CONTROL!$C$9, $D$9, 100%, $F$9) + CHOOSE(CONTROL!$C$27, 0.0021, 0)</f>
        <v>39.205399999999997</v>
      </c>
      <c r="H275" s="10">
        <f>39.0686 * CHOOSE(CONTROL!$C$9, $D$9, 100%, $F$9) + CHOOSE(CONTROL!$C$27, 0.0021, 0)</f>
        <v>39.070700000000002</v>
      </c>
      <c r="I275" s="10">
        <f>39.0686 * CHOOSE(CONTROL!$C$9, $D$9, 100%, $F$9) + CHOOSE(CONTROL!$C$27, 0.0021, 0)</f>
        <v>39.070700000000002</v>
      </c>
      <c r="J275" s="10">
        <f>39.0686 * CHOOSE(CONTROL!$C$9, $D$9, 100%, $F$9) + CHOOSE(CONTROL!$C$27, 0.0021, 0)</f>
        <v>39.070700000000002</v>
      </c>
      <c r="K275" s="10">
        <f>39.0686 * CHOOSE(CONTROL!$C$9, $D$9, 100%, $F$9) + CHOOSE(CONTROL!$C$27, 0.0021, 0)</f>
        <v>39.070700000000002</v>
      </c>
      <c r="L275" s="10"/>
    </row>
    <row r="276" spans="1:12" ht="15">
      <c r="A276" s="15">
        <v>49675</v>
      </c>
      <c r="B276" s="10">
        <f>38.9311 * CHOOSE(CONTROL!$C$9, $D$9, 100%, $F$9) + CHOOSE(CONTROL!$C$27, 0.0021, 0)</f>
        <v>38.933199999999999</v>
      </c>
      <c r="C276" s="10">
        <f>38.4988 * CHOOSE(CONTROL!$C$9, $D$9, 100%, $F$9) + CHOOSE(CONTROL!$C$27, 0.0021, 0)</f>
        <v>38.500900000000001</v>
      </c>
      <c r="D276" s="10">
        <f>38.4988 * CHOOSE(CONTROL!$C$9, $D$9, 100%, $F$9) + CHOOSE(CONTROL!$C$27, 0.0021, 0)</f>
        <v>38.500900000000001</v>
      </c>
      <c r="E276" s="10">
        <f>38.3622 * CHOOSE(CONTROL!$C$9, $D$9, 100%, $F$9) + CHOOSE(CONTROL!$C$27, 0.0021, 0)</f>
        <v>38.3643</v>
      </c>
      <c r="F276" s="10">
        <f>38.3622 * CHOOSE(CONTROL!$C$9, $D$9, 100%, $F$9) + CHOOSE(CONTROL!$C$27, 0.0021, 0)</f>
        <v>38.3643</v>
      </c>
      <c r="G276" s="10">
        <f>38.6336 * CHOOSE(CONTROL!$C$9, $D$9, 100%, $F$9) + CHOOSE(CONTROL!$C$27, 0.0021, 0)</f>
        <v>38.6357</v>
      </c>
      <c r="H276" s="10">
        <f>38.4988 * CHOOSE(CONTROL!$C$9, $D$9, 100%, $F$9) + CHOOSE(CONTROL!$C$27, 0.0021, 0)</f>
        <v>38.500900000000001</v>
      </c>
      <c r="I276" s="10">
        <f>38.4988 * CHOOSE(CONTROL!$C$9, $D$9, 100%, $F$9) + CHOOSE(CONTROL!$C$27, 0.0021, 0)</f>
        <v>38.500900000000001</v>
      </c>
      <c r="J276" s="10">
        <f>38.4988 * CHOOSE(CONTROL!$C$9, $D$9, 100%, $F$9) + CHOOSE(CONTROL!$C$27, 0.0021, 0)</f>
        <v>38.500900000000001</v>
      </c>
      <c r="K276" s="10">
        <f>38.4988 * CHOOSE(CONTROL!$C$9, $D$9, 100%, $F$9) + CHOOSE(CONTROL!$C$27, 0.0021, 0)</f>
        <v>38.500900000000001</v>
      </c>
      <c r="L276" s="10"/>
    </row>
    <row r="277" spans="1:12" ht="15">
      <c r="A277" s="15">
        <v>49706</v>
      </c>
      <c r="B277" s="10">
        <f>37.8947 * CHOOSE(CONTROL!$C$9, $D$9, 100%, $F$9) + CHOOSE(CONTROL!$C$27, 0.0021, 0)</f>
        <v>37.896799999999999</v>
      </c>
      <c r="C277" s="10">
        <f>37.4625 * CHOOSE(CONTROL!$C$9, $D$9, 100%, $F$9) + CHOOSE(CONTROL!$C$27, 0.0021, 0)</f>
        <v>37.464599999999997</v>
      </c>
      <c r="D277" s="10">
        <f>37.4625 * CHOOSE(CONTROL!$C$9, $D$9, 100%, $F$9) + CHOOSE(CONTROL!$C$27, 0.0021, 0)</f>
        <v>37.464599999999997</v>
      </c>
      <c r="E277" s="10">
        <f>37.3258 * CHOOSE(CONTROL!$C$9, $D$9, 100%, $F$9) + CHOOSE(CONTROL!$C$27, 0.0021, 0)</f>
        <v>37.3279</v>
      </c>
      <c r="F277" s="10">
        <f>37.3258 * CHOOSE(CONTROL!$C$9, $D$9, 100%, $F$9) + CHOOSE(CONTROL!$C$27, 0.0021, 0)</f>
        <v>37.3279</v>
      </c>
      <c r="G277" s="10">
        <f>37.5972 * CHOOSE(CONTROL!$C$9, $D$9, 100%, $F$9) + CHOOSE(CONTROL!$C$27, 0.0021, 0)</f>
        <v>37.599299999999999</v>
      </c>
      <c r="H277" s="10">
        <f>37.4625 * CHOOSE(CONTROL!$C$9, $D$9, 100%, $F$9) + CHOOSE(CONTROL!$C$27, 0.0021, 0)</f>
        <v>37.464599999999997</v>
      </c>
      <c r="I277" s="10">
        <f>37.4625 * CHOOSE(CONTROL!$C$9, $D$9, 100%, $F$9) + CHOOSE(CONTROL!$C$27, 0.0021, 0)</f>
        <v>37.464599999999997</v>
      </c>
      <c r="J277" s="10">
        <f>37.4625 * CHOOSE(CONTROL!$C$9, $D$9, 100%, $F$9) + CHOOSE(CONTROL!$C$27, 0.0021, 0)</f>
        <v>37.464599999999997</v>
      </c>
      <c r="K277" s="10">
        <f>37.4625 * CHOOSE(CONTROL!$C$9, $D$9, 100%, $F$9) + CHOOSE(CONTROL!$C$27, 0.0021, 0)</f>
        <v>37.464599999999997</v>
      </c>
      <c r="L277" s="10"/>
    </row>
    <row r="278" spans="1:12" ht="15">
      <c r="A278" s="15">
        <v>49735</v>
      </c>
      <c r="B278" s="10">
        <f>37.4669 * CHOOSE(CONTROL!$C$9, $D$9, 100%, $F$9) + CHOOSE(CONTROL!$C$27, 0.0021, 0)</f>
        <v>37.469000000000001</v>
      </c>
      <c r="C278" s="10">
        <f>37.0347 * CHOOSE(CONTROL!$C$9, $D$9, 100%, $F$9) + CHOOSE(CONTROL!$C$27, 0.0021, 0)</f>
        <v>37.036799999999999</v>
      </c>
      <c r="D278" s="10">
        <f>37.0347 * CHOOSE(CONTROL!$C$9, $D$9, 100%, $F$9) + CHOOSE(CONTROL!$C$27, 0.0021, 0)</f>
        <v>37.036799999999999</v>
      </c>
      <c r="E278" s="10">
        <f>36.898 * CHOOSE(CONTROL!$C$9, $D$9, 100%, $F$9) + CHOOSE(CONTROL!$C$27, 0.0021, 0)</f>
        <v>36.900100000000002</v>
      </c>
      <c r="F278" s="10">
        <f>36.898 * CHOOSE(CONTROL!$C$9, $D$9, 100%, $F$9) + CHOOSE(CONTROL!$C$27, 0.0021, 0)</f>
        <v>36.900100000000002</v>
      </c>
      <c r="G278" s="10">
        <f>37.1694 * CHOOSE(CONTROL!$C$9, $D$9, 100%, $F$9) + CHOOSE(CONTROL!$C$27, 0.0021, 0)</f>
        <v>37.171500000000002</v>
      </c>
      <c r="H278" s="10">
        <f>37.0347 * CHOOSE(CONTROL!$C$9, $D$9, 100%, $F$9) + CHOOSE(CONTROL!$C$27, 0.0021, 0)</f>
        <v>37.036799999999999</v>
      </c>
      <c r="I278" s="10">
        <f>37.0347 * CHOOSE(CONTROL!$C$9, $D$9, 100%, $F$9) + CHOOSE(CONTROL!$C$27, 0.0021, 0)</f>
        <v>37.036799999999999</v>
      </c>
      <c r="J278" s="10">
        <f>37.0347 * CHOOSE(CONTROL!$C$9, $D$9, 100%, $F$9) + CHOOSE(CONTROL!$C$27, 0.0021, 0)</f>
        <v>37.036799999999999</v>
      </c>
      <c r="K278" s="10">
        <f>37.0347 * CHOOSE(CONTROL!$C$9, $D$9, 100%, $F$9) + CHOOSE(CONTROL!$C$27, 0.0021, 0)</f>
        <v>37.036799999999999</v>
      </c>
      <c r="L278" s="10"/>
    </row>
    <row r="279" spans="1:12" ht="15">
      <c r="A279" s="15">
        <v>49766</v>
      </c>
      <c r="B279" s="10">
        <f>36.9561 * CHOOSE(CONTROL!$C$9, $D$9, 100%, $F$9) + CHOOSE(CONTROL!$C$27, 0.0021, 0)</f>
        <v>36.958199999999998</v>
      </c>
      <c r="C279" s="10">
        <f>36.5239 * CHOOSE(CONTROL!$C$9, $D$9, 100%, $F$9) + CHOOSE(CONTROL!$C$27, 0.0021, 0)</f>
        <v>36.525999999999996</v>
      </c>
      <c r="D279" s="10">
        <f>36.5239 * CHOOSE(CONTROL!$C$9, $D$9, 100%, $F$9) + CHOOSE(CONTROL!$C$27, 0.0021, 0)</f>
        <v>36.525999999999996</v>
      </c>
      <c r="E279" s="10">
        <f>36.3872 * CHOOSE(CONTROL!$C$9, $D$9, 100%, $F$9) + CHOOSE(CONTROL!$C$27, 0.0021, 0)</f>
        <v>36.389299999999999</v>
      </c>
      <c r="F279" s="10">
        <f>36.3872 * CHOOSE(CONTROL!$C$9, $D$9, 100%, $F$9) + CHOOSE(CONTROL!$C$27, 0.0021, 0)</f>
        <v>36.389299999999999</v>
      </c>
      <c r="G279" s="10">
        <f>36.6586 * CHOOSE(CONTROL!$C$9, $D$9, 100%, $F$9) + CHOOSE(CONTROL!$C$27, 0.0021, 0)</f>
        <v>36.660699999999999</v>
      </c>
      <c r="H279" s="10">
        <f>36.5239 * CHOOSE(CONTROL!$C$9, $D$9, 100%, $F$9) + CHOOSE(CONTROL!$C$27, 0.0021, 0)</f>
        <v>36.525999999999996</v>
      </c>
      <c r="I279" s="10">
        <f>36.5239 * CHOOSE(CONTROL!$C$9, $D$9, 100%, $F$9) + CHOOSE(CONTROL!$C$27, 0.0021, 0)</f>
        <v>36.525999999999996</v>
      </c>
      <c r="J279" s="10">
        <f>36.5239 * CHOOSE(CONTROL!$C$9, $D$9, 100%, $F$9) + CHOOSE(CONTROL!$C$27, 0.0021, 0)</f>
        <v>36.525999999999996</v>
      </c>
      <c r="K279" s="10">
        <f>36.5239 * CHOOSE(CONTROL!$C$9, $D$9, 100%, $F$9) + CHOOSE(CONTROL!$C$27, 0.0021, 0)</f>
        <v>36.525999999999996</v>
      </c>
      <c r="L279" s="10"/>
    </row>
    <row r="280" spans="1:12" ht="15">
      <c r="A280" s="15">
        <v>49796</v>
      </c>
      <c r="B280" s="10">
        <f>37.6841 * CHOOSE(CONTROL!$C$9, $D$9, 100%, $F$9) + CHOOSE(CONTROL!$C$27, 0.0021, 0)</f>
        <v>37.686199999999999</v>
      </c>
      <c r="C280" s="10">
        <f>37.2519 * CHOOSE(CONTROL!$C$9, $D$9, 100%, $F$9) + CHOOSE(CONTROL!$C$27, 0.0021, 0)</f>
        <v>37.253999999999998</v>
      </c>
      <c r="D280" s="10">
        <f>37.2519 * CHOOSE(CONTROL!$C$9, $D$9, 100%, $F$9) + CHOOSE(CONTROL!$C$27, 0.0021, 0)</f>
        <v>37.253999999999998</v>
      </c>
      <c r="E280" s="10">
        <f>37.1152 * CHOOSE(CONTROL!$C$9, $D$9, 100%, $F$9) + CHOOSE(CONTROL!$C$27, 0.0021, 0)</f>
        <v>37.1173</v>
      </c>
      <c r="F280" s="10">
        <f>37.1152 * CHOOSE(CONTROL!$C$9, $D$9, 100%, $F$9) + CHOOSE(CONTROL!$C$27, 0.0021, 0)</f>
        <v>37.1173</v>
      </c>
      <c r="G280" s="10">
        <f>37.3866 * CHOOSE(CONTROL!$C$9, $D$9, 100%, $F$9) + CHOOSE(CONTROL!$C$27, 0.0021, 0)</f>
        <v>37.3887</v>
      </c>
      <c r="H280" s="10">
        <f>37.2519 * CHOOSE(CONTROL!$C$9, $D$9, 100%, $F$9) + CHOOSE(CONTROL!$C$27, 0.0021, 0)</f>
        <v>37.253999999999998</v>
      </c>
      <c r="I280" s="10">
        <f>37.2519 * CHOOSE(CONTROL!$C$9, $D$9, 100%, $F$9) + CHOOSE(CONTROL!$C$27, 0.0021, 0)</f>
        <v>37.253999999999998</v>
      </c>
      <c r="J280" s="10">
        <f>37.2519 * CHOOSE(CONTROL!$C$9, $D$9, 100%, $F$9) + CHOOSE(CONTROL!$C$27, 0.0021, 0)</f>
        <v>37.253999999999998</v>
      </c>
      <c r="K280" s="10">
        <f>37.2519 * CHOOSE(CONTROL!$C$9, $D$9, 100%, $F$9) + CHOOSE(CONTROL!$C$27, 0.0021, 0)</f>
        <v>37.253999999999998</v>
      </c>
      <c r="L280" s="10"/>
    </row>
    <row r="281" spans="1:12" ht="15">
      <c r="A281" s="15">
        <v>49827</v>
      </c>
      <c r="B281" s="10">
        <f>38.1201 * CHOOSE(CONTROL!$C$9, $D$9, 100%, $F$9) + CHOOSE(CONTROL!$C$27, 0.0021, 0)</f>
        <v>38.122199999999999</v>
      </c>
      <c r="C281" s="10">
        <f>37.6879 * CHOOSE(CONTROL!$C$9, $D$9, 100%, $F$9) + CHOOSE(CONTROL!$C$27, 0.0021, 0)</f>
        <v>37.69</v>
      </c>
      <c r="D281" s="10">
        <f>37.6879 * CHOOSE(CONTROL!$C$9, $D$9, 100%, $F$9) + CHOOSE(CONTROL!$C$27, 0.0021, 0)</f>
        <v>37.69</v>
      </c>
      <c r="E281" s="10">
        <f>37.5512 * CHOOSE(CONTROL!$C$9, $D$9, 100%, $F$9) + CHOOSE(CONTROL!$C$27, 0.0021, 0)</f>
        <v>37.5533</v>
      </c>
      <c r="F281" s="10">
        <f>37.5512 * CHOOSE(CONTROL!$C$9, $D$9, 100%, $F$9) + CHOOSE(CONTROL!$C$27, 0.0021, 0)</f>
        <v>37.5533</v>
      </c>
      <c r="G281" s="10">
        <f>37.8226 * CHOOSE(CONTROL!$C$9, $D$9, 100%, $F$9) + CHOOSE(CONTROL!$C$27, 0.0021, 0)</f>
        <v>37.8247</v>
      </c>
      <c r="H281" s="10">
        <f>37.6879 * CHOOSE(CONTROL!$C$9, $D$9, 100%, $F$9) + CHOOSE(CONTROL!$C$27, 0.0021, 0)</f>
        <v>37.69</v>
      </c>
      <c r="I281" s="10">
        <f>37.6879 * CHOOSE(CONTROL!$C$9, $D$9, 100%, $F$9) + CHOOSE(CONTROL!$C$27, 0.0021, 0)</f>
        <v>37.69</v>
      </c>
      <c r="J281" s="10">
        <f>37.6879 * CHOOSE(CONTROL!$C$9, $D$9, 100%, $F$9) + CHOOSE(CONTROL!$C$27, 0.0021, 0)</f>
        <v>37.69</v>
      </c>
      <c r="K281" s="10">
        <f>37.6879 * CHOOSE(CONTROL!$C$9, $D$9, 100%, $F$9) + CHOOSE(CONTROL!$C$27, 0.0021, 0)</f>
        <v>37.69</v>
      </c>
      <c r="L281" s="10"/>
    </row>
    <row r="282" spans="1:12" ht="15">
      <c r="A282" s="15">
        <v>49857</v>
      </c>
      <c r="B282" s="10">
        <f>38.8394 * CHOOSE(CONTROL!$C$9, $D$9, 100%, $F$9) + CHOOSE(CONTROL!$C$27, 0.0021, 0)</f>
        <v>38.841499999999996</v>
      </c>
      <c r="C282" s="10">
        <f>38.4071 * CHOOSE(CONTROL!$C$9, $D$9, 100%, $F$9) + CHOOSE(CONTROL!$C$27, 0.0021, 0)</f>
        <v>38.409199999999998</v>
      </c>
      <c r="D282" s="10">
        <f>38.4071 * CHOOSE(CONTROL!$C$9, $D$9, 100%, $F$9) + CHOOSE(CONTROL!$C$27, 0.0021, 0)</f>
        <v>38.409199999999998</v>
      </c>
      <c r="E282" s="10">
        <f>38.2705 * CHOOSE(CONTROL!$C$9, $D$9, 100%, $F$9) + CHOOSE(CONTROL!$C$27, 0.0021, 0)</f>
        <v>38.272599999999997</v>
      </c>
      <c r="F282" s="10">
        <f>38.2705 * CHOOSE(CONTROL!$C$9, $D$9, 100%, $F$9) + CHOOSE(CONTROL!$C$27, 0.0021, 0)</f>
        <v>38.272599999999997</v>
      </c>
      <c r="G282" s="10">
        <f>38.5419 * CHOOSE(CONTROL!$C$9, $D$9, 100%, $F$9) + CHOOSE(CONTROL!$C$27, 0.0021, 0)</f>
        <v>38.543999999999997</v>
      </c>
      <c r="H282" s="10">
        <f>38.4071 * CHOOSE(CONTROL!$C$9, $D$9, 100%, $F$9) + CHOOSE(CONTROL!$C$27, 0.0021, 0)</f>
        <v>38.409199999999998</v>
      </c>
      <c r="I282" s="10">
        <f>38.4071 * CHOOSE(CONTROL!$C$9, $D$9, 100%, $F$9) + CHOOSE(CONTROL!$C$27, 0.0021, 0)</f>
        <v>38.409199999999998</v>
      </c>
      <c r="J282" s="10">
        <f>38.4071 * CHOOSE(CONTROL!$C$9, $D$9, 100%, $F$9) + CHOOSE(CONTROL!$C$27, 0.0021, 0)</f>
        <v>38.409199999999998</v>
      </c>
      <c r="K282" s="10">
        <f>38.4071 * CHOOSE(CONTROL!$C$9, $D$9, 100%, $F$9) + CHOOSE(CONTROL!$C$27, 0.0021, 0)</f>
        <v>38.409199999999998</v>
      </c>
      <c r="L282" s="10"/>
    </row>
    <row r="283" spans="1:12" ht="15">
      <c r="A283" s="15">
        <v>49888</v>
      </c>
      <c r="B283" s="10">
        <f>39.0589 * CHOOSE(CONTROL!$C$9, $D$9, 100%, $F$9) + CHOOSE(CONTROL!$C$27, 0.0021, 0)</f>
        <v>39.061</v>
      </c>
      <c r="C283" s="10">
        <f>38.6267 * CHOOSE(CONTROL!$C$9, $D$9, 100%, $F$9) + CHOOSE(CONTROL!$C$27, 0.0021, 0)</f>
        <v>38.628799999999998</v>
      </c>
      <c r="D283" s="10">
        <f>38.6267 * CHOOSE(CONTROL!$C$9, $D$9, 100%, $F$9) + CHOOSE(CONTROL!$C$27, 0.0021, 0)</f>
        <v>38.628799999999998</v>
      </c>
      <c r="E283" s="10">
        <f>38.49 * CHOOSE(CONTROL!$C$9, $D$9, 100%, $F$9) + CHOOSE(CONTROL!$C$27, 0.0021, 0)</f>
        <v>38.492100000000001</v>
      </c>
      <c r="F283" s="10">
        <f>38.49 * CHOOSE(CONTROL!$C$9, $D$9, 100%, $F$9) + CHOOSE(CONTROL!$C$27, 0.0021, 0)</f>
        <v>38.492100000000001</v>
      </c>
      <c r="G283" s="10">
        <f>38.7614 * CHOOSE(CONTROL!$C$9, $D$9, 100%, $F$9) + CHOOSE(CONTROL!$C$27, 0.0021, 0)</f>
        <v>38.763500000000001</v>
      </c>
      <c r="H283" s="10">
        <f>38.6267 * CHOOSE(CONTROL!$C$9, $D$9, 100%, $F$9) + CHOOSE(CONTROL!$C$27, 0.0021, 0)</f>
        <v>38.628799999999998</v>
      </c>
      <c r="I283" s="10">
        <f>38.6267 * CHOOSE(CONTROL!$C$9, $D$9, 100%, $F$9) + CHOOSE(CONTROL!$C$27, 0.0021, 0)</f>
        <v>38.628799999999998</v>
      </c>
      <c r="J283" s="10">
        <f>38.6267 * CHOOSE(CONTROL!$C$9, $D$9, 100%, $F$9) + CHOOSE(CONTROL!$C$27, 0.0021, 0)</f>
        <v>38.628799999999998</v>
      </c>
      <c r="K283" s="10">
        <f>38.6267 * CHOOSE(CONTROL!$C$9, $D$9, 100%, $F$9) + CHOOSE(CONTROL!$C$27, 0.0021, 0)</f>
        <v>38.628799999999998</v>
      </c>
      <c r="L283" s="10"/>
    </row>
    <row r="284" spans="1:12" ht="15">
      <c r="A284" s="15">
        <v>49919</v>
      </c>
      <c r="B284" s="10">
        <f>39.8066 * CHOOSE(CONTROL!$C$9, $D$9, 100%, $F$9) + CHOOSE(CONTROL!$C$27, 0.0021, 0)</f>
        <v>39.808700000000002</v>
      </c>
      <c r="C284" s="10">
        <f>39.3743 * CHOOSE(CONTROL!$C$9, $D$9, 100%, $F$9) + CHOOSE(CONTROL!$C$27, 0.0021, 0)</f>
        <v>39.376399999999997</v>
      </c>
      <c r="D284" s="10">
        <f>39.3743 * CHOOSE(CONTROL!$C$9, $D$9, 100%, $F$9) + CHOOSE(CONTROL!$C$27, 0.0021, 0)</f>
        <v>39.376399999999997</v>
      </c>
      <c r="E284" s="10">
        <f>39.2377 * CHOOSE(CONTROL!$C$9, $D$9, 100%, $F$9) + CHOOSE(CONTROL!$C$27, 0.0021, 0)</f>
        <v>39.239799999999995</v>
      </c>
      <c r="F284" s="10">
        <f>39.2377 * CHOOSE(CONTROL!$C$9, $D$9, 100%, $F$9) + CHOOSE(CONTROL!$C$27, 0.0021, 0)</f>
        <v>39.239799999999995</v>
      </c>
      <c r="G284" s="10">
        <f>39.509 * CHOOSE(CONTROL!$C$9, $D$9, 100%, $F$9) + CHOOSE(CONTROL!$C$27, 0.0021, 0)</f>
        <v>39.511099999999999</v>
      </c>
      <c r="H284" s="10">
        <f>39.3743 * CHOOSE(CONTROL!$C$9, $D$9, 100%, $F$9) + CHOOSE(CONTROL!$C$27, 0.0021, 0)</f>
        <v>39.376399999999997</v>
      </c>
      <c r="I284" s="10">
        <f>39.3743 * CHOOSE(CONTROL!$C$9, $D$9, 100%, $F$9) + CHOOSE(CONTROL!$C$27, 0.0021, 0)</f>
        <v>39.376399999999997</v>
      </c>
      <c r="J284" s="10">
        <f>39.3743 * CHOOSE(CONTROL!$C$9, $D$9, 100%, $F$9) + CHOOSE(CONTROL!$C$27, 0.0021, 0)</f>
        <v>39.376399999999997</v>
      </c>
      <c r="K284" s="10">
        <f>39.3743 * CHOOSE(CONTROL!$C$9, $D$9, 100%, $F$9) + CHOOSE(CONTROL!$C$27, 0.0021, 0)</f>
        <v>39.376399999999997</v>
      </c>
      <c r="L284" s="10"/>
    </row>
    <row r="285" spans="1:12" ht="15">
      <c r="A285" s="15">
        <v>49949</v>
      </c>
      <c r="B285" s="10">
        <f>40.753 * CHOOSE(CONTROL!$C$9, $D$9, 100%, $F$9) + CHOOSE(CONTROL!$C$27, 0.0021, 0)</f>
        <v>40.755099999999999</v>
      </c>
      <c r="C285" s="10">
        <f>40.3207 * CHOOSE(CONTROL!$C$9, $D$9, 100%, $F$9) + CHOOSE(CONTROL!$C$27, 0.0021, 0)</f>
        <v>40.322800000000001</v>
      </c>
      <c r="D285" s="10">
        <f>40.3207 * CHOOSE(CONTROL!$C$9, $D$9, 100%, $F$9) + CHOOSE(CONTROL!$C$27, 0.0021, 0)</f>
        <v>40.322800000000001</v>
      </c>
      <c r="E285" s="10">
        <f>40.1841 * CHOOSE(CONTROL!$C$9, $D$9, 100%, $F$9) + CHOOSE(CONTROL!$C$27, 0.0021, 0)</f>
        <v>40.186199999999999</v>
      </c>
      <c r="F285" s="10">
        <f>40.1841 * CHOOSE(CONTROL!$C$9, $D$9, 100%, $F$9) + CHOOSE(CONTROL!$C$27, 0.0021, 0)</f>
        <v>40.186199999999999</v>
      </c>
      <c r="G285" s="10">
        <f>40.4554 * CHOOSE(CONTROL!$C$9, $D$9, 100%, $F$9) + CHOOSE(CONTROL!$C$27, 0.0021, 0)</f>
        <v>40.457499999999996</v>
      </c>
      <c r="H285" s="10">
        <f>40.3207 * CHOOSE(CONTROL!$C$9, $D$9, 100%, $F$9) + CHOOSE(CONTROL!$C$27, 0.0021, 0)</f>
        <v>40.322800000000001</v>
      </c>
      <c r="I285" s="10">
        <f>40.3207 * CHOOSE(CONTROL!$C$9, $D$9, 100%, $F$9) + CHOOSE(CONTROL!$C$27, 0.0021, 0)</f>
        <v>40.322800000000001</v>
      </c>
      <c r="J285" s="10">
        <f>40.3207 * CHOOSE(CONTROL!$C$9, $D$9, 100%, $F$9) + CHOOSE(CONTROL!$C$27, 0.0021, 0)</f>
        <v>40.322800000000001</v>
      </c>
      <c r="K285" s="10">
        <f>40.3207 * CHOOSE(CONTROL!$C$9, $D$9, 100%, $F$9) + CHOOSE(CONTROL!$C$27, 0.0021, 0)</f>
        <v>40.322800000000001</v>
      </c>
      <c r="L285" s="10"/>
    </row>
    <row r="286" spans="1:12" ht="15">
      <c r="A286" s="15">
        <v>49980</v>
      </c>
      <c r="B286" s="10">
        <f>40.8418 * CHOOSE(CONTROL!$C$9, $D$9, 100%, $F$9) + CHOOSE(CONTROL!$C$27, 0.0021, 0)</f>
        <v>40.843899999999998</v>
      </c>
      <c r="C286" s="10">
        <f>40.4096 * CHOOSE(CONTROL!$C$9, $D$9, 100%, $F$9) + CHOOSE(CONTROL!$C$27, 0.0021, 0)</f>
        <v>40.411699999999996</v>
      </c>
      <c r="D286" s="10">
        <f>40.4096 * CHOOSE(CONTROL!$C$9, $D$9, 100%, $F$9) + CHOOSE(CONTROL!$C$27, 0.0021, 0)</f>
        <v>40.411699999999996</v>
      </c>
      <c r="E286" s="10">
        <f>40.2729 * CHOOSE(CONTROL!$C$9, $D$9, 100%, $F$9) + CHOOSE(CONTROL!$C$27, 0.0021, 0)</f>
        <v>40.274999999999999</v>
      </c>
      <c r="F286" s="10">
        <f>40.2729 * CHOOSE(CONTROL!$C$9, $D$9, 100%, $F$9) + CHOOSE(CONTROL!$C$27, 0.0021, 0)</f>
        <v>40.274999999999999</v>
      </c>
      <c r="G286" s="10">
        <f>40.5443 * CHOOSE(CONTROL!$C$9, $D$9, 100%, $F$9) + CHOOSE(CONTROL!$C$27, 0.0021, 0)</f>
        <v>40.546399999999998</v>
      </c>
      <c r="H286" s="10">
        <f>40.4096 * CHOOSE(CONTROL!$C$9, $D$9, 100%, $F$9) + CHOOSE(CONTROL!$C$27, 0.0021, 0)</f>
        <v>40.411699999999996</v>
      </c>
      <c r="I286" s="10">
        <f>40.4096 * CHOOSE(CONTROL!$C$9, $D$9, 100%, $F$9) + CHOOSE(CONTROL!$C$27, 0.0021, 0)</f>
        <v>40.411699999999996</v>
      </c>
      <c r="J286" s="10">
        <f>40.4096 * CHOOSE(CONTROL!$C$9, $D$9, 100%, $F$9) + CHOOSE(CONTROL!$C$27, 0.0021, 0)</f>
        <v>40.411699999999996</v>
      </c>
      <c r="K286" s="10">
        <f>40.4096 * CHOOSE(CONTROL!$C$9, $D$9, 100%, $F$9) + CHOOSE(CONTROL!$C$27, 0.0021, 0)</f>
        <v>40.411699999999996</v>
      </c>
      <c r="L286" s="10"/>
    </row>
    <row r="287" spans="1:12" ht="15">
      <c r="A287" s="15">
        <v>50010</v>
      </c>
      <c r="B287" s="10">
        <f>40.0859 * CHOOSE(CONTROL!$C$9, $D$9, 100%, $F$9) + CHOOSE(CONTROL!$C$27, 0.0021, 0)</f>
        <v>40.088000000000001</v>
      </c>
      <c r="C287" s="10">
        <f>39.6537 * CHOOSE(CONTROL!$C$9, $D$9, 100%, $F$9) + CHOOSE(CONTROL!$C$27, 0.0021, 0)</f>
        <v>39.655799999999999</v>
      </c>
      <c r="D287" s="10">
        <f>39.6537 * CHOOSE(CONTROL!$C$9, $D$9, 100%, $F$9) + CHOOSE(CONTROL!$C$27, 0.0021, 0)</f>
        <v>39.655799999999999</v>
      </c>
      <c r="E287" s="10">
        <f>39.517 * CHOOSE(CONTROL!$C$9, $D$9, 100%, $F$9) + CHOOSE(CONTROL!$C$27, 0.0021, 0)</f>
        <v>39.519100000000002</v>
      </c>
      <c r="F287" s="10">
        <f>39.517 * CHOOSE(CONTROL!$C$9, $D$9, 100%, $F$9) + CHOOSE(CONTROL!$C$27, 0.0021, 0)</f>
        <v>39.519100000000002</v>
      </c>
      <c r="G287" s="10">
        <f>39.7884 * CHOOSE(CONTROL!$C$9, $D$9, 100%, $F$9) + CHOOSE(CONTROL!$C$27, 0.0021, 0)</f>
        <v>39.790500000000002</v>
      </c>
      <c r="H287" s="10">
        <f>39.6537 * CHOOSE(CONTROL!$C$9, $D$9, 100%, $F$9) + CHOOSE(CONTROL!$C$27, 0.0021, 0)</f>
        <v>39.655799999999999</v>
      </c>
      <c r="I287" s="10">
        <f>39.6537 * CHOOSE(CONTROL!$C$9, $D$9, 100%, $F$9) + CHOOSE(CONTROL!$C$27, 0.0021, 0)</f>
        <v>39.655799999999999</v>
      </c>
      <c r="J287" s="10">
        <f>39.6537 * CHOOSE(CONTROL!$C$9, $D$9, 100%, $F$9) + CHOOSE(CONTROL!$C$27, 0.0021, 0)</f>
        <v>39.655799999999999</v>
      </c>
      <c r="K287" s="10">
        <f>39.6537 * CHOOSE(CONTROL!$C$9, $D$9, 100%, $F$9) + CHOOSE(CONTROL!$C$27, 0.0021, 0)</f>
        <v>39.655799999999999</v>
      </c>
      <c r="L287" s="10"/>
    </row>
    <row r="288" spans="1:12" ht="15">
      <c r="A288" s="15">
        <v>50041</v>
      </c>
      <c r="B288" s="10">
        <f>39.5072 * CHOOSE(CONTROL!$C$9, $D$9, 100%, $F$9) + CHOOSE(CONTROL!$C$27, 0.0021, 0)</f>
        <v>39.509299999999996</v>
      </c>
      <c r="C288" s="10">
        <f>39.075 * CHOOSE(CONTROL!$C$9, $D$9, 100%, $F$9) + CHOOSE(CONTROL!$C$27, 0.0021, 0)</f>
        <v>39.077100000000002</v>
      </c>
      <c r="D288" s="10">
        <f>39.075 * CHOOSE(CONTROL!$C$9, $D$9, 100%, $F$9) + CHOOSE(CONTROL!$C$27, 0.0021, 0)</f>
        <v>39.077100000000002</v>
      </c>
      <c r="E288" s="10">
        <f>38.9383 * CHOOSE(CONTROL!$C$9, $D$9, 100%, $F$9) + CHOOSE(CONTROL!$C$27, 0.0021, 0)</f>
        <v>38.940399999999997</v>
      </c>
      <c r="F288" s="10">
        <f>38.9383 * CHOOSE(CONTROL!$C$9, $D$9, 100%, $F$9) + CHOOSE(CONTROL!$C$27, 0.0021, 0)</f>
        <v>38.940399999999997</v>
      </c>
      <c r="G288" s="10">
        <f>39.2097 * CHOOSE(CONTROL!$C$9, $D$9, 100%, $F$9) + CHOOSE(CONTROL!$C$27, 0.0021, 0)</f>
        <v>39.211799999999997</v>
      </c>
      <c r="H288" s="10">
        <f>39.075 * CHOOSE(CONTROL!$C$9, $D$9, 100%, $F$9) + CHOOSE(CONTROL!$C$27, 0.0021, 0)</f>
        <v>39.077100000000002</v>
      </c>
      <c r="I288" s="10">
        <f>39.075 * CHOOSE(CONTROL!$C$9, $D$9, 100%, $F$9) + CHOOSE(CONTROL!$C$27, 0.0021, 0)</f>
        <v>39.077100000000002</v>
      </c>
      <c r="J288" s="10">
        <f>39.075 * CHOOSE(CONTROL!$C$9, $D$9, 100%, $F$9) + CHOOSE(CONTROL!$C$27, 0.0021, 0)</f>
        <v>39.077100000000002</v>
      </c>
      <c r="K288" s="10">
        <f>39.075 * CHOOSE(CONTROL!$C$9, $D$9, 100%, $F$9) + CHOOSE(CONTROL!$C$27, 0.0021, 0)</f>
        <v>39.077100000000002</v>
      </c>
      <c r="L288" s="10"/>
    </row>
    <row r="289" spans="1:12" ht="15">
      <c r="A289" s="15">
        <v>50072</v>
      </c>
      <c r="B289" s="10">
        <f>38.4546 * CHOOSE(CONTROL!$C$9, $D$9, 100%, $F$9) + CHOOSE(CONTROL!$C$27, 0.0021, 0)</f>
        <v>38.456699999999998</v>
      </c>
      <c r="C289" s="10">
        <f>38.0223 * CHOOSE(CONTROL!$C$9, $D$9, 100%, $F$9) + CHOOSE(CONTROL!$C$27, 0.0021, 0)</f>
        <v>38.0244</v>
      </c>
      <c r="D289" s="10">
        <f>38.0223 * CHOOSE(CONTROL!$C$9, $D$9, 100%, $F$9) + CHOOSE(CONTROL!$C$27, 0.0021, 0)</f>
        <v>38.0244</v>
      </c>
      <c r="E289" s="10">
        <f>37.8857 * CHOOSE(CONTROL!$C$9, $D$9, 100%, $F$9) + CHOOSE(CONTROL!$C$27, 0.0021, 0)</f>
        <v>37.887799999999999</v>
      </c>
      <c r="F289" s="10">
        <f>37.8857 * CHOOSE(CONTROL!$C$9, $D$9, 100%, $F$9) + CHOOSE(CONTROL!$C$27, 0.0021, 0)</f>
        <v>37.887799999999999</v>
      </c>
      <c r="G289" s="10">
        <f>38.1571 * CHOOSE(CONTROL!$C$9, $D$9, 100%, $F$9) + CHOOSE(CONTROL!$C$27, 0.0021, 0)</f>
        <v>38.159199999999998</v>
      </c>
      <c r="H289" s="10">
        <f>38.0223 * CHOOSE(CONTROL!$C$9, $D$9, 100%, $F$9) + CHOOSE(CONTROL!$C$27, 0.0021, 0)</f>
        <v>38.0244</v>
      </c>
      <c r="I289" s="10">
        <f>38.0223 * CHOOSE(CONTROL!$C$9, $D$9, 100%, $F$9) + CHOOSE(CONTROL!$C$27, 0.0021, 0)</f>
        <v>38.0244</v>
      </c>
      <c r="J289" s="10">
        <f>38.0223 * CHOOSE(CONTROL!$C$9, $D$9, 100%, $F$9) + CHOOSE(CONTROL!$C$27, 0.0021, 0)</f>
        <v>38.0244</v>
      </c>
      <c r="K289" s="10">
        <f>38.0223 * CHOOSE(CONTROL!$C$9, $D$9, 100%, $F$9) + CHOOSE(CONTROL!$C$27, 0.0021, 0)</f>
        <v>38.0244</v>
      </c>
      <c r="L289" s="10"/>
    </row>
    <row r="290" spans="1:12" ht="15">
      <c r="A290" s="15">
        <v>50100</v>
      </c>
      <c r="B290" s="10">
        <f>38.0201 * CHOOSE(CONTROL!$C$9, $D$9, 100%, $F$9) + CHOOSE(CONTROL!$C$27, 0.0021, 0)</f>
        <v>38.022199999999998</v>
      </c>
      <c r="C290" s="10">
        <f>37.5878 * CHOOSE(CONTROL!$C$9, $D$9, 100%, $F$9) + CHOOSE(CONTROL!$C$27, 0.0021, 0)</f>
        <v>37.5899</v>
      </c>
      <c r="D290" s="10">
        <f>37.5878 * CHOOSE(CONTROL!$C$9, $D$9, 100%, $F$9) + CHOOSE(CONTROL!$C$27, 0.0021, 0)</f>
        <v>37.5899</v>
      </c>
      <c r="E290" s="10">
        <f>37.4512 * CHOOSE(CONTROL!$C$9, $D$9, 100%, $F$9) + CHOOSE(CONTROL!$C$27, 0.0021, 0)</f>
        <v>37.453299999999999</v>
      </c>
      <c r="F290" s="10">
        <f>37.4512 * CHOOSE(CONTROL!$C$9, $D$9, 100%, $F$9) + CHOOSE(CONTROL!$C$27, 0.0021, 0)</f>
        <v>37.453299999999999</v>
      </c>
      <c r="G290" s="10">
        <f>37.7225 * CHOOSE(CONTROL!$C$9, $D$9, 100%, $F$9) + CHOOSE(CONTROL!$C$27, 0.0021, 0)</f>
        <v>37.724599999999995</v>
      </c>
      <c r="H290" s="10">
        <f>37.5878 * CHOOSE(CONTROL!$C$9, $D$9, 100%, $F$9) + CHOOSE(CONTROL!$C$27, 0.0021, 0)</f>
        <v>37.5899</v>
      </c>
      <c r="I290" s="10">
        <f>37.5878 * CHOOSE(CONTROL!$C$9, $D$9, 100%, $F$9) + CHOOSE(CONTROL!$C$27, 0.0021, 0)</f>
        <v>37.5899</v>
      </c>
      <c r="J290" s="10">
        <f>37.5878 * CHOOSE(CONTROL!$C$9, $D$9, 100%, $F$9) + CHOOSE(CONTROL!$C$27, 0.0021, 0)</f>
        <v>37.5899</v>
      </c>
      <c r="K290" s="10">
        <f>37.5878 * CHOOSE(CONTROL!$C$9, $D$9, 100%, $F$9) + CHOOSE(CONTROL!$C$27, 0.0021, 0)</f>
        <v>37.5899</v>
      </c>
      <c r="L290" s="10"/>
    </row>
    <row r="291" spans="1:12" ht="15">
      <c r="A291" s="15">
        <v>50131</v>
      </c>
      <c r="B291" s="10">
        <f>37.5012 * CHOOSE(CONTROL!$C$9, $D$9, 100%, $F$9) + CHOOSE(CONTROL!$C$27, 0.0021, 0)</f>
        <v>37.503299999999996</v>
      </c>
      <c r="C291" s="10">
        <f>37.069 * CHOOSE(CONTROL!$C$9, $D$9, 100%, $F$9) + CHOOSE(CONTROL!$C$27, 0.0021, 0)</f>
        <v>37.071100000000001</v>
      </c>
      <c r="D291" s="10">
        <f>37.069 * CHOOSE(CONTROL!$C$9, $D$9, 100%, $F$9) + CHOOSE(CONTROL!$C$27, 0.0021, 0)</f>
        <v>37.071100000000001</v>
      </c>
      <c r="E291" s="10">
        <f>36.9323 * CHOOSE(CONTROL!$C$9, $D$9, 100%, $F$9) + CHOOSE(CONTROL!$C$27, 0.0021, 0)</f>
        <v>36.934399999999997</v>
      </c>
      <c r="F291" s="10">
        <f>36.9323 * CHOOSE(CONTROL!$C$9, $D$9, 100%, $F$9) + CHOOSE(CONTROL!$C$27, 0.0021, 0)</f>
        <v>36.934399999999997</v>
      </c>
      <c r="G291" s="10">
        <f>37.2037 * CHOOSE(CONTROL!$C$9, $D$9, 100%, $F$9) + CHOOSE(CONTROL!$C$27, 0.0021, 0)</f>
        <v>37.205799999999996</v>
      </c>
      <c r="H291" s="10">
        <f>37.069 * CHOOSE(CONTROL!$C$9, $D$9, 100%, $F$9) + CHOOSE(CONTROL!$C$27, 0.0021, 0)</f>
        <v>37.071100000000001</v>
      </c>
      <c r="I291" s="10">
        <f>37.069 * CHOOSE(CONTROL!$C$9, $D$9, 100%, $F$9) + CHOOSE(CONTROL!$C$27, 0.0021, 0)</f>
        <v>37.071100000000001</v>
      </c>
      <c r="J291" s="10">
        <f>37.069 * CHOOSE(CONTROL!$C$9, $D$9, 100%, $F$9) + CHOOSE(CONTROL!$C$27, 0.0021, 0)</f>
        <v>37.071100000000001</v>
      </c>
      <c r="K291" s="10">
        <f>37.069 * CHOOSE(CONTROL!$C$9, $D$9, 100%, $F$9) + CHOOSE(CONTROL!$C$27, 0.0021, 0)</f>
        <v>37.071100000000001</v>
      </c>
      <c r="L291" s="10"/>
    </row>
    <row r="292" spans="1:12" ht="15">
      <c r="A292" s="15">
        <v>50161</v>
      </c>
      <c r="B292" s="10">
        <f>38.2406 * CHOOSE(CONTROL!$C$9, $D$9, 100%, $F$9) + CHOOSE(CONTROL!$C$27, 0.0021, 0)</f>
        <v>38.242699999999999</v>
      </c>
      <c r="C292" s="10">
        <f>37.8084 * CHOOSE(CONTROL!$C$9, $D$9, 100%, $F$9) + CHOOSE(CONTROL!$C$27, 0.0021, 0)</f>
        <v>37.810499999999998</v>
      </c>
      <c r="D292" s="10">
        <f>37.8084 * CHOOSE(CONTROL!$C$9, $D$9, 100%, $F$9) + CHOOSE(CONTROL!$C$27, 0.0021, 0)</f>
        <v>37.810499999999998</v>
      </c>
      <c r="E292" s="10">
        <f>37.6717 * CHOOSE(CONTROL!$C$9, $D$9, 100%, $F$9) + CHOOSE(CONTROL!$C$27, 0.0021, 0)</f>
        <v>37.6738</v>
      </c>
      <c r="F292" s="10">
        <f>37.6717 * CHOOSE(CONTROL!$C$9, $D$9, 100%, $F$9) + CHOOSE(CONTROL!$C$27, 0.0021, 0)</f>
        <v>37.6738</v>
      </c>
      <c r="G292" s="10">
        <f>37.9431 * CHOOSE(CONTROL!$C$9, $D$9, 100%, $F$9) + CHOOSE(CONTROL!$C$27, 0.0021, 0)</f>
        <v>37.9452</v>
      </c>
      <c r="H292" s="10">
        <f>37.8084 * CHOOSE(CONTROL!$C$9, $D$9, 100%, $F$9) + CHOOSE(CONTROL!$C$27, 0.0021, 0)</f>
        <v>37.810499999999998</v>
      </c>
      <c r="I292" s="10">
        <f>37.8084 * CHOOSE(CONTROL!$C$9, $D$9, 100%, $F$9) + CHOOSE(CONTROL!$C$27, 0.0021, 0)</f>
        <v>37.810499999999998</v>
      </c>
      <c r="J292" s="10">
        <f>37.8084 * CHOOSE(CONTROL!$C$9, $D$9, 100%, $F$9) + CHOOSE(CONTROL!$C$27, 0.0021, 0)</f>
        <v>37.810499999999998</v>
      </c>
      <c r="K292" s="10">
        <f>37.8084 * CHOOSE(CONTROL!$C$9, $D$9, 100%, $F$9) + CHOOSE(CONTROL!$C$27, 0.0021, 0)</f>
        <v>37.810499999999998</v>
      </c>
      <c r="L292" s="10"/>
    </row>
    <row r="293" spans="1:12" ht="15">
      <c r="A293" s="15">
        <v>50192</v>
      </c>
      <c r="B293" s="10">
        <f>38.6835 * CHOOSE(CONTROL!$C$9, $D$9, 100%, $F$9) + CHOOSE(CONTROL!$C$27, 0.0021, 0)</f>
        <v>38.685600000000001</v>
      </c>
      <c r="C293" s="10">
        <f>38.2513 * CHOOSE(CONTROL!$C$9, $D$9, 100%, $F$9) + CHOOSE(CONTROL!$C$27, 0.0021, 0)</f>
        <v>38.253399999999999</v>
      </c>
      <c r="D293" s="10">
        <f>38.2513 * CHOOSE(CONTROL!$C$9, $D$9, 100%, $F$9) + CHOOSE(CONTROL!$C$27, 0.0021, 0)</f>
        <v>38.253399999999999</v>
      </c>
      <c r="E293" s="10">
        <f>38.1146 * CHOOSE(CONTROL!$C$9, $D$9, 100%, $F$9) + CHOOSE(CONTROL!$C$27, 0.0021, 0)</f>
        <v>38.116700000000002</v>
      </c>
      <c r="F293" s="10">
        <f>38.1146 * CHOOSE(CONTROL!$C$9, $D$9, 100%, $F$9) + CHOOSE(CONTROL!$C$27, 0.0021, 0)</f>
        <v>38.116700000000002</v>
      </c>
      <c r="G293" s="10">
        <f>38.386 * CHOOSE(CONTROL!$C$9, $D$9, 100%, $F$9) + CHOOSE(CONTROL!$C$27, 0.0021, 0)</f>
        <v>38.388100000000001</v>
      </c>
      <c r="H293" s="10">
        <f>38.2513 * CHOOSE(CONTROL!$C$9, $D$9, 100%, $F$9) + CHOOSE(CONTROL!$C$27, 0.0021, 0)</f>
        <v>38.253399999999999</v>
      </c>
      <c r="I293" s="10">
        <f>38.2513 * CHOOSE(CONTROL!$C$9, $D$9, 100%, $F$9) + CHOOSE(CONTROL!$C$27, 0.0021, 0)</f>
        <v>38.253399999999999</v>
      </c>
      <c r="J293" s="10">
        <f>38.2513 * CHOOSE(CONTROL!$C$9, $D$9, 100%, $F$9) + CHOOSE(CONTROL!$C$27, 0.0021, 0)</f>
        <v>38.253399999999999</v>
      </c>
      <c r="K293" s="10">
        <f>38.2513 * CHOOSE(CONTROL!$C$9, $D$9, 100%, $F$9) + CHOOSE(CONTROL!$C$27, 0.0021, 0)</f>
        <v>38.253399999999999</v>
      </c>
      <c r="L293" s="10"/>
    </row>
    <row r="294" spans="1:12" ht="15">
      <c r="A294" s="15">
        <v>50222</v>
      </c>
      <c r="B294" s="10">
        <f>39.4141 * CHOOSE(CONTROL!$C$9, $D$9, 100%, $F$9) + CHOOSE(CONTROL!$C$27, 0.0021, 0)</f>
        <v>39.416199999999996</v>
      </c>
      <c r="C294" s="10">
        <f>38.9818 * CHOOSE(CONTROL!$C$9, $D$9, 100%, $F$9) + CHOOSE(CONTROL!$C$27, 0.0021, 0)</f>
        <v>38.983899999999998</v>
      </c>
      <c r="D294" s="10">
        <f>38.9818 * CHOOSE(CONTROL!$C$9, $D$9, 100%, $F$9) + CHOOSE(CONTROL!$C$27, 0.0021, 0)</f>
        <v>38.983899999999998</v>
      </c>
      <c r="E294" s="10">
        <f>38.8452 * CHOOSE(CONTROL!$C$9, $D$9, 100%, $F$9) + CHOOSE(CONTROL!$C$27, 0.0021, 0)</f>
        <v>38.847299999999997</v>
      </c>
      <c r="F294" s="10">
        <f>38.8452 * CHOOSE(CONTROL!$C$9, $D$9, 100%, $F$9) + CHOOSE(CONTROL!$C$27, 0.0021, 0)</f>
        <v>38.847299999999997</v>
      </c>
      <c r="G294" s="10">
        <f>39.1165 * CHOOSE(CONTROL!$C$9, $D$9, 100%, $F$9) + CHOOSE(CONTROL!$C$27, 0.0021, 0)</f>
        <v>39.118600000000001</v>
      </c>
      <c r="H294" s="10">
        <f>38.9818 * CHOOSE(CONTROL!$C$9, $D$9, 100%, $F$9) + CHOOSE(CONTROL!$C$27, 0.0021, 0)</f>
        <v>38.983899999999998</v>
      </c>
      <c r="I294" s="10">
        <f>38.9818 * CHOOSE(CONTROL!$C$9, $D$9, 100%, $F$9) + CHOOSE(CONTROL!$C$27, 0.0021, 0)</f>
        <v>38.983899999999998</v>
      </c>
      <c r="J294" s="10">
        <f>38.9818 * CHOOSE(CONTROL!$C$9, $D$9, 100%, $F$9) + CHOOSE(CONTROL!$C$27, 0.0021, 0)</f>
        <v>38.983899999999998</v>
      </c>
      <c r="K294" s="10">
        <f>38.9818 * CHOOSE(CONTROL!$C$9, $D$9, 100%, $F$9) + CHOOSE(CONTROL!$C$27, 0.0021, 0)</f>
        <v>38.983899999999998</v>
      </c>
      <c r="L294" s="10"/>
    </row>
    <row r="295" spans="1:12" ht="15">
      <c r="A295" s="15">
        <v>50253</v>
      </c>
      <c r="B295" s="10">
        <f>39.6371 * CHOOSE(CONTROL!$C$9, $D$9, 100%, $F$9) + CHOOSE(CONTROL!$C$27, 0.0021, 0)</f>
        <v>39.639199999999995</v>
      </c>
      <c r="C295" s="10">
        <f>39.2048 * CHOOSE(CONTROL!$C$9, $D$9, 100%, $F$9) + CHOOSE(CONTROL!$C$27, 0.0021, 0)</f>
        <v>39.206899999999997</v>
      </c>
      <c r="D295" s="10">
        <f>39.2048 * CHOOSE(CONTROL!$C$9, $D$9, 100%, $F$9) + CHOOSE(CONTROL!$C$27, 0.0021, 0)</f>
        <v>39.206899999999997</v>
      </c>
      <c r="E295" s="10">
        <f>39.0682 * CHOOSE(CONTROL!$C$9, $D$9, 100%, $F$9) + CHOOSE(CONTROL!$C$27, 0.0021, 0)</f>
        <v>39.070299999999996</v>
      </c>
      <c r="F295" s="10">
        <f>39.0682 * CHOOSE(CONTROL!$C$9, $D$9, 100%, $F$9) + CHOOSE(CONTROL!$C$27, 0.0021, 0)</f>
        <v>39.070299999999996</v>
      </c>
      <c r="G295" s="10">
        <f>39.3395 * CHOOSE(CONTROL!$C$9, $D$9, 100%, $F$9) + CHOOSE(CONTROL!$C$27, 0.0021, 0)</f>
        <v>39.3416</v>
      </c>
      <c r="H295" s="10">
        <f>39.2048 * CHOOSE(CONTROL!$C$9, $D$9, 100%, $F$9) + CHOOSE(CONTROL!$C$27, 0.0021, 0)</f>
        <v>39.206899999999997</v>
      </c>
      <c r="I295" s="10">
        <f>39.2048 * CHOOSE(CONTROL!$C$9, $D$9, 100%, $F$9) + CHOOSE(CONTROL!$C$27, 0.0021, 0)</f>
        <v>39.206899999999997</v>
      </c>
      <c r="J295" s="10">
        <f>39.2048 * CHOOSE(CONTROL!$C$9, $D$9, 100%, $F$9) + CHOOSE(CONTROL!$C$27, 0.0021, 0)</f>
        <v>39.206899999999997</v>
      </c>
      <c r="K295" s="10">
        <f>39.2048 * CHOOSE(CONTROL!$C$9, $D$9, 100%, $F$9) + CHOOSE(CONTROL!$C$27, 0.0021, 0)</f>
        <v>39.206899999999997</v>
      </c>
      <c r="L295" s="10"/>
    </row>
    <row r="296" spans="1:12" ht="15">
      <c r="A296" s="15">
        <v>50284</v>
      </c>
      <c r="B296" s="10">
        <f>40.3965 * CHOOSE(CONTROL!$C$9, $D$9, 100%, $F$9) + CHOOSE(CONTROL!$C$27, 0.0021, 0)</f>
        <v>40.398600000000002</v>
      </c>
      <c r="C296" s="10">
        <f>39.9642 * CHOOSE(CONTROL!$C$9, $D$9, 100%, $F$9) + CHOOSE(CONTROL!$C$27, 0.0021, 0)</f>
        <v>39.966299999999997</v>
      </c>
      <c r="D296" s="10">
        <f>39.9642 * CHOOSE(CONTROL!$C$9, $D$9, 100%, $F$9) + CHOOSE(CONTROL!$C$27, 0.0021, 0)</f>
        <v>39.966299999999997</v>
      </c>
      <c r="E296" s="10">
        <f>39.8276 * CHOOSE(CONTROL!$C$9, $D$9, 100%, $F$9) + CHOOSE(CONTROL!$C$27, 0.0021, 0)</f>
        <v>39.829699999999995</v>
      </c>
      <c r="F296" s="10">
        <f>39.8276 * CHOOSE(CONTROL!$C$9, $D$9, 100%, $F$9) + CHOOSE(CONTROL!$C$27, 0.0021, 0)</f>
        <v>39.829699999999995</v>
      </c>
      <c r="G296" s="10">
        <f>40.0989 * CHOOSE(CONTROL!$C$9, $D$9, 100%, $F$9) + CHOOSE(CONTROL!$C$27, 0.0021, 0)</f>
        <v>40.100999999999999</v>
      </c>
      <c r="H296" s="10">
        <f>39.9642 * CHOOSE(CONTROL!$C$9, $D$9, 100%, $F$9) + CHOOSE(CONTROL!$C$27, 0.0021, 0)</f>
        <v>39.966299999999997</v>
      </c>
      <c r="I296" s="10">
        <f>39.9642 * CHOOSE(CONTROL!$C$9, $D$9, 100%, $F$9) + CHOOSE(CONTROL!$C$27, 0.0021, 0)</f>
        <v>39.966299999999997</v>
      </c>
      <c r="J296" s="10">
        <f>39.9642 * CHOOSE(CONTROL!$C$9, $D$9, 100%, $F$9) + CHOOSE(CONTROL!$C$27, 0.0021, 0)</f>
        <v>39.966299999999997</v>
      </c>
      <c r="K296" s="10">
        <f>39.9642 * CHOOSE(CONTROL!$C$9, $D$9, 100%, $F$9) + CHOOSE(CONTROL!$C$27, 0.0021, 0)</f>
        <v>39.966299999999997</v>
      </c>
      <c r="L296" s="10"/>
    </row>
    <row r="297" spans="1:12" ht="15">
      <c r="A297" s="15">
        <v>50314</v>
      </c>
      <c r="B297" s="10">
        <f>41.3578 * CHOOSE(CONTROL!$C$9, $D$9, 100%, $F$9) + CHOOSE(CONTROL!$C$27, 0.0021, 0)</f>
        <v>41.359899999999996</v>
      </c>
      <c r="C297" s="10">
        <f>40.9255 * CHOOSE(CONTROL!$C$9, $D$9, 100%, $F$9) + CHOOSE(CONTROL!$C$27, 0.0021, 0)</f>
        <v>40.927599999999998</v>
      </c>
      <c r="D297" s="10">
        <f>40.9255 * CHOOSE(CONTROL!$C$9, $D$9, 100%, $F$9) + CHOOSE(CONTROL!$C$27, 0.0021, 0)</f>
        <v>40.927599999999998</v>
      </c>
      <c r="E297" s="10">
        <f>40.7888 * CHOOSE(CONTROL!$C$9, $D$9, 100%, $F$9) + CHOOSE(CONTROL!$C$27, 0.0021, 0)</f>
        <v>40.790900000000001</v>
      </c>
      <c r="F297" s="10">
        <f>40.7888 * CHOOSE(CONTROL!$C$9, $D$9, 100%, $F$9) + CHOOSE(CONTROL!$C$27, 0.0021, 0)</f>
        <v>40.790900000000001</v>
      </c>
      <c r="G297" s="10">
        <f>41.0602 * CHOOSE(CONTROL!$C$9, $D$9, 100%, $F$9) + CHOOSE(CONTROL!$C$27, 0.0021, 0)</f>
        <v>41.0623</v>
      </c>
      <c r="H297" s="10">
        <f>40.9255 * CHOOSE(CONTROL!$C$9, $D$9, 100%, $F$9) + CHOOSE(CONTROL!$C$27, 0.0021, 0)</f>
        <v>40.927599999999998</v>
      </c>
      <c r="I297" s="10">
        <f>40.9255 * CHOOSE(CONTROL!$C$9, $D$9, 100%, $F$9) + CHOOSE(CONTROL!$C$27, 0.0021, 0)</f>
        <v>40.927599999999998</v>
      </c>
      <c r="J297" s="10">
        <f>40.9255 * CHOOSE(CONTROL!$C$9, $D$9, 100%, $F$9) + CHOOSE(CONTROL!$C$27, 0.0021, 0)</f>
        <v>40.927599999999998</v>
      </c>
      <c r="K297" s="10">
        <f>40.9255 * CHOOSE(CONTROL!$C$9, $D$9, 100%, $F$9) + CHOOSE(CONTROL!$C$27, 0.0021, 0)</f>
        <v>40.927599999999998</v>
      </c>
      <c r="L297" s="10"/>
    </row>
    <row r="298" spans="1:12" ht="15">
      <c r="A298" s="15">
        <v>50345</v>
      </c>
      <c r="B298" s="10">
        <f>41.448 * CHOOSE(CONTROL!$C$9, $D$9, 100%, $F$9) + CHOOSE(CONTROL!$C$27, 0.0021, 0)</f>
        <v>41.450099999999999</v>
      </c>
      <c r="C298" s="10">
        <f>41.0157 * CHOOSE(CONTROL!$C$9, $D$9, 100%, $F$9) + CHOOSE(CONTROL!$C$27, 0.0021, 0)</f>
        <v>41.017800000000001</v>
      </c>
      <c r="D298" s="10">
        <f>41.0157 * CHOOSE(CONTROL!$C$9, $D$9, 100%, $F$9) + CHOOSE(CONTROL!$C$27, 0.0021, 0)</f>
        <v>41.017800000000001</v>
      </c>
      <c r="E298" s="10">
        <f>40.8791 * CHOOSE(CONTROL!$C$9, $D$9, 100%, $F$9) + CHOOSE(CONTROL!$C$27, 0.0021, 0)</f>
        <v>40.8812</v>
      </c>
      <c r="F298" s="10">
        <f>40.8791 * CHOOSE(CONTROL!$C$9, $D$9, 100%, $F$9) + CHOOSE(CONTROL!$C$27, 0.0021, 0)</f>
        <v>40.8812</v>
      </c>
      <c r="G298" s="10">
        <f>41.1505 * CHOOSE(CONTROL!$C$9, $D$9, 100%, $F$9) + CHOOSE(CONTROL!$C$27, 0.0021, 0)</f>
        <v>41.1526</v>
      </c>
      <c r="H298" s="10">
        <f>41.0157 * CHOOSE(CONTROL!$C$9, $D$9, 100%, $F$9) + CHOOSE(CONTROL!$C$27, 0.0021, 0)</f>
        <v>41.017800000000001</v>
      </c>
      <c r="I298" s="10">
        <f>41.0157 * CHOOSE(CONTROL!$C$9, $D$9, 100%, $F$9) + CHOOSE(CONTROL!$C$27, 0.0021, 0)</f>
        <v>41.017800000000001</v>
      </c>
      <c r="J298" s="10">
        <f>41.0157 * CHOOSE(CONTROL!$C$9, $D$9, 100%, $F$9) + CHOOSE(CONTROL!$C$27, 0.0021, 0)</f>
        <v>41.017800000000001</v>
      </c>
      <c r="K298" s="10">
        <f>41.0157 * CHOOSE(CONTROL!$C$9, $D$9, 100%, $F$9) + CHOOSE(CONTROL!$C$27, 0.0021, 0)</f>
        <v>41.017800000000001</v>
      </c>
      <c r="L298" s="10"/>
    </row>
    <row r="299" spans="1:12" ht="15">
      <c r="A299" s="15">
        <v>50375</v>
      </c>
      <c r="B299" s="10">
        <f>40.6802 * CHOOSE(CONTROL!$C$9, $D$9, 100%, $F$9) + CHOOSE(CONTROL!$C$27, 0.0021, 0)</f>
        <v>40.682299999999998</v>
      </c>
      <c r="C299" s="10">
        <f>40.248 * CHOOSE(CONTROL!$C$9, $D$9, 100%, $F$9) + CHOOSE(CONTROL!$C$27, 0.0021, 0)</f>
        <v>40.250099999999996</v>
      </c>
      <c r="D299" s="10">
        <f>40.248 * CHOOSE(CONTROL!$C$9, $D$9, 100%, $F$9) + CHOOSE(CONTROL!$C$27, 0.0021, 0)</f>
        <v>40.250099999999996</v>
      </c>
      <c r="E299" s="10">
        <f>40.1113 * CHOOSE(CONTROL!$C$9, $D$9, 100%, $F$9) + CHOOSE(CONTROL!$C$27, 0.0021, 0)</f>
        <v>40.113399999999999</v>
      </c>
      <c r="F299" s="10">
        <f>40.1113 * CHOOSE(CONTROL!$C$9, $D$9, 100%, $F$9) + CHOOSE(CONTROL!$C$27, 0.0021, 0)</f>
        <v>40.113399999999999</v>
      </c>
      <c r="G299" s="10">
        <f>40.3827 * CHOOSE(CONTROL!$C$9, $D$9, 100%, $F$9) + CHOOSE(CONTROL!$C$27, 0.0021, 0)</f>
        <v>40.384799999999998</v>
      </c>
      <c r="H299" s="10">
        <f>40.248 * CHOOSE(CONTROL!$C$9, $D$9, 100%, $F$9) + CHOOSE(CONTROL!$C$27, 0.0021, 0)</f>
        <v>40.250099999999996</v>
      </c>
      <c r="I299" s="10">
        <f>40.248 * CHOOSE(CONTROL!$C$9, $D$9, 100%, $F$9) + CHOOSE(CONTROL!$C$27, 0.0021, 0)</f>
        <v>40.250099999999996</v>
      </c>
      <c r="J299" s="10">
        <f>40.248 * CHOOSE(CONTROL!$C$9, $D$9, 100%, $F$9) + CHOOSE(CONTROL!$C$27, 0.0021, 0)</f>
        <v>40.250099999999996</v>
      </c>
      <c r="K299" s="10">
        <f>40.248 * CHOOSE(CONTROL!$C$9, $D$9, 100%, $F$9) + CHOOSE(CONTROL!$C$27, 0.0021, 0)</f>
        <v>40.250099999999996</v>
      </c>
      <c r="L299" s="10"/>
    </row>
    <row r="300" spans="1:12" ht="15.75">
      <c r="A300" s="14">
        <v>50436</v>
      </c>
      <c r="B300" s="10">
        <f>40.0924 * CHOOSE(CONTROL!$C$9, $D$9, 100%, $F$9) + CHOOSE(CONTROL!$C$27, 0.0021, 0)</f>
        <v>40.094499999999996</v>
      </c>
      <c r="C300" s="10">
        <f>39.6602 * CHOOSE(CONTROL!$C$9, $D$9, 100%, $F$9) + CHOOSE(CONTROL!$C$27, 0.0021, 0)</f>
        <v>39.662300000000002</v>
      </c>
      <c r="D300" s="10">
        <f>39.6602 * CHOOSE(CONTROL!$C$9, $D$9, 100%, $F$9) + CHOOSE(CONTROL!$C$27, 0.0021, 0)</f>
        <v>39.662300000000002</v>
      </c>
      <c r="E300" s="10">
        <f>39.5235 * CHOOSE(CONTROL!$C$9, $D$9, 100%, $F$9) + CHOOSE(CONTROL!$C$27, 0.0021, 0)</f>
        <v>39.525599999999997</v>
      </c>
      <c r="F300" s="10">
        <f>39.5235 * CHOOSE(CONTROL!$C$9, $D$9, 100%, $F$9) + CHOOSE(CONTROL!$C$27, 0.0021, 0)</f>
        <v>39.525599999999997</v>
      </c>
      <c r="G300" s="10">
        <f>39.7949 * CHOOSE(CONTROL!$C$9, $D$9, 100%, $F$9) + CHOOSE(CONTROL!$C$27, 0.0021, 0)</f>
        <v>39.796999999999997</v>
      </c>
      <c r="H300" s="10">
        <f>39.6602 * CHOOSE(CONTROL!$C$9, $D$9, 100%, $F$9) + CHOOSE(CONTROL!$C$27, 0.0021, 0)</f>
        <v>39.662300000000002</v>
      </c>
      <c r="I300" s="10">
        <f>39.6602 * CHOOSE(CONTROL!$C$9, $D$9, 100%, $F$9) + CHOOSE(CONTROL!$C$27, 0.0021, 0)</f>
        <v>39.662300000000002</v>
      </c>
      <c r="J300" s="10">
        <f>39.6602 * CHOOSE(CONTROL!$C$9, $D$9, 100%, $F$9) + CHOOSE(CONTROL!$C$27, 0.0021, 0)</f>
        <v>39.662300000000002</v>
      </c>
      <c r="K300" s="10">
        <f>39.6602 * CHOOSE(CONTROL!$C$9, $D$9, 100%, $F$9) + CHOOSE(CONTROL!$C$27, 0.0021, 0)</f>
        <v>39.662300000000002</v>
      </c>
      <c r="L300" s="10"/>
    </row>
    <row r="301" spans="1:12" ht="15.75">
      <c r="A301" s="14">
        <v>50464</v>
      </c>
      <c r="B301" s="10">
        <f>39.0232 * CHOOSE(CONTROL!$C$9, $D$9, 100%, $F$9) + CHOOSE(CONTROL!$C$27, 0.0021, 0)</f>
        <v>39.025300000000001</v>
      </c>
      <c r="C301" s="10">
        <f>38.591 * CHOOSE(CONTROL!$C$9, $D$9, 100%, $F$9) + CHOOSE(CONTROL!$C$27, 0.0021, 0)</f>
        <v>38.5931</v>
      </c>
      <c r="D301" s="10">
        <f>38.591 * CHOOSE(CONTROL!$C$9, $D$9, 100%, $F$9) + CHOOSE(CONTROL!$C$27, 0.0021, 0)</f>
        <v>38.5931</v>
      </c>
      <c r="E301" s="10">
        <f>38.4543 * CHOOSE(CONTROL!$C$9, $D$9, 100%, $F$9) + CHOOSE(CONTROL!$C$27, 0.0021, 0)</f>
        <v>38.456400000000002</v>
      </c>
      <c r="F301" s="10">
        <f>38.4543 * CHOOSE(CONTROL!$C$9, $D$9, 100%, $F$9) + CHOOSE(CONTROL!$C$27, 0.0021, 0)</f>
        <v>38.456400000000002</v>
      </c>
      <c r="G301" s="10">
        <f>38.7257 * CHOOSE(CONTROL!$C$9, $D$9, 100%, $F$9) + CHOOSE(CONTROL!$C$27, 0.0021, 0)</f>
        <v>38.727800000000002</v>
      </c>
      <c r="H301" s="10">
        <f>38.591 * CHOOSE(CONTROL!$C$9, $D$9, 100%, $F$9) + CHOOSE(CONTROL!$C$27, 0.0021, 0)</f>
        <v>38.5931</v>
      </c>
      <c r="I301" s="10">
        <f>38.591 * CHOOSE(CONTROL!$C$9, $D$9, 100%, $F$9) + CHOOSE(CONTROL!$C$27, 0.0021, 0)</f>
        <v>38.5931</v>
      </c>
      <c r="J301" s="10">
        <f>38.591 * CHOOSE(CONTROL!$C$9, $D$9, 100%, $F$9) + CHOOSE(CONTROL!$C$27, 0.0021, 0)</f>
        <v>38.5931</v>
      </c>
      <c r="K301" s="10">
        <f>38.591 * CHOOSE(CONTROL!$C$9, $D$9, 100%, $F$9) + CHOOSE(CONTROL!$C$27, 0.0021, 0)</f>
        <v>38.5931</v>
      </c>
      <c r="L301" s="10"/>
    </row>
    <row r="302" spans="1:12" ht="15.75">
      <c r="A302" s="14">
        <v>50495</v>
      </c>
      <c r="B302" s="10">
        <f>38.5819 * CHOOSE(CONTROL!$C$9, $D$9, 100%, $F$9) + CHOOSE(CONTROL!$C$27, 0.0021, 0)</f>
        <v>38.583999999999996</v>
      </c>
      <c r="C302" s="10">
        <f>38.1496 * CHOOSE(CONTROL!$C$9, $D$9, 100%, $F$9) + CHOOSE(CONTROL!$C$27, 0.0021, 0)</f>
        <v>38.151699999999998</v>
      </c>
      <c r="D302" s="10">
        <f>38.1496 * CHOOSE(CONTROL!$C$9, $D$9, 100%, $F$9) + CHOOSE(CONTROL!$C$27, 0.0021, 0)</f>
        <v>38.151699999999998</v>
      </c>
      <c r="E302" s="10">
        <f>38.013 * CHOOSE(CONTROL!$C$9, $D$9, 100%, $F$9) + CHOOSE(CONTROL!$C$27, 0.0021, 0)</f>
        <v>38.015099999999997</v>
      </c>
      <c r="F302" s="10">
        <f>38.013 * CHOOSE(CONTROL!$C$9, $D$9, 100%, $F$9) + CHOOSE(CONTROL!$C$27, 0.0021, 0)</f>
        <v>38.015099999999997</v>
      </c>
      <c r="G302" s="10">
        <f>38.2843 * CHOOSE(CONTROL!$C$9, $D$9, 100%, $F$9) + CHOOSE(CONTROL!$C$27, 0.0021, 0)</f>
        <v>38.2864</v>
      </c>
      <c r="H302" s="10">
        <f>38.1496 * CHOOSE(CONTROL!$C$9, $D$9, 100%, $F$9) + CHOOSE(CONTROL!$C$27, 0.0021, 0)</f>
        <v>38.151699999999998</v>
      </c>
      <c r="I302" s="10">
        <f>38.1496 * CHOOSE(CONTROL!$C$9, $D$9, 100%, $F$9) + CHOOSE(CONTROL!$C$27, 0.0021, 0)</f>
        <v>38.151699999999998</v>
      </c>
      <c r="J302" s="10">
        <f>38.1496 * CHOOSE(CONTROL!$C$9, $D$9, 100%, $F$9) + CHOOSE(CONTROL!$C$27, 0.0021, 0)</f>
        <v>38.151699999999998</v>
      </c>
      <c r="K302" s="10">
        <f>38.1496 * CHOOSE(CONTROL!$C$9, $D$9, 100%, $F$9) + CHOOSE(CONTROL!$C$27, 0.0021, 0)</f>
        <v>38.151699999999998</v>
      </c>
      <c r="L302" s="10"/>
    </row>
    <row r="303" spans="1:12" ht="15.75">
      <c r="A303" s="14">
        <v>50525</v>
      </c>
      <c r="B303" s="10">
        <f>38.0549 * CHOOSE(CONTROL!$C$9, $D$9, 100%, $F$9) + CHOOSE(CONTROL!$C$27, 0.0021, 0)</f>
        <v>38.057000000000002</v>
      </c>
      <c r="C303" s="10">
        <f>37.6226 * CHOOSE(CONTROL!$C$9, $D$9, 100%, $F$9) + CHOOSE(CONTROL!$C$27, 0.0021, 0)</f>
        <v>37.624699999999997</v>
      </c>
      <c r="D303" s="10">
        <f>37.6226 * CHOOSE(CONTROL!$C$9, $D$9, 100%, $F$9) + CHOOSE(CONTROL!$C$27, 0.0021, 0)</f>
        <v>37.624699999999997</v>
      </c>
      <c r="E303" s="10">
        <f>37.486 * CHOOSE(CONTROL!$C$9, $D$9, 100%, $F$9) + CHOOSE(CONTROL!$C$27, 0.0021, 0)</f>
        <v>37.488099999999996</v>
      </c>
      <c r="F303" s="10">
        <f>37.486 * CHOOSE(CONTROL!$C$9, $D$9, 100%, $F$9) + CHOOSE(CONTROL!$C$27, 0.0021, 0)</f>
        <v>37.488099999999996</v>
      </c>
      <c r="G303" s="10">
        <f>37.7574 * CHOOSE(CONTROL!$C$9, $D$9, 100%, $F$9) + CHOOSE(CONTROL!$C$27, 0.0021, 0)</f>
        <v>37.759499999999996</v>
      </c>
      <c r="H303" s="10">
        <f>37.6226 * CHOOSE(CONTROL!$C$9, $D$9, 100%, $F$9) + CHOOSE(CONTROL!$C$27, 0.0021, 0)</f>
        <v>37.624699999999997</v>
      </c>
      <c r="I303" s="10">
        <f>37.6226 * CHOOSE(CONTROL!$C$9, $D$9, 100%, $F$9) + CHOOSE(CONTROL!$C$27, 0.0021, 0)</f>
        <v>37.624699999999997</v>
      </c>
      <c r="J303" s="10">
        <f>37.6226 * CHOOSE(CONTROL!$C$9, $D$9, 100%, $F$9) + CHOOSE(CONTROL!$C$27, 0.0021, 0)</f>
        <v>37.624699999999997</v>
      </c>
      <c r="K303" s="10">
        <f>37.6226 * CHOOSE(CONTROL!$C$9, $D$9, 100%, $F$9) + CHOOSE(CONTROL!$C$27, 0.0021, 0)</f>
        <v>37.624699999999997</v>
      </c>
      <c r="L303" s="10"/>
    </row>
    <row r="304" spans="1:12" ht="15.75">
      <c r="A304" s="14">
        <v>50556</v>
      </c>
      <c r="B304" s="10">
        <f>38.8059 * CHOOSE(CONTROL!$C$9, $D$9, 100%, $F$9) + CHOOSE(CONTROL!$C$27, 0.0021, 0)</f>
        <v>38.808</v>
      </c>
      <c r="C304" s="10">
        <f>38.3737 * CHOOSE(CONTROL!$C$9, $D$9, 100%, $F$9) + CHOOSE(CONTROL!$C$27, 0.0021, 0)</f>
        <v>38.375799999999998</v>
      </c>
      <c r="D304" s="10">
        <f>38.3737 * CHOOSE(CONTROL!$C$9, $D$9, 100%, $F$9) + CHOOSE(CONTROL!$C$27, 0.0021, 0)</f>
        <v>38.375799999999998</v>
      </c>
      <c r="E304" s="10">
        <f>38.237 * CHOOSE(CONTROL!$C$9, $D$9, 100%, $F$9) + CHOOSE(CONTROL!$C$27, 0.0021, 0)</f>
        <v>38.239100000000001</v>
      </c>
      <c r="F304" s="10">
        <f>38.237 * CHOOSE(CONTROL!$C$9, $D$9, 100%, $F$9) + CHOOSE(CONTROL!$C$27, 0.0021, 0)</f>
        <v>38.239100000000001</v>
      </c>
      <c r="G304" s="10">
        <f>38.5084 * CHOOSE(CONTROL!$C$9, $D$9, 100%, $F$9) + CHOOSE(CONTROL!$C$27, 0.0021, 0)</f>
        <v>38.5105</v>
      </c>
      <c r="H304" s="10">
        <f>38.3737 * CHOOSE(CONTROL!$C$9, $D$9, 100%, $F$9) + CHOOSE(CONTROL!$C$27, 0.0021, 0)</f>
        <v>38.375799999999998</v>
      </c>
      <c r="I304" s="10">
        <f>38.3737 * CHOOSE(CONTROL!$C$9, $D$9, 100%, $F$9) + CHOOSE(CONTROL!$C$27, 0.0021, 0)</f>
        <v>38.375799999999998</v>
      </c>
      <c r="J304" s="10">
        <f>38.3737 * CHOOSE(CONTROL!$C$9, $D$9, 100%, $F$9) + CHOOSE(CONTROL!$C$27, 0.0021, 0)</f>
        <v>38.375799999999998</v>
      </c>
      <c r="K304" s="10">
        <f>38.3737 * CHOOSE(CONTROL!$C$9, $D$9, 100%, $F$9) + CHOOSE(CONTROL!$C$27, 0.0021, 0)</f>
        <v>38.375799999999998</v>
      </c>
      <c r="L304" s="10"/>
    </row>
    <row r="305" spans="1:12" ht="15.75">
      <c r="A305" s="14">
        <v>50586</v>
      </c>
      <c r="B305" s="10">
        <f>39.2558 * CHOOSE(CONTROL!$C$9, $D$9, 100%, $F$9) + CHOOSE(CONTROL!$C$27, 0.0021, 0)</f>
        <v>39.257899999999999</v>
      </c>
      <c r="C305" s="10">
        <f>38.8235 * CHOOSE(CONTROL!$C$9, $D$9, 100%, $F$9) + CHOOSE(CONTROL!$C$27, 0.0021, 0)</f>
        <v>38.825600000000001</v>
      </c>
      <c r="D305" s="10">
        <f>38.8235 * CHOOSE(CONTROL!$C$9, $D$9, 100%, $F$9) + CHOOSE(CONTROL!$C$27, 0.0021, 0)</f>
        <v>38.825600000000001</v>
      </c>
      <c r="E305" s="10">
        <f>38.6868 * CHOOSE(CONTROL!$C$9, $D$9, 100%, $F$9) + CHOOSE(CONTROL!$C$27, 0.0021, 0)</f>
        <v>38.688899999999997</v>
      </c>
      <c r="F305" s="10">
        <f>38.6868 * CHOOSE(CONTROL!$C$9, $D$9, 100%, $F$9) + CHOOSE(CONTROL!$C$27, 0.0021, 0)</f>
        <v>38.688899999999997</v>
      </c>
      <c r="G305" s="10">
        <f>38.9582 * CHOOSE(CONTROL!$C$9, $D$9, 100%, $F$9) + CHOOSE(CONTROL!$C$27, 0.0021, 0)</f>
        <v>38.960299999999997</v>
      </c>
      <c r="H305" s="10">
        <f>38.8235 * CHOOSE(CONTROL!$C$9, $D$9, 100%, $F$9) + CHOOSE(CONTROL!$C$27, 0.0021, 0)</f>
        <v>38.825600000000001</v>
      </c>
      <c r="I305" s="10">
        <f>38.8235 * CHOOSE(CONTROL!$C$9, $D$9, 100%, $F$9) + CHOOSE(CONTROL!$C$27, 0.0021, 0)</f>
        <v>38.825600000000001</v>
      </c>
      <c r="J305" s="10">
        <f>38.8235 * CHOOSE(CONTROL!$C$9, $D$9, 100%, $F$9) + CHOOSE(CONTROL!$C$27, 0.0021, 0)</f>
        <v>38.825600000000001</v>
      </c>
      <c r="K305" s="10">
        <f>38.8235 * CHOOSE(CONTROL!$C$9, $D$9, 100%, $F$9) + CHOOSE(CONTROL!$C$27, 0.0021, 0)</f>
        <v>38.825600000000001</v>
      </c>
      <c r="L305" s="10"/>
    </row>
    <row r="306" spans="1:12" ht="15.75">
      <c r="A306" s="14">
        <v>50617</v>
      </c>
      <c r="B306" s="10">
        <f>39.9978 * CHOOSE(CONTROL!$C$9, $D$9, 100%, $F$9) + CHOOSE(CONTROL!$C$27, 0.0021, 0)</f>
        <v>39.999899999999997</v>
      </c>
      <c r="C306" s="10">
        <f>39.5656 * CHOOSE(CONTROL!$C$9, $D$9, 100%, $F$9) + CHOOSE(CONTROL!$C$27, 0.0021, 0)</f>
        <v>39.567700000000002</v>
      </c>
      <c r="D306" s="10">
        <f>39.5656 * CHOOSE(CONTROL!$C$9, $D$9, 100%, $F$9) + CHOOSE(CONTROL!$C$27, 0.0021, 0)</f>
        <v>39.567700000000002</v>
      </c>
      <c r="E306" s="10">
        <f>39.4289 * CHOOSE(CONTROL!$C$9, $D$9, 100%, $F$9) + CHOOSE(CONTROL!$C$27, 0.0021, 0)</f>
        <v>39.430999999999997</v>
      </c>
      <c r="F306" s="10">
        <f>39.4289 * CHOOSE(CONTROL!$C$9, $D$9, 100%, $F$9) + CHOOSE(CONTROL!$C$27, 0.0021, 0)</f>
        <v>39.430999999999997</v>
      </c>
      <c r="G306" s="10">
        <f>39.7003 * CHOOSE(CONTROL!$C$9, $D$9, 100%, $F$9) + CHOOSE(CONTROL!$C$27, 0.0021, 0)</f>
        <v>39.702399999999997</v>
      </c>
      <c r="H306" s="10">
        <f>39.5656 * CHOOSE(CONTROL!$C$9, $D$9, 100%, $F$9) + CHOOSE(CONTROL!$C$27, 0.0021, 0)</f>
        <v>39.567700000000002</v>
      </c>
      <c r="I306" s="10">
        <f>39.5656 * CHOOSE(CONTROL!$C$9, $D$9, 100%, $F$9) + CHOOSE(CONTROL!$C$27, 0.0021, 0)</f>
        <v>39.567700000000002</v>
      </c>
      <c r="J306" s="10">
        <f>39.5656 * CHOOSE(CONTROL!$C$9, $D$9, 100%, $F$9) + CHOOSE(CONTROL!$C$27, 0.0021, 0)</f>
        <v>39.567700000000002</v>
      </c>
      <c r="K306" s="10">
        <f>39.5656 * CHOOSE(CONTROL!$C$9, $D$9, 100%, $F$9) + CHOOSE(CONTROL!$C$27, 0.0021, 0)</f>
        <v>39.567700000000002</v>
      </c>
      <c r="L306" s="10"/>
    </row>
    <row r="307" spans="1:12" ht="15.75">
      <c r="A307" s="14">
        <v>50648</v>
      </c>
      <c r="B307" s="10">
        <f>40.2243 * CHOOSE(CONTROL!$C$9, $D$9, 100%, $F$9) + CHOOSE(CONTROL!$C$27, 0.0021, 0)</f>
        <v>40.226399999999998</v>
      </c>
      <c r="C307" s="10">
        <f>39.7921 * CHOOSE(CONTROL!$C$9, $D$9, 100%, $F$9) + CHOOSE(CONTROL!$C$27, 0.0021, 0)</f>
        <v>39.794199999999996</v>
      </c>
      <c r="D307" s="10">
        <f>39.7921 * CHOOSE(CONTROL!$C$9, $D$9, 100%, $F$9) + CHOOSE(CONTROL!$C$27, 0.0021, 0)</f>
        <v>39.794199999999996</v>
      </c>
      <c r="E307" s="10">
        <f>39.6554 * CHOOSE(CONTROL!$C$9, $D$9, 100%, $F$9) + CHOOSE(CONTROL!$C$27, 0.0021, 0)</f>
        <v>39.657499999999999</v>
      </c>
      <c r="F307" s="10">
        <f>39.6554 * CHOOSE(CONTROL!$C$9, $D$9, 100%, $F$9) + CHOOSE(CONTROL!$C$27, 0.0021, 0)</f>
        <v>39.657499999999999</v>
      </c>
      <c r="G307" s="10">
        <f>39.9268 * CHOOSE(CONTROL!$C$9, $D$9, 100%, $F$9) + CHOOSE(CONTROL!$C$27, 0.0021, 0)</f>
        <v>39.928899999999999</v>
      </c>
      <c r="H307" s="10">
        <f>39.7921 * CHOOSE(CONTROL!$C$9, $D$9, 100%, $F$9) + CHOOSE(CONTROL!$C$27, 0.0021, 0)</f>
        <v>39.794199999999996</v>
      </c>
      <c r="I307" s="10">
        <f>39.7921 * CHOOSE(CONTROL!$C$9, $D$9, 100%, $F$9) + CHOOSE(CONTROL!$C$27, 0.0021, 0)</f>
        <v>39.794199999999996</v>
      </c>
      <c r="J307" s="10">
        <f>39.7921 * CHOOSE(CONTROL!$C$9, $D$9, 100%, $F$9) + CHOOSE(CONTROL!$C$27, 0.0021, 0)</f>
        <v>39.794199999999996</v>
      </c>
      <c r="K307" s="10">
        <f>39.7921 * CHOOSE(CONTROL!$C$9, $D$9, 100%, $F$9) + CHOOSE(CONTROL!$C$27, 0.0021, 0)</f>
        <v>39.794199999999996</v>
      </c>
      <c r="L307" s="10"/>
    </row>
    <row r="308" spans="1:12" ht="15.75">
      <c r="A308" s="14">
        <v>50678</v>
      </c>
      <c r="B308" s="10">
        <f>40.9957 * CHOOSE(CONTROL!$C$9, $D$9, 100%, $F$9) + CHOOSE(CONTROL!$C$27, 0.0021, 0)</f>
        <v>40.997799999999998</v>
      </c>
      <c r="C308" s="10">
        <f>40.5634 * CHOOSE(CONTROL!$C$9, $D$9, 100%, $F$9) + CHOOSE(CONTROL!$C$27, 0.0021, 0)</f>
        <v>40.5655</v>
      </c>
      <c r="D308" s="10">
        <f>40.5634 * CHOOSE(CONTROL!$C$9, $D$9, 100%, $F$9) + CHOOSE(CONTROL!$C$27, 0.0021, 0)</f>
        <v>40.5655</v>
      </c>
      <c r="E308" s="10">
        <f>40.4268 * CHOOSE(CONTROL!$C$9, $D$9, 100%, $F$9) + CHOOSE(CONTROL!$C$27, 0.0021, 0)</f>
        <v>40.428899999999999</v>
      </c>
      <c r="F308" s="10">
        <f>40.4268 * CHOOSE(CONTROL!$C$9, $D$9, 100%, $F$9) + CHOOSE(CONTROL!$C$27, 0.0021, 0)</f>
        <v>40.428899999999999</v>
      </c>
      <c r="G308" s="10">
        <f>40.6981 * CHOOSE(CONTROL!$C$9, $D$9, 100%, $F$9) + CHOOSE(CONTROL!$C$27, 0.0021, 0)</f>
        <v>40.700199999999995</v>
      </c>
      <c r="H308" s="10">
        <f>40.5634 * CHOOSE(CONTROL!$C$9, $D$9, 100%, $F$9) + CHOOSE(CONTROL!$C$27, 0.0021, 0)</f>
        <v>40.5655</v>
      </c>
      <c r="I308" s="10">
        <f>40.5634 * CHOOSE(CONTROL!$C$9, $D$9, 100%, $F$9) + CHOOSE(CONTROL!$C$27, 0.0021, 0)</f>
        <v>40.5655</v>
      </c>
      <c r="J308" s="10">
        <f>40.5634 * CHOOSE(CONTROL!$C$9, $D$9, 100%, $F$9) + CHOOSE(CONTROL!$C$27, 0.0021, 0)</f>
        <v>40.5655</v>
      </c>
      <c r="K308" s="10">
        <f>40.5634 * CHOOSE(CONTROL!$C$9, $D$9, 100%, $F$9) + CHOOSE(CONTROL!$C$27, 0.0021, 0)</f>
        <v>40.5655</v>
      </c>
      <c r="L308" s="10"/>
    </row>
    <row r="309" spans="1:12" ht="15.75">
      <c r="A309" s="14">
        <v>50709</v>
      </c>
      <c r="B309" s="10">
        <f>41.9721 * CHOOSE(CONTROL!$C$9, $D$9, 100%, $F$9) + CHOOSE(CONTROL!$C$27, 0.0021, 0)</f>
        <v>41.974199999999996</v>
      </c>
      <c r="C309" s="10">
        <f>41.5398 * CHOOSE(CONTROL!$C$9, $D$9, 100%, $F$9) + CHOOSE(CONTROL!$C$27, 0.0021, 0)</f>
        <v>41.541899999999998</v>
      </c>
      <c r="D309" s="10">
        <f>41.5398 * CHOOSE(CONTROL!$C$9, $D$9, 100%, $F$9) + CHOOSE(CONTROL!$C$27, 0.0021, 0)</f>
        <v>41.541899999999998</v>
      </c>
      <c r="E309" s="10">
        <f>41.4031 * CHOOSE(CONTROL!$C$9, $D$9, 100%, $F$9) + CHOOSE(CONTROL!$C$27, 0.0021, 0)</f>
        <v>41.405200000000001</v>
      </c>
      <c r="F309" s="10">
        <f>41.4031 * CHOOSE(CONTROL!$C$9, $D$9, 100%, $F$9) + CHOOSE(CONTROL!$C$27, 0.0021, 0)</f>
        <v>41.405200000000001</v>
      </c>
      <c r="G309" s="10">
        <f>41.6745 * CHOOSE(CONTROL!$C$9, $D$9, 100%, $F$9) + CHOOSE(CONTROL!$C$27, 0.0021, 0)</f>
        <v>41.676600000000001</v>
      </c>
      <c r="H309" s="10">
        <f>41.5398 * CHOOSE(CONTROL!$C$9, $D$9, 100%, $F$9) + CHOOSE(CONTROL!$C$27, 0.0021, 0)</f>
        <v>41.541899999999998</v>
      </c>
      <c r="I309" s="10">
        <f>41.5398 * CHOOSE(CONTROL!$C$9, $D$9, 100%, $F$9) + CHOOSE(CONTROL!$C$27, 0.0021, 0)</f>
        <v>41.541899999999998</v>
      </c>
      <c r="J309" s="10">
        <f>41.5398 * CHOOSE(CONTROL!$C$9, $D$9, 100%, $F$9) + CHOOSE(CONTROL!$C$27, 0.0021, 0)</f>
        <v>41.541899999999998</v>
      </c>
      <c r="K309" s="10">
        <f>41.5398 * CHOOSE(CONTROL!$C$9, $D$9, 100%, $F$9) + CHOOSE(CONTROL!$C$27, 0.0021, 0)</f>
        <v>41.541899999999998</v>
      </c>
      <c r="L309" s="10"/>
    </row>
    <row r="310" spans="1:12" ht="15.75">
      <c r="A310" s="14">
        <v>50739</v>
      </c>
      <c r="B310" s="10">
        <f>42.0637 * CHOOSE(CONTROL!$C$9, $D$9, 100%, $F$9) + CHOOSE(CONTROL!$C$27, 0.0021, 0)</f>
        <v>42.065799999999996</v>
      </c>
      <c r="C310" s="10">
        <f>41.6315 * CHOOSE(CONTROL!$C$9, $D$9, 100%, $F$9) + CHOOSE(CONTROL!$C$27, 0.0021, 0)</f>
        <v>41.633600000000001</v>
      </c>
      <c r="D310" s="10">
        <f>41.6315 * CHOOSE(CONTROL!$C$9, $D$9, 100%, $F$9) + CHOOSE(CONTROL!$C$27, 0.0021, 0)</f>
        <v>41.633600000000001</v>
      </c>
      <c r="E310" s="10">
        <f>41.4948 * CHOOSE(CONTROL!$C$9, $D$9, 100%, $F$9) + CHOOSE(CONTROL!$C$27, 0.0021, 0)</f>
        <v>41.496899999999997</v>
      </c>
      <c r="F310" s="10">
        <f>41.4948 * CHOOSE(CONTROL!$C$9, $D$9, 100%, $F$9) + CHOOSE(CONTROL!$C$27, 0.0021, 0)</f>
        <v>41.496899999999997</v>
      </c>
      <c r="G310" s="10">
        <f>41.7662 * CHOOSE(CONTROL!$C$9, $D$9, 100%, $F$9) + CHOOSE(CONTROL!$C$27, 0.0021, 0)</f>
        <v>41.768299999999996</v>
      </c>
      <c r="H310" s="10">
        <f>41.6315 * CHOOSE(CONTROL!$C$9, $D$9, 100%, $F$9) + CHOOSE(CONTROL!$C$27, 0.0021, 0)</f>
        <v>41.633600000000001</v>
      </c>
      <c r="I310" s="10">
        <f>41.6315 * CHOOSE(CONTROL!$C$9, $D$9, 100%, $F$9) + CHOOSE(CONTROL!$C$27, 0.0021, 0)</f>
        <v>41.633600000000001</v>
      </c>
      <c r="J310" s="10">
        <f>41.6315 * CHOOSE(CONTROL!$C$9, $D$9, 100%, $F$9) + CHOOSE(CONTROL!$C$27, 0.0021, 0)</f>
        <v>41.633600000000001</v>
      </c>
      <c r="K310" s="10">
        <f>41.6315 * CHOOSE(CONTROL!$C$9, $D$9, 100%, $F$9) + CHOOSE(CONTROL!$C$27, 0.0021, 0)</f>
        <v>41.633600000000001</v>
      </c>
      <c r="L310" s="10"/>
    </row>
    <row r="311" spans="1:12" ht="15.75">
      <c r="A311" s="14">
        <v>50770</v>
      </c>
      <c r="B311" s="10">
        <f>41.2839 * CHOOSE(CONTROL!$C$9, $D$9, 100%, $F$9) + CHOOSE(CONTROL!$C$27, 0.0021, 0)</f>
        <v>41.286000000000001</v>
      </c>
      <c r="C311" s="10">
        <f>40.8516 * CHOOSE(CONTROL!$C$9, $D$9, 100%, $F$9) + CHOOSE(CONTROL!$C$27, 0.0021, 0)</f>
        <v>40.853699999999996</v>
      </c>
      <c r="D311" s="10">
        <f>40.8516 * CHOOSE(CONTROL!$C$9, $D$9, 100%, $F$9) + CHOOSE(CONTROL!$C$27, 0.0021, 0)</f>
        <v>40.853699999999996</v>
      </c>
      <c r="E311" s="10">
        <f>40.715 * CHOOSE(CONTROL!$C$9, $D$9, 100%, $F$9) + CHOOSE(CONTROL!$C$27, 0.0021, 0)</f>
        <v>40.717100000000002</v>
      </c>
      <c r="F311" s="10">
        <f>40.715 * CHOOSE(CONTROL!$C$9, $D$9, 100%, $F$9) + CHOOSE(CONTROL!$C$27, 0.0021, 0)</f>
        <v>40.717100000000002</v>
      </c>
      <c r="G311" s="10">
        <f>40.9864 * CHOOSE(CONTROL!$C$9, $D$9, 100%, $F$9) + CHOOSE(CONTROL!$C$27, 0.0021, 0)</f>
        <v>40.988500000000002</v>
      </c>
      <c r="H311" s="10">
        <f>40.8516 * CHOOSE(CONTROL!$C$9, $D$9, 100%, $F$9) + CHOOSE(CONTROL!$C$27, 0.0021, 0)</f>
        <v>40.853699999999996</v>
      </c>
      <c r="I311" s="10">
        <f>40.8516 * CHOOSE(CONTROL!$C$9, $D$9, 100%, $F$9) + CHOOSE(CONTROL!$C$27, 0.0021, 0)</f>
        <v>40.853699999999996</v>
      </c>
      <c r="J311" s="10">
        <f>40.8516 * CHOOSE(CONTROL!$C$9, $D$9, 100%, $F$9) + CHOOSE(CONTROL!$C$27, 0.0021, 0)</f>
        <v>40.853699999999996</v>
      </c>
      <c r="K311" s="10">
        <f>40.8516 * CHOOSE(CONTROL!$C$9, $D$9, 100%, $F$9) + CHOOSE(CONTROL!$C$27, 0.0021, 0)</f>
        <v>40.853699999999996</v>
      </c>
      <c r="L311" s="10"/>
    </row>
    <row r="312" spans="1:12" ht="15.75">
      <c r="A312" s="14">
        <v>50801</v>
      </c>
      <c r="B312" s="10">
        <f>40.6868 * CHOOSE(CONTROL!$C$9, $D$9, 100%, $F$9) + CHOOSE(CONTROL!$C$27, 0.0021, 0)</f>
        <v>40.688899999999997</v>
      </c>
      <c r="C312" s="10">
        <f>40.2546 * CHOOSE(CONTROL!$C$9, $D$9, 100%, $F$9) + CHOOSE(CONTROL!$C$27, 0.0021, 0)</f>
        <v>40.256700000000002</v>
      </c>
      <c r="D312" s="10">
        <f>40.2546 * CHOOSE(CONTROL!$C$9, $D$9, 100%, $F$9) + CHOOSE(CONTROL!$C$27, 0.0021, 0)</f>
        <v>40.256700000000002</v>
      </c>
      <c r="E312" s="10">
        <f>40.1179 * CHOOSE(CONTROL!$C$9, $D$9, 100%, $F$9) + CHOOSE(CONTROL!$C$27, 0.0021, 0)</f>
        <v>40.119999999999997</v>
      </c>
      <c r="F312" s="10">
        <f>40.1179 * CHOOSE(CONTROL!$C$9, $D$9, 100%, $F$9) + CHOOSE(CONTROL!$C$27, 0.0021, 0)</f>
        <v>40.119999999999997</v>
      </c>
      <c r="G312" s="10">
        <f>40.3893 * CHOOSE(CONTROL!$C$9, $D$9, 100%, $F$9) + CHOOSE(CONTROL!$C$27, 0.0021, 0)</f>
        <v>40.391399999999997</v>
      </c>
      <c r="H312" s="10">
        <f>40.2546 * CHOOSE(CONTROL!$C$9, $D$9, 100%, $F$9) + CHOOSE(CONTROL!$C$27, 0.0021, 0)</f>
        <v>40.256700000000002</v>
      </c>
      <c r="I312" s="10">
        <f>40.2546 * CHOOSE(CONTROL!$C$9, $D$9, 100%, $F$9) + CHOOSE(CONTROL!$C$27, 0.0021, 0)</f>
        <v>40.256700000000002</v>
      </c>
      <c r="J312" s="10">
        <f>40.2546 * CHOOSE(CONTROL!$C$9, $D$9, 100%, $F$9) + CHOOSE(CONTROL!$C$27, 0.0021, 0)</f>
        <v>40.256700000000002</v>
      </c>
      <c r="K312" s="10">
        <f>40.2546 * CHOOSE(CONTROL!$C$9, $D$9, 100%, $F$9) + CHOOSE(CONTROL!$C$27, 0.0021, 0)</f>
        <v>40.256700000000002</v>
      </c>
      <c r="L312" s="10"/>
    </row>
    <row r="313" spans="1:12" ht="15.75">
      <c r="A313" s="14">
        <v>50829</v>
      </c>
      <c r="B313" s="10">
        <f>39.6008 * CHOOSE(CONTROL!$C$9, $D$9, 100%, $F$9) + CHOOSE(CONTROL!$C$27, 0.0021, 0)</f>
        <v>39.602899999999998</v>
      </c>
      <c r="C313" s="10">
        <f>39.1686 * CHOOSE(CONTROL!$C$9, $D$9, 100%, $F$9) + CHOOSE(CONTROL!$C$27, 0.0021, 0)</f>
        <v>39.170699999999997</v>
      </c>
      <c r="D313" s="10">
        <f>39.1686 * CHOOSE(CONTROL!$C$9, $D$9, 100%, $F$9) + CHOOSE(CONTROL!$C$27, 0.0021, 0)</f>
        <v>39.170699999999997</v>
      </c>
      <c r="E313" s="10">
        <f>39.0319 * CHOOSE(CONTROL!$C$9, $D$9, 100%, $F$9) + CHOOSE(CONTROL!$C$27, 0.0021, 0)</f>
        <v>39.033999999999999</v>
      </c>
      <c r="F313" s="10">
        <f>39.0319 * CHOOSE(CONTROL!$C$9, $D$9, 100%, $F$9) + CHOOSE(CONTROL!$C$27, 0.0021, 0)</f>
        <v>39.033999999999999</v>
      </c>
      <c r="G313" s="10">
        <f>39.3033 * CHOOSE(CONTROL!$C$9, $D$9, 100%, $F$9) + CHOOSE(CONTROL!$C$27, 0.0021, 0)</f>
        <v>39.305399999999999</v>
      </c>
      <c r="H313" s="10">
        <f>39.1686 * CHOOSE(CONTROL!$C$9, $D$9, 100%, $F$9) + CHOOSE(CONTROL!$C$27, 0.0021, 0)</f>
        <v>39.170699999999997</v>
      </c>
      <c r="I313" s="10">
        <f>39.1686 * CHOOSE(CONTROL!$C$9, $D$9, 100%, $F$9) + CHOOSE(CONTROL!$C$27, 0.0021, 0)</f>
        <v>39.170699999999997</v>
      </c>
      <c r="J313" s="10">
        <f>39.1686 * CHOOSE(CONTROL!$C$9, $D$9, 100%, $F$9) + CHOOSE(CONTROL!$C$27, 0.0021, 0)</f>
        <v>39.170699999999997</v>
      </c>
      <c r="K313" s="10">
        <f>39.1686 * CHOOSE(CONTROL!$C$9, $D$9, 100%, $F$9) + CHOOSE(CONTROL!$C$27, 0.0021, 0)</f>
        <v>39.170699999999997</v>
      </c>
      <c r="L313" s="10"/>
    </row>
    <row r="314" spans="1:12" ht="15.75">
      <c r="A314" s="14">
        <v>50860</v>
      </c>
      <c r="B314" s="10">
        <f>39.1525 * CHOOSE(CONTROL!$C$9, $D$9, 100%, $F$9) + CHOOSE(CONTROL!$C$27, 0.0021, 0)</f>
        <v>39.154600000000002</v>
      </c>
      <c r="C314" s="10">
        <f>38.7203 * CHOOSE(CONTROL!$C$9, $D$9, 100%, $F$9) + CHOOSE(CONTROL!$C$27, 0.0021, 0)</f>
        <v>38.7224</v>
      </c>
      <c r="D314" s="10">
        <f>38.7203 * CHOOSE(CONTROL!$C$9, $D$9, 100%, $F$9) + CHOOSE(CONTROL!$C$27, 0.0021, 0)</f>
        <v>38.7224</v>
      </c>
      <c r="E314" s="10">
        <f>38.5836 * CHOOSE(CONTROL!$C$9, $D$9, 100%, $F$9) + CHOOSE(CONTROL!$C$27, 0.0021, 0)</f>
        <v>38.585699999999996</v>
      </c>
      <c r="F314" s="10">
        <f>38.5836 * CHOOSE(CONTROL!$C$9, $D$9, 100%, $F$9) + CHOOSE(CONTROL!$C$27, 0.0021, 0)</f>
        <v>38.585699999999996</v>
      </c>
      <c r="G314" s="10">
        <f>38.855 * CHOOSE(CONTROL!$C$9, $D$9, 100%, $F$9) + CHOOSE(CONTROL!$C$27, 0.0021, 0)</f>
        <v>38.857099999999996</v>
      </c>
      <c r="H314" s="10">
        <f>38.7203 * CHOOSE(CONTROL!$C$9, $D$9, 100%, $F$9) + CHOOSE(CONTROL!$C$27, 0.0021, 0)</f>
        <v>38.7224</v>
      </c>
      <c r="I314" s="10">
        <f>38.7203 * CHOOSE(CONTROL!$C$9, $D$9, 100%, $F$9) + CHOOSE(CONTROL!$C$27, 0.0021, 0)</f>
        <v>38.7224</v>
      </c>
      <c r="J314" s="10">
        <f>38.7203 * CHOOSE(CONTROL!$C$9, $D$9, 100%, $F$9) + CHOOSE(CONTROL!$C$27, 0.0021, 0)</f>
        <v>38.7224</v>
      </c>
      <c r="K314" s="10">
        <f>38.7203 * CHOOSE(CONTROL!$C$9, $D$9, 100%, $F$9) + CHOOSE(CONTROL!$C$27, 0.0021, 0)</f>
        <v>38.7224</v>
      </c>
      <c r="L314" s="10"/>
    </row>
    <row r="315" spans="1:12" ht="15.75">
      <c r="A315" s="14">
        <v>50890</v>
      </c>
      <c r="B315" s="10">
        <f>38.6172 * CHOOSE(CONTROL!$C$9, $D$9, 100%, $F$9) + CHOOSE(CONTROL!$C$27, 0.0021, 0)</f>
        <v>38.619299999999996</v>
      </c>
      <c r="C315" s="10">
        <f>38.185 * CHOOSE(CONTROL!$C$9, $D$9, 100%, $F$9) + CHOOSE(CONTROL!$C$27, 0.0021, 0)</f>
        <v>38.187100000000001</v>
      </c>
      <c r="D315" s="10">
        <f>38.185 * CHOOSE(CONTROL!$C$9, $D$9, 100%, $F$9) + CHOOSE(CONTROL!$C$27, 0.0021, 0)</f>
        <v>38.187100000000001</v>
      </c>
      <c r="E315" s="10">
        <f>38.0483 * CHOOSE(CONTROL!$C$9, $D$9, 100%, $F$9) + CHOOSE(CONTROL!$C$27, 0.0021, 0)</f>
        <v>38.050399999999996</v>
      </c>
      <c r="F315" s="10">
        <f>38.0483 * CHOOSE(CONTROL!$C$9, $D$9, 100%, $F$9) + CHOOSE(CONTROL!$C$27, 0.0021, 0)</f>
        <v>38.050399999999996</v>
      </c>
      <c r="G315" s="10">
        <f>38.3197 * CHOOSE(CONTROL!$C$9, $D$9, 100%, $F$9) + CHOOSE(CONTROL!$C$27, 0.0021, 0)</f>
        <v>38.321799999999996</v>
      </c>
      <c r="H315" s="10">
        <f>38.185 * CHOOSE(CONTROL!$C$9, $D$9, 100%, $F$9) + CHOOSE(CONTROL!$C$27, 0.0021, 0)</f>
        <v>38.187100000000001</v>
      </c>
      <c r="I315" s="10">
        <f>38.185 * CHOOSE(CONTROL!$C$9, $D$9, 100%, $F$9) + CHOOSE(CONTROL!$C$27, 0.0021, 0)</f>
        <v>38.187100000000001</v>
      </c>
      <c r="J315" s="10">
        <f>38.185 * CHOOSE(CONTROL!$C$9, $D$9, 100%, $F$9) + CHOOSE(CONTROL!$C$27, 0.0021, 0)</f>
        <v>38.187100000000001</v>
      </c>
      <c r="K315" s="10">
        <f>38.185 * CHOOSE(CONTROL!$C$9, $D$9, 100%, $F$9) + CHOOSE(CONTROL!$C$27, 0.0021, 0)</f>
        <v>38.187100000000001</v>
      </c>
      <c r="L315" s="10"/>
    </row>
    <row r="316" spans="1:12" ht="15.75">
      <c r="A316" s="14">
        <v>50921</v>
      </c>
      <c r="B316" s="10">
        <f>39.3801 * CHOOSE(CONTROL!$C$9, $D$9, 100%, $F$9) + CHOOSE(CONTROL!$C$27, 0.0021, 0)</f>
        <v>39.382199999999997</v>
      </c>
      <c r="C316" s="10">
        <f>38.9478 * CHOOSE(CONTROL!$C$9, $D$9, 100%, $F$9) + CHOOSE(CONTROL!$C$27, 0.0021, 0)</f>
        <v>38.9499</v>
      </c>
      <c r="D316" s="10">
        <f>38.9478 * CHOOSE(CONTROL!$C$9, $D$9, 100%, $F$9) + CHOOSE(CONTROL!$C$27, 0.0021, 0)</f>
        <v>38.9499</v>
      </c>
      <c r="E316" s="10">
        <f>38.8112 * CHOOSE(CONTROL!$C$9, $D$9, 100%, $F$9) + CHOOSE(CONTROL!$C$27, 0.0021, 0)</f>
        <v>38.813299999999998</v>
      </c>
      <c r="F316" s="10">
        <f>38.8112 * CHOOSE(CONTROL!$C$9, $D$9, 100%, $F$9) + CHOOSE(CONTROL!$C$27, 0.0021, 0)</f>
        <v>38.813299999999998</v>
      </c>
      <c r="G316" s="10">
        <f>39.0826 * CHOOSE(CONTROL!$C$9, $D$9, 100%, $F$9) + CHOOSE(CONTROL!$C$27, 0.0021, 0)</f>
        <v>39.084699999999998</v>
      </c>
      <c r="H316" s="10">
        <f>38.9478 * CHOOSE(CONTROL!$C$9, $D$9, 100%, $F$9) + CHOOSE(CONTROL!$C$27, 0.0021, 0)</f>
        <v>38.9499</v>
      </c>
      <c r="I316" s="10">
        <f>38.9478 * CHOOSE(CONTROL!$C$9, $D$9, 100%, $F$9) + CHOOSE(CONTROL!$C$27, 0.0021, 0)</f>
        <v>38.9499</v>
      </c>
      <c r="J316" s="10">
        <f>38.9478 * CHOOSE(CONTROL!$C$9, $D$9, 100%, $F$9) + CHOOSE(CONTROL!$C$27, 0.0021, 0)</f>
        <v>38.9499</v>
      </c>
      <c r="K316" s="10">
        <f>38.9478 * CHOOSE(CONTROL!$C$9, $D$9, 100%, $F$9) + CHOOSE(CONTROL!$C$27, 0.0021, 0)</f>
        <v>38.9499</v>
      </c>
      <c r="L316" s="10"/>
    </row>
    <row r="317" spans="1:12" ht="15.75">
      <c r="A317" s="14">
        <v>50951</v>
      </c>
      <c r="B317" s="10">
        <f>39.837 * CHOOSE(CONTROL!$C$9, $D$9, 100%, $F$9) + CHOOSE(CONTROL!$C$27, 0.0021, 0)</f>
        <v>39.839100000000002</v>
      </c>
      <c r="C317" s="10">
        <f>39.4048 * CHOOSE(CONTROL!$C$9, $D$9, 100%, $F$9) + CHOOSE(CONTROL!$C$27, 0.0021, 0)</f>
        <v>39.4069</v>
      </c>
      <c r="D317" s="10">
        <f>39.4048 * CHOOSE(CONTROL!$C$9, $D$9, 100%, $F$9) + CHOOSE(CONTROL!$C$27, 0.0021, 0)</f>
        <v>39.4069</v>
      </c>
      <c r="E317" s="10">
        <f>39.2681 * CHOOSE(CONTROL!$C$9, $D$9, 100%, $F$9) + CHOOSE(CONTROL!$C$27, 0.0021, 0)</f>
        <v>39.270199999999996</v>
      </c>
      <c r="F317" s="10">
        <f>39.2681 * CHOOSE(CONTROL!$C$9, $D$9, 100%, $F$9) + CHOOSE(CONTROL!$C$27, 0.0021, 0)</f>
        <v>39.270199999999996</v>
      </c>
      <c r="G317" s="10">
        <f>39.5395 * CHOOSE(CONTROL!$C$9, $D$9, 100%, $F$9) + CHOOSE(CONTROL!$C$27, 0.0021, 0)</f>
        <v>39.541599999999995</v>
      </c>
      <c r="H317" s="10">
        <f>39.4048 * CHOOSE(CONTROL!$C$9, $D$9, 100%, $F$9) + CHOOSE(CONTROL!$C$27, 0.0021, 0)</f>
        <v>39.4069</v>
      </c>
      <c r="I317" s="10">
        <f>39.4048 * CHOOSE(CONTROL!$C$9, $D$9, 100%, $F$9) + CHOOSE(CONTROL!$C$27, 0.0021, 0)</f>
        <v>39.4069</v>
      </c>
      <c r="J317" s="10">
        <f>39.4048 * CHOOSE(CONTROL!$C$9, $D$9, 100%, $F$9) + CHOOSE(CONTROL!$C$27, 0.0021, 0)</f>
        <v>39.4069</v>
      </c>
      <c r="K317" s="10">
        <f>39.4048 * CHOOSE(CONTROL!$C$9, $D$9, 100%, $F$9) + CHOOSE(CONTROL!$C$27, 0.0021, 0)</f>
        <v>39.4069</v>
      </c>
      <c r="L317" s="10"/>
    </row>
    <row r="318" spans="1:12" ht="15.75">
      <c r="A318" s="14">
        <v>50982</v>
      </c>
      <c r="B318" s="10">
        <f>40.5907 * CHOOSE(CONTROL!$C$9, $D$9, 100%, $F$9) + CHOOSE(CONTROL!$C$27, 0.0021, 0)</f>
        <v>40.592799999999997</v>
      </c>
      <c r="C318" s="10">
        <f>40.1585 * CHOOSE(CONTROL!$C$9, $D$9, 100%, $F$9) + CHOOSE(CONTROL!$C$27, 0.0021, 0)</f>
        <v>40.160599999999995</v>
      </c>
      <c r="D318" s="10">
        <f>40.1585 * CHOOSE(CONTROL!$C$9, $D$9, 100%, $F$9) + CHOOSE(CONTROL!$C$27, 0.0021, 0)</f>
        <v>40.160599999999995</v>
      </c>
      <c r="E318" s="10">
        <f>40.0218 * CHOOSE(CONTROL!$C$9, $D$9, 100%, $F$9) + CHOOSE(CONTROL!$C$27, 0.0021, 0)</f>
        <v>40.023899999999998</v>
      </c>
      <c r="F318" s="10">
        <f>40.0218 * CHOOSE(CONTROL!$C$9, $D$9, 100%, $F$9) + CHOOSE(CONTROL!$C$27, 0.0021, 0)</f>
        <v>40.023899999999998</v>
      </c>
      <c r="G318" s="10">
        <f>40.2932 * CHOOSE(CONTROL!$C$9, $D$9, 100%, $F$9) + CHOOSE(CONTROL!$C$27, 0.0021, 0)</f>
        <v>40.295299999999997</v>
      </c>
      <c r="H318" s="10">
        <f>40.1585 * CHOOSE(CONTROL!$C$9, $D$9, 100%, $F$9) + CHOOSE(CONTROL!$C$27, 0.0021, 0)</f>
        <v>40.160599999999995</v>
      </c>
      <c r="I318" s="10">
        <f>40.1585 * CHOOSE(CONTROL!$C$9, $D$9, 100%, $F$9) + CHOOSE(CONTROL!$C$27, 0.0021, 0)</f>
        <v>40.160599999999995</v>
      </c>
      <c r="J318" s="10">
        <f>40.1585 * CHOOSE(CONTROL!$C$9, $D$9, 100%, $F$9) + CHOOSE(CONTROL!$C$27, 0.0021, 0)</f>
        <v>40.160599999999995</v>
      </c>
      <c r="K318" s="10">
        <f>40.1585 * CHOOSE(CONTROL!$C$9, $D$9, 100%, $F$9) + CHOOSE(CONTROL!$C$27, 0.0021, 0)</f>
        <v>40.160599999999995</v>
      </c>
      <c r="L318" s="10"/>
    </row>
    <row r="319" spans="1:12" ht="15.75">
      <c r="A319" s="14">
        <v>51013</v>
      </c>
      <c r="B319" s="10">
        <f>40.8208 * CHOOSE(CONTROL!$C$9, $D$9, 100%, $F$9) + CHOOSE(CONTROL!$C$27, 0.0021, 0)</f>
        <v>40.822899999999997</v>
      </c>
      <c r="C319" s="10">
        <f>40.3885 * CHOOSE(CONTROL!$C$9, $D$9, 100%, $F$9) + CHOOSE(CONTROL!$C$27, 0.0021, 0)</f>
        <v>40.390599999999999</v>
      </c>
      <c r="D319" s="10">
        <f>40.3885 * CHOOSE(CONTROL!$C$9, $D$9, 100%, $F$9) + CHOOSE(CONTROL!$C$27, 0.0021, 0)</f>
        <v>40.390599999999999</v>
      </c>
      <c r="E319" s="10">
        <f>40.2519 * CHOOSE(CONTROL!$C$9, $D$9, 100%, $F$9) + CHOOSE(CONTROL!$C$27, 0.0021, 0)</f>
        <v>40.253999999999998</v>
      </c>
      <c r="F319" s="10">
        <f>40.2519 * CHOOSE(CONTROL!$C$9, $D$9, 100%, $F$9) + CHOOSE(CONTROL!$C$27, 0.0021, 0)</f>
        <v>40.253999999999998</v>
      </c>
      <c r="G319" s="10">
        <f>40.5233 * CHOOSE(CONTROL!$C$9, $D$9, 100%, $F$9) + CHOOSE(CONTROL!$C$27, 0.0021, 0)</f>
        <v>40.525399999999998</v>
      </c>
      <c r="H319" s="10">
        <f>40.3885 * CHOOSE(CONTROL!$C$9, $D$9, 100%, $F$9) + CHOOSE(CONTROL!$C$27, 0.0021, 0)</f>
        <v>40.390599999999999</v>
      </c>
      <c r="I319" s="10">
        <f>40.3885 * CHOOSE(CONTROL!$C$9, $D$9, 100%, $F$9) + CHOOSE(CONTROL!$C$27, 0.0021, 0)</f>
        <v>40.390599999999999</v>
      </c>
      <c r="J319" s="10">
        <f>40.3885 * CHOOSE(CONTROL!$C$9, $D$9, 100%, $F$9) + CHOOSE(CONTROL!$C$27, 0.0021, 0)</f>
        <v>40.390599999999999</v>
      </c>
      <c r="K319" s="10">
        <f>40.3885 * CHOOSE(CONTROL!$C$9, $D$9, 100%, $F$9) + CHOOSE(CONTROL!$C$27, 0.0021, 0)</f>
        <v>40.390599999999999</v>
      </c>
      <c r="L319" s="10"/>
    </row>
    <row r="320" spans="1:12" ht="15.75">
      <c r="A320" s="14">
        <v>51043</v>
      </c>
      <c r="B320" s="10">
        <f>41.6043 * CHOOSE(CONTROL!$C$9, $D$9, 100%, $F$9) + CHOOSE(CONTROL!$C$27, 0.0021, 0)</f>
        <v>41.606400000000001</v>
      </c>
      <c r="C320" s="10">
        <f>41.172 * CHOOSE(CONTROL!$C$9, $D$9, 100%, $F$9) + CHOOSE(CONTROL!$C$27, 0.0021, 0)</f>
        <v>41.174099999999996</v>
      </c>
      <c r="D320" s="10">
        <f>41.172 * CHOOSE(CONTROL!$C$9, $D$9, 100%, $F$9) + CHOOSE(CONTROL!$C$27, 0.0021, 0)</f>
        <v>41.174099999999996</v>
      </c>
      <c r="E320" s="10">
        <f>41.0354 * CHOOSE(CONTROL!$C$9, $D$9, 100%, $F$9) + CHOOSE(CONTROL!$C$27, 0.0021, 0)</f>
        <v>41.037500000000001</v>
      </c>
      <c r="F320" s="10">
        <f>41.0354 * CHOOSE(CONTROL!$C$9, $D$9, 100%, $F$9) + CHOOSE(CONTROL!$C$27, 0.0021, 0)</f>
        <v>41.037500000000001</v>
      </c>
      <c r="G320" s="10">
        <f>41.3067 * CHOOSE(CONTROL!$C$9, $D$9, 100%, $F$9) + CHOOSE(CONTROL!$C$27, 0.0021, 0)</f>
        <v>41.308799999999998</v>
      </c>
      <c r="H320" s="10">
        <f>41.172 * CHOOSE(CONTROL!$C$9, $D$9, 100%, $F$9) + CHOOSE(CONTROL!$C$27, 0.0021, 0)</f>
        <v>41.174099999999996</v>
      </c>
      <c r="I320" s="10">
        <f>41.172 * CHOOSE(CONTROL!$C$9, $D$9, 100%, $F$9) + CHOOSE(CONTROL!$C$27, 0.0021, 0)</f>
        <v>41.174099999999996</v>
      </c>
      <c r="J320" s="10">
        <f>41.172 * CHOOSE(CONTROL!$C$9, $D$9, 100%, $F$9) + CHOOSE(CONTROL!$C$27, 0.0021, 0)</f>
        <v>41.174099999999996</v>
      </c>
      <c r="K320" s="10">
        <f>41.172 * CHOOSE(CONTROL!$C$9, $D$9, 100%, $F$9) + CHOOSE(CONTROL!$C$27, 0.0021, 0)</f>
        <v>41.174099999999996</v>
      </c>
      <c r="L320" s="10"/>
    </row>
    <row r="321" spans="1:12" ht="15.75">
      <c r="A321" s="14">
        <v>51074</v>
      </c>
      <c r="B321" s="10">
        <f>42.596 * CHOOSE(CONTROL!$C$9, $D$9, 100%, $F$9) + CHOOSE(CONTROL!$C$27, 0.0021, 0)</f>
        <v>42.598099999999995</v>
      </c>
      <c r="C321" s="10">
        <f>42.1638 * CHOOSE(CONTROL!$C$9, $D$9, 100%, $F$9) + CHOOSE(CONTROL!$C$27, 0.0021, 0)</f>
        <v>42.165900000000001</v>
      </c>
      <c r="D321" s="10">
        <f>42.1638 * CHOOSE(CONTROL!$C$9, $D$9, 100%, $F$9) + CHOOSE(CONTROL!$C$27, 0.0021, 0)</f>
        <v>42.165900000000001</v>
      </c>
      <c r="E321" s="10">
        <f>42.0271 * CHOOSE(CONTROL!$C$9, $D$9, 100%, $F$9) + CHOOSE(CONTROL!$C$27, 0.0021, 0)</f>
        <v>42.029199999999996</v>
      </c>
      <c r="F321" s="10">
        <f>42.0271 * CHOOSE(CONTROL!$C$9, $D$9, 100%, $F$9) + CHOOSE(CONTROL!$C$27, 0.0021, 0)</f>
        <v>42.029199999999996</v>
      </c>
      <c r="G321" s="10">
        <f>42.2985 * CHOOSE(CONTROL!$C$9, $D$9, 100%, $F$9) + CHOOSE(CONTROL!$C$27, 0.0021, 0)</f>
        <v>42.300599999999996</v>
      </c>
      <c r="H321" s="10">
        <f>42.1638 * CHOOSE(CONTROL!$C$9, $D$9, 100%, $F$9) + CHOOSE(CONTROL!$C$27, 0.0021, 0)</f>
        <v>42.165900000000001</v>
      </c>
      <c r="I321" s="10">
        <f>42.1638 * CHOOSE(CONTROL!$C$9, $D$9, 100%, $F$9) + CHOOSE(CONTROL!$C$27, 0.0021, 0)</f>
        <v>42.165900000000001</v>
      </c>
      <c r="J321" s="10">
        <f>42.1638 * CHOOSE(CONTROL!$C$9, $D$9, 100%, $F$9) + CHOOSE(CONTROL!$C$27, 0.0021, 0)</f>
        <v>42.165900000000001</v>
      </c>
      <c r="K321" s="10">
        <f>42.1638 * CHOOSE(CONTROL!$C$9, $D$9, 100%, $F$9) + CHOOSE(CONTROL!$C$27, 0.0021, 0)</f>
        <v>42.165900000000001</v>
      </c>
      <c r="L321" s="10"/>
    </row>
    <row r="322" spans="1:12" ht="15.75">
      <c r="A322" s="14">
        <v>51104</v>
      </c>
      <c r="B322" s="10">
        <f>42.6891 * CHOOSE(CONTROL!$C$9, $D$9, 100%, $F$9) + CHOOSE(CONTROL!$C$27, 0.0021, 0)</f>
        <v>42.691200000000002</v>
      </c>
      <c r="C322" s="10">
        <f>42.2569 * CHOOSE(CONTROL!$C$9, $D$9, 100%, $F$9) + CHOOSE(CONTROL!$C$27, 0.0021, 0)</f>
        <v>42.259</v>
      </c>
      <c r="D322" s="10">
        <f>42.2569 * CHOOSE(CONTROL!$C$9, $D$9, 100%, $F$9) + CHOOSE(CONTROL!$C$27, 0.0021, 0)</f>
        <v>42.259</v>
      </c>
      <c r="E322" s="10">
        <f>42.1202 * CHOOSE(CONTROL!$C$9, $D$9, 100%, $F$9) + CHOOSE(CONTROL!$C$27, 0.0021, 0)</f>
        <v>42.122299999999996</v>
      </c>
      <c r="F322" s="10">
        <f>42.1202 * CHOOSE(CONTROL!$C$9, $D$9, 100%, $F$9) + CHOOSE(CONTROL!$C$27, 0.0021, 0)</f>
        <v>42.122299999999996</v>
      </c>
      <c r="G322" s="10">
        <f>42.3916 * CHOOSE(CONTROL!$C$9, $D$9, 100%, $F$9) + CHOOSE(CONTROL!$C$27, 0.0021, 0)</f>
        <v>42.393699999999995</v>
      </c>
      <c r="H322" s="10">
        <f>42.2569 * CHOOSE(CONTROL!$C$9, $D$9, 100%, $F$9) + CHOOSE(CONTROL!$C$27, 0.0021, 0)</f>
        <v>42.259</v>
      </c>
      <c r="I322" s="10">
        <f>42.2569 * CHOOSE(CONTROL!$C$9, $D$9, 100%, $F$9) + CHOOSE(CONTROL!$C$27, 0.0021, 0)</f>
        <v>42.259</v>
      </c>
      <c r="J322" s="10">
        <f>42.2569 * CHOOSE(CONTROL!$C$9, $D$9, 100%, $F$9) + CHOOSE(CONTROL!$C$27, 0.0021, 0)</f>
        <v>42.259</v>
      </c>
      <c r="K322" s="10">
        <f>42.2569 * CHOOSE(CONTROL!$C$9, $D$9, 100%, $F$9) + CHOOSE(CONTROL!$C$27, 0.0021, 0)</f>
        <v>42.259</v>
      </c>
      <c r="L322" s="10"/>
    </row>
    <row r="323" spans="1:12" ht="15.75">
      <c r="A323" s="14">
        <v>51135</v>
      </c>
      <c r="B323" s="10">
        <f>41.897 * CHOOSE(CONTROL!$C$9, $D$9, 100%, $F$9) + CHOOSE(CONTROL!$C$27, 0.0021, 0)</f>
        <v>41.899099999999997</v>
      </c>
      <c r="C323" s="10">
        <f>41.4648 * CHOOSE(CONTROL!$C$9, $D$9, 100%, $F$9) + CHOOSE(CONTROL!$C$27, 0.0021, 0)</f>
        <v>41.466899999999995</v>
      </c>
      <c r="D323" s="10">
        <f>41.4648 * CHOOSE(CONTROL!$C$9, $D$9, 100%, $F$9) + CHOOSE(CONTROL!$C$27, 0.0021, 0)</f>
        <v>41.466899999999995</v>
      </c>
      <c r="E323" s="10">
        <f>41.3281 * CHOOSE(CONTROL!$C$9, $D$9, 100%, $F$9) + CHOOSE(CONTROL!$C$27, 0.0021, 0)</f>
        <v>41.330199999999998</v>
      </c>
      <c r="F323" s="10">
        <f>41.3281 * CHOOSE(CONTROL!$C$9, $D$9, 100%, $F$9) + CHOOSE(CONTROL!$C$27, 0.0021, 0)</f>
        <v>41.330199999999998</v>
      </c>
      <c r="G323" s="10">
        <f>41.5995 * CHOOSE(CONTROL!$C$9, $D$9, 100%, $F$9) + CHOOSE(CONTROL!$C$27, 0.0021, 0)</f>
        <v>41.601599999999998</v>
      </c>
      <c r="H323" s="10">
        <f>41.4648 * CHOOSE(CONTROL!$C$9, $D$9, 100%, $F$9) + CHOOSE(CONTROL!$C$27, 0.0021, 0)</f>
        <v>41.466899999999995</v>
      </c>
      <c r="I323" s="10">
        <f>41.4648 * CHOOSE(CONTROL!$C$9, $D$9, 100%, $F$9) + CHOOSE(CONTROL!$C$27, 0.0021, 0)</f>
        <v>41.466899999999995</v>
      </c>
      <c r="J323" s="10">
        <f>41.4648 * CHOOSE(CONTROL!$C$9, $D$9, 100%, $F$9) + CHOOSE(CONTROL!$C$27, 0.0021, 0)</f>
        <v>41.466899999999995</v>
      </c>
      <c r="K323" s="10">
        <f>41.4648 * CHOOSE(CONTROL!$C$9, $D$9, 100%, $F$9) + CHOOSE(CONTROL!$C$27, 0.0021, 0)</f>
        <v>41.466899999999995</v>
      </c>
      <c r="L323" s="10"/>
    </row>
    <row r="324" spans="1:12" ht="15.75">
      <c r="A324" s="14">
        <v>51166</v>
      </c>
      <c r="B324" s="10">
        <f>41.2906 * CHOOSE(CONTROL!$C$9, $D$9, 100%, $F$9) + CHOOSE(CONTROL!$C$27, 0.0021, 0)</f>
        <v>41.292699999999996</v>
      </c>
      <c r="C324" s="10">
        <f>40.8583 * CHOOSE(CONTROL!$C$9, $D$9, 100%, $F$9) + CHOOSE(CONTROL!$C$27, 0.0021, 0)</f>
        <v>40.860399999999998</v>
      </c>
      <c r="D324" s="10">
        <f>40.8583 * CHOOSE(CONTROL!$C$9, $D$9, 100%, $F$9) + CHOOSE(CONTROL!$C$27, 0.0021, 0)</f>
        <v>40.860399999999998</v>
      </c>
      <c r="E324" s="10">
        <f>40.7217 * CHOOSE(CONTROL!$C$9, $D$9, 100%, $F$9) + CHOOSE(CONTROL!$C$27, 0.0021, 0)</f>
        <v>40.723799999999997</v>
      </c>
      <c r="F324" s="10">
        <f>40.7217 * CHOOSE(CONTROL!$C$9, $D$9, 100%, $F$9) + CHOOSE(CONTROL!$C$27, 0.0021, 0)</f>
        <v>40.723799999999997</v>
      </c>
      <c r="G324" s="10">
        <f>40.9931 * CHOOSE(CONTROL!$C$9, $D$9, 100%, $F$9) + CHOOSE(CONTROL!$C$27, 0.0021, 0)</f>
        <v>40.995199999999997</v>
      </c>
      <c r="H324" s="10">
        <f>40.8583 * CHOOSE(CONTROL!$C$9, $D$9, 100%, $F$9) + CHOOSE(CONTROL!$C$27, 0.0021, 0)</f>
        <v>40.860399999999998</v>
      </c>
      <c r="I324" s="10">
        <f>40.8583 * CHOOSE(CONTROL!$C$9, $D$9, 100%, $F$9) + CHOOSE(CONTROL!$C$27, 0.0021, 0)</f>
        <v>40.860399999999998</v>
      </c>
      <c r="J324" s="10">
        <f>40.8583 * CHOOSE(CONTROL!$C$9, $D$9, 100%, $F$9) + CHOOSE(CONTROL!$C$27, 0.0021, 0)</f>
        <v>40.860399999999998</v>
      </c>
      <c r="K324" s="10">
        <f>40.8583 * CHOOSE(CONTROL!$C$9, $D$9, 100%, $F$9) + CHOOSE(CONTROL!$C$27, 0.0021, 0)</f>
        <v>40.860399999999998</v>
      </c>
      <c r="L324" s="10"/>
    </row>
    <row r="325" spans="1:12" ht="15.75">
      <c r="A325" s="14">
        <v>51194</v>
      </c>
      <c r="B325" s="10">
        <f>40.1875 * CHOOSE(CONTROL!$C$9, $D$9, 100%, $F$9) + CHOOSE(CONTROL!$C$27, 0.0021, 0)</f>
        <v>40.189599999999999</v>
      </c>
      <c r="C325" s="10">
        <f>39.7553 * CHOOSE(CONTROL!$C$9, $D$9, 100%, $F$9) + CHOOSE(CONTROL!$C$27, 0.0021, 0)</f>
        <v>39.757399999999997</v>
      </c>
      <c r="D325" s="10">
        <f>39.7553 * CHOOSE(CONTROL!$C$9, $D$9, 100%, $F$9) + CHOOSE(CONTROL!$C$27, 0.0021, 0)</f>
        <v>39.757399999999997</v>
      </c>
      <c r="E325" s="10">
        <f>39.6186 * CHOOSE(CONTROL!$C$9, $D$9, 100%, $F$9) + CHOOSE(CONTROL!$C$27, 0.0021, 0)</f>
        <v>39.620699999999999</v>
      </c>
      <c r="F325" s="10">
        <f>39.6186 * CHOOSE(CONTROL!$C$9, $D$9, 100%, $F$9) + CHOOSE(CONTROL!$C$27, 0.0021, 0)</f>
        <v>39.620699999999999</v>
      </c>
      <c r="G325" s="10">
        <f>39.89 * CHOOSE(CONTROL!$C$9, $D$9, 100%, $F$9) + CHOOSE(CONTROL!$C$27, 0.0021, 0)</f>
        <v>39.892099999999999</v>
      </c>
      <c r="H325" s="10">
        <f>39.7553 * CHOOSE(CONTROL!$C$9, $D$9, 100%, $F$9) + CHOOSE(CONTROL!$C$27, 0.0021, 0)</f>
        <v>39.757399999999997</v>
      </c>
      <c r="I325" s="10">
        <f>39.7553 * CHOOSE(CONTROL!$C$9, $D$9, 100%, $F$9) + CHOOSE(CONTROL!$C$27, 0.0021, 0)</f>
        <v>39.757399999999997</v>
      </c>
      <c r="J325" s="10">
        <f>39.7553 * CHOOSE(CONTROL!$C$9, $D$9, 100%, $F$9) + CHOOSE(CONTROL!$C$27, 0.0021, 0)</f>
        <v>39.757399999999997</v>
      </c>
      <c r="K325" s="10">
        <f>39.7553 * CHOOSE(CONTROL!$C$9, $D$9, 100%, $F$9) + CHOOSE(CONTROL!$C$27, 0.0021, 0)</f>
        <v>39.757399999999997</v>
      </c>
      <c r="L325" s="10"/>
    </row>
    <row r="326" spans="1:12" ht="15.75">
      <c r="A326" s="14">
        <v>51226</v>
      </c>
      <c r="B326" s="10">
        <f>39.7322 * CHOOSE(CONTROL!$C$9, $D$9, 100%, $F$9) + CHOOSE(CONTROL!$C$27, 0.0021, 0)</f>
        <v>39.734299999999998</v>
      </c>
      <c r="C326" s="10">
        <f>39.2999 * CHOOSE(CONTROL!$C$9, $D$9, 100%, $F$9) + CHOOSE(CONTROL!$C$27, 0.0021, 0)</f>
        <v>39.302</v>
      </c>
      <c r="D326" s="10">
        <f>39.2999 * CHOOSE(CONTROL!$C$9, $D$9, 100%, $F$9) + CHOOSE(CONTROL!$C$27, 0.0021, 0)</f>
        <v>39.302</v>
      </c>
      <c r="E326" s="10">
        <f>39.1632 * CHOOSE(CONTROL!$C$9, $D$9, 100%, $F$9) + CHOOSE(CONTROL!$C$27, 0.0021, 0)</f>
        <v>39.165300000000002</v>
      </c>
      <c r="F326" s="10">
        <f>39.1632 * CHOOSE(CONTROL!$C$9, $D$9, 100%, $F$9) + CHOOSE(CONTROL!$C$27, 0.0021, 0)</f>
        <v>39.165300000000002</v>
      </c>
      <c r="G326" s="10">
        <f>39.4346 * CHOOSE(CONTROL!$C$9, $D$9, 100%, $F$9) + CHOOSE(CONTROL!$C$27, 0.0021, 0)</f>
        <v>39.436700000000002</v>
      </c>
      <c r="H326" s="10">
        <f>39.2999 * CHOOSE(CONTROL!$C$9, $D$9, 100%, $F$9) + CHOOSE(CONTROL!$C$27, 0.0021, 0)</f>
        <v>39.302</v>
      </c>
      <c r="I326" s="10">
        <f>39.2999 * CHOOSE(CONTROL!$C$9, $D$9, 100%, $F$9) + CHOOSE(CONTROL!$C$27, 0.0021, 0)</f>
        <v>39.302</v>
      </c>
      <c r="J326" s="10">
        <f>39.2999 * CHOOSE(CONTROL!$C$9, $D$9, 100%, $F$9) + CHOOSE(CONTROL!$C$27, 0.0021, 0)</f>
        <v>39.302</v>
      </c>
      <c r="K326" s="10">
        <f>39.2999 * CHOOSE(CONTROL!$C$9, $D$9, 100%, $F$9) + CHOOSE(CONTROL!$C$27, 0.0021, 0)</f>
        <v>39.302</v>
      </c>
      <c r="L326" s="10"/>
    </row>
    <row r="327" spans="1:12" ht="15.75">
      <c r="A327" s="14">
        <v>51256</v>
      </c>
      <c r="B327" s="10">
        <f>39.1885 * CHOOSE(CONTROL!$C$9, $D$9, 100%, $F$9) + CHOOSE(CONTROL!$C$27, 0.0021, 0)</f>
        <v>39.190599999999996</v>
      </c>
      <c r="C327" s="10">
        <f>38.7562 * CHOOSE(CONTROL!$C$9, $D$9, 100%, $F$9) + CHOOSE(CONTROL!$C$27, 0.0021, 0)</f>
        <v>38.758299999999998</v>
      </c>
      <c r="D327" s="10">
        <f>38.7562 * CHOOSE(CONTROL!$C$9, $D$9, 100%, $F$9) + CHOOSE(CONTROL!$C$27, 0.0021, 0)</f>
        <v>38.758299999999998</v>
      </c>
      <c r="E327" s="10">
        <f>38.6195 * CHOOSE(CONTROL!$C$9, $D$9, 100%, $F$9) + CHOOSE(CONTROL!$C$27, 0.0021, 0)</f>
        <v>38.621600000000001</v>
      </c>
      <c r="F327" s="10">
        <f>38.6195 * CHOOSE(CONTROL!$C$9, $D$9, 100%, $F$9) + CHOOSE(CONTROL!$C$27, 0.0021, 0)</f>
        <v>38.621600000000001</v>
      </c>
      <c r="G327" s="10">
        <f>38.8909 * CHOOSE(CONTROL!$C$9, $D$9, 100%, $F$9) + CHOOSE(CONTROL!$C$27, 0.0021, 0)</f>
        <v>38.893000000000001</v>
      </c>
      <c r="H327" s="10">
        <f>38.7562 * CHOOSE(CONTROL!$C$9, $D$9, 100%, $F$9) + CHOOSE(CONTROL!$C$27, 0.0021, 0)</f>
        <v>38.758299999999998</v>
      </c>
      <c r="I327" s="10">
        <f>38.7562 * CHOOSE(CONTROL!$C$9, $D$9, 100%, $F$9) + CHOOSE(CONTROL!$C$27, 0.0021, 0)</f>
        <v>38.758299999999998</v>
      </c>
      <c r="J327" s="10">
        <f>38.7562 * CHOOSE(CONTROL!$C$9, $D$9, 100%, $F$9) + CHOOSE(CONTROL!$C$27, 0.0021, 0)</f>
        <v>38.758299999999998</v>
      </c>
      <c r="K327" s="10">
        <f>38.7562 * CHOOSE(CONTROL!$C$9, $D$9, 100%, $F$9) + CHOOSE(CONTROL!$C$27, 0.0021, 0)</f>
        <v>38.758299999999998</v>
      </c>
      <c r="L327" s="10"/>
    </row>
    <row r="328" spans="1:12" ht="15.75">
      <c r="A328" s="14">
        <v>51287</v>
      </c>
      <c r="B328" s="10">
        <f>39.9633 * CHOOSE(CONTROL!$C$9, $D$9, 100%, $F$9) + CHOOSE(CONTROL!$C$27, 0.0021, 0)</f>
        <v>39.965399999999995</v>
      </c>
      <c r="C328" s="10">
        <f>39.531 * CHOOSE(CONTROL!$C$9, $D$9, 100%, $F$9) + CHOOSE(CONTROL!$C$27, 0.0021, 0)</f>
        <v>39.533099999999997</v>
      </c>
      <c r="D328" s="10">
        <f>39.531 * CHOOSE(CONTROL!$C$9, $D$9, 100%, $F$9) + CHOOSE(CONTROL!$C$27, 0.0021, 0)</f>
        <v>39.533099999999997</v>
      </c>
      <c r="E328" s="10">
        <f>39.3944 * CHOOSE(CONTROL!$C$9, $D$9, 100%, $F$9) + CHOOSE(CONTROL!$C$27, 0.0021, 0)</f>
        <v>39.396499999999996</v>
      </c>
      <c r="F328" s="10">
        <f>39.3944 * CHOOSE(CONTROL!$C$9, $D$9, 100%, $F$9) + CHOOSE(CONTROL!$C$27, 0.0021, 0)</f>
        <v>39.396499999999996</v>
      </c>
      <c r="G328" s="10">
        <f>39.6658 * CHOOSE(CONTROL!$C$9, $D$9, 100%, $F$9) + CHOOSE(CONTROL!$C$27, 0.0021, 0)</f>
        <v>39.667899999999996</v>
      </c>
      <c r="H328" s="10">
        <f>39.531 * CHOOSE(CONTROL!$C$9, $D$9, 100%, $F$9) + CHOOSE(CONTROL!$C$27, 0.0021, 0)</f>
        <v>39.533099999999997</v>
      </c>
      <c r="I328" s="10">
        <f>39.531 * CHOOSE(CONTROL!$C$9, $D$9, 100%, $F$9) + CHOOSE(CONTROL!$C$27, 0.0021, 0)</f>
        <v>39.533099999999997</v>
      </c>
      <c r="J328" s="10">
        <f>39.531 * CHOOSE(CONTROL!$C$9, $D$9, 100%, $F$9) + CHOOSE(CONTROL!$C$27, 0.0021, 0)</f>
        <v>39.533099999999997</v>
      </c>
      <c r="K328" s="10">
        <f>39.531 * CHOOSE(CONTROL!$C$9, $D$9, 100%, $F$9) + CHOOSE(CONTROL!$C$27, 0.0021, 0)</f>
        <v>39.533099999999997</v>
      </c>
      <c r="L328" s="10"/>
    </row>
    <row r="329" spans="1:12" ht="15.75">
      <c r="A329" s="14">
        <v>51317</v>
      </c>
      <c r="B329" s="10">
        <f>40.4274 * CHOOSE(CONTROL!$C$9, $D$9, 100%, $F$9) + CHOOSE(CONTROL!$C$27, 0.0021, 0)</f>
        <v>40.429499999999997</v>
      </c>
      <c r="C329" s="10">
        <f>39.9951 * CHOOSE(CONTROL!$C$9, $D$9, 100%, $F$9) + CHOOSE(CONTROL!$C$27, 0.0021, 0)</f>
        <v>39.997199999999999</v>
      </c>
      <c r="D329" s="10">
        <f>39.9951 * CHOOSE(CONTROL!$C$9, $D$9, 100%, $F$9) + CHOOSE(CONTROL!$C$27, 0.0021, 0)</f>
        <v>39.997199999999999</v>
      </c>
      <c r="E329" s="10">
        <f>39.8585 * CHOOSE(CONTROL!$C$9, $D$9, 100%, $F$9) + CHOOSE(CONTROL!$C$27, 0.0021, 0)</f>
        <v>39.860599999999998</v>
      </c>
      <c r="F329" s="10">
        <f>39.8585 * CHOOSE(CONTROL!$C$9, $D$9, 100%, $F$9) + CHOOSE(CONTROL!$C$27, 0.0021, 0)</f>
        <v>39.860599999999998</v>
      </c>
      <c r="G329" s="10">
        <f>40.1299 * CHOOSE(CONTROL!$C$9, $D$9, 100%, $F$9) + CHOOSE(CONTROL!$C$27, 0.0021, 0)</f>
        <v>40.131999999999998</v>
      </c>
      <c r="H329" s="10">
        <f>39.9951 * CHOOSE(CONTROL!$C$9, $D$9, 100%, $F$9) + CHOOSE(CONTROL!$C$27, 0.0021, 0)</f>
        <v>39.997199999999999</v>
      </c>
      <c r="I329" s="10">
        <f>39.9951 * CHOOSE(CONTROL!$C$9, $D$9, 100%, $F$9) + CHOOSE(CONTROL!$C$27, 0.0021, 0)</f>
        <v>39.997199999999999</v>
      </c>
      <c r="J329" s="10">
        <f>39.9951 * CHOOSE(CONTROL!$C$9, $D$9, 100%, $F$9) + CHOOSE(CONTROL!$C$27, 0.0021, 0)</f>
        <v>39.997199999999999</v>
      </c>
      <c r="K329" s="10">
        <f>39.9951 * CHOOSE(CONTROL!$C$9, $D$9, 100%, $F$9) + CHOOSE(CONTROL!$C$27, 0.0021, 0)</f>
        <v>39.997199999999999</v>
      </c>
      <c r="L329" s="10"/>
    </row>
    <row r="330" spans="1:12" ht="15.75">
      <c r="A330" s="14">
        <v>51348</v>
      </c>
      <c r="B330" s="10">
        <f>41.193 * CHOOSE(CONTROL!$C$9, $D$9, 100%, $F$9) + CHOOSE(CONTROL!$C$27, 0.0021, 0)</f>
        <v>41.195099999999996</v>
      </c>
      <c r="C330" s="10">
        <f>40.7607 * CHOOSE(CONTROL!$C$9, $D$9, 100%, $F$9) + CHOOSE(CONTROL!$C$27, 0.0021, 0)</f>
        <v>40.762799999999999</v>
      </c>
      <c r="D330" s="10">
        <f>40.7607 * CHOOSE(CONTROL!$C$9, $D$9, 100%, $F$9) + CHOOSE(CONTROL!$C$27, 0.0021, 0)</f>
        <v>40.762799999999999</v>
      </c>
      <c r="E330" s="10">
        <f>40.6241 * CHOOSE(CONTROL!$C$9, $D$9, 100%, $F$9) + CHOOSE(CONTROL!$C$27, 0.0021, 0)</f>
        <v>40.626199999999997</v>
      </c>
      <c r="F330" s="10">
        <f>40.6241 * CHOOSE(CONTROL!$C$9, $D$9, 100%, $F$9) + CHOOSE(CONTROL!$C$27, 0.0021, 0)</f>
        <v>40.626199999999997</v>
      </c>
      <c r="G330" s="10">
        <f>40.8954 * CHOOSE(CONTROL!$C$9, $D$9, 100%, $F$9) + CHOOSE(CONTROL!$C$27, 0.0021, 0)</f>
        <v>40.897500000000001</v>
      </c>
      <c r="H330" s="10">
        <f>40.7607 * CHOOSE(CONTROL!$C$9, $D$9, 100%, $F$9) + CHOOSE(CONTROL!$C$27, 0.0021, 0)</f>
        <v>40.762799999999999</v>
      </c>
      <c r="I330" s="10">
        <f>40.7607 * CHOOSE(CONTROL!$C$9, $D$9, 100%, $F$9) + CHOOSE(CONTROL!$C$27, 0.0021, 0)</f>
        <v>40.762799999999999</v>
      </c>
      <c r="J330" s="10">
        <f>40.7607 * CHOOSE(CONTROL!$C$9, $D$9, 100%, $F$9) + CHOOSE(CONTROL!$C$27, 0.0021, 0)</f>
        <v>40.762799999999999</v>
      </c>
      <c r="K330" s="10">
        <f>40.7607 * CHOOSE(CONTROL!$C$9, $D$9, 100%, $F$9) + CHOOSE(CONTROL!$C$27, 0.0021, 0)</f>
        <v>40.762799999999999</v>
      </c>
      <c r="L330" s="10"/>
    </row>
    <row r="331" spans="1:12" ht="15.75">
      <c r="A331" s="14">
        <v>51379</v>
      </c>
      <c r="B331" s="10">
        <f>41.4267 * CHOOSE(CONTROL!$C$9, $D$9, 100%, $F$9) + CHOOSE(CONTROL!$C$27, 0.0021, 0)</f>
        <v>41.428799999999995</v>
      </c>
      <c r="C331" s="10">
        <f>40.9944 * CHOOSE(CONTROL!$C$9, $D$9, 100%, $F$9) + CHOOSE(CONTROL!$C$27, 0.0021, 0)</f>
        <v>40.996499999999997</v>
      </c>
      <c r="D331" s="10">
        <f>40.9944 * CHOOSE(CONTROL!$C$9, $D$9, 100%, $F$9) + CHOOSE(CONTROL!$C$27, 0.0021, 0)</f>
        <v>40.996499999999997</v>
      </c>
      <c r="E331" s="10">
        <f>40.8577 * CHOOSE(CONTROL!$C$9, $D$9, 100%, $F$9) + CHOOSE(CONTROL!$C$27, 0.0021, 0)</f>
        <v>40.8598</v>
      </c>
      <c r="F331" s="10">
        <f>40.8577 * CHOOSE(CONTROL!$C$9, $D$9, 100%, $F$9) + CHOOSE(CONTROL!$C$27, 0.0021, 0)</f>
        <v>40.8598</v>
      </c>
      <c r="G331" s="10">
        <f>41.1291 * CHOOSE(CONTROL!$C$9, $D$9, 100%, $F$9) + CHOOSE(CONTROL!$C$27, 0.0021, 0)</f>
        <v>41.1312</v>
      </c>
      <c r="H331" s="10">
        <f>40.9944 * CHOOSE(CONTROL!$C$9, $D$9, 100%, $F$9) + CHOOSE(CONTROL!$C$27, 0.0021, 0)</f>
        <v>40.996499999999997</v>
      </c>
      <c r="I331" s="10">
        <f>40.9944 * CHOOSE(CONTROL!$C$9, $D$9, 100%, $F$9) + CHOOSE(CONTROL!$C$27, 0.0021, 0)</f>
        <v>40.996499999999997</v>
      </c>
      <c r="J331" s="10">
        <f>40.9944 * CHOOSE(CONTROL!$C$9, $D$9, 100%, $F$9) + CHOOSE(CONTROL!$C$27, 0.0021, 0)</f>
        <v>40.996499999999997</v>
      </c>
      <c r="K331" s="10">
        <f>40.9944 * CHOOSE(CONTROL!$C$9, $D$9, 100%, $F$9) + CHOOSE(CONTROL!$C$27, 0.0021, 0)</f>
        <v>40.996499999999997</v>
      </c>
      <c r="L331" s="10"/>
    </row>
    <row r="332" spans="1:12" ht="15.75">
      <c r="A332" s="14">
        <v>51409</v>
      </c>
      <c r="B332" s="10">
        <f>42.2224 * CHOOSE(CONTROL!$C$9, $D$9, 100%, $F$9) + CHOOSE(CONTROL!$C$27, 0.0021, 0)</f>
        <v>42.224499999999999</v>
      </c>
      <c r="C332" s="10">
        <f>41.7902 * CHOOSE(CONTROL!$C$9, $D$9, 100%, $F$9) + CHOOSE(CONTROL!$C$27, 0.0021, 0)</f>
        <v>41.792299999999997</v>
      </c>
      <c r="D332" s="10">
        <f>41.7902 * CHOOSE(CONTROL!$C$9, $D$9, 100%, $F$9) + CHOOSE(CONTROL!$C$27, 0.0021, 0)</f>
        <v>41.792299999999997</v>
      </c>
      <c r="E332" s="10">
        <f>41.6535 * CHOOSE(CONTROL!$C$9, $D$9, 100%, $F$9) + CHOOSE(CONTROL!$C$27, 0.0021, 0)</f>
        <v>41.6556</v>
      </c>
      <c r="F332" s="10">
        <f>41.6535 * CHOOSE(CONTROL!$C$9, $D$9, 100%, $F$9) + CHOOSE(CONTROL!$C$27, 0.0021, 0)</f>
        <v>41.6556</v>
      </c>
      <c r="G332" s="10">
        <f>41.9249 * CHOOSE(CONTROL!$C$9, $D$9, 100%, $F$9) + CHOOSE(CONTROL!$C$27, 0.0021, 0)</f>
        <v>41.927</v>
      </c>
      <c r="H332" s="10">
        <f>41.7902 * CHOOSE(CONTROL!$C$9, $D$9, 100%, $F$9) + CHOOSE(CONTROL!$C$27, 0.0021, 0)</f>
        <v>41.792299999999997</v>
      </c>
      <c r="I332" s="10">
        <f>41.7902 * CHOOSE(CONTROL!$C$9, $D$9, 100%, $F$9) + CHOOSE(CONTROL!$C$27, 0.0021, 0)</f>
        <v>41.792299999999997</v>
      </c>
      <c r="J332" s="10">
        <f>41.7902 * CHOOSE(CONTROL!$C$9, $D$9, 100%, $F$9) + CHOOSE(CONTROL!$C$27, 0.0021, 0)</f>
        <v>41.792299999999997</v>
      </c>
      <c r="K332" s="10">
        <f>41.7902 * CHOOSE(CONTROL!$C$9, $D$9, 100%, $F$9) + CHOOSE(CONTROL!$C$27, 0.0021, 0)</f>
        <v>41.792299999999997</v>
      </c>
      <c r="L332" s="10"/>
    </row>
    <row r="333" spans="1:12" ht="15.75">
      <c r="A333" s="14">
        <v>51440</v>
      </c>
      <c r="B333" s="10">
        <f>43.2298 * CHOOSE(CONTROL!$C$9, $D$9, 100%, $F$9) + CHOOSE(CONTROL!$C$27, 0.0021, 0)</f>
        <v>43.231899999999996</v>
      </c>
      <c r="C333" s="10">
        <f>42.7975 * CHOOSE(CONTROL!$C$9, $D$9, 100%, $F$9) + CHOOSE(CONTROL!$C$27, 0.0021, 0)</f>
        <v>42.799599999999998</v>
      </c>
      <c r="D333" s="10">
        <f>42.7975 * CHOOSE(CONTROL!$C$9, $D$9, 100%, $F$9) + CHOOSE(CONTROL!$C$27, 0.0021, 0)</f>
        <v>42.799599999999998</v>
      </c>
      <c r="E333" s="10">
        <f>42.6609 * CHOOSE(CONTROL!$C$9, $D$9, 100%, $F$9) + CHOOSE(CONTROL!$C$27, 0.0021, 0)</f>
        <v>42.662999999999997</v>
      </c>
      <c r="F333" s="10">
        <f>42.6609 * CHOOSE(CONTROL!$C$9, $D$9, 100%, $F$9) + CHOOSE(CONTROL!$C$27, 0.0021, 0)</f>
        <v>42.662999999999997</v>
      </c>
      <c r="G333" s="10">
        <f>42.9323 * CHOOSE(CONTROL!$C$9, $D$9, 100%, $F$9) + CHOOSE(CONTROL!$C$27, 0.0021, 0)</f>
        <v>42.934399999999997</v>
      </c>
      <c r="H333" s="10">
        <f>42.7975 * CHOOSE(CONTROL!$C$9, $D$9, 100%, $F$9) + CHOOSE(CONTROL!$C$27, 0.0021, 0)</f>
        <v>42.799599999999998</v>
      </c>
      <c r="I333" s="10">
        <f>42.7975 * CHOOSE(CONTROL!$C$9, $D$9, 100%, $F$9) + CHOOSE(CONTROL!$C$27, 0.0021, 0)</f>
        <v>42.799599999999998</v>
      </c>
      <c r="J333" s="10">
        <f>42.7975 * CHOOSE(CONTROL!$C$9, $D$9, 100%, $F$9) + CHOOSE(CONTROL!$C$27, 0.0021, 0)</f>
        <v>42.799599999999998</v>
      </c>
      <c r="K333" s="10">
        <f>42.7975 * CHOOSE(CONTROL!$C$9, $D$9, 100%, $F$9) + CHOOSE(CONTROL!$C$27, 0.0021, 0)</f>
        <v>42.799599999999998</v>
      </c>
      <c r="L333" s="10"/>
    </row>
    <row r="334" spans="1:12" ht="15.75">
      <c r="A334" s="14">
        <v>51470</v>
      </c>
      <c r="B334" s="10">
        <f>43.3244 * CHOOSE(CONTROL!$C$9, $D$9, 100%, $F$9) + CHOOSE(CONTROL!$C$27, 0.0021, 0)</f>
        <v>43.326499999999996</v>
      </c>
      <c r="C334" s="10">
        <f>42.8921 * CHOOSE(CONTROL!$C$9, $D$9, 100%, $F$9) + CHOOSE(CONTROL!$C$27, 0.0021, 0)</f>
        <v>42.894199999999998</v>
      </c>
      <c r="D334" s="10">
        <f>42.8921 * CHOOSE(CONTROL!$C$9, $D$9, 100%, $F$9) + CHOOSE(CONTROL!$C$27, 0.0021, 0)</f>
        <v>42.894199999999998</v>
      </c>
      <c r="E334" s="10">
        <f>42.7554 * CHOOSE(CONTROL!$C$9, $D$9, 100%, $F$9) + CHOOSE(CONTROL!$C$27, 0.0021, 0)</f>
        <v>42.7575</v>
      </c>
      <c r="F334" s="10">
        <f>42.7554 * CHOOSE(CONTROL!$C$9, $D$9, 100%, $F$9) + CHOOSE(CONTROL!$C$27, 0.0021, 0)</f>
        <v>42.7575</v>
      </c>
      <c r="G334" s="10">
        <f>43.0268 * CHOOSE(CONTROL!$C$9, $D$9, 100%, $F$9) + CHOOSE(CONTROL!$C$27, 0.0021, 0)</f>
        <v>43.0289</v>
      </c>
      <c r="H334" s="10">
        <f>42.8921 * CHOOSE(CONTROL!$C$9, $D$9, 100%, $F$9) + CHOOSE(CONTROL!$C$27, 0.0021, 0)</f>
        <v>42.894199999999998</v>
      </c>
      <c r="I334" s="10">
        <f>42.8921 * CHOOSE(CONTROL!$C$9, $D$9, 100%, $F$9) + CHOOSE(CONTROL!$C$27, 0.0021, 0)</f>
        <v>42.894199999999998</v>
      </c>
      <c r="J334" s="10">
        <f>42.8921 * CHOOSE(CONTROL!$C$9, $D$9, 100%, $F$9) + CHOOSE(CONTROL!$C$27, 0.0021, 0)</f>
        <v>42.894199999999998</v>
      </c>
      <c r="K334" s="10">
        <f>42.8921 * CHOOSE(CONTROL!$C$9, $D$9, 100%, $F$9) + CHOOSE(CONTROL!$C$27, 0.0021, 0)</f>
        <v>42.894199999999998</v>
      </c>
      <c r="L334" s="10"/>
    </row>
    <row r="335" spans="1:12" ht="15.75">
      <c r="A335" s="14">
        <v>51501</v>
      </c>
      <c r="B335" s="10">
        <f>42.5198 * CHOOSE(CONTROL!$C$9, $D$9, 100%, $F$9) + CHOOSE(CONTROL!$C$27, 0.0021, 0)</f>
        <v>42.521899999999995</v>
      </c>
      <c r="C335" s="10">
        <f>42.0876 * CHOOSE(CONTROL!$C$9, $D$9, 100%, $F$9) + CHOOSE(CONTROL!$C$27, 0.0021, 0)</f>
        <v>42.089700000000001</v>
      </c>
      <c r="D335" s="10">
        <f>42.0876 * CHOOSE(CONTROL!$C$9, $D$9, 100%, $F$9) + CHOOSE(CONTROL!$C$27, 0.0021, 0)</f>
        <v>42.089700000000001</v>
      </c>
      <c r="E335" s="10">
        <f>41.9509 * CHOOSE(CONTROL!$C$9, $D$9, 100%, $F$9) + CHOOSE(CONTROL!$C$27, 0.0021, 0)</f>
        <v>41.952999999999996</v>
      </c>
      <c r="F335" s="10">
        <f>41.9509 * CHOOSE(CONTROL!$C$9, $D$9, 100%, $F$9) + CHOOSE(CONTROL!$C$27, 0.0021, 0)</f>
        <v>41.952999999999996</v>
      </c>
      <c r="G335" s="10">
        <f>42.2223 * CHOOSE(CONTROL!$C$9, $D$9, 100%, $F$9) + CHOOSE(CONTROL!$C$27, 0.0021, 0)</f>
        <v>42.224399999999996</v>
      </c>
      <c r="H335" s="10">
        <f>42.0876 * CHOOSE(CONTROL!$C$9, $D$9, 100%, $F$9) + CHOOSE(CONTROL!$C$27, 0.0021, 0)</f>
        <v>42.089700000000001</v>
      </c>
      <c r="I335" s="10">
        <f>42.0876 * CHOOSE(CONTROL!$C$9, $D$9, 100%, $F$9) + CHOOSE(CONTROL!$C$27, 0.0021, 0)</f>
        <v>42.089700000000001</v>
      </c>
      <c r="J335" s="10">
        <f>42.0876 * CHOOSE(CONTROL!$C$9, $D$9, 100%, $F$9) + CHOOSE(CONTROL!$C$27, 0.0021, 0)</f>
        <v>42.089700000000001</v>
      </c>
      <c r="K335" s="10">
        <f>42.0876 * CHOOSE(CONTROL!$C$9, $D$9, 100%, $F$9) + CHOOSE(CONTROL!$C$27, 0.0021, 0)</f>
        <v>42.089700000000001</v>
      </c>
      <c r="L335" s="10"/>
    </row>
    <row r="336" spans="1:12" ht="15.75">
      <c r="A336" s="14">
        <v>51532</v>
      </c>
      <c r="B336" s="10">
        <f>41.9038 * CHOOSE(CONTROL!$C$9, $D$9, 100%, $F$9) + CHOOSE(CONTROL!$C$27, 0.0021, 0)</f>
        <v>41.905899999999995</v>
      </c>
      <c r="C336" s="10">
        <f>41.4716 * CHOOSE(CONTROL!$C$9, $D$9, 100%, $F$9) + CHOOSE(CONTROL!$C$27, 0.0021, 0)</f>
        <v>41.473700000000001</v>
      </c>
      <c r="D336" s="10">
        <f>41.4716 * CHOOSE(CONTROL!$C$9, $D$9, 100%, $F$9) + CHOOSE(CONTROL!$C$27, 0.0021, 0)</f>
        <v>41.473700000000001</v>
      </c>
      <c r="E336" s="10">
        <f>41.3349 * CHOOSE(CONTROL!$C$9, $D$9, 100%, $F$9) + CHOOSE(CONTROL!$C$27, 0.0021, 0)</f>
        <v>41.336999999999996</v>
      </c>
      <c r="F336" s="10">
        <f>41.3349 * CHOOSE(CONTROL!$C$9, $D$9, 100%, $F$9) + CHOOSE(CONTROL!$C$27, 0.0021, 0)</f>
        <v>41.336999999999996</v>
      </c>
      <c r="G336" s="10">
        <f>41.6063 * CHOOSE(CONTROL!$C$9, $D$9, 100%, $F$9) + CHOOSE(CONTROL!$C$27, 0.0021, 0)</f>
        <v>41.608399999999996</v>
      </c>
      <c r="H336" s="10">
        <f>41.4716 * CHOOSE(CONTROL!$C$9, $D$9, 100%, $F$9) + CHOOSE(CONTROL!$C$27, 0.0021, 0)</f>
        <v>41.473700000000001</v>
      </c>
      <c r="I336" s="10">
        <f>41.4716 * CHOOSE(CONTROL!$C$9, $D$9, 100%, $F$9) + CHOOSE(CONTROL!$C$27, 0.0021, 0)</f>
        <v>41.473700000000001</v>
      </c>
      <c r="J336" s="10">
        <f>41.4716 * CHOOSE(CONTROL!$C$9, $D$9, 100%, $F$9) + CHOOSE(CONTROL!$C$27, 0.0021, 0)</f>
        <v>41.473700000000001</v>
      </c>
      <c r="K336" s="10">
        <f>41.4716 * CHOOSE(CONTROL!$C$9, $D$9, 100%, $F$9) + CHOOSE(CONTROL!$C$27, 0.0021, 0)</f>
        <v>41.473700000000001</v>
      </c>
      <c r="L336" s="10"/>
    </row>
    <row r="337" spans="1:12" ht="15.75">
      <c r="A337" s="14">
        <v>51560</v>
      </c>
      <c r="B337" s="10">
        <f>40.7834 * CHOOSE(CONTROL!$C$9, $D$9, 100%, $F$9) + CHOOSE(CONTROL!$C$27, 0.0021, 0)</f>
        <v>40.785499999999999</v>
      </c>
      <c r="C337" s="10">
        <f>40.3512 * CHOOSE(CONTROL!$C$9, $D$9, 100%, $F$9) + CHOOSE(CONTROL!$C$27, 0.0021, 0)</f>
        <v>40.353299999999997</v>
      </c>
      <c r="D337" s="10">
        <f>40.3512 * CHOOSE(CONTROL!$C$9, $D$9, 100%, $F$9) + CHOOSE(CONTROL!$C$27, 0.0021, 0)</f>
        <v>40.353299999999997</v>
      </c>
      <c r="E337" s="10">
        <f>40.2145 * CHOOSE(CONTROL!$C$9, $D$9, 100%, $F$9) + CHOOSE(CONTROL!$C$27, 0.0021, 0)</f>
        <v>40.2166</v>
      </c>
      <c r="F337" s="10">
        <f>40.2145 * CHOOSE(CONTROL!$C$9, $D$9, 100%, $F$9) + CHOOSE(CONTROL!$C$27, 0.0021, 0)</f>
        <v>40.2166</v>
      </c>
      <c r="G337" s="10">
        <f>40.4859 * CHOOSE(CONTROL!$C$9, $D$9, 100%, $F$9) + CHOOSE(CONTROL!$C$27, 0.0021, 0)</f>
        <v>40.488</v>
      </c>
      <c r="H337" s="10">
        <f>40.3512 * CHOOSE(CONTROL!$C$9, $D$9, 100%, $F$9) + CHOOSE(CONTROL!$C$27, 0.0021, 0)</f>
        <v>40.353299999999997</v>
      </c>
      <c r="I337" s="10">
        <f>40.3512 * CHOOSE(CONTROL!$C$9, $D$9, 100%, $F$9) + CHOOSE(CONTROL!$C$27, 0.0021, 0)</f>
        <v>40.353299999999997</v>
      </c>
      <c r="J337" s="10">
        <f>40.3512 * CHOOSE(CONTROL!$C$9, $D$9, 100%, $F$9) + CHOOSE(CONTROL!$C$27, 0.0021, 0)</f>
        <v>40.353299999999997</v>
      </c>
      <c r="K337" s="10">
        <f>40.3512 * CHOOSE(CONTROL!$C$9, $D$9, 100%, $F$9) + CHOOSE(CONTROL!$C$27, 0.0021, 0)</f>
        <v>40.353299999999997</v>
      </c>
      <c r="L337" s="10"/>
    </row>
    <row r="338" spans="1:12" ht="15.75">
      <c r="A338" s="14">
        <v>51591</v>
      </c>
      <c r="B338" s="10">
        <f>40.3209 * CHOOSE(CONTROL!$C$9, $D$9, 100%, $F$9) + CHOOSE(CONTROL!$C$27, 0.0021, 0)</f>
        <v>40.323</v>
      </c>
      <c r="C338" s="10">
        <f>39.8886 * CHOOSE(CONTROL!$C$9, $D$9, 100%, $F$9) + CHOOSE(CONTROL!$C$27, 0.0021, 0)</f>
        <v>39.890699999999995</v>
      </c>
      <c r="D338" s="10">
        <f>39.8886 * CHOOSE(CONTROL!$C$9, $D$9, 100%, $F$9) + CHOOSE(CONTROL!$C$27, 0.0021, 0)</f>
        <v>39.890699999999995</v>
      </c>
      <c r="E338" s="10">
        <f>39.752 * CHOOSE(CONTROL!$C$9, $D$9, 100%, $F$9) + CHOOSE(CONTROL!$C$27, 0.0021, 0)</f>
        <v>39.754100000000001</v>
      </c>
      <c r="F338" s="10">
        <f>39.752 * CHOOSE(CONTROL!$C$9, $D$9, 100%, $F$9) + CHOOSE(CONTROL!$C$27, 0.0021, 0)</f>
        <v>39.754100000000001</v>
      </c>
      <c r="G338" s="10">
        <f>40.0234 * CHOOSE(CONTROL!$C$9, $D$9, 100%, $F$9) + CHOOSE(CONTROL!$C$27, 0.0021, 0)</f>
        <v>40.025500000000001</v>
      </c>
      <c r="H338" s="10">
        <f>39.8886 * CHOOSE(CONTROL!$C$9, $D$9, 100%, $F$9) + CHOOSE(CONTROL!$C$27, 0.0021, 0)</f>
        <v>39.890699999999995</v>
      </c>
      <c r="I338" s="10">
        <f>39.8886 * CHOOSE(CONTROL!$C$9, $D$9, 100%, $F$9) + CHOOSE(CONTROL!$C$27, 0.0021, 0)</f>
        <v>39.890699999999995</v>
      </c>
      <c r="J338" s="10">
        <f>39.8886 * CHOOSE(CONTROL!$C$9, $D$9, 100%, $F$9) + CHOOSE(CONTROL!$C$27, 0.0021, 0)</f>
        <v>39.890699999999995</v>
      </c>
      <c r="K338" s="10">
        <f>39.8886 * CHOOSE(CONTROL!$C$9, $D$9, 100%, $F$9) + CHOOSE(CONTROL!$C$27, 0.0021, 0)</f>
        <v>39.890699999999995</v>
      </c>
      <c r="L338" s="10"/>
    </row>
    <row r="339" spans="1:12" ht="15.75">
      <c r="A339" s="14">
        <v>51621</v>
      </c>
      <c r="B339" s="10">
        <f>39.7686 * CHOOSE(CONTROL!$C$9, $D$9, 100%, $F$9) + CHOOSE(CONTROL!$C$27, 0.0021, 0)</f>
        <v>39.770699999999998</v>
      </c>
      <c r="C339" s="10">
        <f>39.3364 * CHOOSE(CONTROL!$C$9, $D$9, 100%, $F$9) + CHOOSE(CONTROL!$C$27, 0.0021, 0)</f>
        <v>39.338499999999996</v>
      </c>
      <c r="D339" s="10">
        <f>39.3364 * CHOOSE(CONTROL!$C$9, $D$9, 100%, $F$9) + CHOOSE(CONTROL!$C$27, 0.0021, 0)</f>
        <v>39.338499999999996</v>
      </c>
      <c r="E339" s="10">
        <f>39.1997 * CHOOSE(CONTROL!$C$9, $D$9, 100%, $F$9) + CHOOSE(CONTROL!$C$27, 0.0021, 0)</f>
        <v>39.201799999999999</v>
      </c>
      <c r="F339" s="10">
        <f>39.1997 * CHOOSE(CONTROL!$C$9, $D$9, 100%, $F$9) + CHOOSE(CONTROL!$C$27, 0.0021, 0)</f>
        <v>39.201799999999999</v>
      </c>
      <c r="G339" s="10">
        <f>39.4711 * CHOOSE(CONTROL!$C$9, $D$9, 100%, $F$9) + CHOOSE(CONTROL!$C$27, 0.0021, 0)</f>
        <v>39.473199999999999</v>
      </c>
      <c r="H339" s="10">
        <f>39.3364 * CHOOSE(CONTROL!$C$9, $D$9, 100%, $F$9) + CHOOSE(CONTROL!$C$27, 0.0021, 0)</f>
        <v>39.338499999999996</v>
      </c>
      <c r="I339" s="10">
        <f>39.3364 * CHOOSE(CONTROL!$C$9, $D$9, 100%, $F$9) + CHOOSE(CONTROL!$C$27, 0.0021, 0)</f>
        <v>39.338499999999996</v>
      </c>
      <c r="J339" s="10">
        <f>39.3364 * CHOOSE(CONTROL!$C$9, $D$9, 100%, $F$9) + CHOOSE(CONTROL!$C$27, 0.0021, 0)</f>
        <v>39.338499999999996</v>
      </c>
      <c r="K339" s="10">
        <f>39.3364 * CHOOSE(CONTROL!$C$9, $D$9, 100%, $F$9) + CHOOSE(CONTROL!$C$27, 0.0021, 0)</f>
        <v>39.338499999999996</v>
      </c>
      <c r="L339" s="10"/>
    </row>
    <row r="340" spans="1:12" ht="15.75">
      <c r="A340" s="14">
        <v>51652</v>
      </c>
      <c r="B340" s="10">
        <f>40.5557 * CHOOSE(CONTROL!$C$9, $D$9, 100%, $F$9) + CHOOSE(CONTROL!$C$27, 0.0021, 0)</f>
        <v>40.5578</v>
      </c>
      <c r="C340" s="10">
        <f>40.1234 * CHOOSE(CONTROL!$C$9, $D$9, 100%, $F$9) + CHOOSE(CONTROL!$C$27, 0.0021, 0)</f>
        <v>40.125499999999995</v>
      </c>
      <c r="D340" s="10">
        <f>40.1234 * CHOOSE(CONTROL!$C$9, $D$9, 100%, $F$9) + CHOOSE(CONTROL!$C$27, 0.0021, 0)</f>
        <v>40.125499999999995</v>
      </c>
      <c r="E340" s="10">
        <f>39.9868 * CHOOSE(CONTROL!$C$9, $D$9, 100%, $F$9) + CHOOSE(CONTROL!$C$27, 0.0021, 0)</f>
        <v>39.988900000000001</v>
      </c>
      <c r="F340" s="10">
        <f>39.9868 * CHOOSE(CONTROL!$C$9, $D$9, 100%, $F$9) + CHOOSE(CONTROL!$C$27, 0.0021, 0)</f>
        <v>39.988900000000001</v>
      </c>
      <c r="G340" s="10">
        <f>40.2581 * CHOOSE(CONTROL!$C$9, $D$9, 100%, $F$9) + CHOOSE(CONTROL!$C$27, 0.0021, 0)</f>
        <v>40.260199999999998</v>
      </c>
      <c r="H340" s="10">
        <f>40.1234 * CHOOSE(CONTROL!$C$9, $D$9, 100%, $F$9) + CHOOSE(CONTROL!$C$27, 0.0021, 0)</f>
        <v>40.125499999999995</v>
      </c>
      <c r="I340" s="10">
        <f>40.1234 * CHOOSE(CONTROL!$C$9, $D$9, 100%, $F$9) + CHOOSE(CONTROL!$C$27, 0.0021, 0)</f>
        <v>40.125499999999995</v>
      </c>
      <c r="J340" s="10">
        <f>40.1234 * CHOOSE(CONTROL!$C$9, $D$9, 100%, $F$9) + CHOOSE(CONTROL!$C$27, 0.0021, 0)</f>
        <v>40.125499999999995</v>
      </c>
      <c r="K340" s="10">
        <f>40.1234 * CHOOSE(CONTROL!$C$9, $D$9, 100%, $F$9) + CHOOSE(CONTROL!$C$27, 0.0021, 0)</f>
        <v>40.125499999999995</v>
      </c>
      <c r="L340" s="10"/>
    </row>
    <row r="341" spans="1:12" ht="15.75">
      <c r="A341" s="14">
        <v>51682</v>
      </c>
      <c r="B341" s="10">
        <f>41.0271 * CHOOSE(CONTROL!$C$9, $D$9, 100%, $F$9) + CHOOSE(CONTROL!$C$27, 0.0021, 0)</f>
        <v>41.029199999999996</v>
      </c>
      <c r="C341" s="10">
        <f>40.5948 * CHOOSE(CONTROL!$C$9, $D$9, 100%, $F$9) + CHOOSE(CONTROL!$C$27, 0.0021, 0)</f>
        <v>40.596899999999998</v>
      </c>
      <c r="D341" s="10">
        <f>40.5948 * CHOOSE(CONTROL!$C$9, $D$9, 100%, $F$9) + CHOOSE(CONTROL!$C$27, 0.0021, 0)</f>
        <v>40.596899999999998</v>
      </c>
      <c r="E341" s="10">
        <f>40.4581 * CHOOSE(CONTROL!$C$9, $D$9, 100%, $F$9) + CHOOSE(CONTROL!$C$27, 0.0021, 0)</f>
        <v>40.4602</v>
      </c>
      <c r="F341" s="10">
        <f>40.4581 * CHOOSE(CONTROL!$C$9, $D$9, 100%, $F$9) + CHOOSE(CONTROL!$C$27, 0.0021, 0)</f>
        <v>40.4602</v>
      </c>
      <c r="G341" s="10">
        <f>40.7295 * CHOOSE(CONTROL!$C$9, $D$9, 100%, $F$9) + CHOOSE(CONTROL!$C$27, 0.0021, 0)</f>
        <v>40.7316</v>
      </c>
      <c r="H341" s="10">
        <f>40.5948 * CHOOSE(CONTROL!$C$9, $D$9, 100%, $F$9) + CHOOSE(CONTROL!$C$27, 0.0021, 0)</f>
        <v>40.596899999999998</v>
      </c>
      <c r="I341" s="10">
        <f>40.5948 * CHOOSE(CONTROL!$C$9, $D$9, 100%, $F$9) + CHOOSE(CONTROL!$C$27, 0.0021, 0)</f>
        <v>40.596899999999998</v>
      </c>
      <c r="J341" s="10">
        <f>40.5948 * CHOOSE(CONTROL!$C$9, $D$9, 100%, $F$9) + CHOOSE(CONTROL!$C$27, 0.0021, 0)</f>
        <v>40.596899999999998</v>
      </c>
      <c r="K341" s="10">
        <f>40.5948 * CHOOSE(CONTROL!$C$9, $D$9, 100%, $F$9) + CHOOSE(CONTROL!$C$27, 0.0021, 0)</f>
        <v>40.596899999999998</v>
      </c>
      <c r="L341" s="10"/>
    </row>
    <row r="342" spans="1:12" ht="15.75">
      <c r="A342" s="14">
        <v>51713</v>
      </c>
      <c r="B342" s="10">
        <f>41.8047 * CHOOSE(CONTROL!$C$9, $D$9, 100%, $F$9) + CHOOSE(CONTROL!$C$27, 0.0021, 0)</f>
        <v>41.806799999999996</v>
      </c>
      <c r="C342" s="10">
        <f>41.3724 * CHOOSE(CONTROL!$C$9, $D$9, 100%, $F$9) + CHOOSE(CONTROL!$C$27, 0.0021, 0)</f>
        <v>41.374499999999998</v>
      </c>
      <c r="D342" s="10">
        <f>41.3724 * CHOOSE(CONTROL!$C$9, $D$9, 100%, $F$9) + CHOOSE(CONTROL!$C$27, 0.0021, 0)</f>
        <v>41.374499999999998</v>
      </c>
      <c r="E342" s="10">
        <f>41.2358 * CHOOSE(CONTROL!$C$9, $D$9, 100%, $F$9) + CHOOSE(CONTROL!$C$27, 0.0021, 0)</f>
        <v>41.237899999999996</v>
      </c>
      <c r="F342" s="10">
        <f>41.2358 * CHOOSE(CONTROL!$C$9, $D$9, 100%, $F$9) + CHOOSE(CONTROL!$C$27, 0.0021, 0)</f>
        <v>41.237899999999996</v>
      </c>
      <c r="G342" s="10">
        <f>41.5071 * CHOOSE(CONTROL!$C$9, $D$9, 100%, $F$9) + CHOOSE(CONTROL!$C$27, 0.0021, 0)</f>
        <v>41.5092</v>
      </c>
      <c r="H342" s="10">
        <f>41.3724 * CHOOSE(CONTROL!$C$9, $D$9, 100%, $F$9) + CHOOSE(CONTROL!$C$27, 0.0021, 0)</f>
        <v>41.374499999999998</v>
      </c>
      <c r="I342" s="10">
        <f>41.3724 * CHOOSE(CONTROL!$C$9, $D$9, 100%, $F$9) + CHOOSE(CONTROL!$C$27, 0.0021, 0)</f>
        <v>41.374499999999998</v>
      </c>
      <c r="J342" s="10">
        <f>41.3724 * CHOOSE(CONTROL!$C$9, $D$9, 100%, $F$9) + CHOOSE(CONTROL!$C$27, 0.0021, 0)</f>
        <v>41.374499999999998</v>
      </c>
      <c r="K342" s="10">
        <f>41.3724 * CHOOSE(CONTROL!$C$9, $D$9, 100%, $F$9) + CHOOSE(CONTROL!$C$27, 0.0021, 0)</f>
        <v>41.374499999999998</v>
      </c>
      <c r="L342" s="10"/>
    </row>
    <row r="343" spans="1:12" ht="15.75">
      <c r="A343" s="14">
        <v>51744</v>
      </c>
      <c r="B343" s="10">
        <f>42.042 * CHOOSE(CONTROL!$C$9, $D$9, 100%, $F$9) + CHOOSE(CONTROL!$C$27, 0.0021, 0)</f>
        <v>42.0441</v>
      </c>
      <c r="C343" s="10">
        <f>41.6098 * CHOOSE(CONTROL!$C$9, $D$9, 100%, $F$9) + CHOOSE(CONTROL!$C$27, 0.0021, 0)</f>
        <v>41.611899999999999</v>
      </c>
      <c r="D343" s="10">
        <f>41.6098 * CHOOSE(CONTROL!$C$9, $D$9, 100%, $F$9) + CHOOSE(CONTROL!$C$27, 0.0021, 0)</f>
        <v>41.611899999999999</v>
      </c>
      <c r="E343" s="10">
        <f>41.4731 * CHOOSE(CONTROL!$C$9, $D$9, 100%, $F$9) + CHOOSE(CONTROL!$C$27, 0.0021, 0)</f>
        <v>41.475200000000001</v>
      </c>
      <c r="F343" s="10">
        <f>41.4731 * CHOOSE(CONTROL!$C$9, $D$9, 100%, $F$9) + CHOOSE(CONTROL!$C$27, 0.0021, 0)</f>
        <v>41.475200000000001</v>
      </c>
      <c r="G343" s="10">
        <f>41.7445 * CHOOSE(CONTROL!$C$9, $D$9, 100%, $F$9) + CHOOSE(CONTROL!$C$27, 0.0021, 0)</f>
        <v>41.746600000000001</v>
      </c>
      <c r="H343" s="10">
        <f>41.6098 * CHOOSE(CONTROL!$C$9, $D$9, 100%, $F$9) + CHOOSE(CONTROL!$C$27, 0.0021, 0)</f>
        <v>41.611899999999999</v>
      </c>
      <c r="I343" s="10">
        <f>41.6098 * CHOOSE(CONTROL!$C$9, $D$9, 100%, $F$9) + CHOOSE(CONTROL!$C$27, 0.0021, 0)</f>
        <v>41.611899999999999</v>
      </c>
      <c r="J343" s="10">
        <f>41.6098 * CHOOSE(CONTROL!$C$9, $D$9, 100%, $F$9) + CHOOSE(CONTROL!$C$27, 0.0021, 0)</f>
        <v>41.611899999999999</v>
      </c>
      <c r="K343" s="10">
        <f>41.6098 * CHOOSE(CONTROL!$C$9, $D$9, 100%, $F$9) + CHOOSE(CONTROL!$C$27, 0.0021, 0)</f>
        <v>41.611899999999999</v>
      </c>
      <c r="L343" s="10"/>
    </row>
    <row r="344" spans="1:12" ht="15.75">
      <c r="A344" s="14">
        <v>51774</v>
      </c>
      <c r="B344" s="10">
        <f>42.8503 * CHOOSE(CONTROL!$C$9, $D$9, 100%, $F$9) + CHOOSE(CONTROL!$C$27, 0.0021, 0)</f>
        <v>42.852399999999996</v>
      </c>
      <c r="C344" s="10">
        <f>42.4181 * CHOOSE(CONTROL!$C$9, $D$9, 100%, $F$9) + CHOOSE(CONTROL!$C$27, 0.0021, 0)</f>
        <v>42.420200000000001</v>
      </c>
      <c r="D344" s="10">
        <f>42.4181 * CHOOSE(CONTROL!$C$9, $D$9, 100%, $F$9) + CHOOSE(CONTROL!$C$27, 0.0021, 0)</f>
        <v>42.420200000000001</v>
      </c>
      <c r="E344" s="10">
        <f>42.2814 * CHOOSE(CONTROL!$C$9, $D$9, 100%, $F$9) + CHOOSE(CONTROL!$C$27, 0.0021, 0)</f>
        <v>42.283499999999997</v>
      </c>
      <c r="F344" s="10">
        <f>42.2814 * CHOOSE(CONTROL!$C$9, $D$9, 100%, $F$9) + CHOOSE(CONTROL!$C$27, 0.0021, 0)</f>
        <v>42.283499999999997</v>
      </c>
      <c r="G344" s="10">
        <f>42.5528 * CHOOSE(CONTROL!$C$9, $D$9, 100%, $F$9) + CHOOSE(CONTROL!$C$27, 0.0021, 0)</f>
        <v>42.554899999999996</v>
      </c>
      <c r="H344" s="10">
        <f>42.4181 * CHOOSE(CONTROL!$C$9, $D$9, 100%, $F$9) + CHOOSE(CONTROL!$C$27, 0.0021, 0)</f>
        <v>42.420200000000001</v>
      </c>
      <c r="I344" s="10">
        <f>42.4181 * CHOOSE(CONTROL!$C$9, $D$9, 100%, $F$9) + CHOOSE(CONTROL!$C$27, 0.0021, 0)</f>
        <v>42.420200000000001</v>
      </c>
      <c r="J344" s="10">
        <f>42.4181 * CHOOSE(CONTROL!$C$9, $D$9, 100%, $F$9) + CHOOSE(CONTROL!$C$27, 0.0021, 0)</f>
        <v>42.420200000000001</v>
      </c>
      <c r="K344" s="10">
        <f>42.4181 * CHOOSE(CONTROL!$C$9, $D$9, 100%, $F$9) + CHOOSE(CONTROL!$C$27, 0.0021, 0)</f>
        <v>42.420200000000001</v>
      </c>
      <c r="L344" s="10"/>
    </row>
    <row r="345" spans="1:12" ht="15.75">
      <c r="A345" s="14">
        <v>51805</v>
      </c>
      <c r="B345" s="10">
        <f>43.8735 * CHOOSE(CONTROL!$C$9, $D$9, 100%, $F$9) + CHOOSE(CONTROL!$C$27, 0.0021, 0)</f>
        <v>43.875599999999999</v>
      </c>
      <c r="C345" s="10">
        <f>43.4413 * CHOOSE(CONTROL!$C$9, $D$9, 100%, $F$9) + CHOOSE(CONTROL!$C$27, 0.0021, 0)</f>
        <v>43.443399999999997</v>
      </c>
      <c r="D345" s="10">
        <f>43.4413 * CHOOSE(CONTROL!$C$9, $D$9, 100%, $F$9) + CHOOSE(CONTROL!$C$27, 0.0021, 0)</f>
        <v>43.443399999999997</v>
      </c>
      <c r="E345" s="10">
        <f>43.3046 * CHOOSE(CONTROL!$C$9, $D$9, 100%, $F$9) + CHOOSE(CONTROL!$C$27, 0.0021, 0)</f>
        <v>43.306699999999999</v>
      </c>
      <c r="F345" s="10">
        <f>43.3046 * CHOOSE(CONTROL!$C$9, $D$9, 100%, $F$9) + CHOOSE(CONTROL!$C$27, 0.0021, 0)</f>
        <v>43.306699999999999</v>
      </c>
      <c r="G345" s="10">
        <f>43.576 * CHOOSE(CONTROL!$C$9, $D$9, 100%, $F$9) + CHOOSE(CONTROL!$C$27, 0.0021, 0)</f>
        <v>43.578099999999999</v>
      </c>
      <c r="H345" s="10">
        <f>43.4413 * CHOOSE(CONTROL!$C$9, $D$9, 100%, $F$9) + CHOOSE(CONTROL!$C$27, 0.0021, 0)</f>
        <v>43.443399999999997</v>
      </c>
      <c r="I345" s="10">
        <f>43.4413 * CHOOSE(CONTROL!$C$9, $D$9, 100%, $F$9) + CHOOSE(CONTROL!$C$27, 0.0021, 0)</f>
        <v>43.443399999999997</v>
      </c>
      <c r="J345" s="10">
        <f>43.4413 * CHOOSE(CONTROL!$C$9, $D$9, 100%, $F$9) + CHOOSE(CONTROL!$C$27, 0.0021, 0)</f>
        <v>43.443399999999997</v>
      </c>
      <c r="K345" s="10">
        <f>43.4413 * CHOOSE(CONTROL!$C$9, $D$9, 100%, $F$9) + CHOOSE(CONTROL!$C$27, 0.0021, 0)</f>
        <v>43.443399999999997</v>
      </c>
      <c r="L345" s="10"/>
    </row>
    <row r="346" spans="1:12" ht="15.75">
      <c r="A346" s="14">
        <v>51835</v>
      </c>
      <c r="B346" s="10">
        <f>43.9696 * CHOOSE(CONTROL!$C$9, $D$9, 100%, $F$9) + CHOOSE(CONTROL!$C$27, 0.0021, 0)</f>
        <v>43.971699999999998</v>
      </c>
      <c r="C346" s="10">
        <f>43.5373 * CHOOSE(CONTROL!$C$9, $D$9, 100%, $F$9) + CHOOSE(CONTROL!$C$27, 0.0021, 0)</f>
        <v>43.539400000000001</v>
      </c>
      <c r="D346" s="10">
        <f>43.5373 * CHOOSE(CONTROL!$C$9, $D$9, 100%, $F$9) + CHOOSE(CONTROL!$C$27, 0.0021, 0)</f>
        <v>43.539400000000001</v>
      </c>
      <c r="E346" s="10">
        <f>43.4007 * CHOOSE(CONTROL!$C$9, $D$9, 100%, $F$9) + CHOOSE(CONTROL!$C$27, 0.0021, 0)</f>
        <v>43.402799999999999</v>
      </c>
      <c r="F346" s="10">
        <f>43.4007 * CHOOSE(CONTROL!$C$9, $D$9, 100%, $F$9) + CHOOSE(CONTROL!$C$27, 0.0021, 0)</f>
        <v>43.402799999999999</v>
      </c>
      <c r="G346" s="10">
        <f>43.672 * CHOOSE(CONTROL!$C$9, $D$9, 100%, $F$9) + CHOOSE(CONTROL!$C$27, 0.0021, 0)</f>
        <v>43.674099999999996</v>
      </c>
      <c r="H346" s="10">
        <f>43.5373 * CHOOSE(CONTROL!$C$9, $D$9, 100%, $F$9) + CHOOSE(CONTROL!$C$27, 0.0021, 0)</f>
        <v>43.539400000000001</v>
      </c>
      <c r="I346" s="10">
        <f>43.5373 * CHOOSE(CONTROL!$C$9, $D$9, 100%, $F$9) + CHOOSE(CONTROL!$C$27, 0.0021, 0)</f>
        <v>43.539400000000001</v>
      </c>
      <c r="J346" s="10">
        <f>43.5373 * CHOOSE(CONTROL!$C$9, $D$9, 100%, $F$9) + CHOOSE(CONTROL!$C$27, 0.0021, 0)</f>
        <v>43.539400000000001</v>
      </c>
      <c r="K346" s="10">
        <f>43.5373 * CHOOSE(CONTROL!$C$9, $D$9, 100%, $F$9) + CHOOSE(CONTROL!$C$27, 0.0021, 0)</f>
        <v>43.539400000000001</v>
      </c>
      <c r="L346" s="10"/>
    </row>
    <row r="347" spans="1:12" ht="15.75">
      <c r="A347" s="14">
        <v>51866</v>
      </c>
      <c r="B347" s="10">
        <f>43.1524 * CHOOSE(CONTROL!$C$9, $D$9, 100%, $F$9) + CHOOSE(CONTROL!$C$27, 0.0021, 0)</f>
        <v>43.154499999999999</v>
      </c>
      <c r="C347" s="10">
        <f>42.7201 * CHOOSE(CONTROL!$C$9, $D$9, 100%, $F$9) + CHOOSE(CONTROL!$C$27, 0.0021, 0)</f>
        <v>42.722200000000001</v>
      </c>
      <c r="D347" s="10">
        <f>42.7201 * CHOOSE(CONTROL!$C$9, $D$9, 100%, $F$9) + CHOOSE(CONTROL!$C$27, 0.0021, 0)</f>
        <v>42.722200000000001</v>
      </c>
      <c r="E347" s="10">
        <f>42.5835 * CHOOSE(CONTROL!$C$9, $D$9, 100%, $F$9) + CHOOSE(CONTROL!$C$27, 0.0021, 0)</f>
        <v>42.585599999999999</v>
      </c>
      <c r="F347" s="10">
        <f>42.5835 * CHOOSE(CONTROL!$C$9, $D$9, 100%, $F$9) + CHOOSE(CONTROL!$C$27, 0.0021, 0)</f>
        <v>42.585599999999999</v>
      </c>
      <c r="G347" s="10">
        <f>42.8549 * CHOOSE(CONTROL!$C$9, $D$9, 100%, $F$9) + CHOOSE(CONTROL!$C$27, 0.0021, 0)</f>
        <v>42.856999999999999</v>
      </c>
      <c r="H347" s="10">
        <f>42.7201 * CHOOSE(CONTROL!$C$9, $D$9, 100%, $F$9) + CHOOSE(CONTROL!$C$27, 0.0021, 0)</f>
        <v>42.722200000000001</v>
      </c>
      <c r="I347" s="10">
        <f>42.7201 * CHOOSE(CONTROL!$C$9, $D$9, 100%, $F$9) + CHOOSE(CONTROL!$C$27, 0.0021, 0)</f>
        <v>42.722200000000001</v>
      </c>
      <c r="J347" s="10">
        <f>42.7201 * CHOOSE(CONTROL!$C$9, $D$9, 100%, $F$9) + CHOOSE(CONTROL!$C$27, 0.0021, 0)</f>
        <v>42.722200000000001</v>
      </c>
      <c r="K347" s="10">
        <f>42.7201 * CHOOSE(CONTROL!$C$9, $D$9, 100%, $F$9) + CHOOSE(CONTROL!$C$27, 0.0021, 0)</f>
        <v>42.722200000000001</v>
      </c>
      <c r="L347" s="10"/>
    </row>
    <row r="348" spans="1:12" ht="15.75">
      <c r="A348" s="14">
        <v>51897</v>
      </c>
      <c r="B348" s="10">
        <f>42.5267 * CHOOSE(CONTROL!$C$9, $D$9, 100%, $F$9) + CHOOSE(CONTROL!$C$27, 0.0021, 0)</f>
        <v>42.528799999999997</v>
      </c>
      <c r="C348" s="10">
        <f>42.0945 * CHOOSE(CONTROL!$C$9, $D$9, 100%, $F$9) + CHOOSE(CONTROL!$C$27, 0.0021, 0)</f>
        <v>42.096599999999995</v>
      </c>
      <c r="D348" s="10">
        <f>42.0945 * CHOOSE(CONTROL!$C$9, $D$9, 100%, $F$9) + CHOOSE(CONTROL!$C$27, 0.0021, 0)</f>
        <v>42.096599999999995</v>
      </c>
      <c r="E348" s="10">
        <f>41.9578 * CHOOSE(CONTROL!$C$9, $D$9, 100%, $F$9) + CHOOSE(CONTROL!$C$27, 0.0021, 0)</f>
        <v>41.959899999999998</v>
      </c>
      <c r="F348" s="10">
        <f>41.9578 * CHOOSE(CONTROL!$C$9, $D$9, 100%, $F$9) + CHOOSE(CONTROL!$C$27, 0.0021, 0)</f>
        <v>41.959899999999998</v>
      </c>
      <c r="G348" s="10">
        <f>42.2292 * CHOOSE(CONTROL!$C$9, $D$9, 100%, $F$9) + CHOOSE(CONTROL!$C$27, 0.0021, 0)</f>
        <v>42.231299999999997</v>
      </c>
      <c r="H348" s="10">
        <f>42.0945 * CHOOSE(CONTROL!$C$9, $D$9, 100%, $F$9) + CHOOSE(CONTROL!$C$27, 0.0021, 0)</f>
        <v>42.096599999999995</v>
      </c>
      <c r="I348" s="10">
        <f>42.0945 * CHOOSE(CONTROL!$C$9, $D$9, 100%, $F$9) + CHOOSE(CONTROL!$C$27, 0.0021, 0)</f>
        <v>42.096599999999995</v>
      </c>
      <c r="J348" s="10">
        <f>42.0945 * CHOOSE(CONTROL!$C$9, $D$9, 100%, $F$9) + CHOOSE(CONTROL!$C$27, 0.0021, 0)</f>
        <v>42.096599999999995</v>
      </c>
      <c r="K348" s="10">
        <f>42.0945 * CHOOSE(CONTROL!$C$9, $D$9, 100%, $F$9) + CHOOSE(CONTROL!$C$27, 0.0021, 0)</f>
        <v>42.096599999999995</v>
      </c>
      <c r="L348" s="10"/>
    </row>
    <row r="349" spans="1:12" ht="15.75">
      <c r="A349" s="14">
        <v>51925</v>
      </c>
      <c r="B349" s="10">
        <f>41.3887 * CHOOSE(CONTROL!$C$9, $D$9, 100%, $F$9) + CHOOSE(CONTROL!$C$27, 0.0021, 0)</f>
        <v>41.390799999999999</v>
      </c>
      <c r="C349" s="10">
        <f>40.9564 * CHOOSE(CONTROL!$C$9, $D$9, 100%, $F$9) + CHOOSE(CONTROL!$C$27, 0.0021, 0)</f>
        <v>40.958500000000001</v>
      </c>
      <c r="D349" s="10">
        <f>40.9564 * CHOOSE(CONTROL!$C$9, $D$9, 100%, $F$9) + CHOOSE(CONTROL!$C$27, 0.0021, 0)</f>
        <v>40.958500000000001</v>
      </c>
      <c r="E349" s="10">
        <f>40.8198 * CHOOSE(CONTROL!$C$9, $D$9, 100%, $F$9) + CHOOSE(CONTROL!$C$27, 0.0021, 0)</f>
        <v>40.821899999999999</v>
      </c>
      <c r="F349" s="10">
        <f>40.8198 * CHOOSE(CONTROL!$C$9, $D$9, 100%, $F$9) + CHOOSE(CONTROL!$C$27, 0.0021, 0)</f>
        <v>40.821899999999999</v>
      </c>
      <c r="G349" s="10">
        <f>41.0911 * CHOOSE(CONTROL!$C$9, $D$9, 100%, $F$9) + CHOOSE(CONTROL!$C$27, 0.0021, 0)</f>
        <v>41.093199999999996</v>
      </c>
      <c r="H349" s="10">
        <f>40.9564 * CHOOSE(CONTROL!$C$9, $D$9, 100%, $F$9) + CHOOSE(CONTROL!$C$27, 0.0021, 0)</f>
        <v>40.958500000000001</v>
      </c>
      <c r="I349" s="10">
        <f>40.9564 * CHOOSE(CONTROL!$C$9, $D$9, 100%, $F$9) + CHOOSE(CONTROL!$C$27, 0.0021, 0)</f>
        <v>40.958500000000001</v>
      </c>
      <c r="J349" s="10">
        <f>40.9564 * CHOOSE(CONTROL!$C$9, $D$9, 100%, $F$9) + CHOOSE(CONTROL!$C$27, 0.0021, 0)</f>
        <v>40.958500000000001</v>
      </c>
      <c r="K349" s="10">
        <f>40.9564 * CHOOSE(CONTROL!$C$9, $D$9, 100%, $F$9) + CHOOSE(CONTROL!$C$27, 0.0021, 0)</f>
        <v>40.958500000000001</v>
      </c>
      <c r="L349" s="10"/>
    </row>
    <row r="350" spans="1:12" ht="15.75">
      <c r="A350" s="14">
        <v>51956</v>
      </c>
      <c r="B350" s="10">
        <f>40.9189 * CHOOSE(CONTROL!$C$9, $D$9, 100%, $F$9) + CHOOSE(CONTROL!$C$27, 0.0021, 0)</f>
        <v>40.920999999999999</v>
      </c>
      <c r="C350" s="10">
        <f>40.4866 * CHOOSE(CONTROL!$C$9, $D$9, 100%, $F$9) + CHOOSE(CONTROL!$C$27, 0.0021, 0)</f>
        <v>40.488700000000001</v>
      </c>
      <c r="D350" s="10">
        <f>40.4866 * CHOOSE(CONTROL!$C$9, $D$9, 100%, $F$9) + CHOOSE(CONTROL!$C$27, 0.0021, 0)</f>
        <v>40.488700000000001</v>
      </c>
      <c r="E350" s="10">
        <f>40.35 * CHOOSE(CONTROL!$C$9, $D$9, 100%, $F$9) + CHOOSE(CONTROL!$C$27, 0.0021, 0)</f>
        <v>40.3521</v>
      </c>
      <c r="F350" s="10">
        <f>40.35 * CHOOSE(CONTROL!$C$9, $D$9, 100%, $F$9) + CHOOSE(CONTROL!$C$27, 0.0021, 0)</f>
        <v>40.3521</v>
      </c>
      <c r="G350" s="10">
        <f>40.6214 * CHOOSE(CONTROL!$C$9, $D$9, 100%, $F$9) + CHOOSE(CONTROL!$C$27, 0.0021, 0)</f>
        <v>40.6235</v>
      </c>
      <c r="H350" s="10">
        <f>40.4866 * CHOOSE(CONTROL!$C$9, $D$9, 100%, $F$9) + CHOOSE(CONTROL!$C$27, 0.0021, 0)</f>
        <v>40.488700000000001</v>
      </c>
      <c r="I350" s="10">
        <f>40.4866 * CHOOSE(CONTROL!$C$9, $D$9, 100%, $F$9) + CHOOSE(CONTROL!$C$27, 0.0021, 0)</f>
        <v>40.488700000000001</v>
      </c>
      <c r="J350" s="10">
        <f>40.4866 * CHOOSE(CONTROL!$C$9, $D$9, 100%, $F$9) + CHOOSE(CONTROL!$C$27, 0.0021, 0)</f>
        <v>40.488700000000001</v>
      </c>
      <c r="K350" s="10">
        <f>40.4866 * CHOOSE(CONTROL!$C$9, $D$9, 100%, $F$9) + CHOOSE(CONTROL!$C$27, 0.0021, 0)</f>
        <v>40.488700000000001</v>
      </c>
      <c r="L350" s="10"/>
    </row>
    <row r="351" spans="1:12" ht="15.75">
      <c r="A351" s="14">
        <v>51986</v>
      </c>
      <c r="B351" s="10">
        <f>40.358 * CHOOSE(CONTROL!$C$9, $D$9, 100%, $F$9) + CHOOSE(CONTROL!$C$27, 0.0021, 0)</f>
        <v>40.360099999999996</v>
      </c>
      <c r="C351" s="10">
        <f>39.9257 * CHOOSE(CONTROL!$C$9, $D$9, 100%, $F$9) + CHOOSE(CONTROL!$C$27, 0.0021, 0)</f>
        <v>39.927799999999998</v>
      </c>
      <c r="D351" s="10">
        <f>39.9257 * CHOOSE(CONTROL!$C$9, $D$9, 100%, $F$9) + CHOOSE(CONTROL!$C$27, 0.0021, 0)</f>
        <v>39.927799999999998</v>
      </c>
      <c r="E351" s="10">
        <f>39.789 * CHOOSE(CONTROL!$C$9, $D$9, 100%, $F$9) + CHOOSE(CONTROL!$C$27, 0.0021, 0)</f>
        <v>39.7911</v>
      </c>
      <c r="F351" s="10">
        <f>39.789 * CHOOSE(CONTROL!$C$9, $D$9, 100%, $F$9) + CHOOSE(CONTROL!$C$27, 0.0021, 0)</f>
        <v>39.7911</v>
      </c>
      <c r="G351" s="10">
        <f>40.0604 * CHOOSE(CONTROL!$C$9, $D$9, 100%, $F$9) + CHOOSE(CONTROL!$C$27, 0.0021, 0)</f>
        <v>40.0625</v>
      </c>
      <c r="H351" s="10">
        <f>39.9257 * CHOOSE(CONTROL!$C$9, $D$9, 100%, $F$9) + CHOOSE(CONTROL!$C$27, 0.0021, 0)</f>
        <v>39.927799999999998</v>
      </c>
      <c r="I351" s="10">
        <f>39.9257 * CHOOSE(CONTROL!$C$9, $D$9, 100%, $F$9) + CHOOSE(CONTROL!$C$27, 0.0021, 0)</f>
        <v>39.927799999999998</v>
      </c>
      <c r="J351" s="10">
        <f>39.9257 * CHOOSE(CONTROL!$C$9, $D$9, 100%, $F$9) + CHOOSE(CONTROL!$C$27, 0.0021, 0)</f>
        <v>39.927799999999998</v>
      </c>
      <c r="K351" s="10">
        <f>39.9257 * CHOOSE(CONTROL!$C$9, $D$9, 100%, $F$9) + CHOOSE(CONTROL!$C$27, 0.0021, 0)</f>
        <v>39.927799999999998</v>
      </c>
      <c r="L351" s="10"/>
    </row>
    <row r="352" spans="1:12" ht="15.75">
      <c r="A352" s="14">
        <v>52017</v>
      </c>
      <c r="B352" s="10">
        <f>41.1574 * CHOOSE(CONTROL!$C$9, $D$9, 100%, $F$9) + CHOOSE(CONTROL!$C$27, 0.0021, 0)</f>
        <v>41.159500000000001</v>
      </c>
      <c r="C352" s="10">
        <f>40.7251 * CHOOSE(CONTROL!$C$9, $D$9, 100%, $F$9) + CHOOSE(CONTROL!$C$27, 0.0021, 0)</f>
        <v>40.727199999999996</v>
      </c>
      <c r="D352" s="10">
        <f>40.7251 * CHOOSE(CONTROL!$C$9, $D$9, 100%, $F$9) + CHOOSE(CONTROL!$C$27, 0.0021, 0)</f>
        <v>40.727199999999996</v>
      </c>
      <c r="E352" s="10">
        <f>40.5884 * CHOOSE(CONTROL!$C$9, $D$9, 100%, $F$9) + CHOOSE(CONTROL!$C$27, 0.0021, 0)</f>
        <v>40.590499999999999</v>
      </c>
      <c r="F352" s="10">
        <f>40.5884 * CHOOSE(CONTROL!$C$9, $D$9, 100%, $F$9) + CHOOSE(CONTROL!$C$27, 0.0021, 0)</f>
        <v>40.590499999999999</v>
      </c>
      <c r="G352" s="10">
        <f>40.8598 * CHOOSE(CONTROL!$C$9, $D$9, 100%, $F$9) + CHOOSE(CONTROL!$C$27, 0.0021, 0)</f>
        <v>40.861899999999999</v>
      </c>
      <c r="H352" s="10">
        <f>40.7251 * CHOOSE(CONTROL!$C$9, $D$9, 100%, $F$9) + CHOOSE(CONTROL!$C$27, 0.0021, 0)</f>
        <v>40.727199999999996</v>
      </c>
      <c r="I352" s="10">
        <f>40.7251 * CHOOSE(CONTROL!$C$9, $D$9, 100%, $F$9) + CHOOSE(CONTROL!$C$27, 0.0021, 0)</f>
        <v>40.727199999999996</v>
      </c>
      <c r="J352" s="10">
        <f>40.7251 * CHOOSE(CONTROL!$C$9, $D$9, 100%, $F$9) + CHOOSE(CONTROL!$C$27, 0.0021, 0)</f>
        <v>40.727199999999996</v>
      </c>
      <c r="K352" s="10">
        <f>40.7251 * CHOOSE(CONTROL!$C$9, $D$9, 100%, $F$9) + CHOOSE(CONTROL!$C$27, 0.0021, 0)</f>
        <v>40.727199999999996</v>
      </c>
      <c r="L352" s="10"/>
    </row>
    <row r="353" spans="1:12" ht="15.75">
      <c r="A353" s="14">
        <v>52047</v>
      </c>
      <c r="B353" s="10">
        <f>41.6362 * CHOOSE(CONTROL!$C$9, $D$9, 100%, $F$9) + CHOOSE(CONTROL!$C$27, 0.0021, 0)</f>
        <v>41.638300000000001</v>
      </c>
      <c r="C353" s="10">
        <f>41.2039 * CHOOSE(CONTROL!$C$9, $D$9, 100%, $F$9) + CHOOSE(CONTROL!$C$27, 0.0021, 0)</f>
        <v>41.205999999999996</v>
      </c>
      <c r="D353" s="10">
        <f>41.2039 * CHOOSE(CONTROL!$C$9, $D$9, 100%, $F$9) + CHOOSE(CONTROL!$C$27, 0.0021, 0)</f>
        <v>41.205999999999996</v>
      </c>
      <c r="E353" s="10">
        <f>41.0673 * CHOOSE(CONTROL!$C$9, $D$9, 100%, $F$9) + CHOOSE(CONTROL!$C$27, 0.0021, 0)</f>
        <v>41.069400000000002</v>
      </c>
      <c r="F353" s="10">
        <f>41.0673 * CHOOSE(CONTROL!$C$9, $D$9, 100%, $F$9) + CHOOSE(CONTROL!$C$27, 0.0021, 0)</f>
        <v>41.069400000000002</v>
      </c>
      <c r="G353" s="10">
        <f>41.3386 * CHOOSE(CONTROL!$C$9, $D$9, 100%, $F$9) + CHOOSE(CONTROL!$C$27, 0.0021, 0)</f>
        <v>41.340699999999998</v>
      </c>
      <c r="H353" s="10">
        <f>41.2039 * CHOOSE(CONTROL!$C$9, $D$9, 100%, $F$9) + CHOOSE(CONTROL!$C$27, 0.0021, 0)</f>
        <v>41.205999999999996</v>
      </c>
      <c r="I353" s="10">
        <f>41.2039 * CHOOSE(CONTROL!$C$9, $D$9, 100%, $F$9) + CHOOSE(CONTROL!$C$27, 0.0021, 0)</f>
        <v>41.205999999999996</v>
      </c>
      <c r="J353" s="10">
        <f>41.2039 * CHOOSE(CONTROL!$C$9, $D$9, 100%, $F$9) + CHOOSE(CONTROL!$C$27, 0.0021, 0)</f>
        <v>41.205999999999996</v>
      </c>
      <c r="K353" s="10">
        <f>41.2039 * CHOOSE(CONTROL!$C$9, $D$9, 100%, $F$9) + CHOOSE(CONTROL!$C$27, 0.0021, 0)</f>
        <v>41.205999999999996</v>
      </c>
      <c r="L353" s="10"/>
    </row>
    <row r="354" spans="1:12" ht="15.75">
      <c r="A354" s="14">
        <v>52078</v>
      </c>
      <c r="B354" s="10">
        <f>42.426 * CHOOSE(CONTROL!$C$9, $D$9, 100%, $F$9) + CHOOSE(CONTROL!$C$27, 0.0021, 0)</f>
        <v>42.428100000000001</v>
      </c>
      <c r="C354" s="10">
        <f>41.9938 * CHOOSE(CONTROL!$C$9, $D$9, 100%, $F$9) + CHOOSE(CONTROL!$C$27, 0.0021, 0)</f>
        <v>41.995899999999999</v>
      </c>
      <c r="D354" s="10">
        <f>41.9938 * CHOOSE(CONTROL!$C$9, $D$9, 100%, $F$9) + CHOOSE(CONTROL!$C$27, 0.0021, 0)</f>
        <v>41.995899999999999</v>
      </c>
      <c r="E354" s="10">
        <f>41.8571 * CHOOSE(CONTROL!$C$9, $D$9, 100%, $F$9) + CHOOSE(CONTROL!$C$27, 0.0021, 0)</f>
        <v>41.859200000000001</v>
      </c>
      <c r="F354" s="10">
        <f>41.8571 * CHOOSE(CONTROL!$C$9, $D$9, 100%, $F$9) + CHOOSE(CONTROL!$C$27, 0.0021, 0)</f>
        <v>41.859200000000001</v>
      </c>
      <c r="G354" s="10">
        <f>42.1285 * CHOOSE(CONTROL!$C$9, $D$9, 100%, $F$9) + CHOOSE(CONTROL!$C$27, 0.0021, 0)</f>
        <v>42.130600000000001</v>
      </c>
      <c r="H354" s="10">
        <f>41.9938 * CHOOSE(CONTROL!$C$9, $D$9, 100%, $F$9) + CHOOSE(CONTROL!$C$27, 0.0021, 0)</f>
        <v>41.995899999999999</v>
      </c>
      <c r="I354" s="10">
        <f>41.9938 * CHOOSE(CONTROL!$C$9, $D$9, 100%, $F$9) + CHOOSE(CONTROL!$C$27, 0.0021, 0)</f>
        <v>41.995899999999999</v>
      </c>
      <c r="J354" s="10">
        <f>41.9938 * CHOOSE(CONTROL!$C$9, $D$9, 100%, $F$9) + CHOOSE(CONTROL!$C$27, 0.0021, 0)</f>
        <v>41.995899999999999</v>
      </c>
      <c r="K354" s="10">
        <f>41.9938 * CHOOSE(CONTROL!$C$9, $D$9, 100%, $F$9) + CHOOSE(CONTROL!$C$27, 0.0021, 0)</f>
        <v>41.995899999999999</v>
      </c>
      <c r="L354" s="10"/>
    </row>
    <row r="355" spans="1:12" ht="15.75">
      <c r="A355" s="14">
        <v>52109</v>
      </c>
      <c r="B355" s="10">
        <f>42.6671 * CHOOSE(CONTROL!$C$9, $D$9, 100%, $F$9) + CHOOSE(CONTROL!$C$27, 0.0021, 0)</f>
        <v>42.669199999999996</v>
      </c>
      <c r="C355" s="10">
        <f>42.2348 * CHOOSE(CONTROL!$C$9, $D$9, 100%, $F$9) + CHOOSE(CONTROL!$C$27, 0.0021, 0)</f>
        <v>42.236899999999999</v>
      </c>
      <c r="D355" s="10">
        <f>42.2348 * CHOOSE(CONTROL!$C$9, $D$9, 100%, $F$9) + CHOOSE(CONTROL!$C$27, 0.0021, 0)</f>
        <v>42.236899999999999</v>
      </c>
      <c r="E355" s="10">
        <f>42.0982 * CHOOSE(CONTROL!$C$9, $D$9, 100%, $F$9) + CHOOSE(CONTROL!$C$27, 0.0021, 0)</f>
        <v>42.100299999999997</v>
      </c>
      <c r="F355" s="10">
        <f>42.0982 * CHOOSE(CONTROL!$C$9, $D$9, 100%, $F$9) + CHOOSE(CONTROL!$C$27, 0.0021, 0)</f>
        <v>42.100299999999997</v>
      </c>
      <c r="G355" s="10">
        <f>42.3696 * CHOOSE(CONTROL!$C$9, $D$9, 100%, $F$9) + CHOOSE(CONTROL!$C$27, 0.0021, 0)</f>
        <v>42.371699999999997</v>
      </c>
      <c r="H355" s="10">
        <f>42.2348 * CHOOSE(CONTROL!$C$9, $D$9, 100%, $F$9) + CHOOSE(CONTROL!$C$27, 0.0021, 0)</f>
        <v>42.236899999999999</v>
      </c>
      <c r="I355" s="10">
        <f>42.2348 * CHOOSE(CONTROL!$C$9, $D$9, 100%, $F$9) + CHOOSE(CONTROL!$C$27, 0.0021, 0)</f>
        <v>42.236899999999999</v>
      </c>
      <c r="J355" s="10">
        <f>42.2348 * CHOOSE(CONTROL!$C$9, $D$9, 100%, $F$9) + CHOOSE(CONTROL!$C$27, 0.0021, 0)</f>
        <v>42.236899999999999</v>
      </c>
      <c r="K355" s="10">
        <f>42.2348 * CHOOSE(CONTROL!$C$9, $D$9, 100%, $F$9) + CHOOSE(CONTROL!$C$27, 0.0021, 0)</f>
        <v>42.236899999999999</v>
      </c>
      <c r="L355" s="10"/>
    </row>
    <row r="356" spans="1:12" ht="15.75">
      <c r="A356" s="14">
        <v>52139</v>
      </c>
      <c r="B356" s="10">
        <f>43.4881 * CHOOSE(CONTROL!$C$9, $D$9, 100%, $F$9) + CHOOSE(CONTROL!$C$27, 0.0021, 0)</f>
        <v>43.490200000000002</v>
      </c>
      <c r="C356" s="10">
        <f>43.0559 * CHOOSE(CONTROL!$C$9, $D$9, 100%, $F$9) + CHOOSE(CONTROL!$C$27, 0.0021, 0)</f>
        <v>43.058</v>
      </c>
      <c r="D356" s="10">
        <f>43.0559 * CHOOSE(CONTROL!$C$9, $D$9, 100%, $F$9) + CHOOSE(CONTROL!$C$27, 0.0021, 0)</f>
        <v>43.058</v>
      </c>
      <c r="E356" s="10">
        <f>42.9192 * CHOOSE(CONTROL!$C$9, $D$9, 100%, $F$9) + CHOOSE(CONTROL!$C$27, 0.0021, 0)</f>
        <v>42.921299999999995</v>
      </c>
      <c r="F356" s="10">
        <f>42.9192 * CHOOSE(CONTROL!$C$9, $D$9, 100%, $F$9) + CHOOSE(CONTROL!$C$27, 0.0021, 0)</f>
        <v>42.921299999999995</v>
      </c>
      <c r="G356" s="10">
        <f>43.1906 * CHOOSE(CONTROL!$C$9, $D$9, 100%, $F$9) + CHOOSE(CONTROL!$C$27, 0.0021, 0)</f>
        <v>43.192700000000002</v>
      </c>
      <c r="H356" s="10">
        <f>43.0559 * CHOOSE(CONTROL!$C$9, $D$9, 100%, $F$9) + CHOOSE(CONTROL!$C$27, 0.0021, 0)</f>
        <v>43.058</v>
      </c>
      <c r="I356" s="10">
        <f>43.0559 * CHOOSE(CONTROL!$C$9, $D$9, 100%, $F$9) + CHOOSE(CONTROL!$C$27, 0.0021, 0)</f>
        <v>43.058</v>
      </c>
      <c r="J356" s="10">
        <f>43.0559 * CHOOSE(CONTROL!$C$9, $D$9, 100%, $F$9) + CHOOSE(CONTROL!$C$27, 0.0021, 0)</f>
        <v>43.058</v>
      </c>
      <c r="K356" s="10">
        <f>43.0559 * CHOOSE(CONTROL!$C$9, $D$9, 100%, $F$9) + CHOOSE(CONTROL!$C$27, 0.0021, 0)</f>
        <v>43.058</v>
      </c>
      <c r="L356" s="10"/>
    </row>
    <row r="357" spans="1:12" ht="15.75">
      <c r="A357" s="14">
        <v>52170</v>
      </c>
      <c r="B357" s="10">
        <f>44.5274 * CHOOSE(CONTROL!$C$9, $D$9, 100%, $F$9) + CHOOSE(CONTROL!$C$27, 0.0021, 0)</f>
        <v>44.529499999999999</v>
      </c>
      <c r="C357" s="10">
        <f>44.0951 * CHOOSE(CONTROL!$C$9, $D$9, 100%, $F$9) + CHOOSE(CONTROL!$C$27, 0.0021, 0)</f>
        <v>44.097200000000001</v>
      </c>
      <c r="D357" s="10">
        <f>44.0951 * CHOOSE(CONTROL!$C$9, $D$9, 100%, $F$9) + CHOOSE(CONTROL!$C$27, 0.0021, 0)</f>
        <v>44.097200000000001</v>
      </c>
      <c r="E357" s="10">
        <f>43.9585 * CHOOSE(CONTROL!$C$9, $D$9, 100%, $F$9) + CHOOSE(CONTROL!$C$27, 0.0021, 0)</f>
        <v>43.960599999999999</v>
      </c>
      <c r="F357" s="10">
        <f>43.9585 * CHOOSE(CONTROL!$C$9, $D$9, 100%, $F$9) + CHOOSE(CONTROL!$C$27, 0.0021, 0)</f>
        <v>43.960599999999999</v>
      </c>
      <c r="G357" s="10">
        <f>44.2299 * CHOOSE(CONTROL!$C$9, $D$9, 100%, $F$9) + CHOOSE(CONTROL!$C$27, 0.0021, 0)</f>
        <v>44.231999999999999</v>
      </c>
      <c r="H357" s="10">
        <f>44.0951 * CHOOSE(CONTROL!$C$9, $D$9, 100%, $F$9) + CHOOSE(CONTROL!$C$27, 0.0021, 0)</f>
        <v>44.097200000000001</v>
      </c>
      <c r="I357" s="10">
        <f>44.0951 * CHOOSE(CONTROL!$C$9, $D$9, 100%, $F$9) + CHOOSE(CONTROL!$C$27, 0.0021, 0)</f>
        <v>44.097200000000001</v>
      </c>
      <c r="J357" s="10">
        <f>44.0951 * CHOOSE(CONTROL!$C$9, $D$9, 100%, $F$9) + CHOOSE(CONTROL!$C$27, 0.0021, 0)</f>
        <v>44.097200000000001</v>
      </c>
      <c r="K357" s="10">
        <f>44.0951 * CHOOSE(CONTROL!$C$9, $D$9, 100%, $F$9) + CHOOSE(CONTROL!$C$27, 0.0021, 0)</f>
        <v>44.097200000000001</v>
      </c>
      <c r="L357" s="10"/>
    </row>
    <row r="358" spans="1:12" ht="15.75">
      <c r="A358" s="14">
        <v>52200</v>
      </c>
      <c r="B358" s="10">
        <f>44.6249 * CHOOSE(CONTROL!$C$9, $D$9, 100%, $F$9) + CHOOSE(CONTROL!$C$27, 0.0021, 0)</f>
        <v>44.626999999999995</v>
      </c>
      <c r="C358" s="10">
        <f>44.1927 * CHOOSE(CONTROL!$C$9, $D$9, 100%, $F$9) + CHOOSE(CONTROL!$C$27, 0.0021, 0)</f>
        <v>44.194800000000001</v>
      </c>
      <c r="D358" s="10">
        <f>44.1927 * CHOOSE(CONTROL!$C$9, $D$9, 100%, $F$9) + CHOOSE(CONTROL!$C$27, 0.0021, 0)</f>
        <v>44.194800000000001</v>
      </c>
      <c r="E358" s="10">
        <f>44.056 * CHOOSE(CONTROL!$C$9, $D$9, 100%, $F$9) + CHOOSE(CONTROL!$C$27, 0.0021, 0)</f>
        <v>44.058099999999996</v>
      </c>
      <c r="F358" s="10">
        <f>44.056 * CHOOSE(CONTROL!$C$9, $D$9, 100%, $F$9) + CHOOSE(CONTROL!$C$27, 0.0021, 0)</f>
        <v>44.058099999999996</v>
      </c>
      <c r="G358" s="10">
        <f>44.3274 * CHOOSE(CONTROL!$C$9, $D$9, 100%, $F$9) + CHOOSE(CONTROL!$C$27, 0.0021, 0)</f>
        <v>44.329499999999996</v>
      </c>
      <c r="H358" s="10">
        <f>44.1927 * CHOOSE(CONTROL!$C$9, $D$9, 100%, $F$9) + CHOOSE(CONTROL!$C$27, 0.0021, 0)</f>
        <v>44.194800000000001</v>
      </c>
      <c r="I358" s="10">
        <f>44.1927 * CHOOSE(CONTROL!$C$9, $D$9, 100%, $F$9) + CHOOSE(CONTROL!$C$27, 0.0021, 0)</f>
        <v>44.194800000000001</v>
      </c>
      <c r="J358" s="10">
        <f>44.1927 * CHOOSE(CONTROL!$C$9, $D$9, 100%, $F$9) + CHOOSE(CONTROL!$C$27, 0.0021, 0)</f>
        <v>44.194800000000001</v>
      </c>
      <c r="K358" s="10">
        <f>44.1927 * CHOOSE(CONTROL!$C$9, $D$9, 100%, $F$9) + CHOOSE(CONTROL!$C$27, 0.0021, 0)</f>
        <v>44.194800000000001</v>
      </c>
      <c r="L358" s="10"/>
    </row>
    <row r="359" spans="1:12" ht="15.75">
      <c r="A359" s="14">
        <v>52231</v>
      </c>
      <c r="B359" s="10">
        <f>43.7949 * CHOOSE(CONTROL!$C$9, $D$9, 100%, $F$9) + CHOOSE(CONTROL!$C$27, 0.0021, 0)</f>
        <v>43.796999999999997</v>
      </c>
      <c r="C359" s="10">
        <f>43.3627 * CHOOSE(CONTROL!$C$9, $D$9, 100%, $F$9) + CHOOSE(CONTROL!$C$27, 0.0021, 0)</f>
        <v>43.364799999999995</v>
      </c>
      <c r="D359" s="10">
        <f>43.3627 * CHOOSE(CONTROL!$C$9, $D$9, 100%, $F$9) + CHOOSE(CONTROL!$C$27, 0.0021, 0)</f>
        <v>43.364799999999995</v>
      </c>
      <c r="E359" s="10">
        <f>43.226 * CHOOSE(CONTROL!$C$9, $D$9, 100%, $F$9) + CHOOSE(CONTROL!$C$27, 0.0021, 0)</f>
        <v>43.228099999999998</v>
      </c>
      <c r="F359" s="10">
        <f>43.226 * CHOOSE(CONTROL!$C$9, $D$9, 100%, $F$9) + CHOOSE(CONTROL!$C$27, 0.0021, 0)</f>
        <v>43.228099999999998</v>
      </c>
      <c r="G359" s="10">
        <f>43.4974 * CHOOSE(CONTROL!$C$9, $D$9, 100%, $F$9) + CHOOSE(CONTROL!$C$27, 0.0021, 0)</f>
        <v>43.499499999999998</v>
      </c>
      <c r="H359" s="10">
        <f>43.3627 * CHOOSE(CONTROL!$C$9, $D$9, 100%, $F$9) + CHOOSE(CONTROL!$C$27, 0.0021, 0)</f>
        <v>43.364799999999995</v>
      </c>
      <c r="I359" s="10">
        <f>43.3627 * CHOOSE(CONTROL!$C$9, $D$9, 100%, $F$9) + CHOOSE(CONTROL!$C$27, 0.0021, 0)</f>
        <v>43.364799999999995</v>
      </c>
      <c r="J359" s="10">
        <f>43.3627 * CHOOSE(CONTROL!$C$9, $D$9, 100%, $F$9) + CHOOSE(CONTROL!$C$27, 0.0021, 0)</f>
        <v>43.364799999999995</v>
      </c>
      <c r="K359" s="10">
        <f>43.3627 * CHOOSE(CONTROL!$C$9, $D$9, 100%, $F$9) + CHOOSE(CONTROL!$C$27, 0.0021, 0)</f>
        <v>43.364799999999995</v>
      </c>
      <c r="L359" s="10"/>
    </row>
    <row r="360" spans="1:12" ht="15.75">
      <c r="A360" s="14">
        <v>52262</v>
      </c>
      <c r="B360" s="10">
        <f>43.1594 * CHOOSE(CONTROL!$C$9, $D$9, 100%, $F$9) + CHOOSE(CONTROL!$C$27, 0.0021, 0)</f>
        <v>43.161499999999997</v>
      </c>
      <c r="C360" s="10">
        <f>42.7272 * CHOOSE(CONTROL!$C$9, $D$9, 100%, $F$9) + CHOOSE(CONTROL!$C$27, 0.0021, 0)</f>
        <v>42.729300000000002</v>
      </c>
      <c r="D360" s="10">
        <f>42.7272 * CHOOSE(CONTROL!$C$9, $D$9, 100%, $F$9) + CHOOSE(CONTROL!$C$27, 0.0021, 0)</f>
        <v>42.729300000000002</v>
      </c>
      <c r="E360" s="10">
        <f>42.5905 * CHOOSE(CONTROL!$C$9, $D$9, 100%, $F$9) + CHOOSE(CONTROL!$C$27, 0.0021, 0)</f>
        <v>42.592599999999997</v>
      </c>
      <c r="F360" s="10">
        <f>42.5905 * CHOOSE(CONTROL!$C$9, $D$9, 100%, $F$9) + CHOOSE(CONTROL!$C$27, 0.0021, 0)</f>
        <v>42.592599999999997</v>
      </c>
      <c r="G360" s="10">
        <f>42.8619 * CHOOSE(CONTROL!$C$9, $D$9, 100%, $F$9) + CHOOSE(CONTROL!$C$27, 0.0021, 0)</f>
        <v>42.863999999999997</v>
      </c>
      <c r="H360" s="10">
        <f>42.7272 * CHOOSE(CONTROL!$C$9, $D$9, 100%, $F$9) + CHOOSE(CONTROL!$C$27, 0.0021, 0)</f>
        <v>42.729300000000002</v>
      </c>
      <c r="I360" s="10">
        <f>42.7272 * CHOOSE(CONTROL!$C$9, $D$9, 100%, $F$9) + CHOOSE(CONTROL!$C$27, 0.0021, 0)</f>
        <v>42.729300000000002</v>
      </c>
      <c r="J360" s="10">
        <f>42.7272 * CHOOSE(CONTROL!$C$9, $D$9, 100%, $F$9) + CHOOSE(CONTROL!$C$27, 0.0021, 0)</f>
        <v>42.729300000000002</v>
      </c>
      <c r="K360" s="10">
        <f>42.7272 * CHOOSE(CONTROL!$C$9, $D$9, 100%, $F$9) + CHOOSE(CONTROL!$C$27, 0.0021, 0)</f>
        <v>42.729300000000002</v>
      </c>
      <c r="L360" s="10"/>
    </row>
    <row r="361" spans="1:12" ht="15.75">
      <c r="A361" s="14">
        <v>52290</v>
      </c>
      <c r="B361" s="10">
        <f>42.0035 * CHOOSE(CONTROL!$C$9, $D$9, 100%, $F$9) + CHOOSE(CONTROL!$C$27, 0.0021, 0)</f>
        <v>42.005600000000001</v>
      </c>
      <c r="C361" s="10">
        <f>41.5712 * CHOOSE(CONTROL!$C$9, $D$9, 100%, $F$9) + CHOOSE(CONTROL!$C$27, 0.0021, 0)</f>
        <v>41.573299999999996</v>
      </c>
      <c r="D361" s="10">
        <f>41.5712 * CHOOSE(CONTROL!$C$9, $D$9, 100%, $F$9) + CHOOSE(CONTROL!$C$27, 0.0021, 0)</f>
        <v>41.573299999999996</v>
      </c>
      <c r="E361" s="10">
        <f>41.4346 * CHOOSE(CONTROL!$C$9, $D$9, 100%, $F$9) + CHOOSE(CONTROL!$C$27, 0.0021, 0)</f>
        <v>41.436700000000002</v>
      </c>
      <c r="F361" s="10">
        <f>41.4346 * CHOOSE(CONTROL!$C$9, $D$9, 100%, $F$9) + CHOOSE(CONTROL!$C$27, 0.0021, 0)</f>
        <v>41.436700000000002</v>
      </c>
      <c r="G361" s="10">
        <f>41.7059 * CHOOSE(CONTROL!$C$9, $D$9, 100%, $F$9) + CHOOSE(CONTROL!$C$27, 0.0021, 0)</f>
        <v>41.707999999999998</v>
      </c>
      <c r="H361" s="10">
        <f>41.5712 * CHOOSE(CONTROL!$C$9, $D$9, 100%, $F$9) + CHOOSE(CONTROL!$C$27, 0.0021, 0)</f>
        <v>41.573299999999996</v>
      </c>
      <c r="I361" s="10">
        <f>41.5712 * CHOOSE(CONTROL!$C$9, $D$9, 100%, $F$9) + CHOOSE(CONTROL!$C$27, 0.0021, 0)</f>
        <v>41.573299999999996</v>
      </c>
      <c r="J361" s="10">
        <f>41.5712 * CHOOSE(CONTROL!$C$9, $D$9, 100%, $F$9) + CHOOSE(CONTROL!$C$27, 0.0021, 0)</f>
        <v>41.573299999999996</v>
      </c>
      <c r="K361" s="10">
        <f>41.5712 * CHOOSE(CONTROL!$C$9, $D$9, 100%, $F$9) + CHOOSE(CONTROL!$C$27, 0.0021, 0)</f>
        <v>41.573299999999996</v>
      </c>
      <c r="L361" s="10"/>
    </row>
    <row r="362" spans="1:12" ht="15.75">
      <c r="A362" s="14">
        <v>52321</v>
      </c>
      <c r="B362" s="10">
        <f>41.5263 * CHOOSE(CONTROL!$C$9, $D$9, 100%, $F$9) + CHOOSE(CONTROL!$C$27, 0.0021, 0)</f>
        <v>41.528399999999998</v>
      </c>
      <c r="C362" s="10">
        <f>41.094 * CHOOSE(CONTROL!$C$9, $D$9, 100%, $F$9) + CHOOSE(CONTROL!$C$27, 0.0021, 0)</f>
        <v>41.0961</v>
      </c>
      <c r="D362" s="10">
        <f>41.094 * CHOOSE(CONTROL!$C$9, $D$9, 100%, $F$9) + CHOOSE(CONTROL!$C$27, 0.0021, 0)</f>
        <v>41.0961</v>
      </c>
      <c r="E362" s="10">
        <f>40.9574 * CHOOSE(CONTROL!$C$9, $D$9, 100%, $F$9) + CHOOSE(CONTROL!$C$27, 0.0021, 0)</f>
        <v>40.959499999999998</v>
      </c>
      <c r="F362" s="10">
        <f>40.9574 * CHOOSE(CONTROL!$C$9, $D$9, 100%, $F$9) + CHOOSE(CONTROL!$C$27, 0.0021, 0)</f>
        <v>40.959499999999998</v>
      </c>
      <c r="G362" s="10">
        <f>41.2288 * CHOOSE(CONTROL!$C$9, $D$9, 100%, $F$9) + CHOOSE(CONTROL!$C$27, 0.0021, 0)</f>
        <v>41.230899999999998</v>
      </c>
      <c r="H362" s="10">
        <f>41.094 * CHOOSE(CONTROL!$C$9, $D$9, 100%, $F$9) + CHOOSE(CONTROL!$C$27, 0.0021, 0)</f>
        <v>41.0961</v>
      </c>
      <c r="I362" s="10">
        <f>41.094 * CHOOSE(CONTROL!$C$9, $D$9, 100%, $F$9) + CHOOSE(CONTROL!$C$27, 0.0021, 0)</f>
        <v>41.0961</v>
      </c>
      <c r="J362" s="10">
        <f>41.094 * CHOOSE(CONTROL!$C$9, $D$9, 100%, $F$9) + CHOOSE(CONTROL!$C$27, 0.0021, 0)</f>
        <v>41.0961</v>
      </c>
      <c r="K362" s="10">
        <f>41.094 * CHOOSE(CONTROL!$C$9, $D$9, 100%, $F$9) + CHOOSE(CONTROL!$C$27, 0.0021, 0)</f>
        <v>41.0961</v>
      </c>
      <c r="L362" s="10"/>
    </row>
    <row r="363" spans="1:12" ht="15.75">
      <c r="A363" s="14">
        <v>52351</v>
      </c>
      <c r="B363" s="10">
        <f>40.9565 * CHOOSE(CONTROL!$C$9, $D$9, 100%, $F$9) + CHOOSE(CONTROL!$C$27, 0.0021, 0)</f>
        <v>40.958599999999997</v>
      </c>
      <c r="C363" s="10">
        <f>40.5243 * CHOOSE(CONTROL!$C$9, $D$9, 100%, $F$9) + CHOOSE(CONTROL!$C$27, 0.0021, 0)</f>
        <v>40.526399999999995</v>
      </c>
      <c r="D363" s="10">
        <f>40.5243 * CHOOSE(CONTROL!$C$9, $D$9, 100%, $F$9) + CHOOSE(CONTROL!$C$27, 0.0021, 0)</f>
        <v>40.526399999999995</v>
      </c>
      <c r="E363" s="10">
        <f>40.3876 * CHOOSE(CONTROL!$C$9, $D$9, 100%, $F$9) + CHOOSE(CONTROL!$C$27, 0.0021, 0)</f>
        <v>40.389699999999998</v>
      </c>
      <c r="F363" s="10">
        <f>40.3876 * CHOOSE(CONTROL!$C$9, $D$9, 100%, $F$9) + CHOOSE(CONTROL!$C$27, 0.0021, 0)</f>
        <v>40.389699999999998</v>
      </c>
      <c r="G363" s="10">
        <f>40.659 * CHOOSE(CONTROL!$C$9, $D$9, 100%, $F$9) + CHOOSE(CONTROL!$C$27, 0.0021, 0)</f>
        <v>40.661099999999998</v>
      </c>
      <c r="H363" s="10">
        <f>40.5243 * CHOOSE(CONTROL!$C$9, $D$9, 100%, $F$9) + CHOOSE(CONTROL!$C$27, 0.0021, 0)</f>
        <v>40.526399999999995</v>
      </c>
      <c r="I363" s="10">
        <f>40.5243 * CHOOSE(CONTROL!$C$9, $D$9, 100%, $F$9) + CHOOSE(CONTROL!$C$27, 0.0021, 0)</f>
        <v>40.526399999999995</v>
      </c>
      <c r="J363" s="10">
        <f>40.5243 * CHOOSE(CONTROL!$C$9, $D$9, 100%, $F$9) + CHOOSE(CONTROL!$C$27, 0.0021, 0)</f>
        <v>40.526399999999995</v>
      </c>
      <c r="K363" s="10">
        <f>40.5243 * CHOOSE(CONTROL!$C$9, $D$9, 100%, $F$9) + CHOOSE(CONTROL!$C$27, 0.0021, 0)</f>
        <v>40.526399999999995</v>
      </c>
      <c r="L363" s="10"/>
    </row>
    <row r="364" spans="1:12" ht="15.75">
      <c r="A364" s="14">
        <v>52382</v>
      </c>
      <c r="B364" s="10">
        <f>41.7685 * CHOOSE(CONTROL!$C$9, $D$9, 100%, $F$9) + CHOOSE(CONTROL!$C$27, 0.0021, 0)</f>
        <v>41.770600000000002</v>
      </c>
      <c r="C364" s="10">
        <f>41.3363 * CHOOSE(CONTROL!$C$9, $D$9, 100%, $F$9) + CHOOSE(CONTROL!$C$27, 0.0021, 0)</f>
        <v>41.3384</v>
      </c>
      <c r="D364" s="10">
        <f>41.3363 * CHOOSE(CONTROL!$C$9, $D$9, 100%, $F$9) + CHOOSE(CONTROL!$C$27, 0.0021, 0)</f>
        <v>41.3384</v>
      </c>
      <c r="E364" s="10">
        <f>41.1996 * CHOOSE(CONTROL!$C$9, $D$9, 100%, $F$9) + CHOOSE(CONTROL!$C$27, 0.0021, 0)</f>
        <v>41.201699999999995</v>
      </c>
      <c r="F364" s="10">
        <f>41.1996 * CHOOSE(CONTROL!$C$9, $D$9, 100%, $F$9) + CHOOSE(CONTROL!$C$27, 0.0021, 0)</f>
        <v>41.201699999999995</v>
      </c>
      <c r="G364" s="10">
        <f>41.471 * CHOOSE(CONTROL!$C$9, $D$9, 100%, $F$9) + CHOOSE(CONTROL!$C$27, 0.0021, 0)</f>
        <v>41.473099999999995</v>
      </c>
      <c r="H364" s="10">
        <f>41.3363 * CHOOSE(CONTROL!$C$9, $D$9, 100%, $F$9) + CHOOSE(CONTROL!$C$27, 0.0021, 0)</f>
        <v>41.3384</v>
      </c>
      <c r="I364" s="10">
        <f>41.3363 * CHOOSE(CONTROL!$C$9, $D$9, 100%, $F$9) + CHOOSE(CONTROL!$C$27, 0.0021, 0)</f>
        <v>41.3384</v>
      </c>
      <c r="J364" s="10">
        <f>41.3363 * CHOOSE(CONTROL!$C$9, $D$9, 100%, $F$9) + CHOOSE(CONTROL!$C$27, 0.0021, 0)</f>
        <v>41.3384</v>
      </c>
      <c r="K364" s="10">
        <f>41.3363 * CHOOSE(CONTROL!$C$9, $D$9, 100%, $F$9) + CHOOSE(CONTROL!$C$27, 0.0021, 0)</f>
        <v>41.3384</v>
      </c>
      <c r="L364" s="10"/>
    </row>
    <row r="365" spans="1:12" ht="15.75">
      <c r="A365" s="14">
        <v>52412</v>
      </c>
      <c r="B365" s="10">
        <f>42.2548 * CHOOSE(CONTROL!$C$9, $D$9, 100%, $F$9) + CHOOSE(CONTROL!$C$27, 0.0021, 0)</f>
        <v>42.256900000000002</v>
      </c>
      <c r="C365" s="10">
        <f>41.8226 * CHOOSE(CONTROL!$C$9, $D$9, 100%, $F$9) + CHOOSE(CONTROL!$C$27, 0.0021, 0)</f>
        <v>41.8247</v>
      </c>
      <c r="D365" s="10">
        <f>41.8226 * CHOOSE(CONTROL!$C$9, $D$9, 100%, $F$9) + CHOOSE(CONTROL!$C$27, 0.0021, 0)</f>
        <v>41.8247</v>
      </c>
      <c r="E365" s="10">
        <f>41.6859 * CHOOSE(CONTROL!$C$9, $D$9, 100%, $F$9) + CHOOSE(CONTROL!$C$27, 0.0021, 0)</f>
        <v>41.687999999999995</v>
      </c>
      <c r="F365" s="10">
        <f>41.6859 * CHOOSE(CONTROL!$C$9, $D$9, 100%, $F$9) + CHOOSE(CONTROL!$C$27, 0.0021, 0)</f>
        <v>41.687999999999995</v>
      </c>
      <c r="G365" s="10">
        <f>41.9573 * CHOOSE(CONTROL!$C$9, $D$9, 100%, $F$9) + CHOOSE(CONTROL!$C$27, 0.0021, 0)</f>
        <v>41.959399999999995</v>
      </c>
      <c r="H365" s="10">
        <f>41.8226 * CHOOSE(CONTROL!$C$9, $D$9, 100%, $F$9) + CHOOSE(CONTROL!$C$27, 0.0021, 0)</f>
        <v>41.8247</v>
      </c>
      <c r="I365" s="10">
        <f>41.8226 * CHOOSE(CONTROL!$C$9, $D$9, 100%, $F$9) + CHOOSE(CONTROL!$C$27, 0.0021, 0)</f>
        <v>41.8247</v>
      </c>
      <c r="J365" s="10">
        <f>41.8226 * CHOOSE(CONTROL!$C$9, $D$9, 100%, $F$9) + CHOOSE(CONTROL!$C$27, 0.0021, 0)</f>
        <v>41.8247</v>
      </c>
      <c r="K365" s="10">
        <f>41.8226 * CHOOSE(CONTROL!$C$9, $D$9, 100%, $F$9) + CHOOSE(CONTROL!$C$27, 0.0021, 0)</f>
        <v>41.8247</v>
      </c>
      <c r="L365" s="10"/>
    </row>
    <row r="366" spans="1:12" ht="15.75">
      <c r="A366" s="14">
        <v>52443</v>
      </c>
      <c r="B366" s="10">
        <f>43.0571 * CHOOSE(CONTROL!$C$9, $D$9, 100%, $F$9) + CHOOSE(CONTROL!$C$27, 0.0021, 0)</f>
        <v>43.059199999999997</v>
      </c>
      <c r="C366" s="10">
        <f>42.6249 * CHOOSE(CONTROL!$C$9, $D$9, 100%, $F$9) + CHOOSE(CONTROL!$C$27, 0.0021, 0)</f>
        <v>42.626999999999995</v>
      </c>
      <c r="D366" s="10">
        <f>42.6249 * CHOOSE(CONTROL!$C$9, $D$9, 100%, $F$9) + CHOOSE(CONTROL!$C$27, 0.0021, 0)</f>
        <v>42.626999999999995</v>
      </c>
      <c r="E366" s="10">
        <f>42.4882 * CHOOSE(CONTROL!$C$9, $D$9, 100%, $F$9) + CHOOSE(CONTROL!$C$27, 0.0021, 0)</f>
        <v>42.490299999999998</v>
      </c>
      <c r="F366" s="10">
        <f>42.4882 * CHOOSE(CONTROL!$C$9, $D$9, 100%, $F$9) + CHOOSE(CONTROL!$C$27, 0.0021, 0)</f>
        <v>42.490299999999998</v>
      </c>
      <c r="G366" s="10">
        <f>42.7596 * CHOOSE(CONTROL!$C$9, $D$9, 100%, $F$9) + CHOOSE(CONTROL!$C$27, 0.0021, 0)</f>
        <v>42.761699999999998</v>
      </c>
      <c r="H366" s="10">
        <f>42.6249 * CHOOSE(CONTROL!$C$9, $D$9, 100%, $F$9) + CHOOSE(CONTROL!$C$27, 0.0021, 0)</f>
        <v>42.626999999999995</v>
      </c>
      <c r="I366" s="10">
        <f>42.6249 * CHOOSE(CONTROL!$C$9, $D$9, 100%, $F$9) + CHOOSE(CONTROL!$C$27, 0.0021, 0)</f>
        <v>42.626999999999995</v>
      </c>
      <c r="J366" s="10">
        <f>42.6249 * CHOOSE(CONTROL!$C$9, $D$9, 100%, $F$9) + CHOOSE(CONTROL!$C$27, 0.0021, 0)</f>
        <v>42.626999999999995</v>
      </c>
      <c r="K366" s="10">
        <f>42.6249 * CHOOSE(CONTROL!$C$9, $D$9, 100%, $F$9) + CHOOSE(CONTROL!$C$27, 0.0021, 0)</f>
        <v>42.626999999999995</v>
      </c>
      <c r="L366" s="10"/>
    </row>
    <row r="367" spans="1:12" ht="15.75">
      <c r="A367" s="14">
        <v>52474</v>
      </c>
      <c r="B367" s="10">
        <f>43.302 * CHOOSE(CONTROL!$C$9, $D$9, 100%, $F$9) + CHOOSE(CONTROL!$C$27, 0.0021, 0)</f>
        <v>43.304099999999998</v>
      </c>
      <c r="C367" s="10">
        <f>42.8697 * CHOOSE(CONTROL!$C$9, $D$9, 100%, $F$9) + CHOOSE(CONTROL!$C$27, 0.0021, 0)</f>
        <v>42.8718</v>
      </c>
      <c r="D367" s="10">
        <f>42.8697 * CHOOSE(CONTROL!$C$9, $D$9, 100%, $F$9) + CHOOSE(CONTROL!$C$27, 0.0021, 0)</f>
        <v>42.8718</v>
      </c>
      <c r="E367" s="10">
        <f>42.7331 * CHOOSE(CONTROL!$C$9, $D$9, 100%, $F$9) + CHOOSE(CONTROL!$C$27, 0.0021, 0)</f>
        <v>42.735199999999999</v>
      </c>
      <c r="F367" s="10">
        <f>42.7331 * CHOOSE(CONTROL!$C$9, $D$9, 100%, $F$9) + CHOOSE(CONTROL!$C$27, 0.0021, 0)</f>
        <v>42.735199999999999</v>
      </c>
      <c r="G367" s="10">
        <f>43.0045 * CHOOSE(CONTROL!$C$9, $D$9, 100%, $F$9) + CHOOSE(CONTROL!$C$27, 0.0021, 0)</f>
        <v>43.006599999999999</v>
      </c>
      <c r="H367" s="10">
        <f>42.8697 * CHOOSE(CONTROL!$C$9, $D$9, 100%, $F$9) + CHOOSE(CONTROL!$C$27, 0.0021, 0)</f>
        <v>42.8718</v>
      </c>
      <c r="I367" s="10">
        <f>42.8697 * CHOOSE(CONTROL!$C$9, $D$9, 100%, $F$9) + CHOOSE(CONTROL!$C$27, 0.0021, 0)</f>
        <v>42.8718</v>
      </c>
      <c r="J367" s="10">
        <f>42.8697 * CHOOSE(CONTROL!$C$9, $D$9, 100%, $F$9) + CHOOSE(CONTROL!$C$27, 0.0021, 0)</f>
        <v>42.8718</v>
      </c>
      <c r="K367" s="10">
        <f>42.8697 * CHOOSE(CONTROL!$C$9, $D$9, 100%, $F$9) + CHOOSE(CONTROL!$C$27, 0.0021, 0)</f>
        <v>42.8718</v>
      </c>
      <c r="L367" s="10"/>
    </row>
    <row r="368" spans="1:12" ht="15.75">
      <c r="A368" s="14">
        <v>52504</v>
      </c>
      <c r="B368" s="10">
        <f>44.1359 * CHOOSE(CONTROL!$C$9, $D$9, 100%, $F$9) + CHOOSE(CONTROL!$C$27, 0.0021, 0)</f>
        <v>44.137999999999998</v>
      </c>
      <c r="C368" s="10">
        <f>43.7037 * CHOOSE(CONTROL!$C$9, $D$9, 100%, $F$9) + CHOOSE(CONTROL!$C$27, 0.0021, 0)</f>
        <v>43.705799999999996</v>
      </c>
      <c r="D368" s="10">
        <f>43.7037 * CHOOSE(CONTROL!$C$9, $D$9, 100%, $F$9) + CHOOSE(CONTROL!$C$27, 0.0021, 0)</f>
        <v>43.705799999999996</v>
      </c>
      <c r="E368" s="10">
        <f>43.567 * CHOOSE(CONTROL!$C$9, $D$9, 100%, $F$9) + CHOOSE(CONTROL!$C$27, 0.0021, 0)</f>
        <v>43.569099999999999</v>
      </c>
      <c r="F368" s="10">
        <f>43.567 * CHOOSE(CONTROL!$C$9, $D$9, 100%, $F$9) + CHOOSE(CONTROL!$C$27, 0.0021, 0)</f>
        <v>43.569099999999999</v>
      </c>
      <c r="G368" s="10">
        <f>43.8384 * CHOOSE(CONTROL!$C$9, $D$9, 100%, $F$9) + CHOOSE(CONTROL!$C$27, 0.0021, 0)</f>
        <v>43.840499999999999</v>
      </c>
      <c r="H368" s="10">
        <f>43.7037 * CHOOSE(CONTROL!$C$9, $D$9, 100%, $F$9) + CHOOSE(CONTROL!$C$27, 0.0021, 0)</f>
        <v>43.705799999999996</v>
      </c>
      <c r="I368" s="10">
        <f>43.7037 * CHOOSE(CONTROL!$C$9, $D$9, 100%, $F$9) + CHOOSE(CONTROL!$C$27, 0.0021, 0)</f>
        <v>43.705799999999996</v>
      </c>
      <c r="J368" s="10">
        <f>43.7037 * CHOOSE(CONTROL!$C$9, $D$9, 100%, $F$9) + CHOOSE(CONTROL!$C$27, 0.0021, 0)</f>
        <v>43.705799999999996</v>
      </c>
      <c r="K368" s="10">
        <f>43.7037 * CHOOSE(CONTROL!$C$9, $D$9, 100%, $F$9) + CHOOSE(CONTROL!$C$27, 0.0021, 0)</f>
        <v>43.705799999999996</v>
      </c>
      <c r="L368" s="10"/>
    </row>
    <row r="369" spans="1:12" ht="15.75">
      <c r="A369" s="14">
        <v>52535</v>
      </c>
      <c r="B369" s="10">
        <f>45.1915 * CHOOSE(CONTROL!$C$9, $D$9, 100%, $F$9) + CHOOSE(CONTROL!$C$27, 0.0021, 0)</f>
        <v>45.193599999999996</v>
      </c>
      <c r="C369" s="10">
        <f>44.7593 * CHOOSE(CONTROL!$C$9, $D$9, 100%, $F$9) + CHOOSE(CONTROL!$C$27, 0.0021, 0)</f>
        <v>44.761400000000002</v>
      </c>
      <c r="D369" s="10">
        <f>44.7593 * CHOOSE(CONTROL!$C$9, $D$9, 100%, $F$9) + CHOOSE(CONTROL!$C$27, 0.0021, 0)</f>
        <v>44.761400000000002</v>
      </c>
      <c r="E369" s="10">
        <f>44.6226 * CHOOSE(CONTROL!$C$9, $D$9, 100%, $F$9) + CHOOSE(CONTROL!$C$27, 0.0021, 0)</f>
        <v>44.624699999999997</v>
      </c>
      <c r="F369" s="10">
        <f>44.6226 * CHOOSE(CONTROL!$C$9, $D$9, 100%, $F$9) + CHOOSE(CONTROL!$C$27, 0.0021, 0)</f>
        <v>44.624699999999997</v>
      </c>
      <c r="G369" s="10">
        <f>44.894 * CHOOSE(CONTROL!$C$9, $D$9, 100%, $F$9) + CHOOSE(CONTROL!$C$27, 0.0021, 0)</f>
        <v>44.896099999999997</v>
      </c>
      <c r="H369" s="10">
        <f>44.7593 * CHOOSE(CONTROL!$C$9, $D$9, 100%, $F$9) + CHOOSE(CONTROL!$C$27, 0.0021, 0)</f>
        <v>44.761400000000002</v>
      </c>
      <c r="I369" s="10">
        <f>44.7593 * CHOOSE(CONTROL!$C$9, $D$9, 100%, $F$9) + CHOOSE(CONTROL!$C$27, 0.0021, 0)</f>
        <v>44.761400000000002</v>
      </c>
      <c r="J369" s="10">
        <f>44.7593 * CHOOSE(CONTROL!$C$9, $D$9, 100%, $F$9) + CHOOSE(CONTROL!$C$27, 0.0021, 0)</f>
        <v>44.761400000000002</v>
      </c>
      <c r="K369" s="10">
        <f>44.7593 * CHOOSE(CONTROL!$C$9, $D$9, 100%, $F$9) + CHOOSE(CONTROL!$C$27, 0.0021, 0)</f>
        <v>44.761400000000002</v>
      </c>
      <c r="L369" s="10"/>
    </row>
    <row r="370" spans="1:12" ht="15.75">
      <c r="A370" s="14">
        <v>52565</v>
      </c>
      <c r="B370" s="10">
        <f>45.2906 * CHOOSE(CONTROL!$C$9, $D$9, 100%, $F$9) + CHOOSE(CONTROL!$C$27, 0.0021, 0)</f>
        <v>45.292699999999996</v>
      </c>
      <c r="C370" s="10">
        <f>44.8584 * CHOOSE(CONTROL!$C$9, $D$9, 100%, $F$9) + CHOOSE(CONTROL!$C$27, 0.0021, 0)</f>
        <v>44.860500000000002</v>
      </c>
      <c r="D370" s="10">
        <f>44.8584 * CHOOSE(CONTROL!$C$9, $D$9, 100%, $F$9) + CHOOSE(CONTROL!$C$27, 0.0021, 0)</f>
        <v>44.860500000000002</v>
      </c>
      <c r="E370" s="10">
        <f>44.7217 * CHOOSE(CONTROL!$C$9, $D$9, 100%, $F$9) + CHOOSE(CONTROL!$C$27, 0.0021, 0)</f>
        <v>44.723799999999997</v>
      </c>
      <c r="F370" s="10">
        <f>44.7217 * CHOOSE(CONTROL!$C$9, $D$9, 100%, $F$9) + CHOOSE(CONTROL!$C$27, 0.0021, 0)</f>
        <v>44.723799999999997</v>
      </c>
      <c r="G370" s="10">
        <f>44.9931 * CHOOSE(CONTROL!$C$9, $D$9, 100%, $F$9) + CHOOSE(CONTROL!$C$27, 0.0021, 0)</f>
        <v>44.995199999999997</v>
      </c>
      <c r="H370" s="10">
        <f>44.8584 * CHOOSE(CONTROL!$C$9, $D$9, 100%, $F$9) + CHOOSE(CONTROL!$C$27, 0.0021, 0)</f>
        <v>44.860500000000002</v>
      </c>
      <c r="I370" s="10">
        <f>44.8584 * CHOOSE(CONTROL!$C$9, $D$9, 100%, $F$9) + CHOOSE(CONTROL!$C$27, 0.0021, 0)</f>
        <v>44.860500000000002</v>
      </c>
      <c r="J370" s="10">
        <f>44.8584 * CHOOSE(CONTROL!$C$9, $D$9, 100%, $F$9) + CHOOSE(CONTROL!$C$27, 0.0021, 0)</f>
        <v>44.860500000000002</v>
      </c>
      <c r="K370" s="10">
        <f>44.8584 * CHOOSE(CONTROL!$C$9, $D$9, 100%, $F$9) + CHOOSE(CONTROL!$C$27, 0.0021, 0)</f>
        <v>44.860500000000002</v>
      </c>
      <c r="L370" s="10"/>
    </row>
    <row r="371" spans="1:12" ht="15.75">
      <c r="A371" s="14">
        <v>52596</v>
      </c>
      <c r="B371" s="10">
        <f>44.4475 * CHOOSE(CONTROL!$C$9, $D$9, 100%, $F$9) + CHOOSE(CONTROL!$C$27, 0.0021, 0)</f>
        <v>44.449599999999997</v>
      </c>
      <c r="C371" s="10">
        <f>44.0153 * CHOOSE(CONTROL!$C$9, $D$9, 100%, $F$9) + CHOOSE(CONTROL!$C$27, 0.0021, 0)</f>
        <v>44.017400000000002</v>
      </c>
      <c r="D371" s="10">
        <f>44.0153 * CHOOSE(CONTROL!$C$9, $D$9, 100%, $F$9) + CHOOSE(CONTROL!$C$27, 0.0021, 0)</f>
        <v>44.017400000000002</v>
      </c>
      <c r="E371" s="10">
        <f>43.8786 * CHOOSE(CONTROL!$C$9, $D$9, 100%, $F$9) + CHOOSE(CONTROL!$C$27, 0.0021, 0)</f>
        <v>43.880699999999997</v>
      </c>
      <c r="F371" s="10">
        <f>43.8786 * CHOOSE(CONTROL!$C$9, $D$9, 100%, $F$9) + CHOOSE(CONTROL!$C$27, 0.0021, 0)</f>
        <v>43.880699999999997</v>
      </c>
      <c r="G371" s="10">
        <f>44.15 * CHOOSE(CONTROL!$C$9, $D$9, 100%, $F$9) + CHOOSE(CONTROL!$C$27, 0.0021, 0)</f>
        <v>44.152099999999997</v>
      </c>
      <c r="H371" s="10">
        <f>44.0153 * CHOOSE(CONTROL!$C$9, $D$9, 100%, $F$9) + CHOOSE(CONTROL!$C$27, 0.0021, 0)</f>
        <v>44.017400000000002</v>
      </c>
      <c r="I371" s="10">
        <f>44.0153 * CHOOSE(CONTROL!$C$9, $D$9, 100%, $F$9) + CHOOSE(CONTROL!$C$27, 0.0021, 0)</f>
        <v>44.017400000000002</v>
      </c>
      <c r="J371" s="10">
        <f>44.0153 * CHOOSE(CONTROL!$C$9, $D$9, 100%, $F$9) + CHOOSE(CONTROL!$C$27, 0.0021, 0)</f>
        <v>44.017400000000002</v>
      </c>
      <c r="K371" s="10">
        <f>44.0153 * CHOOSE(CONTROL!$C$9, $D$9, 100%, $F$9) + CHOOSE(CONTROL!$C$27, 0.0021, 0)</f>
        <v>44.017400000000002</v>
      </c>
      <c r="L371" s="10"/>
    </row>
    <row r="372" spans="1:12" ht="15.75">
      <c r="A372" s="14">
        <v>52627</v>
      </c>
      <c r="B372" s="10">
        <f>43.802 * CHOOSE(CONTROL!$C$9, $D$9, 100%, $F$9) + CHOOSE(CONTROL!$C$27, 0.0021, 0)</f>
        <v>43.804099999999998</v>
      </c>
      <c r="C372" s="10">
        <f>43.3698 * CHOOSE(CONTROL!$C$9, $D$9, 100%, $F$9) + CHOOSE(CONTROL!$C$27, 0.0021, 0)</f>
        <v>43.371899999999997</v>
      </c>
      <c r="D372" s="10">
        <f>43.3698 * CHOOSE(CONTROL!$C$9, $D$9, 100%, $F$9) + CHOOSE(CONTROL!$C$27, 0.0021, 0)</f>
        <v>43.371899999999997</v>
      </c>
      <c r="E372" s="10">
        <f>43.2331 * CHOOSE(CONTROL!$C$9, $D$9, 100%, $F$9) + CHOOSE(CONTROL!$C$27, 0.0021, 0)</f>
        <v>43.235199999999999</v>
      </c>
      <c r="F372" s="10">
        <f>43.2331 * CHOOSE(CONTROL!$C$9, $D$9, 100%, $F$9) + CHOOSE(CONTROL!$C$27, 0.0021, 0)</f>
        <v>43.235199999999999</v>
      </c>
      <c r="G372" s="10">
        <f>43.5045 * CHOOSE(CONTROL!$C$9, $D$9, 100%, $F$9) + CHOOSE(CONTROL!$C$27, 0.0021, 0)</f>
        <v>43.506599999999999</v>
      </c>
      <c r="H372" s="10">
        <f>43.3698 * CHOOSE(CONTROL!$C$9, $D$9, 100%, $F$9) + CHOOSE(CONTROL!$C$27, 0.0021, 0)</f>
        <v>43.371899999999997</v>
      </c>
      <c r="I372" s="10">
        <f>43.3698 * CHOOSE(CONTROL!$C$9, $D$9, 100%, $F$9) + CHOOSE(CONTROL!$C$27, 0.0021, 0)</f>
        <v>43.371899999999997</v>
      </c>
      <c r="J372" s="10">
        <f>43.3698 * CHOOSE(CONTROL!$C$9, $D$9, 100%, $F$9) + CHOOSE(CONTROL!$C$27, 0.0021, 0)</f>
        <v>43.371899999999997</v>
      </c>
      <c r="K372" s="10">
        <f>43.3698 * CHOOSE(CONTROL!$C$9, $D$9, 100%, $F$9) + CHOOSE(CONTROL!$C$27, 0.0021, 0)</f>
        <v>43.371899999999997</v>
      </c>
      <c r="L372" s="10"/>
    </row>
    <row r="373" spans="1:12" ht="15.75">
      <c r="A373" s="14">
        <v>52655</v>
      </c>
      <c r="B373" s="10">
        <f>42.6279 * CHOOSE(CONTROL!$C$9, $D$9, 100%, $F$9) + CHOOSE(CONTROL!$C$27, 0.0021, 0)</f>
        <v>42.629999999999995</v>
      </c>
      <c r="C373" s="10">
        <f>42.1957 * CHOOSE(CONTROL!$C$9, $D$9, 100%, $F$9) + CHOOSE(CONTROL!$C$27, 0.0021, 0)</f>
        <v>42.197800000000001</v>
      </c>
      <c r="D373" s="10">
        <f>42.1957 * CHOOSE(CONTROL!$C$9, $D$9, 100%, $F$9) + CHOOSE(CONTROL!$C$27, 0.0021, 0)</f>
        <v>42.197800000000001</v>
      </c>
      <c r="E373" s="10">
        <f>42.059 * CHOOSE(CONTROL!$C$9, $D$9, 100%, $F$9) + CHOOSE(CONTROL!$C$27, 0.0021, 0)</f>
        <v>42.061099999999996</v>
      </c>
      <c r="F373" s="10">
        <f>42.059 * CHOOSE(CONTROL!$C$9, $D$9, 100%, $F$9) + CHOOSE(CONTROL!$C$27, 0.0021, 0)</f>
        <v>42.061099999999996</v>
      </c>
      <c r="G373" s="10">
        <f>42.3304 * CHOOSE(CONTROL!$C$9, $D$9, 100%, $F$9) + CHOOSE(CONTROL!$C$27, 0.0021, 0)</f>
        <v>42.332499999999996</v>
      </c>
      <c r="H373" s="10">
        <f>42.1957 * CHOOSE(CONTROL!$C$9, $D$9, 100%, $F$9) + CHOOSE(CONTROL!$C$27, 0.0021, 0)</f>
        <v>42.197800000000001</v>
      </c>
      <c r="I373" s="10">
        <f>42.1957 * CHOOSE(CONTROL!$C$9, $D$9, 100%, $F$9) + CHOOSE(CONTROL!$C$27, 0.0021, 0)</f>
        <v>42.197800000000001</v>
      </c>
      <c r="J373" s="10">
        <f>42.1957 * CHOOSE(CONTROL!$C$9, $D$9, 100%, $F$9) + CHOOSE(CONTROL!$C$27, 0.0021, 0)</f>
        <v>42.197800000000001</v>
      </c>
      <c r="K373" s="10">
        <f>42.1957 * CHOOSE(CONTROL!$C$9, $D$9, 100%, $F$9) + CHOOSE(CONTROL!$C$27, 0.0021, 0)</f>
        <v>42.197800000000001</v>
      </c>
      <c r="L373" s="10"/>
    </row>
    <row r="374" spans="1:12" ht="15.75">
      <c r="A374" s="14">
        <v>52687</v>
      </c>
      <c r="B374" s="10">
        <f>42.1432 * CHOOSE(CONTROL!$C$9, $D$9, 100%, $F$9) + CHOOSE(CONTROL!$C$27, 0.0021, 0)</f>
        <v>42.145299999999999</v>
      </c>
      <c r="C374" s="10">
        <f>41.711 * CHOOSE(CONTROL!$C$9, $D$9, 100%, $F$9) + CHOOSE(CONTROL!$C$27, 0.0021, 0)</f>
        <v>41.713099999999997</v>
      </c>
      <c r="D374" s="10">
        <f>41.711 * CHOOSE(CONTROL!$C$9, $D$9, 100%, $F$9) + CHOOSE(CONTROL!$C$27, 0.0021, 0)</f>
        <v>41.713099999999997</v>
      </c>
      <c r="E374" s="10">
        <f>41.5743 * CHOOSE(CONTROL!$C$9, $D$9, 100%, $F$9) + CHOOSE(CONTROL!$C$27, 0.0021, 0)</f>
        <v>41.5764</v>
      </c>
      <c r="F374" s="10">
        <f>41.5743 * CHOOSE(CONTROL!$C$9, $D$9, 100%, $F$9) + CHOOSE(CONTROL!$C$27, 0.0021, 0)</f>
        <v>41.5764</v>
      </c>
      <c r="G374" s="10">
        <f>41.8457 * CHOOSE(CONTROL!$C$9, $D$9, 100%, $F$9) + CHOOSE(CONTROL!$C$27, 0.0021, 0)</f>
        <v>41.847799999999999</v>
      </c>
      <c r="H374" s="10">
        <f>41.711 * CHOOSE(CONTROL!$C$9, $D$9, 100%, $F$9) + CHOOSE(CONTROL!$C$27, 0.0021, 0)</f>
        <v>41.713099999999997</v>
      </c>
      <c r="I374" s="10">
        <f>41.711 * CHOOSE(CONTROL!$C$9, $D$9, 100%, $F$9) + CHOOSE(CONTROL!$C$27, 0.0021, 0)</f>
        <v>41.713099999999997</v>
      </c>
      <c r="J374" s="10">
        <f>41.711 * CHOOSE(CONTROL!$C$9, $D$9, 100%, $F$9) + CHOOSE(CONTROL!$C$27, 0.0021, 0)</f>
        <v>41.713099999999997</v>
      </c>
      <c r="K374" s="10">
        <f>41.711 * CHOOSE(CONTROL!$C$9, $D$9, 100%, $F$9) + CHOOSE(CONTROL!$C$27, 0.0021, 0)</f>
        <v>41.713099999999997</v>
      </c>
      <c r="L374" s="10"/>
    </row>
    <row r="375" spans="1:12" ht="15.75">
      <c r="A375" s="14">
        <v>52717</v>
      </c>
      <c r="B375" s="10">
        <f>41.5645 * CHOOSE(CONTROL!$C$9, $D$9, 100%, $F$9) + CHOOSE(CONTROL!$C$27, 0.0021, 0)</f>
        <v>41.566600000000001</v>
      </c>
      <c r="C375" s="10">
        <f>41.1323 * CHOOSE(CONTROL!$C$9, $D$9, 100%, $F$9) + CHOOSE(CONTROL!$C$27, 0.0021, 0)</f>
        <v>41.134399999999999</v>
      </c>
      <c r="D375" s="10">
        <f>41.1323 * CHOOSE(CONTROL!$C$9, $D$9, 100%, $F$9) + CHOOSE(CONTROL!$C$27, 0.0021, 0)</f>
        <v>41.134399999999999</v>
      </c>
      <c r="E375" s="10">
        <f>40.9956 * CHOOSE(CONTROL!$C$9, $D$9, 100%, $F$9) + CHOOSE(CONTROL!$C$27, 0.0021, 0)</f>
        <v>40.997700000000002</v>
      </c>
      <c r="F375" s="10">
        <f>40.9956 * CHOOSE(CONTROL!$C$9, $D$9, 100%, $F$9) + CHOOSE(CONTROL!$C$27, 0.0021, 0)</f>
        <v>40.997700000000002</v>
      </c>
      <c r="G375" s="10">
        <f>41.267 * CHOOSE(CONTROL!$C$9, $D$9, 100%, $F$9) + CHOOSE(CONTROL!$C$27, 0.0021, 0)</f>
        <v>41.269100000000002</v>
      </c>
      <c r="H375" s="10">
        <f>41.1323 * CHOOSE(CONTROL!$C$9, $D$9, 100%, $F$9) + CHOOSE(CONTROL!$C$27, 0.0021, 0)</f>
        <v>41.134399999999999</v>
      </c>
      <c r="I375" s="10">
        <f>41.1323 * CHOOSE(CONTROL!$C$9, $D$9, 100%, $F$9) + CHOOSE(CONTROL!$C$27, 0.0021, 0)</f>
        <v>41.134399999999999</v>
      </c>
      <c r="J375" s="10">
        <f>41.1323 * CHOOSE(CONTROL!$C$9, $D$9, 100%, $F$9) + CHOOSE(CONTROL!$C$27, 0.0021, 0)</f>
        <v>41.134399999999999</v>
      </c>
      <c r="K375" s="10">
        <f>41.1323 * CHOOSE(CONTROL!$C$9, $D$9, 100%, $F$9) + CHOOSE(CONTROL!$C$27, 0.0021, 0)</f>
        <v>41.134399999999999</v>
      </c>
      <c r="L375" s="10"/>
    </row>
    <row r="376" spans="1:12" ht="15.75">
      <c r="A376" s="14">
        <v>52748</v>
      </c>
      <c r="B376" s="10">
        <f>42.3893 * CHOOSE(CONTROL!$C$9, $D$9, 100%, $F$9) + CHOOSE(CONTROL!$C$27, 0.0021, 0)</f>
        <v>42.391399999999997</v>
      </c>
      <c r="C376" s="10">
        <f>41.957 * CHOOSE(CONTROL!$C$9, $D$9, 100%, $F$9) + CHOOSE(CONTROL!$C$27, 0.0021, 0)</f>
        <v>41.959099999999999</v>
      </c>
      <c r="D376" s="10">
        <f>41.957 * CHOOSE(CONTROL!$C$9, $D$9, 100%, $F$9) + CHOOSE(CONTROL!$C$27, 0.0021, 0)</f>
        <v>41.959099999999999</v>
      </c>
      <c r="E376" s="10">
        <f>41.8204 * CHOOSE(CONTROL!$C$9, $D$9, 100%, $F$9) + CHOOSE(CONTROL!$C$27, 0.0021, 0)</f>
        <v>41.822499999999998</v>
      </c>
      <c r="F376" s="10">
        <f>41.8204 * CHOOSE(CONTROL!$C$9, $D$9, 100%, $F$9) + CHOOSE(CONTROL!$C$27, 0.0021, 0)</f>
        <v>41.822499999999998</v>
      </c>
      <c r="G376" s="10">
        <f>42.0917 * CHOOSE(CONTROL!$C$9, $D$9, 100%, $F$9) + CHOOSE(CONTROL!$C$27, 0.0021, 0)</f>
        <v>42.093800000000002</v>
      </c>
      <c r="H376" s="10">
        <f>41.957 * CHOOSE(CONTROL!$C$9, $D$9, 100%, $F$9) + CHOOSE(CONTROL!$C$27, 0.0021, 0)</f>
        <v>41.959099999999999</v>
      </c>
      <c r="I376" s="10">
        <f>41.957 * CHOOSE(CONTROL!$C$9, $D$9, 100%, $F$9) + CHOOSE(CONTROL!$C$27, 0.0021, 0)</f>
        <v>41.959099999999999</v>
      </c>
      <c r="J376" s="10">
        <f>41.957 * CHOOSE(CONTROL!$C$9, $D$9, 100%, $F$9) + CHOOSE(CONTROL!$C$27, 0.0021, 0)</f>
        <v>41.959099999999999</v>
      </c>
      <c r="K376" s="10">
        <f>41.957 * CHOOSE(CONTROL!$C$9, $D$9, 100%, $F$9) + CHOOSE(CONTROL!$C$27, 0.0021, 0)</f>
        <v>41.959099999999999</v>
      </c>
      <c r="L376" s="10"/>
    </row>
    <row r="377" spans="1:12" ht="15.75">
      <c r="A377" s="14">
        <v>52778</v>
      </c>
      <c r="B377" s="10">
        <f>42.8832 * CHOOSE(CONTROL!$C$9, $D$9, 100%, $F$9) + CHOOSE(CONTROL!$C$27, 0.0021, 0)</f>
        <v>42.885300000000001</v>
      </c>
      <c r="C377" s="10">
        <f>42.451 * CHOOSE(CONTROL!$C$9, $D$9, 100%, $F$9) + CHOOSE(CONTROL!$C$27, 0.0021, 0)</f>
        <v>42.453099999999999</v>
      </c>
      <c r="D377" s="10">
        <f>42.451 * CHOOSE(CONTROL!$C$9, $D$9, 100%, $F$9) + CHOOSE(CONTROL!$C$27, 0.0021, 0)</f>
        <v>42.453099999999999</v>
      </c>
      <c r="E377" s="10">
        <f>42.3143 * CHOOSE(CONTROL!$C$9, $D$9, 100%, $F$9) + CHOOSE(CONTROL!$C$27, 0.0021, 0)</f>
        <v>42.316400000000002</v>
      </c>
      <c r="F377" s="10">
        <f>42.3143 * CHOOSE(CONTROL!$C$9, $D$9, 100%, $F$9) + CHOOSE(CONTROL!$C$27, 0.0021, 0)</f>
        <v>42.316400000000002</v>
      </c>
      <c r="G377" s="10">
        <f>42.5857 * CHOOSE(CONTROL!$C$9, $D$9, 100%, $F$9) + CHOOSE(CONTROL!$C$27, 0.0021, 0)</f>
        <v>42.587800000000001</v>
      </c>
      <c r="H377" s="10">
        <f>42.451 * CHOOSE(CONTROL!$C$9, $D$9, 100%, $F$9) + CHOOSE(CONTROL!$C$27, 0.0021, 0)</f>
        <v>42.453099999999999</v>
      </c>
      <c r="I377" s="10">
        <f>42.451 * CHOOSE(CONTROL!$C$9, $D$9, 100%, $F$9) + CHOOSE(CONTROL!$C$27, 0.0021, 0)</f>
        <v>42.453099999999999</v>
      </c>
      <c r="J377" s="10">
        <f>42.451 * CHOOSE(CONTROL!$C$9, $D$9, 100%, $F$9) + CHOOSE(CONTROL!$C$27, 0.0021, 0)</f>
        <v>42.453099999999999</v>
      </c>
      <c r="K377" s="10">
        <f>42.451 * CHOOSE(CONTROL!$C$9, $D$9, 100%, $F$9) + CHOOSE(CONTROL!$C$27, 0.0021, 0)</f>
        <v>42.453099999999999</v>
      </c>
      <c r="L377" s="10"/>
    </row>
    <row r="378" spans="1:12" ht="15.75">
      <c r="A378" s="14">
        <v>52809</v>
      </c>
      <c r="B378" s="10">
        <f>43.6981 * CHOOSE(CONTROL!$C$9, $D$9, 100%, $F$9) + CHOOSE(CONTROL!$C$27, 0.0021, 0)</f>
        <v>43.700199999999995</v>
      </c>
      <c r="C378" s="10">
        <f>43.2659 * CHOOSE(CONTROL!$C$9, $D$9, 100%, $F$9) + CHOOSE(CONTROL!$C$27, 0.0021, 0)</f>
        <v>43.268000000000001</v>
      </c>
      <c r="D378" s="10">
        <f>43.2659 * CHOOSE(CONTROL!$C$9, $D$9, 100%, $F$9) + CHOOSE(CONTROL!$C$27, 0.0021, 0)</f>
        <v>43.268000000000001</v>
      </c>
      <c r="E378" s="10">
        <f>43.1292 * CHOOSE(CONTROL!$C$9, $D$9, 100%, $F$9) + CHOOSE(CONTROL!$C$27, 0.0021, 0)</f>
        <v>43.131299999999996</v>
      </c>
      <c r="F378" s="10">
        <f>43.1292 * CHOOSE(CONTROL!$C$9, $D$9, 100%, $F$9) + CHOOSE(CONTROL!$C$27, 0.0021, 0)</f>
        <v>43.131299999999996</v>
      </c>
      <c r="G378" s="10">
        <f>43.4006 * CHOOSE(CONTROL!$C$9, $D$9, 100%, $F$9) + CHOOSE(CONTROL!$C$27, 0.0021, 0)</f>
        <v>43.402699999999996</v>
      </c>
      <c r="H378" s="10">
        <f>43.2659 * CHOOSE(CONTROL!$C$9, $D$9, 100%, $F$9) + CHOOSE(CONTROL!$C$27, 0.0021, 0)</f>
        <v>43.268000000000001</v>
      </c>
      <c r="I378" s="10">
        <f>43.2659 * CHOOSE(CONTROL!$C$9, $D$9, 100%, $F$9) + CHOOSE(CONTROL!$C$27, 0.0021, 0)</f>
        <v>43.268000000000001</v>
      </c>
      <c r="J378" s="10">
        <f>43.2659 * CHOOSE(CONTROL!$C$9, $D$9, 100%, $F$9) + CHOOSE(CONTROL!$C$27, 0.0021, 0)</f>
        <v>43.268000000000001</v>
      </c>
      <c r="K378" s="10">
        <f>43.2659 * CHOOSE(CONTROL!$C$9, $D$9, 100%, $F$9) + CHOOSE(CONTROL!$C$27, 0.0021, 0)</f>
        <v>43.268000000000001</v>
      </c>
      <c r="L378" s="10"/>
    </row>
    <row r="379" spans="1:12" ht="15.75">
      <c r="A379" s="14">
        <v>52840</v>
      </c>
      <c r="B379" s="10">
        <f>43.9469 * CHOOSE(CONTROL!$C$9, $D$9, 100%, $F$9) + CHOOSE(CONTROL!$C$27, 0.0021, 0)</f>
        <v>43.948999999999998</v>
      </c>
      <c r="C379" s="10">
        <f>43.5146 * CHOOSE(CONTROL!$C$9, $D$9, 100%, $F$9) + CHOOSE(CONTROL!$C$27, 0.0021, 0)</f>
        <v>43.5167</v>
      </c>
      <c r="D379" s="10">
        <f>43.5146 * CHOOSE(CONTROL!$C$9, $D$9, 100%, $F$9) + CHOOSE(CONTROL!$C$27, 0.0021, 0)</f>
        <v>43.5167</v>
      </c>
      <c r="E379" s="10">
        <f>43.378 * CHOOSE(CONTROL!$C$9, $D$9, 100%, $F$9) + CHOOSE(CONTROL!$C$27, 0.0021, 0)</f>
        <v>43.380099999999999</v>
      </c>
      <c r="F379" s="10">
        <f>43.378 * CHOOSE(CONTROL!$C$9, $D$9, 100%, $F$9) + CHOOSE(CONTROL!$C$27, 0.0021, 0)</f>
        <v>43.380099999999999</v>
      </c>
      <c r="G379" s="10">
        <f>43.6493 * CHOOSE(CONTROL!$C$9, $D$9, 100%, $F$9) + CHOOSE(CONTROL!$C$27, 0.0021, 0)</f>
        <v>43.651399999999995</v>
      </c>
      <c r="H379" s="10">
        <f>43.5146 * CHOOSE(CONTROL!$C$9, $D$9, 100%, $F$9) + CHOOSE(CONTROL!$C$27, 0.0021, 0)</f>
        <v>43.5167</v>
      </c>
      <c r="I379" s="10">
        <f>43.5146 * CHOOSE(CONTROL!$C$9, $D$9, 100%, $F$9) + CHOOSE(CONTROL!$C$27, 0.0021, 0)</f>
        <v>43.5167</v>
      </c>
      <c r="J379" s="10">
        <f>43.5146 * CHOOSE(CONTROL!$C$9, $D$9, 100%, $F$9) + CHOOSE(CONTROL!$C$27, 0.0021, 0)</f>
        <v>43.5167</v>
      </c>
      <c r="K379" s="10">
        <f>43.5146 * CHOOSE(CONTROL!$C$9, $D$9, 100%, $F$9) + CHOOSE(CONTROL!$C$27, 0.0021, 0)</f>
        <v>43.5167</v>
      </c>
      <c r="L379" s="10"/>
    </row>
    <row r="380" spans="1:12" ht="15.75">
      <c r="A380" s="14">
        <v>52870</v>
      </c>
      <c r="B380" s="10">
        <f>44.7939 * CHOOSE(CONTROL!$C$9, $D$9, 100%, $F$9) + CHOOSE(CONTROL!$C$27, 0.0021, 0)</f>
        <v>44.795999999999999</v>
      </c>
      <c r="C380" s="10">
        <f>44.3617 * CHOOSE(CONTROL!$C$9, $D$9, 100%, $F$9) + CHOOSE(CONTROL!$C$27, 0.0021, 0)</f>
        <v>44.363799999999998</v>
      </c>
      <c r="D380" s="10">
        <f>44.3617 * CHOOSE(CONTROL!$C$9, $D$9, 100%, $F$9) + CHOOSE(CONTROL!$C$27, 0.0021, 0)</f>
        <v>44.363799999999998</v>
      </c>
      <c r="E380" s="10">
        <f>44.225 * CHOOSE(CONTROL!$C$9, $D$9, 100%, $F$9) + CHOOSE(CONTROL!$C$27, 0.0021, 0)</f>
        <v>44.2271</v>
      </c>
      <c r="F380" s="10">
        <f>44.225 * CHOOSE(CONTROL!$C$9, $D$9, 100%, $F$9) + CHOOSE(CONTROL!$C$27, 0.0021, 0)</f>
        <v>44.2271</v>
      </c>
      <c r="G380" s="10">
        <f>44.4964 * CHOOSE(CONTROL!$C$9, $D$9, 100%, $F$9) + CHOOSE(CONTROL!$C$27, 0.0021, 0)</f>
        <v>44.4985</v>
      </c>
      <c r="H380" s="10">
        <f>44.3617 * CHOOSE(CONTROL!$C$9, $D$9, 100%, $F$9) + CHOOSE(CONTROL!$C$27, 0.0021, 0)</f>
        <v>44.363799999999998</v>
      </c>
      <c r="I380" s="10">
        <f>44.3617 * CHOOSE(CONTROL!$C$9, $D$9, 100%, $F$9) + CHOOSE(CONTROL!$C$27, 0.0021, 0)</f>
        <v>44.363799999999998</v>
      </c>
      <c r="J380" s="10">
        <f>44.3617 * CHOOSE(CONTROL!$C$9, $D$9, 100%, $F$9) + CHOOSE(CONTROL!$C$27, 0.0021, 0)</f>
        <v>44.363799999999998</v>
      </c>
      <c r="K380" s="10">
        <f>44.3617 * CHOOSE(CONTROL!$C$9, $D$9, 100%, $F$9) + CHOOSE(CONTROL!$C$27, 0.0021, 0)</f>
        <v>44.363799999999998</v>
      </c>
      <c r="L380" s="10"/>
    </row>
    <row r="381" spans="1:12" ht="15.75">
      <c r="A381" s="14">
        <v>52901</v>
      </c>
      <c r="B381" s="10">
        <f>45.8661 * CHOOSE(CONTROL!$C$9, $D$9, 100%, $F$9) + CHOOSE(CONTROL!$C$27, 0.0021, 0)</f>
        <v>45.868200000000002</v>
      </c>
      <c r="C381" s="10">
        <f>45.4339 * CHOOSE(CONTROL!$C$9, $D$9, 100%, $F$9) + CHOOSE(CONTROL!$C$27, 0.0021, 0)</f>
        <v>45.436</v>
      </c>
      <c r="D381" s="10">
        <f>45.4339 * CHOOSE(CONTROL!$C$9, $D$9, 100%, $F$9) + CHOOSE(CONTROL!$C$27, 0.0021, 0)</f>
        <v>45.436</v>
      </c>
      <c r="E381" s="10">
        <f>45.2972 * CHOOSE(CONTROL!$C$9, $D$9, 100%, $F$9) + CHOOSE(CONTROL!$C$27, 0.0021, 0)</f>
        <v>45.299299999999995</v>
      </c>
      <c r="F381" s="10">
        <f>45.2972 * CHOOSE(CONTROL!$C$9, $D$9, 100%, $F$9) + CHOOSE(CONTROL!$C$27, 0.0021, 0)</f>
        <v>45.299299999999995</v>
      </c>
      <c r="G381" s="10">
        <f>45.5686 * CHOOSE(CONTROL!$C$9, $D$9, 100%, $F$9) + CHOOSE(CONTROL!$C$27, 0.0021, 0)</f>
        <v>45.570700000000002</v>
      </c>
      <c r="H381" s="10">
        <f>45.4339 * CHOOSE(CONTROL!$C$9, $D$9, 100%, $F$9) + CHOOSE(CONTROL!$C$27, 0.0021, 0)</f>
        <v>45.436</v>
      </c>
      <c r="I381" s="10">
        <f>45.4339 * CHOOSE(CONTROL!$C$9, $D$9, 100%, $F$9) + CHOOSE(CONTROL!$C$27, 0.0021, 0)</f>
        <v>45.436</v>
      </c>
      <c r="J381" s="10">
        <f>45.4339 * CHOOSE(CONTROL!$C$9, $D$9, 100%, $F$9) + CHOOSE(CONTROL!$C$27, 0.0021, 0)</f>
        <v>45.436</v>
      </c>
      <c r="K381" s="10">
        <f>45.4339 * CHOOSE(CONTROL!$C$9, $D$9, 100%, $F$9) + CHOOSE(CONTROL!$C$27, 0.0021, 0)</f>
        <v>45.436</v>
      </c>
      <c r="L381" s="10"/>
    </row>
    <row r="382" spans="1:12" ht="15.75">
      <c r="A382" s="14">
        <v>52931</v>
      </c>
      <c r="B382" s="10">
        <f>45.9668 * CHOOSE(CONTROL!$C$9, $D$9, 100%, $F$9) + CHOOSE(CONTROL!$C$27, 0.0021, 0)</f>
        <v>45.968899999999998</v>
      </c>
      <c r="C382" s="10">
        <f>45.5345 * CHOOSE(CONTROL!$C$9, $D$9, 100%, $F$9) + CHOOSE(CONTROL!$C$27, 0.0021, 0)</f>
        <v>45.5366</v>
      </c>
      <c r="D382" s="10">
        <f>45.5345 * CHOOSE(CONTROL!$C$9, $D$9, 100%, $F$9) + CHOOSE(CONTROL!$C$27, 0.0021, 0)</f>
        <v>45.5366</v>
      </c>
      <c r="E382" s="10">
        <f>45.3979 * CHOOSE(CONTROL!$C$9, $D$9, 100%, $F$9) + CHOOSE(CONTROL!$C$27, 0.0021, 0)</f>
        <v>45.4</v>
      </c>
      <c r="F382" s="10">
        <f>45.3979 * CHOOSE(CONTROL!$C$9, $D$9, 100%, $F$9) + CHOOSE(CONTROL!$C$27, 0.0021, 0)</f>
        <v>45.4</v>
      </c>
      <c r="G382" s="10">
        <f>45.6692 * CHOOSE(CONTROL!$C$9, $D$9, 100%, $F$9) + CHOOSE(CONTROL!$C$27, 0.0021, 0)</f>
        <v>45.671299999999995</v>
      </c>
      <c r="H382" s="10">
        <f>45.5345 * CHOOSE(CONTROL!$C$9, $D$9, 100%, $F$9) + CHOOSE(CONTROL!$C$27, 0.0021, 0)</f>
        <v>45.5366</v>
      </c>
      <c r="I382" s="10">
        <f>45.5345 * CHOOSE(CONTROL!$C$9, $D$9, 100%, $F$9) + CHOOSE(CONTROL!$C$27, 0.0021, 0)</f>
        <v>45.5366</v>
      </c>
      <c r="J382" s="10">
        <f>45.5345 * CHOOSE(CONTROL!$C$9, $D$9, 100%, $F$9) + CHOOSE(CONTROL!$C$27, 0.0021, 0)</f>
        <v>45.5366</v>
      </c>
      <c r="K382" s="10">
        <f>45.5345 * CHOOSE(CONTROL!$C$9, $D$9, 100%, $F$9) + CHOOSE(CONTROL!$C$27, 0.0021, 0)</f>
        <v>45.5366</v>
      </c>
      <c r="L382" s="10"/>
    </row>
    <row r="383" spans="1:12" ht="15.75">
      <c r="A383" s="14">
        <v>52962</v>
      </c>
      <c r="B383" s="10">
        <f>45.1104 * CHOOSE(CONTROL!$C$9, $D$9, 100%, $F$9) + CHOOSE(CONTROL!$C$27, 0.0021, 0)</f>
        <v>45.112499999999997</v>
      </c>
      <c r="C383" s="10">
        <f>44.6782 * CHOOSE(CONTROL!$C$9, $D$9, 100%, $F$9) + CHOOSE(CONTROL!$C$27, 0.0021, 0)</f>
        <v>44.680299999999995</v>
      </c>
      <c r="D383" s="10">
        <f>44.6782 * CHOOSE(CONTROL!$C$9, $D$9, 100%, $F$9) + CHOOSE(CONTROL!$C$27, 0.0021, 0)</f>
        <v>44.680299999999995</v>
      </c>
      <c r="E383" s="10">
        <f>44.5415 * CHOOSE(CONTROL!$C$9, $D$9, 100%, $F$9) + CHOOSE(CONTROL!$C$27, 0.0021, 0)</f>
        <v>44.543599999999998</v>
      </c>
      <c r="F383" s="10">
        <f>44.5415 * CHOOSE(CONTROL!$C$9, $D$9, 100%, $F$9) + CHOOSE(CONTROL!$C$27, 0.0021, 0)</f>
        <v>44.543599999999998</v>
      </c>
      <c r="G383" s="10">
        <f>44.8129 * CHOOSE(CONTROL!$C$9, $D$9, 100%, $F$9) + CHOOSE(CONTROL!$C$27, 0.0021, 0)</f>
        <v>44.814999999999998</v>
      </c>
      <c r="H383" s="10">
        <f>44.6782 * CHOOSE(CONTROL!$C$9, $D$9, 100%, $F$9) + CHOOSE(CONTROL!$C$27, 0.0021, 0)</f>
        <v>44.680299999999995</v>
      </c>
      <c r="I383" s="10">
        <f>44.6782 * CHOOSE(CONTROL!$C$9, $D$9, 100%, $F$9) + CHOOSE(CONTROL!$C$27, 0.0021, 0)</f>
        <v>44.680299999999995</v>
      </c>
      <c r="J383" s="10">
        <f>44.6782 * CHOOSE(CONTROL!$C$9, $D$9, 100%, $F$9) + CHOOSE(CONTROL!$C$27, 0.0021, 0)</f>
        <v>44.680299999999995</v>
      </c>
      <c r="K383" s="10">
        <f>44.6782 * CHOOSE(CONTROL!$C$9, $D$9, 100%, $F$9) + CHOOSE(CONTROL!$C$27, 0.0021, 0)</f>
        <v>44.680299999999995</v>
      </c>
      <c r="L383" s="10"/>
    </row>
    <row r="384" spans="1:12" ht="15.75">
      <c r="A384" s="14">
        <v>52993</v>
      </c>
      <c r="B384" s="10">
        <f>44.4548 * CHOOSE(CONTROL!$C$9, $D$9, 100%, $F$9) + CHOOSE(CONTROL!$C$27, 0.0021, 0)</f>
        <v>44.456899999999997</v>
      </c>
      <c r="C384" s="10">
        <f>44.0225 * CHOOSE(CONTROL!$C$9, $D$9, 100%, $F$9) + CHOOSE(CONTROL!$C$27, 0.0021, 0)</f>
        <v>44.0246</v>
      </c>
      <c r="D384" s="10">
        <f>44.0225 * CHOOSE(CONTROL!$C$9, $D$9, 100%, $F$9) + CHOOSE(CONTROL!$C$27, 0.0021, 0)</f>
        <v>44.0246</v>
      </c>
      <c r="E384" s="10">
        <f>43.8859 * CHOOSE(CONTROL!$C$9, $D$9, 100%, $F$9) + CHOOSE(CONTROL!$C$27, 0.0021, 0)</f>
        <v>43.887999999999998</v>
      </c>
      <c r="F384" s="10">
        <f>43.8859 * CHOOSE(CONTROL!$C$9, $D$9, 100%, $F$9) + CHOOSE(CONTROL!$C$27, 0.0021, 0)</f>
        <v>43.887999999999998</v>
      </c>
      <c r="G384" s="10">
        <f>44.1572 * CHOOSE(CONTROL!$C$9, $D$9, 100%, $F$9) + CHOOSE(CONTROL!$C$27, 0.0021, 0)</f>
        <v>44.159300000000002</v>
      </c>
      <c r="H384" s="10">
        <f>44.0225 * CHOOSE(CONTROL!$C$9, $D$9, 100%, $F$9) + CHOOSE(CONTROL!$C$27, 0.0021, 0)</f>
        <v>44.0246</v>
      </c>
      <c r="I384" s="10">
        <f>44.0225 * CHOOSE(CONTROL!$C$9, $D$9, 100%, $F$9) + CHOOSE(CONTROL!$C$27, 0.0021, 0)</f>
        <v>44.0246</v>
      </c>
      <c r="J384" s="10">
        <f>44.0225 * CHOOSE(CONTROL!$C$9, $D$9, 100%, $F$9) + CHOOSE(CONTROL!$C$27, 0.0021, 0)</f>
        <v>44.0246</v>
      </c>
      <c r="K384" s="10">
        <f>44.0225 * CHOOSE(CONTROL!$C$9, $D$9, 100%, $F$9) + CHOOSE(CONTROL!$C$27, 0.0021, 0)</f>
        <v>44.0246</v>
      </c>
      <c r="L384" s="10"/>
    </row>
    <row r="385" spans="1:12" ht="15.75">
      <c r="A385" s="14">
        <v>53021</v>
      </c>
      <c r="B385" s="10">
        <f>43.2622 * CHOOSE(CONTROL!$C$9, $D$9, 100%, $F$9) + CHOOSE(CONTROL!$C$27, 0.0021, 0)</f>
        <v>43.264299999999999</v>
      </c>
      <c r="C385" s="10">
        <f>42.8299 * CHOOSE(CONTROL!$C$9, $D$9, 100%, $F$9) + CHOOSE(CONTROL!$C$27, 0.0021, 0)</f>
        <v>42.832000000000001</v>
      </c>
      <c r="D385" s="10">
        <f>42.8299 * CHOOSE(CONTROL!$C$9, $D$9, 100%, $F$9) + CHOOSE(CONTROL!$C$27, 0.0021, 0)</f>
        <v>42.832000000000001</v>
      </c>
      <c r="E385" s="10">
        <f>42.6933 * CHOOSE(CONTROL!$C$9, $D$9, 100%, $F$9) + CHOOSE(CONTROL!$C$27, 0.0021, 0)</f>
        <v>42.695399999999999</v>
      </c>
      <c r="F385" s="10">
        <f>42.6933 * CHOOSE(CONTROL!$C$9, $D$9, 100%, $F$9) + CHOOSE(CONTROL!$C$27, 0.0021, 0)</f>
        <v>42.695399999999999</v>
      </c>
      <c r="G385" s="10">
        <f>42.9647 * CHOOSE(CONTROL!$C$9, $D$9, 100%, $F$9) + CHOOSE(CONTROL!$C$27, 0.0021, 0)</f>
        <v>42.966799999999999</v>
      </c>
      <c r="H385" s="10">
        <f>42.8299 * CHOOSE(CONTROL!$C$9, $D$9, 100%, $F$9) + CHOOSE(CONTROL!$C$27, 0.0021, 0)</f>
        <v>42.832000000000001</v>
      </c>
      <c r="I385" s="10">
        <f>42.8299 * CHOOSE(CONTROL!$C$9, $D$9, 100%, $F$9) + CHOOSE(CONTROL!$C$27, 0.0021, 0)</f>
        <v>42.832000000000001</v>
      </c>
      <c r="J385" s="10">
        <f>42.8299 * CHOOSE(CONTROL!$C$9, $D$9, 100%, $F$9) + CHOOSE(CONTROL!$C$27, 0.0021, 0)</f>
        <v>42.832000000000001</v>
      </c>
      <c r="K385" s="10">
        <f>42.8299 * CHOOSE(CONTROL!$C$9, $D$9, 100%, $F$9) + CHOOSE(CONTROL!$C$27, 0.0021, 0)</f>
        <v>42.832000000000001</v>
      </c>
      <c r="L385" s="10"/>
    </row>
    <row r="386" spans="1:12" ht="15.75">
      <c r="A386" s="14">
        <v>53052</v>
      </c>
      <c r="B386" s="10">
        <f>42.7699 * CHOOSE(CONTROL!$C$9, $D$9, 100%, $F$9) + CHOOSE(CONTROL!$C$27, 0.0021, 0)</f>
        <v>42.771999999999998</v>
      </c>
      <c r="C386" s="10">
        <f>42.3376 * CHOOSE(CONTROL!$C$9, $D$9, 100%, $F$9) + CHOOSE(CONTROL!$C$27, 0.0021, 0)</f>
        <v>42.339700000000001</v>
      </c>
      <c r="D386" s="10">
        <f>42.3376 * CHOOSE(CONTROL!$C$9, $D$9, 100%, $F$9) + CHOOSE(CONTROL!$C$27, 0.0021, 0)</f>
        <v>42.339700000000001</v>
      </c>
      <c r="E386" s="10">
        <f>42.201 * CHOOSE(CONTROL!$C$9, $D$9, 100%, $F$9) + CHOOSE(CONTROL!$C$27, 0.0021, 0)</f>
        <v>42.203099999999999</v>
      </c>
      <c r="F386" s="10">
        <f>42.201 * CHOOSE(CONTROL!$C$9, $D$9, 100%, $F$9) + CHOOSE(CONTROL!$C$27, 0.0021, 0)</f>
        <v>42.203099999999999</v>
      </c>
      <c r="G386" s="10">
        <f>42.4724 * CHOOSE(CONTROL!$C$9, $D$9, 100%, $F$9) + CHOOSE(CONTROL!$C$27, 0.0021, 0)</f>
        <v>42.474499999999999</v>
      </c>
      <c r="H386" s="10">
        <f>42.3376 * CHOOSE(CONTROL!$C$9, $D$9, 100%, $F$9) + CHOOSE(CONTROL!$C$27, 0.0021, 0)</f>
        <v>42.339700000000001</v>
      </c>
      <c r="I386" s="10">
        <f>42.3376 * CHOOSE(CONTROL!$C$9, $D$9, 100%, $F$9) + CHOOSE(CONTROL!$C$27, 0.0021, 0)</f>
        <v>42.339700000000001</v>
      </c>
      <c r="J386" s="10">
        <f>42.3376 * CHOOSE(CONTROL!$C$9, $D$9, 100%, $F$9) + CHOOSE(CONTROL!$C$27, 0.0021, 0)</f>
        <v>42.339700000000001</v>
      </c>
      <c r="K386" s="10">
        <f>42.3376 * CHOOSE(CONTROL!$C$9, $D$9, 100%, $F$9) + CHOOSE(CONTROL!$C$27, 0.0021, 0)</f>
        <v>42.339700000000001</v>
      </c>
      <c r="L386" s="10"/>
    </row>
    <row r="387" spans="1:12" ht="15.75">
      <c r="A387" s="14">
        <v>53082</v>
      </c>
      <c r="B387" s="10">
        <f>42.1821 * CHOOSE(CONTROL!$C$9, $D$9, 100%, $F$9) + CHOOSE(CONTROL!$C$27, 0.0021, 0)</f>
        <v>42.184199999999997</v>
      </c>
      <c r="C387" s="10">
        <f>41.7498 * CHOOSE(CONTROL!$C$9, $D$9, 100%, $F$9) + CHOOSE(CONTROL!$C$27, 0.0021, 0)</f>
        <v>41.751899999999999</v>
      </c>
      <c r="D387" s="10">
        <f>41.7498 * CHOOSE(CONTROL!$C$9, $D$9, 100%, $F$9) + CHOOSE(CONTROL!$C$27, 0.0021, 0)</f>
        <v>41.751899999999999</v>
      </c>
      <c r="E387" s="10">
        <f>41.6132 * CHOOSE(CONTROL!$C$9, $D$9, 100%, $F$9) + CHOOSE(CONTROL!$C$27, 0.0021, 0)</f>
        <v>41.615299999999998</v>
      </c>
      <c r="F387" s="10">
        <f>41.6132 * CHOOSE(CONTROL!$C$9, $D$9, 100%, $F$9) + CHOOSE(CONTROL!$C$27, 0.0021, 0)</f>
        <v>41.615299999999998</v>
      </c>
      <c r="G387" s="10">
        <f>41.8845 * CHOOSE(CONTROL!$C$9, $D$9, 100%, $F$9) + CHOOSE(CONTROL!$C$27, 0.0021, 0)</f>
        <v>41.886600000000001</v>
      </c>
      <c r="H387" s="10">
        <f>41.7498 * CHOOSE(CONTROL!$C$9, $D$9, 100%, $F$9) + CHOOSE(CONTROL!$C$27, 0.0021, 0)</f>
        <v>41.751899999999999</v>
      </c>
      <c r="I387" s="10">
        <f>41.7498 * CHOOSE(CONTROL!$C$9, $D$9, 100%, $F$9) + CHOOSE(CONTROL!$C$27, 0.0021, 0)</f>
        <v>41.751899999999999</v>
      </c>
      <c r="J387" s="10">
        <f>41.7498 * CHOOSE(CONTROL!$C$9, $D$9, 100%, $F$9) + CHOOSE(CONTROL!$C$27, 0.0021, 0)</f>
        <v>41.751899999999999</v>
      </c>
      <c r="K387" s="10">
        <f>41.7498 * CHOOSE(CONTROL!$C$9, $D$9, 100%, $F$9) + CHOOSE(CONTROL!$C$27, 0.0021, 0)</f>
        <v>41.751899999999999</v>
      </c>
      <c r="L387" s="10"/>
    </row>
    <row r="388" spans="1:12" ht="15.75">
      <c r="A388" s="14">
        <v>53113</v>
      </c>
      <c r="B388" s="10">
        <f>43.0198 * CHOOSE(CONTROL!$C$9, $D$9, 100%, $F$9) + CHOOSE(CONTROL!$C$27, 0.0021, 0)</f>
        <v>43.021899999999995</v>
      </c>
      <c r="C388" s="10">
        <f>42.5875 * CHOOSE(CONTROL!$C$9, $D$9, 100%, $F$9) + CHOOSE(CONTROL!$C$27, 0.0021, 0)</f>
        <v>42.589599999999997</v>
      </c>
      <c r="D388" s="10">
        <f>42.5875 * CHOOSE(CONTROL!$C$9, $D$9, 100%, $F$9) + CHOOSE(CONTROL!$C$27, 0.0021, 0)</f>
        <v>42.589599999999997</v>
      </c>
      <c r="E388" s="10">
        <f>42.4509 * CHOOSE(CONTROL!$C$9, $D$9, 100%, $F$9) + CHOOSE(CONTROL!$C$27, 0.0021, 0)</f>
        <v>42.452999999999996</v>
      </c>
      <c r="F388" s="10">
        <f>42.4509 * CHOOSE(CONTROL!$C$9, $D$9, 100%, $F$9) + CHOOSE(CONTROL!$C$27, 0.0021, 0)</f>
        <v>42.452999999999996</v>
      </c>
      <c r="G388" s="10">
        <f>42.7222 * CHOOSE(CONTROL!$C$9, $D$9, 100%, $F$9) + CHOOSE(CONTROL!$C$27, 0.0021, 0)</f>
        <v>42.724299999999999</v>
      </c>
      <c r="H388" s="10">
        <f>42.5875 * CHOOSE(CONTROL!$C$9, $D$9, 100%, $F$9) + CHOOSE(CONTROL!$C$27, 0.0021, 0)</f>
        <v>42.589599999999997</v>
      </c>
      <c r="I388" s="10">
        <f>42.5875 * CHOOSE(CONTROL!$C$9, $D$9, 100%, $F$9) + CHOOSE(CONTROL!$C$27, 0.0021, 0)</f>
        <v>42.589599999999997</v>
      </c>
      <c r="J388" s="10">
        <f>42.5875 * CHOOSE(CONTROL!$C$9, $D$9, 100%, $F$9) + CHOOSE(CONTROL!$C$27, 0.0021, 0)</f>
        <v>42.589599999999997</v>
      </c>
      <c r="K388" s="10">
        <f>42.5875 * CHOOSE(CONTROL!$C$9, $D$9, 100%, $F$9) + CHOOSE(CONTROL!$C$27, 0.0021, 0)</f>
        <v>42.589599999999997</v>
      </c>
      <c r="L388" s="10"/>
    </row>
    <row r="389" spans="1:12" ht="15.75">
      <c r="A389" s="14">
        <v>53143</v>
      </c>
      <c r="B389" s="10">
        <f>43.5215 * CHOOSE(CONTROL!$C$9, $D$9, 100%, $F$9) + CHOOSE(CONTROL!$C$27, 0.0021, 0)</f>
        <v>43.523600000000002</v>
      </c>
      <c r="C389" s="10">
        <f>43.0893 * CHOOSE(CONTROL!$C$9, $D$9, 100%, $F$9) + CHOOSE(CONTROL!$C$27, 0.0021, 0)</f>
        <v>43.0914</v>
      </c>
      <c r="D389" s="10">
        <f>43.0893 * CHOOSE(CONTROL!$C$9, $D$9, 100%, $F$9) + CHOOSE(CONTROL!$C$27, 0.0021, 0)</f>
        <v>43.0914</v>
      </c>
      <c r="E389" s="10">
        <f>42.9526 * CHOOSE(CONTROL!$C$9, $D$9, 100%, $F$9) + CHOOSE(CONTROL!$C$27, 0.0021, 0)</f>
        <v>42.954699999999995</v>
      </c>
      <c r="F389" s="10">
        <f>42.9526 * CHOOSE(CONTROL!$C$9, $D$9, 100%, $F$9) + CHOOSE(CONTROL!$C$27, 0.0021, 0)</f>
        <v>42.954699999999995</v>
      </c>
      <c r="G389" s="10">
        <f>43.224 * CHOOSE(CONTROL!$C$9, $D$9, 100%, $F$9) + CHOOSE(CONTROL!$C$27, 0.0021, 0)</f>
        <v>43.226099999999995</v>
      </c>
      <c r="H389" s="10">
        <f>43.0893 * CHOOSE(CONTROL!$C$9, $D$9, 100%, $F$9) + CHOOSE(CONTROL!$C$27, 0.0021, 0)</f>
        <v>43.0914</v>
      </c>
      <c r="I389" s="10">
        <f>43.0893 * CHOOSE(CONTROL!$C$9, $D$9, 100%, $F$9) + CHOOSE(CONTROL!$C$27, 0.0021, 0)</f>
        <v>43.0914</v>
      </c>
      <c r="J389" s="10">
        <f>43.0893 * CHOOSE(CONTROL!$C$9, $D$9, 100%, $F$9) + CHOOSE(CONTROL!$C$27, 0.0021, 0)</f>
        <v>43.0914</v>
      </c>
      <c r="K389" s="10">
        <f>43.0893 * CHOOSE(CONTROL!$C$9, $D$9, 100%, $F$9) + CHOOSE(CONTROL!$C$27, 0.0021, 0)</f>
        <v>43.0914</v>
      </c>
      <c r="L389" s="10"/>
    </row>
    <row r="390" spans="1:12" ht="15.75">
      <c r="A390" s="14">
        <v>53174</v>
      </c>
      <c r="B390" s="10">
        <f>44.3492 * CHOOSE(CONTROL!$C$9, $D$9, 100%, $F$9) + CHOOSE(CONTROL!$C$27, 0.0021, 0)</f>
        <v>44.351300000000002</v>
      </c>
      <c r="C390" s="10">
        <f>43.917 * CHOOSE(CONTROL!$C$9, $D$9, 100%, $F$9) + CHOOSE(CONTROL!$C$27, 0.0021, 0)</f>
        <v>43.9191</v>
      </c>
      <c r="D390" s="10">
        <f>43.917 * CHOOSE(CONTROL!$C$9, $D$9, 100%, $F$9) + CHOOSE(CONTROL!$C$27, 0.0021, 0)</f>
        <v>43.9191</v>
      </c>
      <c r="E390" s="10">
        <f>43.7803 * CHOOSE(CONTROL!$C$9, $D$9, 100%, $F$9) + CHOOSE(CONTROL!$C$27, 0.0021, 0)</f>
        <v>43.782399999999996</v>
      </c>
      <c r="F390" s="10">
        <f>43.7803 * CHOOSE(CONTROL!$C$9, $D$9, 100%, $F$9) + CHOOSE(CONTROL!$C$27, 0.0021, 0)</f>
        <v>43.782399999999996</v>
      </c>
      <c r="G390" s="10">
        <f>44.0517 * CHOOSE(CONTROL!$C$9, $D$9, 100%, $F$9) + CHOOSE(CONTROL!$C$27, 0.0021, 0)</f>
        <v>44.053799999999995</v>
      </c>
      <c r="H390" s="10">
        <f>43.917 * CHOOSE(CONTROL!$C$9, $D$9, 100%, $F$9) + CHOOSE(CONTROL!$C$27, 0.0021, 0)</f>
        <v>43.9191</v>
      </c>
      <c r="I390" s="10">
        <f>43.917 * CHOOSE(CONTROL!$C$9, $D$9, 100%, $F$9) + CHOOSE(CONTROL!$C$27, 0.0021, 0)</f>
        <v>43.9191</v>
      </c>
      <c r="J390" s="10">
        <f>43.917 * CHOOSE(CONTROL!$C$9, $D$9, 100%, $F$9) + CHOOSE(CONTROL!$C$27, 0.0021, 0)</f>
        <v>43.9191</v>
      </c>
      <c r="K390" s="10">
        <f>43.917 * CHOOSE(CONTROL!$C$9, $D$9, 100%, $F$9) + CHOOSE(CONTROL!$C$27, 0.0021, 0)</f>
        <v>43.9191</v>
      </c>
      <c r="L390" s="10"/>
    </row>
    <row r="391" spans="1:12" ht="15.75">
      <c r="A391" s="14">
        <v>53205</v>
      </c>
      <c r="B391" s="10">
        <f>44.6019 * CHOOSE(CONTROL!$C$9, $D$9, 100%, $F$9) + CHOOSE(CONTROL!$C$27, 0.0021, 0)</f>
        <v>44.603999999999999</v>
      </c>
      <c r="C391" s="10">
        <f>44.1696 * CHOOSE(CONTROL!$C$9, $D$9, 100%, $F$9) + CHOOSE(CONTROL!$C$27, 0.0021, 0)</f>
        <v>44.171700000000001</v>
      </c>
      <c r="D391" s="10">
        <f>44.1696 * CHOOSE(CONTROL!$C$9, $D$9, 100%, $F$9) + CHOOSE(CONTROL!$C$27, 0.0021, 0)</f>
        <v>44.171700000000001</v>
      </c>
      <c r="E391" s="10">
        <f>44.033 * CHOOSE(CONTROL!$C$9, $D$9, 100%, $F$9) + CHOOSE(CONTROL!$C$27, 0.0021, 0)</f>
        <v>44.0351</v>
      </c>
      <c r="F391" s="10">
        <f>44.033 * CHOOSE(CONTROL!$C$9, $D$9, 100%, $F$9) + CHOOSE(CONTROL!$C$27, 0.0021, 0)</f>
        <v>44.0351</v>
      </c>
      <c r="G391" s="10">
        <f>44.3043 * CHOOSE(CONTROL!$C$9, $D$9, 100%, $F$9) + CHOOSE(CONTROL!$C$27, 0.0021, 0)</f>
        <v>44.306399999999996</v>
      </c>
      <c r="H391" s="10">
        <f>44.1696 * CHOOSE(CONTROL!$C$9, $D$9, 100%, $F$9) + CHOOSE(CONTROL!$C$27, 0.0021, 0)</f>
        <v>44.171700000000001</v>
      </c>
      <c r="I391" s="10">
        <f>44.1696 * CHOOSE(CONTROL!$C$9, $D$9, 100%, $F$9) + CHOOSE(CONTROL!$C$27, 0.0021, 0)</f>
        <v>44.171700000000001</v>
      </c>
      <c r="J391" s="10">
        <f>44.1696 * CHOOSE(CONTROL!$C$9, $D$9, 100%, $F$9) + CHOOSE(CONTROL!$C$27, 0.0021, 0)</f>
        <v>44.171700000000001</v>
      </c>
      <c r="K391" s="10">
        <f>44.1696 * CHOOSE(CONTROL!$C$9, $D$9, 100%, $F$9) + CHOOSE(CONTROL!$C$27, 0.0021, 0)</f>
        <v>44.171700000000001</v>
      </c>
      <c r="L391" s="10"/>
    </row>
    <row r="392" spans="1:12" ht="15.75">
      <c r="A392" s="14">
        <v>53235</v>
      </c>
      <c r="B392" s="10">
        <f>45.4622 * CHOOSE(CONTROL!$C$9, $D$9, 100%, $F$9) + CHOOSE(CONTROL!$C$27, 0.0021, 0)</f>
        <v>45.464300000000001</v>
      </c>
      <c r="C392" s="10">
        <f>45.03 * CHOOSE(CONTROL!$C$9, $D$9, 100%, $F$9) + CHOOSE(CONTROL!$C$27, 0.0021, 0)</f>
        <v>45.0321</v>
      </c>
      <c r="D392" s="10">
        <f>45.03 * CHOOSE(CONTROL!$C$9, $D$9, 100%, $F$9) + CHOOSE(CONTROL!$C$27, 0.0021, 0)</f>
        <v>45.0321</v>
      </c>
      <c r="E392" s="10">
        <f>44.8933 * CHOOSE(CONTROL!$C$9, $D$9, 100%, $F$9) + CHOOSE(CONTROL!$C$27, 0.0021, 0)</f>
        <v>44.895400000000002</v>
      </c>
      <c r="F392" s="10">
        <f>44.8933 * CHOOSE(CONTROL!$C$9, $D$9, 100%, $F$9) + CHOOSE(CONTROL!$C$27, 0.0021, 0)</f>
        <v>44.895400000000002</v>
      </c>
      <c r="G392" s="10">
        <f>45.1647 * CHOOSE(CONTROL!$C$9, $D$9, 100%, $F$9) + CHOOSE(CONTROL!$C$27, 0.0021, 0)</f>
        <v>45.166800000000002</v>
      </c>
      <c r="H392" s="10">
        <f>45.03 * CHOOSE(CONTROL!$C$9, $D$9, 100%, $F$9) + CHOOSE(CONTROL!$C$27, 0.0021, 0)</f>
        <v>45.0321</v>
      </c>
      <c r="I392" s="10">
        <f>45.03 * CHOOSE(CONTROL!$C$9, $D$9, 100%, $F$9) + CHOOSE(CONTROL!$C$27, 0.0021, 0)</f>
        <v>45.0321</v>
      </c>
      <c r="J392" s="10">
        <f>45.03 * CHOOSE(CONTROL!$C$9, $D$9, 100%, $F$9) + CHOOSE(CONTROL!$C$27, 0.0021, 0)</f>
        <v>45.0321</v>
      </c>
      <c r="K392" s="10">
        <f>45.03 * CHOOSE(CONTROL!$C$9, $D$9, 100%, $F$9) + CHOOSE(CONTROL!$C$27, 0.0021, 0)</f>
        <v>45.0321</v>
      </c>
      <c r="L392" s="10"/>
    </row>
    <row r="393" spans="1:12" ht="15.75">
      <c r="A393" s="14">
        <v>53266</v>
      </c>
      <c r="B393" s="10">
        <f>46.5513 * CHOOSE(CONTROL!$C$9, $D$9, 100%, $F$9) + CHOOSE(CONTROL!$C$27, 0.0021, 0)</f>
        <v>46.553399999999996</v>
      </c>
      <c r="C393" s="10">
        <f>46.1191 * CHOOSE(CONTROL!$C$9, $D$9, 100%, $F$9) + CHOOSE(CONTROL!$C$27, 0.0021, 0)</f>
        <v>46.121200000000002</v>
      </c>
      <c r="D393" s="10">
        <f>46.1191 * CHOOSE(CONTROL!$C$9, $D$9, 100%, $F$9) + CHOOSE(CONTROL!$C$27, 0.0021, 0)</f>
        <v>46.121200000000002</v>
      </c>
      <c r="E393" s="10">
        <f>45.9824 * CHOOSE(CONTROL!$C$9, $D$9, 100%, $F$9) + CHOOSE(CONTROL!$C$27, 0.0021, 0)</f>
        <v>45.984499999999997</v>
      </c>
      <c r="F393" s="10">
        <f>45.9824 * CHOOSE(CONTROL!$C$9, $D$9, 100%, $F$9) + CHOOSE(CONTROL!$C$27, 0.0021, 0)</f>
        <v>45.984499999999997</v>
      </c>
      <c r="G393" s="10">
        <f>46.2538 * CHOOSE(CONTROL!$C$9, $D$9, 100%, $F$9) + CHOOSE(CONTROL!$C$27, 0.0021, 0)</f>
        <v>46.255899999999997</v>
      </c>
      <c r="H393" s="10">
        <f>46.1191 * CHOOSE(CONTROL!$C$9, $D$9, 100%, $F$9) + CHOOSE(CONTROL!$C$27, 0.0021, 0)</f>
        <v>46.121200000000002</v>
      </c>
      <c r="I393" s="10">
        <f>46.1191 * CHOOSE(CONTROL!$C$9, $D$9, 100%, $F$9) + CHOOSE(CONTROL!$C$27, 0.0021, 0)</f>
        <v>46.121200000000002</v>
      </c>
      <c r="J393" s="10">
        <f>46.1191 * CHOOSE(CONTROL!$C$9, $D$9, 100%, $F$9) + CHOOSE(CONTROL!$C$27, 0.0021, 0)</f>
        <v>46.121200000000002</v>
      </c>
      <c r="K393" s="10">
        <f>46.1191 * CHOOSE(CONTROL!$C$9, $D$9, 100%, $F$9) + CHOOSE(CONTROL!$C$27, 0.0021, 0)</f>
        <v>46.121200000000002</v>
      </c>
      <c r="L393" s="10"/>
    </row>
    <row r="394" spans="1:12" ht="15.75">
      <c r="A394" s="14">
        <v>53296</v>
      </c>
      <c r="B394" s="10">
        <f>46.6535 * CHOOSE(CONTROL!$C$9, $D$9, 100%, $F$9) + CHOOSE(CONTROL!$C$27, 0.0021, 0)</f>
        <v>46.6556</v>
      </c>
      <c r="C394" s="10">
        <f>46.2213 * CHOOSE(CONTROL!$C$9, $D$9, 100%, $F$9) + CHOOSE(CONTROL!$C$27, 0.0021, 0)</f>
        <v>46.223399999999998</v>
      </c>
      <c r="D394" s="10">
        <f>46.2213 * CHOOSE(CONTROL!$C$9, $D$9, 100%, $F$9) + CHOOSE(CONTROL!$C$27, 0.0021, 0)</f>
        <v>46.223399999999998</v>
      </c>
      <c r="E394" s="10">
        <f>46.0846 * CHOOSE(CONTROL!$C$9, $D$9, 100%, $F$9) + CHOOSE(CONTROL!$C$27, 0.0021, 0)</f>
        <v>46.0867</v>
      </c>
      <c r="F394" s="10">
        <f>46.0846 * CHOOSE(CONTROL!$C$9, $D$9, 100%, $F$9) + CHOOSE(CONTROL!$C$27, 0.0021, 0)</f>
        <v>46.0867</v>
      </c>
      <c r="G394" s="10">
        <f>46.356 * CHOOSE(CONTROL!$C$9, $D$9, 100%, $F$9) + CHOOSE(CONTROL!$C$27, 0.0021, 0)</f>
        <v>46.3581</v>
      </c>
      <c r="H394" s="10">
        <f>46.2213 * CHOOSE(CONTROL!$C$9, $D$9, 100%, $F$9) + CHOOSE(CONTROL!$C$27, 0.0021, 0)</f>
        <v>46.223399999999998</v>
      </c>
      <c r="I394" s="10">
        <f>46.2213 * CHOOSE(CONTROL!$C$9, $D$9, 100%, $F$9) + CHOOSE(CONTROL!$C$27, 0.0021, 0)</f>
        <v>46.223399999999998</v>
      </c>
      <c r="J394" s="10">
        <f>46.2213 * CHOOSE(CONTROL!$C$9, $D$9, 100%, $F$9) + CHOOSE(CONTROL!$C$27, 0.0021, 0)</f>
        <v>46.223399999999998</v>
      </c>
      <c r="K394" s="10">
        <f>46.2213 * CHOOSE(CONTROL!$C$9, $D$9, 100%, $F$9) + CHOOSE(CONTROL!$C$27, 0.0021, 0)</f>
        <v>46.223399999999998</v>
      </c>
      <c r="L394" s="10"/>
    </row>
    <row r="395" spans="1:12" ht="15.75">
      <c r="A395" s="14">
        <v>53327</v>
      </c>
      <c r="B395" s="10">
        <f>45.7837 * CHOOSE(CONTROL!$C$9, $D$9, 100%, $F$9) + CHOOSE(CONTROL!$C$27, 0.0021, 0)</f>
        <v>45.785800000000002</v>
      </c>
      <c r="C395" s="10">
        <f>45.3515 * CHOOSE(CONTROL!$C$9, $D$9, 100%, $F$9) + CHOOSE(CONTROL!$C$27, 0.0021, 0)</f>
        <v>45.3536</v>
      </c>
      <c r="D395" s="10">
        <f>45.3515 * CHOOSE(CONTROL!$C$9, $D$9, 100%, $F$9) + CHOOSE(CONTROL!$C$27, 0.0021, 0)</f>
        <v>45.3536</v>
      </c>
      <c r="E395" s="10">
        <f>45.2148 * CHOOSE(CONTROL!$C$9, $D$9, 100%, $F$9) + CHOOSE(CONTROL!$C$27, 0.0021, 0)</f>
        <v>45.216899999999995</v>
      </c>
      <c r="F395" s="10">
        <f>45.2148 * CHOOSE(CONTROL!$C$9, $D$9, 100%, $F$9) + CHOOSE(CONTROL!$C$27, 0.0021, 0)</f>
        <v>45.216899999999995</v>
      </c>
      <c r="G395" s="10">
        <f>45.4862 * CHOOSE(CONTROL!$C$9, $D$9, 100%, $F$9) + CHOOSE(CONTROL!$C$27, 0.0021, 0)</f>
        <v>45.488299999999995</v>
      </c>
      <c r="H395" s="10">
        <f>45.3515 * CHOOSE(CONTROL!$C$9, $D$9, 100%, $F$9) + CHOOSE(CONTROL!$C$27, 0.0021, 0)</f>
        <v>45.3536</v>
      </c>
      <c r="I395" s="10">
        <f>45.3515 * CHOOSE(CONTROL!$C$9, $D$9, 100%, $F$9) + CHOOSE(CONTROL!$C$27, 0.0021, 0)</f>
        <v>45.3536</v>
      </c>
      <c r="J395" s="10">
        <f>45.3515 * CHOOSE(CONTROL!$C$9, $D$9, 100%, $F$9) + CHOOSE(CONTROL!$C$27, 0.0021, 0)</f>
        <v>45.3536</v>
      </c>
      <c r="K395" s="10">
        <f>45.3515 * CHOOSE(CONTROL!$C$9, $D$9, 100%, $F$9) + CHOOSE(CONTROL!$C$27, 0.0021, 0)</f>
        <v>45.3536</v>
      </c>
      <c r="L395" s="10"/>
    </row>
    <row r="396" spans="1:12" ht="15.75">
      <c r="A396" s="14">
        <v>53358</v>
      </c>
      <c r="B396" s="10">
        <f>45.1178 * CHOOSE(CONTROL!$C$9, $D$9, 100%, $F$9) + CHOOSE(CONTROL!$C$27, 0.0021, 0)</f>
        <v>45.119900000000001</v>
      </c>
      <c r="C396" s="10">
        <f>44.6855 * CHOOSE(CONTROL!$C$9, $D$9, 100%, $F$9) + CHOOSE(CONTROL!$C$27, 0.0021, 0)</f>
        <v>44.687599999999996</v>
      </c>
      <c r="D396" s="10">
        <f>44.6855 * CHOOSE(CONTROL!$C$9, $D$9, 100%, $F$9) + CHOOSE(CONTROL!$C$27, 0.0021, 0)</f>
        <v>44.687599999999996</v>
      </c>
      <c r="E396" s="10">
        <f>44.5489 * CHOOSE(CONTROL!$C$9, $D$9, 100%, $F$9) + CHOOSE(CONTROL!$C$27, 0.0021, 0)</f>
        <v>44.551000000000002</v>
      </c>
      <c r="F396" s="10">
        <f>44.5489 * CHOOSE(CONTROL!$C$9, $D$9, 100%, $F$9) + CHOOSE(CONTROL!$C$27, 0.0021, 0)</f>
        <v>44.551000000000002</v>
      </c>
      <c r="G396" s="10">
        <f>44.8202 * CHOOSE(CONTROL!$C$9, $D$9, 100%, $F$9) + CHOOSE(CONTROL!$C$27, 0.0021, 0)</f>
        <v>44.822299999999998</v>
      </c>
      <c r="H396" s="10">
        <f>44.6855 * CHOOSE(CONTROL!$C$9, $D$9, 100%, $F$9) + CHOOSE(CONTROL!$C$27, 0.0021, 0)</f>
        <v>44.687599999999996</v>
      </c>
      <c r="I396" s="10">
        <f>44.6855 * CHOOSE(CONTROL!$C$9, $D$9, 100%, $F$9) + CHOOSE(CONTROL!$C$27, 0.0021, 0)</f>
        <v>44.687599999999996</v>
      </c>
      <c r="J396" s="10">
        <f>44.6855 * CHOOSE(CONTROL!$C$9, $D$9, 100%, $F$9) + CHOOSE(CONTROL!$C$27, 0.0021, 0)</f>
        <v>44.687599999999996</v>
      </c>
      <c r="K396" s="10">
        <f>44.6855 * CHOOSE(CONTROL!$C$9, $D$9, 100%, $F$9) + CHOOSE(CONTROL!$C$27, 0.0021, 0)</f>
        <v>44.687599999999996</v>
      </c>
      <c r="L396" s="10"/>
    </row>
    <row r="397" spans="1:12" ht="15.75">
      <c r="A397" s="14">
        <v>53386</v>
      </c>
      <c r="B397" s="10">
        <f>43.9064 * CHOOSE(CONTROL!$C$9, $D$9, 100%, $F$9) + CHOOSE(CONTROL!$C$27, 0.0021, 0)</f>
        <v>43.908499999999997</v>
      </c>
      <c r="C397" s="10">
        <f>43.4742 * CHOOSE(CONTROL!$C$9, $D$9, 100%, $F$9) + CHOOSE(CONTROL!$C$27, 0.0021, 0)</f>
        <v>43.476300000000002</v>
      </c>
      <c r="D397" s="10">
        <f>43.4742 * CHOOSE(CONTROL!$C$9, $D$9, 100%, $F$9) + CHOOSE(CONTROL!$C$27, 0.0021, 0)</f>
        <v>43.476300000000002</v>
      </c>
      <c r="E397" s="10">
        <f>43.3375 * CHOOSE(CONTROL!$C$9, $D$9, 100%, $F$9) + CHOOSE(CONTROL!$C$27, 0.0021, 0)</f>
        <v>43.339599999999997</v>
      </c>
      <c r="F397" s="10">
        <f>43.3375 * CHOOSE(CONTROL!$C$9, $D$9, 100%, $F$9) + CHOOSE(CONTROL!$C$27, 0.0021, 0)</f>
        <v>43.339599999999997</v>
      </c>
      <c r="G397" s="10">
        <f>43.6089 * CHOOSE(CONTROL!$C$9, $D$9, 100%, $F$9) + CHOOSE(CONTROL!$C$27, 0.0021, 0)</f>
        <v>43.610999999999997</v>
      </c>
      <c r="H397" s="10">
        <f>43.4742 * CHOOSE(CONTROL!$C$9, $D$9, 100%, $F$9) + CHOOSE(CONTROL!$C$27, 0.0021, 0)</f>
        <v>43.476300000000002</v>
      </c>
      <c r="I397" s="10">
        <f>43.4742 * CHOOSE(CONTROL!$C$9, $D$9, 100%, $F$9) + CHOOSE(CONTROL!$C$27, 0.0021, 0)</f>
        <v>43.476300000000002</v>
      </c>
      <c r="J397" s="10">
        <f>43.4742 * CHOOSE(CONTROL!$C$9, $D$9, 100%, $F$9) + CHOOSE(CONTROL!$C$27, 0.0021, 0)</f>
        <v>43.476300000000002</v>
      </c>
      <c r="K397" s="10">
        <f>43.4742 * CHOOSE(CONTROL!$C$9, $D$9, 100%, $F$9) + CHOOSE(CONTROL!$C$27, 0.0021, 0)</f>
        <v>43.476300000000002</v>
      </c>
      <c r="L397" s="10"/>
    </row>
    <row r="398" spans="1:12" ht="15.75">
      <c r="A398" s="14">
        <v>53417</v>
      </c>
      <c r="B398" s="10">
        <f>43.4064 * CHOOSE(CONTROL!$C$9, $D$9, 100%, $F$9) + CHOOSE(CONTROL!$C$27, 0.0021, 0)</f>
        <v>43.408499999999997</v>
      </c>
      <c r="C398" s="10">
        <f>42.9741 * CHOOSE(CONTROL!$C$9, $D$9, 100%, $F$9) + CHOOSE(CONTROL!$C$27, 0.0021, 0)</f>
        <v>42.976199999999999</v>
      </c>
      <c r="D398" s="10">
        <f>42.9741 * CHOOSE(CONTROL!$C$9, $D$9, 100%, $F$9) + CHOOSE(CONTROL!$C$27, 0.0021, 0)</f>
        <v>42.976199999999999</v>
      </c>
      <c r="E398" s="10">
        <f>42.8375 * CHOOSE(CONTROL!$C$9, $D$9, 100%, $F$9) + CHOOSE(CONTROL!$C$27, 0.0021, 0)</f>
        <v>42.839599999999997</v>
      </c>
      <c r="F398" s="10">
        <f>42.8375 * CHOOSE(CONTROL!$C$9, $D$9, 100%, $F$9) + CHOOSE(CONTROL!$C$27, 0.0021, 0)</f>
        <v>42.839599999999997</v>
      </c>
      <c r="G398" s="10">
        <f>43.1089 * CHOOSE(CONTROL!$C$9, $D$9, 100%, $F$9) + CHOOSE(CONTROL!$C$27, 0.0021, 0)</f>
        <v>43.110999999999997</v>
      </c>
      <c r="H398" s="10">
        <f>42.9741 * CHOOSE(CONTROL!$C$9, $D$9, 100%, $F$9) + CHOOSE(CONTROL!$C$27, 0.0021, 0)</f>
        <v>42.976199999999999</v>
      </c>
      <c r="I398" s="10">
        <f>42.9741 * CHOOSE(CONTROL!$C$9, $D$9, 100%, $F$9) + CHOOSE(CONTROL!$C$27, 0.0021, 0)</f>
        <v>42.976199999999999</v>
      </c>
      <c r="J398" s="10">
        <f>42.9741 * CHOOSE(CONTROL!$C$9, $D$9, 100%, $F$9) + CHOOSE(CONTROL!$C$27, 0.0021, 0)</f>
        <v>42.976199999999999</v>
      </c>
      <c r="K398" s="10">
        <f>42.9741 * CHOOSE(CONTROL!$C$9, $D$9, 100%, $F$9) + CHOOSE(CONTROL!$C$27, 0.0021, 0)</f>
        <v>42.976199999999999</v>
      </c>
      <c r="L398" s="10"/>
    </row>
    <row r="399" spans="1:12" ht="15.75">
      <c r="A399" s="14">
        <v>53447</v>
      </c>
      <c r="B399" s="10">
        <f>42.8093 * CHOOSE(CONTROL!$C$9, $D$9, 100%, $F$9) + CHOOSE(CONTROL!$C$27, 0.0021, 0)</f>
        <v>42.811399999999999</v>
      </c>
      <c r="C399" s="10">
        <f>42.3771 * CHOOSE(CONTROL!$C$9, $D$9, 100%, $F$9) + CHOOSE(CONTROL!$C$27, 0.0021, 0)</f>
        <v>42.379199999999997</v>
      </c>
      <c r="D399" s="10">
        <f>42.3771 * CHOOSE(CONTROL!$C$9, $D$9, 100%, $F$9) + CHOOSE(CONTROL!$C$27, 0.0021, 0)</f>
        <v>42.379199999999997</v>
      </c>
      <c r="E399" s="10">
        <f>42.2404 * CHOOSE(CONTROL!$C$9, $D$9, 100%, $F$9) + CHOOSE(CONTROL!$C$27, 0.0021, 0)</f>
        <v>42.2425</v>
      </c>
      <c r="F399" s="10">
        <f>42.2404 * CHOOSE(CONTROL!$C$9, $D$9, 100%, $F$9) + CHOOSE(CONTROL!$C$27, 0.0021, 0)</f>
        <v>42.2425</v>
      </c>
      <c r="G399" s="10">
        <f>42.5118 * CHOOSE(CONTROL!$C$9, $D$9, 100%, $F$9) + CHOOSE(CONTROL!$C$27, 0.0021, 0)</f>
        <v>42.5139</v>
      </c>
      <c r="H399" s="10">
        <f>42.3771 * CHOOSE(CONTROL!$C$9, $D$9, 100%, $F$9) + CHOOSE(CONTROL!$C$27, 0.0021, 0)</f>
        <v>42.379199999999997</v>
      </c>
      <c r="I399" s="10">
        <f>42.3771 * CHOOSE(CONTROL!$C$9, $D$9, 100%, $F$9) + CHOOSE(CONTROL!$C$27, 0.0021, 0)</f>
        <v>42.379199999999997</v>
      </c>
      <c r="J399" s="10">
        <f>42.3771 * CHOOSE(CONTROL!$C$9, $D$9, 100%, $F$9) + CHOOSE(CONTROL!$C$27, 0.0021, 0)</f>
        <v>42.379199999999997</v>
      </c>
      <c r="K399" s="10">
        <f>42.3771 * CHOOSE(CONTROL!$C$9, $D$9, 100%, $F$9) + CHOOSE(CONTROL!$C$27, 0.0021, 0)</f>
        <v>42.379199999999997</v>
      </c>
      <c r="L399" s="10"/>
    </row>
    <row r="400" spans="1:12" ht="15.75">
      <c r="A400" s="14">
        <v>53478</v>
      </c>
      <c r="B400" s="10">
        <f>43.6602 * CHOOSE(CONTROL!$C$9, $D$9, 100%, $F$9) + CHOOSE(CONTROL!$C$27, 0.0021, 0)</f>
        <v>43.662300000000002</v>
      </c>
      <c r="C400" s="10">
        <f>43.228 * CHOOSE(CONTROL!$C$9, $D$9, 100%, $F$9) + CHOOSE(CONTROL!$C$27, 0.0021, 0)</f>
        <v>43.2301</v>
      </c>
      <c r="D400" s="10">
        <f>43.228 * CHOOSE(CONTROL!$C$9, $D$9, 100%, $F$9) + CHOOSE(CONTROL!$C$27, 0.0021, 0)</f>
        <v>43.2301</v>
      </c>
      <c r="E400" s="10">
        <f>43.0913 * CHOOSE(CONTROL!$C$9, $D$9, 100%, $F$9) + CHOOSE(CONTROL!$C$27, 0.0021, 0)</f>
        <v>43.093399999999995</v>
      </c>
      <c r="F400" s="10">
        <f>43.0913 * CHOOSE(CONTROL!$C$9, $D$9, 100%, $F$9) + CHOOSE(CONTROL!$C$27, 0.0021, 0)</f>
        <v>43.093399999999995</v>
      </c>
      <c r="G400" s="10">
        <f>43.3627 * CHOOSE(CONTROL!$C$9, $D$9, 100%, $F$9) + CHOOSE(CONTROL!$C$27, 0.0021, 0)</f>
        <v>43.364799999999995</v>
      </c>
      <c r="H400" s="10">
        <f>43.228 * CHOOSE(CONTROL!$C$9, $D$9, 100%, $F$9) + CHOOSE(CONTROL!$C$27, 0.0021, 0)</f>
        <v>43.2301</v>
      </c>
      <c r="I400" s="10">
        <f>43.228 * CHOOSE(CONTROL!$C$9, $D$9, 100%, $F$9) + CHOOSE(CONTROL!$C$27, 0.0021, 0)</f>
        <v>43.2301</v>
      </c>
      <c r="J400" s="10">
        <f>43.228 * CHOOSE(CONTROL!$C$9, $D$9, 100%, $F$9) + CHOOSE(CONTROL!$C$27, 0.0021, 0)</f>
        <v>43.2301</v>
      </c>
      <c r="K400" s="10">
        <f>43.228 * CHOOSE(CONTROL!$C$9, $D$9, 100%, $F$9) + CHOOSE(CONTROL!$C$27, 0.0021, 0)</f>
        <v>43.2301</v>
      </c>
      <c r="L400" s="10"/>
    </row>
    <row r="401" spans="1:12" ht="15.75">
      <c r="A401" s="14">
        <v>53508</v>
      </c>
      <c r="B401" s="10">
        <f>44.1699 * CHOOSE(CONTROL!$C$9, $D$9, 100%, $F$9) + CHOOSE(CONTROL!$C$27, 0.0021, 0)</f>
        <v>44.171999999999997</v>
      </c>
      <c r="C401" s="10">
        <f>43.7376 * CHOOSE(CONTROL!$C$9, $D$9, 100%, $F$9) + CHOOSE(CONTROL!$C$27, 0.0021, 0)</f>
        <v>43.739699999999999</v>
      </c>
      <c r="D401" s="10">
        <f>43.7376 * CHOOSE(CONTROL!$C$9, $D$9, 100%, $F$9) + CHOOSE(CONTROL!$C$27, 0.0021, 0)</f>
        <v>43.739699999999999</v>
      </c>
      <c r="E401" s="10">
        <f>43.6009 * CHOOSE(CONTROL!$C$9, $D$9, 100%, $F$9) + CHOOSE(CONTROL!$C$27, 0.0021, 0)</f>
        <v>43.603000000000002</v>
      </c>
      <c r="F401" s="10">
        <f>43.6009 * CHOOSE(CONTROL!$C$9, $D$9, 100%, $F$9) + CHOOSE(CONTROL!$C$27, 0.0021, 0)</f>
        <v>43.603000000000002</v>
      </c>
      <c r="G401" s="10">
        <f>43.8723 * CHOOSE(CONTROL!$C$9, $D$9, 100%, $F$9) + CHOOSE(CONTROL!$C$27, 0.0021, 0)</f>
        <v>43.874400000000001</v>
      </c>
      <c r="H401" s="10">
        <f>43.7376 * CHOOSE(CONTROL!$C$9, $D$9, 100%, $F$9) + CHOOSE(CONTROL!$C$27, 0.0021, 0)</f>
        <v>43.739699999999999</v>
      </c>
      <c r="I401" s="10">
        <f>43.7376 * CHOOSE(CONTROL!$C$9, $D$9, 100%, $F$9) + CHOOSE(CONTROL!$C$27, 0.0021, 0)</f>
        <v>43.739699999999999</v>
      </c>
      <c r="J401" s="10">
        <f>43.7376 * CHOOSE(CONTROL!$C$9, $D$9, 100%, $F$9) + CHOOSE(CONTROL!$C$27, 0.0021, 0)</f>
        <v>43.739699999999999</v>
      </c>
      <c r="K401" s="10">
        <f>43.7376 * CHOOSE(CONTROL!$C$9, $D$9, 100%, $F$9) + CHOOSE(CONTROL!$C$27, 0.0021, 0)</f>
        <v>43.739699999999999</v>
      </c>
      <c r="L401" s="10"/>
    </row>
    <row r="402" spans="1:12" ht="15.75">
      <c r="A402" s="14">
        <v>53539</v>
      </c>
      <c r="B402" s="10">
        <f>45.0106 * CHOOSE(CONTROL!$C$9, $D$9, 100%, $F$9) + CHOOSE(CONTROL!$C$27, 0.0021, 0)</f>
        <v>45.012699999999995</v>
      </c>
      <c r="C402" s="10">
        <f>44.5783 * CHOOSE(CONTROL!$C$9, $D$9, 100%, $F$9) + CHOOSE(CONTROL!$C$27, 0.0021, 0)</f>
        <v>44.580399999999997</v>
      </c>
      <c r="D402" s="10">
        <f>44.5783 * CHOOSE(CONTROL!$C$9, $D$9, 100%, $F$9) + CHOOSE(CONTROL!$C$27, 0.0021, 0)</f>
        <v>44.580399999999997</v>
      </c>
      <c r="E402" s="10">
        <f>44.4417 * CHOOSE(CONTROL!$C$9, $D$9, 100%, $F$9) + CHOOSE(CONTROL!$C$27, 0.0021, 0)</f>
        <v>44.443799999999996</v>
      </c>
      <c r="F402" s="10">
        <f>44.4417 * CHOOSE(CONTROL!$C$9, $D$9, 100%, $F$9) + CHOOSE(CONTROL!$C$27, 0.0021, 0)</f>
        <v>44.443799999999996</v>
      </c>
      <c r="G402" s="10">
        <f>44.713 * CHOOSE(CONTROL!$C$9, $D$9, 100%, $F$9) + CHOOSE(CONTROL!$C$27, 0.0021, 0)</f>
        <v>44.7151</v>
      </c>
      <c r="H402" s="10">
        <f>44.5783 * CHOOSE(CONTROL!$C$9, $D$9, 100%, $F$9) + CHOOSE(CONTROL!$C$27, 0.0021, 0)</f>
        <v>44.580399999999997</v>
      </c>
      <c r="I402" s="10">
        <f>44.5783 * CHOOSE(CONTROL!$C$9, $D$9, 100%, $F$9) + CHOOSE(CONTROL!$C$27, 0.0021, 0)</f>
        <v>44.580399999999997</v>
      </c>
      <c r="J402" s="10">
        <f>44.5783 * CHOOSE(CONTROL!$C$9, $D$9, 100%, $F$9) + CHOOSE(CONTROL!$C$27, 0.0021, 0)</f>
        <v>44.580399999999997</v>
      </c>
      <c r="K402" s="10">
        <f>44.5783 * CHOOSE(CONTROL!$C$9, $D$9, 100%, $F$9) + CHOOSE(CONTROL!$C$27, 0.0021, 0)</f>
        <v>44.580399999999997</v>
      </c>
      <c r="L402" s="10"/>
    </row>
    <row r="403" spans="1:12" ht="15.75">
      <c r="A403" s="14">
        <v>53570</v>
      </c>
      <c r="B403" s="10">
        <f>45.2672 * CHOOSE(CONTROL!$C$9, $D$9, 100%, $F$9) + CHOOSE(CONTROL!$C$27, 0.0021, 0)</f>
        <v>45.269300000000001</v>
      </c>
      <c r="C403" s="10">
        <f>44.8349 * CHOOSE(CONTROL!$C$9, $D$9, 100%, $F$9) + CHOOSE(CONTROL!$C$27, 0.0021, 0)</f>
        <v>44.836999999999996</v>
      </c>
      <c r="D403" s="10">
        <f>44.8349 * CHOOSE(CONTROL!$C$9, $D$9, 100%, $F$9) + CHOOSE(CONTROL!$C$27, 0.0021, 0)</f>
        <v>44.836999999999996</v>
      </c>
      <c r="E403" s="10">
        <f>44.6983 * CHOOSE(CONTROL!$C$9, $D$9, 100%, $F$9) + CHOOSE(CONTROL!$C$27, 0.0021, 0)</f>
        <v>44.700400000000002</v>
      </c>
      <c r="F403" s="10">
        <f>44.6983 * CHOOSE(CONTROL!$C$9, $D$9, 100%, $F$9) + CHOOSE(CONTROL!$C$27, 0.0021, 0)</f>
        <v>44.700400000000002</v>
      </c>
      <c r="G403" s="10">
        <f>44.9697 * CHOOSE(CONTROL!$C$9, $D$9, 100%, $F$9) + CHOOSE(CONTROL!$C$27, 0.0021, 0)</f>
        <v>44.971800000000002</v>
      </c>
      <c r="H403" s="10">
        <f>44.8349 * CHOOSE(CONTROL!$C$9, $D$9, 100%, $F$9) + CHOOSE(CONTROL!$C$27, 0.0021, 0)</f>
        <v>44.836999999999996</v>
      </c>
      <c r="I403" s="10">
        <f>44.8349 * CHOOSE(CONTROL!$C$9, $D$9, 100%, $F$9) + CHOOSE(CONTROL!$C$27, 0.0021, 0)</f>
        <v>44.836999999999996</v>
      </c>
      <c r="J403" s="10">
        <f>44.8349 * CHOOSE(CONTROL!$C$9, $D$9, 100%, $F$9) + CHOOSE(CONTROL!$C$27, 0.0021, 0)</f>
        <v>44.836999999999996</v>
      </c>
      <c r="K403" s="10">
        <f>44.8349 * CHOOSE(CONTROL!$C$9, $D$9, 100%, $F$9) + CHOOSE(CONTROL!$C$27, 0.0021, 0)</f>
        <v>44.836999999999996</v>
      </c>
      <c r="L403" s="10"/>
    </row>
    <row r="404" spans="1:12" ht="15.75">
      <c r="A404" s="14">
        <v>53600</v>
      </c>
      <c r="B404" s="10">
        <f>46.1411 * CHOOSE(CONTROL!$C$9, $D$9, 100%, $F$9) + CHOOSE(CONTROL!$C$27, 0.0021, 0)</f>
        <v>46.1432</v>
      </c>
      <c r="C404" s="10">
        <f>45.7088 * CHOOSE(CONTROL!$C$9, $D$9, 100%, $F$9) + CHOOSE(CONTROL!$C$27, 0.0021, 0)</f>
        <v>45.710899999999995</v>
      </c>
      <c r="D404" s="10">
        <f>45.7088 * CHOOSE(CONTROL!$C$9, $D$9, 100%, $F$9) + CHOOSE(CONTROL!$C$27, 0.0021, 0)</f>
        <v>45.710899999999995</v>
      </c>
      <c r="E404" s="10">
        <f>45.5722 * CHOOSE(CONTROL!$C$9, $D$9, 100%, $F$9) + CHOOSE(CONTROL!$C$27, 0.0021, 0)</f>
        <v>45.574300000000001</v>
      </c>
      <c r="F404" s="10">
        <f>45.5722 * CHOOSE(CONTROL!$C$9, $D$9, 100%, $F$9) + CHOOSE(CONTROL!$C$27, 0.0021, 0)</f>
        <v>45.574300000000001</v>
      </c>
      <c r="G404" s="10">
        <f>45.8435 * CHOOSE(CONTROL!$C$9, $D$9, 100%, $F$9) + CHOOSE(CONTROL!$C$27, 0.0021, 0)</f>
        <v>45.845599999999997</v>
      </c>
      <c r="H404" s="10">
        <f>45.7088 * CHOOSE(CONTROL!$C$9, $D$9, 100%, $F$9) + CHOOSE(CONTROL!$C$27, 0.0021, 0)</f>
        <v>45.710899999999995</v>
      </c>
      <c r="I404" s="10">
        <f>45.7088 * CHOOSE(CONTROL!$C$9, $D$9, 100%, $F$9) + CHOOSE(CONTROL!$C$27, 0.0021, 0)</f>
        <v>45.710899999999995</v>
      </c>
      <c r="J404" s="10">
        <f>45.7088 * CHOOSE(CONTROL!$C$9, $D$9, 100%, $F$9) + CHOOSE(CONTROL!$C$27, 0.0021, 0)</f>
        <v>45.710899999999995</v>
      </c>
      <c r="K404" s="10">
        <f>45.7088 * CHOOSE(CONTROL!$C$9, $D$9, 100%, $F$9) + CHOOSE(CONTROL!$C$27, 0.0021, 0)</f>
        <v>45.710899999999995</v>
      </c>
      <c r="L404" s="10"/>
    </row>
    <row r="405" spans="1:12" ht="15.75">
      <c r="A405" s="14">
        <v>53631</v>
      </c>
      <c r="B405" s="10">
        <f>47.2473 * CHOOSE(CONTROL!$C$9, $D$9, 100%, $F$9) + CHOOSE(CONTROL!$C$27, 0.0021, 0)</f>
        <v>47.249400000000001</v>
      </c>
      <c r="C405" s="10">
        <f>46.815 * CHOOSE(CONTROL!$C$9, $D$9, 100%, $F$9) + CHOOSE(CONTROL!$C$27, 0.0021, 0)</f>
        <v>46.817099999999996</v>
      </c>
      <c r="D405" s="10">
        <f>46.815 * CHOOSE(CONTROL!$C$9, $D$9, 100%, $F$9) + CHOOSE(CONTROL!$C$27, 0.0021, 0)</f>
        <v>46.817099999999996</v>
      </c>
      <c r="E405" s="10">
        <f>46.6784 * CHOOSE(CONTROL!$C$9, $D$9, 100%, $F$9) + CHOOSE(CONTROL!$C$27, 0.0021, 0)</f>
        <v>46.680500000000002</v>
      </c>
      <c r="F405" s="10">
        <f>46.6784 * CHOOSE(CONTROL!$C$9, $D$9, 100%, $F$9) + CHOOSE(CONTROL!$C$27, 0.0021, 0)</f>
        <v>46.680500000000002</v>
      </c>
      <c r="G405" s="10">
        <f>46.9497 * CHOOSE(CONTROL!$C$9, $D$9, 100%, $F$9) + CHOOSE(CONTROL!$C$27, 0.0021, 0)</f>
        <v>46.951799999999999</v>
      </c>
      <c r="H405" s="10">
        <f>46.815 * CHOOSE(CONTROL!$C$9, $D$9, 100%, $F$9) + CHOOSE(CONTROL!$C$27, 0.0021, 0)</f>
        <v>46.817099999999996</v>
      </c>
      <c r="I405" s="10">
        <f>46.815 * CHOOSE(CONTROL!$C$9, $D$9, 100%, $F$9) + CHOOSE(CONTROL!$C$27, 0.0021, 0)</f>
        <v>46.817099999999996</v>
      </c>
      <c r="J405" s="10">
        <f>46.815 * CHOOSE(CONTROL!$C$9, $D$9, 100%, $F$9) + CHOOSE(CONTROL!$C$27, 0.0021, 0)</f>
        <v>46.817099999999996</v>
      </c>
      <c r="K405" s="10">
        <f>46.815 * CHOOSE(CONTROL!$C$9, $D$9, 100%, $F$9) + CHOOSE(CONTROL!$C$27, 0.0021, 0)</f>
        <v>46.817099999999996</v>
      </c>
      <c r="L405" s="10"/>
    </row>
    <row r="406" spans="1:12" ht="15.75">
      <c r="A406" s="14">
        <v>53661</v>
      </c>
      <c r="B406" s="10">
        <f>47.3511 * CHOOSE(CONTROL!$C$9, $D$9, 100%, $F$9) + CHOOSE(CONTROL!$C$27, 0.0021, 0)</f>
        <v>47.353200000000001</v>
      </c>
      <c r="C406" s="10">
        <f>46.9189 * CHOOSE(CONTROL!$C$9, $D$9, 100%, $F$9) + CHOOSE(CONTROL!$C$27, 0.0021, 0)</f>
        <v>46.920999999999999</v>
      </c>
      <c r="D406" s="10">
        <f>46.9189 * CHOOSE(CONTROL!$C$9, $D$9, 100%, $F$9) + CHOOSE(CONTROL!$C$27, 0.0021, 0)</f>
        <v>46.920999999999999</v>
      </c>
      <c r="E406" s="10">
        <f>46.7822 * CHOOSE(CONTROL!$C$9, $D$9, 100%, $F$9) + CHOOSE(CONTROL!$C$27, 0.0021, 0)</f>
        <v>46.784300000000002</v>
      </c>
      <c r="F406" s="10">
        <f>46.7822 * CHOOSE(CONTROL!$C$9, $D$9, 100%, $F$9) + CHOOSE(CONTROL!$C$27, 0.0021, 0)</f>
        <v>46.784300000000002</v>
      </c>
      <c r="G406" s="10">
        <f>47.0536 * CHOOSE(CONTROL!$C$9, $D$9, 100%, $F$9) + CHOOSE(CONTROL!$C$27, 0.0021, 0)</f>
        <v>47.055700000000002</v>
      </c>
      <c r="H406" s="10">
        <f>46.9189 * CHOOSE(CONTROL!$C$9, $D$9, 100%, $F$9) + CHOOSE(CONTROL!$C$27, 0.0021, 0)</f>
        <v>46.920999999999999</v>
      </c>
      <c r="I406" s="10">
        <f>46.9189 * CHOOSE(CONTROL!$C$9, $D$9, 100%, $F$9) + CHOOSE(CONTROL!$C$27, 0.0021, 0)</f>
        <v>46.920999999999999</v>
      </c>
      <c r="J406" s="10">
        <f>46.9189 * CHOOSE(CONTROL!$C$9, $D$9, 100%, $F$9) + CHOOSE(CONTROL!$C$27, 0.0021, 0)</f>
        <v>46.920999999999999</v>
      </c>
      <c r="K406" s="10">
        <f>46.9189 * CHOOSE(CONTROL!$C$9, $D$9, 100%, $F$9) + CHOOSE(CONTROL!$C$27, 0.0021, 0)</f>
        <v>46.920999999999999</v>
      </c>
      <c r="L406" s="10"/>
    </row>
    <row r="407" spans="1:12" ht="15.75">
      <c r="A407" s="14">
        <v>53692</v>
      </c>
      <c r="B407" s="10">
        <f>46.4676 * CHOOSE(CONTROL!$C$9, $D$9, 100%, $F$9) + CHOOSE(CONTROL!$C$27, 0.0021, 0)</f>
        <v>46.469699999999996</v>
      </c>
      <c r="C407" s="10">
        <f>46.0354 * CHOOSE(CONTROL!$C$9, $D$9, 100%, $F$9) + CHOOSE(CONTROL!$C$27, 0.0021, 0)</f>
        <v>46.037500000000001</v>
      </c>
      <c r="D407" s="10">
        <f>46.0354 * CHOOSE(CONTROL!$C$9, $D$9, 100%, $F$9) + CHOOSE(CONTROL!$C$27, 0.0021, 0)</f>
        <v>46.037500000000001</v>
      </c>
      <c r="E407" s="10">
        <f>45.8987 * CHOOSE(CONTROL!$C$9, $D$9, 100%, $F$9) + CHOOSE(CONTROL!$C$27, 0.0021, 0)</f>
        <v>45.900799999999997</v>
      </c>
      <c r="F407" s="10">
        <f>45.8987 * CHOOSE(CONTROL!$C$9, $D$9, 100%, $F$9) + CHOOSE(CONTROL!$C$27, 0.0021, 0)</f>
        <v>45.900799999999997</v>
      </c>
      <c r="G407" s="10">
        <f>46.1701 * CHOOSE(CONTROL!$C$9, $D$9, 100%, $F$9) + CHOOSE(CONTROL!$C$27, 0.0021, 0)</f>
        <v>46.172199999999997</v>
      </c>
      <c r="H407" s="10">
        <f>46.0354 * CHOOSE(CONTROL!$C$9, $D$9, 100%, $F$9) + CHOOSE(CONTROL!$C$27, 0.0021, 0)</f>
        <v>46.037500000000001</v>
      </c>
      <c r="I407" s="10">
        <f>46.0354 * CHOOSE(CONTROL!$C$9, $D$9, 100%, $F$9) + CHOOSE(CONTROL!$C$27, 0.0021, 0)</f>
        <v>46.037500000000001</v>
      </c>
      <c r="J407" s="10">
        <f>46.0354 * CHOOSE(CONTROL!$C$9, $D$9, 100%, $F$9) + CHOOSE(CONTROL!$C$27, 0.0021, 0)</f>
        <v>46.037500000000001</v>
      </c>
      <c r="K407" s="10">
        <f>46.0354 * CHOOSE(CONTROL!$C$9, $D$9, 100%, $F$9) + CHOOSE(CONTROL!$C$27, 0.0021, 0)</f>
        <v>46.037500000000001</v>
      </c>
      <c r="L407" s="10"/>
    </row>
    <row r="408" spans="1:12" ht="15.75">
      <c r="A408" s="14">
        <v>53723</v>
      </c>
      <c r="B408" s="10">
        <f>45.7912 * CHOOSE(CONTROL!$C$9, $D$9, 100%, $F$9) + CHOOSE(CONTROL!$C$27, 0.0021, 0)</f>
        <v>45.793300000000002</v>
      </c>
      <c r="C408" s="10">
        <f>45.3589 * CHOOSE(CONTROL!$C$9, $D$9, 100%, $F$9) + CHOOSE(CONTROL!$C$27, 0.0021, 0)</f>
        <v>45.360999999999997</v>
      </c>
      <c r="D408" s="10">
        <f>45.3589 * CHOOSE(CONTROL!$C$9, $D$9, 100%, $F$9) + CHOOSE(CONTROL!$C$27, 0.0021, 0)</f>
        <v>45.360999999999997</v>
      </c>
      <c r="E408" s="10">
        <f>45.2223 * CHOOSE(CONTROL!$C$9, $D$9, 100%, $F$9) + CHOOSE(CONTROL!$C$27, 0.0021, 0)</f>
        <v>45.224399999999996</v>
      </c>
      <c r="F408" s="10">
        <f>45.2223 * CHOOSE(CONTROL!$C$9, $D$9, 100%, $F$9) + CHOOSE(CONTROL!$C$27, 0.0021, 0)</f>
        <v>45.224399999999996</v>
      </c>
      <c r="G408" s="10">
        <f>45.4937 * CHOOSE(CONTROL!$C$9, $D$9, 100%, $F$9) + CHOOSE(CONTROL!$C$27, 0.0021, 0)</f>
        <v>45.495799999999996</v>
      </c>
      <c r="H408" s="10">
        <f>45.3589 * CHOOSE(CONTROL!$C$9, $D$9, 100%, $F$9) + CHOOSE(CONTROL!$C$27, 0.0021, 0)</f>
        <v>45.360999999999997</v>
      </c>
      <c r="I408" s="10">
        <f>45.3589 * CHOOSE(CONTROL!$C$9, $D$9, 100%, $F$9) + CHOOSE(CONTROL!$C$27, 0.0021, 0)</f>
        <v>45.360999999999997</v>
      </c>
      <c r="J408" s="10">
        <f>45.3589 * CHOOSE(CONTROL!$C$9, $D$9, 100%, $F$9) + CHOOSE(CONTROL!$C$27, 0.0021, 0)</f>
        <v>45.360999999999997</v>
      </c>
      <c r="K408" s="10">
        <f>45.3589 * CHOOSE(CONTROL!$C$9, $D$9, 100%, $F$9) + CHOOSE(CONTROL!$C$27, 0.0021, 0)</f>
        <v>45.360999999999997</v>
      </c>
      <c r="L408" s="10"/>
    </row>
    <row r="409" spans="1:12" ht="15.75">
      <c r="A409" s="14">
        <v>53751</v>
      </c>
      <c r="B409" s="10">
        <f>44.5608 * CHOOSE(CONTROL!$C$9, $D$9, 100%, $F$9) + CHOOSE(CONTROL!$C$27, 0.0021, 0)</f>
        <v>44.562899999999999</v>
      </c>
      <c r="C409" s="10">
        <f>44.1286 * CHOOSE(CONTROL!$C$9, $D$9, 100%, $F$9) + CHOOSE(CONTROL!$C$27, 0.0021, 0)</f>
        <v>44.130699999999997</v>
      </c>
      <c r="D409" s="10">
        <f>44.1286 * CHOOSE(CONTROL!$C$9, $D$9, 100%, $F$9) + CHOOSE(CONTROL!$C$27, 0.0021, 0)</f>
        <v>44.130699999999997</v>
      </c>
      <c r="E409" s="10">
        <f>43.9919 * CHOOSE(CONTROL!$C$9, $D$9, 100%, $F$9) + CHOOSE(CONTROL!$C$27, 0.0021, 0)</f>
        <v>43.994</v>
      </c>
      <c r="F409" s="10">
        <f>43.9919 * CHOOSE(CONTROL!$C$9, $D$9, 100%, $F$9) + CHOOSE(CONTROL!$C$27, 0.0021, 0)</f>
        <v>43.994</v>
      </c>
      <c r="G409" s="10">
        <f>44.2633 * CHOOSE(CONTROL!$C$9, $D$9, 100%, $F$9) + CHOOSE(CONTROL!$C$27, 0.0021, 0)</f>
        <v>44.2654</v>
      </c>
      <c r="H409" s="10">
        <f>44.1286 * CHOOSE(CONTROL!$C$9, $D$9, 100%, $F$9) + CHOOSE(CONTROL!$C$27, 0.0021, 0)</f>
        <v>44.130699999999997</v>
      </c>
      <c r="I409" s="10">
        <f>44.1286 * CHOOSE(CONTROL!$C$9, $D$9, 100%, $F$9) + CHOOSE(CONTROL!$C$27, 0.0021, 0)</f>
        <v>44.130699999999997</v>
      </c>
      <c r="J409" s="10">
        <f>44.1286 * CHOOSE(CONTROL!$C$9, $D$9, 100%, $F$9) + CHOOSE(CONTROL!$C$27, 0.0021, 0)</f>
        <v>44.130699999999997</v>
      </c>
      <c r="K409" s="10">
        <f>44.1286 * CHOOSE(CONTROL!$C$9, $D$9, 100%, $F$9) + CHOOSE(CONTROL!$C$27, 0.0021, 0)</f>
        <v>44.130699999999997</v>
      </c>
      <c r="L409" s="10"/>
    </row>
    <row r="410" spans="1:12" ht="15.75">
      <c r="A410" s="14">
        <v>53782</v>
      </c>
      <c r="B410" s="10">
        <f>44.0529 * CHOOSE(CONTROL!$C$9, $D$9, 100%, $F$9) + CHOOSE(CONTROL!$C$27, 0.0021, 0)</f>
        <v>44.055</v>
      </c>
      <c r="C410" s="10">
        <f>43.6207 * CHOOSE(CONTROL!$C$9, $D$9, 100%, $F$9) + CHOOSE(CONTROL!$C$27, 0.0021, 0)</f>
        <v>43.622799999999998</v>
      </c>
      <c r="D410" s="10">
        <f>43.6207 * CHOOSE(CONTROL!$C$9, $D$9, 100%, $F$9) + CHOOSE(CONTROL!$C$27, 0.0021, 0)</f>
        <v>43.622799999999998</v>
      </c>
      <c r="E410" s="10">
        <f>43.484 * CHOOSE(CONTROL!$C$9, $D$9, 100%, $F$9) + CHOOSE(CONTROL!$C$27, 0.0021, 0)</f>
        <v>43.4861</v>
      </c>
      <c r="F410" s="10">
        <f>43.484 * CHOOSE(CONTROL!$C$9, $D$9, 100%, $F$9) + CHOOSE(CONTROL!$C$27, 0.0021, 0)</f>
        <v>43.4861</v>
      </c>
      <c r="G410" s="10">
        <f>43.7554 * CHOOSE(CONTROL!$C$9, $D$9, 100%, $F$9) + CHOOSE(CONTROL!$C$27, 0.0021, 0)</f>
        <v>43.7575</v>
      </c>
      <c r="H410" s="10">
        <f>43.6207 * CHOOSE(CONTROL!$C$9, $D$9, 100%, $F$9) + CHOOSE(CONTROL!$C$27, 0.0021, 0)</f>
        <v>43.622799999999998</v>
      </c>
      <c r="I410" s="10">
        <f>43.6207 * CHOOSE(CONTROL!$C$9, $D$9, 100%, $F$9) + CHOOSE(CONTROL!$C$27, 0.0021, 0)</f>
        <v>43.622799999999998</v>
      </c>
      <c r="J410" s="10">
        <f>43.6207 * CHOOSE(CONTROL!$C$9, $D$9, 100%, $F$9) + CHOOSE(CONTROL!$C$27, 0.0021, 0)</f>
        <v>43.622799999999998</v>
      </c>
      <c r="K410" s="10">
        <f>43.6207 * CHOOSE(CONTROL!$C$9, $D$9, 100%, $F$9) + CHOOSE(CONTROL!$C$27, 0.0021, 0)</f>
        <v>43.622799999999998</v>
      </c>
      <c r="L410" s="10"/>
    </row>
    <row r="411" spans="1:12" ht="15.75">
      <c r="A411" s="14">
        <v>53812</v>
      </c>
      <c r="B411" s="10">
        <f>43.4465 * CHOOSE(CONTROL!$C$9, $D$9, 100%, $F$9) + CHOOSE(CONTROL!$C$27, 0.0021, 0)</f>
        <v>43.448599999999999</v>
      </c>
      <c r="C411" s="10">
        <f>43.0142 * CHOOSE(CONTROL!$C$9, $D$9, 100%, $F$9) + CHOOSE(CONTROL!$C$27, 0.0021, 0)</f>
        <v>43.016300000000001</v>
      </c>
      <c r="D411" s="10">
        <f>43.0142 * CHOOSE(CONTROL!$C$9, $D$9, 100%, $F$9) + CHOOSE(CONTROL!$C$27, 0.0021, 0)</f>
        <v>43.016300000000001</v>
      </c>
      <c r="E411" s="10">
        <f>42.8776 * CHOOSE(CONTROL!$C$9, $D$9, 100%, $F$9) + CHOOSE(CONTROL!$C$27, 0.0021, 0)</f>
        <v>42.8797</v>
      </c>
      <c r="F411" s="10">
        <f>42.8776 * CHOOSE(CONTROL!$C$9, $D$9, 100%, $F$9) + CHOOSE(CONTROL!$C$27, 0.0021, 0)</f>
        <v>42.8797</v>
      </c>
      <c r="G411" s="10">
        <f>43.1489 * CHOOSE(CONTROL!$C$9, $D$9, 100%, $F$9) + CHOOSE(CONTROL!$C$27, 0.0021, 0)</f>
        <v>43.150999999999996</v>
      </c>
      <c r="H411" s="10">
        <f>43.0142 * CHOOSE(CONTROL!$C$9, $D$9, 100%, $F$9) + CHOOSE(CONTROL!$C$27, 0.0021, 0)</f>
        <v>43.016300000000001</v>
      </c>
      <c r="I411" s="10">
        <f>43.0142 * CHOOSE(CONTROL!$C$9, $D$9, 100%, $F$9) + CHOOSE(CONTROL!$C$27, 0.0021, 0)</f>
        <v>43.016300000000001</v>
      </c>
      <c r="J411" s="10">
        <f>43.0142 * CHOOSE(CONTROL!$C$9, $D$9, 100%, $F$9) + CHOOSE(CONTROL!$C$27, 0.0021, 0)</f>
        <v>43.016300000000001</v>
      </c>
      <c r="K411" s="10">
        <f>43.0142 * CHOOSE(CONTROL!$C$9, $D$9, 100%, $F$9) + CHOOSE(CONTROL!$C$27, 0.0021, 0)</f>
        <v>43.016300000000001</v>
      </c>
      <c r="L411" s="10"/>
    </row>
    <row r="412" spans="1:12" ht="15.75">
      <c r="A412" s="14">
        <v>53843</v>
      </c>
      <c r="B412" s="10">
        <f>44.3107 * CHOOSE(CONTROL!$C$9, $D$9, 100%, $F$9) + CHOOSE(CONTROL!$C$27, 0.0021, 0)</f>
        <v>44.312799999999996</v>
      </c>
      <c r="C412" s="10">
        <f>43.8785 * CHOOSE(CONTROL!$C$9, $D$9, 100%, $F$9) + CHOOSE(CONTROL!$C$27, 0.0021, 0)</f>
        <v>43.880600000000001</v>
      </c>
      <c r="D412" s="10">
        <f>43.8785 * CHOOSE(CONTROL!$C$9, $D$9, 100%, $F$9) + CHOOSE(CONTROL!$C$27, 0.0021, 0)</f>
        <v>43.880600000000001</v>
      </c>
      <c r="E412" s="10">
        <f>43.7418 * CHOOSE(CONTROL!$C$9, $D$9, 100%, $F$9) + CHOOSE(CONTROL!$C$27, 0.0021, 0)</f>
        <v>43.743899999999996</v>
      </c>
      <c r="F412" s="10">
        <f>43.7418 * CHOOSE(CONTROL!$C$9, $D$9, 100%, $F$9) + CHOOSE(CONTROL!$C$27, 0.0021, 0)</f>
        <v>43.743899999999996</v>
      </c>
      <c r="G412" s="10">
        <f>44.0132 * CHOOSE(CONTROL!$C$9, $D$9, 100%, $F$9) + CHOOSE(CONTROL!$C$27, 0.0021, 0)</f>
        <v>44.015299999999996</v>
      </c>
      <c r="H412" s="10">
        <f>43.8785 * CHOOSE(CONTROL!$C$9, $D$9, 100%, $F$9) + CHOOSE(CONTROL!$C$27, 0.0021, 0)</f>
        <v>43.880600000000001</v>
      </c>
      <c r="I412" s="10">
        <f>43.8785 * CHOOSE(CONTROL!$C$9, $D$9, 100%, $F$9) + CHOOSE(CONTROL!$C$27, 0.0021, 0)</f>
        <v>43.880600000000001</v>
      </c>
      <c r="J412" s="10">
        <f>43.8785 * CHOOSE(CONTROL!$C$9, $D$9, 100%, $F$9) + CHOOSE(CONTROL!$C$27, 0.0021, 0)</f>
        <v>43.880600000000001</v>
      </c>
      <c r="K412" s="10">
        <f>43.8785 * CHOOSE(CONTROL!$C$9, $D$9, 100%, $F$9) + CHOOSE(CONTROL!$C$27, 0.0021, 0)</f>
        <v>43.880600000000001</v>
      </c>
      <c r="L412" s="10"/>
    </row>
    <row r="413" spans="1:12" ht="15.75">
      <c r="A413" s="14">
        <v>53873</v>
      </c>
      <c r="B413" s="10">
        <f>44.8284 * CHOOSE(CONTROL!$C$9, $D$9, 100%, $F$9) + CHOOSE(CONTROL!$C$27, 0.0021, 0)</f>
        <v>44.830500000000001</v>
      </c>
      <c r="C413" s="10">
        <f>44.3961 * CHOOSE(CONTROL!$C$9, $D$9, 100%, $F$9) + CHOOSE(CONTROL!$C$27, 0.0021, 0)</f>
        <v>44.398199999999996</v>
      </c>
      <c r="D413" s="10">
        <f>44.3961 * CHOOSE(CONTROL!$C$9, $D$9, 100%, $F$9) + CHOOSE(CONTROL!$C$27, 0.0021, 0)</f>
        <v>44.398199999999996</v>
      </c>
      <c r="E413" s="10">
        <f>44.2595 * CHOOSE(CONTROL!$C$9, $D$9, 100%, $F$9) + CHOOSE(CONTROL!$C$27, 0.0021, 0)</f>
        <v>44.261600000000001</v>
      </c>
      <c r="F413" s="10">
        <f>44.2595 * CHOOSE(CONTROL!$C$9, $D$9, 100%, $F$9) + CHOOSE(CONTROL!$C$27, 0.0021, 0)</f>
        <v>44.261600000000001</v>
      </c>
      <c r="G413" s="10">
        <f>44.5308 * CHOOSE(CONTROL!$C$9, $D$9, 100%, $F$9) + CHOOSE(CONTROL!$C$27, 0.0021, 0)</f>
        <v>44.532899999999998</v>
      </c>
      <c r="H413" s="10">
        <f>44.3961 * CHOOSE(CONTROL!$C$9, $D$9, 100%, $F$9) + CHOOSE(CONTROL!$C$27, 0.0021, 0)</f>
        <v>44.398199999999996</v>
      </c>
      <c r="I413" s="10">
        <f>44.3961 * CHOOSE(CONTROL!$C$9, $D$9, 100%, $F$9) + CHOOSE(CONTROL!$C$27, 0.0021, 0)</f>
        <v>44.398199999999996</v>
      </c>
      <c r="J413" s="10">
        <f>44.3961 * CHOOSE(CONTROL!$C$9, $D$9, 100%, $F$9) + CHOOSE(CONTROL!$C$27, 0.0021, 0)</f>
        <v>44.398199999999996</v>
      </c>
      <c r="K413" s="10">
        <f>44.3961 * CHOOSE(CONTROL!$C$9, $D$9, 100%, $F$9) + CHOOSE(CONTROL!$C$27, 0.0021, 0)</f>
        <v>44.398199999999996</v>
      </c>
      <c r="L413" s="10"/>
    </row>
    <row r="414" spans="1:12" ht="15.75">
      <c r="A414" s="14">
        <v>53904</v>
      </c>
      <c r="B414" s="10">
        <f>45.6823 * CHOOSE(CONTROL!$C$9, $D$9, 100%, $F$9) + CHOOSE(CONTROL!$C$27, 0.0021, 0)</f>
        <v>45.684399999999997</v>
      </c>
      <c r="C414" s="10">
        <f>45.2501 * CHOOSE(CONTROL!$C$9, $D$9, 100%, $F$9) + CHOOSE(CONTROL!$C$27, 0.0021, 0)</f>
        <v>45.252200000000002</v>
      </c>
      <c r="D414" s="10">
        <f>45.2501 * CHOOSE(CONTROL!$C$9, $D$9, 100%, $F$9) + CHOOSE(CONTROL!$C$27, 0.0021, 0)</f>
        <v>45.252200000000002</v>
      </c>
      <c r="E414" s="10">
        <f>45.1134 * CHOOSE(CONTROL!$C$9, $D$9, 100%, $F$9) + CHOOSE(CONTROL!$C$27, 0.0021, 0)</f>
        <v>45.115499999999997</v>
      </c>
      <c r="F414" s="10">
        <f>45.1134 * CHOOSE(CONTROL!$C$9, $D$9, 100%, $F$9) + CHOOSE(CONTROL!$C$27, 0.0021, 0)</f>
        <v>45.115499999999997</v>
      </c>
      <c r="G414" s="10">
        <f>45.3848 * CHOOSE(CONTROL!$C$9, $D$9, 100%, $F$9) + CHOOSE(CONTROL!$C$27, 0.0021, 0)</f>
        <v>45.386899999999997</v>
      </c>
      <c r="H414" s="10">
        <f>45.2501 * CHOOSE(CONTROL!$C$9, $D$9, 100%, $F$9) + CHOOSE(CONTROL!$C$27, 0.0021, 0)</f>
        <v>45.252200000000002</v>
      </c>
      <c r="I414" s="10">
        <f>45.2501 * CHOOSE(CONTROL!$C$9, $D$9, 100%, $F$9) + CHOOSE(CONTROL!$C$27, 0.0021, 0)</f>
        <v>45.252200000000002</v>
      </c>
      <c r="J414" s="10">
        <f>45.2501 * CHOOSE(CONTROL!$C$9, $D$9, 100%, $F$9) + CHOOSE(CONTROL!$C$27, 0.0021, 0)</f>
        <v>45.252200000000002</v>
      </c>
      <c r="K414" s="10">
        <f>45.2501 * CHOOSE(CONTROL!$C$9, $D$9, 100%, $F$9) + CHOOSE(CONTROL!$C$27, 0.0021, 0)</f>
        <v>45.252200000000002</v>
      </c>
      <c r="L414" s="10"/>
    </row>
    <row r="415" spans="1:12" ht="15.75">
      <c r="A415" s="14">
        <v>53935</v>
      </c>
      <c r="B415" s="10">
        <f>45.943 * CHOOSE(CONTROL!$C$9, $D$9, 100%, $F$9) + CHOOSE(CONTROL!$C$27, 0.0021, 0)</f>
        <v>45.945099999999996</v>
      </c>
      <c r="C415" s="10">
        <f>45.5107 * CHOOSE(CONTROL!$C$9, $D$9, 100%, $F$9) + CHOOSE(CONTROL!$C$27, 0.0021, 0)</f>
        <v>45.512799999999999</v>
      </c>
      <c r="D415" s="10">
        <f>45.5107 * CHOOSE(CONTROL!$C$9, $D$9, 100%, $F$9) + CHOOSE(CONTROL!$C$27, 0.0021, 0)</f>
        <v>45.512799999999999</v>
      </c>
      <c r="E415" s="10">
        <f>45.3741 * CHOOSE(CONTROL!$C$9, $D$9, 100%, $F$9) + CHOOSE(CONTROL!$C$27, 0.0021, 0)</f>
        <v>45.376199999999997</v>
      </c>
      <c r="F415" s="10">
        <f>45.3741 * CHOOSE(CONTROL!$C$9, $D$9, 100%, $F$9) + CHOOSE(CONTROL!$C$27, 0.0021, 0)</f>
        <v>45.376199999999997</v>
      </c>
      <c r="G415" s="10">
        <f>45.6454 * CHOOSE(CONTROL!$C$9, $D$9, 100%, $F$9) + CHOOSE(CONTROL!$C$27, 0.0021, 0)</f>
        <v>45.647500000000001</v>
      </c>
      <c r="H415" s="10">
        <f>45.5107 * CHOOSE(CONTROL!$C$9, $D$9, 100%, $F$9) + CHOOSE(CONTROL!$C$27, 0.0021, 0)</f>
        <v>45.512799999999999</v>
      </c>
      <c r="I415" s="10">
        <f>45.5107 * CHOOSE(CONTROL!$C$9, $D$9, 100%, $F$9) + CHOOSE(CONTROL!$C$27, 0.0021, 0)</f>
        <v>45.512799999999999</v>
      </c>
      <c r="J415" s="10">
        <f>45.5107 * CHOOSE(CONTROL!$C$9, $D$9, 100%, $F$9) + CHOOSE(CONTROL!$C$27, 0.0021, 0)</f>
        <v>45.512799999999999</v>
      </c>
      <c r="K415" s="10">
        <f>45.5107 * CHOOSE(CONTROL!$C$9, $D$9, 100%, $F$9) + CHOOSE(CONTROL!$C$27, 0.0021, 0)</f>
        <v>45.512799999999999</v>
      </c>
      <c r="L415" s="10"/>
    </row>
    <row r="416" spans="1:12" ht="15.75">
      <c r="A416" s="14">
        <v>53965</v>
      </c>
      <c r="B416" s="10">
        <f>46.8306 * CHOOSE(CONTROL!$C$9, $D$9, 100%, $F$9) + CHOOSE(CONTROL!$C$27, 0.0021, 0)</f>
        <v>46.832699999999996</v>
      </c>
      <c r="C416" s="10">
        <f>46.3984 * CHOOSE(CONTROL!$C$9, $D$9, 100%, $F$9) + CHOOSE(CONTROL!$C$27, 0.0021, 0)</f>
        <v>46.400500000000001</v>
      </c>
      <c r="D416" s="10">
        <f>46.3984 * CHOOSE(CONTROL!$C$9, $D$9, 100%, $F$9) + CHOOSE(CONTROL!$C$27, 0.0021, 0)</f>
        <v>46.400500000000001</v>
      </c>
      <c r="E416" s="10">
        <f>46.2617 * CHOOSE(CONTROL!$C$9, $D$9, 100%, $F$9) + CHOOSE(CONTROL!$C$27, 0.0021, 0)</f>
        <v>46.263799999999996</v>
      </c>
      <c r="F416" s="10">
        <f>46.2617 * CHOOSE(CONTROL!$C$9, $D$9, 100%, $F$9) + CHOOSE(CONTROL!$C$27, 0.0021, 0)</f>
        <v>46.263799999999996</v>
      </c>
      <c r="G416" s="10">
        <f>46.5331 * CHOOSE(CONTROL!$C$9, $D$9, 100%, $F$9) + CHOOSE(CONTROL!$C$27, 0.0021, 0)</f>
        <v>46.535199999999996</v>
      </c>
      <c r="H416" s="10">
        <f>46.3984 * CHOOSE(CONTROL!$C$9, $D$9, 100%, $F$9) + CHOOSE(CONTROL!$C$27, 0.0021, 0)</f>
        <v>46.400500000000001</v>
      </c>
      <c r="I416" s="10">
        <f>46.3984 * CHOOSE(CONTROL!$C$9, $D$9, 100%, $F$9) + CHOOSE(CONTROL!$C$27, 0.0021, 0)</f>
        <v>46.400500000000001</v>
      </c>
      <c r="J416" s="10">
        <f>46.3984 * CHOOSE(CONTROL!$C$9, $D$9, 100%, $F$9) + CHOOSE(CONTROL!$C$27, 0.0021, 0)</f>
        <v>46.400500000000001</v>
      </c>
      <c r="K416" s="10">
        <f>46.3984 * CHOOSE(CONTROL!$C$9, $D$9, 100%, $F$9) + CHOOSE(CONTROL!$C$27, 0.0021, 0)</f>
        <v>46.400500000000001</v>
      </c>
      <c r="L416" s="10"/>
    </row>
    <row r="417" spans="1:12" ht="15.75">
      <c r="A417" s="14">
        <v>53996</v>
      </c>
      <c r="B417" s="10">
        <f>47.9542 * CHOOSE(CONTROL!$C$9, $D$9, 100%, $F$9) + CHOOSE(CONTROL!$C$27, 0.0021, 0)</f>
        <v>47.956299999999999</v>
      </c>
      <c r="C417" s="10">
        <f>47.5219 * CHOOSE(CONTROL!$C$9, $D$9, 100%, $F$9) + CHOOSE(CONTROL!$C$27, 0.0021, 0)</f>
        <v>47.524000000000001</v>
      </c>
      <c r="D417" s="10">
        <f>47.5219 * CHOOSE(CONTROL!$C$9, $D$9, 100%, $F$9) + CHOOSE(CONTROL!$C$27, 0.0021, 0)</f>
        <v>47.524000000000001</v>
      </c>
      <c r="E417" s="10">
        <f>47.3853 * CHOOSE(CONTROL!$C$9, $D$9, 100%, $F$9) + CHOOSE(CONTROL!$C$27, 0.0021, 0)</f>
        <v>47.3874</v>
      </c>
      <c r="F417" s="10">
        <f>47.3853 * CHOOSE(CONTROL!$C$9, $D$9, 100%, $F$9) + CHOOSE(CONTROL!$C$27, 0.0021, 0)</f>
        <v>47.3874</v>
      </c>
      <c r="G417" s="10">
        <f>47.6567 * CHOOSE(CONTROL!$C$9, $D$9, 100%, $F$9) + CHOOSE(CONTROL!$C$27, 0.0021, 0)</f>
        <v>47.658799999999999</v>
      </c>
      <c r="H417" s="10">
        <f>47.5219 * CHOOSE(CONTROL!$C$9, $D$9, 100%, $F$9) + CHOOSE(CONTROL!$C$27, 0.0021, 0)</f>
        <v>47.524000000000001</v>
      </c>
      <c r="I417" s="10">
        <f>47.5219 * CHOOSE(CONTROL!$C$9, $D$9, 100%, $F$9) + CHOOSE(CONTROL!$C$27, 0.0021, 0)</f>
        <v>47.524000000000001</v>
      </c>
      <c r="J417" s="10">
        <f>47.5219 * CHOOSE(CONTROL!$C$9, $D$9, 100%, $F$9) + CHOOSE(CONTROL!$C$27, 0.0021, 0)</f>
        <v>47.524000000000001</v>
      </c>
      <c r="K417" s="10">
        <f>47.5219 * CHOOSE(CONTROL!$C$9, $D$9, 100%, $F$9) + CHOOSE(CONTROL!$C$27, 0.0021, 0)</f>
        <v>47.524000000000001</v>
      </c>
      <c r="L417" s="10"/>
    </row>
    <row r="418" spans="1:12" ht="15.75">
      <c r="A418" s="14">
        <v>54026</v>
      </c>
      <c r="B418" s="10">
        <f>48.0597 * CHOOSE(CONTROL!$C$9, $D$9, 100%, $F$9) + CHOOSE(CONTROL!$C$27, 0.0021, 0)</f>
        <v>48.061799999999998</v>
      </c>
      <c r="C418" s="10">
        <f>47.6274 * CHOOSE(CONTROL!$C$9, $D$9, 100%, $F$9) + CHOOSE(CONTROL!$C$27, 0.0021, 0)</f>
        <v>47.6295</v>
      </c>
      <c r="D418" s="10">
        <f>47.6274 * CHOOSE(CONTROL!$C$9, $D$9, 100%, $F$9) + CHOOSE(CONTROL!$C$27, 0.0021, 0)</f>
        <v>47.6295</v>
      </c>
      <c r="E418" s="10">
        <f>47.4908 * CHOOSE(CONTROL!$C$9, $D$9, 100%, $F$9) + CHOOSE(CONTROL!$C$27, 0.0021, 0)</f>
        <v>47.492899999999999</v>
      </c>
      <c r="F418" s="10">
        <f>47.4908 * CHOOSE(CONTROL!$C$9, $D$9, 100%, $F$9) + CHOOSE(CONTROL!$C$27, 0.0021, 0)</f>
        <v>47.492899999999999</v>
      </c>
      <c r="G418" s="10">
        <f>47.7621 * CHOOSE(CONTROL!$C$9, $D$9, 100%, $F$9) + CHOOSE(CONTROL!$C$27, 0.0021, 0)</f>
        <v>47.764199999999995</v>
      </c>
      <c r="H418" s="10">
        <f>47.6274 * CHOOSE(CONTROL!$C$9, $D$9, 100%, $F$9) + CHOOSE(CONTROL!$C$27, 0.0021, 0)</f>
        <v>47.6295</v>
      </c>
      <c r="I418" s="10">
        <f>47.6274 * CHOOSE(CONTROL!$C$9, $D$9, 100%, $F$9) + CHOOSE(CONTROL!$C$27, 0.0021, 0)</f>
        <v>47.6295</v>
      </c>
      <c r="J418" s="10">
        <f>47.6274 * CHOOSE(CONTROL!$C$9, $D$9, 100%, $F$9) + CHOOSE(CONTROL!$C$27, 0.0021, 0)</f>
        <v>47.6295</v>
      </c>
      <c r="K418" s="10">
        <f>47.6274 * CHOOSE(CONTROL!$C$9, $D$9, 100%, $F$9) + CHOOSE(CONTROL!$C$27, 0.0021, 0)</f>
        <v>47.6295</v>
      </c>
      <c r="L418" s="10"/>
    </row>
    <row r="419" spans="1:12" ht="15.75">
      <c r="A419" s="14">
        <v>54057</v>
      </c>
      <c r="B419" s="10">
        <f>47.1623 * CHOOSE(CONTROL!$C$9, $D$9, 100%, $F$9) + CHOOSE(CONTROL!$C$27, 0.0021, 0)</f>
        <v>47.164400000000001</v>
      </c>
      <c r="C419" s="10">
        <f>46.73 * CHOOSE(CONTROL!$C$9, $D$9, 100%, $F$9) + CHOOSE(CONTROL!$C$27, 0.0021, 0)</f>
        <v>46.732099999999996</v>
      </c>
      <c r="D419" s="10">
        <f>46.73 * CHOOSE(CONTROL!$C$9, $D$9, 100%, $F$9) + CHOOSE(CONTROL!$C$27, 0.0021, 0)</f>
        <v>46.732099999999996</v>
      </c>
      <c r="E419" s="10">
        <f>46.5934 * CHOOSE(CONTROL!$C$9, $D$9, 100%, $F$9) + CHOOSE(CONTROL!$C$27, 0.0021, 0)</f>
        <v>46.595500000000001</v>
      </c>
      <c r="F419" s="10">
        <f>46.5934 * CHOOSE(CONTROL!$C$9, $D$9, 100%, $F$9) + CHOOSE(CONTROL!$C$27, 0.0021, 0)</f>
        <v>46.595500000000001</v>
      </c>
      <c r="G419" s="10">
        <f>46.8647 * CHOOSE(CONTROL!$C$9, $D$9, 100%, $F$9) + CHOOSE(CONTROL!$C$27, 0.0021, 0)</f>
        <v>46.866799999999998</v>
      </c>
      <c r="H419" s="10">
        <f>46.73 * CHOOSE(CONTROL!$C$9, $D$9, 100%, $F$9) + CHOOSE(CONTROL!$C$27, 0.0021, 0)</f>
        <v>46.732099999999996</v>
      </c>
      <c r="I419" s="10">
        <f>46.73 * CHOOSE(CONTROL!$C$9, $D$9, 100%, $F$9) + CHOOSE(CONTROL!$C$27, 0.0021, 0)</f>
        <v>46.732099999999996</v>
      </c>
      <c r="J419" s="10">
        <f>46.73 * CHOOSE(CONTROL!$C$9, $D$9, 100%, $F$9) + CHOOSE(CONTROL!$C$27, 0.0021, 0)</f>
        <v>46.732099999999996</v>
      </c>
      <c r="K419" s="10">
        <f>46.73 * CHOOSE(CONTROL!$C$9, $D$9, 100%, $F$9) + CHOOSE(CONTROL!$C$27, 0.0021, 0)</f>
        <v>46.732099999999996</v>
      </c>
      <c r="L419" s="10"/>
    </row>
    <row r="420" spans="1:12" ht="15.75">
      <c r="A420" s="14">
        <v>54088</v>
      </c>
      <c r="B420" s="10">
        <f>46.4752 * CHOOSE(CONTROL!$C$9, $D$9, 100%, $F$9) + CHOOSE(CONTROL!$C$27, 0.0021, 0)</f>
        <v>46.4773</v>
      </c>
      <c r="C420" s="10">
        <f>46.043 * CHOOSE(CONTROL!$C$9, $D$9, 100%, $F$9) + CHOOSE(CONTROL!$C$27, 0.0021, 0)</f>
        <v>46.045099999999998</v>
      </c>
      <c r="D420" s="10">
        <f>46.043 * CHOOSE(CONTROL!$C$9, $D$9, 100%, $F$9) + CHOOSE(CONTROL!$C$27, 0.0021, 0)</f>
        <v>46.045099999999998</v>
      </c>
      <c r="E420" s="10">
        <f>45.9063 * CHOOSE(CONTROL!$C$9, $D$9, 100%, $F$9) + CHOOSE(CONTROL!$C$27, 0.0021, 0)</f>
        <v>45.9084</v>
      </c>
      <c r="F420" s="10">
        <f>45.9063 * CHOOSE(CONTROL!$C$9, $D$9, 100%, $F$9) + CHOOSE(CONTROL!$C$27, 0.0021, 0)</f>
        <v>45.9084</v>
      </c>
      <c r="G420" s="10">
        <f>46.1777 * CHOOSE(CONTROL!$C$9, $D$9, 100%, $F$9) + CHOOSE(CONTROL!$C$27, 0.0021, 0)</f>
        <v>46.1798</v>
      </c>
      <c r="H420" s="10">
        <f>46.043 * CHOOSE(CONTROL!$C$9, $D$9, 100%, $F$9) + CHOOSE(CONTROL!$C$27, 0.0021, 0)</f>
        <v>46.045099999999998</v>
      </c>
      <c r="I420" s="10">
        <f>46.043 * CHOOSE(CONTROL!$C$9, $D$9, 100%, $F$9) + CHOOSE(CONTROL!$C$27, 0.0021, 0)</f>
        <v>46.045099999999998</v>
      </c>
      <c r="J420" s="10">
        <f>46.043 * CHOOSE(CONTROL!$C$9, $D$9, 100%, $F$9) + CHOOSE(CONTROL!$C$27, 0.0021, 0)</f>
        <v>46.045099999999998</v>
      </c>
      <c r="K420" s="10">
        <f>46.043 * CHOOSE(CONTROL!$C$9, $D$9, 100%, $F$9) + CHOOSE(CONTROL!$C$27, 0.0021, 0)</f>
        <v>46.045099999999998</v>
      </c>
      <c r="L420" s="10"/>
    </row>
    <row r="421" spans="1:12" ht="15.75">
      <c r="A421" s="14">
        <v>54116</v>
      </c>
      <c r="B421" s="10">
        <f>45.2255 * CHOOSE(CONTROL!$C$9, $D$9, 100%, $F$9) + CHOOSE(CONTROL!$C$27, 0.0021, 0)</f>
        <v>45.227599999999995</v>
      </c>
      <c r="C421" s="10">
        <f>44.7932 * CHOOSE(CONTROL!$C$9, $D$9, 100%, $F$9) + CHOOSE(CONTROL!$C$27, 0.0021, 0)</f>
        <v>44.795299999999997</v>
      </c>
      <c r="D421" s="10">
        <f>44.7932 * CHOOSE(CONTROL!$C$9, $D$9, 100%, $F$9) + CHOOSE(CONTROL!$C$27, 0.0021, 0)</f>
        <v>44.795299999999997</v>
      </c>
      <c r="E421" s="10">
        <f>44.6566 * CHOOSE(CONTROL!$C$9, $D$9, 100%, $F$9) + CHOOSE(CONTROL!$C$27, 0.0021, 0)</f>
        <v>44.658699999999996</v>
      </c>
      <c r="F421" s="10">
        <f>44.6566 * CHOOSE(CONTROL!$C$9, $D$9, 100%, $F$9) + CHOOSE(CONTROL!$C$27, 0.0021, 0)</f>
        <v>44.658699999999996</v>
      </c>
      <c r="G421" s="10">
        <f>44.9279 * CHOOSE(CONTROL!$C$9, $D$9, 100%, $F$9) + CHOOSE(CONTROL!$C$27, 0.0021, 0)</f>
        <v>44.93</v>
      </c>
      <c r="H421" s="10">
        <f>44.7932 * CHOOSE(CONTROL!$C$9, $D$9, 100%, $F$9) + CHOOSE(CONTROL!$C$27, 0.0021, 0)</f>
        <v>44.795299999999997</v>
      </c>
      <c r="I421" s="10">
        <f>44.7932 * CHOOSE(CONTROL!$C$9, $D$9, 100%, $F$9) + CHOOSE(CONTROL!$C$27, 0.0021, 0)</f>
        <v>44.795299999999997</v>
      </c>
      <c r="J421" s="10">
        <f>44.7932 * CHOOSE(CONTROL!$C$9, $D$9, 100%, $F$9) + CHOOSE(CONTROL!$C$27, 0.0021, 0)</f>
        <v>44.795299999999997</v>
      </c>
      <c r="K421" s="10">
        <f>44.7932 * CHOOSE(CONTROL!$C$9, $D$9, 100%, $F$9) + CHOOSE(CONTROL!$C$27, 0.0021, 0)</f>
        <v>44.795299999999997</v>
      </c>
      <c r="L421" s="10"/>
    </row>
    <row r="422" spans="1:12" ht="15.75">
      <c r="A422" s="14">
        <v>54148</v>
      </c>
      <c r="B422" s="10">
        <f>44.7096 * CHOOSE(CONTROL!$C$9, $D$9, 100%, $F$9) + CHOOSE(CONTROL!$C$27, 0.0021, 0)</f>
        <v>44.7117</v>
      </c>
      <c r="C422" s="10">
        <f>44.2773 * CHOOSE(CONTROL!$C$9, $D$9, 100%, $F$9) + CHOOSE(CONTROL!$C$27, 0.0021, 0)</f>
        <v>44.279399999999995</v>
      </c>
      <c r="D422" s="10">
        <f>44.2773 * CHOOSE(CONTROL!$C$9, $D$9, 100%, $F$9) + CHOOSE(CONTROL!$C$27, 0.0021, 0)</f>
        <v>44.279399999999995</v>
      </c>
      <c r="E422" s="10">
        <f>44.1407 * CHOOSE(CONTROL!$C$9, $D$9, 100%, $F$9) + CHOOSE(CONTROL!$C$27, 0.0021, 0)</f>
        <v>44.142800000000001</v>
      </c>
      <c r="F422" s="10">
        <f>44.1407 * CHOOSE(CONTROL!$C$9, $D$9, 100%, $F$9) + CHOOSE(CONTROL!$C$27, 0.0021, 0)</f>
        <v>44.142800000000001</v>
      </c>
      <c r="G422" s="10">
        <f>44.4121 * CHOOSE(CONTROL!$C$9, $D$9, 100%, $F$9) + CHOOSE(CONTROL!$C$27, 0.0021, 0)</f>
        <v>44.414200000000001</v>
      </c>
      <c r="H422" s="10">
        <f>44.2773 * CHOOSE(CONTROL!$C$9, $D$9, 100%, $F$9) + CHOOSE(CONTROL!$C$27, 0.0021, 0)</f>
        <v>44.279399999999995</v>
      </c>
      <c r="I422" s="10">
        <f>44.2773 * CHOOSE(CONTROL!$C$9, $D$9, 100%, $F$9) + CHOOSE(CONTROL!$C$27, 0.0021, 0)</f>
        <v>44.279399999999995</v>
      </c>
      <c r="J422" s="10">
        <f>44.2773 * CHOOSE(CONTROL!$C$9, $D$9, 100%, $F$9) + CHOOSE(CONTROL!$C$27, 0.0021, 0)</f>
        <v>44.279399999999995</v>
      </c>
      <c r="K422" s="10">
        <f>44.2773 * CHOOSE(CONTROL!$C$9, $D$9, 100%, $F$9) + CHOOSE(CONTROL!$C$27, 0.0021, 0)</f>
        <v>44.279399999999995</v>
      </c>
      <c r="L422" s="10"/>
    </row>
    <row r="423" spans="1:12" ht="15.75">
      <c r="A423" s="14">
        <v>54178</v>
      </c>
      <c r="B423" s="10">
        <f>44.0936 * CHOOSE(CONTROL!$C$9, $D$9, 100%, $F$9) + CHOOSE(CONTROL!$C$27, 0.0021, 0)</f>
        <v>44.095700000000001</v>
      </c>
      <c r="C423" s="10">
        <f>43.6614 * CHOOSE(CONTROL!$C$9, $D$9, 100%, $F$9) + CHOOSE(CONTROL!$C$27, 0.0021, 0)</f>
        <v>43.663499999999999</v>
      </c>
      <c r="D423" s="10">
        <f>43.6614 * CHOOSE(CONTROL!$C$9, $D$9, 100%, $F$9) + CHOOSE(CONTROL!$C$27, 0.0021, 0)</f>
        <v>43.663499999999999</v>
      </c>
      <c r="E423" s="10">
        <f>43.5247 * CHOOSE(CONTROL!$C$9, $D$9, 100%, $F$9) + CHOOSE(CONTROL!$C$27, 0.0021, 0)</f>
        <v>43.526800000000001</v>
      </c>
      <c r="F423" s="10">
        <f>43.5247 * CHOOSE(CONTROL!$C$9, $D$9, 100%, $F$9) + CHOOSE(CONTROL!$C$27, 0.0021, 0)</f>
        <v>43.526800000000001</v>
      </c>
      <c r="G423" s="10">
        <f>43.7961 * CHOOSE(CONTROL!$C$9, $D$9, 100%, $F$9) + CHOOSE(CONTROL!$C$27, 0.0021, 0)</f>
        <v>43.798200000000001</v>
      </c>
      <c r="H423" s="10">
        <f>43.6614 * CHOOSE(CONTROL!$C$9, $D$9, 100%, $F$9) + CHOOSE(CONTROL!$C$27, 0.0021, 0)</f>
        <v>43.663499999999999</v>
      </c>
      <c r="I423" s="10">
        <f>43.6614 * CHOOSE(CONTROL!$C$9, $D$9, 100%, $F$9) + CHOOSE(CONTROL!$C$27, 0.0021, 0)</f>
        <v>43.663499999999999</v>
      </c>
      <c r="J423" s="10">
        <f>43.6614 * CHOOSE(CONTROL!$C$9, $D$9, 100%, $F$9) + CHOOSE(CONTROL!$C$27, 0.0021, 0)</f>
        <v>43.663499999999999</v>
      </c>
      <c r="K423" s="10">
        <f>43.6614 * CHOOSE(CONTROL!$C$9, $D$9, 100%, $F$9) + CHOOSE(CONTROL!$C$27, 0.0021, 0)</f>
        <v>43.663499999999999</v>
      </c>
      <c r="L423" s="10"/>
    </row>
    <row r="424" spans="1:12" ht="15.75">
      <c r="A424" s="14">
        <v>54209</v>
      </c>
      <c r="B424" s="10">
        <f>44.9715 * CHOOSE(CONTROL!$C$9, $D$9, 100%, $F$9) + CHOOSE(CONTROL!$C$27, 0.0021, 0)</f>
        <v>44.973599999999998</v>
      </c>
      <c r="C424" s="10">
        <f>44.5392 * CHOOSE(CONTROL!$C$9, $D$9, 100%, $F$9) + CHOOSE(CONTROL!$C$27, 0.0021, 0)</f>
        <v>44.5413</v>
      </c>
      <c r="D424" s="10">
        <f>44.5392 * CHOOSE(CONTROL!$C$9, $D$9, 100%, $F$9) + CHOOSE(CONTROL!$C$27, 0.0021, 0)</f>
        <v>44.5413</v>
      </c>
      <c r="E424" s="10">
        <f>44.4026 * CHOOSE(CONTROL!$C$9, $D$9, 100%, $F$9) + CHOOSE(CONTROL!$C$27, 0.0021, 0)</f>
        <v>44.404699999999998</v>
      </c>
      <c r="F424" s="10">
        <f>44.4026 * CHOOSE(CONTROL!$C$9, $D$9, 100%, $F$9) + CHOOSE(CONTROL!$C$27, 0.0021, 0)</f>
        <v>44.404699999999998</v>
      </c>
      <c r="G424" s="10">
        <f>44.6739 * CHOOSE(CONTROL!$C$9, $D$9, 100%, $F$9) + CHOOSE(CONTROL!$C$27, 0.0021, 0)</f>
        <v>44.676000000000002</v>
      </c>
      <c r="H424" s="10">
        <f>44.5392 * CHOOSE(CONTROL!$C$9, $D$9, 100%, $F$9) + CHOOSE(CONTROL!$C$27, 0.0021, 0)</f>
        <v>44.5413</v>
      </c>
      <c r="I424" s="10">
        <f>44.5392 * CHOOSE(CONTROL!$C$9, $D$9, 100%, $F$9) + CHOOSE(CONTROL!$C$27, 0.0021, 0)</f>
        <v>44.5413</v>
      </c>
      <c r="J424" s="10">
        <f>44.5392 * CHOOSE(CONTROL!$C$9, $D$9, 100%, $F$9) + CHOOSE(CONTROL!$C$27, 0.0021, 0)</f>
        <v>44.5413</v>
      </c>
      <c r="K424" s="10">
        <f>44.5392 * CHOOSE(CONTROL!$C$9, $D$9, 100%, $F$9) + CHOOSE(CONTROL!$C$27, 0.0021, 0)</f>
        <v>44.5413</v>
      </c>
      <c r="L424" s="10"/>
    </row>
    <row r="425" spans="1:12" ht="15.75">
      <c r="A425" s="14">
        <v>54239</v>
      </c>
      <c r="B425" s="10">
        <f>45.4973 * CHOOSE(CONTROL!$C$9, $D$9, 100%, $F$9) + CHOOSE(CONTROL!$C$27, 0.0021, 0)</f>
        <v>45.499400000000001</v>
      </c>
      <c r="C425" s="10">
        <f>45.065 * CHOOSE(CONTROL!$C$9, $D$9, 100%, $F$9) + CHOOSE(CONTROL!$C$27, 0.0021, 0)</f>
        <v>45.067099999999996</v>
      </c>
      <c r="D425" s="10">
        <f>45.065 * CHOOSE(CONTROL!$C$9, $D$9, 100%, $F$9) + CHOOSE(CONTROL!$C$27, 0.0021, 0)</f>
        <v>45.067099999999996</v>
      </c>
      <c r="E425" s="10">
        <f>44.9283 * CHOOSE(CONTROL!$C$9, $D$9, 100%, $F$9) + CHOOSE(CONTROL!$C$27, 0.0021, 0)</f>
        <v>44.930399999999999</v>
      </c>
      <c r="F425" s="10">
        <f>44.9283 * CHOOSE(CONTROL!$C$9, $D$9, 100%, $F$9) + CHOOSE(CONTROL!$C$27, 0.0021, 0)</f>
        <v>44.930399999999999</v>
      </c>
      <c r="G425" s="10">
        <f>45.1997 * CHOOSE(CONTROL!$C$9, $D$9, 100%, $F$9) + CHOOSE(CONTROL!$C$27, 0.0021, 0)</f>
        <v>45.201799999999999</v>
      </c>
      <c r="H425" s="10">
        <f>45.065 * CHOOSE(CONTROL!$C$9, $D$9, 100%, $F$9) + CHOOSE(CONTROL!$C$27, 0.0021, 0)</f>
        <v>45.067099999999996</v>
      </c>
      <c r="I425" s="10">
        <f>45.065 * CHOOSE(CONTROL!$C$9, $D$9, 100%, $F$9) + CHOOSE(CONTROL!$C$27, 0.0021, 0)</f>
        <v>45.067099999999996</v>
      </c>
      <c r="J425" s="10">
        <f>45.065 * CHOOSE(CONTROL!$C$9, $D$9, 100%, $F$9) + CHOOSE(CONTROL!$C$27, 0.0021, 0)</f>
        <v>45.067099999999996</v>
      </c>
      <c r="K425" s="10">
        <f>45.065 * CHOOSE(CONTROL!$C$9, $D$9, 100%, $F$9) + CHOOSE(CONTROL!$C$27, 0.0021, 0)</f>
        <v>45.067099999999996</v>
      </c>
      <c r="L425" s="10"/>
    </row>
    <row r="426" spans="1:12" ht="15.75">
      <c r="A426" s="14">
        <v>54270</v>
      </c>
      <c r="B426" s="10">
        <f>46.3646 * CHOOSE(CONTROL!$C$9, $D$9, 100%, $F$9) + CHOOSE(CONTROL!$C$27, 0.0021, 0)</f>
        <v>46.366700000000002</v>
      </c>
      <c r="C426" s="10">
        <f>45.9324 * CHOOSE(CONTROL!$C$9, $D$9, 100%, $F$9) + CHOOSE(CONTROL!$C$27, 0.0021, 0)</f>
        <v>45.9345</v>
      </c>
      <c r="D426" s="10">
        <f>45.9324 * CHOOSE(CONTROL!$C$9, $D$9, 100%, $F$9) + CHOOSE(CONTROL!$C$27, 0.0021, 0)</f>
        <v>45.9345</v>
      </c>
      <c r="E426" s="10">
        <f>45.7957 * CHOOSE(CONTROL!$C$9, $D$9, 100%, $F$9) + CHOOSE(CONTROL!$C$27, 0.0021, 0)</f>
        <v>45.797799999999995</v>
      </c>
      <c r="F426" s="10">
        <f>45.7957 * CHOOSE(CONTROL!$C$9, $D$9, 100%, $F$9) + CHOOSE(CONTROL!$C$27, 0.0021, 0)</f>
        <v>45.797799999999995</v>
      </c>
      <c r="G426" s="10">
        <f>46.0671 * CHOOSE(CONTROL!$C$9, $D$9, 100%, $F$9) + CHOOSE(CONTROL!$C$27, 0.0021, 0)</f>
        <v>46.069200000000002</v>
      </c>
      <c r="H426" s="10">
        <f>45.9324 * CHOOSE(CONTROL!$C$9, $D$9, 100%, $F$9) + CHOOSE(CONTROL!$C$27, 0.0021, 0)</f>
        <v>45.9345</v>
      </c>
      <c r="I426" s="10">
        <f>45.9324 * CHOOSE(CONTROL!$C$9, $D$9, 100%, $F$9) + CHOOSE(CONTROL!$C$27, 0.0021, 0)</f>
        <v>45.9345</v>
      </c>
      <c r="J426" s="10">
        <f>45.9324 * CHOOSE(CONTROL!$C$9, $D$9, 100%, $F$9) + CHOOSE(CONTROL!$C$27, 0.0021, 0)</f>
        <v>45.9345</v>
      </c>
      <c r="K426" s="10">
        <f>45.9324 * CHOOSE(CONTROL!$C$9, $D$9, 100%, $F$9) + CHOOSE(CONTROL!$C$27, 0.0021, 0)</f>
        <v>45.9345</v>
      </c>
      <c r="L426" s="10"/>
    </row>
    <row r="427" spans="1:12" ht="15.75">
      <c r="A427" s="14">
        <v>54301</v>
      </c>
      <c r="B427" s="10">
        <f>46.6294 * CHOOSE(CONTROL!$C$9, $D$9, 100%, $F$9) + CHOOSE(CONTROL!$C$27, 0.0021, 0)</f>
        <v>46.631499999999996</v>
      </c>
      <c r="C427" s="10">
        <f>46.1971 * CHOOSE(CONTROL!$C$9, $D$9, 100%, $F$9) + CHOOSE(CONTROL!$C$27, 0.0021, 0)</f>
        <v>46.199199999999998</v>
      </c>
      <c r="D427" s="10">
        <f>46.1971 * CHOOSE(CONTROL!$C$9, $D$9, 100%, $F$9) + CHOOSE(CONTROL!$C$27, 0.0021, 0)</f>
        <v>46.199199999999998</v>
      </c>
      <c r="E427" s="10">
        <f>46.0605 * CHOOSE(CONTROL!$C$9, $D$9, 100%, $F$9) + CHOOSE(CONTROL!$C$27, 0.0021, 0)</f>
        <v>46.062599999999996</v>
      </c>
      <c r="F427" s="10">
        <f>46.0605 * CHOOSE(CONTROL!$C$9, $D$9, 100%, $F$9) + CHOOSE(CONTROL!$C$27, 0.0021, 0)</f>
        <v>46.062599999999996</v>
      </c>
      <c r="G427" s="10">
        <f>46.3318 * CHOOSE(CONTROL!$C$9, $D$9, 100%, $F$9) + CHOOSE(CONTROL!$C$27, 0.0021, 0)</f>
        <v>46.3339</v>
      </c>
      <c r="H427" s="10">
        <f>46.1971 * CHOOSE(CONTROL!$C$9, $D$9, 100%, $F$9) + CHOOSE(CONTROL!$C$27, 0.0021, 0)</f>
        <v>46.199199999999998</v>
      </c>
      <c r="I427" s="10">
        <f>46.1971 * CHOOSE(CONTROL!$C$9, $D$9, 100%, $F$9) + CHOOSE(CONTROL!$C$27, 0.0021, 0)</f>
        <v>46.199199999999998</v>
      </c>
      <c r="J427" s="10">
        <f>46.1971 * CHOOSE(CONTROL!$C$9, $D$9, 100%, $F$9) + CHOOSE(CONTROL!$C$27, 0.0021, 0)</f>
        <v>46.199199999999998</v>
      </c>
      <c r="K427" s="10">
        <f>46.1971 * CHOOSE(CONTROL!$C$9, $D$9, 100%, $F$9) + CHOOSE(CONTROL!$C$27, 0.0021, 0)</f>
        <v>46.199199999999998</v>
      </c>
      <c r="L427" s="10"/>
    </row>
    <row r="428" spans="1:12" ht="15.75">
      <c r="A428" s="14">
        <v>54331</v>
      </c>
      <c r="B428" s="10">
        <f>47.531 * CHOOSE(CONTROL!$C$9, $D$9, 100%, $F$9) + CHOOSE(CONTROL!$C$27, 0.0021, 0)</f>
        <v>47.533099999999997</v>
      </c>
      <c r="C428" s="10">
        <f>47.0987 * CHOOSE(CONTROL!$C$9, $D$9, 100%, $F$9) + CHOOSE(CONTROL!$C$27, 0.0021, 0)</f>
        <v>47.1008</v>
      </c>
      <c r="D428" s="10">
        <f>47.0987 * CHOOSE(CONTROL!$C$9, $D$9, 100%, $F$9) + CHOOSE(CONTROL!$C$27, 0.0021, 0)</f>
        <v>47.1008</v>
      </c>
      <c r="E428" s="10">
        <f>46.9621 * CHOOSE(CONTROL!$C$9, $D$9, 100%, $F$9) + CHOOSE(CONTROL!$C$27, 0.0021, 0)</f>
        <v>46.964199999999998</v>
      </c>
      <c r="F428" s="10">
        <f>46.9621 * CHOOSE(CONTROL!$C$9, $D$9, 100%, $F$9) + CHOOSE(CONTROL!$C$27, 0.0021, 0)</f>
        <v>46.964199999999998</v>
      </c>
      <c r="G428" s="10">
        <f>47.2334 * CHOOSE(CONTROL!$C$9, $D$9, 100%, $F$9) + CHOOSE(CONTROL!$C$27, 0.0021, 0)</f>
        <v>47.235500000000002</v>
      </c>
      <c r="H428" s="10">
        <f>47.0987 * CHOOSE(CONTROL!$C$9, $D$9, 100%, $F$9) + CHOOSE(CONTROL!$C$27, 0.0021, 0)</f>
        <v>47.1008</v>
      </c>
      <c r="I428" s="10">
        <f>47.0987 * CHOOSE(CONTROL!$C$9, $D$9, 100%, $F$9) + CHOOSE(CONTROL!$C$27, 0.0021, 0)</f>
        <v>47.1008</v>
      </c>
      <c r="J428" s="10">
        <f>47.0987 * CHOOSE(CONTROL!$C$9, $D$9, 100%, $F$9) + CHOOSE(CONTROL!$C$27, 0.0021, 0)</f>
        <v>47.1008</v>
      </c>
      <c r="K428" s="10">
        <f>47.0987 * CHOOSE(CONTROL!$C$9, $D$9, 100%, $F$9) + CHOOSE(CONTROL!$C$27, 0.0021, 0)</f>
        <v>47.1008</v>
      </c>
      <c r="L428" s="10"/>
    </row>
    <row r="429" spans="1:12" ht="15.75">
      <c r="A429" s="14">
        <v>54362</v>
      </c>
      <c r="B429" s="10">
        <f>48.6722 * CHOOSE(CONTROL!$C$9, $D$9, 100%, $F$9) + CHOOSE(CONTROL!$C$27, 0.0021, 0)</f>
        <v>48.674299999999995</v>
      </c>
      <c r="C429" s="10">
        <f>48.24 * CHOOSE(CONTROL!$C$9, $D$9, 100%, $F$9) + CHOOSE(CONTROL!$C$27, 0.0021, 0)</f>
        <v>48.242100000000001</v>
      </c>
      <c r="D429" s="10">
        <f>48.24 * CHOOSE(CONTROL!$C$9, $D$9, 100%, $F$9) + CHOOSE(CONTROL!$C$27, 0.0021, 0)</f>
        <v>48.242100000000001</v>
      </c>
      <c r="E429" s="10">
        <f>48.1033 * CHOOSE(CONTROL!$C$9, $D$9, 100%, $F$9) + CHOOSE(CONTROL!$C$27, 0.0021, 0)</f>
        <v>48.105399999999996</v>
      </c>
      <c r="F429" s="10">
        <f>48.1033 * CHOOSE(CONTROL!$C$9, $D$9, 100%, $F$9) + CHOOSE(CONTROL!$C$27, 0.0021, 0)</f>
        <v>48.105399999999996</v>
      </c>
      <c r="G429" s="10">
        <f>48.3747 * CHOOSE(CONTROL!$C$9, $D$9, 100%, $F$9) + CHOOSE(CONTROL!$C$27, 0.0021, 0)</f>
        <v>48.376799999999996</v>
      </c>
      <c r="H429" s="10">
        <f>48.24 * CHOOSE(CONTROL!$C$9, $D$9, 100%, $F$9) + CHOOSE(CONTROL!$C$27, 0.0021, 0)</f>
        <v>48.242100000000001</v>
      </c>
      <c r="I429" s="10">
        <f>48.24 * CHOOSE(CONTROL!$C$9, $D$9, 100%, $F$9) + CHOOSE(CONTROL!$C$27, 0.0021, 0)</f>
        <v>48.242100000000001</v>
      </c>
      <c r="J429" s="10">
        <f>48.24 * CHOOSE(CONTROL!$C$9, $D$9, 100%, $F$9) + CHOOSE(CONTROL!$C$27, 0.0021, 0)</f>
        <v>48.242100000000001</v>
      </c>
      <c r="K429" s="10">
        <f>48.24 * CHOOSE(CONTROL!$C$9, $D$9, 100%, $F$9) + CHOOSE(CONTROL!$C$27, 0.0021, 0)</f>
        <v>48.242100000000001</v>
      </c>
      <c r="L429" s="10"/>
    </row>
    <row r="430" spans="1:12" ht="15.75">
      <c r="A430" s="14">
        <v>54392</v>
      </c>
      <c r="B430" s="10">
        <f>48.7794 * CHOOSE(CONTROL!$C$9, $D$9, 100%, $F$9) + CHOOSE(CONTROL!$C$27, 0.0021, 0)</f>
        <v>48.781500000000001</v>
      </c>
      <c r="C430" s="10">
        <f>48.3471 * CHOOSE(CONTROL!$C$9, $D$9, 100%, $F$9) + CHOOSE(CONTROL!$C$27, 0.0021, 0)</f>
        <v>48.349199999999996</v>
      </c>
      <c r="D430" s="10">
        <f>48.3471 * CHOOSE(CONTROL!$C$9, $D$9, 100%, $F$9) + CHOOSE(CONTROL!$C$27, 0.0021, 0)</f>
        <v>48.349199999999996</v>
      </c>
      <c r="E430" s="10">
        <f>48.2105 * CHOOSE(CONTROL!$C$9, $D$9, 100%, $F$9) + CHOOSE(CONTROL!$C$27, 0.0021, 0)</f>
        <v>48.212600000000002</v>
      </c>
      <c r="F430" s="10">
        <f>48.2105 * CHOOSE(CONTROL!$C$9, $D$9, 100%, $F$9) + CHOOSE(CONTROL!$C$27, 0.0021, 0)</f>
        <v>48.212600000000002</v>
      </c>
      <c r="G430" s="10">
        <f>48.4818 * CHOOSE(CONTROL!$C$9, $D$9, 100%, $F$9) + CHOOSE(CONTROL!$C$27, 0.0021, 0)</f>
        <v>48.483899999999998</v>
      </c>
      <c r="H430" s="10">
        <f>48.3471 * CHOOSE(CONTROL!$C$9, $D$9, 100%, $F$9) + CHOOSE(CONTROL!$C$27, 0.0021, 0)</f>
        <v>48.349199999999996</v>
      </c>
      <c r="I430" s="10">
        <f>48.3471 * CHOOSE(CONTROL!$C$9, $D$9, 100%, $F$9) + CHOOSE(CONTROL!$C$27, 0.0021, 0)</f>
        <v>48.349199999999996</v>
      </c>
      <c r="J430" s="10">
        <f>48.3471 * CHOOSE(CONTROL!$C$9, $D$9, 100%, $F$9) + CHOOSE(CONTROL!$C$27, 0.0021, 0)</f>
        <v>48.349199999999996</v>
      </c>
      <c r="K430" s="10">
        <f>48.3471 * CHOOSE(CONTROL!$C$9, $D$9, 100%, $F$9) + CHOOSE(CONTROL!$C$27, 0.0021, 0)</f>
        <v>48.349199999999996</v>
      </c>
      <c r="L430" s="10"/>
    </row>
    <row r="431" spans="1:12" ht="15.75">
      <c r="A431" s="14">
        <v>54423</v>
      </c>
      <c r="B431" s="10">
        <f>47.8679 * CHOOSE(CONTROL!$C$9, $D$9, 100%, $F$9) + CHOOSE(CONTROL!$C$27, 0.0021, 0)</f>
        <v>47.87</v>
      </c>
      <c r="C431" s="10">
        <f>47.4356 * CHOOSE(CONTROL!$C$9, $D$9, 100%, $F$9) + CHOOSE(CONTROL!$C$27, 0.0021, 0)</f>
        <v>47.4377</v>
      </c>
      <c r="D431" s="10">
        <f>47.4356 * CHOOSE(CONTROL!$C$9, $D$9, 100%, $F$9) + CHOOSE(CONTROL!$C$27, 0.0021, 0)</f>
        <v>47.4377</v>
      </c>
      <c r="E431" s="10">
        <f>47.2989 * CHOOSE(CONTROL!$C$9, $D$9, 100%, $F$9) + CHOOSE(CONTROL!$C$27, 0.0021, 0)</f>
        <v>47.301000000000002</v>
      </c>
      <c r="F431" s="10">
        <f>47.2989 * CHOOSE(CONTROL!$C$9, $D$9, 100%, $F$9) + CHOOSE(CONTROL!$C$27, 0.0021, 0)</f>
        <v>47.301000000000002</v>
      </c>
      <c r="G431" s="10">
        <f>47.5703 * CHOOSE(CONTROL!$C$9, $D$9, 100%, $F$9) + CHOOSE(CONTROL!$C$27, 0.0021, 0)</f>
        <v>47.572400000000002</v>
      </c>
      <c r="H431" s="10">
        <f>47.4356 * CHOOSE(CONTROL!$C$9, $D$9, 100%, $F$9) + CHOOSE(CONTROL!$C$27, 0.0021, 0)</f>
        <v>47.4377</v>
      </c>
      <c r="I431" s="10">
        <f>47.4356 * CHOOSE(CONTROL!$C$9, $D$9, 100%, $F$9) + CHOOSE(CONTROL!$C$27, 0.0021, 0)</f>
        <v>47.4377</v>
      </c>
      <c r="J431" s="10">
        <f>47.4356 * CHOOSE(CONTROL!$C$9, $D$9, 100%, $F$9) + CHOOSE(CONTROL!$C$27, 0.0021, 0)</f>
        <v>47.4377</v>
      </c>
      <c r="K431" s="10">
        <f>47.4356 * CHOOSE(CONTROL!$C$9, $D$9, 100%, $F$9) + CHOOSE(CONTROL!$C$27, 0.0021, 0)</f>
        <v>47.4377</v>
      </c>
      <c r="L431" s="10"/>
    </row>
    <row r="432" spans="1:12" ht="15.75">
      <c r="A432" s="14">
        <v>54454</v>
      </c>
      <c r="B432" s="10">
        <f>47.17 * CHOOSE(CONTROL!$C$9, $D$9, 100%, $F$9) + CHOOSE(CONTROL!$C$27, 0.0021, 0)</f>
        <v>47.1721</v>
      </c>
      <c r="C432" s="10">
        <f>46.7377 * CHOOSE(CONTROL!$C$9, $D$9, 100%, $F$9) + CHOOSE(CONTROL!$C$27, 0.0021, 0)</f>
        <v>46.739799999999995</v>
      </c>
      <c r="D432" s="10">
        <f>46.7377 * CHOOSE(CONTROL!$C$9, $D$9, 100%, $F$9) + CHOOSE(CONTROL!$C$27, 0.0021, 0)</f>
        <v>46.739799999999995</v>
      </c>
      <c r="E432" s="10">
        <f>46.6011 * CHOOSE(CONTROL!$C$9, $D$9, 100%, $F$9) + CHOOSE(CONTROL!$C$27, 0.0021, 0)</f>
        <v>46.603200000000001</v>
      </c>
      <c r="F432" s="10">
        <f>46.6011 * CHOOSE(CONTROL!$C$9, $D$9, 100%, $F$9) + CHOOSE(CONTROL!$C$27, 0.0021, 0)</f>
        <v>46.603200000000001</v>
      </c>
      <c r="G432" s="10">
        <f>46.8725 * CHOOSE(CONTROL!$C$9, $D$9, 100%, $F$9) + CHOOSE(CONTROL!$C$27, 0.0021, 0)</f>
        <v>46.874600000000001</v>
      </c>
      <c r="H432" s="10">
        <f>46.7377 * CHOOSE(CONTROL!$C$9, $D$9, 100%, $F$9) + CHOOSE(CONTROL!$C$27, 0.0021, 0)</f>
        <v>46.739799999999995</v>
      </c>
      <c r="I432" s="10">
        <f>46.7377 * CHOOSE(CONTROL!$C$9, $D$9, 100%, $F$9) + CHOOSE(CONTROL!$C$27, 0.0021, 0)</f>
        <v>46.739799999999995</v>
      </c>
      <c r="J432" s="10">
        <f>46.7377 * CHOOSE(CONTROL!$C$9, $D$9, 100%, $F$9) + CHOOSE(CONTROL!$C$27, 0.0021, 0)</f>
        <v>46.739799999999995</v>
      </c>
      <c r="K432" s="10">
        <f>46.7377 * CHOOSE(CONTROL!$C$9, $D$9, 100%, $F$9) + CHOOSE(CONTROL!$C$27, 0.0021, 0)</f>
        <v>46.739799999999995</v>
      </c>
      <c r="L432" s="10"/>
    </row>
    <row r="433" spans="1:12" ht="15.75">
      <c r="A433" s="14">
        <v>54482</v>
      </c>
      <c r="B433" s="10">
        <f>45.9006 * CHOOSE(CONTROL!$C$9, $D$9, 100%, $F$9) + CHOOSE(CONTROL!$C$27, 0.0021, 0)</f>
        <v>45.902699999999996</v>
      </c>
      <c r="C433" s="10">
        <f>45.4684 * CHOOSE(CONTROL!$C$9, $D$9, 100%, $F$9) + CHOOSE(CONTROL!$C$27, 0.0021, 0)</f>
        <v>45.470500000000001</v>
      </c>
      <c r="D433" s="10">
        <f>45.4684 * CHOOSE(CONTROL!$C$9, $D$9, 100%, $F$9) + CHOOSE(CONTROL!$C$27, 0.0021, 0)</f>
        <v>45.470500000000001</v>
      </c>
      <c r="E433" s="10">
        <f>45.3317 * CHOOSE(CONTROL!$C$9, $D$9, 100%, $F$9) + CHOOSE(CONTROL!$C$27, 0.0021, 0)</f>
        <v>45.333799999999997</v>
      </c>
      <c r="F433" s="10">
        <f>45.3317 * CHOOSE(CONTROL!$C$9, $D$9, 100%, $F$9) + CHOOSE(CONTROL!$C$27, 0.0021, 0)</f>
        <v>45.333799999999997</v>
      </c>
      <c r="G433" s="10">
        <f>45.6031 * CHOOSE(CONTROL!$C$9, $D$9, 100%, $F$9) + CHOOSE(CONTROL!$C$27, 0.0021, 0)</f>
        <v>45.605199999999996</v>
      </c>
      <c r="H433" s="10">
        <f>45.4684 * CHOOSE(CONTROL!$C$9, $D$9, 100%, $F$9) + CHOOSE(CONTROL!$C$27, 0.0021, 0)</f>
        <v>45.470500000000001</v>
      </c>
      <c r="I433" s="10">
        <f>45.4684 * CHOOSE(CONTROL!$C$9, $D$9, 100%, $F$9) + CHOOSE(CONTROL!$C$27, 0.0021, 0)</f>
        <v>45.470500000000001</v>
      </c>
      <c r="J433" s="10">
        <f>45.4684 * CHOOSE(CONTROL!$C$9, $D$9, 100%, $F$9) + CHOOSE(CONTROL!$C$27, 0.0021, 0)</f>
        <v>45.470500000000001</v>
      </c>
      <c r="K433" s="10">
        <f>45.4684 * CHOOSE(CONTROL!$C$9, $D$9, 100%, $F$9) + CHOOSE(CONTROL!$C$27, 0.0021, 0)</f>
        <v>45.470500000000001</v>
      </c>
      <c r="L433" s="10"/>
    </row>
    <row r="434" spans="1:12" ht="15.75">
      <c r="A434" s="14">
        <v>54513</v>
      </c>
      <c r="B434" s="10">
        <f>45.3766 * CHOOSE(CONTROL!$C$9, $D$9, 100%, $F$9) + CHOOSE(CONTROL!$C$27, 0.0021, 0)</f>
        <v>45.378700000000002</v>
      </c>
      <c r="C434" s="10">
        <f>44.9444 * CHOOSE(CONTROL!$C$9, $D$9, 100%, $F$9) + CHOOSE(CONTROL!$C$27, 0.0021, 0)</f>
        <v>44.9465</v>
      </c>
      <c r="D434" s="10">
        <f>44.9444 * CHOOSE(CONTROL!$C$9, $D$9, 100%, $F$9) + CHOOSE(CONTROL!$C$27, 0.0021, 0)</f>
        <v>44.9465</v>
      </c>
      <c r="E434" s="10">
        <f>44.8077 * CHOOSE(CONTROL!$C$9, $D$9, 100%, $F$9) + CHOOSE(CONTROL!$C$27, 0.0021, 0)</f>
        <v>44.809799999999996</v>
      </c>
      <c r="F434" s="10">
        <f>44.8077 * CHOOSE(CONTROL!$C$9, $D$9, 100%, $F$9) + CHOOSE(CONTROL!$C$27, 0.0021, 0)</f>
        <v>44.809799999999996</v>
      </c>
      <c r="G434" s="10">
        <f>45.0791 * CHOOSE(CONTROL!$C$9, $D$9, 100%, $F$9) + CHOOSE(CONTROL!$C$27, 0.0021, 0)</f>
        <v>45.081199999999995</v>
      </c>
      <c r="H434" s="10">
        <f>44.9444 * CHOOSE(CONTROL!$C$9, $D$9, 100%, $F$9) + CHOOSE(CONTROL!$C$27, 0.0021, 0)</f>
        <v>44.9465</v>
      </c>
      <c r="I434" s="10">
        <f>44.9444 * CHOOSE(CONTROL!$C$9, $D$9, 100%, $F$9) + CHOOSE(CONTROL!$C$27, 0.0021, 0)</f>
        <v>44.9465</v>
      </c>
      <c r="J434" s="10">
        <f>44.9444 * CHOOSE(CONTROL!$C$9, $D$9, 100%, $F$9) + CHOOSE(CONTROL!$C$27, 0.0021, 0)</f>
        <v>44.9465</v>
      </c>
      <c r="K434" s="10">
        <f>44.9444 * CHOOSE(CONTROL!$C$9, $D$9, 100%, $F$9) + CHOOSE(CONTROL!$C$27, 0.0021, 0)</f>
        <v>44.9465</v>
      </c>
      <c r="L434" s="10"/>
    </row>
    <row r="435" spans="1:12" ht="15.75">
      <c r="A435" s="14">
        <v>54543</v>
      </c>
      <c r="B435" s="10">
        <f>44.7509 * CHOOSE(CONTROL!$C$9, $D$9, 100%, $F$9) + CHOOSE(CONTROL!$C$27, 0.0021, 0)</f>
        <v>44.753</v>
      </c>
      <c r="C435" s="10">
        <f>44.3187 * CHOOSE(CONTROL!$C$9, $D$9, 100%, $F$9) + CHOOSE(CONTROL!$C$27, 0.0021, 0)</f>
        <v>44.320799999999998</v>
      </c>
      <c r="D435" s="10">
        <f>44.3187 * CHOOSE(CONTROL!$C$9, $D$9, 100%, $F$9) + CHOOSE(CONTROL!$C$27, 0.0021, 0)</f>
        <v>44.320799999999998</v>
      </c>
      <c r="E435" s="10">
        <f>44.182 * CHOOSE(CONTROL!$C$9, $D$9, 100%, $F$9) + CHOOSE(CONTROL!$C$27, 0.0021, 0)</f>
        <v>44.184100000000001</v>
      </c>
      <c r="F435" s="10">
        <f>44.182 * CHOOSE(CONTROL!$C$9, $D$9, 100%, $F$9) + CHOOSE(CONTROL!$C$27, 0.0021, 0)</f>
        <v>44.184100000000001</v>
      </c>
      <c r="G435" s="10">
        <f>44.4534 * CHOOSE(CONTROL!$C$9, $D$9, 100%, $F$9) + CHOOSE(CONTROL!$C$27, 0.0021, 0)</f>
        <v>44.455500000000001</v>
      </c>
      <c r="H435" s="10">
        <f>44.3187 * CHOOSE(CONTROL!$C$9, $D$9, 100%, $F$9) + CHOOSE(CONTROL!$C$27, 0.0021, 0)</f>
        <v>44.320799999999998</v>
      </c>
      <c r="I435" s="10">
        <f>44.3187 * CHOOSE(CONTROL!$C$9, $D$9, 100%, $F$9) + CHOOSE(CONTROL!$C$27, 0.0021, 0)</f>
        <v>44.320799999999998</v>
      </c>
      <c r="J435" s="10">
        <f>44.3187 * CHOOSE(CONTROL!$C$9, $D$9, 100%, $F$9) + CHOOSE(CONTROL!$C$27, 0.0021, 0)</f>
        <v>44.320799999999998</v>
      </c>
      <c r="K435" s="10">
        <f>44.3187 * CHOOSE(CONTROL!$C$9, $D$9, 100%, $F$9) + CHOOSE(CONTROL!$C$27, 0.0021, 0)</f>
        <v>44.320799999999998</v>
      </c>
      <c r="L435" s="10"/>
    </row>
    <row r="436" spans="1:12" ht="15.75">
      <c r="A436" s="14">
        <v>54574</v>
      </c>
      <c r="B436" s="10">
        <f>45.6426 * CHOOSE(CONTROL!$C$9, $D$9, 100%, $F$9) + CHOOSE(CONTROL!$C$27, 0.0021, 0)</f>
        <v>45.6447</v>
      </c>
      <c r="C436" s="10">
        <f>45.2103 * CHOOSE(CONTROL!$C$9, $D$9, 100%, $F$9) + CHOOSE(CONTROL!$C$27, 0.0021, 0)</f>
        <v>45.212399999999995</v>
      </c>
      <c r="D436" s="10">
        <f>45.2103 * CHOOSE(CONTROL!$C$9, $D$9, 100%, $F$9) + CHOOSE(CONTROL!$C$27, 0.0021, 0)</f>
        <v>45.212399999999995</v>
      </c>
      <c r="E436" s="10">
        <f>45.0737 * CHOOSE(CONTROL!$C$9, $D$9, 100%, $F$9) + CHOOSE(CONTROL!$C$27, 0.0021, 0)</f>
        <v>45.075800000000001</v>
      </c>
      <c r="F436" s="10">
        <f>45.0737 * CHOOSE(CONTROL!$C$9, $D$9, 100%, $F$9) + CHOOSE(CONTROL!$C$27, 0.0021, 0)</f>
        <v>45.075800000000001</v>
      </c>
      <c r="G436" s="10">
        <f>45.3451 * CHOOSE(CONTROL!$C$9, $D$9, 100%, $F$9) + CHOOSE(CONTROL!$C$27, 0.0021, 0)</f>
        <v>45.347200000000001</v>
      </c>
      <c r="H436" s="10">
        <f>45.2103 * CHOOSE(CONTROL!$C$9, $D$9, 100%, $F$9) + CHOOSE(CONTROL!$C$27, 0.0021, 0)</f>
        <v>45.212399999999995</v>
      </c>
      <c r="I436" s="10">
        <f>45.2103 * CHOOSE(CONTROL!$C$9, $D$9, 100%, $F$9) + CHOOSE(CONTROL!$C$27, 0.0021, 0)</f>
        <v>45.212399999999995</v>
      </c>
      <c r="J436" s="10">
        <f>45.2103 * CHOOSE(CONTROL!$C$9, $D$9, 100%, $F$9) + CHOOSE(CONTROL!$C$27, 0.0021, 0)</f>
        <v>45.212399999999995</v>
      </c>
      <c r="K436" s="10">
        <f>45.2103 * CHOOSE(CONTROL!$C$9, $D$9, 100%, $F$9) + CHOOSE(CONTROL!$C$27, 0.0021, 0)</f>
        <v>45.212399999999995</v>
      </c>
      <c r="L436" s="10"/>
    </row>
    <row r="437" spans="1:12" ht="15.75">
      <c r="A437" s="14">
        <v>54604</v>
      </c>
      <c r="B437" s="10">
        <f>46.1766 * CHOOSE(CONTROL!$C$9, $D$9, 100%, $F$9) + CHOOSE(CONTROL!$C$27, 0.0021, 0)</f>
        <v>46.178699999999999</v>
      </c>
      <c r="C437" s="10">
        <f>45.7444 * CHOOSE(CONTROL!$C$9, $D$9, 100%, $F$9) + CHOOSE(CONTROL!$C$27, 0.0021, 0)</f>
        <v>45.746499999999997</v>
      </c>
      <c r="D437" s="10">
        <f>45.7444 * CHOOSE(CONTROL!$C$9, $D$9, 100%, $F$9) + CHOOSE(CONTROL!$C$27, 0.0021, 0)</f>
        <v>45.746499999999997</v>
      </c>
      <c r="E437" s="10">
        <f>45.6077 * CHOOSE(CONTROL!$C$9, $D$9, 100%, $F$9) + CHOOSE(CONTROL!$C$27, 0.0021, 0)</f>
        <v>45.6098</v>
      </c>
      <c r="F437" s="10">
        <f>45.6077 * CHOOSE(CONTROL!$C$9, $D$9, 100%, $F$9) + CHOOSE(CONTROL!$C$27, 0.0021, 0)</f>
        <v>45.6098</v>
      </c>
      <c r="G437" s="10">
        <f>45.8791 * CHOOSE(CONTROL!$C$9, $D$9, 100%, $F$9) + CHOOSE(CONTROL!$C$27, 0.0021, 0)</f>
        <v>45.8812</v>
      </c>
      <c r="H437" s="10">
        <f>45.7444 * CHOOSE(CONTROL!$C$9, $D$9, 100%, $F$9) + CHOOSE(CONTROL!$C$27, 0.0021, 0)</f>
        <v>45.746499999999997</v>
      </c>
      <c r="I437" s="10">
        <f>45.7444 * CHOOSE(CONTROL!$C$9, $D$9, 100%, $F$9) + CHOOSE(CONTROL!$C$27, 0.0021, 0)</f>
        <v>45.746499999999997</v>
      </c>
      <c r="J437" s="10">
        <f>45.7444 * CHOOSE(CONTROL!$C$9, $D$9, 100%, $F$9) + CHOOSE(CONTROL!$C$27, 0.0021, 0)</f>
        <v>45.746499999999997</v>
      </c>
      <c r="K437" s="10">
        <f>45.7444 * CHOOSE(CONTROL!$C$9, $D$9, 100%, $F$9) + CHOOSE(CONTROL!$C$27, 0.0021, 0)</f>
        <v>45.746499999999997</v>
      </c>
      <c r="L437" s="10"/>
    </row>
    <row r="438" spans="1:12" ht="15.75">
      <c r="A438" s="14">
        <v>54635</v>
      </c>
      <c r="B438" s="10">
        <f>47.0577 * CHOOSE(CONTROL!$C$9, $D$9, 100%, $F$9) + CHOOSE(CONTROL!$C$27, 0.0021, 0)</f>
        <v>47.059799999999996</v>
      </c>
      <c r="C438" s="10">
        <f>46.6254 * CHOOSE(CONTROL!$C$9, $D$9, 100%, $F$9) + CHOOSE(CONTROL!$C$27, 0.0021, 0)</f>
        <v>46.627499999999998</v>
      </c>
      <c r="D438" s="10">
        <f>46.6254 * CHOOSE(CONTROL!$C$9, $D$9, 100%, $F$9) + CHOOSE(CONTROL!$C$27, 0.0021, 0)</f>
        <v>46.627499999999998</v>
      </c>
      <c r="E438" s="10">
        <f>46.4887 * CHOOSE(CONTROL!$C$9, $D$9, 100%, $F$9) + CHOOSE(CONTROL!$C$27, 0.0021, 0)</f>
        <v>46.4908</v>
      </c>
      <c r="F438" s="10">
        <f>46.4887 * CHOOSE(CONTROL!$C$9, $D$9, 100%, $F$9) + CHOOSE(CONTROL!$C$27, 0.0021, 0)</f>
        <v>46.4908</v>
      </c>
      <c r="G438" s="10">
        <f>46.7601 * CHOOSE(CONTROL!$C$9, $D$9, 100%, $F$9) + CHOOSE(CONTROL!$C$27, 0.0021, 0)</f>
        <v>46.7622</v>
      </c>
      <c r="H438" s="10">
        <f>46.6254 * CHOOSE(CONTROL!$C$9, $D$9, 100%, $F$9) + CHOOSE(CONTROL!$C$27, 0.0021, 0)</f>
        <v>46.627499999999998</v>
      </c>
      <c r="I438" s="10">
        <f>46.6254 * CHOOSE(CONTROL!$C$9, $D$9, 100%, $F$9) + CHOOSE(CONTROL!$C$27, 0.0021, 0)</f>
        <v>46.627499999999998</v>
      </c>
      <c r="J438" s="10">
        <f>46.6254 * CHOOSE(CONTROL!$C$9, $D$9, 100%, $F$9) + CHOOSE(CONTROL!$C$27, 0.0021, 0)</f>
        <v>46.627499999999998</v>
      </c>
      <c r="K438" s="10">
        <f>46.6254 * CHOOSE(CONTROL!$C$9, $D$9, 100%, $F$9) + CHOOSE(CONTROL!$C$27, 0.0021, 0)</f>
        <v>46.627499999999998</v>
      </c>
      <c r="L438" s="10"/>
    </row>
    <row r="439" spans="1:12" ht="15.75">
      <c r="A439" s="14">
        <v>54666</v>
      </c>
      <c r="B439" s="10">
        <f>47.3266 * CHOOSE(CONTROL!$C$9, $D$9, 100%, $F$9) + CHOOSE(CONTROL!$C$27, 0.0021, 0)</f>
        <v>47.328699999999998</v>
      </c>
      <c r="C439" s="10">
        <f>46.8943 * CHOOSE(CONTROL!$C$9, $D$9, 100%, $F$9) + CHOOSE(CONTROL!$C$27, 0.0021, 0)</f>
        <v>46.8964</v>
      </c>
      <c r="D439" s="10">
        <f>46.8943 * CHOOSE(CONTROL!$C$9, $D$9, 100%, $F$9) + CHOOSE(CONTROL!$C$27, 0.0021, 0)</f>
        <v>46.8964</v>
      </c>
      <c r="E439" s="10">
        <f>46.7577 * CHOOSE(CONTROL!$C$9, $D$9, 100%, $F$9) + CHOOSE(CONTROL!$C$27, 0.0021, 0)</f>
        <v>46.759799999999998</v>
      </c>
      <c r="F439" s="10">
        <f>46.7577 * CHOOSE(CONTROL!$C$9, $D$9, 100%, $F$9) + CHOOSE(CONTROL!$C$27, 0.0021, 0)</f>
        <v>46.759799999999998</v>
      </c>
      <c r="G439" s="10">
        <f>47.029 * CHOOSE(CONTROL!$C$9, $D$9, 100%, $F$9) + CHOOSE(CONTROL!$C$27, 0.0021, 0)</f>
        <v>47.031100000000002</v>
      </c>
      <c r="H439" s="10">
        <f>46.8943 * CHOOSE(CONTROL!$C$9, $D$9, 100%, $F$9) + CHOOSE(CONTROL!$C$27, 0.0021, 0)</f>
        <v>46.8964</v>
      </c>
      <c r="I439" s="10">
        <f>46.8943 * CHOOSE(CONTROL!$C$9, $D$9, 100%, $F$9) + CHOOSE(CONTROL!$C$27, 0.0021, 0)</f>
        <v>46.8964</v>
      </c>
      <c r="J439" s="10">
        <f>46.8943 * CHOOSE(CONTROL!$C$9, $D$9, 100%, $F$9) + CHOOSE(CONTROL!$C$27, 0.0021, 0)</f>
        <v>46.8964</v>
      </c>
      <c r="K439" s="10">
        <f>46.8943 * CHOOSE(CONTROL!$C$9, $D$9, 100%, $F$9) + CHOOSE(CONTROL!$C$27, 0.0021, 0)</f>
        <v>46.8964</v>
      </c>
      <c r="L439" s="10"/>
    </row>
    <row r="440" spans="1:12" ht="15.75">
      <c r="A440" s="14">
        <v>54696</v>
      </c>
      <c r="B440" s="10">
        <f>48.2423 * CHOOSE(CONTROL!$C$9, $D$9, 100%, $F$9) + CHOOSE(CONTROL!$C$27, 0.0021, 0)</f>
        <v>48.244399999999999</v>
      </c>
      <c r="C440" s="10">
        <f>47.8101 * CHOOSE(CONTROL!$C$9, $D$9, 100%, $F$9) + CHOOSE(CONTROL!$C$27, 0.0021, 0)</f>
        <v>47.812199999999997</v>
      </c>
      <c r="D440" s="10">
        <f>47.8101 * CHOOSE(CONTROL!$C$9, $D$9, 100%, $F$9) + CHOOSE(CONTROL!$C$27, 0.0021, 0)</f>
        <v>47.812199999999997</v>
      </c>
      <c r="E440" s="10">
        <f>47.6734 * CHOOSE(CONTROL!$C$9, $D$9, 100%, $F$9) + CHOOSE(CONTROL!$C$27, 0.0021, 0)</f>
        <v>47.6755</v>
      </c>
      <c r="F440" s="10">
        <f>47.6734 * CHOOSE(CONTROL!$C$9, $D$9, 100%, $F$9) + CHOOSE(CONTROL!$C$27, 0.0021, 0)</f>
        <v>47.6755</v>
      </c>
      <c r="G440" s="10">
        <f>47.9448 * CHOOSE(CONTROL!$C$9, $D$9, 100%, $F$9) + CHOOSE(CONTROL!$C$27, 0.0021, 0)</f>
        <v>47.946899999999999</v>
      </c>
      <c r="H440" s="10">
        <f>47.8101 * CHOOSE(CONTROL!$C$9, $D$9, 100%, $F$9) + CHOOSE(CONTROL!$C$27, 0.0021, 0)</f>
        <v>47.812199999999997</v>
      </c>
      <c r="I440" s="10">
        <f>47.8101 * CHOOSE(CONTROL!$C$9, $D$9, 100%, $F$9) + CHOOSE(CONTROL!$C$27, 0.0021, 0)</f>
        <v>47.812199999999997</v>
      </c>
      <c r="J440" s="10">
        <f>47.8101 * CHOOSE(CONTROL!$C$9, $D$9, 100%, $F$9) + CHOOSE(CONTROL!$C$27, 0.0021, 0)</f>
        <v>47.812199999999997</v>
      </c>
      <c r="K440" s="10">
        <f>47.8101 * CHOOSE(CONTROL!$C$9, $D$9, 100%, $F$9) + CHOOSE(CONTROL!$C$27, 0.0021, 0)</f>
        <v>47.812199999999997</v>
      </c>
      <c r="L440" s="10"/>
    </row>
    <row r="441" spans="1:12" ht="15.75">
      <c r="A441" s="14">
        <v>54727</v>
      </c>
      <c r="B441" s="10">
        <f>49.4015 * CHOOSE(CONTROL!$C$9, $D$9, 100%, $F$9) + CHOOSE(CONTROL!$C$27, 0.0021, 0)</f>
        <v>49.403599999999997</v>
      </c>
      <c r="C441" s="10">
        <f>48.9693 * CHOOSE(CONTROL!$C$9, $D$9, 100%, $F$9) + CHOOSE(CONTROL!$C$27, 0.0021, 0)</f>
        <v>48.971399999999996</v>
      </c>
      <c r="D441" s="10">
        <f>48.9693 * CHOOSE(CONTROL!$C$9, $D$9, 100%, $F$9) + CHOOSE(CONTROL!$C$27, 0.0021, 0)</f>
        <v>48.971399999999996</v>
      </c>
      <c r="E441" s="10">
        <f>48.8326 * CHOOSE(CONTROL!$C$9, $D$9, 100%, $F$9) + CHOOSE(CONTROL!$C$27, 0.0021, 0)</f>
        <v>48.834699999999998</v>
      </c>
      <c r="F441" s="10">
        <f>48.8326 * CHOOSE(CONTROL!$C$9, $D$9, 100%, $F$9) + CHOOSE(CONTROL!$C$27, 0.0021, 0)</f>
        <v>48.834699999999998</v>
      </c>
      <c r="G441" s="10">
        <f>49.104 * CHOOSE(CONTROL!$C$9, $D$9, 100%, $F$9) + CHOOSE(CONTROL!$C$27, 0.0021, 0)</f>
        <v>49.106099999999998</v>
      </c>
      <c r="H441" s="10">
        <f>48.9693 * CHOOSE(CONTROL!$C$9, $D$9, 100%, $F$9) + CHOOSE(CONTROL!$C$27, 0.0021, 0)</f>
        <v>48.971399999999996</v>
      </c>
      <c r="I441" s="10">
        <f>48.9693 * CHOOSE(CONTROL!$C$9, $D$9, 100%, $F$9) + CHOOSE(CONTROL!$C$27, 0.0021, 0)</f>
        <v>48.971399999999996</v>
      </c>
      <c r="J441" s="10">
        <f>48.9693 * CHOOSE(CONTROL!$C$9, $D$9, 100%, $F$9) + CHOOSE(CONTROL!$C$27, 0.0021, 0)</f>
        <v>48.971399999999996</v>
      </c>
      <c r="K441" s="10">
        <f>48.9693 * CHOOSE(CONTROL!$C$9, $D$9, 100%, $F$9) + CHOOSE(CONTROL!$C$27, 0.0021, 0)</f>
        <v>48.971399999999996</v>
      </c>
      <c r="L441" s="10"/>
    </row>
    <row r="442" spans="1:12" ht="15.75">
      <c r="A442" s="14">
        <v>54757</v>
      </c>
      <c r="B442" s="10">
        <f>49.5104 * CHOOSE(CONTROL!$C$9, $D$9, 100%, $F$9) + CHOOSE(CONTROL!$C$27, 0.0021, 0)</f>
        <v>49.512499999999996</v>
      </c>
      <c r="C442" s="10">
        <f>49.0781 * CHOOSE(CONTROL!$C$9, $D$9, 100%, $F$9) + CHOOSE(CONTROL!$C$27, 0.0021, 0)</f>
        <v>49.080199999999998</v>
      </c>
      <c r="D442" s="10">
        <f>49.0781 * CHOOSE(CONTROL!$C$9, $D$9, 100%, $F$9) + CHOOSE(CONTROL!$C$27, 0.0021, 0)</f>
        <v>49.080199999999998</v>
      </c>
      <c r="E442" s="10">
        <f>48.9415 * CHOOSE(CONTROL!$C$9, $D$9, 100%, $F$9) + CHOOSE(CONTROL!$C$27, 0.0021, 0)</f>
        <v>48.943599999999996</v>
      </c>
      <c r="F442" s="10">
        <f>48.9415 * CHOOSE(CONTROL!$C$9, $D$9, 100%, $F$9) + CHOOSE(CONTROL!$C$27, 0.0021, 0)</f>
        <v>48.943599999999996</v>
      </c>
      <c r="G442" s="10">
        <f>49.2128 * CHOOSE(CONTROL!$C$9, $D$9, 100%, $F$9) + CHOOSE(CONTROL!$C$27, 0.0021, 0)</f>
        <v>49.2149</v>
      </c>
      <c r="H442" s="10">
        <f>49.0781 * CHOOSE(CONTROL!$C$9, $D$9, 100%, $F$9) + CHOOSE(CONTROL!$C$27, 0.0021, 0)</f>
        <v>49.080199999999998</v>
      </c>
      <c r="I442" s="10">
        <f>49.0781 * CHOOSE(CONTROL!$C$9, $D$9, 100%, $F$9) + CHOOSE(CONTROL!$C$27, 0.0021, 0)</f>
        <v>49.080199999999998</v>
      </c>
      <c r="J442" s="10">
        <f>49.0781 * CHOOSE(CONTROL!$C$9, $D$9, 100%, $F$9) + CHOOSE(CONTROL!$C$27, 0.0021, 0)</f>
        <v>49.080199999999998</v>
      </c>
      <c r="K442" s="10">
        <f>49.0781 * CHOOSE(CONTROL!$C$9, $D$9, 100%, $F$9) + CHOOSE(CONTROL!$C$27, 0.0021, 0)</f>
        <v>49.080199999999998</v>
      </c>
      <c r="L442" s="10"/>
    </row>
    <row r="443" spans="1:12" ht="15.75">
      <c r="A443" s="14">
        <v>54788</v>
      </c>
      <c r="B443" s="10">
        <f>48.5845 * CHOOSE(CONTROL!$C$9, $D$9, 100%, $F$9) + CHOOSE(CONTROL!$C$27, 0.0021, 0)</f>
        <v>48.586599999999997</v>
      </c>
      <c r="C443" s="10">
        <f>48.1523 * CHOOSE(CONTROL!$C$9, $D$9, 100%, $F$9) + CHOOSE(CONTROL!$C$27, 0.0021, 0)</f>
        <v>48.154399999999995</v>
      </c>
      <c r="D443" s="10">
        <f>48.1523 * CHOOSE(CONTROL!$C$9, $D$9, 100%, $F$9) + CHOOSE(CONTROL!$C$27, 0.0021, 0)</f>
        <v>48.154399999999995</v>
      </c>
      <c r="E443" s="10">
        <f>48.0156 * CHOOSE(CONTROL!$C$9, $D$9, 100%, $F$9) + CHOOSE(CONTROL!$C$27, 0.0021, 0)</f>
        <v>48.017699999999998</v>
      </c>
      <c r="F443" s="10">
        <f>48.0156 * CHOOSE(CONTROL!$C$9, $D$9, 100%, $F$9) + CHOOSE(CONTROL!$C$27, 0.0021, 0)</f>
        <v>48.017699999999998</v>
      </c>
      <c r="G443" s="10">
        <f>48.287 * CHOOSE(CONTROL!$C$9, $D$9, 100%, $F$9) + CHOOSE(CONTROL!$C$27, 0.0021, 0)</f>
        <v>48.289099999999998</v>
      </c>
      <c r="H443" s="10">
        <f>48.1523 * CHOOSE(CONTROL!$C$9, $D$9, 100%, $F$9) + CHOOSE(CONTROL!$C$27, 0.0021, 0)</f>
        <v>48.154399999999995</v>
      </c>
      <c r="I443" s="10">
        <f>48.1523 * CHOOSE(CONTROL!$C$9, $D$9, 100%, $F$9) + CHOOSE(CONTROL!$C$27, 0.0021, 0)</f>
        <v>48.154399999999995</v>
      </c>
      <c r="J443" s="10">
        <f>48.1523 * CHOOSE(CONTROL!$C$9, $D$9, 100%, $F$9) + CHOOSE(CONTROL!$C$27, 0.0021, 0)</f>
        <v>48.154399999999995</v>
      </c>
      <c r="K443" s="10">
        <f>48.1523 * CHOOSE(CONTROL!$C$9, $D$9, 100%, $F$9) + CHOOSE(CONTROL!$C$27, 0.0021, 0)</f>
        <v>48.154399999999995</v>
      </c>
      <c r="L443" s="10"/>
    </row>
    <row r="444" spans="1:12" ht="15.75">
      <c r="A444" s="14">
        <v>54819</v>
      </c>
      <c r="B444" s="10">
        <f>47.8757 * CHOOSE(CONTROL!$C$9, $D$9, 100%, $F$9) + CHOOSE(CONTROL!$C$27, 0.0021, 0)</f>
        <v>47.877800000000001</v>
      </c>
      <c r="C444" s="10">
        <f>47.4434 * CHOOSE(CONTROL!$C$9, $D$9, 100%, $F$9) + CHOOSE(CONTROL!$C$27, 0.0021, 0)</f>
        <v>47.445499999999996</v>
      </c>
      <c r="D444" s="10">
        <f>47.4434 * CHOOSE(CONTROL!$C$9, $D$9, 100%, $F$9) + CHOOSE(CONTROL!$C$27, 0.0021, 0)</f>
        <v>47.445499999999996</v>
      </c>
      <c r="E444" s="10">
        <f>47.3068 * CHOOSE(CONTROL!$C$9, $D$9, 100%, $F$9) + CHOOSE(CONTROL!$C$27, 0.0021, 0)</f>
        <v>47.308900000000001</v>
      </c>
      <c r="F444" s="10">
        <f>47.3068 * CHOOSE(CONTROL!$C$9, $D$9, 100%, $F$9) + CHOOSE(CONTROL!$C$27, 0.0021, 0)</f>
        <v>47.308900000000001</v>
      </c>
      <c r="G444" s="10">
        <f>47.5781 * CHOOSE(CONTROL!$C$9, $D$9, 100%, $F$9) + CHOOSE(CONTROL!$C$27, 0.0021, 0)</f>
        <v>47.580199999999998</v>
      </c>
      <c r="H444" s="10">
        <f>47.4434 * CHOOSE(CONTROL!$C$9, $D$9, 100%, $F$9) + CHOOSE(CONTROL!$C$27, 0.0021, 0)</f>
        <v>47.445499999999996</v>
      </c>
      <c r="I444" s="10">
        <f>47.4434 * CHOOSE(CONTROL!$C$9, $D$9, 100%, $F$9) + CHOOSE(CONTROL!$C$27, 0.0021, 0)</f>
        <v>47.445499999999996</v>
      </c>
      <c r="J444" s="10">
        <f>47.4434 * CHOOSE(CONTROL!$C$9, $D$9, 100%, $F$9) + CHOOSE(CONTROL!$C$27, 0.0021, 0)</f>
        <v>47.445499999999996</v>
      </c>
      <c r="K444" s="10">
        <f>47.4434 * CHOOSE(CONTROL!$C$9, $D$9, 100%, $F$9) + CHOOSE(CONTROL!$C$27, 0.0021, 0)</f>
        <v>47.445499999999996</v>
      </c>
      <c r="L444" s="10"/>
    </row>
    <row r="445" spans="1:12" ht="15.75">
      <c r="A445" s="14">
        <v>54847</v>
      </c>
      <c r="B445" s="10">
        <f>46.5863 * CHOOSE(CONTROL!$C$9, $D$9, 100%, $F$9) + CHOOSE(CONTROL!$C$27, 0.0021, 0)</f>
        <v>46.5884</v>
      </c>
      <c r="C445" s="10">
        <f>46.1541 * CHOOSE(CONTROL!$C$9, $D$9, 100%, $F$9) + CHOOSE(CONTROL!$C$27, 0.0021, 0)</f>
        <v>46.156199999999998</v>
      </c>
      <c r="D445" s="10">
        <f>46.1541 * CHOOSE(CONTROL!$C$9, $D$9, 100%, $F$9) + CHOOSE(CONTROL!$C$27, 0.0021, 0)</f>
        <v>46.156199999999998</v>
      </c>
      <c r="E445" s="10">
        <f>46.0174 * CHOOSE(CONTROL!$C$9, $D$9, 100%, $F$9) + CHOOSE(CONTROL!$C$27, 0.0021, 0)</f>
        <v>46.019500000000001</v>
      </c>
      <c r="F445" s="10">
        <f>46.0174 * CHOOSE(CONTROL!$C$9, $D$9, 100%, $F$9) + CHOOSE(CONTROL!$C$27, 0.0021, 0)</f>
        <v>46.019500000000001</v>
      </c>
      <c r="G445" s="10">
        <f>46.2888 * CHOOSE(CONTROL!$C$9, $D$9, 100%, $F$9) + CHOOSE(CONTROL!$C$27, 0.0021, 0)</f>
        <v>46.290900000000001</v>
      </c>
      <c r="H445" s="10">
        <f>46.1541 * CHOOSE(CONTROL!$C$9, $D$9, 100%, $F$9) + CHOOSE(CONTROL!$C$27, 0.0021, 0)</f>
        <v>46.156199999999998</v>
      </c>
      <c r="I445" s="10">
        <f>46.1541 * CHOOSE(CONTROL!$C$9, $D$9, 100%, $F$9) + CHOOSE(CONTROL!$C$27, 0.0021, 0)</f>
        <v>46.156199999999998</v>
      </c>
      <c r="J445" s="10">
        <f>46.1541 * CHOOSE(CONTROL!$C$9, $D$9, 100%, $F$9) + CHOOSE(CONTROL!$C$27, 0.0021, 0)</f>
        <v>46.156199999999998</v>
      </c>
      <c r="K445" s="10">
        <f>46.1541 * CHOOSE(CONTROL!$C$9, $D$9, 100%, $F$9) + CHOOSE(CONTROL!$C$27, 0.0021, 0)</f>
        <v>46.156199999999998</v>
      </c>
      <c r="L445" s="10"/>
    </row>
    <row r="446" spans="1:12" ht="15.75">
      <c r="A446" s="14">
        <v>54878</v>
      </c>
      <c r="B446" s="10">
        <f>46.0541 * CHOOSE(CONTROL!$C$9, $D$9, 100%, $F$9) + CHOOSE(CONTROL!$C$27, 0.0021, 0)</f>
        <v>46.056199999999997</v>
      </c>
      <c r="C446" s="10">
        <f>45.6218 * CHOOSE(CONTROL!$C$9, $D$9, 100%, $F$9) + CHOOSE(CONTROL!$C$27, 0.0021, 0)</f>
        <v>45.623899999999999</v>
      </c>
      <c r="D446" s="10">
        <f>45.6218 * CHOOSE(CONTROL!$C$9, $D$9, 100%, $F$9) + CHOOSE(CONTROL!$C$27, 0.0021, 0)</f>
        <v>45.623899999999999</v>
      </c>
      <c r="E446" s="10">
        <f>45.4852 * CHOOSE(CONTROL!$C$9, $D$9, 100%, $F$9) + CHOOSE(CONTROL!$C$27, 0.0021, 0)</f>
        <v>45.487299999999998</v>
      </c>
      <c r="F446" s="10">
        <f>45.4852 * CHOOSE(CONTROL!$C$9, $D$9, 100%, $F$9) + CHOOSE(CONTROL!$C$27, 0.0021, 0)</f>
        <v>45.487299999999998</v>
      </c>
      <c r="G446" s="10">
        <f>45.7566 * CHOOSE(CONTROL!$C$9, $D$9, 100%, $F$9) + CHOOSE(CONTROL!$C$27, 0.0021, 0)</f>
        <v>45.758699999999997</v>
      </c>
      <c r="H446" s="10">
        <f>45.6218 * CHOOSE(CONTROL!$C$9, $D$9, 100%, $F$9) + CHOOSE(CONTROL!$C$27, 0.0021, 0)</f>
        <v>45.623899999999999</v>
      </c>
      <c r="I446" s="10">
        <f>45.6218 * CHOOSE(CONTROL!$C$9, $D$9, 100%, $F$9) + CHOOSE(CONTROL!$C$27, 0.0021, 0)</f>
        <v>45.623899999999999</v>
      </c>
      <c r="J446" s="10">
        <f>45.6218 * CHOOSE(CONTROL!$C$9, $D$9, 100%, $F$9) + CHOOSE(CONTROL!$C$27, 0.0021, 0)</f>
        <v>45.623899999999999</v>
      </c>
      <c r="K446" s="10">
        <f>45.6218 * CHOOSE(CONTROL!$C$9, $D$9, 100%, $F$9) + CHOOSE(CONTROL!$C$27, 0.0021, 0)</f>
        <v>45.623899999999999</v>
      </c>
      <c r="L446" s="10"/>
    </row>
    <row r="447" spans="1:12" ht="15.75">
      <c r="A447" s="14">
        <v>54908</v>
      </c>
      <c r="B447" s="10">
        <f>45.4186 * CHOOSE(CONTROL!$C$9, $D$9, 100%, $F$9) + CHOOSE(CONTROL!$C$27, 0.0021, 0)</f>
        <v>45.420699999999997</v>
      </c>
      <c r="C447" s="10">
        <f>44.9863 * CHOOSE(CONTROL!$C$9, $D$9, 100%, $F$9) + CHOOSE(CONTROL!$C$27, 0.0021, 0)</f>
        <v>44.988399999999999</v>
      </c>
      <c r="D447" s="10">
        <f>44.9863 * CHOOSE(CONTROL!$C$9, $D$9, 100%, $F$9) + CHOOSE(CONTROL!$C$27, 0.0021, 0)</f>
        <v>44.988399999999999</v>
      </c>
      <c r="E447" s="10">
        <f>44.8497 * CHOOSE(CONTROL!$C$9, $D$9, 100%, $F$9) + CHOOSE(CONTROL!$C$27, 0.0021, 0)</f>
        <v>44.851799999999997</v>
      </c>
      <c r="F447" s="10">
        <f>44.8497 * CHOOSE(CONTROL!$C$9, $D$9, 100%, $F$9) + CHOOSE(CONTROL!$C$27, 0.0021, 0)</f>
        <v>44.851799999999997</v>
      </c>
      <c r="G447" s="10">
        <f>45.1211 * CHOOSE(CONTROL!$C$9, $D$9, 100%, $F$9) + CHOOSE(CONTROL!$C$27, 0.0021, 0)</f>
        <v>45.123199999999997</v>
      </c>
      <c r="H447" s="10">
        <f>44.9863 * CHOOSE(CONTROL!$C$9, $D$9, 100%, $F$9) + CHOOSE(CONTROL!$C$27, 0.0021, 0)</f>
        <v>44.988399999999999</v>
      </c>
      <c r="I447" s="10">
        <f>44.9863 * CHOOSE(CONTROL!$C$9, $D$9, 100%, $F$9) + CHOOSE(CONTROL!$C$27, 0.0021, 0)</f>
        <v>44.988399999999999</v>
      </c>
      <c r="J447" s="10">
        <f>44.9863 * CHOOSE(CONTROL!$C$9, $D$9, 100%, $F$9) + CHOOSE(CONTROL!$C$27, 0.0021, 0)</f>
        <v>44.988399999999999</v>
      </c>
      <c r="K447" s="10">
        <f>44.9863 * CHOOSE(CONTROL!$C$9, $D$9, 100%, $F$9) + CHOOSE(CONTROL!$C$27, 0.0021, 0)</f>
        <v>44.988399999999999</v>
      </c>
      <c r="L447" s="10"/>
    </row>
    <row r="448" spans="1:12" ht="15.75">
      <c r="A448" s="14">
        <v>54939</v>
      </c>
      <c r="B448" s="10">
        <f>46.3243 * CHOOSE(CONTROL!$C$9, $D$9, 100%, $F$9) + CHOOSE(CONTROL!$C$27, 0.0021, 0)</f>
        <v>46.3264</v>
      </c>
      <c r="C448" s="10">
        <f>45.892 * CHOOSE(CONTROL!$C$9, $D$9, 100%, $F$9) + CHOOSE(CONTROL!$C$27, 0.0021, 0)</f>
        <v>45.894100000000002</v>
      </c>
      <c r="D448" s="10">
        <f>45.892 * CHOOSE(CONTROL!$C$9, $D$9, 100%, $F$9) + CHOOSE(CONTROL!$C$27, 0.0021, 0)</f>
        <v>45.894100000000002</v>
      </c>
      <c r="E448" s="10">
        <f>45.7554 * CHOOSE(CONTROL!$C$9, $D$9, 100%, $F$9) + CHOOSE(CONTROL!$C$27, 0.0021, 0)</f>
        <v>45.7575</v>
      </c>
      <c r="F448" s="10">
        <f>45.7554 * CHOOSE(CONTROL!$C$9, $D$9, 100%, $F$9) + CHOOSE(CONTROL!$C$27, 0.0021, 0)</f>
        <v>45.7575</v>
      </c>
      <c r="G448" s="10">
        <f>46.0267 * CHOOSE(CONTROL!$C$9, $D$9, 100%, $F$9) + CHOOSE(CONTROL!$C$27, 0.0021, 0)</f>
        <v>46.028799999999997</v>
      </c>
      <c r="H448" s="10">
        <f>45.892 * CHOOSE(CONTROL!$C$9, $D$9, 100%, $F$9) + CHOOSE(CONTROL!$C$27, 0.0021, 0)</f>
        <v>45.894100000000002</v>
      </c>
      <c r="I448" s="10">
        <f>45.892 * CHOOSE(CONTROL!$C$9, $D$9, 100%, $F$9) + CHOOSE(CONTROL!$C$27, 0.0021, 0)</f>
        <v>45.894100000000002</v>
      </c>
      <c r="J448" s="10">
        <f>45.892 * CHOOSE(CONTROL!$C$9, $D$9, 100%, $F$9) + CHOOSE(CONTROL!$C$27, 0.0021, 0)</f>
        <v>45.894100000000002</v>
      </c>
      <c r="K448" s="10">
        <f>45.892 * CHOOSE(CONTROL!$C$9, $D$9, 100%, $F$9) + CHOOSE(CONTROL!$C$27, 0.0021, 0)</f>
        <v>45.894100000000002</v>
      </c>
      <c r="L448" s="10"/>
    </row>
    <row r="449" spans="1:12" ht="15.75">
      <c r="A449" s="14">
        <v>54969</v>
      </c>
      <c r="B449" s="10">
        <f>46.8667 * CHOOSE(CONTROL!$C$9, $D$9, 100%, $F$9) + CHOOSE(CONTROL!$C$27, 0.0021, 0)</f>
        <v>46.8688</v>
      </c>
      <c r="C449" s="10">
        <f>46.4345 * CHOOSE(CONTROL!$C$9, $D$9, 100%, $F$9) + CHOOSE(CONTROL!$C$27, 0.0021, 0)</f>
        <v>46.436599999999999</v>
      </c>
      <c r="D449" s="10">
        <f>46.4345 * CHOOSE(CONTROL!$C$9, $D$9, 100%, $F$9) + CHOOSE(CONTROL!$C$27, 0.0021, 0)</f>
        <v>46.436599999999999</v>
      </c>
      <c r="E449" s="10">
        <f>46.2978 * CHOOSE(CONTROL!$C$9, $D$9, 100%, $F$9) + CHOOSE(CONTROL!$C$27, 0.0021, 0)</f>
        <v>46.299900000000001</v>
      </c>
      <c r="F449" s="10">
        <f>46.2978 * CHOOSE(CONTROL!$C$9, $D$9, 100%, $F$9) + CHOOSE(CONTROL!$C$27, 0.0021, 0)</f>
        <v>46.299900000000001</v>
      </c>
      <c r="G449" s="10">
        <f>46.5692 * CHOOSE(CONTROL!$C$9, $D$9, 100%, $F$9) + CHOOSE(CONTROL!$C$27, 0.0021, 0)</f>
        <v>46.571300000000001</v>
      </c>
      <c r="H449" s="10">
        <f>46.4345 * CHOOSE(CONTROL!$C$9, $D$9, 100%, $F$9) + CHOOSE(CONTROL!$C$27, 0.0021, 0)</f>
        <v>46.436599999999999</v>
      </c>
      <c r="I449" s="10">
        <f>46.4345 * CHOOSE(CONTROL!$C$9, $D$9, 100%, $F$9) + CHOOSE(CONTROL!$C$27, 0.0021, 0)</f>
        <v>46.436599999999999</v>
      </c>
      <c r="J449" s="10">
        <f>46.4345 * CHOOSE(CONTROL!$C$9, $D$9, 100%, $F$9) + CHOOSE(CONTROL!$C$27, 0.0021, 0)</f>
        <v>46.436599999999999</v>
      </c>
      <c r="K449" s="10">
        <f>46.4345 * CHOOSE(CONTROL!$C$9, $D$9, 100%, $F$9) + CHOOSE(CONTROL!$C$27, 0.0021, 0)</f>
        <v>46.436599999999999</v>
      </c>
      <c r="L449" s="10"/>
    </row>
    <row r="450" spans="1:12" ht="15.75">
      <c r="A450" s="14">
        <v>55000</v>
      </c>
      <c r="B450" s="10">
        <f>47.7616 * CHOOSE(CONTROL!$C$9, $D$9, 100%, $F$9) + CHOOSE(CONTROL!$C$27, 0.0021, 0)</f>
        <v>47.7637</v>
      </c>
      <c r="C450" s="10">
        <f>47.3293 * CHOOSE(CONTROL!$C$9, $D$9, 100%, $F$9) + CHOOSE(CONTROL!$C$27, 0.0021, 0)</f>
        <v>47.331400000000002</v>
      </c>
      <c r="D450" s="10">
        <f>47.3293 * CHOOSE(CONTROL!$C$9, $D$9, 100%, $F$9) + CHOOSE(CONTROL!$C$27, 0.0021, 0)</f>
        <v>47.331400000000002</v>
      </c>
      <c r="E450" s="10">
        <f>47.1927 * CHOOSE(CONTROL!$C$9, $D$9, 100%, $F$9) + CHOOSE(CONTROL!$C$27, 0.0021, 0)</f>
        <v>47.194800000000001</v>
      </c>
      <c r="F450" s="10">
        <f>47.1927 * CHOOSE(CONTROL!$C$9, $D$9, 100%, $F$9) + CHOOSE(CONTROL!$C$27, 0.0021, 0)</f>
        <v>47.194800000000001</v>
      </c>
      <c r="G450" s="10">
        <f>47.4641 * CHOOSE(CONTROL!$C$9, $D$9, 100%, $F$9) + CHOOSE(CONTROL!$C$27, 0.0021, 0)</f>
        <v>47.466200000000001</v>
      </c>
      <c r="H450" s="10">
        <f>47.3293 * CHOOSE(CONTROL!$C$9, $D$9, 100%, $F$9) + CHOOSE(CONTROL!$C$27, 0.0021, 0)</f>
        <v>47.331400000000002</v>
      </c>
      <c r="I450" s="10">
        <f>47.3293 * CHOOSE(CONTROL!$C$9, $D$9, 100%, $F$9) + CHOOSE(CONTROL!$C$27, 0.0021, 0)</f>
        <v>47.331400000000002</v>
      </c>
      <c r="J450" s="10">
        <f>47.3293 * CHOOSE(CONTROL!$C$9, $D$9, 100%, $F$9) + CHOOSE(CONTROL!$C$27, 0.0021, 0)</f>
        <v>47.331400000000002</v>
      </c>
      <c r="K450" s="10">
        <f>47.3293 * CHOOSE(CONTROL!$C$9, $D$9, 100%, $F$9) + CHOOSE(CONTROL!$C$27, 0.0021, 0)</f>
        <v>47.331400000000002</v>
      </c>
      <c r="L450" s="10"/>
    </row>
    <row r="451" spans="1:12" ht="15.75">
      <c r="A451" s="14">
        <v>55031</v>
      </c>
      <c r="B451" s="10">
        <f>48.0347 * CHOOSE(CONTROL!$C$9, $D$9, 100%, $F$9) + CHOOSE(CONTROL!$C$27, 0.0021, 0)</f>
        <v>48.036799999999999</v>
      </c>
      <c r="C451" s="10">
        <f>47.6025 * CHOOSE(CONTROL!$C$9, $D$9, 100%, $F$9) + CHOOSE(CONTROL!$C$27, 0.0021, 0)</f>
        <v>47.604599999999998</v>
      </c>
      <c r="D451" s="10">
        <f>47.6025 * CHOOSE(CONTROL!$C$9, $D$9, 100%, $F$9) + CHOOSE(CONTROL!$C$27, 0.0021, 0)</f>
        <v>47.604599999999998</v>
      </c>
      <c r="E451" s="10">
        <f>47.4658 * CHOOSE(CONTROL!$C$9, $D$9, 100%, $F$9) + CHOOSE(CONTROL!$C$27, 0.0021, 0)</f>
        <v>47.4679</v>
      </c>
      <c r="F451" s="10">
        <f>47.4658 * CHOOSE(CONTROL!$C$9, $D$9, 100%, $F$9) + CHOOSE(CONTROL!$C$27, 0.0021, 0)</f>
        <v>47.4679</v>
      </c>
      <c r="G451" s="10">
        <f>47.7372 * CHOOSE(CONTROL!$C$9, $D$9, 100%, $F$9) + CHOOSE(CONTROL!$C$27, 0.0021, 0)</f>
        <v>47.7393</v>
      </c>
      <c r="H451" s="10">
        <f>47.6025 * CHOOSE(CONTROL!$C$9, $D$9, 100%, $F$9) + CHOOSE(CONTROL!$C$27, 0.0021, 0)</f>
        <v>47.604599999999998</v>
      </c>
      <c r="I451" s="10">
        <f>47.6025 * CHOOSE(CONTROL!$C$9, $D$9, 100%, $F$9) + CHOOSE(CONTROL!$C$27, 0.0021, 0)</f>
        <v>47.604599999999998</v>
      </c>
      <c r="J451" s="10">
        <f>47.6025 * CHOOSE(CONTROL!$C$9, $D$9, 100%, $F$9) + CHOOSE(CONTROL!$C$27, 0.0021, 0)</f>
        <v>47.604599999999998</v>
      </c>
      <c r="K451" s="10">
        <f>47.6025 * CHOOSE(CONTROL!$C$9, $D$9, 100%, $F$9) + CHOOSE(CONTROL!$C$27, 0.0021, 0)</f>
        <v>47.604599999999998</v>
      </c>
      <c r="L451" s="10"/>
    </row>
    <row r="452" spans="1:12" ht="15.75">
      <c r="A452" s="14">
        <v>55061</v>
      </c>
      <c r="B452" s="10">
        <f>48.9649 * CHOOSE(CONTROL!$C$9, $D$9, 100%, $F$9) + CHOOSE(CONTROL!$C$27, 0.0021, 0)</f>
        <v>48.966999999999999</v>
      </c>
      <c r="C452" s="10">
        <f>48.5326 * CHOOSE(CONTROL!$C$9, $D$9, 100%, $F$9) + CHOOSE(CONTROL!$C$27, 0.0021, 0)</f>
        <v>48.534700000000001</v>
      </c>
      <c r="D452" s="10">
        <f>48.5326 * CHOOSE(CONTROL!$C$9, $D$9, 100%, $F$9) + CHOOSE(CONTROL!$C$27, 0.0021, 0)</f>
        <v>48.534700000000001</v>
      </c>
      <c r="E452" s="10">
        <f>48.396 * CHOOSE(CONTROL!$C$9, $D$9, 100%, $F$9) + CHOOSE(CONTROL!$C$27, 0.0021, 0)</f>
        <v>48.398099999999999</v>
      </c>
      <c r="F452" s="10">
        <f>48.396 * CHOOSE(CONTROL!$C$9, $D$9, 100%, $F$9) + CHOOSE(CONTROL!$C$27, 0.0021, 0)</f>
        <v>48.398099999999999</v>
      </c>
      <c r="G452" s="10">
        <f>48.6674 * CHOOSE(CONTROL!$C$9, $D$9, 100%, $F$9) + CHOOSE(CONTROL!$C$27, 0.0021, 0)</f>
        <v>48.669499999999999</v>
      </c>
      <c r="H452" s="10">
        <f>48.5326 * CHOOSE(CONTROL!$C$9, $D$9, 100%, $F$9) + CHOOSE(CONTROL!$C$27, 0.0021, 0)</f>
        <v>48.534700000000001</v>
      </c>
      <c r="I452" s="10">
        <f>48.5326 * CHOOSE(CONTROL!$C$9, $D$9, 100%, $F$9) + CHOOSE(CONTROL!$C$27, 0.0021, 0)</f>
        <v>48.534700000000001</v>
      </c>
      <c r="J452" s="10">
        <f>48.5326 * CHOOSE(CONTROL!$C$9, $D$9, 100%, $F$9) + CHOOSE(CONTROL!$C$27, 0.0021, 0)</f>
        <v>48.534700000000001</v>
      </c>
      <c r="K452" s="10">
        <f>48.5326 * CHOOSE(CONTROL!$C$9, $D$9, 100%, $F$9) + CHOOSE(CONTROL!$C$27, 0.0021, 0)</f>
        <v>48.534700000000001</v>
      </c>
      <c r="L452" s="10"/>
    </row>
    <row r="453" spans="1:12" ht="15.75">
      <c r="A453" s="14">
        <v>55092</v>
      </c>
      <c r="B453" s="10">
        <f>50.1423 * CHOOSE(CONTROL!$C$9, $D$9, 100%, $F$9) + CHOOSE(CONTROL!$C$27, 0.0021, 0)</f>
        <v>50.144399999999997</v>
      </c>
      <c r="C453" s="10">
        <f>49.7101 * CHOOSE(CONTROL!$C$9, $D$9, 100%, $F$9) + CHOOSE(CONTROL!$C$27, 0.0021, 0)</f>
        <v>49.712199999999996</v>
      </c>
      <c r="D453" s="10">
        <f>49.7101 * CHOOSE(CONTROL!$C$9, $D$9, 100%, $F$9) + CHOOSE(CONTROL!$C$27, 0.0021, 0)</f>
        <v>49.712199999999996</v>
      </c>
      <c r="E453" s="10">
        <f>49.5734 * CHOOSE(CONTROL!$C$9, $D$9, 100%, $F$9) + CHOOSE(CONTROL!$C$27, 0.0021, 0)</f>
        <v>49.575499999999998</v>
      </c>
      <c r="F453" s="10">
        <f>49.5734 * CHOOSE(CONTROL!$C$9, $D$9, 100%, $F$9) + CHOOSE(CONTROL!$C$27, 0.0021, 0)</f>
        <v>49.575499999999998</v>
      </c>
      <c r="G453" s="10">
        <f>49.8448 * CHOOSE(CONTROL!$C$9, $D$9, 100%, $F$9) + CHOOSE(CONTROL!$C$27, 0.0021, 0)</f>
        <v>49.846899999999998</v>
      </c>
      <c r="H453" s="10">
        <f>49.7101 * CHOOSE(CONTROL!$C$9, $D$9, 100%, $F$9) + CHOOSE(CONTROL!$C$27, 0.0021, 0)</f>
        <v>49.712199999999996</v>
      </c>
      <c r="I453" s="10">
        <f>49.7101 * CHOOSE(CONTROL!$C$9, $D$9, 100%, $F$9) + CHOOSE(CONTROL!$C$27, 0.0021, 0)</f>
        <v>49.712199999999996</v>
      </c>
      <c r="J453" s="10">
        <f>49.7101 * CHOOSE(CONTROL!$C$9, $D$9, 100%, $F$9) + CHOOSE(CONTROL!$C$27, 0.0021, 0)</f>
        <v>49.712199999999996</v>
      </c>
      <c r="K453" s="10">
        <f>49.7101 * CHOOSE(CONTROL!$C$9, $D$9, 100%, $F$9) + CHOOSE(CONTROL!$C$27, 0.0021, 0)</f>
        <v>49.712199999999996</v>
      </c>
      <c r="L453" s="10"/>
    </row>
    <row r="454" spans="1:12" ht="15.75">
      <c r="A454" s="14">
        <v>55122</v>
      </c>
      <c r="B454" s="10">
        <f>50.2529 * CHOOSE(CONTROL!$C$9, $D$9, 100%, $F$9) + CHOOSE(CONTROL!$C$27, 0.0021, 0)</f>
        <v>50.254999999999995</v>
      </c>
      <c r="C454" s="10">
        <f>49.8206 * CHOOSE(CONTROL!$C$9, $D$9, 100%, $F$9) + CHOOSE(CONTROL!$C$27, 0.0021, 0)</f>
        <v>49.822699999999998</v>
      </c>
      <c r="D454" s="10">
        <f>49.8206 * CHOOSE(CONTROL!$C$9, $D$9, 100%, $F$9) + CHOOSE(CONTROL!$C$27, 0.0021, 0)</f>
        <v>49.822699999999998</v>
      </c>
      <c r="E454" s="10">
        <f>49.684 * CHOOSE(CONTROL!$C$9, $D$9, 100%, $F$9) + CHOOSE(CONTROL!$C$27, 0.0021, 0)</f>
        <v>49.686099999999996</v>
      </c>
      <c r="F454" s="10">
        <f>49.684 * CHOOSE(CONTROL!$C$9, $D$9, 100%, $F$9) + CHOOSE(CONTROL!$C$27, 0.0021, 0)</f>
        <v>49.686099999999996</v>
      </c>
      <c r="G454" s="10">
        <f>49.9553 * CHOOSE(CONTROL!$C$9, $D$9, 100%, $F$9) + CHOOSE(CONTROL!$C$27, 0.0021, 0)</f>
        <v>49.9574</v>
      </c>
      <c r="H454" s="10">
        <f>49.8206 * CHOOSE(CONTROL!$C$9, $D$9, 100%, $F$9) + CHOOSE(CONTROL!$C$27, 0.0021, 0)</f>
        <v>49.822699999999998</v>
      </c>
      <c r="I454" s="10">
        <f>49.8206 * CHOOSE(CONTROL!$C$9, $D$9, 100%, $F$9) + CHOOSE(CONTROL!$C$27, 0.0021, 0)</f>
        <v>49.822699999999998</v>
      </c>
      <c r="J454" s="10">
        <f>49.8206 * CHOOSE(CONTROL!$C$9, $D$9, 100%, $F$9) + CHOOSE(CONTROL!$C$27, 0.0021, 0)</f>
        <v>49.822699999999998</v>
      </c>
      <c r="K454" s="10">
        <f>49.8206 * CHOOSE(CONTROL!$C$9, $D$9, 100%, $F$9) + CHOOSE(CONTROL!$C$27, 0.0021, 0)</f>
        <v>49.822699999999998</v>
      </c>
      <c r="L454" s="10"/>
    </row>
    <row r="455" spans="1:12" ht="15.75">
      <c r="A455" s="14">
        <v>55153</v>
      </c>
      <c r="B455" s="10">
        <f>49.3125 * CHOOSE(CONTROL!$C$9, $D$9, 100%, $F$9) + CHOOSE(CONTROL!$C$27, 0.0021, 0)</f>
        <v>49.314599999999999</v>
      </c>
      <c r="C455" s="10">
        <f>48.8802 * CHOOSE(CONTROL!$C$9, $D$9, 100%, $F$9) + CHOOSE(CONTROL!$C$27, 0.0021, 0)</f>
        <v>48.882300000000001</v>
      </c>
      <c r="D455" s="10">
        <f>48.8802 * CHOOSE(CONTROL!$C$9, $D$9, 100%, $F$9) + CHOOSE(CONTROL!$C$27, 0.0021, 0)</f>
        <v>48.882300000000001</v>
      </c>
      <c r="E455" s="10">
        <f>48.7436 * CHOOSE(CONTROL!$C$9, $D$9, 100%, $F$9) + CHOOSE(CONTROL!$C$27, 0.0021, 0)</f>
        <v>48.745699999999999</v>
      </c>
      <c r="F455" s="10">
        <f>48.7436 * CHOOSE(CONTROL!$C$9, $D$9, 100%, $F$9) + CHOOSE(CONTROL!$C$27, 0.0021, 0)</f>
        <v>48.745699999999999</v>
      </c>
      <c r="G455" s="10">
        <f>49.0149 * CHOOSE(CONTROL!$C$9, $D$9, 100%, $F$9) + CHOOSE(CONTROL!$C$27, 0.0021, 0)</f>
        <v>49.016999999999996</v>
      </c>
      <c r="H455" s="10">
        <f>48.8802 * CHOOSE(CONTROL!$C$9, $D$9, 100%, $F$9) + CHOOSE(CONTROL!$C$27, 0.0021, 0)</f>
        <v>48.882300000000001</v>
      </c>
      <c r="I455" s="10">
        <f>48.8802 * CHOOSE(CONTROL!$C$9, $D$9, 100%, $F$9) + CHOOSE(CONTROL!$C$27, 0.0021, 0)</f>
        <v>48.882300000000001</v>
      </c>
      <c r="J455" s="10">
        <f>48.8802 * CHOOSE(CONTROL!$C$9, $D$9, 100%, $F$9) + CHOOSE(CONTROL!$C$27, 0.0021, 0)</f>
        <v>48.882300000000001</v>
      </c>
      <c r="K455" s="10">
        <f>48.8802 * CHOOSE(CONTROL!$C$9, $D$9, 100%, $F$9) + CHOOSE(CONTROL!$C$27, 0.0021, 0)</f>
        <v>48.882300000000001</v>
      </c>
      <c r="L455" s="10"/>
    </row>
    <row r="456" spans="1:12" ht="15.75">
      <c r="A456" s="14">
        <v>55184</v>
      </c>
      <c r="B456" s="10">
        <f>48.5925 * CHOOSE(CONTROL!$C$9, $D$9, 100%, $F$9) + CHOOSE(CONTROL!$C$27, 0.0021, 0)</f>
        <v>48.5946</v>
      </c>
      <c r="C456" s="10">
        <f>48.1602 * CHOOSE(CONTROL!$C$9, $D$9, 100%, $F$9) + CHOOSE(CONTROL!$C$27, 0.0021, 0)</f>
        <v>48.162300000000002</v>
      </c>
      <c r="D456" s="10">
        <f>48.1602 * CHOOSE(CONTROL!$C$9, $D$9, 100%, $F$9) + CHOOSE(CONTROL!$C$27, 0.0021, 0)</f>
        <v>48.162300000000002</v>
      </c>
      <c r="E456" s="10">
        <f>48.0236 * CHOOSE(CONTROL!$C$9, $D$9, 100%, $F$9) + CHOOSE(CONTROL!$C$27, 0.0021, 0)</f>
        <v>48.025700000000001</v>
      </c>
      <c r="F456" s="10">
        <f>48.0236 * CHOOSE(CONTROL!$C$9, $D$9, 100%, $F$9) + CHOOSE(CONTROL!$C$27, 0.0021, 0)</f>
        <v>48.025700000000001</v>
      </c>
      <c r="G456" s="10">
        <f>48.2949 * CHOOSE(CONTROL!$C$9, $D$9, 100%, $F$9) + CHOOSE(CONTROL!$C$27, 0.0021, 0)</f>
        <v>48.296999999999997</v>
      </c>
      <c r="H456" s="10">
        <f>48.1602 * CHOOSE(CONTROL!$C$9, $D$9, 100%, $F$9) + CHOOSE(CONTROL!$C$27, 0.0021, 0)</f>
        <v>48.162300000000002</v>
      </c>
      <c r="I456" s="10">
        <f>48.1602 * CHOOSE(CONTROL!$C$9, $D$9, 100%, $F$9) + CHOOSE(CONTROL!$C$27, 0.0021, 0)</f>
        <v>48.162300000000002</v>
      </c>
      <c r="J456" s="10">
        <f>48.1602 * CHOOSE(CONTROL!$C$9, $D$9, 100%, $F$9) + CHOOSE(CONTROL!$C$27, 0.0021, 0)</f>
        <v>48.162300000000002</v>
      </c>
      <c r="K456" s="10">
        <f>48.1602 * CHOOSE(CONTROL!$C$9, $D$9, 100%, $F$9) + CHOOSE(CONTROL!$C$27, 0.0021, 0)</f>
        <v>48.162300000000002</v>
      </c>
      <c r="L456" s="10"/>
    </row>
    <row r="457" spans="1:12" ht="15.75">
      <c r="A457" s="14">
        <v>55212</v>
      </c>
      <c r="B457" s="10">
        <f>47.2829 * CHOOSE(CONTROL!$C$9, $D$9, 100%, $F$9) + CHOOSE(CONTROL!$C$27, 0.0021, 0)</f>
        <v>47.284999999999997</v>
      </c>
      <c r="C457" s="10">
        <f>46.8506 * CHOOSE(CONTROL!$C$9, $D$9, 100%, $F$9) + CHOOSE(CONTROL!$C$27, 0.0021, 0)</f>
        <v>46.852699999999999</v>
      </c>
      <c r="D457" s="10">
        <f>46.8506 * CHOOSE(CONTROL!$C$9, $D$9, 100%, $F$9) + CHOOSE(CONTROL!$C$27, 0.0021, 0)</f>
        <v>46.852699999999999</v>
      </c>
      <c r="E457" s="10">
        <f>46.7139 * CHOOSE(CONTROL!$C$9, $D$9, 100%, $F$9) + CHOOSE(CONTROL!$C$27, 0.0021, 0)</f>
        <v>46.716000000000001</v>
      </c>
      <c r="F457" s="10">
        <f>46.7139 * CHOOSE(CONTROL!$C$9, $D$9, 100%, $F$9) + CHOOSE(CONTROL!$C$27, 0.0021, 0)</f>
        <v>46.716000000000001</v>
      </c>
      <c r="G457" s="10">
        <f>46.9853 * CHOOSE(CONTROL!$C$9, $D$9, 100%, $F$9) + CHOOSE(CONTROL!$C$27, 0.0021, 0)</f>
        <v>46.987400000000001</v>
      </c>
      <c r="H457" s="10">
        <f>46.8506 * CHOOSE(CONTROL!$C$9, $D$9, 100%, $F$9) + CHOOSE(CONTROL!$C$27, 0.0021, 0)</f>
        <v>46.852699999999999</v>
      </c>
      <c r="I457" s="10">
        <f>46.8506 * CHOOSE(CONTROL!$C$9, $D$9, 100%, $F$9) + CHOOSE(CONTROL!$C$27, 0.0021, 0)</f>
        <v>46.852699999999999</v>
      </c>
      <c r="J457" s="10">
        <f>46.8506 * CHOOSE(CONTROL!$C$9, $D$9, 100%, $F$9) + CHOOSE(CONTROL!$C$27, 0.0021, 0)</f>
        <v>46.852699999999999</v>
      </c>
      <c r="K457" s="10">
        <f>46.8506 * CHOOSE(CONTROL!$C$9, $D$9, 100%, $F$9) + CHOOSE(CONTROL!$C$27, 0.0021, 0)</f>
        <v>46.852699999999999</v>
      </c>
      <c r="L457" s="10"/>
    </row>
    <row r="458" spans="1:12" ht="15.75">
      <c r="A458" s="14">
        <v>55243</v>
      </c>
      <c r="B458" s="10">
        <f>46.7422 * CHOOSE(CONTROL!$C$9, $D$9, 100%, $F$9) + CHOOSE(CONTROL!$C$27, 0.0021, 0)</f>
        <v>46.744299999999996</v>
      </c>
      <c r="C458" s="10">
        <f>46.31 * CHOOSE(CONTROL!$C$9, $D$9, 100%, $F$9) + CHOOSE(CONTROL!$C$27, 0.0021, 0)</f>
        <v>46.312100000000001</v>
      </c>
      <c r="D458" s="10">
        <f>46.31 * CHOOSE(CONTROL!$C$9, $D$9, 100%, $F$9) + CHOOSE(CONTROL!$C$27, 0.0021, 0)</f>
        <v>46.312100000000001</v>
      </c>
      <c r="E458" s="10">
        <f>46.1733 * CHOOSE(CONTROL!$C$9, $D$9, 100%, $F$9) + CHOOSE(CONTROL!$C$27, 0.0021, 0)</f>
        <v>46.175399999999996</v>
      </c>
      <c r="F458" s="10">
        <f>46.1733 * CHOOSE(CONTROL!$C$9, $D$9, 100%, $F$9) + CHOOSE(CONTROL!$C$27, 0.0021, 0)</f>
        <v>46.175399999999996</v>
      </c>
      <c r="G458" s="10">
        <f>46.4447 * CHOOSE(CONTROL!$C$9, $D$9, 100%, $F$9) + CHOOSE(CONTROL!$C$27, 0.0021, 0)</f>
        <v>46.446799999999996</v>
      </c>
      <c r="H458" s="10">
        <f>46.31 * CHOOSE(CONTROL!$C$9, $D$9, 100%, $F$9) + CHOOSE(CONTROL!$C$27, 0.0021, 0)</f>
        <v>46.312100000000001</v>
      </c>
      <c r="I458" s="10">
        <f>46.31 * CHOOSE(CONTROL!$C$9, $D$9, 100%, $F$9) + CHOOSE(CONTROL!$C$27, 0.0021, 0)</f>
        <v>46.312100000000001</v>
      </c>
      <c r="J458" s="10">
        <f>46.31 * CHOOSE(CONTROL!$C$9, $D$9, 100%, $F$9) + CHOOSE(CONTROL!$C$27, 0.0021, 0)</f>
        <v>46.312100000000001</v>
      </c>
      <c r="K458" s="10">
        <f>46.31 * CHOOSE(CONTROL!$C$9, $D$9, 100%, $F$9) + CHOOSE(CONTROL!$C$27, 0.0021, 0)</f>
        <v>46.312100000000001</v>
      </c>
      <c r="L458" s="10"/>
    </row>
    <row r="459" spans="1:12" ht="15.75">
      <c r="A459" s="14">
        <v>55273</v>
      </c>
      <c r="B459" s="10">
        <f>46.0967 * CHOOSE(CONTROL!$C$9, $D$9, 100%, $F$9) + CHOOSE(CONTROL!$C$27, 0.0021, 0)</f>
        <v>46.098799999999997</v>
      </c>
      <c r="C459" s="10">
        <f>45.6645 * CHOOSE(CONTROL!$C$9, $D$9, 100%, $F$9) + CHOOSE(CONTROL!$C$27, 0.0021, 0)</f>
        <v>45.666599999999995</v>
      </c>
      <c r="D459" s="10">
        <f>45.6645 * CHOOSE(CONTROL!$C$9, $D$9, 100%, $F$9) + CHOOSE(CONTROL!$C$27, 0.0021, 0)</f>
        <v>45.666599999999995</v>
      </c>
      <c r="E459" s="10">
        <f>45.5278 * CHOOSE(CONTROL!$C$9, $D$9, 100%, $F$9) + CHOOSE(CONTROL!$C$27, 0.0021, 0)</f>
        <v>45.529899999999998</v>
      </c>
      <c r="F459" s="10">
        <f>45.5278 * CHOOSE(CONTROL!$C$9, $D$9, 100%, $F$9) + CHOOSE(CONTROL!$C$27, 0.0021, 0)</f>
        <v>45.529899999999998</v>
      </c>
      <c r="G459" s="10">
        <f>45.7992 * CHOOSE(CONTROL!$C$9, $D$9, 100%, $F$9) + CHOOSE(CONTROL!$C$27, 0.0021, 0)</f>
        <v>45.801299999999998</v>
      </c>
      <c r="H459" s="10">
        <f>45.6645 * CHOOSE(CONTROL!$C$9, $D$9, 100%, $F$9) + CHOOSE(CONTROL!$C$27, 0.0021, 0)</f>
        <v>45.666599999999995</v>
      </c>
      <c r="I459" s="10">
        <f>45.6645 * CHOOSE(CONTROL!$C$9, $D$9, 100%, $F$9) + CHOOSE(CONTROL!$C$27, 0.0021, 0)</f>
        <v>45.666599999999995</v>
      </c>
      <c r="J459" s="10">
        <f>45.6645 * CHOOSE(CONTROL!$C$9, $D$9, 100%, $F$9) + CHOOSE(CONTROL!$C$27, 0.0021, 0)</f>
        <v>45.666599999999995</v>
      </c>
      <c r="K459" s="10">
        <f>45.6645 * CHOOSE(CONTROL!$C$9, $D$9, 100%, $F$9) + CHOOSE(CONTROL!$C$27, 0.0021, 0)</f>
        <v>45.666599999999995</v>
      </c>
      <c r="L459" s="10"/>
    </row>
    <row r="460" spans="1:12" ht="15.75">
      <c r="A460" s="14">
        <v>55304</v>
      </c>
      <c r="B460" s="10">
        <f>47.0167 * CHOOSE(CONTROL!$C$9, $D$9, 100%, $F$9) + CHOOSE(CONTROL!$C$27, 0.0021, 0)</f>
        <v>47.018799999999999</v>
      </c>
      <c r="C460" s="10">
        <f>46.5844 * CHOOSE(CONTROL!$C$9, $D$9, 100%, $F$9) + CHOOSE(CONTROL!$C$27, 0.0021, 0)</f>
        <v>46.586500000000001</v>
      </c>
      <c r="D460" s="10">
        <f>46.5844 * CHOOSE(CONTROL!$C$9, $D$9, 100%, $F$9) + CHOOSE(CONTROL!$C$27, 0.0021, 0)</f>
        <v>46.586500000000001</v>
      </c>
      <c r="E460" s="10">
        <f>46.4478 * CHOOSE(CONTROL!$C$9, $D$9, 100%, $F$9) + CHOOSE(CONTROL!$C$27, 0.0021, 0)</f>
        <v>46.4499</v>
      </c>
      <c r="F460" s="10">
        <f>46.4478 * CHOOSE(CONTROL!$C$9, $D$9, 100%, $F$9) + CHOOSE(CONTROL!$C$27, 0.0021, 0)</f>
        <v>46.4499</v>
      </c>
      <c r="G460" s="10">
        <f>46.7191 * CHOOSE(CONTROL!$C$9, $D$9, 100%, $F$9) + CHOOSE(CONTROL!$C$27, 0.0021, 0)</f>
        <v>46.721199999999996</v>
      </c>
      <c r="H460" s="10">
        <f>46.5844 * CHOOSE(CONTROL!$C$9, $D$9, 100%, $F$9) + CHOOSE(CONTROL!$C$27, 0.0021, 0)</f>
        <v>46.586500000000001</v>
      </c>
      <c r="I460" s="10">
        <f>46.5844 * CHOOSE(CONTROL!$C$9, $D$9, 100%, $F$9) + CHOOSE(CONTROL!$C$27, 0.0021, 0)</f>
        <v>46.586500000000001</v>
      </c>
      <c r="J460" s="10">
        <f>46.5844 * CHOOSE(CONTROL!$C$9, $D$9, 100%, $F$9) + CHOOSE(CONTROL!$C$27, 0.0021, 0)</f>
        <v>46.586500000000001</v>
      </c>
      <c r="K460" s="10">
        <f>46.5844 * CHOOSE(CONTROL!$C$9, $D$9, 100%, $F$9) + CHOOSE(CONTROL!$C$27, 0.0021, 0)</f>
        <v>46.586500000000001</v>
      </c>
      <c r="L460" s="10"/>
    </row>
    <row r="461" spans="1:12" ht="15.75">
      <c r="A461" s="14">
        <v>55334</v>
      </c>
      <c r="B461" s="10">
        <f>47.5677 * CHOOSE(CONTROL!$C$9, $D$9, 100%, $F$9) + CHOOSE(CONTROL!$C$27, 0.0021, 0)</f>
        <v>47.569800000000001</v>
      </c>
      <c r="C461" s="10">
        <f>47.1354 * CHOOSE(CONTROL!$C$9, $D$9, 100%, $F$9) + CHOOSE(CONTROL!$C$27, 0.0021, 0)</f>
        <v>47.137499999999996</v>
      </c>
      <c r="D461" s="10">
        <f>47.1354 * CHOOSE(CONTROL!$C$9, $D$9, 100%, $F$9) + CHOOSE(CONTROL!$C$27, 0.0021, 0)</f>
        <v>47.137499999999996</v>
      </c>
      <c r="E461" s="10">
        <f>46.9987 * CHOOSE(CONTROL!$C$9, $D$9, 100%, $F$9) + CHOOSE(CONTROL!$C$27, 0.0021, 0)</f>
        <v>47.000799999999998</v>
      </c>
      <c r="F461" s="10">
        <f>46.9987 * CHOOSE(CONTROL!$C$9, $D$9, 100%, $F$9) + CHOOSE(CONTROL!$C$27, 0.0021, 0)</f>
        <v>47.000799999999998</v>
      </c>
      <c r="G461" s="10">
        <f>47.2701 * CHOOSE(CONTROL!$C$9, $D$9, 100%, $F$9) + CHOOSE(CONTROL!$C$27, 0.0021, 0)</f>
        <v>47.272199999999998</v>
      </c>
      <c r="H461" s="10">
        <f>47.1354 * CHOOSE(CONTROL!$C$9, $D$9, 100%, $F$9) + CHOOSE(CONTROL!$C$27, 0.0021, 0)</f>
        <v>47.137499999999996</v>
      </c>
      <c r="I461" s="10">
        <f>47.1354 * CHOOSE(CONTROL!$C$9, $D$9, 100%, $F$9) + CHOOSE(CONTROL!$C$27, 0.0021, 0)</f>
        <v>47.137499999999996</v>
      </c>
      <c r="J461" s="10">
        <f>47.1354 * CHOOSE(CONTROL!$C$9, $D$9, 100%, $F$9) + CHOOSE(CONTROL!$C$27, 0.0021, 0)</f>
        <v>47.137499999999996</v>
      </c>
      <c r="K461" s="10">
        <f>47.1354 * CHOOSE(CONTROL!$C$9, $D$9, 100%, $F$9) + CHOOSE(CONTROL!$C$27, 0.0021, 0)</f>
        <v>47.137499999999996</v>
      </c>
      <c r="L461" s="10"/>
    </row>
    <row r="462" spans="1:12" ht="15.75">
      <c r="A462" s="14">
        <v>55365</v>
      </c>
      <c r="B462" s="10">
        <f>48.4766 * CHOOSE(CONTROL!$C$9, $D$9, 100%, $F$9) + CHOOSE(CONTROL!$C$27, 0.0021, 0)</f>
        <v>48.478699999999996</v>
      </c>
      <c r="C462" s="10">
        <f>48.0443 * CHOOSE(CONTROL!$C$9, $D$9, 100%, $F$9) + CHOOSE(CONTROL!$C$27, 0.0021, 0)</f>
        <v>48.046399999999998</v>
      </c>
      <c r="D462" s="10">
        <f>48.0443 * CHOOSE(CONTROL!$C$9, $D$9, 100%, $F$9) + CHOOSE(CONTROL!$C$27, 0.0021, 0)</f>
        <v>48.046399999999998</v>
      </c>
      <c r="E462" s="10">
        <f>47.9077 * CHOOSE(CONTROL!$C$9, $D$9, 100%, $F$9) + CHOOSE(CONTROL!$C$27, 0.0021, 0)</f>
        <v>47.909799999999997</v>
      </c>
      <c r="F462" s="10">
        <f>47.9077 * CHOOSE(CONTROL!$C$9, $D$9, 100%, $F$9) + CHOOSE(CONTROL!$C$27, 0.0021, 0)</f>
        <v>47.909799999999997</v>
      </c>
      <c r="G462" s="10">
        <f>48.1791 * CHOOSE(CONTROL!$C$9, $D$9, 100%, $F$9) + CHOOSE(CONTROL!$C$27, 0.0021, 0)</f>
        <v>48.181199999999997</v>
      </c>
      <c r="H462" s="10">
        <f>48.0443 * CHOOSE(CONTROL!$C$9, $D$9, 100%, $F$9) + CHOOSE(CONTROL!$C$27, 0.0021, 0)</f>
        <v>48.046399999999998</v>
      </c>
      <c r="I462" s="10">
        <f>48.0443 * CHOOSE(CONTROL!$C$9, $D$9, 100%, $F$9) + CHOOSE(CONTROL!$C$27, 0.0021, 0)</f>
        <v>48.046399999999998</v>
      </c>
      <c r="J462" s="10">
        <f>48.0443 * CHOOSE(CONTROL!$C$9, $D$9, 100%, $F$9) + CHOOSE(CONTROL!$C$27, 0.0021, 0)</f>
        <v>48.046399999999998</v>
      </c>
      <c r="K462" s="10">
        <f>48.0443 * CHOOSE(CONTROL!$C$9, $D$9, 100%, $F$9) + CHOOSE(CONTROL!$C$27, 0.0021, 0)</f>
        <v>48.046399999999998</v>
      </c>
      <c r="L462" s="10"/>
    </row>
    <row r="463" spans="1:12" ht="15.75">
      <c r="A463" s="14">
        <v>55396</v>
      </c>
      <c r="B463" s="10">
        <f>48.754 * CHOOSE(CONTROL!$C$9, $D$9, 100%, $F$9) + CHOOSE(CONTROL!$C$27, 0.0021, 0)</f>
        <v>48.756099999999996</v>
      </c>
      <c r="C463" s="10">
        <f>48.3218 * CHOOSE(CONTROL!$C$9, $D$9, 100%, $F$9) + CHOOSE(CONTROL!$C$27, 0.0021, 0)</f>
        <v>48.323900000000002</v>
      </c>
      <c r="D463" s="10">
        <f>48.3218 * CHOOSE(CONTROL!$C$9, $D$9, 100%, $F$9) + CHOOSE(CONTROL!$C$27, 0.0021, 0)</f>
        <v>48.323900000000002</v>
      </c>
      <c r="E463" s="10">
        <f>48.1851 * CHOOSE(CONTROL!$C$9, $D$9, 100%, $F$9) + CHOOSE(CONTROL!$C$27, 0.0021, 0)</f>
        <v>48.187199999999997</v>
      </c>
      <c r="F463" s="10">
        <f>48.1851 * CHOOSE(CONTROL!$C$9, $D$9, 100%, $F$9) + CHOOSE(CONTROL!$C$27, 0.0021, 0)</f>
        <v>48.187199999999997</v>
      </c>
      <c r="G463" s="10">
        <f>48.4565 * CHOOSE(CONTROL!$C$9, $D$9, 100%, $F$9) + CHOOSE(CONTROL!$C$27, 0.0021, 0)</f>
        <v>48.458599999999997</v>
      </c>
      <c r="H463" s="10">
        <f>48.3218 * CHOOSE(CONTROL!$C$9, $D$9, 100%, $F$9) + CHOOSE(CONTROL!$C$27, 0.0021, 0)</f>
        <v>48.323900000000002</v>
      </c>
      <c r="I463" s="10">
        <f>48.3218 * CHOOSE(CONTROL!$C$9, $D$9, 100%, $F$9) + CHOOSE(CONTROL!$C$27, 0.0021, 0)</f>
        <v>48.323900000000002</v>
      </c>
      <c r="J463" s="10">
        <f>48.3218 * CHOOSE(CONTROL!$C$9, $D$9, 100%, $F$9) + CHOOSE(CONTROL!$C$27, 0.0021, 0)</f>
        <v>48.323900000000002</v>
      </c>
      <c r="K463" s="10">
        <f>48.3218 * CHOOSE(CONTROL!$C$9, $D$9, 100%, $F$9) + CHOOSE(CONTROL!$C$27, 0.0021, 0)</f>
        <v>48.323900000000002</v>
      </c>
      <c r="L463" s="10"/>
    </row>
    <row r="464" spans="1:12" ht="15.75">
      <c r="A464" s="14">
        <v>55426</v>
      </c>
      <c r="B464" s="10">
        <f>49.6988 * CHOOSE(CONTROL!$C$9, $D$9, 100%, $F$9) + CHOOSE(CONTROL!$C$27, 0.0021, 0)</f>
        <v>49.700899999999997</v>
      </c>
      <c r="C464" s="10">
        <f>49.2666 * CHOOSE(CONTROL!$C$9, $D$9, 100%, $F$9) + CHOOSE(CONTROL!$C$27, 0.0021, 0)</f>
        <v>49.268699999999995</v>
      </c>
      <c r="D464" s="10">
        <f>49.2666 * CHOOSE(CONTROL!$C$9, $D$9, 100%, $F$9) + CHOOSE(CONTROL!$C$27, 0.0021, 0)</f>
        <v>49.268699999999995</v>
      </c>
      <c r="E464" s="10">
        <f>49.1299 * CHOOSE(CONTROL!$C$9, $D$9, 100%, $F$9) + CHOOSE(CONTROL!$C$27, 0.0021, 0)</f>
        <v>49.131999999999998</v>
      </c>
      <c r="F464" s="10">
        <f>49.1299 * CHOOSE(CONTROL!$C$9, $D$9, 100%, $F$9) + CHOOSE(CONTROL!$C$27, 0.0021, 0)</f>
        <v>49.131999999999998</v>
      </c>
      <c r="G464" s="10">
        <f>49.4013 * CHOOSE(CONTROL!$C$9, $D$9, 100%, $F$9) + CHOOSE(CONTROL!$C$27, 0.0021, 0)</f>
        <v>49.403399999999998</v>
      </c>
      <c r="H464" s="10">
        <f>49.2666 * CHOOSE(CONTROL!$C$9, $D$9, 100%, $F$9) + CHOOSE(CONTROL!$C$27, 0.0021, 0)</f>
        <v>49.268699999999995</v>
      </c>
      <c r="I464" s="10">
        <f>49.2666 * CHOOSE(CONTROL!$C$9, $D$9, 100%, $F$9) + CHOOSE(CONTROL!$C$27, 0.0021, 0)</f>
        <v>49.268699999999995</v>
      </c>
      <c r="J464" s="10">
        <f>49.2666 * CHOOSE(CONTROL!$C$9, $D$9, 100%, $F$9) + CHOOSE(CONTROL!$C$27, 0.0021, 0)</f>
        <v>49.268699999999995</v>
      </c>
      <c r="K464" s="10">
        <f>49.2666 * CHOOSE(CONTROL!$C$9, $D$9, 100%, $F$9) + CHOOSE(CONTROL!$C$27, 0.0021, 0)</f>
        <v>49.268699999999995</v>
      </c>
      <c r="L464" s="10"/>
    </row>
    <row r="465" spans="1:12" ht="15.75">
      <c r="A465" s="14">
        <v>55457</v>
      </c>
      <c r="B465" s="10">
        <f>50.8948 * CHOOSE(CONTROL!$C$9, $D$9, 100%, $F$9) + CHOOSE(CONTROL!$C$27, 0.0021, 0)</f>
        <v>50.896899999999995</v>
      </c>
      <c r="C465" s="10">
        <f>50.4625 * CHOOSE(CONTROL!$C$9, $D$9, 100%, $F$9) + CHOOSE(CONTROL!$C$27, 0.0021, 0)</f>
        <v>50.464599999999997</v>
      </c>
      <c r="D465" s="10">
        <f>50.4625 * CHOOSE(CONTROL!$C$9, $D$9, 100%, $F$9) + CHOOSE(CONTROL!$C$27, 0.0021, 0)</f>
        <v>50.464599999999997</v>
      </c>
      <c r="E465" s="10">
        <f>50.3259 * CHOOSE(CONTROL!$C$9, $D$9, 100%, $F$9) + CHOOSE(CONTROL!$C$27, 0.0021, 0)</f>
        <v>50.327999999999996</v>
      </c>
      <c r="F465" s="10">
        <f>50.3259 * CHOOSE(CONTROL!$C$9, $D$9, 100%, $F$9) + CHOOSE(CONTROL!$C$27, 0.0021, 0)</f>
        <v>50.327999999999996</v>
      </c>
      <c r="G465" s="10">
        <f>50.5972 * CHOOSE(CONTROL!$C$9, $D$9, 100%, $F$9) + CHOOSE(CONTROL!$C$27, 0.0021, 0)</f>
        <v>50.599299999999999</v>
      </c>
      <c r="H465" s="10">
        <f>50.4625 * CHOOSE(CONTROL!$C$9, $D$9, 100%, $F$9) + CHOOSE(CONTROL!$C$27, 0.0021, 0)</f>
        <v>50.464599999999997</v>
      </c>
      <c r="I465" s="10">
        <f>50.4625 * CHOOSE(CONTROL!$C$9, $D$9, 100%, $F$9) + CHOOSE(CONTROL!$C$27, 0.0021, 0)</f>
        <v>50.464599999999997</v>
      </c>
      <c r="J465" s="10">
        <f>50.4625 * CHOOSE(CONTROL!$C$9, $D$9, 100%, $F$9) + CHOOSE(CONTROL!$C$27, 0.0021, 0)</f>
        <v>50.464599999999997</v>
      </c>
      <c r="K465" s="10">
        <f>50.4625 * CHOOSE(CONTROL!$C$9, $D$9, 100%, $F$9) + CHOOSE(CONTROL!$C$27, 0.0021, 0)</f>
        <v>50.464599999999997</v>
      </c>
      <c r="L465" s="10"/>
    </row>
    <row r="466" spans="1:12" ht="15.75">
      <c r="A466" s="14">
        <v>55487</v>
      </c>
      <c r="B466" s="10">
        <f>51.007 * CHOOSE(CONTROL!$C$9, $D$9, 100%, $F$9) + CHOOSE(CONTROL!$C$27, 0.0021, 0)</f>
        <v>51.009099999999997</v>
      </c>
      <c r="C466" s="10">
        <f>50.5748 * CHOOSE(CONTROL!$C$9, $D$9, 100%, $F$9) + CHOOSE(CONTROL!$C$27, 0.0021, 0)</f>
        <v>50.576900000000002</v>
      </c>
      <c r="D466" s="10">
        <f>50.5748 * CHOOSE(CONTROL!$C$9, $D$9, 100%, $F$9) + CHOOSE(CONTROL!$C$27, 0.0021, 0)</f>
        <v>50.576900000000002</v>
      </c>
      <c r="E466" s="10">
        <f>50.4381 * CHOOSE(CONTROL!$C$9, $D$9, 100%, $F$9) + CHOOSE(CONTROL!$C$27, 0.0021, 0)</f>
        <v>50.440199999999997</v>
      </c>
      <c r="F466" s="10">
        <f>50.4381 * CHOOSE(CONTROL!$C$9, $D$9, 100%, $F$9) + CHOOSE(CONTROL!$C$27, 0.0021, 0)</f>
        <v>50.440199999999997</v>
      </c>
      <c r="G466" s="10">
        <f>50.7095 * CHOOSE(CONTROL!$C$9, $D$9, 100%, $F$9) + CHOOSE(CONTROL!$C$27, 0.0021, 0)</f>
        <v>50.711599999999997</v>
      </c>
      <c r="H466" s="10">
        <f>50.5748 * CHOOSE(CONTROL!$C$9, $D$9, 100%, $F$9) + CHOOSE(CONTROL!$C$27, 0.0021, 0)</f>
        <v>50.576900000000002</v>
      </c>
      <c r="I466" s="10">
        <f>50.5748 * CHOOSE(CONTROL!$C$9, $D$9, 100%, $F$9) + CHOOSE(CONTROL!$C$27, 0.0021, 0)</f>
        <v>50.576900000000002</v>
      </c>
      <c r="J466" s="10">
        <f>50.5748 * CHOOSE(CONTROL!$C$9, $D$9, 100%, $F$9) + CHOOSE(CONTROL!$C$27, 0.0021, 0)</f>
        <v>50.576900000000002</v>
      </c>
      <c r="K466" s="10">
        <f>50.5748 * CHOOSE(CONTROL!$C$9, $D$9, 100%, $F$9) + CHOOSE(CONTROL!$C$27, 0.0021, 0)</f>
        <v>50.576900000000002</v>
      </c>
      <c r="L466" s="10"/>
    </row>
    <row r="467" spans="1:12" ht="15.75">
      <c r="A467" s="14">
        <v>55518</v>
      </c>
      <c r="B467" s="10">
        <f>50.0519 * CHOOSE(CONTROL!$C$9, $D$9, 100%, $F$9) + CHOOSE(CONTROL!$C$27, 0.0021, 0)</f>
        <v>50.054000000000002</v>
      </c>
      <c r="C467" s="10">
        <f>49.6196 * CHOOSE(CONTROL!$C$9, $D$9, 100%, $F$9) + CHOOSE(CONTROL!$C$27, 0.0021, 0)</f>
        <v>49.621699999999997</v>
      </c>
      <c r="D467" s="10">
        <f>49.6196 * CHOOSE(CONTROL!$C$9, $D$9, 100%, $F$9) + CHOOSE(CONTROL!$C$27, 0.0021, 0)</f>
        <v>49.621699999999997</v>
      </c>
      <c r="E467" s="10">
        <f>49.4829 * CHOOSE(CONTROL!$C$9, $D$9, 100%, $F$9) + CHOOSE(CONTROL!$C$27, 0.0021, 0)</f>
        <v>49.484999999999999</v>
      </c>
      <c r="F467" s="10">
        <f>49.4829 * CHOOSE(CONTROL!$C$9, $D$9, 100%, $F$9) + CHOOSE(CONTROL!$C$27, 0.0021, 0)</f>
        <v>49.484999999999999</v>
      </c>
      <c r="G467" s="10">
        <f>49.7543 * CHOOSE(CONTROL!$C$9, $D$9, 100%, $F$9) + CHOOSE(CONTROL!$C$27, 0.0021, 0)</f>
        <v>49.756399999999999</v>
      </c>
      <c r="H467" s="10">
        <f>49.6196 * CHOOSE(CONTROL!$C$9, $D$9, 100%, $F$9) + CHOOSE(CONTROL!$C$27, 0.0021, 0)</f>
        <v>49.621699999999997</v>
      </c>
      <c r="I467" s="10">
        <f>49.6196 * CHOOSE(CONTROL!$C$9, $D$9, 100%, $F$9) + CHOOSE(CONTROL!$C$27, 0.0021, 0)</f>
        <v>49.621699999999997</v>
      </c>
      <c r="J467" s="10">
        <f>49.6196 * CHOOSE(CONTROL!$C$9, $D$9, 100%, $F$9) + CHOOSE(CONTROL!$C$27, 0.0021, 0)</f>
        <v>49.621699999999997</v>
      </c>
      <c r="K467" s="10">
        <f>49.6196 * CHOOSE(CONTROL!$C$9, $D$9, 100%, $F$9) + CHOOSE(CONTROL!$C$27, 0.0021, 0)</f>
        <v>49.621699999999997</v>
      </c>
      <c r="L467" s="10"/>
    </row>
    <row r="468" spans="1:12" ht="15.75">
      <c r="A468" s="14">
        <v>55549</v>
      </c>
      <c r="B468" s="10">
        <f>49.3205 * CHOOSE(CONTROL!$C$9, $D$9, 100%, $F$9) + CHOOSE(CONTROL!$C$27, 0.0021, 0)</f>
        <v>49.322600000000001</v>
      </c>
      <c r="C468" s="10">
        <f>48.8883 * CHOOSE(CONTROL!$C$9, $D$9, 100%, $F$9) + CHOOSE(CONTROL!$C$27, 0.0021, 0)</f>
        <v>48.8904</v>
      </c>
      <c r="D468" s="10">
        <f>48.8883 * CHOOSE(CONTROL!$C$9, $D$9, 100%, $F$9) + CHOOSE(CONTROL!$C$27, 0.0021, 0)</f>
        <v>48.8904</v>
      </c>
      <c r="E468" s="10">
        <f>48.7516 * CHOOSE(CONTROL!$C$9, $D$9, 100%, $F$9) + CHOOSE(CONTROL!$C$27, 0.0021, 0)</f>
        <v>48.753700000000002</v>
      </c>
      <c r="F468" s="10">
        <f>48.7516 * CHOOSE(CONTROL!$C$9, $D$9, 100%, $F$9) + CHOOSE(CONTROL!$C$27, 0.0021, 0)</f>
        <v>48.753700000000002</v>
      </c>
      <c r="G468" s="10">
        <f>49.023 * CHOOSE(CONTROL!$C$9, $D$9, 100%, $F$9) + CHOOSE(CONTROL!$C$27, 0.0021, 0)</f>
        <v>49.025100000000002</v>
      </c>
      <c r="H468" s="10">
        <f>48.8883 * CHOOSE(CONTROL!$C$9, $D$9, 100%, $F$9) + CHOOSE(CONTROL!$C$27, 0.0021, 0)</f>
        <v>48.8904</v>
      </c>
      <c r="I468" s="10">
        <f>48.8883 * CHOOSE(CONTROL!$C$9, $D$9, 100%, $F$9) + CHOOSE(CONTROL!$C$27, 0.0021, 0)</f>
        <v>48.8904</v>
      </c>
      <c r="J468" s="10">
        <f>48.8883 * CHOOSE(CONTROL!$C$9, $D$9, 100%, $F$9) + CHOOSE(CONTROL!$C$27, 0.0021, 0)</f>
        <v>48.8904</v>
      </c>
      <c r="K468" s="10">
        <f>48.8883 * CHOOSE(CONTROL!$C$9, $D$9, 100%, $F$9) + CHOOSE(CONTROL!$C$27, 0.0021, 0)</f>
        <v>48.8904</v>
      </c>
      <c r="L468" s="10"/>
    </row>
    <row r="469" spans="1:12" ht="15.75">
      <c r="A469" s="14">
        <v>55577</v>
      </c>
      <c r="B469" s="10">
        <f>47.9903 * CHOOSE(CONTROL!$C$9, $D$9, 100%, $F$9) + CHOOSE(CONTROL!$C$27, 0.0021, 0)</f>
        <v>47.992399999999996</v>
      </c>
      <c r="C469" s="10">
        <f>47.5581 * CHOOSE(CONTROL!$C$9, $D$9, 100%, $F$9) + CHOOSE(CONTROL!$C$27, 0.0021, 0)</f>
        <v>47.560200000000002</v>
      </c>
      <c r="D469" s="10">
        <f>47.5581 * CHOOSE(CONTROL!$C$9, $D$9, 100%, $F$9) + CHOOSE(CONTROL!$C$27, 0.0021, 0)</f>
        <v>47.560200000000002</v>
      </c>
      <c r="E469" s="10">
        <f>47.4214 * CHOOSE(CONTROL!$C$9, $D$9, 100%, $F$9) + CHOOSE(CONTROL!$C$27, 0.0021, 0)</f>
        <v>47.423499999999997</v>
      </c>
      <c r="F469" s="10">
        <f>47.4214 * CHOOSE(CONTROL!$C$9, $D$9, 100%, $F$9) + CHOOSE(CONTROL!$C$27, 0.0021, 0)</f>
        <v>47.423499999999997</v>
      </c>
      <c r="G469" s="10">
        <f>47.6928 * CHOOSE(CONTROL!$C$9, $D$9, 100%, $F$9) + CHOOSE(CONTROL!$C$27, 0.0021, 0)</f>
        <v>47.694899999999997</v>
      </c>
      <c r="H469" s="10">
        <f>47.5581 * CHOOSE(CONTROL!$C$9, $D$9, 100%, $F$9) + CHOOSE(CONTROL!$C$27, 0.0021, 0)</f>
        <v>47.560200000000002</v>
      </c>
      <c r="I469" s="10">
        <f>47.5581 * CHOOSE(CONTROL!$C$9, $D$9, 100%, $F$9) + CHOOSE(CONTROL!$C$27, 0.0021, 0)</f>
        <v>47.560200000000002</v>
      </c>
      <c r="J469" s="10">
        <f>47.5581 * CHOOSE(CONTROL!$C$9, $D$9, 100%, $F$9) + CHOOSE(CONTROL!$C$27, 0.0021, 0)</f>
        <v>47.560200000000002</v>
      </c>
      <c r="K469" s="10">
        <f>47.5581 * CHOOSE(CONTROL!$C$9, $D$9, 100%, $F$9) + CHOOSE(CONTROL!$C$27, 0.0021, 0)</f>
        <v>47.560200000000002</v>
      </c>
      <c r="L469" s="10"/>
    </row>
    <row r="470" spans="1:12" ht="15.75">
      <c r="A470" s="14">
        <v>55609</v>
      </c>
      <c r="B470" s="10">
        <f>47.4412 * CHOOSE(CONTROL!$C$9, $D$9, 100%, $F$9) + CHOOSE(CONTROL!$C$27, 0.0021, 0)</f>
        <v>47.443300000000001</v>
      </c>
      <c r="C470" s="10">
        <f>47.009 * CHOOSE(CONTROL!$C$9, $D$9, 100%, $F$9) + CHOOSE(CONTROL!$C$27, 0.0021, 0)</f>
        <v>47.011099999999999</v>
      </c>
      <c r="D470" s="10">
        <f>47.009 * CHOOSE(CONTROL!$C$9, $D$9, 100%, $F$9) + CHOOSE(CONTROL!$C$27, 0.0021, 0)</f>
        <v>47.011099999999999</v>
      </c>
      <c r="E470" s="10">
        <f>46.8723 * CHOOSE(CONTROL!$C$9, $D$9, 100%, $F$9) + CHOOSE(CONTROL!$C$27, 0.0021, 0)</f>
        <v>46.874400000000001</v>
      </c>
      <c r="F470" s="10">
        <f>46.8723 * CHOOSE(CONTROL!$C$9, $D$9, 100%, $F$9) + CHOOSE(CONTROL!$C$27, 0.0021, 0)</f>
        <v>46.874400000000001</v>
      </c>
      <c r="G470" s="10">
        <f>47.1437 * CHOOSE(CONTROL!$C$9, $D$9, 100%, $F$9) + CHOOSE(CONTROL!$C$27, 0.0021, 0)</f>
        <v>47.145800000000001</v>
      </c>
      <c r="H470" s="10">
        <f>47.009 * CHOOSE(CONTROL!$C$9, $D$9, 100%, $F$9) + CHOOSE(CONTROL!$C$27, 0.0021, 0)</f>
        <v>47.011099999999999</v>
      </c>
      <c r="I470" s="10">
        <f>47.009 * CHOOSE(CONTROL!$C$9, $D$9, 100%, $F$9) + CHOOSE(CONTROL!$C$27, 0.0021, 0)</f>
        <v>47.011099999999999</v>
      </c>
      <c r="J470" s="10">
        <f>47.009 * CHOOSE(CONTROL!$C$9, $D$9, 100%, $F$9) + CHOOSE(CONTROL!$C$27, 0.0021, 0)</f>
        <v>47.011099999999999</v>
      </c>
      <c r="K470" s="10">
        <f>47.009 * CHOOSE(CONTROL!$C$9, $D$9, 100%, $F$9) + CHOOSE(CONTROL!$C$27, 0.0021, 0)</f>
        <v>47.011099999999999</v>
      </c>
      <c r="L470" s="10"/>
    </row>
    <row r="471" spans="1:12" ht="15.75">
      <c r="A471" s="14">
        <v>55639</v>
      </c>
      <c r="B471" s="10">
        <f>46.7856 * CHOOSE(CONTROL!$C$9, $D$9, 100%, $F$9) + CHOOSE(CONTROL!$C$27, 0.0021, 0)</f>
        <v>46.787700000000001</v>
      </c>
      <c r="C471" s="10">
        <f>46.3533 * CHOOSE(CONTROL!$C$9, $D$9, 100%, $F$9) + CHOOSE(CONTROL!$C$27, 0.0021, 0)</f>
        <v>46.355399999999996</v>
      </c>
      <c r="D471" s="10">
        <f>46.3533 * CHOOSE(CONTROL!$C$9, $D$9, 100%, $F$9) + CHOOSE(CONTROL!$C$27, 0.0021, 0)</f>
        <v>46.355399999999996</v>
      </c>
      <c r="E471" s="10">
        <f>46.2167 * CHOOSE(CONTROL!$C$9, $D$9, 100%, $F$9) + CHOOSE(CONTROL!$C$27, 0.0021, 0)</f>
        <v>46.218800000000002</v>
      </c>
      <c r="F471" s="10">
        <f>46.2167 * CHOOSE(CONTROL!$C$9, $D$9, 100%, $F$9) + CHOOSE(CONTROL!$C$27, 0.0021, 0)</f>
        <v>46.218800000000002</v>
      </c>
      <c r="G471" s="10">
        <f>46.488 * CHOOSE(CONTROL!$C$9, $D$9, 100%, $F$9) + CHOOSE(CONTROL!$C$27, 0.0021, 0)</f>
        <v>46.490099999999998</v>
      </c>
      <c r="H471" s="10">
        <f>46.3533 * CHOOSE(CONTROL!$C$9, $D$9, 100%, $F$9) + CHOOSE(CONTROL!$C$27, 0.0021, 0)</f>
        <v>46.355399999999996</v>
      </c>
      <c r="I471" s="10">
        <f>46.3533 * CHOOSE(CONTROL!$C$9, $D$9, 100%, $F$9) + CHOOSE(CONTROL!$C$27, 0.0021, 0)</f>
        <v>46.355399999999996</v>
      </c>
      <c r="J471" s="10">
        <f>46.3533 * CHOOSE(CONTROL!$C$9, $D$9, 100%, $F$9) + CHOOSE(CONTROL!$C$27, 0.0021, 0)</f>
        <v>46.355399999999996</v>
      </c>
      <c r="K471" s="10">
        <f>46.3533 * CHOOSE(CONTROL!$C$9, $D$9, 100%, $F$9) + CHOOSE(CONTROL!$C$27, 0.0021, 0)</f>
        <v>46.355399999999996</v>
      </c>
      <c r="L471" s="10"/>
    </row>
    <row r="472" spans="1:12" ht="15.75">
      <c r="A472" s="14">
        <v>55670</v>
      </c>
      <c r="B472" s="10">
        <f>47.7199 * CHOOSE(CONTROL!$C$9, $D$9, 100%, $F$9) + CHOOSE(CONTROL!$C$27, 0.0021, 0)</f>
        <v>47.722000000000001</v>
      </c>
      <c r="C472" s="10">
        <f>47.2877 * CHOOSE(CONTROL!$C$9, $D$9, 100%, $F$9) + CHOOSE(CONTROL!$C$27, 0.0021, 0)</f>
        <v>47.2898</v>
      </c>
      <c r="D472" s="10">
        <f>47.2877 * CHOOSE(CONTROL!$C$9, $D$9, 100%, $F$9) + CHOOSE(CONTROL!$C$27, 0.0021, 0)</f>
        <v>47.2898</v>
      </c>
      <c r="E472" s="10">
        <f>47.151 * CHOOSE(CONTROL!$C$9, $D$9, 100%, $F$9) + CHOOSE(CONTROL!$C$27, 0.0021, 0)</f>
        <v>47.153100000000002</v>
      </c>
      <c r="F472" s="10">
        <f>47.151 * CHOOSE(CONTROL!$C$9, $D$9, 100%, $F$9) + CHOOSE(CONTROL!$C$27, 0.0021, 0)</f>
        <v>47.153100000000002</v>
      </c>
      <c r="G472" s="10">
        <f>47.4224 * CHOOSE(CONTROL!$C$9, $D$9, 100%, $F$9) + CHOOSE(CONTROL!$C$27, 0.0021, 0)</f>
        <v>47.424500000000002</v>
      </c>
      <c r="H472" s="10">
        <f>47.2877 * CHOOSE(CONTROL!$C$9, $D$9, 100%, $F$9) + CHOOSE(CONTROL!$C$27, 0.0021, 0)</f>
        <v>47.2898</v>
      </c>
      <c r="I472" s="10">
        <f>47.2877 * CHOOSE(CONTROL!$C$9, $D$9, 100%, $F$9) + CHOOSE(CONTROL!$C$27, 0.0021, 0)</f>
        <v>47.2898</v>
      </c>
      <c r="J472" s="10">
        <f>47.2877 * CHOOSE(CONTROL!$C$9, $D$9, 100%, $F$9) + CHOOSE(CONTROL!$C$27, 0.0021, 0)</f>
        <v>47.2898</v>
      </c>
      <c r="K472" s="10">
        <f>47.2877 * CHOOSE(CONTROL!$C$9, $D$9, 100%, $F$9) + CHOOSE(CONTROL!$C$27, 0.0021, 0)</f>
        <v>47.2898</v>
      </c>
      <c r="L472" s="10"/>
    </row>
    <row r="473" spans="1:12" ht="15.75">
      <c r="A473" s="14">
        <v>55700</v>
      </c>
      <c r="B473" s="10">
        <f>48.2796 * CHOOSE(CONTROL!$C$9, $D$9, 100%, $F$9) + CHOOSE(CONTROL!$C$27, 0.0021, 0)</f>
        <v>48.281700000000001</v>
      </c>
      <c r="C473" s="10">
        <f>47.8474 * CHOOSE(CONTROL!$C$9, $D$9, 100%, $F$9) + CHOOSE(CONTROL!$C$27, 0.0021, 0)</f>
        <v>47.849499999999999</v>
      </c>
      <c r="D473" s="10">
        <f>47.8474 * CHOOSE(CONTROL!$C$9, $D$9, 100%, $F$9) + CHOOSE(CONTROL!$C$27, 0.0021, 0)</f>
        <v>47.849499999999999</v>
      </c>
      <c r="E473" s="10">
        <f>47.7107 * CHOOSE(CONTROL!$C$9, $D$9, 100%, $F$9) + CHOOSE(CONTROL!$C$27, 0.0021, 0)</f>
        <v>47.712800000000001</v>
      </c>
      <c r="F473" s="10">
        <f>47.7107 * CHOOSE(CONTROL!$C$9, $D$9, 100%, $F$9) + CHOOSE(CONTROL!$C$27, 0.0021, 0)</f>
        <v>47.712800000000001</v>
      </c>
      <c r="G473" s="10">
        <f>47.9821 * CHOOSE(CONTROL!$C$9, $D$9, 100%, $F$9) + CHOOSE(CONTROL!$C$27, 0.0021, 0)</f>
        <v>47.984200000000001</v>
      </c>
      <c r="H473" s="10">
        <f>47.8474 * CHOOSE(CONTROL!$C$9, $D$9, 100%, $F$9) + CHOOSE(CONTROL!$C$27, 0.0021, 0)</f>
        <v>47.849499999999999</v>
      </c>
      <c r="I473" s="10">
        <f>47.8474 * CHOOSE(CONTROL!$C$9, $D$9, 100%, $F$9) + CHOOSE(CONTROL!$C$27, 0.0021, 0)</f>
        <v>47.849499999999999</v>
      </c>
      <c r="J473" s="10">
        <f>47.8474 * CHOOSE(CONTROL!$C$9, $D$9, 100%, $F$9) + CHOOSE(CONTROL!$C$27, 0.0021, 0)</f>
        <v>47.849499999999999</v>
      </c>
      <c r="K473" s="10">
        <f>47.8474 * CHOOSE(CONTROL!$C$9, $D$9, 100%, $F$9) + CHOOSE(CONTROL!$C$27, 0.0021, 0)</f>
        <v>47.849499999999999</v>
      </c>
      <c r="L473" s="10"/>
    </row>
    <row r="474" spans="1:12" ht="15.75">
      <c r="A474" s="14">
        <v>55731</v>
      </c>
      <c r="B474" s="10">
        <f>49.2028 * CHOOSE(CONTROL!$C$9, $D$9, 100%, $F$9) + CHOOSE(CONTROL!$C$27, 0.0021, 0)</f>
        <v>49.204900000000002</v>
      </c>
      <c r="C474" s="10">
        <f>48.7706 * CHOOSE(CONTROL!$C$9, $D$9, 100%, $F$9) + CHOOSE(CONTROL!$C$27, 0.0021, 0)</f>
        <v>48.7727</v>
      </c>
      <c r="D474" s="10">
        <f>48.7706 * CHOOSE(CONTROL!$C$9, $D$9, 100%, $F$9) + CHOOSE(CONTROL!$C$27, 0.0021, 0)</f>
        <v>48.7727</v>
      </c>
      <c r="E474" s="10">
        <f>48.6339 * CHOOSE(CONTROL!$C$9, $D$9, 100%, $F$9) + CHOOSE(CONTROL!$C$27, 0.0021, 0)</f>
        <v>48.635999999999996</v>
      </c>
      <c r="F474" s="10">
        <f>48.6339 * CHOOSE(CONTROL!$C$9, $D$9, 100%, $F$9) + CHOOSE(CONTROL!$C$27, 0.0021, 0)</f>
        <v>48.635999999999996</v>
      </c>
      <c r="G474" s="10">
        <f>48.9053 * CHOOSE(CONTROL!$C$9, $D$9, 100%, $F$9) + CHOOSE(CONTROL!$C$27, 0.0021, 0)</f>
        <v>48.907399999999996</v>
      </c>
      <c r="H474" s="10">
        <f>48.7706 * CHOOSE(CONTROL!$C$9, $D$9, 100%, $F$9) + CHOOSE(CONTROL!$C$27, 0.0021, 0)</f>
        <v>48.7727</v>
      </c>
      <c r="I474" s="10">
        <f>48.7706 * CHOOSE(CONTROL!$C$9, $D$9, 100%, $F$9) + CHOOSE(CONTROL!$C$27, 0.0021, 0)</f>
        <v>48.7727</v>
      </c>
      <c r="J474" s="10">
        <f>48.7706 * CHOOSE(CONTROL!$C$9, $D$9, 100%, $F$9) + CHOOSE(CONTROL!$C$27, 0.0021, 0)</f>
        <v>48.7727</v>
      </c>
      <c r="K474" s="10">
        <f>48.7706 * CHOOSE(CONTROL!$C$9, $D$9, 100%, $F$9) + CHOOSE(CONTROL!$C$27, 0.0021, 0)</f>
        <v>48.7727</v>
      </c>
      <c r="L474" s="10"/>
    </row>
    <row r="475" spans="1:12" ht="15.75">
      <c r="A475" s="14">
        <v>55762</v>
      </c>
      <c r="B475" s="10">
        <f>49.4846 * CHOOSE(CONTROL!$C$9, $D$9, 100%, $F$9) + CHOOSE(CONTROL!$C$27, 0.0021, 0)</f>
        <v>49.486699999999999</v>
      </c>
      <c r="C475" s="10">
        <f>49.0524 * CHOOSE(CONTROL!$C$9, $D$9, 100%, $F$9) + CHOOSE(CONTROL!$C$27, 0.0021, 0)</f>
        <v>49.054499999999997</v>
      </c>
      <c r="D475" s="10">
        <f>49.0524 * CHOOSE(CONTROL!$C$9, $D$9, 100%, $F$9) + CHOOSE(CONTROL!$C$27, 0.0021, 0)</f>
        <v>49.054499999999997</v>
      </c>
      <c r="E475" s="10">
        <f>48.9157 * CHOOSE(CONTROL!$C$9, $D$9, 100%, $F$9) + CHOOSE(CONTROL!$C$27, 0.0021, 0)</f>
        <v>48.9178</v>
      </c>
      <c r="F475" s="10">
        <f>48.9157 * CHOOSE(CONTROL!$C$9, $D$9, 100%, $F$9) + CHOOSE(CONTROL!$C$27, 0.0021, 0)</f>
        <v>48.9178</v>
      </c>
      <c r="G475" s="10">
        <f>49.1871 * CHOOSE(CONTROL!$C$9, $D$9, 100%, $F$9) + CHOOSE(CONTROL!$C$27, 0.0021, 0)</f>
        <v>49.1892</v>
      </c>
      <c r="H475" s="10">
        <f>49.0524 * CHOOSE(CONTROL!$C$9, $D$9, 100%, $F$9) + CHOOSE(CONTROL!$C$27, 0.0021, 0)</f>
        <v>49.054499999999997</v>
      </c>
      <c r="I475" s="10">
        <f>49.0524 * CHOOSE(CONTROL!$C$9, $D$9, 100%, $F$9) + CHOOSE(CONTROL!$C$27, 0.0021, 0)</f>
        <v>49.054499999999997</v>
      </c>
      <c r="J475" s="10">
        <f>49.0524 * CHOOSE(CONTROL!$C$9, $D$9, 100%, $F$9) + CHOOSE(CONTROL!$C$27, 0.0021, 0)</f>
        <v>49.054499999999997</v>
      </c>
      <c r="K475" s="10">
        <f>49.0524 * CHOOSE(CONTROL!$C$9, $D$9, 100%, $F$9) + CHOOSE(CONTROL!$C$27, 0.0021, 0)</f>
        <v>49.054499999999997</v>
      </c>
      <c r="L475" s="10"/>
    </row>
    <row r="476" spans="1:12" ht="15.75">
      <c r="A476" s="14">
        <v>55792</v>
      </c>
      <c r="B476" s="10">
        <f>50.4443 * CHOOSE(CONTROL!$C$9, $D$9, 100%, $F$9) + CHOOSE(CONTROL!$C$27, 0.0021, 0)</f>
        <v>50.446399999999997</v>
      </c>
      <c r="C476" s="10">
        <f>50.012 * CHOOSE(CONTROL!$C$9, $D$9, 100%, $F$9) + CHOOSE(CONTROL!$C$27, 0.0021, 0)</f>
        <v>50.014099999999999</v>
      </c>
      <c r="D476" s="10">
        <f>50.012 * CHOOSE(CONTROL!$C$9, $D$9, 100%, $F$9) + CHOOSE(CONTROL!$C$27, 0.0021, 0)</f>
        <v>50.014099999999999</v>
      </c>
      <c r="E476" s="10">
        <f>49.8754 * CHOOSE(CONTROL!$C$9, $D$9, 100%, $F$9) + CHOOSE(CONTROL!$C$27, 0.0021, 0)</f>
        <v>49.877499999999998</v>
      </c>
      <c r="F476" s="10">
        <f>49.8754 * CHOOSE(CONTROL!$C$9, $D$9, 100%, $F$9) + CHOOSE(CONTROL!$C$27, 0.0021, 0)</f>
        <v>49.877499999999998</v>
      </c>
      <c r="G476" s="10">
        <f>50.1467 * CHOOSE(CONTROL!$C$9, $D$9, 100%, $F$9) + CHOOSE(CONTROL!$C$27, 0.0021, 0)</f>
        <v>50.148800000000001</v>
      </c>
      <c r="H476" s="10">
        <f>50.012 * CHOOSE(CONTROL!$C$9, $D$9, 100%, $F$9) + CHOOSE(CONTROL!$C$27, 0.0021, 0)</f>
        <v>50.014099999999999</v>
      </c>
      <c r="I476" s="10">
        <f>50.012 * CHOOSE(CONTROL!$C$9, $D$9, 100%, $F$9) + CHOOSE(CONTROL!$C$27, 0.0021, 0)</f>
        <v>50.014099999999999</v>
      </c>
      <c r="J476" s="10">
        <f>50.012 * CHOOSE(CONTROL!$C$9, $D$9, 100%, $F$9) + CHOOSE(CONTROL!$C$27, 0.0021, 0)</f>
        <v>50.014099999999999</v>
      </c>
      <c r="K476" s="10">
        <f>50.012 * CHOOSE(CONTROL!$C$9, $D$9, 100%, $F$9) + CHOOSE(CONTROL!$C$27, 0.0021, 0)</f>
        <v>50.014099999999999</v>
      </c>
      <c r="L476" s="10"/>
    </row>
    <row r="477" spans="1:12" ht="15.75">
      <c r="A477" s="14">
        <v>55823</v>
      </c>
      <c r="B477" s="10">
        <f>51.659 * CHOOSE(CONTROL!$C$9, $D$9, 100%, $F$9) + CHOOSE(CONTROL!$C$27, 0.0021, 0)</f>
        <v>51.661099999999998</v>
      </c>
      <c r="C477" s="10">
        <f>51.2268 * CHOOSE(CONTROL!$C$9, $D$9, 100%, $F$9) + CHOOSE(CONTROL!$C$27, 0.0021, 0)</f>
        <v>51.228899999999996</v>
      </c>
      <c r="D477" s="10">
        <f>51.2268 * CHOOSE(CONTROL!$C$9, $D$9, 100%, $F$9) + CHOOSE(CONTROL!$C$27, 0.0021, 0)</f>
        <v>51.228899999999996</v>
      </c>
      <c r="E477" s="10">
        <f>51.0901 * CHOOSE(CONTROL!$C$9, $D$9, 100%, $F$9) + CHOOSE(CONTROL!$C$27, 0.0021, 0)</f>
        <v>51.092199999999998</v>
      </c>
      <c r="F477" s="10">
        <f>51.0901 * CHOOSE(CONTROL!$C$9, $D$9, 100%, $F$9) + CHOOSE(CONTROL!$C$27, 0.0021, 0)</f>
        <v>51.092199999999998</v>
      </c>
      <c r="G477" s="10">
        <f>51.3615 * CHOOSE(CONTROL!$C$9, $D$9, 100%, $F$9) + CHOOSE(CONTROL!$C$27, 0.0021, 0)</f>
        <v>51.363599999999998</v>
      </c>
      <c r="H477" s="10">
        <f>51.2268 * CHOOSE(CONTROL!$C$9, $D$9, 100%, $F$9) + CHOOSE(CONTROL!$C$27, 0.0021, 0)</f>
        <v>51.228899999999996</v>
      </c>
      <c r="I477" s="10">
        <f>51.2268 * CHOOSE(CONTROL!$C$9, $D$9, 100%, $F$9) + CHOOSE(CONTROL!$C$27, 0.0021, 0)</f>
        <v>51.228899999999996</v>
      </c>
      <c r="J477" s="10">
        <f>51.2268 * CHOOSE(CONTROL!$C$9, $D$9, 100%, $F$9) + CHOOSE(CONTROL!$C$27, 0.0021, 0)</f>
        <v>51.228899999999996</v>
      </c>
      <c r="K477" s="10">
        <f>51.2268 * CHOOSE(CONTROL!$C$9, $D$9, 100%, $F$9) + CHOOSE(CONTROL!$C$27, 0.0021, 0)</f>
        <v>51.228899999999996</v>
      </c>
      <c r="L477" s="10"/>
    </row>
    <row r="478" spans="1:12" ht="15.75">
      <c r="A478" s="14">
        <v>55853</v>
      </c>
      <c r="B478" s="10">
        <f>51.7731 * CHOOSE(CONTROL!$C$9, $D$9, 100%, $F$9) + CHOOSE(CONTROL!$C$27, 0.0021, 0)</f>
        <v>51.775199999999998</v>
      </c>
      <c r="C478" s="10">
        <f>51.3408 * CHOOSE(CONTROL!$C$9, $D$9, 100%, $F$9) + CHOOSE(CONTROL!$C$27, 0.0021, 0)</f>
        <v>51.3429</v>
      </c>
      <c r="D478" s="10">
        <f>51.3408 * CHOOSE(CONTROL!$C$9, $D$9, 100%, $F$9) + CHOOSE(CONTROL!$C$27, 0.0021, 0)</f>
        <v>51.3429</v>
      </c>
      <c r="E478" s="10">
        <f>51.2042 * CHOOSE(CONTROL!$C$9, $D$9, 100%, $F$9) + CHOOSE(CONTROL!$C$27, 0.0021, 0)</f>
        <v>51.206299999999999</v>
      </c>
      <c r="F478" s="10">
        <f>51.2042 * CHOOSE(CONTROL!$C$9, $D$9, 100%, $F$9) + CHOOSE(CONTROL!$C$27, 0.0021, 0)</f>
        <v>51.206299999999999</v>
      </c>
      <c r="G478" s="10">
        <f>51.4755 * CHOOSE(CONTROL!$C$9, $D$9, 100%, $F$9) + CHOOSE(CONTROL!$C$27, 0.0021, 0)</f>
        <v>51.477599999999995</v>
      </c>
      <c r="H478" s="10">
        <f>51.3408 * CHOOSE(CONTROL!$C$9, $D$9, 100%, $F$9) + CHOOSE(CONTROL!$C$27, 0.0021, 0)</f>
        <v>51.3429</v>
      </c>
      <c r="I478" s="10">
        <f>51.3408 * CHOOSE(CONTROL!$C$9, $D$9, 100%, $F$9) + CHOOSE(CONTROL!$C$27, 0.0021, 0)</f>
        <v>51.3429</v>
      </c>
      <c r="J478" s="10">
        <f>51.3408 * CHOOSE(CONTROL!$C$9, $D$9, 100%, $F$9) + CHOOSE(CONTROL!$C$27, 0.0021, 0)</f>
        <v>51.3429</v>
      </c>
      <c r="K478" s="10">
        <f>51.3408 * CHOOSE(CONTROL!$C$9, $D$9, 100%, $F$9) + CHOOSE(CONTROL!$C$27, 0.0021, 0)</f>
        <v>51.3429</v>
      </c>
      <c r="L478" s="10"/>
    </row>
    <row r="479" spans="1:12" ht="15.75">
      <c r="A479" s="14">
        <v>55884</v>
      </c>
      <c r="B479" s="10">
        <f>50.8029 * CHOOSE(CONTROL!$C$9, $D$9, 100%, $F$9) + CHOOSE(CONTROL!$C$27, 0.0021, 0)</f>
        <v>50.805</v>
      </c>
      <c r="C479" s="10">
        <f>50.3706 * CHOOSE(CONTROL!$C$9, $D$9, 100%, $F$9) + CHOOSE(CONTROL!$C$27, 0.0021, 0)</f>
        <v>50.372700000000002</v>
      </c>
      <c r="D479" s="10">
        <f>50.3706 * CHOOSE(CONTROL!$C$9, $D$9, 100%, $F$9) + CHOOSE(CONTROL!$C$27, 0.0021, 0)</f>
        <v>50.372700000000002</v>
      </c>
      <c r="E479" s="10">
        <f>50.234 * CHOOSE(CONTROL!$C$9, $D$9, 100%, $F$9) + CHOOSE(CONTROL!$C$27, 0.0021, 0)</f>
        <v>50.2361</v>
      </c>
      <c r="F479" s="10">
        <f>50.234 * CHOOSE(CONTROL!$C$9, $D$9, 100%, $F$9) + CHOOSE(CONTROL!$C$27, 0.0021, 0)</f>
        <v>50.2361</v>
      </c>
      <c r="G479" s="10">
        <f>50.5053 * CHOOSE(CONTROL!$C$9, $D$9, 100%, $F$9) + CHOOSE(CONTROL!$C$27, 0.0021, 0)</f>
        <v>50.507399999999997</v>
      </c>
      <c r="H479" s="10">
        <f>50.3706 * CHOOSE(CONTROL!$C$9, $D$9, 100%, $F$9) + CHOOSE(CONTROL!$C$27, 0.0021, 0)</f>
        <v>50.372700000000002</v>
      </c>
      <c r="I479" s="10">
        <f>50.3706 * CHOOSE(CONTROL!$C$9, $D$9, 100%, $F$9) + CHOOSE(CONTROL!$C$27, 0.0021, 0)</f>
        <v>50.372700000000002</v>
      </c>
      <c r="J479" s="10">
        <f>50.3706 * CHOOSE(CONTROL!$C$9, $D$9, 100%, $F$9) + CHOOSE(CONTROL!$C$27, 0.0021, 0)</f>
        <v>50.372700000000002</v>
      </c>
      <c r="K479" s="10">
        <f>50.3706 * CHOOSE(CONTROL!$C$9, $D$9, 100%, $F$9) + CHOOSE(CONTROL!$C$27, 0.0021, 0)</f>
        <v>50.372700000000002</v>
      </c>
      <c r="L479" s="10"/>
    </row>
    <row r="480" spans="1:12" ht="15.75">
      <c r="A480" s="14">
        <v>55915</v>
      </c>
      <c r="B480" s="10">
        <f>50.0601 * CHOOSE(CONTROL!$C$9, $D$9, 100%, $F$9) + CHOOSE(CONTROL!$C$27, 0.0021, 0)</f>
        <v>50.062199999999997</v>
      </c>
      <c r="C480" s="10">
        <f>49.6278 * CHOOSE(CONTROL!$C$9, $D$9, 100%, $F$9) + CHOOSE(CONTROL!$C$27, 0.0021, 0)</f>
        <v>49.629899999999999</v>
      </c>
      <c r="D480" s="10">
        <f>49.6278 * CHOOSE(CONTROL!$C$9, $D$9, 100%, $F$9) + CHOOSE(CONTROL!$C$27, 0.0021, 0)</f>
        <v>49.629899999999999</v>
      </c>
      <c r="E480" s="10">
        <f>49.4911 * CHOOSE(CONTROL!$C$9, $D$9, 100%, $F$9) + CHOOSE(CONTROL!$C$27, 0.0021, 0)</f>
        <v>49.493200000000002</v>
      </c>
      <c r="F480" s="10">
        <f>49.4911 * CHOOSE(CONTROL!$C$9, $D$9, 100%, $F$9) + CHOOSE(CONTROL!$C$27, 0.0021, 0)</f>
        <v>49.493200000000002</v>
      </c>
      <c r="G480" s="10">
        <f>49.7625 * CHOOSE(CONTROL!$C$9, $D$9, 100%, $F$9) + CHOOSE(CONTROL!$C$27, 0.0021, 0)</f>
        <v>49.764600000000002</v>
      </c>
      <c r="H480" s="10">
        <f>49.6278 * CHOOSE(CONTROL!$C$9, $D$9, 100%, $F$9) + CHOOSE(CONTROL!$C$27, 0.0021, 0)</f>
        <v>49.629899999999999</v>
      </c>
      <c r="I480" s="10">
        <f>49.6278 * CHOOSE(CONTROL!$C$9, $D$9, 100%, $F$9) + CHOOSE(CONTROL!$C$27, 0.0021, 0)</f>
        <v>49.629899999999999</v>
      </c>
      <c r="J480" s="10">
        <f>49.6278 * CHOOSE(CONTROL!$C$9, $D$9, 100%, $F$9) + CHOOSE(CONTROL!$C$27, 0.0021, 0)</f>
        <v>49.629899999999999</v>
      </c>
      <c r="K480" s="10">
        <f>49.6278 * CHOOSE(CONTROL!$C$9, $D$9, 100%, $F$9) + CHOOSE(CONTROL!$C$27, 0.0021, 0)</f>
        <v>49.629899999999999</v>
      </c>
      <c r="L480" s="10"/>
    </row>
    <row r="481" spans="1:12" ht="15.75">
      <c r="A481" s="14">
        <v>55943</v>
      </c>
      <c r="B481" s="10">
        <f>48.7089 * CHOOSE(CONTROL!$C$9, $D$9, 100%, $F$9) + CHOOSE(CONTROL!$C$27, 0.0021, 0)</f>
        <v>48.710999999999999</v>
      </c>
      <c r="C481" s="10">
        <f>48.2767 * CHOOSE(CONTROL!$C$9, $D$9, 100%, $F$9) + CHOOSE(CONTROL!$C$27, 0.0021, 0)</f>
        <v>48.278799999999997</v>
      </c>
      <c r="D481" s="10">
        <f>48.2767 * CHOOSE(CONTROL!$C$9, $D$9, 100%, $F$9) + CHOOSE(CONTROL!$C$27, 0.0021, 0)</f>
        <v>48.278799999999997</v>
      </c>
      <c r="E481" s="10">
        <f>48.14 * CHOOSE(CONTROL!$C$9, $D$9, 100%, $F$9) + CHOOSE(CONTROL!$C$27, 0.0021, 0)</f>
        <v>48.142099999999999</v>
      </c>
      <c r="F481" s="10">
        <f>48.14 * CHOOSE(CONTROL!$C$9, $D$9, 100%, $F$9) + CHOOSE(CONTROL!$C$27, 0.0021, 0)</f>
        <v>48.142099999999999</v>
      </c>
      <c r="G481" s="10">
        <f>48.4114 * CHOOSE(CONTROL!$C$9, $D$9, 100%, $F$9) + CHOOSE(CONTROL!$C$27, 0.0021, 0)</f>
        <v>48.413499999999999</v>
      </c>
      <c r="H481" s="10">
        <f>48.2767 * CHOOSE(CONTROL!$C$9, $D$9, 100%, $F$9) + CHOOSE(CONTROL!$C$27, 0.0021, 0)</f>
        <v>48.278799999999997</v>
      </c>
      <c r="I481" s="10">
        <f>48.2767 * CHOOSE(CONTROL!$C$9, $D$9, 100%, $F$9) + CHOOSE(CONTROL!$C$27, 0.0021, 0)</f>
        <v>48.278799999999997</v>
      </c>
      <c r="J481" s="10">
        <f>48.2767 * CHOOSE(CONTROL!$C$9, $D$9, 100%, $F$9) + CHOOSE(CONTROL!$C$27, 0.0021, 0)</f>
        <v>48.278799999999997</v>
      </c>
      <c r="K481" s="10">
        <f>48.2767 * CHOOSE(CONTROL!$C$9, $D$9, 100%, $F$9) + CHOOSE(CONTROL!$C$27, 0.0021, 0)</f>
        <v>48.278799999999997</v>
      </c>
      <c r="L481" s="10"/>
    </row>
    <row r="482" spans="1:12" ht="15.75">
      <c r="A482" s="14">
        <v>55974</v>
      </c>
      <c r="B482" s="10">
        <f>48.1512 * CHOOSE(CONTROL!$C$9, $D$9, 100%, $F$9) + CHOOSE(CONTROL!$C$27, 0.0021, 0)</f>
        <v>48.153300000000002</v>
      </c>
      <c r="C482" s="10">
        <f>47.7189 * CHOOSE(CONTROL!$C$9, $D$9, 100%, $F$9) + CHOOSE(CONTROL!$C$27, 0.0021, 0)</f>
        <v>47.720999999999997</v>
      </c>
      <c r="D482" s="10">
        <f>47.7189 * CHOOSE(CONTROL!$C$9, $D$9, 100%, $F$9) + CHOOSE(CONTROL!$C$27, 0.0021, 0)</f>
        <v>47.720999999999997</v>
      </c>
      <c r="E482" s="10">
        <f>47.5823 * CHOOSE(CONTROL!$C$9, $D$9, 100%, $F$9) + CHOOSE(CONTROL!$C$27, 0.0021, 0)</f>
        <v>47.584399999999995</v>
      </c>
      <c r="F482" s="10">
        <f>47.5823 * CHOOSE(CONTROL!$C$9, $D$9, 100%, $F$9) + CHOOSE(CONTROL!$C$27, 0.0021, 0)</f>
        <v>47.584399999999995</v>
      </c>
      <c r="G482" s="10">
        <f>47.8537 * CHOOSE(CONTROL!$C$9, $D$9, 100%, $F$9) + CHOOSE(CONTROL!$C$27, 0.0021, 0)</f>
        <v>47.855800000000002</v>
      </c>
      <c r="H482" s="10">
        <f>47.7189 * CHOOSE(CONTROL!$C$9, $D$9, 100%, $F$9) + CHOOSE(CONTROL!$C$27, 0.0021, 0)</f>
        <v>47.720999999999997</v>
      </c>
      <c r="I482" s="10">
        <f>47.7189 * CHOOSE(CONTROL!$C$9, $D$9, 100%, $F$9) + CHOOSE(CONTROL!$C$27, 0.0021, 0)</f>
        <v>47.720999999999997</v>
      </c>
      <c r="J482" s="10">
        <f>47.7189 * CHOOSE(CONTROL!$C$9, $D$9, 100%, $F$9) + CHOOSE(CONTROL!$C$27, 0.0021, 0)</f>
        <v>47.720999999999997</v>
      </c>
      <c r="K482" s="10">
        <f>47.7189 * CHOOSE(CONTROL!$C$9, $D$9, 100%, $F$9) + CHOOSE(CONTROL!$C$27, 0.0021, 0)</f>
        <v>47.720999999999997</v>
      </c>
      <c r="L482" s="10"/>
    </row>
    <row r="483" spans="1:12" ht="15.75">
      <c r="A483" s="14">
        <v>56004</v>
      </c>
      <c r="B483" s="10">
        <f>47.4852 * CHOOSE(CONTROL!$C$9, $D$9, 100%, $F$9) + CHOOSE(CONTROL!$C$27, 0.0021, 0)</f>
        <v>47.487299999999998</v>
      </c>
      <c r="C483" s="10">
        <f>47.053 * CHOOSE(CONTROL!$C$9, $D$9, 100%, $F$9) + CHOOSE(CONTROL!$C$27, 0.0021, 0)</f>
        <v>47.055099999999996</v>
      </c>
      <c r="D483" s="10">
        <f>47.053 * CHOOSE(CONTROL!$C$9, $D$9, 100%, $F$9) + CHOOSE(CONTROL!$C$27, 0.0021, 0)</f>
        <v>47.055099999999996</v>
      </c>
      <c r="E483" s="10">
        <f>46.9163 * CHOOSE(CONTROL!$C$9, $D$9, 100%, $F$9) + CHOOSE(CONTROL!$C$27, 0.0021, 0)</f>
        <v>46.918399999999998</v>
      </c>
      <c r="F483" s="10">
        <f>46.9163 * CHOOSE(CONTROL!$C$9, $D$9, 100%, $F$9) + CHOOSE(CONTROL!$C$27, 0.0021, 0)</f>
        <v>46.918399999999998</v>
      </c>
      <c r="G483" s="10">
        <f>47.1877 * CHOOSE(CONTROL!$C$9, $D$9, 100%, $F$9) + CHOOSE(CONTROL!$C$27, 0.0021, 0)</f>
        <v>47.189799999999998</v>
      </c>
      <c r="H483" s="10">
        <f>47.053 * CHOOSE(CONTROL!$C$9, $D$9, 100%, $F$9) + CHOOSE(CONTROL!$C$27, 0.0021, 0)</f>
        <v>47.055099999999996</v>
      </c>
      <c r="I483" s="10">
        <f>47.053 * CHOOSE(CONTROL!$C$9, $D$9, 100%, $F$9) + CHOOSE(CONTROL!$C$27, 0.0021, 0)</f>
        <v>47.055099999999996</v>
      </c>
      <c r="J483" s="10">
        <f>47.053 * CHOOSE(CONTROL!$C$9, $D$9, 100%, $F$9) + CHOOSE(CONTROL!$C$27, 0.0021, 0)</f>
        <v>47.055099999999996</v>
      </c>
      <c r="K483" s="10">
        <f>47.053 * CHOOSE(CONTROL!$C$9, $D$9, 100%, $F$9) + CHOOSE(CONTROL!$C$27, 0.0021, 0)</f>
        <v>47.055099999999996</v>
      </c>
      <c r="L483" s="10"/>
    </row>
    <row r="484" spans="1:12" ht="15.75">
      <c r="A484" s="14">
        <v>56035</v>
      </c>
      <c r="B484" s="10">
        <f>48.4343 * CHOOSE(CONTROL!$C$9, $D$9, 100%, $F$9) + CHOOSE(CONTROL!$C$27, 0.0021, 0)</f>
        <v>48.436399999999999</v>
      </c>
      <c r="C484" s="10">
        <f>48.002 * CHOOSE(CONTROL!$C$9, $D$9, 100%, $F$9) + CHOOSE(CONTROL!$C$27, 0.0021, 0)</f>
        <v>48.004100000000001</v>
      </c>
      <c r="D484" s="10">
        <f>48.002 * CHOOSE(CONTROL!$C$9, $D$9, 100%, $F$9) + CHOOSE(CONTROL!$C$27, 0.0021, 0)</f>
        <v>48.004100000000001</v>
      </c>
      <c r="E484" s="10">
        <f>47.8654 * CHOOSE(CONTROL!$C$9, $D$9, 100%, $F$9) + CHOOSE(CONTROL!$C$27, 0.0021, 0)</f>
        <v>47.8675</v>
      </c>
      <c r="F484" s="10">
        <f>47.8654 * CHOOSE(CONTROL!$C$9, $D$9, 100%, $F$9) + CHOOSE(CONTROL!$C$27, 0.0021, 0)</f>
        <v>47.8675</v>
      </c>
      <c r="G484" s="10">
        <f>48.1368 * CHOOSE(CONTROL!$C$9, $D$9, 100%, $F$9) + CHOOSE(CONTROL!$C$27, 0.0021, 0)</f>
        <v>48.1389</v>
      </c>
      <c r="H484" s="10">
        <f>48.002 * CHOOSE(CONTROL!$C$9, $D$9, 100%, $F$9) + CHOOSE(CONTROL!$C$27, 0.0021, 0)</f>
        <v>48.004100000000001</v>
      </c>
      <c r="I484" s="10">
        <f>48.002 * CHOOSE(CONTROL!$C$9, $D$9, 100%, $F$9) + CHOOSE(CONTROL!$C$27, 0.0021, 0)</f>
        <v>48.004100000000001</v>
      </c>
      <c r="J484" s="10">
        <f>48.002 * CHOOSE(CONTROL!$C$9, $D$9, 100%, $F$9) + CHOOSE(CONTROL!$C$27, 0.0021, 0)</f>
        <v>48.004100000000001</v>
      </c>
      <c r="K484" s="10">
        <f>48.002 * CHOOSE(CONTROL!$C$9, $D$9, 100%, $F$9) + CHOOSE(CONTROL!$C$27, 0.0021, 0)</f>
        <v>48.004100000000001</v>
      </c>
      <c r="L484" s="10"/>
    </row>
    <row r="485" spans="1:12" ht="15.75">
      <c r="A485" s="14">
        <v>56065</v>
      </c>
      <c r="B485" s="10">
        <f>49.0027 * CHOOSE(CONTROL!$C$9, $D$9, 100%, $F$9) + CHOOSE(CONTROL!$C$27, 0.0021, 0)</f>
        <v>49.004799999999996</v>
      </c>
      <c r="C485" s="10">
        <f>48.5705 * CHOOSE(CONTROL!$C$9, $D$9, 100%, $F$9) + CHOOSE(CONTROL!$C$27, 0.0021, 0)</f>
        <v>48.572600000000001</v>
      </c>
      <c r="D485" s="10">
        <f>48.5705 * CHOOSE(CONTROL!$C$9, $D$9, 100%, $F$9) + CHOOSE(CONTROL!$C$27, 0.0021, 0)</f>
        <v>48.572600000000001</v>
      </c>
      <c r="E485" s="10">
        <f>48.4338 * CHOOSE(CONTROL!$C$9, $D$9, 100%, $F$9) + CHOOSE(CONTROL!$C$27, 0.0021, 0)</f>
        <v>48.435899999999997</v>
      </c>
      <c r="F485" s="10">
        <f>48.4338 * CHOOSE(CONTROL!$C$9, $D$9, 100%, $F$9) + CHOOSE(CONTROL!$C$27, 0.0021, 0)</f>
        <v>48.435899999999997</v>
      </c>
      <c r="G485" s="10">
        <f>48.7052 * CHOOSE(CONTROL!$C$9, $D$9, 100%, $F$9) + CHOOSE(CONTROL!$C$27, 0.0021, 0)</f>
        <v>48.707299999999996</v>
      </c>
      <c r="H485" s="10">
        <f>48.5705 * CHOOSE(CONTROL!$C$9, $D$9, 100%, $F$9) + CHOOSE(CONTROL!$C$27, 0.0021, 0)</f>
        <v>48.572600000000001</v>
      </c>
      <c r="I485" s="10">
        <f>48.5705 * CHOOSE(CONTROL!$C$9, $D$9, 100%, $F$9) + CHOOSE(CONTROL!$C$27, 0.0021, 0)</f>
        <v>48.572600000000001</v>
      </c>
      <c r="J485" s="10">
        <f>48.5705 * CHOOSE(CONTROL!$C$9, $D$9, 100%, $F$9) + CHOOSE(CONTROL!$C$27, 0.0021, 0)</f>
        <v>48.572600000000001</v>
      </c>
      <c r="K485" s="10">
        <f>48.5705 * CHOOSE(CONTROL!$C$9, $D$9, 100%, $F$9) + CHOOSE(CONTROL!$C$27, 0.0021, 0)</f>
        <v>48.572600000000001</v>
      </c>
      <c r="L485" s="10"/>
    </row>
    <row r="486" spans="1:12" ht="15.75">
      <c r="A486" s="14">
        <v>56096</v>
      </c>
      <c r="B486" s="10">
        <f>49.9405 * CHOOSE(CONTROL!$C$9, $D$9, 100%, $F$9) + CHOOSE(CONTROL!$C$27, 0.0021, 0)</f>
        <v>49.942599999999999</v>
      </c>
      <c r="C486" s="10">
        <f>49.5082 * CHOOSE(CONTROL!$C$9, $D$9, 100%, $F$9) + CHOOSE(CONTROL!$C$27, 0.0021, 0)</f>
        <v>49.510300000000001</v>
      </c>
      <c r="D486" s="10">
        <f>49.5082 * CHOOSE(CONTROL!$C$9, $D$9, 100%, $F$9) + CHOOSE(CONTROL!$C$27, 0.0021, 0)</f>
        <v>49.510300000000001</v>
      </c>
      <c r="E486" s="10">
        <f>49.3716 * CHOOSE(CONTROL!$C$9, $D$9, 100%, $F$9) + CHOOSE(CONTROL!$C$27, 0.0021, 0)</f>
        <v>49.373699999999999</v>
      </c>
      <c r="F486" s="10">
        <f>49.3716 * CHOOSE(CONTROL!$C$9, $D$9, 100%, $F$9) + CHOOSE(CONTROL!$C$27, 0.0021, 0)</f>
        <v>49.373699999999999</v>
      </c>
      <c r="G486" s="10">
        <f>49.643 * CHOOSE(CONTROL!$C$9, $D$9, 100%, $F$9) + CHOOSE(CONTROL!$C$27, 0.0021, 0)</f>
        <v>49.645099999999999</v>
      </c>
      <c r="H486" s="10">
        <f>49.5082 * CHOOSE(CONTROL!$C$9, $D$9, 100%, $F$9) + CHOOSE(CONTROL!$C$27, 0.0021, 0)</f>
        <v>49.510300000000001</v>
      </c>
      <c r="I486" s="10">
        <f>49.5082 * CHOOSE(CONTROL!$C$9, $D$9, 100%, $F$9) + CHOOSE(CONTROL!$C$27, 0.0021, 0)</f>
        <v>49.510300000000001</v>
      </c>
      <c r="J486" s="10">
        <f>49.5082 * CHOOSE(CONTROL!$C$9, $D$9, 100%, $F$9) + CHOOSE(CONTROL!$C$27, 0.0021, 0)</f>
        <v>49.510300000000001</v>
      </c>
      <c r="K486" s="10">
        <f>49.5082 * CHOOSE(CONTROL!$C$9, $D$9, 100%, $F$9) + CHOOSE(CONTROL!$C$27, 0.0021, 0)</f>
        <v>49.510300000000001</v>
      </c>
      <c r="L486" s="10"/>
    </row>
    <row r="487" spans="1:12" ht="15.75">
      <c r="A487" s="14">
        <v>56127</v>
      </c>
      <c r="B487" s="10">
        <f>50.2267 * CHOOSE(CONTROL!$C$9, $D$9, 100%, $F$9) + CHOOSE(CONTROL!$C$27, 0.0021, 0)</f>
        <v>50.2288</v>
      </c>
      <c r="C487" s="10">
        <f>49.7945 * CHOOSE(CONTROL!$C$9, $D$9, 100%, $F$9) + CHOOSE(CONTROL!$C$27, 0.0021, 0)</f>
        <v>49.796599999999998</v>
      </c>
      <c r="D487" s="10">
        <f>49.7945 * CHOOSE(CONTROL!$C$9, $D$9, 100%, $F$9) + CHOOSE(CONTROL!$C$27, 0.0021, 0)</f>
        <v>49.796599999999998</v>
      </c>
      <c r="E487" s="10">
        <f>49.6578 * CHOOSE(CONTROL!$C$9, $D$9, 100%, $F$9) + CHOOSE(CONTROL!$C$27, 0.0021, 0)</f>
        <v>49.6599</v>
      </c>
      <c r="F487" s="10">
        <f>49.6578 * CHOOSE(CONTROL!$C$9, $D$9, 100%, $F$9) + CHOOSE(CONTROL!$C$27, 0.0021, 0)</f>
        <v>49.6599</v>
      </c>
      <c r="G487" s="10">
        <f>49.9292 * CHOOSE(CONTROL!$C$9, $D$9, 100%, $F$9) + CHOOSE(CONTROL!$C$27, 0.0021, 0)</f>
        <v>49.9313</v>
      </c>
      <c r="H487" s="10">
        <f>49.7945 * CHOOSE(CONTROL!$C$9, $D$9, 100%, $F$9) + CHOOSE(CONTROL!$C$27, 0.0021, 0)</f>
        <v>49.796599999999998</v>
      </c>
      <c r="I487" s="10">
        <f>49.7945 * CHOOSE(CONTROL!$C$9, $D$9, 100%, $F$9) + CHOOSE(CONTROL!$C$27, 0.0021, 0)</f>
        <v>49.796599999999998</v>
      </c>
      <c r="J487" s="10">
        <f>49.7945 * CHOOSE(CONTROL!$C$9, $D$9, 100%, $F$9) + CHOOSE(CONTROL!$C$27, 0.0021, 0)</f>
        <v>49.796599999999998</v>
      </c>
      <c r="K487" s="10">
        <f>49.7945 * CHOOSE(CONTROL!$C$9, $D$9, 100%, $F$9) + CHOOSE(CONTROL!$C$27, 0.0021, 0)</f>
        <v>49.796599999999998</v>
      </c>
      <c r="L487" s="10"/>
    </row>
    <row r="488" spans="1:12" ht="15.75">
      <c r="A488" s="14">
        <v>56157</v>
      </c>
      <c r="B488" s="10">
        <f>51.2015 * CHOOSE(CONTROL!$C$9, $D$9, 100%, $F$9) + CHOOSE(CONTROL!$C$27, 0.0021, 0)</f>
        <v>51.203600000000002</v>
      </c>
      <c r="C488" s="10">
        <f>50.7692 * CHOOSE(CONTROL!$C$9, $D$9, 100%, $F$9) + CHOOSE(CONTROL!$C$27, 0.0021, 0)</f>
        <v>50.771299999999997</v>
      </c>
      <c r="D488" s="10">
        <f>50.7692 * CHOOSE(CONTROL!$C$9, $D$9, 100%, $F$9) + CHOOSE(CONTROL!$C$27, 0.0021, 0)</f>
        <v>50.771299999999997</v>
      </c>
      <c r="E488" s="10">
        <f>50.6326 * CHOOSE(CONTROL!$C$9, $D$9, 100%, $F$9) + CHOOSE(CONTROL!$C$27, 0.0021, 0)</f>
        <v>50.634699999999995</v>
      </c>
      <c r="F488" s="10">
        <f>50.6326 * CHOOSE(CONTROL!$C$9, $D$9, 100%, $F$9) + CHOOSE(CONTROL!$C$27, 0.0021, 0)</f>
        <v>50.634699999999995</v>
      </c>
      <c r="G488" s="10">
        <f>50.9039 * CHOOSE(CONTROL!$C$9, $D$9, 100%, $F$9) + CHOOSE(CONTROL!$C$27, 0.0021, 0)</f>
        <v>50.905999999999999</v>
      </c>
      <c r="H488" s="10">
        <f>50.7692 * CHOOSE(CONTROL!$C$9, $D$9, 100%, $F$9) + CHOOSE(CONTROL!$C$27, 0.0021, 0)</f>
        <v>50.771299999999997</v>
      </c>
      <c r="I488" s="10">
        <f>50.7692 * CHOOSE(CONTROL!$C$9, $D$9, 100%, $F$9) + CHOOSE(CONTROL!$C$27, 0.0021, 0)</f>
        <v>50.771299999999997</v>
      </c>
      <c r="J488" s="10">
        <f>50.7692 * CHOOSE(CONTROL!$C$9, $D$9, 100%, $F$9) + CHOOSE(CONTROL!$C$27, 0.0021, 0)</f>
        <v>50.771299999999997</v>
      </c>
      <c r="K488" s="10">
        <f>50.7692 * CHOOSE(CONTROL!$C$9, $D$9, 100%, $F$9) + CHOOSE(CONTROL!$C$27, 0.0021, 0)</f>
        <v>50.771299999999997</v>
      </c>
      <c r="L488" s="10"/>
    </row>
    <row r="489" spans="1:12" ht="15.75">
      <c r="A489" s="14">
        <v>56188</v>
      </c>
      <c r="B489" s="10">
        <f>52.4353 * CHOOSE(CONTROL!$C$9, $D$9, 100%, $F$9) + CHOOSE(CONTROL!$C$27, 0.0021, 0)</f>
        <v>52.437399999999997</v>
      </c>
      <c r="C489" s="10">
        <f>52.0031 * CHOOSE(CONTROL!$C$9, $D$9, 100%, $F$9) + CHOOSE(CONTROL!$C$27, 0.0021, 0)</f>
        <v>52.005200000000002</v>
      </c>
      <c r="D489" s="10">
        <f>52.0031 * CHOOSE(CONTROL!$C$9, $D$9, 100%, $F$9) + CHOOSE(CONTROL!$C$27, 0.0021, 0)</f>
        <v>52.005200000000002</v>
      </c>
      <c r="E489" s="10">
        <f>51.8664 * CHOOSE(CONTROL!$C$9, $D$9, 100%, $F$9) + CHOOSE(CONTROL!$C$27, 0.0021, 0)</f>
        <v>51.868499999999997</v>
      </c>
      <c r="F489" s="10">
        <f>51.8664 * CHOOSE(CONTROL!$C$9, $D$9, 100%, $F$9) + CHOOSE(CONTROL!$C$27, 0.0021, 0)</f>
        <v>51.868499999999997</v>
      </c>
      <c r="G489" s="10">
        <f>52.1378 * CHOOSE(CONTROL!$C$9, $D$9, 100%, $F$9) + CHOOSE(CONTROL!$C$27, 0.0021, 0)</f>
        <v>52.139899999999997</v>
      </c>
      <c r="H489" s="10">
        <f>52.0031 * CHOOSE(CONTROL!$C$9, $D$9, 100%, $F$9) + CHOOSE(CONTROL!$C$27, 0.0021, 0)</f>
        <v>52.005200000000002</v>
      </c>
      <c r="I489" s="10">
        <f>52.0031 * CHOOSE(CONTROL!$C$9, $D$9, 100%, $F$9) + CHOOSE(CONTROL!$C$27, 0.0021, 0)</f>
        <v>52.005200000000002</v>
      </c>
      <c r="J489" s="10">
        <f>52.0031 * CHOOSE(CONTROL!$C$9, $D$9, 100%, $F$9) + CHOOSE(CONTROL!$C$27, 0.0021, 0)</f>
        <v>52.005200000000002</v>
      </c>
      <c r="K489" s="10">
        <f>52.0031 * CHOOSE(CONTROL!$C$9, $D$9, 100%, $F$9) + CHOOSE(CONTROL!$C$27, 0.0021, 0)</f>
        <v>52.005200000000002</v>
      </c>
      <c r="L489" s="10"/>
    </row>
    <row r="490" spans="1:12" ht="15.75">
      <c r="A490" s="14">
        <v>56218</v>
      </c>
      <c r="B490" s="10">
        <f>52.5512 * CHOOSE(CONTROL!$C$9, $D$9, 100%, $F$9) + CHOOSE(CONTROL!$C$27, 0.0021, 0)</f>
        <v>52.5533</v>
      </c>
      <c r="C490" s="10">
        <f>52.1189 * CHOOSE(CONTROL!$C$9, $D$9, 100%, $F$9) + CHOOSE(CONTROL!$C$27, 0.0021, 0)</f>
        <v>52.120999999999995</v>
      </c>
      <c r="D490" s="10">
        <f>52.1189 * CHOOSE(CONTROL!$C$9, $D$9, 100%, $F$9) + CHOOSE(CONTROL!$C$27, 0.0021, 0)</f>
        <v>52.120999999999995</v>
      </c>
      <c r="E490" s="10">
        <f>51.9822 * CHOOSE(CONTROL!$C$9, $D$9, 100%, $F$9) + CHOOSE(CONTROL!$C$27, 0.0021, 0)</f>
        <v>51.984299999999998</v>
      </c>
      <c r="F490" s="10">
        <f>51.9822 * CHOOSE(CONTROL!$C$9, $D$9, 100%, $F$9) + CHOOSE(CONTROL!$C$27, 0.0021, 0)</f>
        <v>51.984299999999998</v>
      </c>
      <c r="G490" s="10">
        <f>52.2536 * CHOOSE(CONTROL!$C$9, $D$9, 100%, $F$9) + CHOOSE(CONTROL!$C$27, 0.0021, 0)</f>
        <v>52.255699999999997</v>
      </c>
      <c r="H490" s="10">
        <f>52.1189 * CHOOSE(CONTROL!$C$9, $D$9, 100%, $F$9) + CHOOSE(CONTROL!$C$27, 0.0021, 0)</f>
        <v>52.120999999999995</v>
      </c>
      <c r="I490" s="10">
        <f>52.1189 * CHOOSE(CONTROL!$C$9, $D$9, 100%, $F$9) + CHOOSE(CONTROL!$C$27, 0.0021, 0)</f>
        <v>52.120999999999995</v>
      </c>
      <c r="J490" s="10">
        <f>52.1189 * CHOOSE(CONTROL!$C$9, $D$9, 100%, $F$9) + CHOOSE(CONTROL!$C$27, 0.0021, 0)</f>
        <v>52.120999999999995</v>
      </c>
      <c r="K490" s="10">
        <f>52.1189 * CHOOSE(CONTROL!$C$9, $D$9, 100%, $F$9) + CHOOSE(CONTROL!$C$27, 0.0021, 0)</f>
        <v>52.120999999999995</v>
      </c>
      <c r="L490" s="10"/>
    </row>
    <row r="491" spans="1:12" ht="15.75">
      <c r="A491" s="14">
        <v>56249</v>
      </c>
      <c r="B491" s="10">
        <f>51.5657 * CHOOSE(CONTROL!$C$9, $D$9, 100%, $F$9) + CHOOSE(CONTROL!$C$27, 0.0021, 0)</f>
        <v>51.567799999999998</v>
      </c>
      <c r="C491" s="10">
        <f>51.1334 * CHOOSE(CONTROL!$C$9, $D$9, 100%, $F$9) + CHOOSE(CONTROL!$C$27, 0.0021, 0)</f>
        <v>51.1355</v>
      </c>
      <c r="D491" s="10">
        <f>51.1334 * CHOOSE(CONTROL!$C$9, $D$9, 100%, $F$9) + CHOOSE(CONTROL!$C$27, 0.0021, 0)</f>
        <v>51.1355</v>
      </c>
      <c r="E491" s="10">
        <f>50.9968 * CHOOSE(CONTROL!$C$9, $D$9, 100%, $F$9) + CHOOSE(CONTROL!$C$27, 0.0021, 0)</f>
        <v>50.998899999999999</v>
      </c>
      <c r="F491" s="10">
        <f>50.9968 * CHOOSE(CONTROL!$C$9, $D$9, 100%, $F$9) + CHOOSE(CONTROL!$C$27, 0.0021, 0)</f>
        <v>50.998899999999999</v>
      </c>
      <c r="G491" s="10">
        <f>51.2682 * CHOOSE(CONTROL!$C$9, $D$9, 100%, $F$9) + CHOOSE(CONTROL!$C$27, 0.0021, 0)</f>
        <v>51.270299999999999</v>
      </c>
      <c r="H491" s="10">
        <f>51.1334 * CHOOSE(CONTROL!$C$9, $D$9, 100%, $F$9) + CHOOSE(CONTROL!$C$27, 0.0021, 0)</f>
        <v>51.1355</v>
      </c>
      <c r="I491" s="10">
        <f>51.1334 * CHOOSE(CONTROL!$C$9, $D$9, 100%, $F$9) + CHOOSE(CONTROL!$C$27, 0.0021, 0)</f>
        <v>51.1355</v>
      </c>
      <c r="J491" s="10">
        <f>51.1334 * CHOOSE(CONTROL!$C$9, $D$9, 100%, $F$9) + CHOOSE(CONTROL!$C$27, 0.0021, 0)</f>
        <v>51.1355</v>
      </c>
      <c r="K491" s="10">
        <f>51.1334 * CHOOSE(CONTROL!$C$9, $D$9, 100%, $F$9) + CHOOSE(CONTROL!$C$27, 0.0021, 0)</f>
        <v>51.1355</v>
      </c>
      <c r="L491" s="10"/>
    </row>
    <row r="492" spans="1:12" ht="15.75">
      <c r="A492" s="14">
        <v>56280</v>
      </c>
      <c r="B492" s="10">
        <f>50.8112 * CHOOSE(CONTROL!$C$9, $D$9, 100%, $F$9) + CHOOSE(CONTROL!$C$27, 0.0021, 0)</f>
        <v>50.813299999999998</v>
      </c>
      <c r="C492" s="10">
        <f>50.3789 * CHOOSE(CONTROL!$C$9, $D$9, 100%, $F$9) + CHOOSE(CONTROL!$C$27, 0.0021, 0)</f>
        <v>50.381</v>
      </c>
      <c r="D492" s="10">
        <f>50.3789 * CHOOSE(CONTROL!$C$9, $D$9, 100%, $F$9) + CHOOSE(CONTROL!$C$27, 0.0021, 0)</f>
        <v>50.381</v>
      </c>
      <c r="E492" s="10">
        <f>50.2423 * CHOOSE(CONTROL!$C$9, $D$9, 100%, $F$9) + CHOOSE(CONTROL!$C$27, 0.0021, 0)</f>
        <v>50.244399999999999</v>
      </c>
      <c r="F492" s="10">
        <f>50.2423 * CHOOSE(CONTROL!$C$9, $D$9, 100%, $F$9) + CHOOSE(CONTROL!$C$27, 0.0021, 0)</f>
        <v>50.244399999999999</v>
      </c>
      <c r="G492" s="10">
        <f>50.5137 * CHOOSE(CONTROL!$C$9, $D$9, 100%, $F$9) + CHOOSE(CONTROL!$C$27, 0.0021, 0)</f>
        <v>50.515799999999999</v>
      </c>
      <c r="H492" s="10">
        <f>50.3789 * CHOOSE(CONTROL!$C$9, $D$9, 100%, $F$9) + CHOOSE(CONTROL!$C$27, 0.0021, 0)</f>
        <v>50.381</v>
      </c>
      <c r="I492" s="10">
        <f>50.3789 * CHOOSE(CONTROL!$C$9, $D$9, 100%, $F$9) + CHOOSE(CONTROL!$C$27, 0.0021, 0)</f>
        <v>50.381</v>
      </c>
      <c r="J492" s="10">
        <f>50.3789 * CHOOSE(CONTROL!$C$9, $D$9, 100%, $F$9) + CHOOSE(CONTROL!$C$27, 0.0021, 0)</f>
        <v>50.381</v>
      </c>
      <c r="K492" s="10">
        <f>50.3789 * CHOOSE(CONTROL!$C$9, $D$9, 100%, $F$9) + CHOOSE(CONTROL!$C$27, 0.0021, 0)</f>
        <v>50.381</v>
      </c>
      <c r="L492" s="10"/>
    </row>
    <row r="493" spans="1:12" ht="15.75">
      <c r="A493" s="14">
        <v>56308</v>
      </c>
      <c r="B493" s="10">
        <f>49.4388 * CHOOSE(CONTROL!$C$9, $D$9, 100%, $F$9) + CHOOSE(CONTROL!$C$27, 0.0021, 0)</f>
        <v>49.440899999999999</v>
      </c>
      <c r="C493" s="10">
        <f>49.0066 * CHOOSE(CONTROL!$C$9, $D$9, 100%, $F$9) + CHOOSE(CONTROL!$C$27, 0.0021, 0)</f>
        <v>49.008699999999997</v>
      </c>
      <c r="D493" s="10">
        <f>49.0066 * CHOOSE(CONTROL!$C$9, $D$9, 100%, $F$9) + CHOOSE(CONTROL!$C$27, 0.0021, 0)</f>
        <v>49.008699999999997</v>
      </c>
      <c r="E493" s="10">
        <f>48.8699 * CHOOSE(CONTROL!$C$9, $D$9, 100%, $F$9) + CHOOSE(CONTROL!$C$27, 0.0021, 0)</f>
        <v>48.872</v>
      </c>
      <c r="F493" s="10">
        <f>48.8699 * CHOOSE(CONTROL!$C$9, $D$9, 100%, $F$9) + CHOOSE(CONTROL!$C$27, 0.0021, 0)</f>
        <v>48.872</v>
      </c>
      <c r="G493" s="10">
        <f>49.1413 * CHOOSE(CONTROL!$C$9, $D$9, 100%, $F$9) + CHOOSE(CONTROL!$C$27, 0.0021, 0)</f>
        <v>49.1434</v>
      </c>
      <c r="H493" s="10">
        <f>49.0066 * CHOOSE(CONTROL!$C$9, $D$9, 100%, $F$9) + CHOOSE(CONTROL!$C$27, 0.0021, 0)</f>
        <v>49.008699999999997</v>
      </c>
      <c r="I493" s="10">
        <f>49.0066 * CHOOSE(CONTROL!$C$9, $D$9, 100%, $F$9) + CHOOSE(CONTROL!$C$27, 0.0021, 0)</f>
        <v>49.008699999999997</v>
      </c>
      <c r="J493" s="10">
        <f>49.0066 * CHOOSE(CONTROL!$C$9, $D$9, 100%, $F$9) + CHOOSE(CONTROL!$C$27, 0.0021, 0)</f>
        <v>49.008699999999997</v>
      </c>
      <c r="K493" s="10">
        <f>49.0066 * CHOOSE(CONTROL!$C$9, $D$9, 100%, $F$9) + CHOOSE(CONTROL!$C$27, 0.0021, 0)</f>
        <v>49.008699999999997</v>
      </c>
      <c r="L493" s="10"/>
    </row>
    <row r="494" spans="1:12" ht="15.75">
      <c r="A494" s="14">
        <v>56339</v>
      </c>
      <c r="B494" s="10">
        <f>48.8723 * CHOOSE(CONTROL!$C$9, $D$9, 100%, $F$9) + CHOOSE(CONTROL!$C$27, 0.0021, 0)</f>
        <v>48.874400000000001</v>
      </c>
      <c r="C494" s="10">
        <f>48.4401 * CHOOSE(CONTROL!$C$9, $D$9, 100%, $F$9) + CHOOSE(CONTROL!$C$27, 0.0021, 0)</f>
        <v>48.4422</v>
      </c>
      <c r="D494" s="10">
        <f>48.4401 * CHOOSE(CONTROL!$C$9, $D$9, 100%, $F$9) + CHOOSE(CONTROL!$C$27, 0.0021, 0)</f>
        <v>48.4422</v>
      </c>
      <c r="E494" s="10">
        <f>48.3034 * CHOOSE(CONTROL!$C$9, $D$9, 100%, $F$9) + CHOOSE(CONTROL!$C$27, 0.0021, 0)</f>
        <v>48.305500000000002</v>
      </c>
      <c r="F494" s="10">
        <f>48.3034 * CHOOSE(CONTROL!$C$9, $D$9, 100%, $F$9) + CHOOSE(CONTROL!$C$27, 0.0021, 0)</f>
        <v>48.305500000000002</v>
      </c>
      <c r="G494" s="10">
        <f>48.5748 * CHOOSE(CONTROL!$C$9, $D$9, 100%, $F$9) + CHOOSE(CONTROL!$C$27, 0.0021, 0)</f>
        <v>48.576900000000002</v>
      </c>
      <c r="H494" s="10">
        <f>48.4401 * CHOOSE(CONTROL!$C$9, $D$9, 100%, $F$9) + CHOOSE(CONTROL!$C$27, 0.0021, 0)</f>
        <v>48.4422</v>
      </c>
      <c r="I494" s="10">
        <f>48.4401 * CHOOSE(CONTROL!$C$9, $D$9, 100%, $F$9) + CHOOSE(CONTROL!$C$27, 0.0021, 0)</f>
        <v>48.4422</v>
      </c>
      <c r="J494" s="10">
        <f>48.4401 * CHOOSE(CONTROL!$C$9, $D$9, 100%, $F$9) + CHOOSE(CONTROL!$C$27, 0.0021, 0)</f>
        <v>48.4422</v>
      </c>
      <c r="K494" s="10">
        <f>48.4401 * CHOOSE(CONTROL!$C$9, $D$9, 100%, $F$9) + CHOOSE(CONTROL!$C$27, 0.0021, 0)</f>
        <v>48.4422</v>
      </c>
      <c r="L494" s="10"/>
    </row>
    <row r="495" spans="1:12" ht="15.75">
      <c r="A495" s="14">
        <v>56369</v>
      </c>
      <c r="B495" s="10">
        <f>48.1959 * CHOOSE(CONTROL!$C$9, $D$9, 100%, $F$9) + CHOOSE(CONTROL!$C$27, 0.0021, 0)</f>
        <v>48.198</v>
      </c>
      <c r="C495" s="10">
        <f>47.7636 * CHOOSE(CONTROL!$C$9, $D$9, 100%, $F$9) + CHOOSE(CONTROL!$C$27, 0.0021, 0)</f>
        <v>47.765699999999995</v>
      </c>
      <c r="D495" s="10">
        <f>47.7636 * CHOOSE(CONTROL!$C$9, $D$9, 100%, $F$9) + CHOOSE(CONTROL!$C$27, 0.0021, 0)</f>
        <v>47.765699999999995</v>
      </c>
      <c r="E495" s="10">
        <f>47.627 * CHOOSE(CONTROL!$C$9, $D$9, 100%, $F$9) + CHOOSE(CONTROL!$C$27, 0.0021, 0)</f>
        <v>47.629100000000001</v>
      </c>
      <c r="F495" s="10">
        <f>47.627 * CHOOSE(CONTROL!$C$9, $D$9, 100%, $F$9) + CHOOSE(CONTROL!$C$27, 0.0021, 0)</f>
        <v>47.629100000000001</v>
      </c>
      <c r="G495" s="10">
        <f>47.8983 * CHOOSE(CONTROL!$C$9, $D$9, 100%, $F$9) + CHOOSE(CONTROL!$C$27, 0.0021, 0)</f>
        <v>47.900399999999998</v>
      </c>
      <c r="H495" s="10">
        <f>47.7636 * CHOOSE(CONTROL!$C$9, $D$9, 100%, $F$9) + CHOOSE(CONTROL!$C$27, 0.0021, 0)</f>
        <v>47.765699999999995</v>
      </c>
      <c r="I495" s="10">
        <f>47.7636 * CHOOSE(CONTROL!$C$9, $D$9, 100%, $F$9) + CHOOSE(CONTROL!$C$27, 0.0021, 0)</f>
        <v>47.765699999999995</v>
      </c>
      <c r="J495" s="10">
        <f>47.7636 * CHOOSE(CONTROL!$C$9, $D$9, 100%, $F$9) + CHOOSE(CONTROL!$C$27, 0.0021, 0)</f>
        <v>47.765699999999995</v>
      </c>
      <c r="K495" s="10">
        <f>47.7636 * CHOOSE(CONTROL!$C$9, $D$9, 100%, $F$9) + CHOOSE(CONTROL!$C$27, 0.0021, 0)</f>
        <v>47.765699999999995</v>
      </c>
      <c r="L495" s="10"/>
    </row>
    <row r="496" spans="1:12" ht="15.75">
      <c r="A496" s="14">
        <v>56400</v>
      </c>
      <c r="B496" s="10">
        <f>49.1599 * CHOOSE(CONTROL!$C$9, $D$9, 100%, $F$9) + CHOOSE(CONTROL!$C$27, 0.0021, 0)</f>
        <v>49.161999999999999</v>
      </c>
      <c r="C496" s="10">
        <f>48.7276 * CHOOSE(CONTROL!$C$9, $D$9, 100%, $F$9) + CHOOSE(CONTROL!$C$27, 0.0021, 0)</f>
        <v>48.729700000000001</v>
      </c>
      <c r="D496" s="10">
        <f>48.7276 * CHOOSE(CONTROL!$C$9, $D$9, 100%, $F$9) + CHOOSE(CONTROL!$C$27, 0.0021, 0)</f>
        <v>48.729700000000001</v>
      </c>
      <c r="E496" s="10">
        <f>48.591 * CHOOSE(CONTROL!$C$9, $D$9, 100%, $F$9) + CHOOSE(CONTROL!$C$27, 0.0021, 0)</f>
        <v>48.5931</v>
      </c>
      <c r="F496" s="10">
        <f>48.591 * CHOOSE(CONTROL!$C$9, $D$9, 100%, $F$9) + CHOOSE(CONTROL!$C$27, 0.0021, 0)</f>
        <v>48.5931</v>
      </c>
      <c r="G496" s="10">
        <f>48.8623 * CHOOSE(CONTROL!$C$9, $D$9, 100%, $F$9) + CHOOSE(CONTROL!$C$27, 0.0021, 0)</f>
        <v>48.864399999999996</v>
      </c>
      <c r="H496" s="10">
        <f>48.7276 * CHOOSE(CONTROL!$C$9, $D$9, 100%, $F$9) + CHOOSE(CONTROL!$C$27, 0.0021, 0)</f>
        <v>48.729700000000001</v>
      </c>
      <c r="I496" s="10">
        <f>48.7276 * CHOOSE(CONTROL!$C$9, $D$9, 100%, $F$9) + CHOOSE(CONTROL!$C$27, 0.0021, 0)</f>
        <v>48.729700000000001</v>
      </c>
      <c r="J496" s="10">
        <f>48.7276 * CHOOSE(CONTROL!$C$9, $D$9, 100%, $F$9) + CHOOSE(CONTROL!$C$27, 0.0021, 0)</f>
        <v>48.729700000000001</v>
      </c>
      <c r="K496" s="10">
        <f>48.7276 * CHOOSE(CONTROL!$C$9, $D$9, 100%, $F$9) + CHOOSE(CONTROL!$C$27, 0.0021, 0)</f>
        <v>48.729700000000001</v>
      </c>
      <c r="L496" s="10"/>
    </row>
    <row r="497" spans="1:12" ht="15.75">
      <c r="A497" s="14">
        <v>56430</v>
      </c>
      <c r="B497" s="10">
        <f>49.7373 * CHOOSE(CONTROL!$C$9, $D$9, 100%, $F$9) + CHOOSE(CONTROL!$C$27, 0.0021, 0)</f>
        <v>49.739399999999996</v>
      </c>
      <c r="C497" s="10">
        <f>49.305 * CHOOSE(CONTROL!$C$9, $D$9, 100%, $F$9) + CHOOSE(CONTROL!$C$27, 0.0021, 0)</f>
        <v>49.307099999999998</v>
      </c>
      <c r="D497" s="10">
        <f>49.305 * CHOOSE(CONTROL!$C$9, $D$9, 100%, $F$9) + CHOOSE(CONTROL!$C$27, 0.0021, 0)</f>
        <v>49.307099999999998</v>
      </c>
      <c r="E497" s="10">
        <f>49.1684 * CHOOSE(CONTROL!$C$9, $D$9, 100%, $F$9) + CHOOSE(CONTROL!$C$27, 0.0021, 0)</f>
        <v>49.170499999999997</v>
      </c>
      <c r="F497" s="10">
        <f>49.1684 * CHOOSE(CONTROL!$C$9, $D$9, 100%, $F$9) + CHOOSE(CONTROL!$C$27, 0.0021, 0)</f>
        <v>49.170499999999997</v>
      </c>
      <c r="G497" s="10">
        <f>49.4397 * CHOOSE(CONTROL!$C$9, $D$9, 100%, $F$9) + CHOOSE(CONTROL!$C$27, 0.0021, 0)</f>
        <v>49.441800000000001</v>
      </c>
      <c r="H497" s="10">
        <f>49.305 * CHOOSE(CONTROL!$C$9, $D$9, 100%, $F$9) + CHOOSE(CONTROL!$C$27, 0.0021, 0)</f>
        <v>49.307099999999998</v>
      </c>
      <c r="I497" s="10">
        <f>49.305 * CHOOSE(CONTROL!$C$9, $D$9, 100%, $F$9) + CHOOSE(CONTROL!$C$27, 0.0021, 0)</f>
        <v>49.307099999999998</v>
      </c>
      <c r="J497" s="10">
        <f>49.305 * CHOOSE(CONTROL!$C$9, $D$9, 100%, $F$9) + CHOOSE(CONTROL!$C$27, 0.0021, 0)</f>
        <v>49.307099999999998</v>
      </c>
      <c r="K497" s="10">
        <f>49.305 * CHOOSE(CONTROL!$C$9, $D$9, 100%, $F$9) + CHOOSE(CONTROL!$C$27, 0.0021, 0)</f>
        <v>49.307099999999998</v>
      </c>
      <c r="L497" s="10"/>
    </row>
    <row r="498" spans="1:12" ht="15.75">
      <c r="A498" s="14">
        <v>56461</v>
      </c>
      <c r="B498" s="10">
        <f>50.6898 * CHOOSE(CONTROL!$C$9, $D$9, 100%, $F$9) + CHOOSE(CONTROL!$C$27, 0.0021, 0)</f>
        <v>50.691899999999997</v>
      </c>
      <c r="C498" s="10">
        <f>50.2575 * CHOOSE(CONTROL!$C$9, $D$9, 100%, $F$9) + CHOOSE(CONTROL!$C$27, 0.0021, 0)</f>
        <v>50.259599999999999</v>
      </c>
      <c r="D498" s="10">
        <f>50.2575 * CHOOSE(CONTROL!$C$9, $D$9, 100%, $F$9) + CHOOSE(CONTROL!$C$27, 0.0021, 0)</f>
        <v>50.259599999999999</v>
      </c>
      <c r="E498" s="10">
        <f>50.1208 * CHOOSE(CONTROL!$C$9, $D$9, 100%, $F$9) + CHOOSE(CONTROL!$C$27, 0.0021, 0)</f>
        <v>50.122900000000001</v>
      </c>
      <c r="F498" s="10">
        <f>50.1208 * CHOOSE(CONTROL!$C$9, $D$9, 100%, $F$9) + CHOOSE(CONTROL!$C$27, 0.0021, 0)</f>
        <v>50.122900000000001</v>
      </c>
      <c r="G498" s="10">
        <f>50.3922 * CHOOSE(CONTROL!$C$9, $D$9, 100%, $F$9) + CHOOSE(CONTROL!$C$27, 0.0021, 0)</f>
        <v>50.394300000000001</v>
      </c>
      <c r="H498" s="10">
        <f>50.2575 * CHOOSE(CONTROL!$C$9, $D$9, 100%, $F$9) + CHOOSE(CONTROL!$C$27, 0.0021, 0)</f>
        <v>50.259599999999999</v>
      </c>
      <c r="I498" s="10">
        <f>50.2575 * CHOOSE(CONTROL!$C$9, $D$9, 100%, $F$9) + CHOOSE(CONTROL!$C$27, 0.0021, 0)</f>
        <v>50.259599999999999</v>
      </c>
      <c r="J498" s="10">
        <f>50.2575 * CHOOSE(CONTROL!$C$9, $D$9, 100%, $F$9) + CHOOSE(CONTROL!$C$27, 0.0021, 0)</f>
        <v>50.259599999999999</v>
      </c>
      <c r="K498" s="10">
        <f>50.2575 * CHOOSE(CONTROL!$C$9, $D$9, 100%, $F$9) + CHOOSE(CONTROL!$C$27, 0.0021, 0)</f>
        <v>50.259599999999999</v>
      </c>
      <c r="L498" s="10"/>
    </row>
    <row r="499" spans="1:12" ht="15.75">
      <c r="A499" s="14">
        <v>56492</v>
      </c>
      <c r="B499" s="10">
        <f>50.9805 * CHOOSE(CONTROL!$C$9, $D$9, 100%, $F$9) + CHOOSE(CONTROL!$C$27, 0.0021, 0)</f>
        <v>50.982599999999998</v>
      </c>
      <c r="C499" s="10">
        <f>50.5482 * CHOOSE(CONTROL!$C$9, $D$9, 100%, $F$9) + CHOOSE(CONTROL!$C$27, 0.0021, 0)</f>
        <v>50.5503</v>
      </c>
      <c r="D499" s="10">
        <f>50.5482 * CHOOSE(CONTROL!$C$9, $D$9, 100%, $F$9) + CHOOSE(CONTROL!$C$27, 0.0021, 0)</f>
        <v>50.5503</v>
      </c>
      <c r="E499" s="10">
        <f>50.4116 * CHOOSE(CONTROL!$C$9, $D$9, 100%, $F$9) + CHOOSE(CONTROL!$C$27, 0.0021, 0)</f>
        <v>50.413699999999999</v>
      </c>
      <c r="F499" s="10">
        <f>50.4116 * CHOOSE(CONTROL!$C$9, $D$9, 100%, $F$9) + CHOOSE(CONTROL!$C$27, 0.0021, 0)</f>
        <v>50.413699999999999</v>
      </c>
      <c r="G499" s="10">
        <f>50.683 * CHOOSE(CONTROL!$C$9, $D$9, 100%, $F$9) + CHOOSE(CONTROL!$C$27, 0.0021, 0)</f>
        <v>50.685099999999998</v>
      </c>
      <c r="H499" s="10">
        <f>50.5482 * CHOOSE(CONTROL!$C$9, $D$9, 100%, $F$9) + CHOOSE(CONTROL!$C$27, 0.0021, 0)</f>
        <v>50.5503</v>
      </c>
      <c r="I499" s="10">
        <f>50.5482 * CHOOSE(CONTROL!$C$9, $D$9, 100%, $F$9) + CHOOSE(CONTROL!$C$27, 0.0021, 0)</f>
        <v>50.5503</v>
      </c>
      <c r="J499" s="10">
        <f>50.5482 * CHOOSE(CONTROL!$C$9, $D$9, 100%, $F$9) + CHOOSE(CONTROL!$C$27, 0.0021, 0)</f>
        <v>50.5503</v>
      </c>
      <c r="K499" s="10">
        <f>50.5482 * CHOOSE(CONTROL!$C$9, $D$9, 100%, $F$9) + CHOOSE(CONTROL!$C$27, 0.0021, 0)</f>
        <v>50.5503</v>
      </c>
      <c r="L499" s="10"/>
    </row>
    <row r="500" spans="1:12" ht="15.75">
      <c r="A500" s="14">
        <v>56522</v>
      </c>
      <c r="B500" s="10">
        <f>51.9706 * CHOOSE(CONTROL!$C$9, $D$9, 100%, $F$9) + CHOOSE(CONTROL!$C$27, 0.0021, 0)</f>
        <v>51.972699999999996</v>
      </c>
      <c r="C500" s="10">
        <f>51.5383 * CHOOSE(CONTROL!$C$9, $D$9, 100%, $F$9) + CHOOSE(CONTROL!$C$27, 0.0021, 0)</f>
        <v>51.540399999999998</v>
      </c>
      <c r="D500" s="10">
        <f>51.5383 * CHOOSE(CONTROL!$C$9, $D$9, 100%, $F$9) + CHOOSE(CONTROL!$C$27, 0.0021, 0)</f>
        <v>51.540399999999998</v>
      </c>
      <c r="E500" s="10">
        <f>51.4016 * CHOOSE(CONTROL!$C$9, $D$9, 100%, $F$9) + CHOOSE(CONTROL!$C$27, 0.0021, 0)</f>
        <v>51.403700000000001</v>
      </c>
      <c r="F500" s="10">
        <f>51.4016 * CHOOSE(CONTROL!$C$9, $D$9, 100%, $F$9) + CHOOSE(CONTROL!$C$27, 0.0021, 0)</f>
        <v>51.403700000000001</v>
      </c>
      <c r="G500" s="10">
        <f>51.673 * CHOOSE(CONTROL!$C$9, $D$9, 100%, $F$9) + CHOOSE(CONTROL!$C$27, 0.0021, 0)</f>
        <v>51.6751</v>
      </c>
      <c r="H500" s="10">
        <f>51.5383 * CHOOSE(CONTROL!$C$9, $D$9, 100%, $F$9) + CHOOSE(CONTROL!$C$27, 0.0021, 0)</f>
        <v>51.540399999999998</v>
      </c>
      <c r="I500" s="10">
        <f>51.5383 * CHOOSE(CONTROL!$C$9, $D$9, 100%, $F$9) + CHOOSE(CONTROL!$C$27, 0.0021, 0)</f>
        <v>51.540399999999998</v>
      </c>
      <c r="J500" s="10">
        <f>51.5383 * CHOOSE(CONTROL!$C$9, $D$9, 100%, $F$9) + CHOOSE(CONTROL!$C$27, 0.0021, 0)</f>
        <v>51.540399999999998</v>
      </c>
      <c r="K500" s="10">
        <f>51.5383 * CHOOSE(CONTROL!$C$9, $D$9, 100%, $F$9) + CHOOSE(CONTROL!$C$27, 0.0021, 0)</f>
        <v>51.540399999999998</v>
      </c>
      <c r="L500" s="10"/>
    </row>
    <row r="501" spans="1:12" ht="15.75">
      <c r="A501" s="14">
        <v>56553</v>
      </c>
      <c r="B501" s="10">
        <f>53.2238 * CHOOSE(CONTROL!$C$9, $D$9, 100%, $F$9) + CHOOSE(CONTROL!$C$27, 0.0021, 0)</f>
        <v>53.225899999999996</v>
      </c>
      <c r="C501" s="10">
        <f>52.7916 * CHOOSE(CONTROL!$C$9, $D$9, 100%, $F$9) + CHOOSE(CONTROL!$C$27, 0.0021, 0)</f>
        <v>52.793700000000001</v>
      </c>
      <c r="D501" s="10">
        <f>52.7916 * CHOOSE(CONTROL!$C$9, $D$9, 100%, $F$9) + CHOOSE(CONTROL!$C$27, 0.0021, 0)</f>
        <v>52.793700000000001</v>
      </c>
      <c r="E501" s="10">
        <f>52.6549 * CHOOSE(CONTROL!$C$9, $D$9, 100%, $F$9) + CHOOSE(CONTROL!$C$27, 0.0021, 0)</f>
        <v>52.656999999999996</v>
      </c>
      <c r="F501" s="10">
        <f>52.6549 * CHOOSE(CONTROL!$C$9, $D$9, 100%, $F$9) + CHOOSE(CONTROL!$C$27, 0.0021, 0)</f>
        <v>52.656999999999996</v>
      </c>
      <c r="G501" s="10">
        <f>52.9263 * CHOOSE(CONTROL!$C$9, $D$9, 100%, $F$9) + CHOOSE(CONTROL!$C$27, 0.0021, 0)</f>
        <v>52.928399999999996</v>
      </c>
      <c r="H501" s="10">
        <f>52.7916 * CHOOSE(CONTROL!$C$9, $D$9, 100%, $F$9) + CHOOSE(CONTROL!$C$27, 0.0021, 0)</f>
        <v>52.793700000000001</v>
      </c>
      <c r="I501" s="10">
        <f>52.7916 * CHOOSE(CONTROL!$C$9, $D$9, 100%, $F$9) + CHOOSE(CONTROL!$C$27, 0.0021, 0)</f>
        <v>52.793700000000001</v>
      </c>
      <c r="J501" s="10">
        <f>52.7916 * CHOOSE(CONTROL!$C$9, $D$9, 100%, $F$9) + CHOOSE(CONTROL!$C$27, 0.0021, 0)</f>
        <v>52.793700000000001</v>
      </c>
      <c r="K501" s="10">
        <f>52.7916 * CHOOSE(CONTROL!$C$9, $D$9, 100%, $F$9) + CHOOSE(CONTROL!$C$27, 0.0021, 0)</f>
        <v>52.793700000000001</v>
      </c>
      <c r="L501" s="10"/>
    </row>
    <row r="502" spans="1:12" ht="15.75">
      <c r="A502" s="14">
        <v>56583</v>
      </c>
      <c r="B502" s="10">
        <f>53.3415 * CHOOSE(CONTROL!$C$9, $D$9, 100%, $F$9) + CHOOSE(CONTROL!$C$27, 0.0021, 0)</f>
        <v>53.343600000000002</v>
      </c>
      <c r="C502" s="10">
        <f>52.9092 * CHOOSE(CONTROL!$C$9, $D$9, 100%, $F$9) + CHOOSE(CONTROL!$C$27, 0.0021, 0)</f>
        <v>52.911299999999997</v>
      </c>
      <c r="D502" s="10">
        <f>52.9092 * CHOOSE(CONTROL!$C$9, $D$9, 100%, $F$9) + CHOOSE(CONTROL!$C$27, 0.0021, 0)</f>
        <v>52.911299999999997</v>
      </c>
      <c r="E502" s="10">
        <f>52.7726 * CHOOSE(CONTROL!$C$9, $D$9, 100%, $F$9) + CHOOSE(CONTROL!$C$27, 0.0021, 0)</f>
        <v>52.774699999999996</v>
      </c>
      <c r="F502" s="10">
        <f>52.7726 * CHOOSE(CONTROL!$C$9, $D$9, 100%, $F$9) + CHOOSE(CONTROL!$C$27, 0.0021, 0)</f>
        <v>52.774699999999996</v>
      </c>
      <c r="G502" s="10">
        <f>53.0439 * CHOOSE(CONTROL!$C$9, $D$9, 100%, $F$9) + CHOOSE(CONTROL!$C$27, 0.0021, 0)</f>
        <v>53.045999999999999</v>
      </c>
      <c r="H502" s="10">
        <f>52.9092 * CHOOSE(CONTROL!$C$9, $D$9, 100%, $F$9) + CHOOSE(CONTROL!$C$27, 0.0021, 0)</f>
        <v>52.911299999999997</v>
      </c>
      <c r="I502" s="10">
        <f>52.9092 * CHOOSE(CONTROL!$C$9, $D$9, 100%, $F$9) + CHOOSE(CONTROL!$C$27, 0.0021, 0)</f>
        <v>52.911299999999997</v>
      </c>
      <c r="J502" s="10">
        <f>52.9092 * CHOOSE(CONTROL!$C$9, $D$9, 100%, $F$9) + CHOOSE(CONTROL!$C$27, 0.0021, 0)</f>
        <v>52.911299999999997</v>
      </c>
      <c r="K502" s="10">
        <f>52.9092 * CHOOSE(CONTROL!$C$9, $D$9, 100%, $F$9) + CHOOSE(CONTROL!$C$27, 0.0021, 0)</f>
        <v>52.911299999999997</v>
      </c>
      <c r="L502" s="10"/>
    </row>
    <row r="503" spans="1:12" ht="15.75">
      <c r="A503" s="14">
        <v>56614</v>
      </c>
      <c r="B503" s="10">
        <f>52.3405 * CHOOSE(CONTROL!$C$9, $D$9, 100%, $F$9) + CHOOSE(CONTROL!$C$27, 0.0021, 0)</f>
        <v>52.342599999999997</v>
      </c>
      <c r="C503" s="10">
        <f>51.9083 * CHOOSE(CONTROL!$C$9, $D$9, 100%, $F$9) + CHOOSE(CONTROL!$C$27, 0.0021, 0)</f>
        <v>51.910399999999996</v>
      </c>
      <c r="D503" s="10">
        <f>51.9083 * CHOOSE(CONTROL!$C$9, $D$9, 100%, $F$9) + CHOOSE(CONTROL!$C$27, 0.0021, 0)</f>
        <v>51.910399999999996</v>
      </c>
      <c r="E503" s="10">
        <f>51.7716 * CHOOSE(CONTROL!$C$9, $D$9, 100%, $F$9) + CHOOSE(CONTROL!$C$27, 0.0021, 0)</f>
        <v>51.773699999999998</v>
      </c>
      <c r="F503" s="10">
        <f>51.7716 * CHOOSE(CONTROL!$C$9, $D$9, 100%, $F$9) + CHOOSE(CONTROL!$C$27, 0.0021, 0)</f>
        <v>51.773699999999998</v>
      </c>
      <c r="G503" s="10">
        <f>52.043 * CHOOSE(CONTROL!$C$9, $D$9, 100%, $F$9) + CHOOSE(CONTROL!$C$27, 0.0021, 0)</f>
        <v>52.045099999999998</v>
      </c>
      <c r="H503" s="10">
        <f>51.9083 * CHOOSE(CONTROL!$C$9, $D$9, 100%, $F$9) + CHOOSE(CONTROL!$C$27, 0.0021, 0)</f>
        <v>51.910399999999996</v>
      </c>
      <c r="I503" s="10">
        <f>51.9083 * CHOOSE(CONTROL!$C$9, $D$9, 100%, $F$9) + CHOOSE(CONTROL!$C$27, 0.0021, 0)</f>
        <v>51.910399999999996</v>
      </c>
      <c r="J503" s="10">
        <f>51.9083 * CHOOSE(CONTROL!$C$9, $D$9, 100%, $F$9) + CHOOSE(CONTROL!$C$27, 0.0021, 0)</f>
        <v>51.910399999999996</v>
      </c>
      <c r="K503" s="10">
        <f>51.9083 * CHOOSE(CONTROL!$C$9, $D$9, 100%, $F$9) + CHOOSE(CONTROL!$C$27, 0.0021, 0)</f>
        <v>51.910399999999996</v>
      </c>
      <c r="L503" s="10"/>
    </row>
    <row r="504" spans="1:12" ht="15.75">
      <c r="A504" s="13">
        <v>56645</v>
      </c>
      <c r="B504" s="10">
        <f>51.5742 * CHOOSE(CONTROL!$C$9, $D$9, 100%, $F$9) + CHOOSE(CONTROL!$C$27, 0.0021, 0)</f>
        <v>51.576299999999996</v>
      </c>
      <c r="C504" s="10">
        <f>51.1419 * CHOOSE(CONTROL!$C$9, $D$9, 100%, $F$9) + CHOOSE(CONTROL!$C$27, 0.0021, 0)</f>
        <v>51.143999999999998</v>
      </c>
      <c r="D504" s="10">
        <f>51.1419 * CHOOSE(CONTROL!$C$9, $D$9, 100%, $F$9) + CHOOSE(CONTROL!$C$27, 0.0021, 0)</f>
        <v>51.143999999999998</v>
      </c>
      <c r="E504" s="10">
        <f>51.0052 * CHOOSE(CONTROL!$C$9, $D$9, 100%, $F$9) + CHOOSE(CONTROL!$C$27, 0.0021, 0)</f>
        <v>51.007300000000001</v>
      </c>
      <c r="F504" s="10">
        <f>51.0052 * CHOOSE(CONTROL!$C$9, $D$9, 100%, $F$9) + CHOOSE(CONTROL!$C$27, 0.0021, 0)</f>
        <v>51.007300000000001</v>
      </c>
      <c r="G504" s="10">
        <f>51.2766 * CHOOSE(CONTROL!$C$9, $D$9, 100%, $F$9) + CHOOSE(CONTROL!$C$27, 0.0021, 0)</f>
        <v>51.278700000000001</v>
      </c>
      <c r="H504" s="10">
        <f>51.1419 * CHOOSE(CONTROL!$C$9, $D$9, 100%, $F$9) + CHOOSE(CONTROL!$C$27, 0.0021, 0)</f>
        <v>51.143999999999998</v>
      </c>
      <c r="I504" s="10">
        <f>51.1419 * CHOOSE(CONTROL!$C$9, $D$9, 100%, $F$9) + CHOOSE(CONTROL!$C$27, 0.0021, 0)</f>
        <v>51.143999999999998</v>
      </c>
      <c r="J504" s="10">
        <f>51.1419 * CHOOSE(CONTROL!$C$9, $D$9, 100%, $F$9) + CHOOSE(CONTROL!$C$27, 0.0021, 0)</f>
        <v>51.143999999999998</v>
      </c>
      <c r="K504" s="10">
        <f>51.1419 * CHOOSE(CONTROL!$C$9, $D$9, 100%, $F$9) + CHOOSE(CONTROL!$C$27, 0.0021, 0)</f>
        <v>51.143999999999998</v>
      </c>
      <c r="L504" s="10"/>
    </row>
    <row r="505" spans="1:12" ht="15.75">
      <c r="A505" s="13">
        <v>56673</v>
      </c>
      <c r="B505" s="10">
        <f>50.1802 * CHOOSE(CONTROL!$C$9, $D$9, 100%, $F$9) + CHOOSE(CONTROL!$C$27, 0.0021, 0)</f>
        <v>50.182299999999998</v>
      </c>
      <c r="C505" s="10">
        <f>49.7479 * CHOOSE(CONTROL!$C$9, $D$9, 100%, $F$9) + CHOOSE(CONTROL!$C$27, 0.0021, 0)</f>
        <v>49.75</v>
      </c>
      <c r="D505" s="10">
        <f>49.7479 * CHOOSE(CONTROL!$C$9, $D$9, 100%, $F$9) + CHOOSE(CONTROL!$C$27, 0.0021, 0)</f>
        <v>49.75</v>
      </c>
      <c r="E505" s="10">
        <f>49.6113 * CHOOSE(CONTROL!$C$9, $D$9, 100%, $F$9) + CHOOSE(CONTROL!$C$27, 0.0021, 0)</f>
        <v>49.613399999999999</v>
      </c>
      <c r="F505" s="10">
        <f>49.6113 * CHOOSE(CONTROL!$C$9, $D$9, 100%, $F$9) + CHOOSE(CONTROL!$C$27, 0.0021, 0)</f>
        <v>49.613399999999999</v>
      </c>
      <c r="G505" s="10">
        <f>49.8827 * CHOOSE(CONTROL!$C$9, $D$9, 100%, $F$9) + CHOOSE(CONTROL!$C$27, 0.0021, 0)</f>
        <v>49.884799999999998</v>
      </c>
      <c r="H505" s="10">
        <f>49.7479 * CHOOSE(CONTROL!$C$9, $D$9, 100%, $F$9) + CHOOSE(CONTROL!$C$27, 0.0021, 0)</f>
        <v>49.75</v>
      </c>
      <c r="I505" s="10">
        <f>49.7479 * CHOOSE(CONTROL!$C$9, $D$9, 100%, $F$9) + CHOOSE(CONTROL!$C$27, 0.0021, 0)</f>
        <v>49.75</v>
      </c>
      <c r="J505" s="10">
        <f>49.7479 * CHOOSE(CONTROL!$C$9, $D$9, 100%, $F$9) + CHOOSE(CONTROL!$C$27, 0.0021, 0)</f>
        <v>49.75</v>
      </c>
      <c r="K505" s="10">
        <f>49.7479 * CHOOSE(CONTROL!$C$9, $D$9, 100%, $F$9) + CHOOSE(CONTROL!$C$27, 0.0021, 0)</f>
        <v>49.75</v>
      </c>
      <c r="L505" s="10"/>
    </row>
    <row r="506" spans="1:12" ht="15.75">
      <c r="A506" s="13">
        <v>56704</v>
      </c>
      <c r="B506" s="10">
        <f>49.6048 * CHOOSE(CONTROL!$C$9, $D$9, 100%, $F$9) + CHOOSE(CONTROL!$C$27, 0.0021, 0)</f>
        <v>49.606899999999996</v>
      </c>
      <c r="C506" s="10">
        <f>49.1725 * CHOOSE(CONTROL!$C$9, $D$9, 100%, $F$9) + CHOOSE(CONTROL!$C$27, 0.0021, 0)</f>
        <v>49.174599999999998</v>
      </c>
      <c r="D506" s="10">
        <f>49.1725 * CHOOSE(CONTROL!$C$9, $D$9, 100%, $F$9) + CHOOSE(CONTROL!$C$27, 0.0021, 0)</f>
        <v>49.174599999999998</v>
      </c>
      <c r="E506" s="10">
        <f>49.0359 * CHOOSE(CONTROL!$C$9, $D$9, 100%, $F$9) + CHOOSE(CONTROL!$C$27, 0.0021, 0)</f>
        <v>49.037999999999997</v>
      </c>
      <c r="F506" s="10">
        <f>49.0359 * CHOOSE(CONTROL!$C$9, $D$9, 100%, $F$9) + CHOOSE(CONTROL!$C$27, 0.0021, 0)</f>
        <v>49.037999999999997</v>
      </c>
      <c r="G506" s="10">
        <f>49.3072 * CHOOSE(CONTROL!$C$9, $D$9, 100%, $F$9) + CHOOSE(CONTROL!$C$27, 0.0021, 0)</f>
        <v>49.3093</v>
      </c>
      <c r="H506" s="10">
        <f>49.1725 * CHOOSE(CONTROL!$C$9, $D$9, 100%, $F$9) + CHOOSE(CONTROL!$C$27, 0.0021, 0)</f>
        <v>49.174599999999998</v>
      </c>
      <c r="I506" s="10">
        <f>49.1725 * CHOOSE(CONTROL!$C$9, $D$9, 100%, $F$9) + CHOOSE(CONTROL!$C$27, 0.0021, 0)</f>
        <v>49.174599999999998</v>
      </c>
      <c r="J506" s="10">
        <f>49.1725 * CHOOSE(CONTROL!$C$9, $D$9, 100%, $F$9) + CHOOSE(CONTROL!$C$27, 0.0021, 0)</f>
        <v>49.174599999999998</v>
      </c>
      <c r="K506" s="10">
        <f>49.1725 * CHOOSE(CONTROL!$C$9, $D$9, 100%, $F$9) + CHOOSE(CONTROL!$C$27, 0.0021, 0)</f>
        <v>49.174599999999998</v>
      </c>
      <c r="L506" s="10"/>
    </row>
    <row r="507" spans="1:12" ht="15.75">
      <c r="A507" s="13">
        <v>56734</v>
      </c>
      <c r="B507" s="10">
        <f>48.9177 * CHOOSE(CONTROL!$C$9, $D$9, 100%, $F$9) + CHOOSE(CONTROL!$C$27, 0.0021, 0)</f>
        <v>48.919800000000002</v>
      </c>
      <c r="C507" s="10">
        <f>48.4855 * CHOOSE(CONTROL!$C$9, $D$9, 100%, $F$9) + CHOOSE(CONTROL!$C$27, 0.0021, 0)</f>
        <v>48.4876</v>
      </c>
      <c r="D507" s="10">
        <f>48.4855 * CHOOSE(CONTROL!$C$9, $D$9, 100%, $F$9) + CHOOSE(CONTROL!$C$27, 0.0021, 0)</f>
        <v>48.4876</v>
      </c>
      <c r="E507" s="10">
        <f>48.3488 * CHOOSE(CONTROL!$C$9, $D$9, 100%, $F$9) + CHOOSE(CONTROL!$C$27, 0.0021, 0)</f>
        <v>48.350899999999996</v>
      </c>
      <c r="F507" s="10">
        <f>48.3488 * CHOOSE(CONTROL!$C$9, $D$9, 100%, $F$9) + CHOOSE(CONTROL!$C$27, 0.0021, 0)</f>
        <v>48.350899999999996</v>
      </c>
      <c r="G507" s="10">
        <f>48.6202 * CHOOSE(CONTROL!$C$9, $D$9, 100%, $F$9) + CHOOSE(CONTROL!$C$27, 0.0021, 0)</f>
        <v>48.622299999999996</v>
      </c>
      <c r="H507" s="10">
        <f>48.4855 * CHOOSE(CONTROL!$C$9, $D$9, 100%, $F$9) + CHOOSE(CONTROL!$C$27, 0.0021, 0)</f>
        <v>48.4876</v>
      </c>
      <c r="I507" s="10">
        <f>48.4855 * CHOOSE(CONTROL!$C$9, $D$9, 100%, $F$9) + CHOOSE(CONTROL!$C$27, 0.0021, 0)</f>
        <v>48.4876</v>
      </c>
      <c r="J507" s="10">
        <f>48.4855 * CHOOSE(CONTROL!$C$9, $D$9, 100%, $F$9) + CHOOSE(CONTROL!$C$27, 0.0021, 0)</f>
        <v>48.4876</v>
      </c>
      <c r="K507" s="10">
        <f>48.4855 * CHOOSE(CONTROL!$C$9, $D$9, 100%, $F$9) + CHOOSE(CONTROL!$C$27, 0.0021, 0)</f>
        <v>48.4876</v>
      </c>
      <c r="L507" s="10"/>
    </row>
    <row r="508" spans="1:12" ht="15.75">
      <c r="A508" s="13">
        <v>56765</v>
      </c>
      <c r="B508" s="10">
        <f>49.8969 * CHOOSE(CONTROL!$C$9, $D$9, 100%, $F$9) + CHOOSE(CONTROL!$C$27, 0.0021, 0)</f>
        <v>49.899000000000001</v>
      </c>
      <c r="C508" s="10">
        <f>49.4646 * CHOOSE(CONTROL!$C$9, $D$9, 100%, $F$9) + CHOOSE(CONTROL!$C$27, 0.0021, 0)</f>
        <v>49.466699999999996</v>
      </c>
      <c r="D508" s="10">
        <f>49.4646 * CHOOSE(CONTROL!$C$9, $D$9, 100%, $F$9) + CHOOSE(CONTROL!$C$27, 0.0021, 0)</f>
        <v>49.466699999999996</v>
      </c>
      <c r="E508" s="10">
        <f>49.328 * CHOOSE(CONTROL!$C$9, $D$9, 100%, $F$9) + CHOOSE(CONTROL!$C$27, 0.0021, 0)</f>
        <v>49.330100000000002</v>
      </c>
      <c r="F508" s="10">
        <f>49.328 * CHOOSE(CONTROL!$C$9, $D$9, 100%, $F$9) + CHOOSE(CONTROL!$C$27, 0.0021, 0)</f>
        <v>49.330100000000002</v>
      </c>
      <c r="G508" s="10">
        <f>49.5993 * CHOOSE(CONTROL!$C$9, $D$9, 100%, $F$9) + CHOOSE(CONTROL!$C$27, 0.0021, 0)</f>
        <v>49.601399999999998</v>
      </c>
      <c r="H508" s="10">
        <f>49.4646 * CHOOSE(CONTROL!$C$9, $D$9, 100%, $F$9) + CHOOSE(CONTROL!$C$27, 0.0021, 0)</f>
        <v>49.466699999999996</v>
      </c>
      <c r="I508" s="10">
        <f>49.4646 * CHOOSE(CONTROL!$C$9, $D$9, 100%, $F$9) + CHOOSE(CONTROL!$C$27, 0.0021, 0)</f>
        <v>49.466699999999996</v>
      </c>
      <c r="J508" s="10">
        <f>49.4646 * CHOOSE(CONTROL!$C$9, $D$9, 100%, $F$9) + CHOOSE(CONTROL!$C$27, 0.0021, 0)</f>
        <v>49.466699999999996</v>
      </c>
      <c r="K508" s="10">
        <f>49.4646 * CHOOSE(CONTROL!$C$9, $D$9, 100%, $F$9) + CHOOSE(CONTROL!$C$27, 0.0021, 0)</f>
        <v>49.466699999999996</v>
      </c>
      <c r="L508" s="10"/>
    </row>
    <row r="509" spans="1:12" ht="15.75">
      <c r="A509" s="13">
        <v>56795</v>
      </c>
      <c r="B509" s="10">
        <f>50.4833 * CHOOSE(CONTROL!$C$9, $D$9, 100%, $F$9) + CHOOSE(CONTROL!$C$27, 0.0021, 0)</f>
        <v>50.485399999999998</v>
      </c>
      <c r="C509" s="10">
        <f>50.0511 * CHOOSE(CONTROL!$C$9, $D$9, 100%, $F$9) + CHOOSE(CONTROL!$C$27, 0.0021, 0)</f>
        <v>50.053199999999997</v>
      </c>
      <c r="D509" s="10">
        <f>50.0511 * CHOOSE(CONTROL!$C$9, $D$9, 100%, $F$9) + CHOOSE(CONTROL!$C$27, 0.0021, 0)</f>
        <v>50.053199999999997</v>
      </c>
      <c r="E509" s="10">
        <f>49.9144 * CHOOSE(CONTROL!$C$9, $D$9, 100%, $F$9) + CHOOSE(CONTROL!$C$27, 0.0021, 0)</f>
        <v>49.916499999999999</v>
      </c>
      <c r="F509" s="10">
        <f>49.9144 * CHOOSE(CONTROL!$C$9, $D$9, 100%, $F$9) + CHOOSE(CONTROL!$C$27, 0.0021, 0)</f>
        <v>49.916499999999999</v>
      </c>
      <c r="G509" s="10">
        <f>50.1858 * CHOOSE(CONTROL!$C$9, $D$9, 100%, $F$9) + CHOOSE(CONTROL!$C$27, 0.0021, 0)</f>
        <v>50.187899999999999</v>
      </c>
      <c r="H509" s="10">
        <f>50.0511 * CHOOSE(CONTROL!$C$9, $D$9, 100%, $F$9) + CHOOSE(CONTROL!$C$27, 0.0021, 0)</f>
        <v>50.053199999999997</v>
      </c>
      <c r="I509" s="10">
        <f>50.0511 * CHOOSE(CONTROL!$C$9, $D$9, 100%, $F$9) + CHOOSE(CONTROL!$C$27, 0.0021, 0)</f>
        <v>50.053199999999997</v>
      </c>
      <c r="J509" s="10">
        <f>50.0511 * CHOOSE(CONTROL!$C$9, $D$9, 100%, $F$9) + CHOOSE(CONTROL!$C$27, 0.0021, 0)</f>
        <v>50.053199999999997</v>
      </c>
      <c r="K509" s="10">
        <f>50.0511 * CHOOSE(CONTROL!$C$9, $D$9, 100%, $F$9) + CHOOSE(CONTROL!$C$27, 0.0021, 0)</f>
        <v>50.053199999999997</v>
      </c>
      <c r="L509" s="10"/>
    </row>
    <row r="510" spans="1:12" ht="15.75">
      <c r="A510" s="13">
        <v>56826</v>
      </c>
      <c r="B510" s="10">
        <f>51.4508 * CHOOSE(CONTROL!$C$9, $D$9, 100%, $F$9) + CHOOSE(CONTROL!$C$27, 0.0021, 0)</f>
        <v>51.4529</v>
      </c>
      <c r="C510" s="10">
        <f>51.0186 * CHOOSE(CONTROL!$C$9, $D$9, 100%, $F$9) + CHOOSE(CONTROL!$C$27, 0.0021, 0)</f>
        <v>51.020699999999998</v>
      </c>
      <c r="D510" s="10">
        <f>51.0186 * CHOOSE(CONTROL!$C$9, $D$9, 100%, $F$9) + CHOOSE(CONTROL!$C$27, 0.0021, 0)</f>
        <v>51.020699999999998</v>
      </c>
      <c r="E510" s="10">
        <f>50.8819 * CHOOSE(CONTROL!$C$9, $D$9, 100%, $F$9) + CHOOSE(CONTROL!$C$27, 0.0021, 0)</f>
        <v>50.884</v>
      </c>
      <c r="F510" s="10">
        <f>50.8819 * CHOOSE(CONTROL!$C$9, $D$9, 100%, $F$9) + CHOOSE(CONTROL!$C$27, 0.0021, 0)</f>
        <v>50.884</v>
      </c>
      <c r="G510" s="10">
        <f>51.1533 * CHOOSE(CONTROL!$C$9, $D$9, 100%, $F$9) + CHOOSE(CONTROL!$C$27, 0.0021, 0)</f>
        <v>51.1554</v>
      </c>
      <c r="H510" s="10">
        <f>51.0186 * CHOOSE(CONTROL!$C$9, $D$9, 100%, $F$9) + CHOOSE(CONTROL!$C$27, 0.0021, 0)</f>
        <v>51.020699999999998</v>
      </c>
      <c r="I510" s="10">
        <f>51.0186 * CHOOSE(CONTROL!$C$9, $D$9, 100%, $F$9) + CHOOSE(CONTROL!$C$27, 0.0021, 0)</f>
        <v>51.020699999999998</v>
      </c>
      <c r="J510" s="10">
        <f>51.0186 * CHOOSE(CONTROL!$C$9, $D$9, 100%, $F$9) + CHOOSE(CONTROL!$C$27, 0.0021, 0)</f>
        <v>51.020699999999998</v>
      </c>
      <c r="K510" s="10">
        <f>51.0186 * CHOOSE(CONTROL!$C$9, $D$9, 100%, $F$9) + CHOOSE(CONTROL!$C$27, 0.0021, 0)</f>
        <v>51.020699999999998</v>
      </c>
      <c r="L510" s="10"/>
    </row>
    <row r="511" spans="1:12" ht="15.75">
      <c r="A511" s="13">
        <v>56857</v>
      </c>
      <c r="B511" s="10">
        <f>51.7461 * CHOOSE(CONTROL!$C$9, $D$9, 100%, $F$9) + CHOOSE(CONTROL!$C$27, 0.0021, 0)</f>
        <v>51.748199999999997</v>
      </c>
      <c r="C511" s="10">
        <f>51.3139 * CHOOSE(CONTROL!$C$9, $D$9, 100%, $F$9) + CHOOSE(CONTROL!$C$27, 0.0021, 0)</f>
        <v>51.315999999999995</v>
      </c>
      <c r="D511" s="10">
        <f>51.3139 * CHOOSE(CONTROL!$C$9, $D$9, 100%, $F$9) + CHOOSE(CONTROL!$C$27, 0.0021, 0)</f>
        <v>51.315999999999995</v>
      </c>
      <c r="E511" s="10">
        <f>51.1772 * CHOOSE(CONTROL!$C$9, $D$9, 100%, $F$9) + CHOOSE(CONTROL!$C$27, 0.0021, 0)</f>
        <v>51.179299999999998</v>
      </c>
      <c r="F511" s="10">
        <f>51.1772 * CHOOSE(CONTROL!$C$9, $D$9, 100%, $F$9) + CHOOSE(CONTROL!$C$27, 0.0021, 0)</f>
        <v>51.179299999999998</v>
      </c>
      <c r="G511" s="10">
        <f>51.4486 * CHOOSE(CONTROL!$C$9, $D$9, 100%, $F$9) + CHOOSE(CONTROL!$C$27, 0.0021, 0)</f>
        <v>51.450699999999998</v>
      </c>
      <c r="H511" s="10">
        <f>51.3139 * CHOOSE(CONTROL!$C$9, $D$9, 100%, $F$9) + CHOOSE(CONTROL!$C$27, 0.0021, 0)</f>
        <v>51.315999999999995</v>
      </c>
      <c r="I511" s="10">
        <f>51.3139 * CHOOSE(CONTROL!$C$9, $D$9, 100%, $F$9) + CHOOSE(CONTROL!$C$27, 0.0021, 0)</f>
        <v>51.315999999999995</v>
      </c>
      <c r="J511" s="10">
        <f>51.3139 * CHOOSE(CONTROL!$C$9, $D$9, 100%, $F$9) + CHOOSE(CONTROL!$C$27, 0.0021, 0)</f>
        <v>51.315999999999995</v>
      </c>
      <c r="K511" s="10">
        <f>51.3139 * CHOOSE(CONTROL!$C$9, $D$9, 100%, $F$9) + CHOOSE(CONTROL!$C$27, 0.0021, 0)</f>
        <v>51.315999999999995</v>
      </c>
      <c r="L511" s="10"/>
    </row>
    <row r="512" spans="1:12" ht="15.75">
      <c r="A512" s="13">
        <v>56887</v>
      </c>
      <c r="B512" s="10">
        <f>52.7517 * CHOOSE(CONTROL!$C$9, $D$9, 100%, $F$9) + CHOOSE(CONTROL!$C$27, 0.0021, 0)</f>
        <v>52.753799999999998</v>
      </c>
      <c r="C512" s="10">
        <f>52.3195 * CHOOSE(CONTROL!$C$9, $D$9, 100%, $F$9) + CHOOSE(CONTROL!$C$27, 0.0021, 0)</f>
        <v>52.321599999999997</v>
      </c>
      <c r="D512" s="10">
        <f>52.3195 * CHOOSE(CONTROL!$C$9, $D$9, 100%, $F$9) + CHOOSE(CONTROL!$C$27, 0.0021, 0)</f>
        <v>52.321599999999997</v>
      </c>
      <c r="E512" s="10">
        <f>52.1828 * CHOOSE(CONTROL!$C$9, $D$9, 100%, $F$9) + CHOOSE(CONTROL!$C$27, 0.0021, 0)</f>
        <v>52.184899999999999</v>
      </c>
      <c r="F512" s="10">
        <f>52.1828 * CHOOSE(CONTROL!$C$9, $D$9, 100%, $F$9) + CHOOSE(CONTROL!$C$27, 0.0021, 0)</f>
        <v>52.184899999999999</v>
      </c>
      <c r="G512" s="10">
        <f>52.4542 * CHOOSE(CONTROL!$C$9, $D$9, 100%, $F$9) + CHOOSE(CONTROL!$C$27, 0.0021, 0)</f>
        <v>52.456299999999999</v>
      </c>
      <c r="H512" s="10">
        <f>52.3195 * CHOOSE(CONTROL!$C$9, $D$9, 100%, $F$9) + CHOOSE(CONTROL!$C$27, 0.0021, 0)</f>
        <v>52.321599999999997</v>
      </c>
      <c r="I512" s="10">
        <f>52.3195 * CHOOSE(CONTROL!$C$9, $D$9, 100%, $F$9) + CHOOSE(CONTROL!$C$27, 0.0021, 0)</f>
        <v>52.321599999999997</v>
      </c>
      <c r="J512" s="10">
        <f>52.3195 * CHOOSE(CONTROL!$C$9, $D$9, 100%, $F$9) + CHOOSE(CONTROL!$C$27, 0.0021, 0)</f>
        <v>52.321599999999997</v>
      </c>
      <c r="K512" s="10">
        <f>52.3195 * CHOOSE(CONTROL!$C$9, $D$9, 100%, $F$9) + CHOOSE(CONTROL!$C$27, 0.0021, 0)</f>
        <v>52.321599999999997</v>
      </c>
      <c r="L512" s="10"/>
    </row>
    <row r="513" spans="1:12" ht="15.75">
      <c r="A513" s="13">
        <v>56918</v>
      </c>
      <c r="B513" s="10">
        <f>54.0247 * CHOOSE(CONTROL!$C$9, $D$9, 100%, $F$9) + CHOOSE(CONTROL!$C$27, 0.0021, 0)</f>
        <v>54.026800000000001</v>
      </c>
      <c r="C513" s="10">
        <f>53.5925 * CHOOSE(CONTROL!$C$9, $D$9, 100%, $F$9) + CHOOSE(CONTROL!$C$27, 0.0021, 0)</f>
        <v>53.5946</v>
      </c>
      <c r="D513" s="10">
        <f>53.5925 * CHOOSE(CONTROL!$C$9, $D$9, 100%, $F$9) + CHOOSE(CONTROL!$C$27, 0.0021, 0)</f>
        <v>53.5946</v>
      </c>
      <c r="E513" s="10">
        <f>53.4558 * CHOOSE(CONTROL!$C$9, $D$9, 100%, $F$9) + CHOOSE(CONTROL!$C$27, 0.0021, 0)</f>
        <v>53.457900000000002</v>
      </c>
      <c r="F513" s="10">
        <f>53.4558 * CHOOSE(CONTROL!$C$9, $D$9, 100%, $F$9) + CHOOSE(CONTROL!$C$27, 0.0021, 0)</f>
        <v>53.457900000000002</v>
      </c>
      <c r="G513" s="10">
        <f>53.7272 * CHOOSE(CONTROL!$C$9, $D$9, 100%, $F$9) + CHOOSE(CONTROL!$C$27, 0.0021, 0)</f>
        <v>53.729300000000002</v>
      </c>
      <c r="H513" s="10">
        <f>53.5925 * CHOOSE(CONTROL!$C$9, $D$9, 100%, $F$9) + CHOOSE(CONTROL!$C$27, 0.0021, 0)</f>
        <v>53.5946</v>
      </c>
      <c r="I513" s="10">
        <f>53.5925 * CHOOSE(CONTROL!$C$9, $D$9, 100%, $F$9) + CHOOSE(CONTROL!$C$27, 0.0021, 0)</f>
        <v>53.5946</v>
      </c>
      <c r="J513" s="10">
        <f>53.5925 * CHOOSE(CONTROL!$C$9, $D$9, 100%, $F$9) + CHOOSE(CONTROL!$C$27, 0.0021, 0)</f>
        <v>53.5946</v>
      </c>
      <c r="K513" s="10">
        <f>53.5925 * CHOOSE(CONTROL!$C$9, $D$9, 100%, $F$9) + CHOOSE(CONTROL!$C$27, 0.0021, 0)</f>
        <v>53.5946</v>
      </c>
      <c r="L513" s="10"/>
    </row>
    <row r="514" spans="1:12" ht="15.75">
      <c r="A514" s="13">
        <v>56948</v>
      </c>
      <c r="B514" s="10">
        <f>54.1442 * CHOOSE(CONTROL!$C$9, $D$9, 100%, $F$9) + CHOOSE(CONTROL!$C$27, 0.0021, 0)</f>
        <v>54.146299999999997</v>
      </c>
      <c r="C514" s="10">
        <f>53.712 * CHOOSE(CONTROL!$C$9, $D$9, 100%, $F$9) + CHOOSE(CONTROL!$C$27, 0.0021, 0)</f>
        <v>53.714100000000002</v>
      </c>
      <c r="D514" s="10">
        <f>53.712 * CHOOSE(CONTROL!$C$9, $D$9, 100%, $F$9) + CHOOSE(CONTROL!$C$27, 0.0021, 0)</f>
        <v>53.714100000000002</v>
      </c>
      <c r="E514" s="10">
        <f>53.5753 * CHOOSE(CONTROL!$C$9, $D$9, 100%, $F$9) + CHOOSE(CONTROL!$C$27, 0.0021, 0)</f>
        <v>53.577399999999997</v>
      </c>
      <c r="F514" s="10">
        <f>53.5753 * CHOOSE(CONTROL!$C$9, $D$9, 100%, $F$9) + CHOOSE(CONTROL!$C$27, 0.0021, 0)</f>
        <v>53.577399999999997</v>
      </c>
      <c r="G514" s="10">
        <f>53.8467 * CHOOSE(CONTROL!$C$9, $D$9, 100%, $F$9) + CHOOSE(CONTROL!$C$27, 0.0021, 0)</f>
        <v>53.848799999999997</v>
      </c>
      <c r="H514" s="10">
        <f>53.712 * CHOOSE(CONTROL!$C$9, $D$9, 100%, $F$9) + CHOOSE(CONTROL!$C$27, 0.0021, 0)</f>
        <v>53.714100000000002</v>
      </c>
      <c r="I514" s="10">
        <f>53.712 * CHOOSE(CONTROL!$C$9, $D$9, 100%, $F$9) + CHOOSE(CONTROL!$C$27, 0.0021, 0)</f>
        <v>53.714100000000002</v>
      </c>
      <c r="J514" s="10">
        <f>53.712 * CHOOSE(CONTROL!$C$9, $D$9, 100%, $F$9) + CHOOSE(CONTROL!$C$27, 0.0021, 0)</f>
        <v>53.714100000000002</v>
      </c>
      <c r="K514" s="10">
        <f>53.712 * CHOOSE(CONTROL!$C$9, $D$9, 100%, $F$9) + CHOOSE(CONTROL!$C$27, 0.0021, 0)</f>
        <v>53.714100000000002</v>
      </c>
      <c r="L514" s="10"/>
    </row>
    <row r="515" spans="1:12" ht="15.75">
      <c r="A515" s="13">
        <v>56979</v>
      </c>
      <c r="B515" s="10">
        <f>53.1275 * CHOOSE(CONTROL!$C$9, $D$9, 100%, $F$9) + CHOOSE(CONTROL!$C$27, 0.0021, 0)</f>
        <v>53.129599999999996</v>
      </c>
      <c r="C515" s="10">
        <f>52.6953 * CHOOSE(CONTROL!$C$9, $D$9, 100%, $F$9) + CHOOSE(CONTROL!$C$27, 0.0021, 0)</f>
        <v>52.697400000000002</v>
      </c>
      <c r="D515" s="10">
        <f>52.6953 * CHOOSE(CONTROL!$C$9, $D$9, 100%, $F$9) + CHOOSE(CONTROL!$C$27, 0.0021, 0)</f>
        <v>52.697400000000002</v>
      </c>
      <c r="E515" s="10">
        <f>52.5586 * CHOOSE(CONTROL!$C$9, $D$9, 100%, $F$9) + CHOOSE(CONTROL!$C$27, 0.0021, 0)</f>
        <v>52.560699999999997</v>
      </c>
      <c r="F515" s="10">
        <f>52.5586 * CHOOSE(CONTROL!$C$9, $D$9, 100%, $F$9) + CHOOSE(CONTROL!$C$27, 0.0021, 0)</f>
        <v>52.560699999999997</v>
      </c>
      <c r="G515" s="10">
        <f>52.83 * CHOOSE(CONTROL!$C$9, $D$9, 100%, $F$9) + CHOOSE(CONTROL!$C$27, 0.0021, 0)</f>
        <v>52.832099999999997</v>
      </c>
      <c r="H515" s="10">
        <f>52.6953 * CHOOSE(CONTROL!$C$9, $D$9, 100%, $F$9) + CHOOSE(CONTROL!$C$27, 0.0021, 0)</f>
        <v>52.697400000000002</v>
      </c>
      <c r="I515" s="10">
        <f>52.6953 * CHOOSE(CONTROL!$C$9, $D$9, 100%, $F$9) + CHOOSE(CONTROL!$C$27, 0.0021, 0)</f>
        <v>52.697400000000002</v>
      </c>
      <c r="J515" s="10">
        <f>52.6953 * CHOOSE(CONTROL!$C$9, $D$9, 100%, $F$9) + CHOOSE(CONTROL!$C$27, 0.0021, 0)</f>
        <v>52.697400000000002</v>
      </c>
      <c r="K515" s="10">
        <f>52.6953 * CHOOSE(CONTROL!$C$9, $D$9, 100%, $F$9) + CHOOSE(CONTROL!$C$27, 0.0021, 0)</f>
        <v>52.697400000000002</v>
      </c>
      <c r="L515" s="10"/>
    </row>
    <row r="516" spans="1:12" ht="15.75">
      <c r="A516" s="13">
        <v>57010</v>
      </c>
      <c r="B516" s="10">
        <f>52.3491 * CHOOSE(CONTROL!$C$9, $D$9, 100%, $F$9) + CHOOSE(CONTROL!$C$27, 0.0021, 0)</f>
        <v>52.351199999999999</v>
      </c>
      <c r="C516" s="10">
        <f>51.9169 * CHOOSE(CONTROL!$C$9, $D$9, 100%, $F$9) + CHOOSE(CONTROL!$C$27, 0.0021, 0)</f>
        <v>51.918999999999997</v>
      </c>
      <c r="D516" s="10">
        <f>51.9169 * CHOOSE(CONTROL!$C$9, $D$9, 100%, $F$9) + CHOOSE(CONTROL!$C$27, 0.0021, 0)</f>
        <v>51.918999999999997</v>
      </c>
      <c r="E516" s="10">
        <f>51.7802 * CHOOSE(CONTROL!$C$9, $D$9, 100%, $F$9) + CHOOSE(CONTROL!$C$27, 0.0021, 0)</f>
        <v>51.782299999999999</v>
      </c>
      <c r="F516" s="10">
        <f>51.7802 * CHOOSE(CONTROL!$C$9, $D$9, 100%, $F$9) + CHOOSE(CONTROL!$C$27, 0.0021, 0)</f>
        <v>51.782299999999999</v>
      </c>
      <c r="G516" s="10">
        <f>52.0516 * CHOOSE(CONTROL!$C$9, $D$9, 100%, $F$9) + CHOOSE(CONTROL!$C$27, 0.0021, 0)</f>
        <v>52.053699999999999</v>
      </c>
      <c r="H516" s="10">
        <f>51.9169 * CHOOSE(CONTROL!$C$9, $D$9, 100%, $F$9) + CHOOSE(CONTROL!$C$27, 0.0021, 0)</f>
        <v>51.918999999999997</v>
      </c>
      <c r="I516" s="10">
        <f>51.9169 * CHOOSE(CONTROL!$C$9, $D$9, 100%, $F$9) + CHOOSE(CONTROL!$C$27, 0.0021, 0)</f>
        <v>51.918999999999997</v>
      </c>
      <c r="J516" s="10">
        <f>51.9169 * CHOOSE(CONTROL!$C$9, $D$9, 100%, $F$9) + CHOOSE(CONTROL!$C$27, 0.0021, 0)</f>
        <v>51.918999999999997</v>
      </c>
      <c r="K516" s="10">
        <f>51.9169 * CHOOSE(CONTROL!$C$9, $D$9, 100%, $F$9) + CHOOSE(CONTROL!$C$27, 0.0021, 0)</f>
        <v>51.918999999999997</v>
      </c>
      <c r="L516" s="10"/>
    </row>
    <row r="517" spans="1:12" ht="15.75">
      <c r="A517" s="13">
        <v>57038</v>
      </c>
      <c r="B517" s="10">
        <f>50.9332 * CHOOSE(CONTROL!$C$9, $D$9, 100%, $F$9) + CHOOSE(CONTROL!$C$27, 0.0021, 0)</f>
        <v>50.935299999999998</v>
      </c>
      <c r="C517" s="10">
        <f>50.501 * CHOOSE(CONTROL!$C$9, $D$9, 100%, $F$9) + CHOOSE(CONTROL!$C$27, 0.0021, 0)</f>
        <v>50.503099999999996</v>
      </c>
      <c r="D517" s="10">
        <f>50.501 * CHOOSE(CONTROL!$C$9, $D$9, 100%, $F$9) + CHOOSE(CONTROL!$C$27, 0.0021, 0)</f>
        <v>50.503099999999996</v>
      </c>
      <c r="E517" s="10">
        <f>50.3643 * CHOOSE(CONTROL!$C$9, $D$9, 100%, $F$9) + CHOOSE(CONTROL!$C$27, 0.0021, 0)</f>
        <v>50.366399999999999</v>
      </c>
      <c r="F517" s="10">
        <f>50.3643 * CHOOSE(CONTROL!$C$9, $D$9, 100%, $F$9) + CHOOSE(CONTROL!$C$27, 0.0021, 0)</f>
        <v>50.366399999999999</v>
      </c>
      <c r="G517" s="10">
        <f>50.6357 * CHOOSE(CONTROL!$C$9, $D$9, 100%, $F$9) + CHOOSE(CONTROL!$C$27, 0.0021, 0)</f>
        <v>50.637799999999999</v>
      </c>
      <c r="H517" s="10">
        <f>50.501 * CHOOSE(CONTROL!$C$9, $D$9, 100%, $F$9) + CHOOSE(CONTROL!$C$27, 0.0021, 0)</f>
        <v>50.503099999999996</v>
      </c>
      <c r="I517" s="10">
        <f>50.501 * CHOOSE(CONTROL!$C$9, $D$9, 100%, $F$9) + CHOOSE(CONTROL!$C$27, 0.0021, 0)</f>
        <v>50.503099999999996</v>
      </c>
      <c r="J517" s="10">
        <f>50.501 * CHOOSE(CONTROL!$C$9, $D$9, 100%, $F$9) + CHOOSE(CONTROL!$C$27, 0.0021, 0)</f>
        <v>50.503099999999996</v>
      </c>
      <c r="K517" s="10">
        <f>50.501 * CHOOSE(CONTROL!$C$9, $D$9, 100%, $F$9) + CHOOSE(CONTROL!$C$27, 0.0021, 0)</f>
        <v>50.503099999999996</v>
      </c>
      <c r="L517" s="10"/>
    </row>
    <row r="518" spans="1:12" ht="15.75">
      <c r="A518" s="13">
        <v>57070</v>
      </c>
      <c r="B518" s="10">
        <f>50.3488 * CHOOSE(CONTROL!$C$9, $D$9, 100%, $F$9) + CHOOSE(CONTROL!$C$27, 0.0021, 0)</f>
        <v>50.350899999999996</v>
      </c>
      <c r="C518" s="10">
        <f>49.9165 * CHOOSE(CONTROL!$C$9, $D$9, 100%, $F$9) + CHOOSE(CONTROL!$C$27, 0.0021, 0)</f>
        <v>49.918599999999998</v>
      </c>
      <c r="D518" s="10">
        <f>49.9165 * CHOOSE(CONTROL!$C$9, $D$9, 100%, $F$9) + CHOOSE(CONTROL!$C$27, 0.0021, 0)</f>
        <v>49.918599999999998</v>
      </c>
      <c r="E518" s="10">
        <f>49.7799 * CHOOSE(CONTROL!$C$9, $D$9, 100%, $F$9) + CHOOSE(CONTROL!$C$27, 0.0021, 0)</f>
        <v>49.781999999999996</v>
      </c>
      <c r="F518" s="10">
        <f>49.7799 * CHOOSE(CONTROL!$C$9, $D$9, 100%, $F$9) + CHOOSE(CONTROL!$C$27, 0.0021, 0)</f>
        <v>49.781999999999996</v>
      </c>
      <c r="G518" s="10">
        <f>50.0512 * CHOOSE(CONTROL!$C$9, $D$9, 100%, $F$9) + CHOOSE(CONTROL!$C$27, 0.0021, 0)</f>
        <v>50.0533</v>
      </c>
      <c r="H518" s="10">
        <f>49.9165 * CHOOSE(CONTROL!$C$9, $D$9, 100%, $F$9) + CHOOSE(CONTROL!$C$27, 0.0021, 0)</f>
        <v>49.918599999999998</v>
      </c>
      <c r="I518" s="10">
        <f>49.9165 * CHOOSE(CONTROL!$C$9, $D$9, 100%, $F$9) + CHOOSE(CONTROL!$C$27, 0.0021, 0)</f>
        <v>49.918599999999998</v>
      </c>
      <c r="J518" s="10">
        <f>49.9165 * CHOOSE(CONTROL!$C$9, $D$9, 100%, $F$9) + CHOOSE(CONTROL!$C$27, 0.0021, 0)</f>
        <v>49.918599999999998</v>
      </c>
      <c r="K518" s="10">
        <f>49.9165 * CHOOSE(CONTROL!$C$9, $D$9, 100%, $F$9) + CHOOSE(CONTROL!$C$27, 0.0021, 0)</f>
        <v>49.918599999999998</v>
      </c>
      <c r="L518" s="10"/>
    </row>
    <row r="519" spans="1:12" ht="15.75">
      <c r="A519" s="13">
        <v>57100</v>
      </c>
      <c r="B519" s="10">
        <f>49.6509 * CHOOSE(CONTROL!$C$9, $D$9, 100%, $F$9) + CHOOSE(CONTROL!$C$27, 0.0021, 0)</f>
        <v>49.652999999999999</v>
      </c>
      <c r="C519" s="10">
        <f>49.2186 * CHOOSE(CONTROL!$C$9, $D$9, 100%, $F$9) + CHOOSE(CONTROL!$C$27, 0.0021, 0)</f>
        <v>49.220700000000001</v>
      </c>
      <c r="D519" s="10">
        <f>49.2186 * CHOOSE(CONTROL!$C$9, $D$9, 100%, $F$9) + CHOOSE(CONTROL!$C$27, 0.0021, 0)</f>
        <v>49.220700000000001</v>
      </c>
      <c r="E519" s="10">
        <f>49.082 * CHOOSE(CONTROL!$C$9, $D$9, 100%, $F$9) + CHOOSE(CONTROL!$C$27, 0.0021, 0)</f>
        <v>49.084099999999999</v>
      </c>
      <c r="F519" s="10">
        <f>49.082 * CHOOSE(CONTROL!$C$9, $D$9, 100%, $F$9) + CHOOSE(CONTROL!$C$27, 0.0021, 0)</f>
        <v>49.084099999999999</v>
      </c>
      <c r="G519" s="10">
        <f>49.3534 * CHOOSE(CONTROL!$C$9, $D$9, 100%, $F$9) + CHOOSE(CONTROL!$C$27, 0.0021, 0)</f>
        <v>49.355499999999999</v>
      </c>
      <c r="H519" s="10">
        <f>49.2186 * CHOOSE(CONTROL!$C$9, $D$9, 100%, $F$9) + CHOOSE(CONTROL!$C$27, 0.0021, 0)</f>
        <v>49.220700000000001</v>
      </c>
      <c r="I519" s="10">
        <f>49.2186 * CHOOSE(CONTROL!$C$9, $D$9, 100%, $F$9) + CHOOSE(CONTROL!$C$27, 0.0021, 0)</f>
        <v>49.220700000000001</v>
      </c>
      <c r="J519" s="10">
        <f>49.2186 * CHOOSE(CONTROL!$C$9, $D$9, 100%, $F$9) + CHOOSE(CONTROL!$C$27, 0.0021, 0)</f>
        <v>49.220700000000001</v>
      </c>
      <c r="K519" s="10">
        <f>49.2186 * CHOOSE(CONTROL!$C$9, $D$9, 100%, $F$9) + CHOOSE(CONTROL!$C$27, 0.0021, 0)</f>
        <v>49.220700000000001</v>
      </c>
      <c r="L519" s="10"/>
    </row>
    <row r="520" spans="1:12" ht="15.75">
      <c r="A520" s="13">
        <v>57131</v>
      </c>
      <c r="B520" s="10">
        <f>50.6454 * CHOOSE(CONTROL!$C$9, $D$9, 100%, $F$9) + CHOOSE(CONTROL!$C$27, 0.0021, 0)</f>
        <v>50.647500000000001</v>
      </c>
      <c r="C520" s="10">
        <f>50.2132 * CHOOSE(CONTROL!$C$9, $D$9, 100%, $F$9) + CHOOSE(CONTROL!$C$27, 0.0021, 0)</f>
        <v>50.215299999999999</v>
      </c>
      <c r="D520" s="10">
        <f>50.2132 * CHOOSE(CONTROL!$C$9, $D$9, 100%, $F$9) + CHOOSE(CONTROL!$C$27, 0.0021, 0)</f>
        <v>50.215299999999999</v>
      </c>
      <c r="E520" s="10">
        <f>50.0765 * CHOOSE(CONTROL!$C$9, $D$9, 100%, $F$9) + CHOOSE(CONTROL!$C$27, 0.0021, 0)</f>
        <v>50.078600000000002</v>
      </c>
      <c r="F520" s="10">
        <f>50.0765 * CHOOSE(CONTROL!$C$9, $D$9, 100%, $F$9) + CHOOSE(CONTROL!$C$27, 0.0021, 0)</f>
        <v>50.078600000000002</v>
      </c>
      <c r="G520" s="10">
        <f>50.3479 * CHOOSE(CONTROL!$C$9, $D$9, 100%, $F$9) + CHOOSE(CONTROL!$C$27, 0.0021, 0)</f>
        <v>50.35</v>
      </c>
      <c r="H520" s="10">
        <f>50.2132 * CHOOSE(CONTROL!$C$9, $D$9, 100%, $F$9) + CHOOSE(CONTROL!$C$27, 0.0021, 0)</f>
        <v>50.215299999999999</v>
      </c>
      <c r="I520" s="10">
        <f>50.2132 * CHOOSE(CONTROL!$C$9, $D$9, 100%, $F$9) + CHOOSE(CONTROL!$C$27, 0.0021, 0)</f>
        <v>50.215299999999999</v>
      </c>
      <c r="J520" s="10">
        <f>50.2132 * CHOOSE(CONTROL!$C$9, $D$9, 100%, $F$9) + CHOOSE(CONTROL!$C$27, 0.0021, 0)</f>
        <v>50.215299999999999</v>
      </c>
      <c r="K520" s="10">
        <f>50.2132 * CHOOSE(CONTROL!$C$9, $D$9, 100%, $F$9) + CHOOSE(CONTROL!$C$27, 0.0021, 0)</f>
        <v>50.215299999999999</v>
      </c>
      <c r="L520" s="10"/>
    </row>
    <row r="521" spans="1:12" ht="15.75">
      <c r="A521" s="13">
        <v>57161</v>
      </c>
      <c r="B521" s="10">
        <f>51.2411 * CHOOSE(CONTROL!$C$9, $D$9, 100%, $F$9) + CHOOSE(CONTROL!$C$27, 0.0021, 0)</f>
        <v>51.243200000000002</v>
      </c>
      <c r="C521" s="10">
        <f>50.8089 * CHOOSE(CONTROL!$C$9, $D$9, 100%, $F$9) + CHOOSE(CONTROL!$C$27, 0.0021, 0)</f>
        <v>50.811</v>
      </c>
      <c r="D521" s="10">
        <f>50.8089 * CHOOSE(CONTROL!$C$9, $D$9, 100%, $F$9) + CHOOSE(CONTROL!$C$27, 0.0021, 0)</f>
        <v>50.811</v>
      </c>
      <c r="E521" s="10">
        <f>50.6722 * CHOOSE(CONTROL!$C$9, $D$9, 100%, $F$9) + CHOOSE(CONTROL!$C$27, 0.0021, 0)</f>
        <v>50.674299999999995</v>
      </c>
      <c r="F521" s="10">
        <f>50.6722 * CHOOSE(CONTROL!$C$9, $D$9, 100%, $F$9) + CHOOSE(CONTROL!$C$27, 0.0021, 0)</f>
        <v>50.674299999999995</v>
      </c>
      <c r="G521" s="10">
        <f>50.9436 * CHOOSE(CONTROL!$C$9, $D$9, 100%, $F$9) + CHOOSE(CONTROL!$C$27, 0.0021, 0)</f>
        <v>50.945700000000002</v>
      </c>
      <c r="H521" s="10">
        <f>50.8089 * CHOOSE(CONTROL!$C$9, $D$9, 100%, $F$9) + CHOOSE(CONTROL!$C$27, 0.0021, 0)</f>
        <v>50.811</v>
      </c>
      <c r="I521" s="10">
        <f>50.8089 * CHOOSE(CONTROL!$C$9, $D$9, 100%, $F$9) + CHOOSE(CONTROL!$C$27, 0.0021, 0)</f>
        <v>50.811</v>
      </c>
      <c r="J521" s="10">
        <f>50.8089 * CHOOSE(CONTROL!$C$9, $D$9, 100%, $F$9) + CHOOSE(CONTROL!$C$27, 0.0021, 0)</f>
        <v>50.811</v>
      </c>
      <c r="K521" s="10">
        <f>50.8089 * CHOOSE(CONTROL!$C$9, $D$9, 100%, $F$9) + CHOOSE(CONTROL!$C$27, 0.0021, 0)</f>
        <v>50.811</v>
      </c>
      <c r="L521" s="10"/>
    </row>
    <row r="522" spans="1:12" ht="15.75">
      <c r="A522" s="13">
        <v>57192</v>
      </c>
      <c r="B522" s="10">
        <f>52.2238 * CHOOSE(CONTROL!$C$9, $D$9, 100%, $F$9) + CHOOSE(CONTROL!$C$27, 0.0021, 0)</f>
        <v>52.225899999999996</v>
      </c>
      <c r="C522" s="10">
        <f>51.7916 * CHOOSE(CONTROL!$C$9, $D$9, 100%, $F$9) + CHOOSE(CONTROL!$C$27, 0.0021, 0)</f>
        <v>51.793700000000001</v>
      </c>
      <c r="D522" s="10">
        <f>51.7916 * CHOOSE(CONTROL!$C$9, $D$9, 100%, $F$9) + CHOOSE(CONTROL!$C$27, 0.0021, 0)</f>
        <v>51.793700000000001</v>
      </c>
      <c r="E522" s="10">
        <f>51.6549 * CHOOSE(CONTROL!$C$9, $D$9, 100%, $F$9) + CHOOSE(CONTROL!$C$27, 0.0021, 0)</f>
        <v>51.656999999999996</v>
      </c>
      <c r="F522" s="10">
        <f>51.6549 * CHOOSE(CONTROL!$C$9, $D$9, 100%, $F$9) + CHOOSE(CONTROL!$C$27, 0.0021, 0)</f>
        <v>51.656999999999996</v>
      </c>
      <c r="G522" s="10">
        <f>51.9263 * CHOOSE(CONTROL!$C$9, $D$9, 100%, $F$9) + CHOOSE(CONTROL!$C$27, 0.0021, 0)</f>
        <v>51.928399999999996</v>
      </c>
      <c r="H522" s="10">
        <f>51.7916 * CHOOSE(CONTROL!$C$9, $D$9, 100%, $F$9) + CHOOSE(CONTROL!$C$27, 0.0021, 0)</f>
        <v>51.793700000000001</v>
      </c>
      <c r="I522" s="10">
        <f>51.7916 * CHOOSE(CONTROL!$C$9, $D$9, 100%, $F$9) + CHOOSE(CONTROL!$C$27, 0.0021, 0)</f>
        <v>51.793700000000001</v>
      </c>
      <c r="J522" s="10">
        <f>51.7916 * CHOOSE(CONTROL!$C$9, $D$9, 100%, $F$9) + CHOOSE(CONTROL!$C$27, 0.0021, 0)</f>
        <v>51.793700000000001</v>
      </c>
      <c r="K522" s="10">
        <f>51.7916 * CHOOSE(CONTROL!$C$9, $D$9, 100%, $F$9) + CHOOSE(CONTROL!$C$27, 0.0021, 0)</f>
        <v>51.793700000000001</v>
      </c>
      <c r="L522" s="10"/>
    </row>
    <row r="523" spans="1:12" ht="15.75">
      <c r="A523" s="13">
        <v>57223</v>
      </c>
      <c r="B523" s="10">
        <f>52.5238 * CHOOSE(CONTROL!$C$9, $D$9, 100%, $F$9) + CHOOSE(CONTROL!$C$27, 0.0021, 0)</f>
        <v>52.5259</v>
      </c>
      <c r="C523" s="10">
        <f>52.0915 * CHOOSE(CONTROL!$C$9, $D$9, 100%, $F$9) + CHOOSE(CONTROL!$C$27, 0.0021, 0)</f>
        <v>52.093600000000002</v>
      </c>
      <c r="D523" s="10">
        <f>52.0915 * CHOOSE(CONTROL!$C$9, $D$9, 100%, $F$9) + CHOOSE(CONTROL!$C$27, 0.0021, 0)</f>
        <v>52.093600000000002</v>
      </c>
      <c r="E523" s="10">
        <f>51.9548 * CHOOSE(CONTROL!$C$9, $D$9, 100%, $F$9) + CHOOSE(CONTROL!$C$27, 0.0021, 0)</f>
        <v>51.956899999999997</v>
      </c>
      <c r="F523" s="10">
        <f>51.9548 * CHOOSE(CONTROL!$C$9, $D$9, 100%, $F$9) + CHOOSE(CONTROL!$C$27, 0.0021, 0)</f>
        <v>51.956899999999997</v>
      </c>
      <c r="G523" s="10">
        <f>52.2262 * CHOOSE(CONTROL!$C$9, $D$9, 100%, $F$9) + CHOOSE(CONTROL!$C$27, 0.0021, 0)</f>
        <v>52.228299999999997</v>
      </c>
      <c r="H523" s="10">
        <f>52.0915 * CHOOSE(CONTROL!$C$9, $D$9, 100%, $F$9) + CHOOSE(CONTROL!$C$27, 0.0021, 0)</f>
        <v>52.093600000000002</v>
      </c>
      <c r="I523" s="10">
        <f>52.0915 * CHOOSE(CONTROL!$C$9, $D$9, 100%, $F$9) + CHOOSE(CONTROL!$C$27, 0.0021, 0)</f>
        <v>52.093600000000002</v>
      </c>
      <c r="J523" s="10">
        <f>52.0915 * CHOOSE(CONTROL!$C$9, $D$9, 100%, $F$9) + CHOOSE(CONTROL!$C$27, 0.0021, 0)</f>
        <v>52.093600000000002</v>
      </c>
      <c r="K523" s="10">
        <f>52.0915 * CHOOSE(CONTROL!$C$9, $D$9, 100%, $F$9) + CHOOSE(CONTROL!$C$27, 0.0021, 0)</f>
        <v>52.093600000000002</v>
      </c>
      <c r="L523" s="10"/>
    </row>
    <row r="524" spans="1:12" ht="15.75">
      <c r="A524" s="13">
        <v>57253</v>
      </c>
      <c r="B524" s="10">
        <f>53.5452 * CHOOSE(CONTROL!$C$9, $D$9, 100%, $F$9) + CHOOSE(CONTROL!$C$27, 0.0021, 0)</f>
        <v>53.5473</v>
      </c>
      <c r="C524" s="10">
        <f>53.113 * CHOOSE(CONTROL!$C$9, $D$9, 100%, $F$9) + CHOOSE(CONTROL!$C$27, 0.0021, 0)</f>
        <v>53.115099999999998</v>
      </c>
      <c r="D524" s="10">
        <f>53.113 * CHOOSE(CONTROL!$C$9, $D$9, 100%, $F$9) + CHOOSE(CONTROL!$C$27, 0.0021, 0)</f>
        <v>53.115099999999998</v>
      </c>
      <c r="E524" s="10">
        <f>52.9763 * CHOOSE(CONTROL!$C$9, $D$9, 100%, $F$9) + CHOOSE(CONTROL!$C$27, 0.0021, 0)</f>
        <v>52.978400000000001</v>
      </c>
      <c r="F524" s="10">
        <f>52.9763 * CHOOSE(CONTROL!$C$9, $D$9, 100%, $F$9) + CHOOSE(CONTROL!$C$27, 0.0021, 0)</f>
        <v>52.978400000000001</v>
      </c>
      <c r="G524" s="10">
        <f>53.2477 * CHOOSE(CONTROL!$C$9, $D$9, 100%, $F$9) + CHOOSE(CONTROL!$C$27, 0.0021, 0)</f>
        <v>53.2498</v>
      </c>
      <c r="H524" s="10">
        <f>53.113 * CHOOSE(CONTROL!$C$9, $D$9, 100%, $F$9) + CHOOSE(CONTROL!$C$27, 0.0021, 0)</f>
        <v>53.115099999999998</v>
      </c>
      <c r="I524" s="10">
        <f>53.113 * CHOOSE(CONTROL!$C$9, $D$9, 100%, $F$9) + CHOOSE(CONTROL!$C$27, 0.0021, 0)</f>
        <v>53.115099999999998</v>
      </c>
      <c r="J524" s="10">
        <f>53.113 * CHOOSE(CONTROL!$C$9, $D$9, 100%, $F$9) + CHOOSE(CONTROL!$C$27, 0.0021, 0)</f>
        <v>53.115099999999998</v>
      </c>
      <c r="K524" s="10">
        <f>53.113 * CHOOSE(CONTROL!$C$9, $D$9, 100%, $F$9) + CHOOSE(CONTROL!$C$27, 0.0021, 0)</f>
        <v>53.115099999999998</v>
      </c>
      <c r="L524" s="10"/>
    </row>
    <row r="525" spans="1:12" ht="15.75">
      <c r="A525" s="13">
        <v>57284</v>
      </c>
      <c r="B525" s="10">
        <f>54.8382 * CHOOSE(CONTROL!$C$9, $D$9, 100%, $F$9) + CHOOSE(CONTROL!$C$27, 0.0021, 0)</f>
        <v>54.840299999999999</v>
      </c>
      <c r="C525" s="10">
        <f>54.4059 * CHOOSE(CONTROL!$C$9, $D$9, 100%, $F$9) + CHOOSE(CONTROL!$C$27, 0.0021, 0)</f>
        <v>54.408000000000001</v>
      </c>
      <c r="D525" s="10">
        <f>54.4059 * CHOOSE(CONTROL!$C$9, $D$9, 100%, $F$9) + CHOOSE(CONTROL!$C$27, 0.0021, 0)</f>
        <v>54.408000000000001</v>
      </c>
      <c r="E525" s="10">
        <f>54.2693 * CHOOSE(CONTROL!$C$9, $D$9, 100%, $F$9) + CHOOSE(CONTROL!$C$27, 0.0021, 0)</f>
        <v>54.2714</v>
      </c>
      <c r="F525" s="10">
        <f>54.2693 * CHOOSE(CONTROL!$C$9, $D$9, 100%, $F$9) + CHOOSE(CONTROL!$C$27, 0.0021, 0)</f>
        <v>54.2714</v>
      </c>
      <c r="G525" s="10">
        <f>54.5407 * CHOOSE(CONTROL!$C$9, $D$9, 100%, $F$9) + CHOOSE(CONTROL!$C$27, 0.0021, 0)</f>
        <v>54.5428</v>
      </c>
      <c r="H525" s="10">
        <f>54.4059 * CHOOSE(CONTROL!$C$9, $D$9, 100%, $F$9) + CHOOSE(CONTROL!$C$27, 0.0021, 0)</f>
        <v>54.408000000000001</v>
      </c>
      <c r="I525" s="10">
        <f>54.4059 * CHOOSE(CONTROL!$C$9, $D$9, 100%, $F$9) + CHOOSE(CONTROL!$C$27, 0.0021, 0)</f>
        <v>54.408000000000001</v>
      </c>
      <c r="J525" s="10">
        <f>54.4059 * CHOOSE(CONTROL!$C$9, $D$9, 100%, $F$9) + CHOOSE(CONTROL!$C$27, 0.0021, 0)</f>
        <v>54.408000000000001</v>
      </c>
      <c r="K525" s="10">
        <f>54.4059 * CHOOSE(CONTROL!$C$9, $D$9, 100%, $F$9) + CHOOSE(CONTROL!$C$27, 0.0021, 0)</f>
        <v>54.408000000000001</v>
      </c>
      <c r="L525" s="10"/>
    </row>
    <row r="526" spans="1:12" ht="15.75">
      <c r="A526" s="13">
        <v>57314</v>
      </c>
      <c r="B526" s="10">
        <f>54.9596 * CHOOSE(CONTROL!$C$9, $D$9, 100%, $F$9) + CHOOSE(CONTROL!$C$27, 0.0021, 0)</f>
        <v>54.9617</v>
      </c>
      <c r="C526" s="10">
        <f>54.5273 * CHOOSE(CONTROL!$C$9, $D$9, 100%, $F$9) + CHOOSE(CONTROL!$C$27, 0.0021, 0)</f>
        <v>54.529399999999995</v>
      </c>
      <c r="D526" s="10">
        <f>54.5273 * CHOOSE(CONTROL!$C$9, $D$9, 100%, $F$9) + CHOOSE(CONTROL!$C$27, 0.0021, 0)</f>
        <v>54.529399999999995</v>
      </c>
      <c r="E526" s="10">
        <f>54.3907 * CHOOSE(CONTROL!$C$9, $D$9, 100%, $F$9) + CHOOSE(CONTROL!$C$27, 0.0021, 0)</f>
        <v>54.392800000000001</v>
      </c>
      <c r="F526" s="10">
        <f>54.3907 * CHOOSE(CONTROL!$C$9, $D$9, 100%, $F$9) + CHOOSE(CONTROL!$C$27, 0.0021, 0)</f>
        <v>54.392800000000001</v>
      </c>
      <c r="G526" s="10">
        <f>54.662 * CHOOSE(CONTROL!$C$9, $D$9, 100%, $F$9) + CHOOSE(CONTROL!$C$27, 0.0021, 0)</f>
        <v>54.664099999999998</v>
      </c>
      <c r="H526" s="10">
        <f>54.5273 * CHOOSE(CONTROL!$C$9, $D$9, 100%, $F$9) + CHOOSE(CONTROL!$C$27, 0.0021, 0)</f>
        <v>54.529399999999995</v>
      </c>
      <c r="I526" s="10">
        <f>54.5273 * CHOOSE(CONTROL!$C$9, $D$9, 100%, $F$9) + CHOOSE(CONTROL!$C$27, 0.0021, 0)</f>
        <v>54.529399999999995</v>
      </c>
      <c r="J526" s="10">
        <f>54.5273 * CHOOSE(CONTROL!$C$9, $D$9, 100%, $F$9) + CHOOSE(CONTROL!$C$27, 0.0021, 0)</f>
        <v>54.529399999999995</v>
      </c>
      <c r="K526" s="10">
        <f>54.5273 * CHOOSE(CONTROL!$C$9, $D$9, 100%, $F$9) + CHOOSE(CONTROL!$C$27, 0.0021, 0)</f>
        <v>54.529399999999995</v>
      </c>
      <c r="L526" s="10"/>
    </row>
    <row r="527" spans="1:12" ht="15.75">
      <c r="A527" s="13">
        <v>57345</v>
      </c>
      <c r="B527" s="10">
        <f>53.9269 * CHOOSE(CONTROL!$C$9, $D$9, 100%, $F$9) + CHOOSE(CONTROL!$C$27, 0.0021, 0)</f>
        <v>53.929000000000002</v>
      </c>
      <c r="C527" s="10">
        <f>53.4946 * CHOOSE(CONTROL!$C$9, $D$9, 100%, $F$9) + CHOOSE(CONTROL!$C$27, 0.0021, 0)</f>
        <v>53.496699999999997</v>
      </c>
      <c r="D527" s="10">
        <f>53.4946 * CHOOSE(CONTROL!$C$9, $D$9, 100%, $F$9) + CHOOSE(CONTROL!$C$27, 0.0021, 0)</f>
        <v>53.496699999999997</v>
      </c>
      <c r="E527" s="10">
        <f>53.358 * CHOOSE(CONTROL!$C$9, $D$9, 100%, $F$9) + CHOOSE(CONTROL!$C$27, 0.0021, 0)</f>
        <v>53.360099999999996</v>
      </c>
      <c r="F527" s="10">
        <f>53.358 * CHOOSE(CONTROL!$C$9, $D$9, 100%, $F$9) + CHOOSE(CONTROL!$C$27, 0.0021, 0)</f>
        <v>53.360099999999996</v>
      </c>
      <c r="G527" s="10">
        <f>53.6294 * CHOOSE(CONTROL!$C$9, $D$9, 100%, $F$9) + CHOOSE(CONTROL!$C$27, 0.0021, 0)</f>
        <v>53.631499999999996</v>
      </c>
      <c r="H527" s="10">
        <f>53.4946 * CHOOSE(CONTROL!$C$9, $D$9, 100%, $F$9) + CHOOSE(CONTROL!$C$27, 0.0021, 0)</f>
        <v>53.496699999999997</v>
      </c>
      <c r="I527" s="10">
        <f>53.4946 * CHOOSE(CONTROL!$C$9, $D$9, 100%, $F$9) + CHOOSE(CONTROL!$C$27, 0.0021, 0)</f>
        <v>53.496699999999997</v>
      </c>
      <c r="J527" s="10">
        <f>53.4946 * CHOOSE(CONTROL!$C$9, $D$9, 100%, $F$9) + CHOOSE(CONTROL!$C$27, 0.0021, 0)</f>
        <v>53.496699999999997</v>
      </c>
      <c r="K527" s="10">
        <f>53.4946 * CHOOSE(CONTROL!$C$9, $D$9, 100%, $F$9) + CHOOSE(CONTROL!$C$27, 0.0021, 0)</f>
        <v>53.496699999999997</v>
      </c>
      <c r="L527" s="10"/>
    </row>
    <row r="528" spans="1:12" ht="15.75">
      <c r="A528" s="13">
        <v>57376</v>
      </c>
      <c r="B528" s="10">
        <f>53.1362 * CHOOSE(CONTROL!$C$9, $D$9, 100%, $F$9) + CHOOSE(CONTROL!$C$27, 0.0021, 0)</f>
        <v>53.138300000000001</v>
      </c>
      <c r="C528" s="10">
        <f>52.704 * CHOOSE(CONTROL!$C$9, $D$9, 100%, $F$9) + CHOOSE(CONTROL!$C$27, 0.0021, 0)</f>
        <v>52.706099999999999</v>
      </c>
      <c r="D528" s="10">
        <f>52.704 * CHOOSE(CONTROL!$C$9, $D$9, 100%, $F$9) + CHOOSE(CONTROL!$C$27, 0.0021, 0)</f>
        <v>52.706099999999999</v>
      </c>
      <c r="E528" s="10">
        <f>52.5673 * CHOOSE(CONTROL!$C$9, $D$9, 100%, $F$9) + CHOOSE(CONTROL!$C$27, 0.0021, 0)</f>
        <v>52.569400000000002</v>
      </c>
      <c r="F528" s="10">
        <f>52.5673 * CHOOSE(CONTROL!$C$9, $D$9, 100%, $F$9) + CHOOSE(CONTROL!$C$27, 0.0021, 0)</f>
        <v>52.569400000000002</v>
      </c>
      <c r="G528" s="10">
        <f>52.8387 * CHOOSE(CONTROL!$C$9, $D$9, 100%, $F$9) + CHOOSE(CONTROL!$C$27, 0.0021, 0)</f>
        <v>52.840800000000002</v>
      </c>
      <c r="H528" s="10">
        <f>52.704 * CHOOSE(CONTROL!$C$9, $D$9, 100%, $F$9) + CHOOSE(CONTROL!$C$27, 0.0021, 0)</f>
        <v>52.706099999999999</v>
      </c>
      <c r="I528" s="10">
        <f>52.704 * CHOOSE(CONTROL!$C$9, $D$9, 100%, $F$9) + CHOOSE(CONTROL!$C$27, 0.0021, 0)</f>
        <v>52.706099999999999</v>
      </c>
      <c r="J528" s="10">
        <f>52.704 * CHOOSE(CONTROL!$C$9, $D$9, 100%, $F$9) + CHOOSE(CONTROL!$C$27, 0.0021, 0)</f>
        <v>52.706099999999999</v>
      </c>
      <c r="K528" s="10">
        <f>52.704 * CHOOSE(CONTROL!$C$9, $D$9, 100%, $F$9) + CHOOSE(CONTROL!$C$27, 0.0021, 0)</f>
        <v>52.706099999999999</v>
      </c>
      <c r="L528" s="10"/>
    </row>
    <row r="529" spans="1:12" ht="15.75">
      <c r="A529" s="13">
        <v>57404</v>
      </c>
      <c r="B529" s="10">
        <f>51.6981 * CHOOSE(CONTROL!$C$9, $D$9, 100%, $F$9) + CHOOSE(CONTROL!$C$27, 0.0021, 0)</f>
        <v>51.700199999999995</v>
      </c>
      <c r="C529" s="10">
        <f>51.2659 * CHOOSE(CONTROL!$C$9, $D$9, 100%, $F$9) + CHOOSE(CONTROL!$C$27, 0.0021, 0)</f>
        <v>51.268000000000001</v>
      </c>
      <c r="D529" s="10">
        <f>51.2659 * CHOOSE(CONTROL!$C$9, $D$9, 100%, $F$9) + CHOOSE(CONTROL!$C$27, 0.0021, 0)</f>
        <v>51.268000000000001</v>
      </c>
      <c r="E529" s="10">
        <f>51.1292 * CHOOSE(CONTROL!$C$9, $D$9, 100%, $F$9) + CHOOSE(CONTROL!$C$27, 0.0021, 0)</f>
        <v>51.131299999999996</v>
      </c>
      <c r="F529" s="10">
        <f>51.1292 * CHOOSE(CONTROL!$C$9, $D$9, 100%, $F$9) + CHOOSE(CONTROL!$C$27, 0.0021, 0)</f>
        <v>51.131299999999996</v>
      </c>
      <c r="G529" s="10">
        <f>51.4006 * CHOOSE(CONTROL!$C$9, $D$9, 100%, $F$9) + CHOOSE(CONTROL!$C$27, 0.0021, 0)</f>
        <v>51.402699999999996</v>
      </c>
      <c r="H529" s="10">
        <f>51.2659 * CHOOSE(CONTROL!$C$9, $D$9, 100%, $F$9) + CHOOSE(CONTROL!$C$27, 0.0021, 0)</f>
        <v>51.268000000000001</v>
      </c>
      <c r="I529" s="10">
        <f>51.2659 * CHOOSE(CONTROL!$C$9, $D$9, 100%, $F$9) + CHOOSE(CONTROL!$C$27, 0.0021, 0)</f>
        <v>51.268000000000001</v>
      </c>
      <c r="J529" s="10">
        <f>51.2659 * CHOOSE(CONTROL!$C$9, $D$9, 100%, $F$9) + CHOOSE(CONTROL!$C$27, 0.0021, 0)</f>
        <v>51.268000000000001</v>
      </c>
      <c r="K529" s="10">
        <f>51.2659 * CHOOSE(CONTROL!$C$9, $D$9, 100%, $F$9) + CHOOSE(CONTROL!$C$27, 0.0021, 0)</f>
        <v>51.268000000000001</v>
      </c>
      <c r="L529" s="10"/>
    </row>
    <row r="530" spans="1:12" ht="15.75">
      <c r="A530" s="13">
        <v>57435</v>
      </c>
      <c r="B530" s="10">
        <f>51.1044 * CHOOSE(CONTROL!$C$9, $D$9, 100%, $F$9) + CHOOSE(CONTROL!$C$27, 0.0021, 0)</f>
        <v>51.106499999999997</v>
      </c>
      <c r="C530" s="10">
        <f>50.6722 * CHOOSE(CONTROL!$C$9, $D$9, 100%, $F$9) + CHOOSE(CONTROL!$C$27, 0.0021, 0)</f>
        <v>50.674299999999995</v>
      </c>
      <c r="D530" s="10">
        <f>50.6722 * CHOOSE(CONTROL!$C$9, $D$9, 100%, $F$9) + CHOOSE(CONTROL!$C$27, 0.0021, 0)</f>
        <v>50.674299999999995</v>
      </c>
      <c r="E530" s="10">
        <f>50.5355 * CHOOSE(CONTROL!$C$9, $D$9, 100%, $F$9) + CHOOSE(CONTROL!$C$27, 0.0021, 0)</f>
        <v>50.537599999999998</v>
      </c>
      <c r="F530" s="10">
        <f>50.5355 * CHOOSE(CONTROL!$C$9, $D$9, 100%, $F$9) + CHOOSE(CONTROL!$C$27, 0.0021, 0)</f>
        <v>50.537599999999998</v>
      </c>
      <c r="G530" s="10">
        <f>50.8069 * CHOOSE(CONTROL!$C$9, $D$9, 100%, $F$9) + CHOOSE(CONTROL!$C$27, 0.0021, 0)</f>
        <v>50.808999999999997</v>
      </c>
      <c r="H530" s="10">
        <f>50.6722 * CHOOSE(CONTROL!$C$9, $D$9, 100%, $F$9) + CHOOSE(CONTROL!$C$27, 0.0021, 0)</f>
        <v>50.674299999999995</v>
      </c>
      <c r="I530" s="10">
        <f>50.6722 * CHOOSE(CONTROL!$C$9, $D$9, 100%, $F$9) + CHOOSE(CONTROL!$C$27, 0.0021, 0)</f>
        <v>50.674299999999995</v>
      </c>
      <c r="J530" s="10">
        <f>50.6722 * CHOOSE(CONTROL!$C$9, $D$9, 100%, $F$9) + CHOOSE(CONTROL!$C$27, 0.0021, 0)</f>
        <v>50.674299999999995</v>
      </c>
      <c r="K530" s="10">
        <f>50.6722 * CHOOSE(CONTROL!$C$9, $D$9, 100%, $F$9) + CHOOSE(CONTROL!$C$27, 0.0021, 0)</f>
        <v>50.674299999999995</v>
      </c>
      <c r="L530" s="10"/>
    </row>
    <row r="531" spans="1:12" ht="15.75">
      <c r="A531" s="13">
        <v>57465</v>
      </c>
      <c r="B531" s="10">
        <f>50.3956 * CHOOSE(CONTROL!$C$9, $D$9, 100%, $F$9) + CHOOSE(CONTROL!$C$27, 0.0021, 0)</f>
        <v>50.3977</v>
      </c>
      <c r="C531" s="10">
        <f>49.9633 * CHOOSE(CONTROL!$C$9, $D$9, 100%, $F$9) + CHOOSE(CONTROL!$C$27, 0.0021, 0)</f>
        <v>49.965399999999995</v>
      </c>
      <c r="D531" s="10">
        <f>49.9633 * CHOOSE(CONTROL!$C$9, $D$9, 100%, $F$9) + CHOOSE(CONTROL!$C$27, 0.0021, 0)</f>
        <v>49.965399999999995</v>
      </c>
      <c r="E531" s="10">
        <f>49.8267 * CHOOSE(CONTROL!$C$9, $D$9, 100%, $F$9) + CHOOSE(CONTROL!$C$27, 0.0021, 0)</f>
        <v>49.828800000000001</v>
      </c>
      <c r="F531" s="10">
        <f>49.8267 * CHOOSE(CONTROL!$C$9, $D$9, 100%, $F$9) + CHOOSE(CONTROL!$C$27, 0.0021, 0)</f>
        <v>49.828800000000001</v>
      </c>
      <c r="G531" s="10">
        <f>50.0981 * CHOOSE(CONTROL!$C$9, $D$9, 100%, $F$9) + CHOOSE(CONTROL!$C$27, 0.0021, 0)</f>
        <v>50.100200000000001</v>
      </c>
      <c r="H531" s="10">
        <f>49.9633 * CHOOSE(CONTROL!$C$9, $D$9, 100%, $F$9) + CHOOSE(CONTROL!$C$27, 0.0021, 0)</f>
        <v>49.965399999999995</v>
      </c>
      <c r="I531" s="10">
        <f>49.9633 * CHOOSE(CONTROL!$C$9, $D$9, 100%, $F$9) + CHOOSE(CONTROL!$C$27, 0.0021, 0)</f>
        <v>49.965399999999995</v>
      </c>
      <c r="J531" s="10">
        <f>49.9633 * CHOOSE(CONTROL!$C$9, $D$9, 100%, $F$9) + CHOOSE(CONTROL!$C$27, 0.0021, 0)</f>
        <v>49.965399999999995</v>
      </c>
      <c r="K531" s="10">
        <f>49.9633 * CHOOSE(CONTROL!$C$9, $D$9, 100%, $F$9) + CHOOSE(CONTROL!$C$27, 0.0021, 0)</f>
        <v>49.965399999999995</v>
      </c>
      <c r="L531" s="10"/>
    </row>
    <row r="532" spans="1:12" ht="15.75">
      <c r="A532" s="13">
        <v>57496</v>
      </c>
      <c r="B532" s="10">
        <f>51.4058 * CHOOSE(CONTROL!$C$9, $D$9, 100%, $F$9) + CHOOSE(CONTROL!$C$27, 0.0021, 0)</f>
        <v>51.407899999999998</v>
      </c>
      <c r="C532" s="10">
        <f>50.9735 * CHOOSE(CONTROL!$C$9, $D$9, 100%, $F$9) + CHOOSE(CONTROL!$C$27, 0.0021, 0)</f>
        <v>50.9756</v>
      </c>
      <c r="D532" s="10">
        <f>50.9735 * CHOOSE(CONTROL!$C$9, $D$9, 100%, $F$9) + CHOOSE(CONTROL!$C$27, 0.0021, 0)</f>
        <v>50.9756</v>
      </c>
      <c r="E532" s="10">
        <f>50.8369 * CHOOSE(CONTROL!$C$9, $D$9, 100%, $F$9) + CHOOSE(CONTROL!$C$27, 0.0021, 0)</f>
        <v>50.838999999999999</v>
      </c>
      <c r="F532" s="10">
        <f>50.8369 * CHOOSE(CONTROL!$C$9, $D$9, 100%, $F$9) + CHOOSE(CONTROL!$C$27, 0.0021, 0)</f>
        <v>50.838999999999999</v>
      </c>
      <c r="G532" s="10">
        <f>51.1083 * CHOOSE(CONTROL!$C$9, $D$9, 100%, $F$9) + CHOOSE(CONTROL!$C$27, 0.0021, 0)</f>
        <v>51.110399999999998</v>
      </c>
      <c r="H532" s="10">
        <f>50.9735 * CHOOSE(CONTROL!$C$9, $D$9, 100%, $F$9) + CHOOSE(CONTROL!$C$27, 0.0021, 0)</f>
        <v>50.9756</v>
      </c>
      <c r="I532" s="10">
        <f>50.9735 * CHOOSE(CONTROL!$C$9, $D$9, 100%, $F$9) + CHOOSE(CONTROL!$C$27, 0.0021, 0)</f>
        <v>50.9756</v>
      </c>
      <c r="J532" s="10">
        <f>50.9735 * CHOOSE(CONTROL!$C$9, $D$9, 100%, $F$9) + CHOOSE(CONTROL!$C$27, 0.0021, 0)</f>
        <v>50.9756</v>
      </c>
      <c r="K532" s="10">
        <f>50.9735 * CHOOSE(CONTROL!$C$9, $D$9, 100%, $F$9) + CHOOSE(CONTROL!$C$27, 0.0021, 0)</f>
        <v>50.9756</v>
      </c>
      <c r="L532" s="10"/>
    </row>
    <row r="533" spans="1:12" ht="15.75">
      <c r="A533" s="13">
        <v>57526</v>
      </c>
      <c r="B533" s="10">
        <f>52.0108 * CHOOSE(CONTROL!$C$9, $D$9, 100%, $F$9) + CHOOSE(CONTROL!$C$27, 0.0021, 0)</f>
        <v>52.012900000000002</v>
      </c>
      <c r="C533" s="10">
        <f>51.5786 * CHOOSE(CONTROL!$C$9, $D$9, 100%, $F$9) + CHOOSE(CONTROL!$C$27, 0.0021, 0)</f>
        <v>51.5807</v>
      </c>
      <c r="D533" s="10">
        <f>51.5786 * CHOOSE(CONTROL!$C$9, $D$9, 100%, $F$9) + CHOOSE(CONTROL!$C$27, 0.0021, 0)</f>
        <v>51.5807</v>
      </c>
      <c r="E533" s="10">
        <f>51.4419 * CHOOSE(CONTROL!$C$9, $D$9, 100%, $F$9) + CHOOSE(CONTROL!$C$27, 0.0021, 0)</f>
        <v>51.443999999999996</v>
      </c>
      <c r="F533" s="10">
        <f>51.4419 * CHOOSE(CONTROL!$C$9, $D$9, 100%, $F$9) + CHOOSE(CONTROL!$C$27, 0.0021, 0)</f>
        <v>51.443999999999996</v>
      </c>
      <c r="G533" s="10">
        <f>51.7133 * CHOOSE(CONTROL!$C$9, $D$9, 100%, $F$9) + CHOOSE(CONTROL!$C$27, 0.0021, 0)</f>
        <v>51.715399999999995</v>
      </c>
      <c r="H533" s="10">
        <f>51.5786 * CHOOSE(CONTROL!$C$9, $D$9, 100%, $F$9) + CHOOSE(CONTROL!$C$27, 0.0021, 0)</f>
        <v>51.5807</v>
      </c>
      <c r="I533" s="10">
        <f>51.5786 * CHOOSE(CONTROL!$C$9, $D$9, 100%, $F$9) + CHOOSE(CONTROL!$C$27, 0.0021, 0)</f>
        <v>51.5807</v>
      </c>
      <c r="J533" s="10">
        <f>51.5786 * CHOOSE(CONTROL!$C$9, $D$9, 100%, $F$9) + CHOOSE(CONTROL!$C$27, 0.0021, 0)</f>
        <v>51.5807</v>
      </c>
      <c r="K533" s="10">
        <f>51.5786 * CHOOSE(CONTROL!$C$9, $D$9, 100%, $F$9) + CHOOSE(CONTROL!$C$27, 0.0021, 0)</f>
        <v>51.5807</v>
      </c>
      <c r="L533" s="10"/>
    </row>
    <row r="534" spans="1:12" ht="15.75">
      <c r="A534" s="13">
        <v>57557</v>
      </c>
      <c r="B534" s="10">
        <f>53.009 * CHOOSE(CONTROL!$C$9, $D$9, 100%, $F$9) + CHOOSE(CONTROL!$C$27, 0.0021, 0)</f>
        <v>53.011099999999999</v>
      </c>
      <c r="C534" s="10">
        <f>52.5767 * CHOOSE(CONTROL!$C$9, $D$9, 100%, $F$9) + CHOOSE(CONTROL!$C$27, 0.0021, 0)</f>
        <v>52.578800000000001</v>
      </c>
      <c r="D534" s="10">
        <f>52.5767 * CHOOSE(CONTROL!$C$9, $D$9, 100%, $F$9) + CHOOSE(CONTROL!$C$27, 0.0021, 0)</f>
        <v>52.578800000000001</v>
      </c>
      <c r="E534" s="10">
        <f>52.4401 * CHOOSE(CONTROL!$C$9, $D$9, 100%, $F$9) + CHOOSE(CONTROL!$C$27, 0.0021, 0)</f>
        <v>52.4422</v>
      </c>
      <c r="F534" s="10">
        <f>52.4401 * CHOOSE(CONTROL!$C$9, $D$9, 100%, $F$9) + CHOOSE(CONTROL!$C$27, 0.0021, 0)</f>
        <v>52.4422</v>
      </c>
      <c r="G534" s="10">
        <f>52.7114 * CHOOSE(CONTROL!$C$9, $D$9, 100%, $F$9) + CHOOSE(CONTROL!$C$27, 0.0021, 0)</f>
        <v>52.713499999999996</v>
      </c>
      <c r="H534" s="10">
        <f>52.5767 * CHOOSE(CONTROL!$C$9, $D$9, 100%, $F$9) + CHOOSE(CONTROL!$C$27, 0.0021, 0)</f>
        <v>52.578800000000001</v>
      </c>
      <c r="I534" s="10">
        <f>52.5767 * CHOOSE(CONTROL!$C$9, $D$9, 100%, $F$9) + CHOOSE(CONTROL!$C$27, 0.0021, 0)</f>
        <v>52.578800000000001</v>
      </c>
      <c r="J534" s="10">
        <f>52.5767 * CHOOSE(CONTROL!$C$9, $D$9, 100%, $F$9) + CHOOSE(CONTROL!$C$27, 0.0021, 0)</f>
        <v>52.578800000000001</v>
      </c>
      <c r="K534" s="10">
        <f>52.5767 * CHOOSE(CONTROL!$C$9, $D$9, 100%, $F$9) + CHOOSE(CONTROL!$C$27, 0.0021, 0)</f>
        <v>52.578800000000001</v>
      </c>
      <c r="L534" s="10"/>
    </row>
    <row r="535" spans="1:12" ht="15.75">
      <c r="A535" s="13">
        <v>57588</v>
      </c>
      <c r="B535" s="10">
        <f>53.3136 * CHOOSE(CONTROL!$C$9, $D$9, 100%, $F$9) + CHOOSE(CONTROL!$C$27, 0.0021, 0)</f>
        <v>53.3157</v>
      </c>
      <c r="C535" s="10">
        <f>52.8814 * CHOOSE(CONTROL!$C$9, $D$9, 100%, $F$9) + CHOOSE(CONTROL!$C$27, 0.0021, 0)</f>
        <v>52.883499999999998</v>
      </c>
      <c r="D535" s="10">
        <f>52.8814 * CHOOSE(CONTROL!$C$9, $D$9, 100%, $F$9) + CHOOSE(CONTROL!$C$27, 0.0021, 0)</f>
        <v>52.883499999999998</v>
      </c>
      <c r="E535" s="10">
        <f>52.7447 * CHOOSE(CONTROL!$C$9, $D$9, 100%, $F$9) + CHOOSE(CONTROL!$C$27, 0.0021, 0)</f>
        <v>52.7468</v>
      </c>
      <c r="F535" s="10">
        <f>52.7447 * CHOOSE(CONTROL!$C$9, $D$9, 100%, $F$9) + CHOOSE(CONTROL!$C$27, 0.0021, 0)</f>
        <v>52.7468</v>
      </c>
      <c r="G535" s="10">
        <f>53.0161 * CHOOSE(CONTROL!$C$9, $D$9, 100%, $F$9) + CHOOSE(CONTROL!$C$27, 0.0021, 0)</f>
        <v>53.0182</v>
      </c>
      <c r="H535" s="10">
        <f>52.8814 * CHOOSE(CONTROL!$C$9, $D$9, 100%, $F$9) + CHOOSE(CONTROL!$C$27, 0.0021, 0)</f>
        <v>52.883499999999998</v>
      </c>
      <c r="I535" s="10">
        <f>52.8814 * CHOOSE(CONTROL!$C$9, $D$9, 100%, $F$9) + CHOOSE(CONTROL!$C$27, 0.0021, 0)</f>
        <v>52.883499999999998</v>
      </c>
      <c r="J535" s="10">
        <f>52.8814 * CHOOSE(CONTROL!$C$9, $D$9, 100%, $F$9) + CHOOSE(CONTROL!$C$27, 0.0021, 0)</f>
        <v>52.883499999999998</v>
      </c>
      <c r="K535" s="10">
        <f>52.8814 * CHOOSE(CONTROL!$C$9, $D$9, 100%, $F$9) + CHOOSE(CONTROL!$C$27, 0.0021, 0)</f>
        <v>52.883499999999998</v>
      </c>
      <c r="L535" s="10"/>
    </row>
    <row r="536" spans="1:12" ht="15.75">
      <c r="A536" s="13">
        <v>57618</v>
      </c>
      <c r="B536" s="10">
        <f>54.3512 * CHOOSE(CONTROL!$C$9, $D$9, 100%, $F$9) + CHOOSE(CONTROL!$C$27, 0.0021, 0)</f>
        <v>54.353299999999997</v>
      </c>
      <c r="C536" s="10">
        <f>53.9189 * CHOOSE(CONTROL!$C$9, $D$9, 100%, $F$9) + CHOOSE(CONTROL!$C$27, 0.0021, 0)</f>
        <v>53.920999999999999</v>
      </c>
      <c r="D536" s="10">
        <f>53.9189 * CHOOSE(CONTROL!$C$9, $D$9, 100%, $F$9) + CHOOSE(CONTROL!$C$27, 0.0021, 0)</f>
        <v>53.920999999999999</v>
      </c>
      <c r="E536" s="10">
        <f>53.7823 * CHOOSE(CONTROL!$C$9, $D$9, 100%, $F$9) + CHOOSE(CONTROL!$C$27, 0.0021, 0)</f>
        <v>53.784399999999998</v>
      </c>
      <c r="F536" s="10">
        <f>53.7823 * CHOOSE(CONTROL!$C$9, $D$9, 100%, $F$9) + CHOOSE(CONTROL!$C$27, 0.0021, 0)</f>
        <v>53.784399999999998</v>
      </c>
      <c r="G536" s="10">
        <f>54.0536 * CHOOSE(CONTROL!$C$9, $D$9, 100%, $F$9) + CHOOSE(CONTROL!$C$27, 0.0021, 0)</f>
        <v>54.055700000000002</v>
      </c>
      <c r="H536" s="10">
        <f>53.9189 * CHOOSE(CONTROL!$C$9, $D$9, 100%, $F$9) + CHOOSE(CONTROL!$C$27, 0.0021, 0)</f>
        <v>53.920999999999999</v>
      </c>
      <c r="I536" s="10">
        <f>53.9189 * CHOOSE(CONTROL!$C$9, $D$9, 100%, $F$9) + CHOOSE(CONTROL!$C$27, 0.0021, 0)</f>
        <v>53.920999999999999</v>
      </c>
      <c r="J536" s="10">
        <f>53.9189 * CHOOSE(CONTROL!$C$9, $D$9, 100%, $F$9) + CHOOSE(CONTROL!$C$27, 0.0021, 0)</f>
        <v>53.920999999999999</v>
      </c>
      <c r="K536" s="10">
        <f>53.9189 * CHOOSE(CONTROL!$C$9, $D$9, 100%, $F$9) + CHOOSE(CONTROL!$C$27, 0.0021, 0)</f>
        <v>53.920999999999999</v>
      </c>
      <c r="L536" s="10"/>
    </row>
    <row r="537" spans="1:12" ht="15.75">
      <c r="A537" s="13">
        <v>57649</v>
      </c>
      <c r="B537" s="10">
        <f>55.6645 * CHOOSE(CONTROL!$C$9, $D$9, 100%, $F$9) + CHOOSE(CONTROL!$C$27, 0.0021, 0)</f>
        <v>55.666599999999995</v>
      </c>
      <c r="C537" s="10">
        <f>55.2322 * CHOOSE(CONTROL!$C$9, $D$9, 100%, $F$9) + CHOOSE(CONTROL!$C$27, 0.0021, 0)</f>
        <v>55.234299999999998</v>
      </c>
      <c r="D537" s="10">
        <f>55.2322 * CHOOSE(CONTROL!$C$9, $D$9, 100%, $F$9) + CHOOSE(CONTROL!$C$27, 0.0021, 0)</f>
        <v>55.234299999999998</v>
      </c>
      <c r="E537" s="10">
        <f>55.0956 * CHOOSE(CONTROL!$C$9, $D$9, 100%, $F$9) + CHOOSE(CONTROL!$C$27, 0.0021, 0)</f>
        <v>55.097699999999996</v>
      </c>
      <c r="F537" s="10">
        <f>55.0956 * CHOOSE(CONTROL!$C$9, $D$9, 100%, $F$9) + CHOOSE(CONTROL!$C$27, 0.0021, 0)</f>
        <v>55.097699999999996</v>
      </c>
      <c r="G537" s="10">
        <f>55.3669 * CHOOSE(CONTROL!$C$9, $D$9, 100%, $F$9) + CHOOSE(CONTROL!$C$27, 0.0021, 0)</f>
        <v>55.369</v>
      </c>
      <c r="H537" s="10">
        <f>55.2322 * CHOOSE(CONTROL!$C$9, $D$9, 100%, $F$9) + CHOOSE(CONTROL!$C$27, 0.0021, 0)</f>
        <v>55.234299999999998</v>
      </c>
      <c r="I537" s="10">
        <f>55.2322 * CHOOSE(CONTROL!$C$9, $D$9, 100%, $F$9) + CHOOSE(CONTROL!$C$27, 0.0021, 0)</f>
        <v>55.234299999999998</v>
      </c>
      <c r="J537" s="10">
        <f>55.2322 * CHOOSE(CONTROL!$C$9, $D$9, 100%, $F$9) + CHOOSE(CONTROL!$C$27, 0.0021, 0)</f>
        <v>55.234299999999998</v>
      </c>
      <c r="K537" s="10">
        <f>55.2322 * CHOOSE(CONTROL!$C$9, $D$9, 100%, $F$9) + CHOOSE(CONTROL!$C$27, 0.0021, 0)</f>
        <v>55.234299999999998</v>
      </c>
      <c r="L537" s="10"/>
    </row>
    <row r="538" spans="1:12" ht="15.75">
      <c r="A538" s="13">
        <v>57679</v>
      </c>
      <c r="B538" s="10">
        <f>55.7878 * CHOOSE(CONTROL!$C$9, $D$9, 100%, $F$9) + CHOOSE(CONTROL!$C$27, 0.0021, 0)</f>
        <v>55.789899999999996</v>
      </c>
      <c r="C538" s="10">
        <f>55.3555 * CHOOSE(CONTROL!$C$9, $D$9, 100%, $F$9) + CHOOSE(CONTROL!$C$27, 0.0021, 0)</f>
        <v>55.357599999999998</v>
      </c>
      <c r="D538" s="10">
        <f>55.3555 * CHOOSE(CONTROL!$C$9, $D$9, 100%, $F$9) + CHOOSE(CONTROL!$C$27, 0.0021, 0)</f>
        <v>55.357599999999998</v>
      </c>
      <c r="E538" s="10">
        <f>55.2189 * CHOOSE(CONTROL!$C$9, $D$9, 100%, $F$9) + CHOOSE(CONTROL!$C$27, 0.0021, 0)</f>
        <v>55.220999999999997</v>
      </c>
      <c r="F538" s="10">
        <f>55.2189 * CHOOSE(CONTROL!$C$9, $D$9, 100%, $F$9) + CHOOSE(CONTROL!$C$27, 0.0021, 0)</f>
        <v>55.220999999999997</v>
      </c>
      <c r="G538" s="10">
        <f>55.4902 * CHOOSE(CONTROL!$C$9, $D$9, 100%, $F$9) + CHOOSE(CONTROL!$C$27, 0.0021, 0)</f>
        <v>55.4923</v>
      </c>
      <c r="H538" s="10">
        <f>55.3555 * CHOOSE(CONTROL!$C$9, $D$9, 100%, $F$9) + CHOOSE(CONTROL!$C$27, 0.0021, 0)</f>
        <v>55.357599999999998</v>
      </c>
      <c r="I538" s="10">
        <f>55.3555 * CHOOSE(CONTROL!$C$9, $D$9, 100%, $F$9) + CHOOSE(CONTROL!$C$27, 0.0021, 0)</f>
        <v>55.357599999999998</v>
      </c>
      <c r="J538" s="10">
        <f>55.3555 * CHOOSE(CONTROL!$C$9, $D$9, 100%, $F$9) + CHOOSE(CONTROL!$C$27, 0.0021, 0)</f>
        <v>55.357599999999998</v>
      </c>
      <c r="K538" s="10">
        <f>55.3555 * CHOOSE(CONTROL!$C$9, $D$9, 100%, $F$9) + CHOOSE(CONTROL!$C$27, 0.0021, 0)</f>
        <v>55.357599999999998</v>
      </c>
      <c r="L538" s="10"/>
    </row>
    <row r="539" spans="1:12" ht="15.75">
      <c r="A539" s="13">
        <v>57710</v>
      </c>
      <c r="B539" s="10">
        <f>54.7388 * CHOOSE(CONTROL!$C$9, $D$9, 100%, $F$9) + CHOOSE(CONTROL!$C$27, 0.0021, 0)</f>
        <v>54.740899999999996</v>
      </c>
      <c r="C539" s="10">
        <f>54.3066 * CHOOSE(CONTROL!$C$9, $D$9, 100%, $F$9) + CHOOSE(CONTROL!$C$27, 0.0021, 0)</f>
        <v>54.308700000000002</v>
      </c>
      <c r="D539" s="10">
        <f>54.3066 * CHOOSE(CONTROL!$C$9, $D$9, 100%, $F$9) + CHOOSE(CONTROL!$C$27, 0.0021, 0)</f>
        <v>54.308700000000002</v>
      </c>
      <c r="E539" s="10">
        <f>54.1699 * CHOOSE(CONTROL!$C$9, $D$9, 100%, $F$9) + CHOOSE(CONTROL!$C$27, 0.0021, 0)</f>
        <v>54.171999999999997</v>
      </c>
      <c r="F539" s="10">
        <f>54.1699 * CHOOSE(CONTROL!$C$9, $D$9, 100%, $F$9) + CHOOSE(CONTROL!$C$27, 0.0021, 0)</f>
        <v>54.171999999999997</v>
      </c>
      <c r="G539" s="10">
        <f>54.4413 * CHOOSE(CONTROL!$C$9, $D$9, 100%, $F$9) + CHOOSE(CONTROL!$C$27, 0.0021, 0)</f>
        <v>54.443399999999997</v>
      </c>
      <c r="H539" s="10">
        <f>54.3066 * CHOOSE(CONTROL!$C$9, $D$9, 100%, $F$9) + CHOOSE(CONTROL!$C$27, 0.0021, 0)</f>
        <v>54.308700000000002</v>
      </c>
      <c r="I539" s="10">
        <f>54.3066 * CHOOSE(CONTROL!$C$9, $D$9, 100%, $F$9) + CHOOSE(CONTROL!$C$27, 0.0021, 0)</f>
        <v>54.308700000000002</v>
      </c>
      <c r="J539" s="10">
        <f>54.3066 * CHOOSE(CONTROL!$C$9, $D$9, 100%, $F$9) + CHOOSE(CONTROL!$C$27, 0.0021, 0)</f>
        <v>54.308700000000002</v>
      </c>
      <c r="K539" s="10">
        <f>54.3066 * CHOOSE(CONTROL!$C$9, $D$9, 100%, $F$9) + CHOOSE(CONTROL!$C$27, 0.0021, 0)</f>
        <v>54.308700000000002</v>
      </c>
      <c r="L539" s="10"/>
    </row>
    <row r="540" spans="1:12" ht="15.75">
      <c r="A540" s="13">
        <v>57741</v>
      </c>
      <c r="B540" s="10">
        <f>53.9358 * CHOOSE(CONTROL!$C$9, $D$9, 100%, $F$9) + CHOOSE(CONTROL!$C$27, 0.0021, 0)</f>
        <v>53.937899999999999</v>
      </c>
      <c r="C540" s="10">
        <f>53.5035 * CHOOSE(CONTROL!$C$9, $D$9, 100%, $F$9) + CHOOSE(CONTROL!$C$27, 0.0021, 0)</f>
        <v>53.505600000000001</v>
      </c>
      <c r="D540" s="10">
        <f>53.5035 * CHOOSE(CONTROL!$C$9, $D$9, 100%, $F$9) + CHOOSE(CONTROL!$C$27, 0.0021, 0)</f>
        <v>53.505600000000001</v>
      </c>
      <c r="E540" s="10">
        <f>53.3669 * CHOOSE(CONTROL!$C$9, $D$9, 100%, $F$9) + CHOOSE(CONTROL!$C$27, 0.0021, 0)</f>
        <v>53.369</v>
      </c>
      <c r="F540" s="10">
        <f>53.3669 * CHOOSE(CONTROL!$C$9, $D$9, 100%, $F$9) + CHOOSE(CONTROL!$C$27, 0.0021, 0)</f>
        <v>53.369</v>
      </c>
      <c r="G540" s="10">
        <f>53.6382 * CHOOSE(CONTROL!$C$9, $D$9, 100%, $F$9) + CHOOSE(CONTROL!$C$27, 0.0021, 0)</f>
        <v>53.640299999999996</v>
      </c>
      <c r="H540" s="10">
        <f>53.5035 * CHOOSE(CONTROL!$C$9, $D$9, 100%, $F$9) + CHOOSE(CONTROL!$C$27, 0.0021, 0)</f>
        <v>53.505600000000001</v>
      </c>
      <c r="I540" s="10">
        <f>53.5035 * CHOOSE(CONTROL!$C$9, $D$9, 100%, $F$9) + CHOOSE(CONTROL!$C$27, 0.0021, 0)</f>
        <v>53.505600000000001</v>
      </c>
      <c r="J540" s="10">
        <f>53.5035 * CHOOSE(CONTROL!$C$9, $D$9, 100%, $F$9) + CHOOSE(CONTROL!$C$27, 0.0021, 0)</f>
        <v>53.505600000000001</v>
      </c>
      <c r="K540" s="10">
        <f>53.5035 * CHOOSE(CONTROL!$C$9, $D$9, 100%, $F$9) + CHOOSE(CONTROL!$C$27, 0.0021, 0)</f>
        <v>53.505600000000001</v>
      </c>
      <c r="L540" s="10"/>
    </row>
    <row r="541" spans="1:12" ht="15.75">
      <c r="A541" s="13">
        <v>57769</v>
      </c>
      <c r="B541" s="10">
        <f>52.475 * CHOOSE(CONTROL!$C$9, $D$9, 100%, $F$9) + CHOOSE(CONTROL!$C$27, 0.0021, 0)</f>
        <v>52.4771</v>
      </c>
      <c r="C541" s="10">
        <f>52.0428 * CHOOSE(CONTROL!$C$9, $D$9, 100%, $F$9) + CHOOSE(CONTROL!$C$27, 0.0021, 0)</f>
        <v>52.044899999999998</v>
      </c>
      <c r="D541" s="10">
        <f>52.0428 * CHOOSE(CONTROL!$C$9, $D$9, 100%, $F$9) + CHOOSE(CONTROL!$C$27, 0.0021, 0)</f>
        <v>52.044899999999998</v>
      </c>
      <c r="E541" s="10">
        <f>51.9061 * CHOOSE(CONTROL!$C$9, $D$9, 100%, $F$9) + CHOOSE(CONTROL!$C$27, 0.0021, 0)</f>
        <v>51.908200000000001</v>
      </c>
      <c r="F541" s="10">
        <f>51.9061 * CHOOSE(CONTROL!$C$9, $D$9, 100%, $F$9) + CHOOSE(CONTROL!$C$27, 0.0021, 0)</f>
        <v>51.908200000000001</v>
      </c>
      <c r="G541" s="10">
        <f>52.1775 * CHOOSE(CONTROL!$C$9, $D$9, 100%, $F$9) + CHOOSE(CONTROL!$C$27, 0.0021, 0)</f>
        <v>52.179600000000001</v>
      </c>
      <c r="H541" s="10">
        <f>52.0428 * CHOOSE(CONTROL!$C$9, $D$9, 100%, $F$9) + CHOOSE(CONTROL!$C$27, 0.0021, 0)</f>
        <v>52.044899999999998</v>
      </c>
      <c r="I541" s="10">
        <f>52.0428 * CHOOSE(CONTROL!$C$9, $D$9, 100%, $F$9) + CHOOSE(CONTROL!$C$27, 0.0021, 0)</f>
        <v>52.044899999999998</v>
      </c>
      <c r="J541" s="10">
        <f>52.0428 * CHOOSE(CONTROL!$C$9, $D$9, 100%, $F$9) + CHOOSE(CONTROL!$C$27, 0.0021, 0)</f>
        <v>52.044899999999998</v>
      </c>
      <c r="K541" s="10">
        <f>52.0428 * CHOOSE(CONTROL!$C$9, $D$9, 100%, $F$9) + CHOOSE(CONTROL!$C$27, 0.0021, 0)</f>
        <v>52.044899999999998</v>
      </c>
      <c r="L541" s="10"/>
    </row>
    <row r="542" spans="1:12" ht="15.75">
      <c r="A542" s="13">
        <v>57800</v>
      </c>
      <c r="B542" s="10">
        <f>51.872 * CHOOSE(CONTROL!$C$9, $D$9, 100%, $F$9) + CHOOSE(CONTROL!$C$27, 0.0021, 0)</f>
        <v>51.874099999999999</v>
      </c>
      <c r="C542" s="10">
        <f>51.4398 * CHOOSE(CONTROL!$C$9, $D$9, 100%, $F$9) + CHOOSE(CONTROL!$C$27, 0.0021, 0)</f>
        <v>51.441899999999997</v>
      </c>
      <c r="D542" s="10">
        <f>51.4398 * CHOOSE(CONTROL!$C$9, $D$9, 100%, $F$9) + CHOOSE(CONTROL!$C$27, 0.0021, 0)</f>
        <v>51.441899999999997</v>
      </c>
      <c r="E542" s="10">
        <f>51.3031 * CHOOSE(CONTROL!$C$9, $D$9, 100%, $F$9) + CHOOSE(CONTROL!$C$27, 0.0021, 0)</f>
        <v>51.305199999999999</v>
      </c>
      <c r="F542" s="10">
        <f>51.3031 * CHOOSE(CONTROL!$C$9, $D$9, 100%, $F$9) + CHOOSE(CONTROL!$C$27, 0.0021, 0)</f>
        <v>51.305199999999999</v>
      </c>
      <c r="G542" s="10">
        <f>51.5745 * CHOOSE(CONTROL!$C$9, $D$9, 100%, $F$9) + CHOOSE(CONTROL!$C$27, 0.0021, 0)</f>
        <v>51.576599999999999</v>
      </c>
      <c r="H542" s="10">
        <f>51.4398 * CHOOSE(CONTROL!$C$9, $D$9, 100%, $F$9) + CHOOSE(CONTROL!$C$27, 0.0021, 0)</f>
        <v>51.441899999999997</v>
      </c>
      <c r="I542" s="10">
        <f>51.4398 * CHOOSE(CONTROL!$C$9, $D$9, 100%, $F$9) + CHOOSE(CONTROL!$C$27, 0.0021, 0)</f>
        <v>51.441899999999997</v>
      </c>
      <c r="J542" s="10">
        <f>51.4398 * CHOOSE(CONTROL!$C$9, $D$9, 100%, $F$9) + CHOOSE(CONTROL!$C$27, 0.0021, 0)</f>
        <v>51.441899999999997</v>
      </c>
      <c r="K542" s="10">
        <f>51.4398 * CHOOSE(CONTROL!$C$9, $D$9, 100%, $F$9) + CHOOSE(CONTROL!$C$27, 0.0021, 0)</f>
        <v>51.441899999999997</v>
      </c>
      <c r="L542" s="10"/>
    </row>
    <row r="543" spans="1:12" ht="15.75">
      <c r="A543" s="13">
        <v>57830</v>
      </c>
      <c r="B543" s="10">
        <f>51.152 * CHOOSE(CONTROL!$C$9, $D$9, 100%, $F$9) + CHOOSE(CONTROL!$C$27, 0.0021, 0)</f>
        <v>51.1541</v>
      </c>
      <c r="C543" s="10">
        <f>50.7198 * CHOOSE(CONTROL!$C$9, $D$9, 100%, $F$9) + CHOOSE(CONTROL!$C$27, 0.0021, 0)</f>
        <v>50.721899999999998</v>
      </c>
      <c r="D543" s="10">
        <f>50.7198 * CHOOSE(CONTROL!$C$9, $D$9, 100%, $F$9) + CHOOSE(CONTROL!$C$27, 0.0021, 0)</f>
        <v>50.721899999999998</v>
      </c>
      <c r="E543" s="10">
        <f>50.5831 * CHOOSE(CONTROL!$C$9, $D$9, 100%, $F$9) + CHOOSE(CONTROL!$C$27, 0.0021, 0)</f>
        <v>50.5852</v>
      </c>
      <c r="F543" s="10">
        <f>50.5831 * CHOOSE(CONTROL!$C$9, $D$9, 100%, $F$9) + CHOOSE(CONTROL!$C$27, 0.0021, 0)</f>
        <v>50.5852</v>
      </c>
      <c r="G543" s="10">
        <f>50.8545 * CHOOSE(CONTROL!$C$9, $D$9, 100%, $F$9) + CHOOSE(CONTROL!$C$27, 0.0021, 0)</f>
        <v>50.8566</v>
      </c>
      <c r="H543" s="10">
        <f>50.7198 * CHOOSE(CONTROL!$C$9, $D$9, 100%, $F$9) + CHOOSE(CONTROL!$C$27, 0.0021, 0)</f>
        <v>50.721899999999998</v>
      </c>
      <c r="I543" s="10">
        <f>50.7198 * CHOOSE(CONTROL!$C$9, $D$9, 100%, $F$9) + CHOOSE(CONTROL!$C$27, 0.0021, 0)</f>
        <v>50.721899999999998</v>
      </c>
      <c r="J543" s="10">
        <f>50.7198 * CHOOSE(CONTROL!$C$9, $D$9, 100%, $F$9) + CHOOSE(CONTROL!$C$27, 0.0021, 0)</f>
        <v>50.721899999999998</v>
      </c>
      <c r="K543" s="10">
        <f>50.7198 * CHOOSE(CONTROL!$C$9, $D$9, 100%, $F$9) + CHOOSE(CONTROL!$C$27, 0.0021, 0)</f>
        <v>50.721899999999998</v>
      </c>
      <c r="L543" s="10"/>
    </row>
    <row r="544" spans="1:12" ht="15.75">
      <c r="A544" s="13">
        <v>57861</v>
      </c>
      <c r="B544" s="10">
        <f>52.1781 * CHOOSE(CONTROL!$C$9, $D$9, 100%, $F$9) + CHOOSE(CONTROL!$C$27, 0.0021, 0)</f>
        <v>52.180199999999999</v>
      </c>
      <c r="C544" s="10">
        <f>51.7458 * CHOOSE(CONTROL!$C$9, $D$9, 100%, $F$9) + CHOOSE(CONTROL!$C$27, 0.0021, 0)</f>
        <v>51.747900000000001</v>
      </c>
      <c r="D544" s="10">
        <f>51.7458 * CHOOSE(CONTROL!$C$9, $D$9, 100%, $F$9) + CHOOSE(CONTROL!$C$27, 0.0021, 0)</f>
        <v>51.747900000000001</v>
      </c>
      <c r="E544" s="10">
        <f>51.6092 * CHOOSE(CONTROL!$C$9, $D$9, 100%, $F$9) + CHOOSE(CONTROL!$C$27, 0.0021, 0)</f>
        <v>51.6113</v>
      </c>
      <c r="F544" s="10">
        <f>51.6092 * CHOOSE(CONTROL!$C$9, $D$9, 100%, $F$9) + CHOOSE(CONTROL!$C$27, 0.0021, 0)</f>
        <v>51.6113</v>
      </c>
      <c r="G544" s="10">
        <f>51.8806 * CHOOSE(CONTROL!$C$9, $D$9, 100%, $F$9) + CHOOSE(CONTROL!$C$27, 0.0021, 0)</f>
        <v>51.8827</v>
      </c>
      <c r="H544" s="10">
        <f>51.7458 * CHOOSE(CONTROL!$C$9, $D$9, 100%, $F$9) + CHOOSE(CONTROL!$C$27, 0.0021, 0)</f>
        <v>51.747900000000001</v>
      </c>
      <c r="I544" s="10">
        <f>51.7458 * CHOOSE(CONTROL!$C$9, $D$9, 100%, $F$9) + CHOOSE(CONTROL!$C$27, 0.0021, 0)</f>
        <v>51.747900000000001</v>
      </c>
      <c r="J544" s="10">
        <f>51.7458 * CHOOSE(CONTROL!$C$9, $D$9, 100%, $F$9) + CHOOSE(CONTROL!$C$27, 0.0021, 0)</f>
        <v>51.747900000000001</v>
      </c>
      <c r="K544" s="10">
        <f>51.7458 * CHOOSE(CONTROL!$C$9, $D$9, 100%, $F$9) + CHOOSE(CONTROL!$C$27, 0.0021, 0)</f>
        <v>51.747900000000001</v>
      </c>
      <c r="L544" s="10"/>
    </row>
    <row r="545" spans="1:12" ht="15.75">
      <c r="A545" s="13">
        <v>57891</v>
      </c>
      <c r="B545" s="10">
        <f>52.7927 * CHOOSE(CONTROL!$C$9, $D$9, 100%, $F$9) + CHOOSE(CONTROL!$C$27, 0.0021, 0)</f>
        <v>52.794800000000002</v>
      </c>
      <c r="C545" s="10">
        <f>52.3604 * CHOOSE(CONTROL!$C$9, $D$9, 100%, $F$9) + CHOOSE(CONTROL!$C$27, 0.0021, 0)</f>
        <v>52.362499999999997</v>
      </c>
      <c r="D545" s="10">
        <f>52.3604 * CHOOSE(CONTROL!$C$9, $D$9, 100%, $F$9) + CHOOSE(CONTROL!$C$27, 0.0021, 0)</f>
        <v>52.362499999999997</v>
      </c>
      <c r="E545" s="10">
        <f>52.2238 * CHOOSE(CONTROL!$C$9, $D$9, 100%, $F$9) + CHOOSE(CONTROL!$C$27, 0.0021, 0)</f>
        <v>52.225899999999996</v>
      </c>
      <c r="F545" s="10">
        <f>52.2238 * CHOOSE(CONTROL!$C$9, $D$9, 100%, $F$9) + CHOOSE(CONTROL!$C$27, 0.0021, 0)</f>
        <v>52.225899999999996</v>
      </c>
      <c r="G545" s="10">
        <f>52.4951 * CHOOSE(CONTROL!$C$9, $D$9, 100%, $F$9) + CHOOSE(CONTROL!$C$27, 0.0021, 0)</f>
        <v>52.497199999999999</v>
      </c>
      <c r="H545" s="10">
        <f>52.3604 * CHOOSE(CONTROL!$C$9, $D$9, 100%, $F$9) + CHOOSE(CONTROL!$C$27, 0.0021, 0)</f>
        <v>52.362499999999997</v>
      </c>
      <c r="I545" s="10">
        <f>52.3604 * CHOOSE(CONTROL!$C$9, $D$9, 100%, $F$9) + CHOOSE(CONTROL!$C$27, 0.0021, 0)</f>
        <v>52.362499999999997</v>
      </c>
      <c r="J545" s="10">
        <f>52.3604 * CHOOSE(CONTROL!$C$9, $D$9, 100%, $F$9) + CHOOSE(CONTROL!$C$27, 0.0021, 0)</f>
        <v>52.362499999999997</v>
      </c>
      <c r="K545" s="10">
        <f>52.3604 * CHOOSE(CONTROL!$C$9, $D$9, 100%, $F$9) + CHOOSE(CONTROL!$C$27, 0.0021, 0)</f>
        <v>52.362499999999997</v>
      </c>
      <c r="L545" s="10"/>
    </row>
    <row r="546" spans="1:12" ht="15.75">
      <c r="A546" s="13">
        <v>57922</v>
      </c>
      <c r="B546" s="10">
        <f>53.8065 * CHOOSE(CONTROL!$C$9, $D$9, 100%, $F$9) + CHOOSE(CONTROL!$C$27, 0.0021, 0)</f>
        <v>53.808599999999998</v>
      </c>
      <c r="C546" s="10">
        <f>53.3742 * CHOOSE(CONTROL!$C$9, $D$9, 100%, $F$9) + CHOOSE(CONTROL!$C$27, 0.0021, 0)</f>
        <v>53.376300000000001</v>
      </c>
      <c r="D546" s="10">
        <f>53.3742 * CHOOSE(CONTROL!$C$9, $D$9, 100%, $F$9) + CHOOSE(CONTROL!$C$27, 0.0021, 0)</f>
        <v>53.376300000000001</v>
      </c>
      <c r="E546" s="10">
        <f>53.2376 * CHOOSE(CONTROL!$C$9, $D$9, 100%, $F$9) + CHOOSE(CONTROL!$C$27, 0.0021, 0)</f>
        <v>53.239699999999999</v>
      </c>
      <c r="F546" s="10">
        <f>53.2376 * CHOOSE(CONTROL!$C$9, $D$9, 100%, $F$9) + CHOOSE(CONTROL!$C$27, 0.0021, 0)</f>
        <v>53.239699999999999</v>
      </c>
      <c r="G546" s="10">
        <f>53.509 * CHOOSE(CONTROL!$C$9, $D$9, 100%, $F$9) + CHOOSE(CONTROL!$C$27, 0.0021, 0)</f>
        <v>53.511099999999999</v>
      </c>
      <c r="H546" s="10">
        <f>53.3742 * CHOOSE(CONTROL!$C$9, $D$9, 100%, $F$9) + CHOOSE(CONTROL!$C$27, 0.0021, 0)</f>
        <v>53.376300000000001</v>
      </c>
      <c r="I546" s="10">
        <f>53.3742 * CHOOSE(CONTROL!$C$9, $D$9, 100%, $F$9) + CHOOSE(CONTROL!$C$27, 0.0021, 0)</f>
        <v>53.376300000000001</v>
      </c>
      <c r="J546" s="10">
        <f>53.3742 * CHOOSE(CONTROL!$C$9, $D$9, 100%, $F$9) + CHOOSE(CONTROL!$C$27, 0.0021, 0)</f>
        <v>53.376300000000001</v>
      </c>
      <c r="K546" s="10">
        <f>53.3742 * CHOOSE(CONTROL!$C$9, $D$9, 100%, $F$9) + CHOOSE(CONTROL!$C$27, 0.0021, 0)</f>
        <v>53.376300000000001</v>
      </c>
      <c r="L546" s="10"/>
    </row>
    <row r="547" spans="1:12" ht="15.75">
      <c r="A547" s="13">
        <v>57953</v>
      </c>
      <c r="B547" s="10">
        <f>54.1159 * CHOOSE(CONTROL!$C$9, $D$9, 100%, $F$9) + CHOOSE(CONTROL!$C$27, 0.0021, 0)</f>
        <v>54.118000000000002</v>
      </c>
      <c r="C547" s="10">
        <f>53.6837 * CHOOSE(CONTROL!$C$9, $D$9, 100%, $F$9) + CHOOSE(CONTROL!$C$27, 0.0021, 0)</f>
        <v>53.6858</v>
      </c>
      <c r="D547" s="10">
        <f>53.6837 * CHOOSE(CONTROL!$C$9, $D$9, 100%, $F$9) + CHOOSE(CONTROL!$C$27, 0.0021, 0)</f>
        <v>53.6858</v>
      </c>
      <c r="E547" s="10">
        <f>53.547 * CHOOSE(CONTROL!$C$9, $D$9, 100%, $F$9) + CHOOSE(CONTROL!$C$27, 0.0021, 0)</f>
        <v>53.549099999999996</v>
      </c>
      <c r="F547" s="10">
        <f>53.547 * CHOOSE(CONTROL!$C$9, $D$9, 100%, $F$9) + CHOOSE(CONTROL!$C$27, 0.0021, 0)</f>
        <v>53.549099999999996</v>
      </c>
      <c r="G547" s="10">
        <f>53.8184 * CHOOSE(CONTROL!$C$9, $D$9, 100%, $F$9) + CHOOSE(CONTROL!$C$27, 0.0021, 0)</f>
        <v>53.820499999999996</v>
      </c>
      <c r="H547" s="10">
        <f>53.6837 * CHOOSE(CONTROL!$C$9, $D$9, 100%, $F$9) + CHOOSE(CONTROL!$C$27, 0.0021, 0)</f>
        <v>53.6858</v>
      </c>
      <c r="I547" s="10">
        <f>53.6837 * CHOOSE(CONTROL!$C$9, $D$9, 100%, $F$9) + CHOOSE(CONTROL!$C$27, 0.0021, 0)</f>
        <v>53.6858</v>
      </c>
      <c r="J547" s="10">
        <f>53.6837 * CHOOSE(CONTROL!$C$9, $D$9, 100%, $F$9) + CHOOSE(CONTROL!$C$27, 0.0021, 0)</f>
        <v>53.6858</v>
      </c>
      <c r="K547" s="10">
        <f>53.6837 * CHOOSE(CONTROL!$C$9, $D$9, 100%, $F$9) + CHOOSE(CONTROL!$C$27, 0.0021, 0)</f>
        <v>53.6858</v>
      </c>
      <c r="L547" s="10"/>
    </row>
    <row r="548" spans="1:12" ht="15.75">
      <c r="A548" s="13">
        <v>57983</v>
      </c>
      <c r="B548" s="10">
        <f>55.1698 * CHOOSE(CONTROL!$C$9, $D$9, 100%, $F$9) + CHOOSE(CONTROL!$C$27, 0.0021, 0)</f>
        <v>55.171900000000001</v>
      </c>
      <c r="C548" s="10">
        <f>54.7375 * CHOOSE(CONTROL!$C$9, $D$9, 100%, $F$9) + CHOOSE(CONTROL!$C$27, 0.0021, 0)</f>
        <v>54.739599999999996</v>
      </c>
      <c r="D548" s="10">
        <f>54.7375 * CHOOSE(CONTROL!$C$9, $D$9, 100%, $F$9) + CHOOSE(CONTROL!$C$27, 0.0021, 0)</f>
        <v>54.739599999999996</v>
      </c>
      <c r="E548" s="10">
        <f>54.6009 * CHOOSE(CONTROL!$C$9, $D$9, 100%, $F$9) + CHOOSE(CONTROL!$C$27, 0.0021, 0)</f>
        <v>54.603000000000002</v>
      </c>
      <c r="F548" s="10">
        <f>54.6009 * CHOOSE(CONTROL!$C$9, $D$9, 100%, $F$9) + CHOOSE(CONTROL!$C$27, 0.0021, 0)</f>
        <v>54.603000000000002</v>
      </c>
      <c r="G548" s="10">
        <f>54.8722 * CHOOSE(CONTROL!$C$9, $D$9, 100%, $F$9) + CHOOSE(CONTROL!$C$27, 0.0021, 0)</f>
        <v>54.874299999999998</v>
      </c>
      <c r="H548" s="10">
        <f>54.7375 * CHOOSE(CONTROL!$C$9, $D$9, 100%, $F$9) + CHOOSE(CONTROL!$C$27, 0.0021, 0)</f>
        <v>54.739599999999996</v>
      </c>
      <c r="I548" s="10">
        <f>54.7375 * CHOOSE(CONTROL!$C$9, $D$9, 100%, $F$9) + CHOOSE(CONTROL!$C$27, 0.0021, 0)</f>
        <v>54.739599999999996</v>
      </c>
      <c r="J548" s="10">
        <f>54.7375 * CHOOSE(CONTROL!$C$9, $D$9, 100%, $F$9) + CHOOSE(CONTROL!$C$27, 0.0021, 0)</f>
        <v>54.739599999999996</v>
      </c>
      <c r="K548" s="10">
        <f>54.7375 * CHOOSE(CONTROL!$C$9, $D$9, 100%, $F$9) + CHOOSE(CONTROL!$C$27, 0.0021, 0)</f>
        <v>54.739599999999996</v>
      </c>
      <c r="L548" s="10"/>
    </row>
    <row r="549" spans="1:12" ht="15.75">
      <c r="A549" s="13">
        <v>58014</v>
      </c>
      <c r="B549" s="10">
        <f>56.5037 * CHOOSE(CONTROL!$C$9, $D$9, 100%, $F$9) + CHOOSE(CONTROL!$C$27, 0.0021, 0)</f>
        <v>56.505800000000001</v>
      </c>
      <c r="C549" s="10">
        <f>56.0715 * CHOOSE(CONTROL!$C$9, $D$9, 100%, $F$9) + CHOOSE(CONTROL!$C$27, 0.0021, 0)</f>
        <v>56.073599999999999</v>
      </c>
      <c r="D549" s="10">
        <f>56.0715 * CHOOSE(CONTROL!$C$9, $D$9, 100%, $F$9) + CHOOSE(CONTROL!$C$27, 0.0021, 0)</f>
        <v>56.073599999999999</v>
      </c>
      <c r="E549" s="10">
        <f>55.9348 * CHOOSE(CONTROL!$C$9, $D$9, 100%, $F$9) + CHOOSE(CONTROL!$C$27, 0.0021, 0)</f>
        <v>55.936900000000001</v>
      </c>
      <c r="F549" s="10">
        <f>55.9348 * CHOOSE(CONTROL!$C$9, $D$9, 100%, $F$9) + CHOOSE(CONTROL!$C$27, 0.0021, 0)</f>
        <v>55.936900000000001</v>
      </c>
      <c r="G549" s="10">
        <f>56.2062 * CHOOSE(CONTROL!$C$9, $D$9, 100%, $F$9) + CHOOSE(CONTROL!$C$27, 0.0021, 0)</f>
        <v>56.208300000000001</v>
      </c>
      <c r="H549" s="10">
        <f>56.0715 * CHOOSE(CONTROL!$C$9, $D$9, 100%, $F$9) + CHOOSE(CONTROL!$C$27, 0.0021, 0)</f>
        <v>56.073599999999999</v>
      </c>
      <c r="I549" s="10">
        <f>56.0715 * CHOOSE(CONTROL!$C$9, $D$9, 100%, $F$9) + CHOOSE(CONTROL!$C$27, 0.0021, 0)</f>
        <v>56.073599999999999</v>
      </c>
      <c r="J549" s="10">
        <f>56.0715 * CHOOSE(CONTROL!$C$9, $D$9, 100%, $F$9) + CHOOSE(CONTROL!$C$27, 0.0021, 0)</f>
        <v>56.073599999999999</v>
      </c>
      <c r="K549" s="10">
        <f>56.0715 * CHOOSE(CONTROL!$C$9, $D$9, 100%, $F$9) + CHOOSE(CONTROL!$C$27, 0.0021, 0)</f>
        <v>56.073599999999999</v>
      </c>
      <c r="L549" s="10"/>
    </row>
    <row r="550" spans="1:12" ht="15.75">
      <c r="A550" s="13">
        <v>58044</v>
      </c>
      <c r="B550" s="10">
        <f>56.629 * CHOOSE(CONTROL!$C$9, $D$9, 100%, $F$9) + CHOOSE(CONTROL!$C$27, 0.0021, 0)</f>
        <v>56.631099999999996</v>
      </c>
      <c r="C550" s="10">
        <f>56.1967 * CHOOSE(CONTROL!$C$9, $D$9, 100%, $F$9) + CHOOSE(CONTROL!$C$27, 0.0021, 0)</f>
        <v>56.198799999999999</v>
      </c>
      <c r="D550" s="10">
        <f>56.1967 * CHOOSE(CONTROL!$C$9, $D$9, 100%, $F$9) + CHOOSE(CONTROL!$C$27, 0.0021, 0)</f>
        <v>56.198799999999999</v>
      </c>
      <c r="E550" s="10">
        <f>56.0601 * CHOOSE(CONTROL!$C$9, $D$9, 100%, $F$9) + CHOOSE(CONTROL!$C$27, 0.0021, 0)</f>
        <v>56.062199999999997</v>
      </c>
      <c r="F550" s="10">
        <f>56.0601 * CHOOSE(CONTROL!$C$9, $D$9, 100%, $F$9) + CHOOSE(CONTROL!$C$27, 0.0021, 0)</f>
        <v>56.062199999999997</v>
      </c>
      <c r="G550" s="10">
        <f>56.3314 * CHOOSE(CONTROL!$C$9, $D$9, 100%, $F$9) + CHOOSE(CONTROL!$C$27, 0.0021, 0)</f>
        <v>56.333500000000001</v>
      </c>
      <c r="H550" s="10">
        <f>56.1967 * CHOOSE(CONTROL!$C$9, $D$9, 100%, $F$9) + CHOOSE(CONTROL!$C$27, 0.0021, 0)</f>
        <v>56.198799999999999</v>
      </c>
      <c r="I550" s="10">
        <f>56.1967 * CHOOSE(CONTROL!$C$9, $D$9, 100%, $F$9) + CHOOSE(CONTROL!$C$27, 0.0021, 0)</f>
        <v>56.198799999999999</v>
      </c>
      <c r="J550" s="10">
        <f>56.1967 * CHOOSE(CONTROL!$C$9, $D$9, 100%, $F$9) + CHOOSE(CONTROL!$C$27, 0.0021, 0)</f>
        <v>56.198799999999999</v>
      </c>
      <c r="K550" s="10">
        <f>56.1967 * CHOOSE(CONTROL!$C$9, $D$9, 100%, $F$9) + CHOOSE(CONTROL!$C$27, 0.0021, 0)</f>
        <v>56.198799999999999</v>
      </c>
      <c r="L550" s="10"/>
    </row>
    <row r="551" spans="1:12" ht="15.75">
      <c r="A551" s="13">
        <v>58075</v>
      </c>
      <c r="B551" s="10">
        <f>55.5636 * CHOOSE(CONTROL!$C$9, $D$9, 100%, $F$9) + CHOOSE(CONTROL!$C$27, 0.0021, 0)</f>
        <v>55.5657</v>
      </c>
      <c r="C551" s="10">
        <f>55.1313 * CHOOSE(CONTROL!$C$9, $D$9, 100%, $F$9) + CHOOSE(CONTROL!$C$27, 0.0021, 0)</f>
        <v>55.133400000000002</v>
      </c>
      <c r="D551" s="10">
        <f>55.1313 * CHOOSE(CONTROL!$C$9, $D$9, 100%, $F$9) + CHOOSE(CONTROL!$C$27, 0.0021, 0)</f>
        <v>55.133400000000002</v>
      </c>
      <c r="E551" s="10">
        <f>54.9947 * CHOOSE(CONTROL!$C$9, $D$9, 100%, $F$9) + CHOOSE(CONTROL!$C$27, 0.0021, 0)</f>
        <v>54.9968</v>
      </c>
      <c r="F551" s="10">
        <f>54.9947 * CHOOSE(CONTROL!$C$9, $D$9, 100%, $F$9) + CHOOSE(CONTROL!$C$27, 0.0021, 0)</f>
        <v>54.9968</v>
      </c>
      <c r="G551" s="10">
        <f>55.266 * CHOOSE(CONTROL!$C$9, $D$9, 100%, $F$9) + CHOOSE(CONTROL!$C$27, 0.0021, 0)</f>
        <v>55.268099999999997</v>
      </c>
      <c r="H551" s="10">
        <f>55.1313 * CHOOSE(CONTROL!$C$9, $D$9, 100%, $F$9) + CHOOSE(CONTROL!$C$27, 0.0021, 0)</f>
        <v>55.133400000000002</v>
      </c>
      <c r="I551" s="10">
        <f>55.1313 * CHOOSE(CONTROL!$C$9, $D$9, 100%, $F$9) + CHOOSE(CONTROL!$C$27, 0.0021, 0)</f>
        <v>55.133400000000002</v>
      </c>
      <c r="J551" s="10">
        <f>55.1313 * CHOOSE(CONTROL!$C$9, $D$9, 100%, $F$9) + CHOOSE(CONTROL!$C$27, 0.0021, 0)</f>
        <v>55.133400000000002</v>
      </c>
      <c r="K551" s="10">
        <f>55.1313 * CHOOSE(CONTROL!$C$9, $D$9, 100%, $F$9) + CHOOSE(CONTROL!$C$27, 0.0021, 0)</f>
        <v>55.133400000000002</v>
      </c>
      <c r="L551" s="10"/>
    </row>
    <row r="552" spans="1:12" ht="15.75">
      <c r="A552" s="13">
        <v>58106</v>
      </c>
      <c r="B552" s="10">
        <f>54.7478 * CHOOSE(CONTROL!$C$9, $D$9, 100%, $F$9) + CHOOSE(CONTROL!$C$27, 0.0021, 0)</f>
        <v>54.749899999999997</v>
      </c>
      <c r="C552" s="10">
        <f>54.3156 * CHOOSE(CONTROL!$C$9, $D$9, 100%, $F$9) + CHOOSE(CONTROL!$C$27, 0.0021, 0)</f>
        <v>54.317700000000002</v>
      </c>
      <c r="D552" s="10">
        <f>54.3156 * CHOOSE(CONTROL!$C$9, $D$9, 100%, $F$9) + CHOOSE(CONTROL!$C$27, 0.0021, 0)</f>
        <v>54.317700000000002</v>
      </c>
      <c r="E552" s="10">
        <f>54.1789 * CHOOSE(CONTROL!$C$9, $D$9, 100%, $F$9) + CHOOSE(CONTROL!$C$27, 0.0021, 0)</f>
        <v>54.180999999999997</v>
      </c>
      <c r="F552" s="10">
        <f>54.1789 * CHOOSE(CONTROL!$C$9, $D$9, 100%, $F$9) + CHOOSE(CONTROL!$C$27, 0.0021, 0)</f>
        <v>54.180999999999997</v>
      </c>
      <c r="G552" s="10">
        <f>54.4503 * CHOOSE(CONTROL!$C$9, $D$9, 100%, $F$9) + CHOOSE(CONTROL!$C$27, 0.0021, 0)</f>
        <v>54.452399999999997</v>
      </c>
      <c r="H552" s="10">
        <f>54.3156 * CHOOSE(CONTROL!$C$9, $D$9, 100%, $F$9) + CHOOSE(CONTROL!$C$27, 0.0021, 0)</f>
        <v>54.317700000000002</v>
      </c>
      <c r="I552" s="10">
        <f>54.3156 * CHOOSE(CONTROL!$C$9, $D$9, 100%, $F$9) + CHOOSE(CONTROL!$C$27, 0.0021, 0)</f>
        <v>54.317700000000002</v>
      </c>
      <c r="J552" s="10">
        <f>54.3156 * CHOOSE(CONTROL!$C$9, $D$9, 100%, $F$9) + CHOOSE(CONTROL!$C$27, 0.0021, 0)</f>
        <v>54.317700000000002</v>
      </c>
      <c r="K552" s="10">
        <f>54.3156 * CHOOSE(CONTROL!$C$9, $D$9, 100%, $F$9) + CHOOSE(CONTROL!$C$27, 0.0021, 0)</f>
        <v>54.317700000000002</v>
      </c>
      <c r="L552" s="10"/>
    </row>
    <row r="553" spans="1:12" ht="15.75">
      <c r="A553" s="13">
        <v>58134</v>
      </c>
      <c r="B553" s="10">
        <f>53.2641 * CHOOSE(CONTROL!$C$9, $D$9, 100%, $F$9) + CHOOSE(CONTROL!$C$27, 0.0021, 0)</f>
        <v>53.266199999999998</v>
      </c>
      <c r="C553" s="10">
        <f>52.8319 * CHOOSE(CONTROL!$C$9, $D$9, 100%, $F$9) + CHOOSE(CONTROL!$C$27, 0.0021, 0)</f>
        <v>52.833999999999996</v>
      </c>
      <c r="D553" s="10">
        <f>52.8319 * CHOOSE(CONTROL!$C$9, $D$9, 100%, $F$9) + CHOOSE(CONTROL!$C$27, 0.0021, 0)</f>
        <v>52.833999999999996</v>
      </c>
      <c r="E553" s="10">
        <f>52.6952 * CHOOSE(CONTROL!$C$9, $D$9, 100%, $F$9) + CHOOSE(CONTROL!$C$27, 0.0021, 0)</f>
        <v>52.697299999999998</v>
      </c>
      <c r="F553" s="10">
        <f>52.6952 * CHOOSE(CONTROL!$C$9, $D$9, 100%, $F$9) + CHOOSE(CONTROL!$C$27, 0.0021, 0)</f>
        <v>52.697299999999998</v>
      </c>
      <c r="G553" s="10">
        <f>52.9666 * CHOOSE(CONTROL!$C$9, $D$9, 100%, $F$9) + CHOOSE(CONTROL!$C$27, 0.0021, 0)</f>
        <v>52.968699999999998</v>
      </c>
      <c r="H553" s="10">
        <f>52.8319 * CHOOSE(CONTROL!$C$9, $D$9, 100%, $F$9) + CHOOSE(CONTROL!$C$27, 0.0021, 0)</f>
        <v>52.833999999999996</v>
      </c>
      <c r="I553" s="10">
        <f>52.8319 * CHOOSE(CONTROL!$C$9, $D$9, 100%, $F$9) + CHOOSE(CONTROL!$C$27, 0.0021, 0)</f>
        <v>52.833999999999996</v>
      </c>
      <c r="J553" s="10">
        <f>52.8319 * CHOOSE(CONTROL!$C$9, $D$9, 100%, $F$9) + CHOOSE(CONTROL!$C$27, 0.0021, 0)</f>
        <v>52.833999999999996</v>
      </c>
      <c r="K553" s="10">
        <f>52.8319 * CHOOSE(CONTROL!$C$9, $D$9, 100%, $F$9) + CHOOSE(CONTROL!$C$27, 0.0021, 0)</f>
        <v>52.833999999999996</v>
      </c>
      <c r="L553" s="10"/>
    </row>
    <row r="554" spans="1:12" ht="15.75">
      <c r="A554" s="13">
        <v>58165</v>
      </c>
      <c r="B554" s="10">
        <f>52.6516 * CHOOSE(CONTROL!$C$9, $D$9, 100%, $F$9) + CHOOSE(CONTROL!$C$27, 0.0021, 0)</f>
        <v>52.653700000000001</v>
      </c>
      <c r="C554" s="10">
        <f>52.2194 * CHOOSE(CONTROL!$C$9, $D$9, 100%, $F$9) + CHOOSE(CONTROL!$C$27, 0.0021, 0)</f>
        <v>52.221499999999999</v>
      </c>
      <c r="D554" s="10">
        <f>52.2194 * CHOOSE(CONTROL!$C$9, $D$9, 100%, $F$9) + CHOOSE(CONTROL!$C$27, 0.0021, 0)</f>
        <v>52.221499999999999</v>
      </c>
      <c r="E554" s="10">
        <f>52.0827 * CHOOSE(CONTROL!$C$9, $D$9, 100%, $F$9) + CHOOSE(CONTROL!$C$27, 0.0021, 0)</f>
        <v>52.084800000000001</v>
      </c>
      <c r="F554" s="10">
        <f>52.0827 * CHOOSE(CONTROL!$C$9, $D$9, 100%, $F$9) + CHOOSE(CONTROL!$C$27, 0.0021, 0)</f>
        <v>52.084800000000001</v>
      </c>
      <c r="G554" s="10">
        <f>52.3541 * CHOOSE(CONTROL!$C$9, $D$9, 100%, $F$9) + CHOOSE(CONTROL!$C$27, 0.0021, 0)</f>
        <v>52.356200000000001</v>
      </c>
      <c r="H554" s="10">
        <f>52.2194 * CHOOSE(CONTROL!$C$9, $D$9, 100%, $F$9) + CHOOSE(CONTROL!$C$27, 0.0021, 0)</f>
        <v>52.221499999999999</v>
      </c>
      <c r="I554" s="10">
        <f>52.2194 * CHOOSE(CONTROL!$C$9, $D$9, 100%, $F$9) + CHOOSE(CONTROL!$C$27, 0.0021, 0)</f>
        <v>52.221499999999999</v>
      </c>
      <c r="J554" s="10">
        <f>52.2194 * CHOOSE(CONTROL!$C$9, $D$9, 100%, $F$9) + CHOOSE(CONTROL!$C$27, 0.0021, 0)</f>
        <v>52.221499999999999</v>
      </c>
      <c r="K554" s="10">
        <f>52.2194 * CHOOSE(CONTROL!$C$9, $D$9, 100%, $F$9) + CHOOSE(CONTROL!$C$27, 0.0021, 0)</f>
        <v>52.221499999999999</v>
      </c>
      <c r="L554" s="10"/>
    </row>
    <row r="555" spans="1:12" ht="15.75">
      <c r="A555" s="13">
        <v>58195</v>
      </c>
      <c r="B555" s="10">
        <f>51.9203 * CHOOSE(CONTROL!$C$9, $D$9, 100%, $F$9) + CHOOSE(CONTROL!$C$27, 0.0021, 0)</f>
        <v>51.922399999999996</v>
      </c>
      <c r="C555" s="10">
        <f>51.4881 * CHOOSE(CONTROL!$C$9, $D$9, 100%, $F$9) + CHOOSE(CONTROL!$C$27, 0.0021, 0)</f>
        <v>51.490200000000002</v>
      </c>
      <c r="D555" s="10">
        <f>51.4881 * CHOOSE(CONTROL!$C$9, $D$9, 100%, $F$9) + CHOOSE(CONTROL!$C$27, 0.0021, 0)</f>
        <v>51.490200000000002</v>
      </c>
      <c r="E555" s="10">
        <f>51.3514 * CHOOSE(CONTROL!$C$9, $D$9, 100%, $F$9) + CHOOSE(CONTROL!$C$27, 0.0021, 0)</f>
        <v>51.353499999999997</v>
      </c>
      <c r="F555" s="10">
        <f>51.3514 * CHOOSE(CONTROL!$C$9, $D$9, 100%, $F$9) + CHOOSE(CONTROL!$C$27, 0.0021, 0)</f>
        <v>51.353499999999997</v>
      </c>
      <c r="G555" s="10">
        <f>51.6228 * CHOOSE(CONTROL!$C$9, $D$9, 100%, $F$9) + CHOOSE(CONTROL!$C$27, 0.0021, 0)</f>
        <v>51.624899999999997</v>
      </c>
      <c r="H555" s="10">
        <f>51.4881 * CHOOSE(CONTROL!$C$9, $D$9, 100%, $F$9) + CHOOSE(CONTROL!$C$27, 0.0021, 0)</f>
        <v>51.490200000000002</v>
      </c>
      <c r="I555" s="10">
        <f>51.4881 * CHOOSE(CONTROL!$C$9, $D$9, 100%, $F$9) + CHOOSE(CONTROL!$C$27, 0.0021, 0)</f>
        <v>51.490200000000002</v>
      </c>
      <c r="J555" s="10">
        <f>51.4881 * CHOOSE(CONTROL!$C$9, $D$9, 100%, $F$9) + CHOOSE(CONTROL!$C$27, 0.0021, 0)</f>
        <v>51.490200000000002</v>
      </c>
      <c r="K555" s="10">
        <f>51.4881 * CHOOSE(CONTROL!$C$9, $D$9, 100%, $F$9) + CHOOSE(CONTROL!$C$27, 0.0021, 0)</f>
        <v>51.490200000000002</v>
      </c>
      <c r="L555" s="10"/>
    </row>
    <row r="556" spans="1:12" ht="15.75">
      <c r="A556" s="13">
        <v>58226</v>
      </c>
      <c r="B556" s="10">
        <f>52.9625 * CHOOSE(CONTROL!$C$9, $D$9, 100%, $F$9) + CHOOSE(CONTROL!$C$27, 0.0021, 0)</f>
        <v>52.964599999999997</v>
      </c>
      <c r="C556" s="10">
        <f>52.5303 * CHOOSE(CONTROL!$C$9, $D$9, 100%, $F$9) + CHOOSE(CONTROL!$C$27, 0.0021, 0)</f>
        <v>52.532399999999996</v>
      </c>
      <c r="D556" s="10">
        <f>52.5303 * CHOOSE(CONTROL!$C$9, $D$9, 100%, $F$9) + CHOOSE(CONTROL!$C$27, 0.0021, 0)</f>
        <v>52.532399999999996</v>
      </c>
      <c r="E556" s="10">
        <f>52.3936 * CHOOSE(CONTROL!$C$9, $D$9, 100%, $F$9) + CHOOSE(CONTROL!$C$27, 0.0021, 0)</f>
        <v>52.395699999999998</v>
      </c>
      <c r="F556" s="10">
        <f>52.3936 * CHOOSE(CONTROL!$C$9, $D$9, 100%, $F$9) + CHOOSE(CONTROL!$C$27, 0.0021, 0)</f>
        <v>52.395699999999998</v>
      </c>
      <c r="G556" s="10">
        <f>52.665 * CHOOSE(CONTROL!$C$9, $D$9, 100%, $F$9) + CHOOSE(CONTROL!$C$27, 0.0021, 0)</f>
        <v>52.667099999999998</v>
      </c>
      <c r="H556" s="10">
        <f>52.5303 * CHOOSE(CONTROL!$C$9, $D$9, 100%, $F$9) + CHOOSE(CONTROL!$C$27, 0.0021, 0)</f>
        <v>52.532399999999996</v>
      </c>
      <c r="I556" s="10">
        <f>52.5303 * CHOOSE(CONTROL!$C$9, $D$9, 100%, $F$9) + CHOOSE(CONTROL!$C$27, 0.0021, 0)</f>
        <v>52.532399999999996</v>
      </c>
      <c r="J556" s="10">
        <f>52.5303 * CHOOSE(CONTROL!$C$9, $D$9, 100%, $F$9) + CHOOSE(CONTROL!$C$27, 0.0021, 0)</f>
        <v>52.532399999999996</v>
      </c>
      <c r="K556" s="10">
        <f>52.5303 * CHOOSE(CONTROL!$C$9, $D$9, 100%, $F$9) + CHOOSE(CONTROL!$C$27, 0.0021, 0)</f>
        <v>52.532399999999996</v>
      </c>
      <c r="L556" s="10"/>
    </row>
    <row r="557" spans="1:12" ht="15.75">
      <c r="A557" s="13">
        <v>58256</v>
      </c>
      <c r="B557" s="10">
        <f>53.5868 * CHOOSE(CONTROL!$C$9, $D$9, 100%, $F$9) + CHOOSE(CONTROL!$C$27, 0.0021, 0)</f>
        <v>53.588899999999995</v>
      </c>
      <c r="C557" s="10">
        <f>53.1545 * CHOOSE(CONTROL!$C$9, $D$9, 100%, $F$9) + CHOOSE(CONTROL!$C$27, 0.0021, 0)</f>
        <v>53.156599999999997</v>
      </c>
      <c r="D557" s="10">
        <f>53.1545 * CHOOSE(CONTROL!$C$9, $D$9, 100%, $F$9) + CHOOSE(CONTROL!$C$27, 0.0021, 0)</f>
        <v>53.156599999999997</v>
      </c>
      <c r="E557" s="10">
        <f>53.0179 * CHOOSE(CONTROL!$C$9, $D$9, 100%, $F$9) + CHOOSE(CONTROL!$C$27, 0.0021, 0)</f>
        <v>53.019999999999996</v>
      </c>
      <c r="F557" s="10">
        <f>53.0179 * CHOOSE(CONTROL!$C$9, $D$9, 100%, $F$9) + CHOOSE(CONTROL!$C$27, 0.0021, 0)</f>
        <v>53.019999999999996</v>
      </c>
      <c r="G557" s="10">
        <f>53.2893 * CHOOSE(CONTROL!$C$9, $D$9, 100%, $F$9) + CHOOSE(CONTROL!$C$27, 0.0021, 0)</f>
        <v>53.291399999999996</v>
      </c>
      <c r="H557" s="10">
        <f>53.1545 * CHOOSE(CONTROL!$C$9, $D$9, 100%, $F$9) + CHOOSE(CONTROL!$C$27, 0.0021, 0)</f>
        <v>53.156599999999997</v>
      </c>
      <c r="I557" s="10">
        <f>53.1545 * CHOOSE(CONTROL!$C$9, $D$9, 100%, $F$9) + CHOOSE(CONTROL!$C$27, 0.0021, 0)</f>
        <v>53.156599999999997</v>
      </c>
      <c r="J557" s="10">
        <f>53.1545 * CHOOSE(CONTROL!$C$9, $D$9, 100%, $F$9) + CHOOSE(CONTROL!$C$27, 0.0021, 0)</f>
        <v>53.156599999999997</v>
      </c>
      <c r="K557" s="10">
        <f>53.1545 * CHOOSE(CONTROL!$C$9, $D$9, 100%, $F$9) + CHOOSE(CONTROL!$C$27, 0.0021, 0)</f>
        <v>53.156599999999997</v>
      </c>
      <c r="L557" s="10"/>
    </row>
    <row r="558" spans="1:12" ht="15.75">
      <c r="A558" s="13">
        <v>58287</v>
      </c>
      <c r="B558" s="10">
        <f>54.6166 * CHOOSE(CONTROL!$C$9, $D$9, 100%, $F$9) + CHOOSE(CONTROL!$C$27, 0.0021, 0)</f>
        <v>54.618699999999997</v>
      </c>
      <c r="C558" s="10">
        <f>54.1843 * CHOOSE(CONTROL!$C$9, $D$9, 100%, $F$9) + CHOOSE(CONTROL!$C$27, 0.0021, 0)</f>
        <v>54.186399999999999</v>
      </c>
      <c r="D558" s="10">
        <f>54.1843 * CHOOSE(CONTROL!$C$9, $D$9, 100%, $F$9) + CHOOSE(CONTROL!$C$27, 0.0021, 0)</f>
        <v>54.186399999999999</v>
      </c>
      <c r="E558" s="10">
        <f>54.0476 * CHOOSE(CONTROL!$C$9, $D$9, 100%, $F$9) + CHOOSE(CONTROL!$C$27, 0.0021, 0)</f>
        <v>54.049700000000001</v>
      </c>
      <c r="F558" s="10">
        <f>54.0476 * CHOOSE(CONTROL!$C$9, $D$9, 100%, $F$9) + CHOOSE(CONTROL!$C$27, 0.0021, 0)</f>
        <v>54.049700000000001</v>
      </c>
      <c r="G558" s="10">
        <f>54.319 * CHOOSE(CONTROL!$C$9, $D$9, 100%, $F$9) + CHOOSE(CONTROL!$C$27, 0.0021, 0)</f>
        <v>54.321100000000001</v>
      </c>
      <c r="H558" s="10">
        <f>54.1843 * CHOOSE(CONTROL!$C$9, $D$9, 100%, $F$9) + CHOOSE(CONTROL!$C$27, 0.0021, 0)</f>
        <v>54.186399999999999</v>
      </c>
      <c r="I558" s="10">
        <f>54.1843 * CHOOSE(CONTROL!$C$9, $D$9, 100%, $F$9) + CHOOSE(CONTROL!$C$27, 0.0021, 0)</f>
        <v>54.186399999999999</v>
      </c>
      <c r="J558" s="10">
        <f>54.1843 * CHOOSE(CONTROL!$C$9, $D$9, 100%, $F$9) + CHOOSE(CONTROL!$C$27, 0.0021, 0)</f>
        <v>54.186399999999999</v>
      </c>
      <c r="K558" s="10">
        <f>54.1843 * CHOOSE(CONTROL!$C$9, $D$9, 100%, $F$9) + CHOOSE(CONTROL!$C$27, 0.0021, 0)</f>
        <v>54.186399999999999</v>
      </c>
      <c r="L558" s="10"/>
    </row>
    <row r="559" spans="1:12" ht="15.75">
      <c r="A559" s="13">
        <v>58318</v>
      </c>
      <c r="B559" s="10">
        <f>54.9309 * CHOOSE(CONTROL!$C$9, $D$9, 100%, $F$9) + CHOOSE(CONTROL!$C$27, 0.0021, 0)</f>
        <v>54.933</v>
      </c>
      <c r="C559" s="10">
        <f>54.4986 * CHOOSE(CONTROL!$C$9, $D$9, 100%, $F$9) + CHOOSE(CONTROL!$C$27, 0.0021, 0)</f>
        <v>54.500700000000002</v>
      </c>
      <c r="D559" s="10">
        <f>54.4986 * CHOOSE(CONTROL!$C$9, $D$9, 100%, $F$9) + CHOOSE(CONTROL!$C$27, 0.0021, 0)</f>
        <v>54.500700000000002</v>
      </c>
      <c r="E559" s="10">
        <f>54.362 * CHOOSE(CONTROL!$C$9, $D$9, 100%, $F$9) + CHOOSE(CONTROL!$C$27, 0.0021, 0)</f>
        <v>54.364100000000001</v>
      </c>
      <c r="F559" s="10">
        <f>54.362 * CHOOSE(CONTROL!$C$9, $D$9, 100%, $F$9) + CHOOSE(CONTROL!$C$27, 0.0021, 0)</f>
        <v>54.364100000000001</v>
      </c>
      <c r="G559" s="10">
        <f>54.6333 * CHOOSE(CONTROL!$C$9, $D$9, 100%, $F$9) + CHOOSE(CONTROL!$C$27, 0.0021, 0)</f>
        <v>54.635399999999997</v>
      </c>
      <c r="H559" s="10">
        <f>54.4986 * CHOOSE(CONTROL!$C$9, $D$9, 100%, $F$9) + CHOOSE(CONTROL!$C$27, 0.0021, 0)</f>
        <v>54.500700000000002</v>
      </c>
      <c r="I559" s="10">
        <f>54.4986 * CHOOSE(CONTROL!$C$9, $D$9, 100%, $F$9) + CHOOSE(CONTROL!$C$27, 0.0021, 0)</f>
        <v>54.500700000000002</v>
      </c>
      <c r="J559" s="10">
        <f>54.4986 * CHOOSE(CONTROL!$C$9, $D$9, 100%, $F$9) + CHOOSE(CONTROL!$C$27, 0.0021, 0)</f>
        <v>54.500700000000002</v>
      </c>
      <c r="K559" s="10">
        <f>54.4986 * CHOOSE(CONTROL!$C$9, $D$9, 100%, $F$9) + CHOOSE(CONTROL!$C$27, 0.0021, 0)</f>
        <v>54.500700000000002</v>
      </c>
      <c r="L559" s="10"/>
    </row>
    <row r="560" spans="1:12" ht="15.75">
      <c r="A560" s="13">
        <v>58348</v>
      </c>
      <c r="B560" s="10">
        <f>56.0013 * CHOOSE(CONTROL!$C$9, $D$9, 100%, $F$9) + CHOOSE(CONTROL!$C$27, 0.0021, 0)</f>
        <v>56.003399999999999</v>
      </c>
      <c r="C560" s="10">
        <f>55.569 * CHOOSE(CONTROL!$C$9, $D$9, 100%, $F$9) + CHOOSE(CONTROL!$C$27, 0.0021, 0)</f>
        <v>55.571100000000001</v>
      </c>
      <c r="D560" s="10">
        <f>55.569 * CHOOSE(CONTROL!$C$9, $D$9, 100%, $F$9) + CHOOSE(CONTROL!$C$27, 0.0021, 0)</f>
        <v>55.571100000000001</v>
      </c>
      <c r="E560" s="10">
        <f>55.4324 * CHOOSE(CONTROL!$C$9, $D$9, 100%, $F$9) + CHOOSE(CONTROL!$C$27, 0.0021, 0)</f>
        <v>55.4345</v>
      </c>
      <c r="F560" s="10">
        <f>55.4324 * CHOOSE(CONTROL!$C$9, $D$9, 100%, $F$9) + CHOOSE(CONTROL!$C$27, 0.0021, 0)</f>
        <v>55.4345</v>
      </c>
      <c r="G560" s="10">
        <f>55.7037 * CHOOSE(CONTROL!$C$9, $D$9, 100%, $F$9) + CHOOSE(CONTROL!$C$27, 0.0021, 0)</f>
        <v>55.705799999999996</v>
      </c>
      <c r="H560" s="10">
        <f>55.569 * CHOOSE(CONTROL!$C$9, $D$9, 100%, $F$9) + CHOOSE(CONTROL!$C$27, 0.0021, 0)</f>
        <v>55.571100000000001</v>
      </c>
      <c r="I560" s="10">
        <f>55.569 * CHOOSE(CONTROL!$C$9, $D$9, 100%, $F$9) + CHOOSE(CONTROL!$C$27, 0.0021, 0)</f>
        <v>55.571100000000001</v>
      </c>
      <c r="J560" s="10">
        <f>55.569 * CHOOSE(CONTROL!$C$9, $D$9, 100%, $F$9) + CHOOSE(CONTROL!$C$27, 0.0021, 0)</f>
        <v>55.571100000000001</v>
      </c>
      <c r="K560" s="10">
        <f>55.569 * CHOOSE(CONTROL!$C$9, $D$9, 100%, $F$9) + CHOOSE(CONTROL!$C$27, 0.0021, 0)</f>
        <v>55.571100000000001</v>
      </c>
      <c r="L560" s="10"/>
    </row>
    <row r="561" spans="1:12" ht="15.75">
      <c r="A561" s="13">
        <v>58379</v>
      </c>
      <c r="B561" s="10">
        <f>57.3562 * CHOOSE(CONTROL!$C$9, $D$9, 100%, $F$9) + CHOOSE(CONTROL!$C$27, 0.0021, 0)</f>
        <v>57.3583</v>
      </c>
      <c r="C561" s="10">
        <f>56.924 * CHOOSE(CONTROL!$C$9, $D$9, 100%, $F$9) + CHOOSE(CONTROL!$C$27, 0.0021, 0)</f>
        <v>56.926099999999998</v>
      </c>
      <c r="D561" s="10">
        <f>56.924 * CHOOSE(CONTROL!$C$9, $D$9, 100%, $F$9) + CHOOSE(CONTROL!$C$27, 0.0021, 0)</f>
        <v>56.926099999999998</v>
      </c>
      <c r="E561" s="10">
        <f>56.7873 * CHOOSE(CONTROL!$C$9, $D$9, 100%, $F$9) + CHOOSE(CONTROL!$C$27, 0.0021, 0)</f>
        <v>56.789400000000001</v>
      </c>
      <c r="F561" s="10">
        <f>56.7873 * CHOOSE(CONTROL!$C$9, $D$9, 100%, $F$9) + CHOOSE(CONTROL!$C$27, 0.0021, 0)</f>
        <v>56.789400000000001</v>
      </c>
      <c r="G561" s="10">
        <f>57.0587 * CHOOSE(CONTROL!$C$9, $D$9, 100%, $F$9) + CHOOSE(CONTROL!$C$27, 0.0021, 0)</f>
        <v>57.0608</v>
      </c>
      <c r="H561" s="10">
        <f>56.924 * CHOOSE(CONTROL!$C$9, $D$9, 100%, $F$9) + CHOOSE(CONTROL!$C$27, 0.0021, 0)</f>
        <v>56.926099999999998</v>
      </c>
      <c r="I561" s="10">
        <f>56.924 * CHOOSE(CONTROL!$C$9, $D$9, 100%, $F$9) + CHOOSE(CONTROL!$C$27, 0.0021, 0)</f>
        <v>56.926099999999998</v>
      </c>
      <c r="J561" s="10">
        <f>56.924 * CHOOSE(CONTROL!$C$9, $D$9, 100%, $F$9) + CHOOSE(CONTROL!$C$27, 0.0021, 0)</f>
        <v>56.926099999999998</v>
      </c>
      <c r="K561" s="10">
        <f>56.924 * CHOOSE(CONTROL!$C$9, $D$9, 100%, $F$9) + CHOOSE(CONTROL!$C$27, 0.0021, 0)</f>
        <v>56.926099999999998</v>
      </c>
      <c r="L561" s="10"/>
    </row>
    <row r="562" spans="1:12" ht="15.75">
      <c r="A562" s="13">
        <v>58409</v>
      </c>
      <c r="B562" s="10">
        <f>57.4834 * CHOOSE(CONTROL!$C$9, $D$9, 100%, $F$9) + CHOOSE(CONTROL!$C$27, 0.0021, 0)</f>
        <v>57.485500000000002</v>
      </c>
      <c r="C562" s="10">
        <f>57.0512 * CHOOSE(CONTROL!$C$9, $D$9, 100%, $F$9) + CHOOSE(CONTROL!$C$27, 0.0021, 0)</f>
        <v>57.0533</v>
      </c>
      <c r="D562" s="10">
        <f>57.0512 * CHOOSE(CONTROL!$C$9, $D$9, 100%, $F$9) + CHOOSE(CONTROL!$C$27, 0.0021, 0)</f>
        <v>57.0533</v>
      </c>
      <c r="E562" s="10">
        <f>56.9145 * CHOOSE(CONTROL!$C$9, $D$9, 100%, $F$9) + CHOOSE(CONTROL!$C$27, 0.0021, 0)</f>
        <v>56.916599999999995</v>
      </c>
      <c r="F562" s="10">
        <f>56.9145 * CHOOSE(CONTROL!$C$9, $D$9, 100%, $F$9) + CHOOSE(CONTROL!$C$27, 0.0021, 0)</f>
        <v>56.916599999999995</v>
      </c>
      <c r="G562" s="10">
        <f>57.1859 * CHOOSE(CONTROL!$C$9, $D$9, 100%, $F$9) + CHOOSE(CONTROL!$C$27, 0.0021, 0)</f>
        <v>57.187999999999995</v>
      </c>
      <c r="H562" s="10">
        <f>57.0512 * CHOOSE(CONTROL!$C$9, $D$9, 100%, $F$9) + CHOOSE(CONTROL!$C$27, 0.0021, 0)</f>
        <v>57.0533</v>
      </c>
      <c r="I562" s="10">
        <f>57.0512 * CHOOSE(CONTROL!$C$9, $D$9, 100%, $F$9) + CHOOSE(CONTROL!$C$27, 0.0021, 0)</f>
        <v>57.0533</v>
      </c>
      <c r="J562" s="10">
        <f>57.0512 * CHOOSE(CONTROL!$C$9, $D$9, 100%, $F$9) + CHOOSE(CONTROL!$C$27, 0.0021, 0)</f>
        <v>57.0533</v>
      </c>
      <c r="K562" s="10">
        <f>57.0512 * CHOOSE(CONTROL!$C$9, $D$9, 100%, $F$9) + CHOOSE(CONTROL!$C$27, 0.0021, 0)</f>
        <v>57.0533</v>
      </c>
      <c r="L562" s="10"/>
    </row>
    <row r="563" spans="1:12" ht="15.75">
      <c r="A563" s="13">
        <v>58440</v>
      </c>
      <c r="B563" s="10">
        <f>56.4012 * CHOOSE(CONTROL!$C$9, $D$9, 100%, $F$9) + CHOOSE(CONTROL!$C$27, 0.0021, 0)</f>
        <v>56.403300000000002</v>
      </c>
      <c r="C563" s="10">
        <f>55.969 * CHOOSE(CONTROL!$C$9, $D$9, 100%, $F$9) + CHOOSE(CONTROL!$C$27, 0.0021, 0)</f>
        <v>55.9711</v>
      </c>
      <c r="D563" s="10">
        <f>55.969 * CHOOSE(CONTROL!$C$9, $D$9, 100%, $F$9) + CHOOSE(CONTROL!$C$27, 0.0021, 0)</f>
        <v>55.9711</v>
      </c>
      <c r="E563" s="10">
        <f>55.8323 * CHOOSE(CONTROL!$C$9, $D$9, 100%, $F$9) + CHOOSE(CONTROL!$C$27, 0.0021, 0)</f>
        <v>55.834399999999995</v>
      </c>
      <c r="F563" s="10">
        <f>55.8323 * CHOOSE(CONTROL!$C$9, $D$9, 100%, $F$9) + CHOOSE(CONTROL!$C$27, 0.0021, 0)</f>
        <v>55.834399999999995</v>
      </c>
      <c r="G563" s="10">
        <f>56.1037 * CHOOSE(CONTROL!$C$9, $D$9, 100%, $F$9) + CHOOSE(CONTROL!$C$27, 0.0021, 0)</f>
        <v>56.105800000000002</v>
      </c>
      <c r="H563" s="10">
        <f>55.969 * CHOOSE(CONTROL!$C$9, $D$9, 100%, $F$9) + CHOOSE(CONTROL!$C$27, 0.0021, 0)</f>
        <v>55.9711</v>
      </c>
      <c r="I563" s="10">
        <f>55.969 * CHOOSE(CONTROL!$C$9, $D$9, 100%, $F$9) + CHOOSE(CONTROL!$C$27, 0.0021, 0)</f>
        <v>55.9711</v>
      </c>
      <c r="J563" s="10">
        <f>55.969 * CHOOSE(CONTROL!$C$9, $D$9, 100%, $F$9) + CHOOSE(CONTROL!$C$27, 0.0021, 0)</f>
        <v>55.9711</v>
      </c>
      <c r="K563" s="10">
        <f>55.969 * CHOOSE(CONTROL!$C$9, $D$9, 100%, $F$9) + CHOOSE(CONTROL!$C$27, 0.0021, 0)</f>
        <v>55.9711</v>
      </c>
      <c r="L563" s="10"/>
    </row>
    <row r="564" spans="1:12" ht="15.75">
      <c r="A564" s="13">
        <v>58471</v>
      </c>
      <c r="B564" s="10">
        <f>55.5727 * CHOOSE(CONTROL!$C$9, $D$9, 100%, $F$9) + CHOOSE(CONTROL!$C$27, 0.0021, 0)</f>
        <v>55.574799999999996</v>
      </c>
      <c r="C564" s="10">
        <f>55.1405 * CHOOSE(CONTROL!$C$9, $D$9, 100%, $F$9) + CHOOSE(CONTROL!$C$27, 0.0021, 0)</f>
        <v>55.142600000000002</v>
      </c>
      <c r="D564" s="10">
        <f>55.1405 * CHOOSE(CONTROL!$C$9, $D$9, 100%, $F$9) + CHOOSE(CONTROL!$C$27, 0.0021, 0)</f>
        <v>55.142600000000002</v>
      </c>
      <c r="E564" s="10">
        <f>55.0038 * CHOOSE(CONTROL!$C$9, $D$9, 100%, $F$9) + CHOOSE(CONTROL!$C$27, 0.0021, 0)</f>
        <v>55.005899999999997</v>
      </c>
      <c r="F564" s="10">
        <f>55.0038 * CHOOSE(CONTROL!$C$9, $D$9, 100%, $F$9) + CHOOSE(CONTROL!$C$27, 0.0021, 0)</f>
        <v>55.005899999999997</v>
      </c>
      <c r="G564" s="10">
        <f>55.2752 * CHOOSE(CONTROL!$C$9, $D$9, 100%, $F$9) + CHOOSE(CONTROL!$C$27, 0.0021, 0)</f>
        <v>55.277299999999997</v>
      </c>
      <c r="H564" s="10">
        <f>55.1405 * CHOOSE(CONTROL!$C$9, $D$9, 100%, $F$9) + CHOOSE(CONTROL!$C$27, 0.0021, 0)</f>
        <v>55.142600000000002</v>
      </c>
      <c r="I564" s="10">
        <f>55.1405 * CHOOSE(CONTROL!$C$9, $D$9, 100%, $F$9) + CHOOSE(CONTROL!$C$27, 0.0021, 0)</f>
        <v>55.142600000000002</v>
      </c>
      <c r="J564" s="10">
        <f>55.1405 * CHOOSE(CONTROL!$C$9, $D$9, 100%, $F$9) + CHOOSE(CONTROL!$C$27, 0.0021, 0)</f>
        <v>55.142600000000002</v>
      </c>
      <c r="K564" s="10">
        <f>55.1405 * CHOOSE(CONTROL!$C$9, $D$9, 100%, $F$9) + CHOOSE(CONTROL!$C$27, 0.0021, 0)</f>
        <v>55.142600000000002</v>
      </c>
      <c r="L564" s="10"/>
    </row>
    <row r="565" spans="1:12" ht="15.75">
      <c r="A565" s="13">
        <v>58499</v>
      </c>
      <c r="B565" s="10">
        <f>54.0656 * CHOOSE(CONTROL!$C$9, $D$9, 100%, $F$9) + CHOOSE(CONTROL!$C$27, 0.0021, 0)</f>
        <v>54.067700000000002</v>
      </c>
      <c r="C565" s="10">
        <f>53.6334 * CHOOSE(CONTROL!$C$9, $D$9, 100%, $F$9) + CHOOSE(CONTROL!$C$27, 0.0021, 0)</f>
        <v>53.6355</v>
      </c>
      <c r="D565" s="10">
        <f>53.6334 * CHOOSE(CONTROL!$C$9, $D$9, 100%, $F$9) + CHOOSE(CONTROL!$C$27, 0.0021, 0)</f>
        <v>53.6355</v>
      </c>
      <c r="E565" s="10">
        <f>53.4967 * CHOOSE(CONTROL!$C$9, $D$9, 100%, $F$9) + CHOOSE(CONTROL!$C$27, 0.0021, 0)</f>
        <v>53.498799999999996</v>
      </c>
      <c r="F565" s="10">
        <f>53.4967 * CHOOSE(CONTROL!$C$9, $D$9, 100%, $F$9) + CHOOSE(CONTROL!$C$27, 0.0021, 0)</f>
        <v>53.498799999999996</v>
      </c>
      <c r="G565" s="10">
        <f>53.7681 * CHOOSE(CONTROL!$C$9, $D$9, 100%, $F$9) + CHOOSE(CONTROL!$C$27, 0.0021, 0)</f>
        <v>53.770199999999996</v>
      </c>
      <c r="H565" s="10">
        <f>53.6334 * CHOOSE(CONTROL!$C$9, $D$9, 100%, $F$9) + CHOOSE(CONTROL!$C$27, 0.0021, 0)</f>
        <v>53.6355</v>
      </c>
      <c r="I565" s="10">
        <f>53.6334 * CHOOSE(CONTROL!$C$9, $D$9, 100%, $F$9) + CHOOSE(CONTROL!$C$27, 0.0021, 0)</f>
        <v>53.6355</v>
      </c>
      <c r="J565" s="10">
        <f>53.6334 * CHOOSE(CONTROL!$C$9, $D$9, 100%, $F$9) + CHOOSE(CONTROL!$C$27, 0.0021, 0)</f>
        <v>53.6355</v>
      </c>
      <c r="K565" s="10">
        <f>53.6334 * CHOOSE(CONTROL!$C$9, $D$9, 100%, $F$9) + CHOOSE(CONTROL!$C$27, 0.0021, 0)</f>
        <v>53.6355</v>
      </c>
      <c r="L565" s="10"/>
    </row>
    <row r="566" spans="1:12" ht="15.75">
      <c r="A566" s="13">
        <v>58531</v>
      </c>
      <c r="B566" s="10">
        <f>53.4435 * CHOOSE(CONTROL!$C$9, $D$9, 100%, $F$9) + CHOOSE(CONTROL!$C$27, 0.0021, 0)</f>
        <v>53.445599999999999</v>
      </c>
      <c r="C566" s="10">
        <f>53.0113 * CHOOSE(CONTROL!$C$9, $D$9, 100%, $F$9) + CHOOSE(CONTROL!$C$27, 0.0021, 0)</f>
        <v>53.013399999999997</v>
      </c>
      <c r="D566" s="10">
        <f>53.0113 * CHOOSE(CONTROL!$C$9, $D$9, 100%, $F$9) + CHOOSE(CONTROL!$C$27, 0.0021, 0)</f>
        <v>53.013399999999997</v>
      </c>
      <c r="E566" s="10">
        <f>52.8746 * CHOOSE(CONTROL!$C$9, $D$9, 100%, $F$9) + CHOOSE(CONTROL!$C$27, 0.0021, 0)</f>
        <v>52.8767</v>
      </c>
      <c r="F566" s="10">
        <f>52.8746 * CHOOSE(CONTROL!$C$9, $D$9, 100%, $F$9) + CHOOSE(CONTROL!$C$27, 0.0021, 0)</f>
        <v>52.8767</v>
      </c>
      <c r="G566" s="10">
        <f>53.146 * CHOOSE(CONTROL!$C$9, $D$9, 100%, $F$9) + CHOOSE(CONTROL!$C$27, 0.0021, 0)</f>
        <v>53.148099999999999</v>
      </c>
      <c r="H566" s="10">
        <f>53.0113 * CHOOSE(CONTROL!$C$9, $D$9, 100%, $F$9) + CHOOSE(CONTROL!$C$27, 0.0021, 0)</f>
        <v>53.013399999999997</v>
      </c>
      <c r="I566" s="10">
        <f>53.0113 * CHOOSE(CONTROL!$C$9, $D$9, 100%, $F$9) + CHOOSE(CONTROL!$C$27, 0.0021, 0)</f>
        <v>53.013399999999997</v>
      </c>
      <c r="J566" s="10">
        <f>53.0113 * CHOOSE(CONTROL!$C$9, $D$9, 100%, $F$9) + CHOOSE(CONTROL!$C$27, 0.0021, 0)</f>
        <v>53.013399999999997</v>
      </c>
      <c r="K566" s="10">
        <f>53.0113 * CHOOSE(CONTROL!$C$9, $D$9, 100%, $F$9) + CHOOSE(CONTROL!$C$27, 0.0021, 0)</f>
        <v>53.013399999999997</v>
      </c>
      <c r="L566" s="10"/>
    </row>
    <row r="567" spans="1:12" ht="15.75">
      <c r="A567" s="13">
        <v>58561</v>
      </c>
      <c r="B567" s="10">
        <f>52.7007 * CHOOSE(CONTROL!$C$9, $D$9, 100%, $F$9) + CHOOSE(CONTROL!$C$27, 0.0021, 0)</f>
        <v>52.702799999999996</v>
      </c>
      <c r="C567" s="10">
        <f>52.2685 * CHOOSE(CONTROL!$C$9, $D$9, 100%, $F$9) + CHOOSE(CONTROL!$C$27, 0.0021, 0)</f>
        <v>52.270600000000002</v>
      </c>
      <c r="D567" s="10">
        <f>52.2685 * CHOOSE(CONTROL!$C$9, $D$9, 100%, $F$9) + CHOOSE(CONTROL!$C$27, 0.0021, 0)</f>
        <v>52.270600000000002</v>
      </c>
      <c r="E567" s="10">
        <f>52.1318 * CHOOSE(CONTROL!$C$9, $D$9, 100%, $F$9) + CHOOSE(CONTROL!$C$27, 0.0021, 0)</f>
        <v>52.133899999999997</v>
      </c>
      <c r="F567" s="10">
        <f>52.1318 * CHOOSE(CONTROL!$C$9, $D$9, 100%, $F$9) + CHOOSE(CONTROL!$C$27, 0.0021, 0)</f>
        <v>52.133899999999997</v>
      </c>
      <c r="G567" s="10">
        <f>52.4032 * CHOOSE(CONTROL!$C$9, $D$9, 100%, $F$9) + CHOOSE(CONTROL!$C$27, 0.0021, 0)</f>
        <v>52.405299999999997</v>
      </c>
      <c r="H567" s="10">
        <f>52.2685 * CHOOSE(CONTROL!$C$9, $D$9, 100%, $F$9) + CHOOSE(CONTROL!$C$27, 0.0021, 0)</f>
        <v>52.270600000000002</v>
      </c>
      <c r="I567" s="10">
        <f>52.2685 * CHOOSE(CONTROL!$C$9, $D$9, 100%, $F$9) + CHOOSE(CONTROL!$C$27, 0.0021, 0)</f>
        <v>52.270600000000002</v>
      </c>
      <c r="J567" s="10">
        <f>52.2685 * CHOOSE(CONTROL!$C$9, $D$9, 100%, $F$9) + CHOOSE(CONTROL!$C$27, 0.0021, 0)</f>
        <v>52.270600000000002</v>
      </c>
      <c r="K567" s="10">
        <f>52.2685 * CHOOSE(CONTROL!$C$9, $D$9, 100%, $F$9) + CHOOSE(CONTROL!$C$27, 0.0021, 0)</f>
        <v>52.270600000000002</v>
      </c>
      <c r="L567" s="10"/>
    </row>
    <row r="568" spans="1:12" ht="15.75">
      <c r="A568" s="13">
        <v>58592</v>
      </c>
      <c r="B568" s="10">
        <f>53.7593 * CHOOSE(CONTROL!$C$9, $D$9, 100%, $F$9) + CHOOSE(CONTROL!$C$27, 0.0021, 0)</f>
        <v>53.761400000000002</v>
      </c>
      <c r="C568" s="10">
        <f>53.3271 * CHOOSE(CONTROL!$C$9, $D$9, 100%, $F$9) + CHOOSE(CONTROL!$C$27, 0.0021, 0)</f>
        <v>53.3292</v>
      </c>
      <c r="D568" s="10">
        <f>53.3271 * CHOOSE(CONTROL!$C$9, $D$9, 100%, $F$9) + CHOOSE(CONTROL!$C$27, 0.0021, 0)</f>
        <v>53.3292</v>
      </c>
      <c r="E568" s="10">
        <f>53.1904 * CHOOSE(CONTROL!$C$9, $D$9, 100%, $F$9) + CHOOSE(CONTROL!$C$27, 0.0021, 0)</f>
        <v>53.192499999999995</v>
      </c>
      <c r="F568" s="10">
        <f>53.1904 * CHOOSE(CONTROL!$C$9, $D$9, 100%, $F$9) + CHOOSE(CONTROL!$C$27, 0.0021, 0)</f>
        <v>53.192499999999995</v>
      </c>
      <c r="G568" s="10">
        <f>53.4618 * CHOOSE(CONTROL!$C$9, $D$9, 100%, $F$9) + CHOOSE(CONTROL!$C$27, 0.0021, 0)</f>
        <v>53.463899999999995</v>
      </c>
      <c r="H568" s="10">
        <f>53.3271 * CHOOSE(CONTROL!$C$9, $D$9, 100%, $F$9) + CHOOSE(CONTROL!$C$27, 0.0021, 0)</f>
        <v>53.3292</v>
      </c>
      <c r="I568" s="10">
        <f>53.3271 * CHOOSE(CONTROL!$C$9, $D$9, 100%, $F$9) + CHOOSE(CONTROL!$C$27, 0.0021, 0)</f>
        <v>53.3292</v>
      </c>
      <c r="J568" s="10">
        <f>53.3271 * CHOOSE(CONTROL!$C$9, $D$9, 100%, $F$9) + CHOOSE(CONTROL!$C$27, 0.0021, 0)</f>
        <v>53.3292</v>
      </c>
      <c r="K568" s="10">
        <f>53.3271 * CHOOSE(CONTROL!$C$9, $D$9, 100%, $F$9) + CHOOSE(CONTROL!$C$27, 0.0021, 0)</f>
        <v>53.3292</v>
      </c>
      <c r="L568" s="10"/>
    </row>
    <row r="569" spans="1:12" ht="15.75">
      <c r="A569" s="13">
        <v>58622</v>
      </c>
      <c r="B569" s="10">
        <f>54.3934 * CHOOSE(CONTROL!$C$9, $D$9, 100%, $F$9) + CHOOSE(CONTROL!$C$27, 0.0021, 0)</f>
        <v>54.395499999999998</v>
      </c>
      <c r="C569" s="10">
        <f>53.9611 * CHOOSE(CONTROL!$C$9, $D$9, 100%, $F$9) + CHOOSE(CONTROL!$C$27, 0.0021, 0)</f>
        <v>53.963200000000001</v>
      </c>
      <c r="D569" s="10">
        <f>53.9611 * CHOOSE(CONTROL!$C$9, $D$9, 100%, $F$9) + CHOOSE(CONTROL!$C$27, 0.0021, 0)</f>
        <v>53.963200000000001</v>
      </c>
      <c r="E569" s="10">
        <f>53.8245 * CHOOSE(CONTROL!$C$9, $D$9, 100%, $F$9) + CHOOSE(CONTROL!$C$27, 0.0021, 0)</f>
        <v>53.826599999999999</v>
      </c>
      <c r="F569" s="10">
        <f>53.8245 * CHOOSE(CONTROL!$C$9, $D$9, 100%, $F$9) + CHOOSE(CONTROL!$C$27, 0.0021, 0)</f>
        <v>53.826599999999999</v>
      </c>
      <c r="G569" s="10">
        <f>54.0959 * CHOOSE(CONTROL!$C$9, $D$9, 100%, $F$9) + CHOOSE(CONTROL!$C$27, 0.0021, 0)</f>
        <v>54.097999999999999</v>
      </c>
      <c r="H569" s="10">
        <f>53.9611 * CHOOSE(CONTROL!$C$9, $D$9, 100%, $F$9) + CHOOSE(CONTROL!$C$27, 0.0021, 0)</f>
        <v>53.963200000000001</v>
      </c>
      <c r="I569" s="10">
        <f>53.9611 * CHOOSE(CONTROL!$C$9, $D$9, 100%, $F$9) + CHOOSE(CONTROL!$C$27, 0.0021, 0)</f>
        <v>53.963200000000001</v>
      </c>
      <c r="J569" s="10">
        <f>53.9611 * CHOOSE(CONTROL!$C$9, $D$9, 100%, $F$9) + CHOOSE(CONTROL!$C$27, 0.0021, 0)</f>
        <v>53.963200000000001</v>
      </c>
      <c r="K569" s="10">
        <f>53.9611 * CHOOSE(CONTROL!$C$9, $D$9, 100%, $F$9) + CHOOSE(CONTROL!$C$27, 0.0021, 0)</f>
        <v>53.963200000000001</v>
      </c>
      <c r="L569" s="10"/>
    </row>
    <row r="570" spans="1:12" ht="15.75">
      <c r="A570" s="13">
        <v>58653</v>
      </c>
      <c r="B570" s="10">
        <f>55.4393 * CHOOSE(CONTROL!$C$9, $D$9, 100%, $F$9) + CHOOSE(CONTROL!$C$27, 0.0021, 0)</f>
        <v>55.441400000000002</v>
      </c>
      <c r="C570" s="10">
        <f>55.0071 * CHOOSE(CONTROL!$C$9, $D$9, 100%, $F$9) + CHOOSE(CONTROL!$C$27, 0.0021, 0)</f>
        <v>55.0092</v>
      </c>
      <c r="D570" s="10">
        <f>55.0071 * CHOOSE(CONTROL!$C$9, $D$9, 100%, $F$9) + CHOOSE(CONTROL!$C$27, 0.0021, 0)</f>
        <v>55.0092</v>
      </c>
      <c r="E570" s="10">
        <f>54.8704 * CHOOSE(CONTROL!$C$9, $D$9, 100%, $F$9) + CHOOSE(CONTROL!$C$27, 0.0021, 0)</f>
        <v>54.872499999999995</v>
      </c>
      <c r="F570" s="10">
        <f>54.8704 * CHOOSE(CONTROL!$C$9, $D$9, 100%, $F$9) + CHOOSE(CONTROL!$C$27, 0.0021, 0)</f>
        <v>54.872499999999995</v>
      </c>
      <c r="G570" s="10">
        <f>55.1418 * CHOOSE(CONTROL!$C$9, $D$9, 100%, $F$9) + CHOOSE(CONTROL!$C$27, 0.0021, 0)</f>
        <v>55.143900000000002</v>
      </c>
      <c r="H570" s="10">
        <f>55.0071 * CHOOSE(CONTROL!$C$9, $D$9, 100%, $F$9) + CHOOSE(CONTROL!$C$27, 0.0021, 0)</f>
        <v>55.0092</v>
      </c>
      <c r="I570" s="10">
        <f>55.0071 * CHOOSE(CONTROL!$C$9, $D$9, 100%, $F$9) + CHOOSE(CONTROL!$C$27, 0.0021, 0)</f>
        <v>55.0092</v>
      </c>
      <c r="J570" s="10">
        <f>55.0071 * CHOOSE(CONTROL!$C$9, $D$9, 100%, $F$9) + CHOOSE(CONTROL!$C$27, 0.0021, 0)</f>
        <v>55.0092</v>
      </c>
      <c r="K570" s="10">
        <f>55.0071 * CHOOSE(CONTROL!$C$9, $D$9, 100%, $F$9) + CHOOSE(CONTROL!$C$27, 0.0021, 0)</f>
        <v>55.0092</v>
      </c>
      <c r="L570" s="10"/>
    </row>
    <row r="571" spans="1:12" ht="15.75">
      <c r="A571" s="13">
        <v>58684</v>
      </c>
      <c r="B571" s="10">
        <f>55.7586 * CHOOSE(CONTROL!$C$9, $D$9, 100%, $F$9) + CHOOSE(CONTROL!$C$27, 0.0021, 0)</f>
        <v>55.7607</v>
      </c>
      <c r="C571" s="10">
        <f>55.3264 * CHOOSE(CONTROL!$C$9, $D$9, 100%, $F$9) + CHOOSE(CONTROL!$C$27, 0.0021, 0)</f>
        <v>55.328499999999998</v>
      </c>
      <c r="D571" s="10">
        <f>55.3264 * CHOOSE(CONTROL!$C$9, $D$9, 100%, $F$9) + CHOOSE(CONTROL!$C$27, 0.0021, 0)</f>
        <v>55.328499999999998</v>
      </c>
      <c r="E571" s="10">
        <f>55.1897 * CHOOSE(CONTROL!$C$9, $D$9, 100%, $F$9) + CHOOSE(CONTROL!$C$27, 0.0021, 0)</f>
        <v>55.191800000000001</v>
      </c>
      <c r="F571" s="10">
        <f>55.1897 * CHOOSE(CONTROL!$C$9, $D$9, 100%, $F$9) + CHOOSE(CONTROL!$C$27, 0.0021, 0)</f>
        <v>55.191800000000001</v>
      </c>
      <c r="G571" s="10">
        <f>55.4611 * CHOOSE(CONTROL!$C$9, $D$9, 100%, $F$9) + CHOOSE(CONTROL!$C$27, 0.0021, 0)</f>
        <v>55.463200000000001</v>
      </c>
      <c r="H571" s="10">
        <f>55.3264 * CHOOSE(CONTROL!$C$9, $D$9, 100%, $F$9) + CHOOSE(CONTROL!$C$27, 0.0021, 0)</f>
        <v>55.328499999999998</v>
      </c>
      <c r="I571" s="10">
        <f>55.3264 * CHOOSE(CONTROL!$C$9, $D$9, 100%, $F$9) + CHOOSE(CONTROL!$C$27, 0.0021, 0)</f>
        <v>55.328499999999998</v>
      </c>
      <c r="J571" s="10">
        <f>55.3264 * CHOOSE(CONTROL!$C$9, $D$9, 100%, $F$9) + CHOOSE(CONTROL!$C$27, 0.0021, 0)</f>
        <v>55.328499999999998</v>
      </c>
      <c r="K571" s="10">
        <f>55.3264 * CHOOSE(CONTROL!$C$9, $D$9, 100%, $F$9) + CHOOSE(CONTROL!$C$27, 0.0021, 0)</f>
        <v>55.328499999999998</v>
      </c>
      <c r="L571" s="10"/>
    </row>
    <row r="572" spans="1:12" ht="15.75">
      <c r="A572" s="13">
        <v>58714</v>
      </c>
      <c r="B572" s="10">
        <f>56.8458 * CHOOSE(CONTROL!$C$9, $D$9, 100%, $F$9) + CHOOSE(CONTROL!$C$27, 0.0021, 0)</f>
        <v>56.847899999999996</v>
      </c>
      <c r="C572" s="10">
        <f>56.4136 * CHOOSE(CONTROL!$C$9, $D$9, 100%, $F$9) + CHOOSE(CONTROL!$C$27, 0.0021, 0)</f>
        <v>56.415700000000001</v>
      </c>
      <c r="D572" s="10">
        <f>56.4136 * CHOOSE(CONTROL!$C$9, $D$9, 100%, $F$9) + CHOOSE(CONTROL!$C$27, 0.0021, 0)</f>
        <v>56.415700000000001</v>
      </c>
      <c r="E572" s="10">
        <f>56.2769 * CHOOSE(CONTROL!$C$9, $D$9, 100%, $F$9) + CHOOSE(CONTROL!$C$27, 0.0021, 0)</f>
        <v>56.278999999999996</v>
      </c>
      <c r="F572" s="10">
        <f>56.2769 * CHOOSE(CONTROL!$C$9, $D$9, 100%, $F$9) + CHOOSE(CONTROL!$C$27, 0.0021, 0)</f>
        <v>56.278999999999996</v>
      </c>
      <c r="G572" s="10">
        <f>56.5483 * CHOOSE(CONTROL!$C$9, $D$9, 100%, $F$9) + CHOOSE(CONTROL!$C$27, 0.0021, 0)</f>
        <v>56.550399999999996</v>
      </c>
      <c r="H572" s="10">
        <f>56.4136 * CHOOSE(CONTROL!$C$9, $D$9, 100%, $F$9) + CHOOSE(CONTROL!$C$27, 0.0021, 0)</f>
        <v>56.415700000000001</v>
      </c>
      <c r="I572" s="10">
        <f>56.4136 * CHOOSE(CONTROL!$C$9, $D$9, 100%, $F$9) + CHOOSE(CONTROL!$C$27, 0.0021, 0)</f>
        <v>56.415700000000001</v>
      </c>
      <c r="J572" s="10">
        <f>56.4136 * CHOOSE(CONTROL!$C$9, $D$9, 100%, $F$9) + CHOOSE(CONTROL!$C$27, 0.0021, 0)</f>
        <v>56.415700000000001</v>
      </c>
      <c r="K572" s="10">
        <f>56.4136 * CHOOSE(CONTROL!$C$9, $D$9, 100%, $F$9) + CHOOSE(CONTROL!$C$27, 0.0021, 0)</f>
        <v>56.415700000000001</v>
      </c>
      <c r="L572" s="10"/>
    </row>
    <row r="573" spans="1:12" ht="15.75">
      <c r="A573" s="13">
        <v>58745</v>
      </c>
      <c r="B573" s="10">
        <f>58.2221 * CHOOSE(CONTROL!$C$9, $D$9, 100%, $F$9) + CHOOSE(CONTROL!$C$27, 0.0021, 0)</f>
        <v>58.224199999999996</v>
      </c>
      <c r="C573" s="10">
        <f>57.7898 * CHOOSE(CONTROL!$C$9, $D$9, 100%, $F$9) + CHOOSE(CONTROL!$C$27, 0.0021, 0)</f>
        <v>57.791899999999998</v>
      </c>
      <c r="D573" s="10">
        <f>57.7898 * CHOOSE(CONTROL!$C$9, $D$9, 100%, $F$9) + CHOOSE(CONTROL!$C$27, 0.0021, 0)</f>
        <v>57.791899999999998</v>
      </c>
      <c r="E573" s="10">
        <f>57.6532 * CHOOSE(CONTROL!$C$9, $D$9, 100%, $F$9) + CHOOSE(CONTROL!$C$27, 0.0021, 0)</f>
        <v>57.655299999999997</v>
      </c>
      <c r="F573" s="10">
        <f>57.6532 * CHOOSE(CONTROL!$C$9, $D$9, 100%, $F$9) + CHOOSE(CONTROL!$C$27, 0.0021, 0)</f>
        <v>57.655299999999997</v>
      </c>
      <c r="G573" s="10">
        <f>57.9246 * CHOOSE(CONTROL!$C$9, $D$9, 100%, $F$9) + CHOOSE(CONTROL!$C$27, 0.0021, 0)</f>
        <v>57.926699999999997</v>
      </c>
      <c r="H573" s="10">
        <f>57.7898 * CHOOSE(CONTROL!$C$9, $D$9, 100%, $F$9) + CHOOSE(CONTROL!$C$27, 0.0021, 0)</f>
        <v>57.791899999999998</v>
      </c>
      <c r="I573" s="10">
        <f>57.7898 * CHOOSE(CONTROL!$C$9, $D$9, 100%, $F$9) + CHOOSE(CONTROL!$C$27, 0.0021, 0)</f>
        <v>57.791899999999998</v>
      </c>
      <c r="J573" s="10">
        <f>57.7898 * CHOOSE(CONTROL!$C$9, $D$9, 100%, $F$9) + CHOOSE(CONTROL!$C$27, 0.0021, 0)</f>
        <v>57.791899999999998</v>
      </c>
      <c r="K573" s="10">
        <f>57.7898 * CHOOSE(CONTROL!$C$9, $D$9, 100%, $F$9) + CHOOSE(CONTROL!$C$27, 0.0021, 0)</f>
        <v>57.791899999999998</v>
      </c>
      <c r="L573" s="10"/>
    </row>
    <row r="574" spans="1:12" ht="15.75">
      <c r="A574" s="13">
        <v>58775</v>
      </c>
      <c r="B574" s="10">
        <f>58.3513 * CHOOSE(CONTROL!$C$9, $D$9, 100%, $F$9) + CHOOSE(CONTROL!$C$27, 0.0021, 0)</f>
        <v>58.353400000000001</v>
      </c>
      <c r="C574" s="10">
        <f>57.919 * CHOOSE(CONTROL!$C$9, $D$9, 100%, $F$9) + CHOOSE(CONTROL!$C$27, 0.0021, 0)</f>
        <v>57.921099999999996</v>
      </c>
      <c r="D574" s="10">
        <f>57.919 * CHOOSE(CONTROL!$C$9, $D$9, 100%, $F$9) + CHOOSE(CONTROL!$C$27, 0.0021, 0)</f>
        <v>57.921099999999996</v>
      </c>
      <c r="E574" s="10">
        <f>57.7824 * CHOOSE(CONTROL!$C$9, $D$9, 100%, $F$9) + CHOOSE(CONTROL!$C$27, 0.0021, 0)</f>
        <v>57.784500000000001</v>
      </c>
      <c r="F574" s="10">
        <f>57.7824 * CHOOSE(CONTROL!$C$9, $D$9, 100%, $F$9) + CHOOSE(CONTROL!$C$27, 0.0021, 0)</f>
        <v>57.784500000000001</v>
      </c>
      <c r="G574" s="10">
        <f>58.0538 * CHOOSE(CONTROL!$C$9, $D$9, 100%, $F$9) + CHOOSE(CONTROL!$C$27, 0.0021, 0)</f>
        <v>58.055900000000001</v>
      </c>
      <c r="H574" s="10">
        <f>57.919 * CHOOSE(CONTROL!$C$9, $D$9, 100%, $F$9) + CHOOSE(CONTROL!$C$27, 0.0021, 0)</f>
        <v>57.921099999999996</v>
      </c>
      <c r="I574" s="10">
        <f>57.919 * CHOOSE(CONTROL!$C$9, $D$9, 100%, $F$9) + CHOOSE(CONTROL!$C$27, 0.0021, 0)</f>
        <v>57.921099999999996</v>
      </c>
      <c r="J574" s="10">
        <f>57.919 * CHOOSE(CONTROL!$C$9, $D$9, 100%, $F$9) + CHOOSE(CONTROL!$C$27, 0.0021, 0)</f>
        <v>57.921099999999996</v>
      </c>
      <c r="K574" s="10">
        <f>57.919 * CHOOSE(CONTROL!$C$9, $D$9, 100%, $F$9) + CHOOSE(CONTROL!$C$27, 0.0021, 0)</f>
        <v>57.921099999999996</v>
      </c>
      <c r="L574" s="10"/>
    </row>
    <row r="575" spans="1:12" ht="15.75">
      <c r="A575" s="13">
        <v>58806</v>
      </c>
      <c r="B575" s="10">
        <f>57.2521 * CHOOSE(CONTROL!$C$9, $D$9, 100%, $F$9) + CHOOSE(CONTROL!$C$27, 0.0021, 0)</f>
        <v>57.254199999999997</v>
      </c>
      <c r="C575" s="10">
        <f>56.8199 * CHOOSE(CONTROL!$C$9, $D$9, 100%, $F$9) + CHOOSE(CONTROL!$C$27, 0.0021, 0)</f>
        <v>56.821999999999996</v>
      </c>
      <c r="D575" s="10">
        <f>56.8199 * CHOOSE(CONTROL!$C$9, $D$9, 100%, $F$9) + CHOOSE(CONTROL!$C$27, 0.0021, 0)</f>
        <v>56.821999999999996</v>
      </c>
      <c r="E575" s="10">
        <f>56.6832 * CHOOSE(CONTROL!$C$9, $D$9, 100%, $F$9) + CHOOSE(CONTROL!$C$27, 0.0021, 0)</f>
        <v>56.685299999999998</v>
      </c>
      <c r="F575" s="10">
        <f>56.6832 * CHOOSE(CONTROL!$C$9, $D$9, 100%, $F$9) + CHOOSE(CONTROL!$C$27, 0.0021, 0)</f>
        <v>56.685299999999998</v>
      </c>
      <c r="G575" s="10">
        <f>56.9546 * CHOOSE(CONTROL!$C$9, $D$9, 100%, $F$9) + CHOOSE(CONTROL!$C$27, 0.0021, 0)</f>
        <v>56.956699999999998</v>
      </c>
      <c r="H575" s="10">
        <f>56.8199 * CHOOSE(CONTROL!$C$9, $D$9, 100%, $F$9) + CHOOSE(CONTROL!$C$27, 0.0021, 0)</f>
        <v>56.821999999999996</v>
      </c>
      <c r="I575" s="10">
        <f>56.8199 * CHOOSE(CONTROL!$C$9, $D$9, 100%, $F$9) + CHOOSE(CONTROL!$C$27, 0.0021, 0)</f>
        <v>56.821999999999996</v>
      </c>
      <c r="J575" s="10">
        <f>56.8199 * CHOOSE(CONTROL!$C$9, $D$9, 100%, $F$9) + CHOOSE(CONTROL!$C$27, 0.0021, 0)</f>
        <v>56.821999999999996</v>
      </c>
      <c r="K575" s="10">
        <f>56.8199 * CHOOSE(CONTROL!$C$9, $D$9, 100%, $F$9) + CHOOSE(CONTROL!$C$27, 0.0021, 0)</f>
        <v>56.821999999999996</v>
      </c>
      <c r="L575" s="10"/>
    </row>
    <row r="576" spans="1:12" ht="15.75">
      <c r="A576" s="13">
        <v>58837</v>
      </c>
      <c r="B576" s="10">
        <f>56.4105 * CHOOSE(CONTROL!$C$9, $D$9, 100%, $F$9) + CHOOSE(CONTROL!$C$27, 0.0021, 0)</f>
        <v>56.412599999999998</v>
      </c>
      <c r="C576" s="10">
        <f>55.9783 * CHOOSE(CONTROL!$C$9, $D$9, 100%, $F$9) + CHOOSE(CONTROL!$C$27, 0.0021, 0)</f>
        <v>55.980399999999996</v>
      </c>
      <c r="D576" s="10">
        <f>55.9783 * CHOOSE(CONTROL!$C$9, $D$9, 100%, $F$9) + CHOOSE(CONTROL!$C$27, 0.0021, 0)</f>
        <v>55.980399999999996</v>
      </c>
      <c r="E576" s="10">
        <f>55.8416 * CHOOSE(CONTROL!$C$9, $D$9, 100%, $F$9) + CHOOSE(CONTROL!$C$27, 0.0021, 0)</f>
        <v>55.843699999999998</v>
      </c>
      <c r="F576" s="10">
        <f>55.8416 * CHOOSE(CONTROL!$C$9, $D$9, 100%, $F$9) + CHOOSE(CONTROL!$C$27, 0.0021, 0)</f>
        <v>55.843699999999998</v>
      </c>
      <c r="G576" s="10">
        <f>56.113 * CHOOSE(CONTROL!$C$9, $D$9, 100%, $F$9) + CHOOSE(CONTROL!$C$27, 0.0021, 0)</f>
        <v>56.115099999999998</v>
      </c>
      <c r="H576" s="10">
        <f>55.9783 * CHOOSE(CONTROL!$C$9, $D$9, 100%, $F$9) + CHOOSE(CONTROL!$C$27, 0.0021, 0)</f>
        <v>55.980399999999996</v>
      </c>
      <c r="I576" s="10">
        <f>55.9783 * CHOOSE(CONTROL!$C$9, $D$9, 100%, $F$9) + CHOOSE(CONTROL!$C$27, 0.0021, 0)</f>
        <v>55.980399999999996</v>
      </c>
      <c r="J576" s="10">
        <f>55.9783 * CHOOSE(CONTROL!$C$9, $D$9, 100%, $F$9) + CHOOSE(CONTROL!$C$27, 0.0021, 0)</f>
        <v>55.980399999999996</v>
      </c>
      <c r="K576" s="10">
        <f>55.9783 * CHOOSE(CONTROL!$C$9, $D$9, 100%, $F$9) + CHOOSE(CONTROL!$C$27, 0.0021, 0)</f>
        <v>55.980399999999996</v>
      </c>
      <c r="L576" s="10"/>
    </row>
    <row r="577" spans="1:12" ht="15.75">
      <c r="A577" s="13">
        <v>58865</v>
      </c>
      <c r="B577" s="10">
        <f>54.8798 * CHOOSE(CONTROL!$C$9, $D$9, 100%, $F$9) + CHOOSE(CONTROL!$C$27, 0.0021, 0)</f>
        <v>54.881900000000002</v>
      </c>
      <c r="C577" s="10">
        <f>54.4475 * CHOOSE(CONTROL!$C$9, $D$9, 100%, $F$9) + CHOOSE(CONTROL!$C$27, 0.0021, 0)</f>
        <v>54.449599999999997</v>
      </c>
      <c r="D577" s="10">
        <f>54.4475 * CHOOSE(CONTROL!$C$9, $D$9, 100%, $F$9) + CHOOSE(CONTROL!$C$27, 0.0021, 0)</f>
        <v>54.449599999999997</v>
      </c>
      <c r="E577" s="10">
        <f>54.3109 * CHOOSE(CONTROL!$C$9, $D$9, 100%, $F$9) + CHOOSE(CONTROL!$C$27, 0.0021, 0)</f>
        <v>54.312999999999995</v>
      </c>
      <c r="F577" s="10">
        <f>54.3109 * CHOOSE(CONTROL!$C$9, $D$9, 100%, $F$9) + CHOOSE(CONTROL!$C$27, 0.0021, 0)</f>
        <v>54.312999999999995</v>
      </c>
      <c r="G577" s="10">
        <f>54.5823 * CHOOSE(CONTROL!$C$9, $D$9, 100%, $F$9) + CHOOSE(CONTROL!$C$27, 0.0021, 0)</f>
        <v>54.584399999999995</v>
      </c>
      <c r="H577" s="10">
        <f>54.4475 * CHOOSE(CONTROL!$C$9, $D$9, 100%, $F$9) + CHOOSE(CONTROL!$C$27, 0.0021, 0)</f>
        <v>54.449599999999997</v>
      </c>
      <c r="I577" s="10">
        <f>54.4475 * CHOOSE(CONTROL!$C$9, $D$9, 100%, $F$9) + CHOOSE(CONTROL!$C$27, 0.0021, 0)</f>
        <v>54.449599999999997</v>
      </c>
      <c r="J577" s="10">
        <f>54.4475 * CHOOSE(CONTROL!$C$9, $D$9, 100%, $F$9) + CHOOSE(CONTROL!$C$27, 0.0021, 0)</f>
        <v>54.449599999999997</v>
      </c>
      <c r="K577" s="10">
        <f>54.4475 * CHOOSE(CONTROL!$C$9, $D$9, 100%, $F$9) + CHOOSE(CONTROL!$C$27, 0.0021, 0)</f>
        <v>54.449599999999997</v>
      </c>
      <c r="L577" s="10"/>
    </row>
    <row r="578" spans="1:12" ht="15.75">
      <c r="A578" s="13">
        <v>58893</v>
      </c>
      <c r="B578" s="10">
        <f>54.2479 * CHOOSE(CONTROL!$C$9, $D$9, 100%, $F$9) + CHOOSE(CONTROL!$C$27, 0.0021, 0)</f>
        <v>54.25</v>
      </c>
      <c r="C578" s="10">
        <f>53.8156 * CHOOSE(CONTROL!$C$9, $D$9, 100%, $F$9) + CHOOSE(CONTROL!$C$27, 0.0021, 0)</f>
        <v>53.817700000000002</v>
      </c>
      <c r="D578" s="10">
        <f>53.8156 * CHOOSE(CONTROL!$C$9, $D$9, 100%, $F$9) + CHOOSE(CONTROL!$C$27, 0.0021, 0)</f>
        <v>53.817700000000002</v>
      </c>
      <c r="E578" s="10">
        <f>53.679 * CHOOSE(CONTROL!$C$9, $D$9, 100%, $F$9) + CHOOSE(CONTROL!$C$27, 0.0021, 0)</f>
        <v>53.681100000000001</v>
      </c>
      <c r="F578" s="10">
        <f>53.679 * CHOOSE(CONTROL!$C$9, $D$9, 100%, $F$9) + CHOOSE(CONTROL!$C$27, 0.0021, 0)</f>
        <v>53.681100000000001</v>
      </c>
      <c r="G578" s="10">
        <f>53.9504 * CHOOSE(CONTROL!$C$9, $D$9, 100%, $F$9) + CHOOSE(CONTROL!$C$27, 0.0021, 0)</f>
        <v>53.952500000000001</v>
      </c>
      <c r="H578" s="10">
        <f>53.8156 * CHOOSE(CONTROL!$C$9, $D$9, 100%, $F$9) + CHOOSE(CONTROL!$C$27, 0.0021, 0)</f>
        <v>53.817700000000002</v>
      </c>
      <c r="I578" s="10">
        <f>53.8156 * CHOOSE(CONTROL!$C$9, $D$9, 100%, $F$9) + CHOOSE(CONTROL!$C$27, 0.0021, 0)</f>
        <v>53.817700000000002</v>
      </c>
      <c r="J578" s="10">
        <f>53.8156 * CHOOSE(CONTROL!$C$9, $D$9, 100%, $F$9) + CHOOSE(CONTROL!$C$27, 0.0021, 0)</f>
        <v>53.817700000000002</v>
      </c>
      <c r="K578" s="10">
        <f>53.8156 * CHOOSE(CONTROL!$C$9, $D$9, 100%, $F$9) + CHOOSE(CONTROL!$C$27, 0.0021, 0)</f>
        <v>53.817700000000002</v>
      </c>
      <c r="L578" s="10"/>
    </row>
    <row r="579" spans="1:12" ht="15.75">
      <c r="A579" s="13">
        <v>58926</v>
      </c>
      <c r="B579" s="10">
        <f>53.4934 * CHOOSE(CONTROL!$C$9, $D$9, 100%, $F$9) + CHOOSE(CONTROL!$C$27, 0.0021, 0)</f>
        <v>53.4955</v>
      </c>
      <c r="C579" s="10">
        <f>53.0611 * CHOOSE(CONTROL!$C$9, $D$9, 100%, $F$9) + CHOOSE(CONTROL!$C$27, 0.0021, 0)</f>
        <v>53.063200000000002</v>
      </c>
      <c r="D579" s="10">
        <f>53.0611 * CHOOSE(CONTROL!$C$9, $D$9, 100%, $F$9) + CHOOSE(CONTROL!$C$27, 0.0021, 0)</f>
        <v>53.063200000000002</v>
      </c>
      <c r="E579" s="10">
        <f>52.9245 * CHOOSE(CONTROL!$C$9, $D$9, 100%, $F$9) + CHOOSE(CONTROL!$C$27, 0.0021, 0)</f>
        <v>52.926600000000001</v>
      </c>
      <c r="F579" s="10">
        <f>52.9245 * CHOOSE(CONTROL!$C$9, $D$9, 100%, $F$9) + CHOOSE(CONTROL!$C$27, 0.0021, 0)</f>
        <v>52.926600000000001</v>
      </c>
      <c r="G579" s="10">
        <f>53.1959 * CHOOSE(CONTROL!$C$9, $D$9, 100%, $F$9) + CHOOSE(CONTROL!$C$27, 0.0021, 0)</f>
        <v>53.198</v>
      </c>
      <c r="H579" s="10">
        <f>53.0611 * CHOOSE(CONTROL!$C$9, $D$9, 100%, $F$9) + CHOOSE(CONTROL!$C$27, 0.0021, 0)</f>
        <v>53.063200000000002</v>
      </c>
      <c r="I579" s="10">
        <f>53.0611 * CHOOSE(CONTROL!$C$9, $D$9, 100%, $F$9) + CHOOSE(CONTROL!$C$27, 0.0021, 0)</f>
        <v>53.063200000000002</v>
      </c>
      <c r="J579" s="10">
        <f>53.0611 * CHOOSE(CONTROL!$C$9, $D$9, 100%, $F$9) + CHOOSE(CONTROL!$C$27, 0.0021, 0)</f>
        <v>53.063200000000002</v>
      </c>
      <c r="K579" s="10">
        <f>53.0611 * CHOOSE(CONTROL!$C$9, $D$9, 100%, $F$9) + CHOOSE(CONTROL!$C$27, 0.0021, 0)</f>
        <v>53.063200000000002</v>
      </c>
      <c r="L579" s="10"/>
    </row>
    <row r="580" spans="1:12" ht="15.75">
      <c r="A580" s="13">
        <v>58957</v>
      </c>
      <c r="B580" s="10">
        <f>54.5686 * CHOOSE(CONTROL!$C$9, $D$9, 100%, $F$9) + CHOOSE(CONTROL!$C$27, 0.0021, 0)</f>
        <v>54.570700000000002</v>
      </c>
      <c r="C580" s="10">
        <f>54.1364 * CHOOSE(CONTROL!$C$9, $D$9, 100%, $F$9) + CHOOSE(CONTROL!$C$27, 0.0021, 0)</f>
        <v>54.138500000000001</v>
      </c>
      <c r="D580" s="10">
        <f>54.1364 * CHOOSE(CONTROL!$C$9, $D$9, 100%, $F$9) + CHOOSE(CONTROL!$C$27, 0.0021, 0)</f>
        <v>54.138500000000001</v>
      </c>
      <c r="E580" s="10">
        <f>53.9997 * CHOOSE(CONTROL!$C$9, $D$9, 100%, $F$9) + CHOOSE(CONTROL!$C$27, 0.0021, 0)</f>
        <v>54.001799999999996</v>
      </c>
      <c r="F580" s="10">
        <f>53.9997 * CHOOSE(CONTROL!$C$9, $D$9, 100%, $F$9) + CHOOSE(CONTROL!$C$27, 0.0021, 0)</f>
        <v>54.001799999999996</v>
      </c>
      <c r="G580" s="10">
        <f>54.2711 * CHOOSE(CONTROL!$C$9, $D$9, 100%, $F$9) + CHOOSE(CONTROL!$C$27, 0.0021, 0)</f>
        <v>54.273199999999996</v>
      </c>
      <c r="H580" s="10">
        <f>54.1364 * CHOOSE(CONTROL!$C$9, $D$9, 100%, $F$9) + CHOOSE(CONTROL!$C$27, 0.0021, 0)</f>
        <v>54.138500000000001</v>
      </c>
      <c r="I580" s="10">
        <f>54.1364 * CHOOSE(CONTROL!$C$9, $D$9, 100%, $F$9) + CHOOSE(CONTROL!$C$27, 0.0021, 0)</f>
        <v>54.138500000000001</v>
      </c>
      <c r="J580" s="10">
        <f>54.1364 * CHOOSE(CONTROL!$C$9, $D$9, 100%, $F$9) + CHOOSE(CONTROL!$C$27, 0.0021, 0)</f>
        <v>54.138500000000001</v>
      </c>
      <c r="K580" s="10">
        <f>54.1364 * CHOOSE(CONTROL!$C$9, $D$9, 100%, $F$9) + CHOOSE(CONTROL!$C$27, 0.0021, 0)</f>
        <v>54.138500000000001</v>
      </c>
      <c r="L580" s="10"/>
    </row>
    <row r="581" spans="1:12" ht="15.75">
      <c r="A581" s="13">
        <v>58987</v>
      </c>
      <c r="B581" s="10">
        <f>55.2127 * CHOOSE(CONTROL!$C$9, $D$9, 100%, $F$9) + CHOOSE(CONTROL!$C$27, 0.0021, 0)</f>
        <v>55.214799999999997</v>
      </c>
      <c r="C581" s="10">
        <f>54.7804 * CHOOSE(CONTROL!$C$9, $D$9, 100%, $F$9) + CHOOSE(CONTROL!$C$27, 0.0021, 0)</f>
        <v>54.782499999999999</v>
      </c>
      <c r="D581" s="10">
        <f>54.7804 * CHOOSE(CONTROL!$C$9, $D$9, 100%, $F$9) + CHOOSE(CONTROL!$C$27, 0.0021, 0)</f>
        <v>54.782499999999999</v>
      </c>
      <c r="E581" s="10">
        <f>54.6438 * CHOOSE(CONTROL!$C$9, $D$9, 100%, $F$9) + CHOOSE(CONTROL!$C$27, 0.0021, 0)</f>
        <v>54.645899999999997</v>
      </c>
      <c r="F581" s="10">
        <f>54.6438 * CHOOSE(CONTROL!$C$9, $D$9, 100%, $F$9) + CHOOSE(CONTROL!$C$27, 0.0021, 0)</f>
        <v>54.645899999999997</v>
      </c>
      <c r="G581" s="10">
        <f>54.9151 * CHOOSE(CONTROL!$C$9, $D$9, 100%, $F$9) + CHOOSE(CONTROL!$C$27, 0.0021, 0)</f>
        <v>54.917200000000001</v>
      </c>
      <c r="H581" s="10">
        <f>54.7804 * CHOOSE(CONTROL!$C$9, $D$9, 100%, $F$9) + CHOOSE(CONTROL!$C$27, 0.0021, 0)</f>
        <v>54.782499999999999</v>
      </c>
      <c r="I581" s="10">
        <f>54.7804 * CHOOSE(CONTROL!$C$9, $D$9, 100%, $F$9) + CHOOSE(CONTROL!$C$27, 0.0021, 0)</f>
        <v>54.782499999999999</v>
      </c>
      <c r="J581" s="10">
        <f>54.7804 * CHOOSE(CONTROL!$C$9, $D$9, 100%, $F$9) + CHOOSE(CONTROL!$C$27, 0.0021, 0)</f>
        <v>54.782499999999999</v>
      </c>
      <c r="K581" s="10">
        <f>54.7804 * CHOOSE(CONTROL!$C$9, $D$9, 100%, $F$9) + CHOOSE(CONTROL!$C$27, 0.0021, 0)</f>
        <v>54.782499999999999</v>
      </c>
      <c r="L581" s="10"/>
    </row>
    <row r="582" spans="1:12" ht="15.75">
      <c r="A582" s="13">
        <v>59018</v>
      </c>
      <c r="B582" s="10">
        <f>56.2751 * CHOOSE(CONTROL!$C$9, $D$9, 100%, $F$9) + CHOOSE(CONTROL!$C$27, 0.0021, 0)</f>
        <v>56.277200000000001</v>
      </c>
      <c r="C582" s="10">
        <f>55.8428 * CHOOSE(CONTROL!$C$9, $D$9, 100%, $F$9) + CHOOSE(CONTROL!$C$27, 0.0021, 0)</f>
        <v>55.844899999999996</v>
      </c>
      <c r="D582" s="10">
        <f>55.8428 * CHOOSE(CONTROL!$C$9, $D$9, 100%, $F$9) + CHOOSE(CONTROL!$C$27, 0.0021, 0)</f>
        <v>55.844899999999996</v>
      </c>
      <c r="E582" s="10">
        <f>55.7062 * CHOOSE(CONTROL!$C$9, $D$9, 100%, $F$9) + CHOOSE(CONTROL!$C$27, 0.0021, 0)</f>
        <v>55.708300000000001</v>
      </c>
      <c r="F582" s="10">
        <f>55.7062 * CHOOSE(CONTROL!$C$9, $D$9, 100%, $F$9) + CHOOSE(CONTROL!$C$27, 0.0021, 0)</f>
        <v>55.708300000000001</v>
      </c>
      <c r="G582" s="10">
        <f>55.9775 * CHOOSE(CONTROL!$C$9, $D$9, 100%, $F$9) + CHOOSE(CONTROL!$C$27, 0.0021, 0)</f>
        <v>55.979599999999998</v>
      </c>
      <c r="H582" s="10">
        <f>55.8428 * CHOOSE(CONTROL!$C$9, $D$9, 100%, $F$9) + CHOOSE(CONTROL!$C$27, 0.0021, 0)</f>
        <v>55.844899999999996</v>
      </c>
      <c r="I582" s="10">
        <f>55.8428 * CHOOSE(CONTROL!$C$9, $D$9, 100%, $F$9) + CHOOSE(CONTROL!$C$27, 0.0021, 0)</f>
        <v>55.844899999999996</v>
      </c>
      <c r="J582" s="10">
        <f>55.8428 * CHOOSE(CONTROL!$C$9, $D$9, 100%, $F$9) + CHOOSE(CONTROL!$C$27, 0.0021, 0)</f>
        <v>55.844899999999996</v>
      </c>
      <c r="K582" s="10">
        <f>55.8428 * CHOOSE(CONTROL!$C$9, $D$9, 100%, $F$9) + CHOOSE(CONTROL!$C$27, 0.0021, 0)</f>
        <v>55.844899999999996</v>
      </c>
      <c r="L582" s="10"/>
    </row>
    <row r="583" spans="1:12" ht="15.75">
      <c r="A583" s="13">
        <v>59049</v>
      </c>
      <c r="B583" s="10">
        <f>56.5994 * CHOOSE(CONTROL!$C$9, $D$9, 100%, $F$9) + CHOOSE(CONTROL!$C$27, 0.0021, 0)</f>
        <v>56.601500000000001</v>
      </c>
      <c r="C583" s="10">
        <f>56.1671 * CHOOSE(CONTROL!$C$9, $D$9, 100%, $F$9) + CHOOSE(CONTROL!$C$27, 0.0021, 0)</f>
        <v>56.169199999999996</v>
      </c>
      <c r="D583" s="10">
        <f>56.1671 * CHOOSE(CONTROL!$C$9, $D$9, 100%, $F$9) + CHOOSE(CONTROL!$C$27, 0.0021, 0)</f>
        <v>56.169199999999996</v>
      </c>
      <c r="E583" s="10">
        <f>56.0305 * CHOOSE(CONTROL!$C$9, $D$9, 100%, $F$9) + CHOOSE(CONTROL!$C$27, 0.0021, 0)</f>
        <v>56.032600000000002</v>
      </c>
      <c r="F583" s="10">
        <f>56.0305 * CHOOSE(CONTROL!$C$9, $D$9, 100%, $F$9) + CHOOSE(CONTROL!$C$27, 0.0021, 0)</f>
        <v>56.032600000000002</v>
      </c>
      <c r="G583" s="10">
        <f>56.3018 * CHOOSE(CONTROL!$C$9, $D$9, 100%, $F$9) + CHOOSE(CONTROL!$C$27, 0.0021, 0)</f>
        <v>56.303899999999999</v>
      </c>
      <c r="H583" s="10">
        <f>56.1671 * CHOOSE(CONTROL!$C$9, $D$9, 100%, $F$9) + CHOOSE(CONTROL!$C$27, 0.0021, 0)</f>
        <v>56.169199999999996</v>
      </c>
      <c r="I583" s="10">
        <f>56.1671 * CHOOSE(CONTROL!$C$9, $D$9, 100%, $F$9) + CHOOSE(CONTROL!$C$27, 0.0021, 0)</f>
        <v>56.169199999999996</v>
      </c>
      <c r="J583" s="10">
        <f>56.1671 * CHOOSE(CONTROL!$C$9, $D$9, 100%, $F$9) + CHOOSE(CONTROL!$C$27, 0.0021, 0)</f>
        <v>56.169199999999996</v>
      </c>
      <c r="K583" s="10">
        <f>56.1671 * CHOOSE(CONTROL!$C$9, $D$9, 100%, $F$9) + CHOOSE(CONTROL!$C$27, 0.0021, 0)</f>
        <v>56.169199999999996</v>
      </c>
      <c r="L583" s="10"/>
    </row>
    <row r="584" spans="1:12" ht="15.75">
      <c r="A584" s="13">
        <v>59079</v>
      </c>
      <c r="B584" s="10">
        <f>57.7037 * CHOOSE(CONTROL!$C$9, $D$9, 100%, $F$9) + CHOOSE(CONTROL!$C$27, 0.0021, 0)</f>
        <v>57.705799999999996</v>
      </c>
      <c r="C584" s="10">
        <f>57.2714 * CHOOSE(CONTROL!$C$9, $D$9, 100%, $F$9) + CHOOSE(CONTROL!$C$27, 0.0021, 0)</f>
        <v>57.273499999999999</v>
      </c>
      <c r="D584" s="10">
        <f>57.2714 * CHOOSE(CONTROL!$C$9, $D$9, 100%, $F$9) + CHOOSE(CONTROL!$C$27, 0.0021, 0)</f>
        <v>57.273499999999999</v>
      </c>
      <c r="E584" s="10">
        <f>57.1348 * CHOOSE(CONTROL!$C$9, $D$9, 100%, $F$9) + CHOOSE(CONTROL!$C$27, 0.0021, 0)</f>
        <v>57.136899999999997</v>
      </c>
      <c r="F584" s="10">
        <f>57.1348 * CHOOSE(CONTROL!$C$9, $D$9, 100%, $F$9) + CHOOSE(CONTROL!$C$27, 0.0021, 0)</f>
        <v>57.136899999999997</v>
      </c>
      <c r="G584" s="10">
        <f>57.4062 * CHOOSE(CONTROL!$C$9, $D$9, 100%, $F$9) + CHOOSE(CONTROL!$C$27, 0.0021, 0)</f>
        <v>57.408299999999997</v>
      </c>
      <c r="H584" s="10">
        <f>57.2714 * CHOOSE(CONTROL!$C$9, $D$9, 100%, $F$9) + CHOOSE(CONTROL!$C$27, 0.0021, 0)</f>
        <v>57.273499999999999</v>
      </c>
      <c r="I584" s="10">
        <f>57.2714 * CHOOSE(CONTROL!$C$9, $D$9, 100%, $F$9) + CHOOSE(CONTROL!$C$27, 0.0021, 0)</f>
        <v>57.273499999999999</v>
      </c>
      <c r="J584" s="10">
        <f>57.2714 * CHOOSE(CONTROL!$C$9, $D$9, 100%, $F$9) + CHOOSE(CONTROL!$C$27, 0.0021, 0)</f>
        <v>57.273499999999999</v>
      </c>
      <c r="K584" s="10">
        <f>57.2714 * CHOOSE(CONTROL!$C$9, $D$9, 100%, $F$9) + CHOOSE(CONTROL!$C$27, 0.0021, 0)</f>
        <v>57.273499999999999</v>
      </c>
      <c r="L584" s="10"/>
    </row>
    <row r="585" spans="1:12" ht="15.75">
      <c r="A585" s="13">
        <v>59110</v>
      </c>
      <c r="B585" s="10">
        <f>59.1016 * CHOOSE(CONTROL!$C$9, $D$9, 100%, $F$9) + CHOOSE(CONTROL!$C$27, 0.0021, 0)</f>
        <v>59.103699999999996</v>
      </c>
      <c r="C585" s="10">
        <f>58.6693 * CHOOSE(CONTROL!$C$9, $D$9, 100%, $F$9) + CHOOSE(CONTROL!$C$27, 0.0021, 0)</f>
        <v>58.671399999999998</v>
      </c>
      <c r="D585" s="10">
        <f>58.6693 * CHOOSE(CONTROL!$C$9, $D$9, 100%, $F$9) + CHOOSE(CONTROL!$C$27, 0.0021, 0)</f>
        <v>58.671399999999998</v>
      </c>
      <c r="E585" s="10">
        <f>58.5327 * CHOOSE(CONTROL!$C$9, $D$9, 100%, $F$9) + CHOOSE(CONTROL!$C$27, 0.0021, 0)</f>
        <v>58.534799999999997</v>
      </c>
      <c r="F585" s="10">
        <f>58.5327 * CHOOSE(CONTROL!$C$9, $D$9, 100%, $F$9) + CHOOSE(CONTROL!$C$27, 0.0021, 0)</f>
        <v>58.534799999999997</v>
      </c>
      <c r="G585" s="10">
        <f>58.8041 * CHOOSE(CONTROL!$C$9, $D$9, 100%, $F$9) + CHOOSE(CONTROL!$C$27, 0.0021, 0)</f>
        <v>58.806199999999997</v>
      </c>
      <c r="H585" s="10">
        <f>58.6693 * CHOOSE(CONTROL!$C$9, $D$9, 100%, $F$9) + CHOOSE(CONTROL!$C$27, 0.0021, 0)</f>
        <v>58.671399999999998</v>
      </c>
      <c r="I585" s="10">
        <f>58.6693 * CHOOSE(CONTROL!$C$9, $D$9, 100%, $F$9) + CHOOSE(CONTROL!$C$27, 0.0021, 0)</f>
        <v>58.671399999999998</v>
      </c>
      <c r="J585" s="10">
        <f>58.6693 * CHOOSE(CONTROL!$C$9, $D$9, 100%, $F$9) + CHOOSE(CONTROL!$C$27, 0.0021, 0)</f>
        <v>58.671399999999998</v>
      </c>
      <c r="K585" s="10">
        <f>58.6693 * CHOOSE(CONTROL!$C$9, $D$9, 100%, $F$9) + CHOOSE(CONTROL!$C$27, 0.0021, 0)</f>
        <v>58.671399999999998</v>
      </c>
      <c r="L585" s="10"/>
    </row>
    <row r="586" spans="1:12" ht="15.75">
      <c r="A586" s="13">
        <v>59140</v>
      </c>
      <c r="B586" s="10">
        <f>59.2328 * CHOOSE(CONTROL!$C$9, $D$9, 100%, $F$9) + CHOOSE(CONTROL!$C$27, 0.0021, 0)</f>
        <v>59.234899999999996</v>
      </c>
      <c r="C586" s="10">
        <f>58.8006 * CHOOSE(CONTROL!$C$9, $D$9, 100%, $F$9) + CHOOSE(CONTROL!$C$27, 0.0021, 0)</f>
        <v>58.802700000000002</v>
      </c>
      <c r="D586" s="10">
        <f>58.8006 * CHOOSE(CONTROL!$C$9, $D$9, 100%, $F$9) + CHOOSE(CONTROL!$C$27, 0.0021, 0)</f>
        <v>58.802700000000002</v>
      </c>
      <c r="E586" s="10">
        <f>58.6639 * CHOOSE(CONTROL!$C$9, $D$9, 100%, $F$9) + CHOOSE(CONTROL!$C$27, 0.0021, 0)</f>
        <v>58.665999999999997</v>
      </c>
      <c r="F586" s="10">
        <f>58.6639 * CHOOSE(CONTROL!$C$9, $D$9, 100%, $F$9) + CHOOSE(CONTROL!$C$27, 0.0021, 0)</f>
        <v>58.665999999999997</v>
      </c>
      <c r="G586" s="10">
        <f>58.9353 * CHOOSE(CONTROL!$C$9, $D$9, 100%, $F$9) + CHOOSE(CONTROL!$C$27, 0.0021, 0)</f>
        <v>58.937399999999997</v>
      </c>
      <c r="H586" s="10">
        <f>58.8006 * CHOOSE(CONTROL!$C$9, $D$9, 100%, $F$9) + CHOOSE(CONTROL!$C$27, 0.0021, 0)</f>
        <v>58.802700000000002</v>
      </c>
      <c r="I586" s="10">
        <f>58.8006 * CHOOSE(CONTROL!$C$9, $D$9, 100%, $F$9) + CHOOSE(CONTROL!$C$27, 0.0021, 0)</f>
        <v>58.802700000000002</v>
      </c>
      <c r="J586" s="10">
        <f>58.8006 * CHOOSE(CONTROL!$C$9, $D$9, 100%, $F$9) + CHOOSE(CONTROL!$C$27, 0.0021, 0)</f>
        <v>58.802700000000002</v>
      </c>
      <c r="K586" s="10">
        <f>58.8006 * CHOOSE(CONTROL!$C$9, $D$9, 100%, $F$9) + CHOOSE(CONTROL!$C$27, 0.0021, 0)</f>
        <v>58.802700000000002</v>
      </c>
      <c r="L586" s="10"/>
    </row>
    <row r="587" spans="1:12" ht="15.75">
      <c r="A587" s="13">
        <v>59171</v>
      </c>
      <c r="B587" s="10">
        <f>58.1163 * CHOOSE(CONTROL!$C$9, $D$9, 100%, $F$9) + CHOOSE(CONTROL!$C$27, 0.0021, 0)</f>
        <v>58.118400000000001</v>
      </c>
      <c r="C587" s="10">
        <f>57.6841 * CHOOSE(CONTROL!$C$9, $D$9, 100%, $F$9) + CHOOSE(CONTROL!$C$27, 0.0021, 0)</f>
        <v>57.686199999999999</v>
      </c>
      <c r="D587" s="10">
        <f>57.6841 * CHOOSE(CONTROL!$C$9, $D$9, 100%, $F$9) + CHOOSE(CONTROL!$C$27, 0.0021, 0)</f>
        <v>57.686199999999999</v>
      </c>
      <c r="E587" s="10">
        <f>57.5474 * CHOOSE(CONTROL!$C$9, $D$9, 100%, $F$9) + CHOOSE(CONTROL!$C$27, 0.0021, 0)</f>
        <v>57.549500000000002</v>
      </c>
      <c r="F587" s="10">
        <f>57.5474 * CHOOSE(CONTROL!$C$9, $D$9, 100%, $F$9) + CHOOSE(CONTROL!$C$27, 0.0021, 0)</f>
        <v>57.549500000000002</v>
      </c>
      <c r="G587" s="10">
        <f>57.8188 * CHOOSE(CONTROL!$C$9, $D$9, 100%, $F$9) + CHOOSE(CONTROL!$C$27, 0.0021, 0)</f>
        <v>57.820900000000002</v>
      </c>
      <c r="H587" s="10">
        <f>57.6841 * CHOOSE(CONTROL!$C$9, $D$9, 100%, $F$9) + CHOOSE(CONTROL!$C$27, 0.0021, 0)</f>
        <v>57.686199999999999</v>
      </c>
      <c r="I587" s="10">
        <f>57.6841 * CHOOSE(CONTROL!$C$9, $D$9, 100%, $F$9) + CHOOSE(CONTROL!$C$27, 0.0021, 0)</f>
        <v>57.686199999999999</v>
      </c>
      <c r="J587" s="10">
        <f>57.6841 * CHOOSE(CONTROL!$C$9, $D$9, 100%, $F$9) + CHOOSE(CONTROL!$C$27, 0.0021, 0)</f>
        <v>57.686199999999999</v>
      </c>
      <c r="K587" s="10">
        <f>57.6841 * CHOOSE(CONTROL!$C$9, $D$9, 100%, $F$9) + CHOOSE(CONTROL!$C$27, 0.0021, 0)</f>
        <v>57.686199999999999</v>
      </c>
      <c r="L587" s="10"/>
    </row>
    <row r="588" spans="1:12" ht="15.75">
      <c r="A588" s="13">
        <v>59202</v>
      </c>
      <c r="B588" s="10">
        <f>57.2615 * CHOOSE(CONTROL!$C$9, $D$9, 100%, $F$9) + CHOOSE(CONTROL!$C$27, 0.0021, 0)</f>
        <v>57.263599999999997</v>
      </c>
      <c r="C588" s="10">
        <f>56.8293 * CHOOSE(CONTROL!$C$9, $D$9, 100%, $F$9) + CHOOSE(CONTROL!$C$27, 0.0021, 0)</f>
        <v>56.831400000000002</v>
      </c>
      <c r="D588" s="10">
        <f>56.8293 * CHOOSE(CONTROL!$C$9, $D$9, 100%, $F$9) + CHOOSE(CONTROL!$C$27, 0.0021, 0)</f>
        <v>56.831400000000002</v>
      </c>
      <c r="E588" s="10">
        <f>56.6926 * CHOOSE(CONTROL!$C$9, $D$9, 100%, $F$9) + CHOOSE(CONTROL!$C$27, 0.0021, 0)</f>
        <v>56.694699999999997</v>
      </c>
      <c r="F588" s="10">
        <f>56.6926 * CHOOSE(CONTROL!$C$9, $D$9, 100%, $F$9) + CHOOSE(CONTROL!$C$27, 0.0021, 0)</f>
        <v>56.694699999999997</v>
      </c>
      <c r="G588" s="10">
        <f>56.964 * CHOOSE(CONTROL!$C$9, $D$9, 100%, $F$9) + CHOOSE(CONTROL!$C$27, 0.0021, 0)</f>
        <v>56.966099999999997</v>
      </c>
      <c r="H588" s="10">
        <f>56.8293 * CHOOSE(CONTROL!$C$9, $D$9, 100%, $F$9) + CHOOSE(CONTROL!$C$27, 0.0021, 0)</f>
        <v>56.831400000000002</v>
      </c>
      <c r="I588" s="10">
        <f>56.8293 * CHOOSE(CONTROL!$C$9, $D$9, 100%, $F$9) + CHOOSE(CONTROL!$C$27, 0.0021, 0)</f>
        <v>56.831400000000002</v>
      </c>
      <c r="J588" s="10">
        <f>56.8293 * CHOOSE(CONTROL!$C$9, $D$9, 100%, $F$9) + CHOOSE(CONTROL!$C$27, 0.0021, 0)</f>
        <v>56.831400000000002</v>
      </c>
      <c r="K588" s="10">
        <f>56.8293 * CHOOSE(CONTROL!$C$9, $D$9, 100%, $F$9) + CHOOSE(CONTROL!$C$27, 0.0021, 0)</f>
        <v>56.831400000000002</v>
      </c>
      <c r="L588" s="10"/>
    </row>
    <row r="589" spans="1:12" ht="15.75">
      <c r="A589" s="13">
        <v>59230</v>
      </c>
      <c r="B589" s="10">
        <f>55.7067 * CHOOSE(CONTROL!$C$9, $D$9, 100%, $F$9) + CHOOSE(CONTROL!$C$27, 0.0021, 0)</f>
        <v>55.708799999999997</v>
      </c>
      <c r="C589" s="10">
        <f>55.2745 * CHOOSE(CONTROL!$C$9, $D$9, 100%, $F$9) + CHOOSE(CONTROL!$C$27, 0.0021, 0)</f>
        <v>55.276600000000002</v>
      </c>
      <c r="D589" s="10">
        <f>55.2745 * CHOOSE(CONTROL!$C$9, $D$9, 100%, $F$9) + CHOOSE(CONTROL!$C$27, 0.0021, 0)</f>
        <v>55.276600000000002</v>
      </c>
      <c r="E589" s="10">
        <f>55.1378 * CHOOSE(CONTROL!$C$9, $D$9, 100%, $F$9) + CHOOSE(CONTROL!$C$27, 0.0021, 0)</f>
        <v>55.139899999999997</v>
      </c>
      <c r="F589" s="10">
        <f>55.1378 * CHOOSE(CONTROL!$C$9, $D$9, 100%, $F$9) + CHOOSE(CONTROL!$C$27, 0.0021, 0)</f>
        <v>55.139899999999997</v>
      </c>
      <c r="G589" s="10">
        <f>55.4092 * CHOOSE(CONTROL!$C$9, $D$9, 100%, $F$9) + CHOOSE(CONTROL!$C$27, 0.0021, 0)</f>
        <v>55.411299999999997</v>
      </c>
      <c r="H589" s="10">
        <f>55.2745 * CHOOSE(CONTROL!$C$9, $D$9, 100%, $F$9) + CHOOSE(CONTROL!$C$27, 0.0021, 0)</f>
        <v>55.276600000000002</v>
      </c>
      <c r="I589" s="10">
        <f>55.2745 * CHOOSE(CONTROL!$C$9, $D$9, 100%, $F$9) + CHOOSE(CONTROL!$C$27, 0.0021, 0)</f>
        <v>55.276600000000002</v>
      </c>
      <c r="J589" s="10">
        <f>55.2745 * CHOOSE(CONTROL!$C$9, $D$9, 100%, $F$9) + CHOOSE(CONTROL!$C$27, 0.0021, 0)</f>
        <v>55.276600000000002</v>
      </c>
      <c r="K589" s="10">
        <f>55.2745 * CHOOSE(CONTROL!$C$9, $D$9, 100%, $F$9) + CHOOSE(CONTROL!$C$27, 0.0021, 0)</f>
        <v>55.276600000000002</v>
      </c>
      <c r="L589" s="10"/>
    </row>
    <row r="590" spans="1:12" ht="15.75">
      <c r="A590" s="13">
        <v>59261</v>
      </c>
      <c r="B590" s="10">
        <f>55.0649 * CHOOSE(CONTROL!$C$9, $D$9, 100%, $F$9) + CHOOSE(CONTROL!$C$27, 0.0021, 0)</f>
        <v>55.067</v>
      </c>
      <c r="C590" s="10">
        <f>54.6326 * CHOOSE(CONTROL!$C$9, $D$9, 100%, $F$9) + CHOOSE(CONTROL!$C$27, 0.0021, 0)</f>
        <v>54.634699999999995</v>
      </c>
      <c r="D590" s="10">
        <f>54.6326 * CHOOSE(CONTROL!$C$9, $D$9, 100%, $F$9) + CHOOSE(CONTROL!$C$27, 0.0021, 0)</f>
        <v>54.634699999999995</v>
      </c>
      <c r="E590" s="10">
        <f>54.496 * CHOOSE(CONTROL!$C$9, $D$9, 100%, $F$9) + CHOOSE(CONTROL!$C$27, 0.0021, 0)</f>
        <v>54.498100000000001</v>
      </c>
      <c r="F590" s="10">
        <f>54.496 * CHOOSE(CONTROL!$C$9, $D$9, 100%, $F$9) + CHOOSE(CONTROL!$C$27, 0.0021, 0)</f>
        <v>54.498100000000001</v>
      </c>
      <c r="G590" s="10">
        <f>54.7674 * CHOOSE(CONTROL!$C$9, $D$9, 100%, $F$9) + CHOOSE(CONTROL!$C$27, 0.0021, 0)</f>
        <v>54.769500000000001</v>
      </c>
      <c r="H590" s="10">
        <f>54.6326 * CHOOSE(CONTROL!$C$9, $D$9, 100%, $F$9) + CHOOSE(CONTROL!$C$27, 0.0021, 0)</f>
        <v>54.634699999999995</v>
      </c>
      <c r="I590" s="10">
        <f>54.6326 * CHOOSE(CONTROL!$C$9, $D$9, 100%, $F$9) + CHOOSE(CONTROL!$C$27, 0.0021, 0)</f>
        <v>54.634699999999995</v>
      </c>
      <c r="J590" s="10">
        <f>54.6326 * CHOOSE(CONTROL!$C$9, $D$9, 100%, $F$9) + CHOOSE(CONTROL!$C$27, 0.0021, 0)</f>
        <v>54.634699999999995</v>
      </c>
      <c r="K590" s="10">
        <f>54.6326 * CHOOSE(CONTROL!$C$9, $D$9, 100%, $F$9) + CHOOSE(CONTROL!$C$27, 0.0021, 0)</f>
        <v>54.634699999999995</v>
      </c>
      <c r="L590" s="10"/>
    </row>
    <row r="591" spans="1:12" ht="15.75">
      <c r="A591" s="13">
        <v>59291</v>
      </c>
      <c r="B591" s="10">
        <f>54.2985 * CHOOSE(CONTROL!$C$9, $D$9, 100%, $F$9) + CHOOSE(CONTROL!$C$27, 0.0021, 0)</f>
        <v>54.300599999999996</v>
      </c>
      <c r="C591" s="10">
        <f>53.8663 * CHOOSE(CONTROL!$C$9, $D$9, 100%, $F$9) + CHOOSE(CONTROL!$C$27, 0.0021, 0)</f>
        <v>53.868400000000001</v>
      </c>
      <c r="D591" s="10">
        <f>53.8663 * CHOOSE(CONTROL!$C$9, $D$9, 100%, $F$9) + CHOOSE(CONTROL!$C$27, 0.0021, 0)</f>
        <v>53.868400000000001</v>
      </c>
      <c r="E591" s="10">
        <f>53.7296 * CHOOSE(CONTROL!$C$9, $D$9, 100%, $F$9) + CHOOSE(CONTROL!$C$27, 0.0021, 0)</f>
        <v>53.731699999999996</v>
      </c>
      <c r="F591" s="10">
        <f>53.7296 * CHOOSE(CONTROL!$C$9, $D$9, 100%, $F$9) + CHOOSE(CONTROL!$C$27, 0.0021, 0)</f>
        <v>53.731699999999996</v>
      </c>
      <c r="G591" s="10">
        <f>54.001 * CHOOSE(CONTROL!$C$9, $D$9, 100%, $F$9) + CHOOSE(CONTROL!$C$27, 0.0021, 0)</f>
        <v>54.003099999999996</v>
      </c>
      <c r="H591" s="10">
        <f>53.8663 * CHOOSE(CONTROL!$C$9, $D$9, 100%, $F$9) + CHOOSE(CONTROL!$C$27, 0.0021, 0)</f>
        <v>53.868400000000001</v>
      </c>
      <c r="I591" s="10">
        <f>53.8663 * CHOOSE(CONTROL!$C$9, $D$9, 100%, $F$9) + CHOOSE(CONTROL!$C$27, 0.0021, 0)</f>
        <v>53.868400000000001</v>
      </c>
      <c r="J591" s="10">
        <f>53.8663 * CHOOSE(CONTROL!$C$9, $D$9, 100%, $F$9) + CHOOSE(CONTROL!$C$27, 0.0021, 0)</f>
        <v>53.868400000000001</v>
      </c>
      <c r="K591" s="10">
        <f>53.8663 * CHOOSE(CONTROL!$C$9, $D$9, 100%, $F$9) + CHOOSE(CONTROL!$C$27, 0.0021, 0)</f>
        <v>53.868400000000001</v>
      </c>
      <c r="L591" s="10"/>
    </row>
    <row r="592" spans="1:12" ht="15.75">
      <c r="A592" s="13">
        <v>59322</v>
      </c>
      <c r="B592" s="10">
        <f>55.3907 * CHOOSE(CONTROL!$C$9, $D$9, 100%, $F$9) + CHOOSE(CONTROL!$C$27, 0.0021, 0)</f>
        <v>55.392800000000001</v>
      </c>
      <c r="C592" s="10">
        <f>54.9584 * CHOOSE(CONTROL!$C$9, $D$9, 100%, $F$9) + CHOOSE(CONTROL!$C$27, 0.0021, 0)</f>
        <v>54.960499999999996</v>
      </c>
      <c r="D592" s="10">
        <f>54.9584 * CHOOSE(CONTROL!$C$9, $D$9, 100%, $F$9) + CHOOSE(CONTROL!$C$27, 0.0021, 0)</f>
        <v>54.960499999999996</v>
      </c>
      <c r="E592" s="10">
        <f>54.8218 * CHOOSE(CONTROL!$C$9, $D$9, 100%, $F$9) + CHOOSE(CONTROL!$C$27, 0.0021, 0)</f>
        <v>54.823900000000002</v>
      </c>
      <c r="F592" s="10">
        <f>54.8218 * CHOOSE(CONTROL!$C$9, $D$9, 100%, $F$9) + CHOOSE(CONTROL!$C$27, 0.0021, 0)</f>
        <v>54.823900000000002</v>
      </c>
      <c r="G592" s="10">
        <f>55.0931 * CHOOSE(CONTROL!$C$9, $D$9, 100%, $F$9) + CHOOSE(CONTROL!$C$27, 0.0021, 0)</f>
        <v>55.095199999999998</v>
      </c>
      <c r="H592" s="10">
        <f>54.9584 * CHOOSE(CONTROL!$C$9, $D$9, 100%, $F$9) + CHOOSE(CONTROL!$C$27, 0.0021, 0)</f>
        <v>54.960499999999996</v>
      </c>
      <c r="I592" s="10">
        <f>54.9584 * CHOOSE(CONTROL!$C$9, $D$9, 100%, $F$9) + CHOOSE(CONTROL!$C$27, 0.0021, 0)</f>
        <v>54.960499999999996</v>
      </c>
      <c r="J592" s="10">
        <f>54.9584 * CHOOSE(CONTROL!$C$9, $D$9, 100%, $F$9) + CHOOSE(CONTROL!$C$27, 0.0021, 0)</f>
        <v>54.960499999999996</v>
      </c>
      <c r="K592" s="10">
        <f>54.9584 * CHOOSE(CONTROL!$C$9, $D$9, 100%, $F$9) + CHOOSE(CONTROL!$C$27, 0.0021, 0)</f>
        <v>54.960499999999996</v>
      </c>
      <c r="L592" s="10"/>
    </row>
    <row r="593" spans="1:12" ht="15.75">
      <c r="A593" s="13">
        <v>59352</v>
      </c>
      <c r="B593" s="10">
        <f>56.0448 * CHOOSE(CONTROL!$C$9, $D$9, 100%, $F$9) + CHOOSE(CONTROL!$C$27, 0.0021, 0)</f>
        <v>56.046900000000001</v>
      </c>
      <c r="C593" s="10">
        <f>55.6126 * CHOOSE(CONTROL!$C$9, $D$9, 100%, $F$9) + CHOOSE(CONTROL!$C$27, 0.0021, 0)</f>
        <v>55.614699999999999</v>
      </c>
      <c r="D593" s="10">
        <f>55.6126 * CHOOSE(CONTROL!$C$9, $D$9, 100%, $F$9) + CHOOSE(CONTROL!$C$27, 0.0021, 0)</f>
        <v>55.614699999999999</v>
      </c>
      <c r="E593" s="10">
        <f>55.4759 * CHOOSE(CONTROL!$C$9, $D$9, 100%, $F$9) + CHOOSE(CONTROL!$C$27, 0.0021, 0)</f>
        <v>55.478000000000002</v>
      </c>
      <c r="F593" s="10">
        <f>55.4759 * CHOOSE(CONTROL!$C$9, $D$9, 100%, $F$9) + CHOOSE(CONTROL!$C$27, 0.0021, 0)</f>
        <v>55.478000000000002</v>
      </c>
      <c r="G593" s="10">
        <f>55.7473 * CHOOSE(CONTROL!$C$9, $D$9, 100%, $F$9) + CHOOSE(CONTROL!$C$27, 0.0021, 0)</f>
        <v>55.749400000000001</v>
      </c>
      <c r="H593" s="10">
        <f>55.6126 * CHOOSE(CONTROL!$C$9, $D$9, 100%, $F$9) + CHOOSE(CONTROL!$C$27, 0.0021, 0)</f>
        <v>55.614699999999999</v>
      </c>
      <c r="I593" s="10">
        <f>55.6126 * CHOOSE(CONTROL!$C$9, $D$9, 100%, $F$9) + CHOOSE(CONTROL!$C$27, 0.0021, 0)</f>
        <v>55.614699999999999</v>
      </c>
      <c r="J593" s="10">
        <f>55.6126 * CHOOSE(CONTROL!$C$9, $D$9, 100%, $F$9) + CHOOSE(CONTROL!$C$27, 0.0021, 0)</f>
        <v>55.614699999999999</v>
      </c>
      <c r="K593" s="10">
        <f>55.6126 * CHOOSE(CONTROL!$C$9, $D$9, 100%, $F$9) + CHOOSE(CONTROL!$C$27, 0.0021, 0)</f>
        <v>55.614699999999999</v>
      </c>
      <c r="L593" s="10"/>
    </row>
    <row r="594" spans="1:12" ht="15.75">
      <c r="A594" s="13">
        <v>59383</v>
      </c>
      <c r="B594" s="10">
        <f>57.124 * CHOOSE(CONTROL!$C$9, $D$9, 100%, $F$9) + CHOOSE(CONTROL!$C$27, 0.0021, 0)</f>
        <v>57.126100000000001</v>
      </c>
      <c r="C594" s="10">
        <f>56.6917 * CHOOSE(CONTROL!$C$9, $D$9, 100%, $F$9) + CHOOSE(CONTROL!$C$27, 0.0021, 0)</f>
        <v>56.693799999999996</v>
      </c>
      <c r="D594" s="10">
        <f>56.6917 * CHOOSE(CONTROL!$C$9, $D$9, 100%, $F$9) + CHOOSE(CONTROL!$C$27, 0.0021, 0)</f>
        <v>56.693799999999996</v>
      </c>
      <c r="E594" s="10">
        <f>56.555 * CHOOSE(CONTROL!$C$9, $D$9, 100%, $F$9) + CHOOSE(CONTROL!$C$27, 0.0021, 0)</f>
        <v>56.557099999999998</v>
      </c>
      <c r="F594" s="10">
        <f>56.555 * CHOOSE(CONTROL!$C$9, $D$9, 100%, $F$9) + CHOOSE(CONTROL!$C$27, 0.0021, 0)</f>
        <v>56.557099999999998</v>
      </c>
      <c r="G594" s="10">
        <f>56.8264 * CHOOSE(CONTROL!$C$9, $D$9, 100%, $F$9) + CHOOSE(CONTROL!$C$27, 0.0021, 0)</f>
        <v>56.828499999999998</v>
      </c>
      <c r="H594" s="10">
        <f>56.6917 * CHOOSE(CONTROL!$C$9, $D$9, 100%, $F$9) + CHOOSE(CONTROL!$C$27, 0.0021, 0)</f>
        <v>56.693799999999996</v>
      </c>
      <c r="I594" s="10">
        <f>56.6917 * CHOOSE(CONTROL!$C$9, $D$9, 100%, $F$9) + CHOOSE(CONTROL!$C$27, 0.0021, 0)</f>
        <v>56.693799999999996</v>
      </c>
      <c r="J594" s="10">
        <f>56.6917 * CHOOSE(CONTROL!$C$9, $D$9, 100%, $F$9) + CHOOSE(CONTROL!$C$27, 0.0021, 0)</f>
        <v>56.693799999999996</v>
      </c>
      <c r="K594" s="10">
        <f>56.6917 * CHOOSE(CONTROL!$C$9, $D$9, 100%, $F$9) + CHOOSE(CONTROL!$C$27, 0.0021, 0)</f>
        <v>56.693799999999996</v>
      </c>
      <c r="L594" s="10"/>
    </row>
    <row r="595" spans="1:12" ht="15.75">
      <c r="A595" s="13">
        <v>59414</v>
      </c>
      <c r="B595" s="10">
        <f>57.4533 * CHOOSE(CONTROL!$C$9, $D$9, 100%, $F$9) + CHOOSE(CONTROL!$C$27, 0.0021, 0)</f>
        <v>57.455399999999997</v>
      </c>
      <c r="C595" s="10">
        <f>57.0211 * CHOOSE(CONTROL!$C$9, $D$9, 100%, $F$9) + CHOOSE(CONTROL!$C$27, 0.0021, 0)</f>
        <v>57.023199999999996</v>
      </c>
      <c r="D595" s="10">
        <f>57.0211 * CHOOSE(CONTROL!$C$9, $D$9, 100%, $F$9) + CHOOSE(CONTROL!$C$27, 0.0021, 0)</f>
        <v>57.023199999999996</v>
      </c>
      <c r="E595" s="10">
        <f>56.8844 * CHOOSE(CONTROL!$C$9, $D$9, 100%, $F$9) + CHOOSE(CONTROL!$C$27, 0.0021, 0)</f>
        <v>56.886499999999998</v>
      </c>
      <c r="F595" s="10">
        <f>56.8844 * CHOOSE(CONTROL!$C$9, $D$9, 100%, $F$9) + CHOOSE(CONTROL!$C$27, 0.0021, 0)</f>
        <v>56.886499999999998</v>
      </c>
      <c r="G595" s="10">
        <f>57.1558 * CHOOSE(CONTROL!$C$9, $D$9, 100%, $F$9) + CHOOSE(CONTROL!$C$27, 0.0021, 0)</f>
        <v>57.157899999999998</v>
      </c>
      <c r="H595" s="10">
        <f>57.0211 * CHOOSE(CONTROL!$C$9, $D$9, 100%, $F$9) + CHOOSE(CONTROL!$C$27, 0.0021, 0)</f>
        <v>57.023199999999996</v>
      </c>
      <c r="I595" s="10">
        <f>57.0211 * CHOOSE(CONTROL!$C$9, $D$9, 100%, $F$9) + CHOOSE(CONTROL!$C$27, 0.0021, 0)</f>
        <v>57.023199999999996</v>
      </c>
      <c r="J595" s="10">
        <f>57.0211 * CHOOSE(CONTROL!$C$9, $D$9, 100%, $F$9) + CHOOSE(CONTROL!$C$27, 0.0021, 0)</f>
        <v>57.023199999999996</v>
      </c>
      <c r="K595" s="10">
        <f>57.0211 * CHOOSE(CONTROL!$C$9, $D$9, 100%, $F$9) + CHOOSE(CONTROL!$C$27, 0.0021, 0)</f>
        <v>57.023199999999996</v>
      </c>
      <c r="L595" s="10"/>
    </row>
    <row r="596" spans="1:12" ht="15.75">
      <c r="A596" s="13">
        <v>59444</v>
      </c>
      <c r="B596" s="10">
        <f>58.575 * CHOOSE(CONTROL!$C$9, $D$9, 100%, $F$9) + CHOOSE(CONTROL!$C$27, 0.0021, 0)</f>
        <v>58.577100000000002</v>
      </c>
      <c r="C596" s="10">
        <f>58.1428 * CHOOSE(CONTROL!$C$9, $D$9, 100%, $F$9) + CHOOSE(CONTROL!$C$27, 0.0021, 0)</f>
        <v>58.1449</v>
      </c>
      <c r="D596" s="10">
        <f>58.1428 * CHOOSE(CONTROL!$C$9, $D$9, 100%, $F$9) + CHOOSE(CONTROL!$C$27, 0.0021, 0)</f>
        <v>58.1449</v>
      </c>
      <c r="E596" s="10">
        <f>58.0061 * CHOOSE(CONTROL!$C$9, $D$9, 100%, $F$9) + CHOOSE(CONTROL!$C$27, 0.0021, 0)</f>
        <v>58.008200000000002</v>
      </c>
      <c r="F596" s="10">
        <f>58.0061 * CHOOSE(CONTROL!$C$9, $D$9, 100%, $F$9) + CHOOSE(CONTROL!$C$27, 0.0021, 0)</f>
        <v>58.008200000000002</v>
      </c>
      <c r="G596" s="10">
        <f>58.2775 * CHOOSE(CONTROL!$C$9, $D$9, 100%, $F$9) + CHOOSE(CONTROL!$C$27, 0.0021, 0)</f>
        <v>58.279600000000002</v>
      </c>
      <c r="H596" s="10">
        <f>58.1428 * CHOOSE(CONTROL!$C$9, $D$9, 100%, $F$9) + CHOOSE(CONTROL!$C$27, 0.0021, 0)</f>
        <v>58.1449</v>
      </c>
      <c r="I596" s="10">
        <f>58.1428 * CHOOSE(CONTROL!$C$9, $D$9, 100%, $F$9) + CHOOSE(CONTROL!$C$27, 0.0021, 0)</f>
        <v>58.1449</v>
      </c>
      <c r="J596" s="10">
        <f>58.1428 * CHOOSE(CONTROL!$C$9, $D$9, 100%, $F$9) + CHOOSE(CONTROL!$C$27, 0.0021, 0)</f>
        <v>58.1449</v>
      </c>
      <c r="K596" s="10">
        <f>58.1428 * CHOOSE(CONTROL!$C$9, $D$9, 100%, $F$9) + CHOOSE(CONTROL!$C$27, 0.0021, 0)</f>
        <v>58.1449</v>
      </c>
      <c r="L596" s="10"/>
    </row>
    <row r="597" spans="1:12" ht="15.75">
      <c r="A597" s="13">
        <v>59475</v>
      </c>
      <c r="B597" s="10">
        <f>59.9949 * CHOOSE(CONTROL!$C$9, $D$9, 100%, $F$9) + CHOOSE(CONTROL!$C$27, 0.0021, 0)</f>
        <v>59.997</v>
      </c>
      <c r="C597" s="10">
        <f>59.5627 * CHOOSE(CONTROL!$C$9, $D$9, 100%, $F$9) + CHOOSE(CONTROL!$C$27, 0.0021, 0)</f>
        <v>59.564799999999998</v>
      </c>
      <c r="D597" s="10">
        <f>59.5627 * CHOOSE(CONTROL!$C$9, $D$9, 100%, $F$9) + CHOOSE(CONTROL!$C$27, 0.0021, 0)</f>
        <v>59.564799999999998</v>
      </c>
      <c r="E597" s="10">
        <f>59.426 * CHOOSE(CONTROL!$C$9, $D$9, 100%, $F$9) + CHOOSE(CONTROL!$C$27, 0.0021, 0)</f>
        <v>59.428100000000001</v>
      </c>
      <c r="F597" s="10">
        <f>59.426 * CHOOSE(CONTROL!$C$9, $D$9, 100%, $F$9) + CHOOSE(CONTROL!$C$27, 0.0021, 0)</f>
        <v>59.428100000000001</v>
      </c>
      <c r="G597" s="10">
        <f>59.6974 * CHOOSE(CONTROL!$C$9, $D$9, 100%, $F$9) + CHOOSE(CONTROL!$C$27, 0.0021, 0)</f>
        <v>59.6995</v>
      </c>
      <c r="H597" s="10">
        <f>59.5627 * CHOOSE(CONTROL!$C$9, $D$9, 100%, $F$9) + CHOOSE(CONTROL!$C$27, 0.0021, 0)</f>
        <v>59.564799999999998</v>
      </c>
      <c r="I597" s="10">
        <f>59.5627 * CHOOSE(CONTROL!$C$9, $D$9, 100%, $F$9) + CHOOSE(CONTROL!$C$27, 0.0021, 0)</f>
        <v>59.564799999999998</v>
      </c>
      <c r="J597" s="10">
        <f>59.5627 * CHOOSE(CONTROL!$C$9, $D$9, 100%, $F$9) + CHOOSE(CONTROL!$C$27, 0.0021, 0)</f>
        <v>59.564799999999998</v>
      </c>
      <c r="K597" s="10">
        <f>59.5627 * CHOOSE(CONTROL!$C$9, $D$9, 100%, $F$9) + CHOOSE(CONTROL!$C$27, 0.0021, 0)</f>
        <v>59.564799999999998</v>
      </c>
      <c r="L597" s="10"/>
    </row>
    <row r="598" spans="1:12" ht="15.75">
      <c r="A598" s="13">
        <v>59505</v>
      </c>
      <c r="B598" s="10">
        <f>60.1282 * CHOOSE(CONTROL!$C$9, $D$9, 100%, $F$9) + CHOOSE(CONTROL!$C$27, 0.0021, 0)</f>
        <v>60.130299999999998</v>
      </c>
      <c r="C598" s="10">
        <f>59.696 * CHOOSE(CONTROL!$C$9, $D$9, 100%, $F$9) + CHOOSE(CONTROL!$C$27, 0.0021, 0)</f>
        <v>59.698099999999997</v>
      </c>
      <c r="D598" s="10">
        <f>59.696 * CHOOSE(CONTROL!$C$9, $D$9, 100%, $F$9) + CHOOSE(CONTROL!$C$27, 0.0021, 0)</f>
        <v>59.698099999999997</v>
      </c>
      <c r="E598" s="10">
        <f>59.5593 * CHOOSE(CONTROL!$C$9, $D$9, 100%, $F$9) + CHOOSE(CONTROL!$C$27, 0.0021, 0)</f>
        <v>59.561399999999999</v>
      </c>
      <c r="F598" s="10">
        <f>59.5593 * CHOOSE(CONTROL!$C$9, $D$9, 100%, $F$9) + CHOOSE(CONTROL!$C$27, 0.0021, 0)</f>
        <v>59.561399999999999</v>
      </c>
      <c r="G598" s="10">
        <f>59.8307 * CHOOSE(CONTROL!$C$9, $D$9, 100%, $F$9) + CHOOSE(CONTROL!$C$27, 0.0021, 0)</f>
        <v>59.832799999999999</v>
      </c>
      <c r="H598" s="10">
        <f>59.696 * CHOOSE(CONTROL!$C$9, $D$9, 100%, $F$9) + CHOOSE(CONTROL!$C$27, 0.0021, 0)</f>
        <v>59.698099999999997</v>
      </c>
      <c r="I598" s="10">
        <f>59.696 * CHOOSE(CONTROL!$C$9, $D$9, 100%, $F$9) + CHOOSE(CONTROL!$C$27, 0.0021, 0)</f>
        <v>59.698099999999997</v>
      </c>
      <c r="J598" s="10">
        <f>59.696 * CHOOSE(CONTROL!$C$9, $D$9, 100%, $F$9) + CHOOSE(CONTROL!$C$27, 0.0021, 0)</f>
        <v>59.698099999999997</v>
      </c>
      <c r="K598" s="10">
        <f>59.696 * CHOOSE(CONTROL!$C$9, $D$9, 100%, $F$9) + CHOOSE(CONTROL!$C$27, 0.0021, 0)</f>
        <v>59.698099999999997</v>
      </c>
      <c r="L598" s="10"/>
    </row>
    <row r="599" spans="1:12" ht="15.75">
      <c r="A599" s="13">
        <v>59536</v>
      </c>
      <c r="B599" s="10">
        <f>58.9942 * CHOOSE(CONTROL!$C$9, $D$9, 100%, $F$9) + CHOOSE(CONTROL!$C$27, 0.0021, 0)</f>
        <v>58.996299999999998</v>
      </c>
      <c r="C599" s="10">
        <f>58.5619 * CHOOSE(CONTROL!$C$9, $D$9, 100%, $F$9) + CHOOSE(CONTROL!$C$27, 0.0021, 0)</f>
        <v>58.564</v>
      </c>
      <c r="D599" s="10">
        <f>58.5619 * CHOOSE(CONTROL!$C$9, $D$9, 100%, $F$9) + CHOOSE(CONTROL!$C$27, 0.0021, 0)</f>
        <v>58.564</v>
      </c>
      <c r="E599" s="10">
        <f>58.4253 * CHOOSE(CONTROL!$C$9, $D$9, 100%, $F$9) + CHOOSE(CONTROL!$C$27, 0.0021, 0)</f>
        <v>58.427399999999999</v>
      </c>
      <c r="F599" s="10">
        <f>58.4253 * CHOOSE(CONTROL!$C$9, $D$9, 100%, $F$9) + CHOOSE(CONTROL!$C$27, 0.0021, 0)</f>
        <v>58.427399999999999</v>
      </c>
      <c r="G599" s="10">
        <f>58.6966 * CHOOSE(CONTROL!$C$9, $D$9, 100%, $F$9) + CHOOSE(CONTROL!$C$27, 0.0021, 0)</f>
        <v>58.698699999999995</v>
      </c>
      <c r="H599" s="10">
        <f>58.5619 * CHOOSE(CONTROL!$C$9, $D$9, 100%, $F$9) + CHOOSE(CONTROL!$C$27, 0.0021, 0)</f>
        <v>58.564</v>
      </c>
      <c r="I599" s="10">
        <f>58.5619 * CHOOSE(CONTROL!$C$9, $D$9, 100%, $F$9) + CHOOSE(CONTROL!$C$27, 0.0021, 0)</f>
        <v>58.564</v>
      </c>
      <c r="J599" s="10">
        <f>58.5619 * CHOOSE(CONTROL!$C$9, $D$9, 100%, $F$9) + CHOOSE(CONTROL!$C$27, 0.0021, 0)</f>
        <v>58.564</v>
      </c>
      <c r="K599" s="10">
        <f>58.5619 * CHOOSE(CONTROL!$C$9, $D$9, 100%, $F$9) + CHOOSE(CONTROL!$C$27, 0.0021, 0)</f>
        <v>58.564</v>
      </c>
      <c r="L599" s="10"/>
    </row>
    <row r="600" spans="1:12" ht="15.75">
      <c r="A600" s="13">
        <v>59567</v>
      </c>
      <c r="B600" s="10">
        <f>58.1259 * CHOOSE(CONTROL!$C$9, $D$9, 100%, $F$9) + CHOOSE(CONTROL!$C$27, 0.0021, 0)</f>
        <v>58.128</v>
      </c>
      <c r="C600" s="10">
        <f>57.6937 * CHOOSE(CONTROL!$C$9, $D$9, 100%, $F$9) + CHOOSE(CONTROL!$C$27, 0.0021, 0)</f>
        <v>57.695799999999998</v>
      </c>
      <c r="D600" s="10">
        <f>57.6937 * CHOOSE(CONTROL!$C$9, $D$9, 100%, $F$9) + CHOOSE(CONTROL!$C$27, 0.0021, 0)</f>
        <v>57.695799999999998</v>
      </c>
      <c r="E600" s="10">
        <f>57.557 * CHOOSE(CONTROL!$C$9, $D$9, 100%, $F$9) + CHOOSE(CONTROL!$C$27, 0.0021, 0)</f>
        <v>57.559100000000001</v>
      </c>
      <c r="F600" s="10">
        <f>57.557 * CHOOSE(CONTROL!$C$9, $D$9, 100%, $F$9) + CHOOSE(CONTROL!$C$27, 0.0021, 0)</f>
        <v>57.559100000000001</v>
      </c>
      <c r="G600" s="10">
        <f>57.8284 * CHOOSE(CONTROL!$C$9, $D$9, 100%, $F$9) + CHOOSE(CONTROL!$C$27, 0.0021, 0)</f>
        <v>57.830500000000001</v>
      </c>
      <c r="H600" s="10">
        <f>57.6937 * CHOOSE(CONTROL!$C$9, $D$9, 100%, $F$9) + CHOOSE(CONTROL!$C$27, 0.0021, 0)</f>
        <v>57.695799999999998</v>
      </c>
      <c r="I600" s="10">
        <f>57.6937 * CHOOSE(CONTROL!$C$9, $D$9, 100%, $F$9) + CHOOSE(CONTROL!$C$27, 0.0021, 0)</f>
        <v>57.695799999999998</v>
      </c>
      <c r="J600" s="10">
        <f>57.6937 * CHOOSE(CONTROL!$C$9, $D$9, 100%, $F$9) + CHOOSE(CONTROL!$C$27, 0.0021, 0)</f>
        <v>57.695799999999998</v>
      </c>
      <c r="K600" s="10">
        <f>57.6937 * CHOOSE(CONTROL!$C$9, $D$9, 100%, $F$9) + CHOOSE(CONTROL!$C$27, 0.0021, 0)</f>
        <v>57.695799999999998</v>
      </c>
      <c r="L600" s="10"/>
    </row>
    <row r="601" spans="1:12" ht="15.75">
      <c r="A601" s="13">
        <v>59595</v>
      </c>
      <c r="B601" s="10">
        <f>56.5467 * CHOOSE(CONTROL!$C$9, $D$9, 100%, $F$9) + CHOOSE(CONTROL!$C$27, 0.0021, 0)</f>
        <v>56.5488</v>
      </c>
      <c r="C601" s="10">
        <f>56.1144 * CHOOSE(CONTROL!$C$9, $D$9, 100%, $F$9) + CHOOSE(CONTROL!$C$27, 0.0021, 0)</f>
        <v>56.116500000000002</v>
      </c>
      <c r="D601" s="10">
        <f>56.1144 * CHOOSE(CONTROL!$C$9, $D$9, 100%, $F$9) + CHOOSE(CONTROL!$C$27, 0.0021, 0)</f>
        <v>56.116500000000002</v>
      </c>
      <c r="E601" s="10">
        <f>55.9777 * CHOOSE(CONTROL!$C$9, $D$9, 100%, $F$9) + CHOOSE(CONTROL!$C$27, 0.0021, 0)</f>
        <v>55.979799999999997</v>
      </c>
      <c r="F601" s="10">
        <f>55.9777 * CHOOSE(CONTROL!$C$9, $D$9, 100%, $F$9) + CHOOSE(CONTROL!$C$27, 0.0021, 0)</f>
        <v>55.979799999999997</v>
      </c>
      <c r="G601" s="10">
        <f>56.2491 * CHOOSE(CONTROL!$C$9, $D$9, 100%, $F$9) + CHOOSE(CONTROL!$C$27, 0.0021, 0)</f>
        <v>56.251199999999997</v>
      </c>
      <c r="H601" s="10">
        <f>56.1144 * CHOOSE(CONTROL!$C$9, $D$9, 100%, $F$9) + CHOOSE(CONTROL!$C$27, 0.0021, 0)</f>
        <v>56.116500000000002</v>
      </c>
      <c r="I601" s="10">
        <f>56.1144 * CHOOSE(CONTROL!$C$9, $D$9, 100%, $F$9) + CHOOSE(CONTROL!$C$27, 0.0021, 0)</f>
        <v>56.116500000000002</v>
      </c>
      <c r="J601" s="10">
        <f>56.1144 * CHOOSE(CONTROL!$C$9, $D$9, 100%, $F$9) + CHOOSE(CONTROL!$C$27, 0.0021, 0)</f>
        <v>56.116500000000002</v>
      </c>
      <c r="K601" s="10">
        <f>56.1144 * CHOOSE(CONTROL!$C$9, $D$9, 100%, $F$9) + CHOOSE(CONTROL!$C$27, 0.0021, 0)</f>
        <v>56.116500000000002</v>
      </c>
      <c r="L601" s="10"/>
    </row>
    <row r="602" spans="1:12" ht="15.75">
      <c r="A602" s="13">
        <v>59626</v>
      </c>
      <c r="B602" s="10">
        <f>55.8947 * CHOOSE(CONTROL!$C$9, $D$9, 100%, $F$9) + CHOOSE(CONTROL!$C$27, 0.0021, 0)</f>
        <v>55.896799999999999</v>
      </c>
      <c r="C602" s="10">
        <f>55.4625 * CHOOSE(CONTROL!$C$9, $D$9, 100%, $F$9) + CHOOSE(CONTROL!$C$27, 0.0021, 0)</f>
        <v>55.464599999999997</v>
      </c>
      <c r="D602" s="10">
        <f>55.4625 * CHOOSE(CONTROL!$C$9, $D$9, 100%, $F$9) + CHOOSE(CONTROL!$C$27, 0.0021, 0)</f>
        <v>55.464599999999997</v>
      </c>
      <c r="E602" s="10">
        <f>55.3258 * CHOOSE(CONTROL!$C$9, $D$9, 100%, $F$9) + CHOOSE(CONTROL!$C$27, 0.0021, 0)</f>
        <v>55.3279</v>
      </c>
      <c r="F602" s="10">
        <f>55.3258 * CHOOSE(CONTROL!$C$9, $D$9, 100%, $F$9) + CHOOSE(CONTROL!$C$27, 0.0021, 0)</f>
        <v>55.3279</v>
      </c>
      <c r="G602" s="10">
        <f>55.5972 * CHOOSE(CONTROL!$C$9, $D$9, 100%, $F$9) + CHOOSE(CONTROL!$C$27, 0.0021, 0)</f>
        <v>55.599299999999999</v>
      </c>
      <c r="H602" s="10">
        <f>55.4625 * CHOOSE(CONTROL!$C$9, $D$9, 100%, $F$9) + CHOOSE(CONTROL!$C$27, 0.0021, 0)</f>
        <v>55.464599999999997</v>
      </c>
      <c r="I602" s="10">
        <f>55.4625 * CHOOSE(CONTROL!$C$9, $D$9, 100%, $F$9) + CHOOSE(CONTROL!$C$27, 0.0021, 0)</f>
        <v>55.464599999999997</v>
      </c>
      <c r="J602" s="10">
        <f>55.4625 * CHOOSE(CONTROL!$C$9, $D$9, 100%, $F$9) + CHOOSE(CONTROL!$C$27, 0.0021, 0)</f>
        <v>55.464599999999997</v>
      </c>
      <c r="K602" s="10">
        <f>55.4625 * CHOOSE(CONTROL!$C$9, $D$9, 100%, $F$9) + CHOOSE(CONTROL!$C$27, 0.0021, 0)</f>
        <v>55.464599999999997</v>
      </c>
      <c r="L602" s="10"/>
    </row>
    <row r="603" spans="1:12" ht="15.75">
      <c r="A603" s="13">
        <v>59656</v>
      </c>
      <c r="B603" s="10">
        <f>55.1163 * CHOOSE(CONTROL!$C$9, $D$9, 100%, $F$9) + CHOOSE(CONTROL!$C$27, 0.0021, 0)</f>
        <v>55.118400000000001</v>
      </c>
      <c r="C603" s="10">
        <f>54.6841 * CHOOSE(CONTROL!$C$9, $D$9, 100%, $F$9) + CHOOSE(CONTROL!$C$27, 0.0021, 0)</f>
        <v>54.686199999999999</v>
      </c>
      <c r="D603" s="10">
        <f>54.6841 * CHOOSE(CONTROL!$C$9, $D$9, 100%, $F$9) + CHOOSE(CONTROL!$C$27, 0.0021, 0)</f>
        <v>54.686199999999999</v>
      </c>
      <c r="E603" s="10">
        <f>54.5474 * CHOOSE(CONTROL!$C$9, $D$9, 100%, $F$9) + CHOOSE(CONTROL!$C$27, 0.0021, 0)</f>
        <v>54.549500000000002</v>
      </c>
      <c r="F603" s="10">
        <f>54.5474 * CHOOSE(CONTROL!$C$9, $D$9, 100%, $F$9) + CHOOSE(CONTROL!$C$27, 0.0021, 0)</f>
        <v>54.549500000000002</v>
      </c>
      <c r="G603" s="10">
        <f>54.8188 * CHOOSE(CONTROL!$C$9, $D$9, 100%, $F$9) + CHOOSE(CONTROL!$C$27, 0.0021, 0)</f>
        <v>54.820900000000002</v>
      </c>
      <c r="H603" s="10">
        <f>54.6841 * CHOOSE(CONTROL!$C$9, $D$9, 100%, $F$9) + CHOOSE(CONTROL!$C$27, 0.0021, 0)</f>
        <v>54.686199999999999</v>
      </c>
      <c r="I603" s="10">
        <f>54.6841 * CHOOSE(CONTROL!$C$9, $D$9, 100%, $F$9) + CHOOSE(CONTROL!$C$27, 0.0021, 0)</f>
        <v>54.686199999999999</v>
      </c>
      <c r="J603" s="10">
        <f>54.6841 * CHOOSE(CONTROL!$C$9, $D$9, 100%, $F$9) + CHOOSE(CONTROL!$C$27, 0.0021, 0)</f>
        <v>54.686199999999999</v>
      </c>
      <c r="K603" s="10">
        <f>54.6841 * CHOOSE(CONTROL!$C$9, $D$9, 100%, $F$9) + CHOOSE(CONTROL!$C$27, 0.0021, 0)</f>
        <v>54.686199999999999</v>
      </c>
      <c r="L603" s="10"/>
    </row>
    <row r="604" spans="1:12" ht="15.75">
      <c r="A604" s="13">
        <v>59687</v>
      </c>
      <c r="B604" s="10">
        <f>56.2256 * CHOOSE(CONTROL!$C$9, $D$9, 100%, $F$9) + CHOOSE(CONTROL!$C$27, 0.0021, 0)</f>
        <v>56.227699999999999</v>
      </c>
      <c r="C604" s="10">
        <f>55.7934 * CHOOSE(CONTROL!$C$9, $D$9, 100%, $F$9) + CHOOSE(CONTROL!$C$27, 0.0021, 0)</f>
        <v>55.795499999999997</v>
      </c>
      <c r="D604" s="10">
        <f>55.7934 * CHOOSE(CONTROL!$C$9, $D$9, 100%, $F$9) + CHOOSE(CONTROL!$C$27, 0.0021, 0)</f>
        <v>55.795499999999997</v>
      </c>
      <c r="E604" s="10">
        <f>55.6567 * CHOOSE(CONTROL!$C$9, $D$9, 100%, $F$9) + CHOOSE(CONTROL!$C$27, 0.0021, 0)</f>
        <v>55.658799999999999</v>
      </c>
      <c r="F604" s="10">
        <f>55.6567 * CHOOSE(CONTROL!$C$9, $D$9, 100%, $F$9) + CHOOSE(CONTROL!$C$27, 0.0021, 0)</f>
        <v>55.658799999999999</v>
      </c>
      <c r="G604" s="10">
        <f>55.9281 * CHOOSE(CONTROL!$C$9, $D$9, 100%, $F$9) + CHOOSE(CONTROL!$C$27, 0.0021, 0)</f>
        <v>55.930199999999999</v>
      </c>
      <c r="H604" s="10">
        <f>55.7934 * CHOOSE(CONTROL!$C$9, $D$9, 100%, $F$9) + CHOOSE(CONTROL!$C$27, 0.0021, 0)</f>
        <v>55.795499999999997</v>
      </c>
      <c r="I604" s="10">
        <f>55.7934 * CHOOSE(CONTROL!$C$9, $D$9, 100%, $F$9) + CHOOSE(CONTROL!$C$27, 0.0021, 0)</f>
        <v>55.795499999999997</v>
      </c>
      <c r="J604" s="10">
        <f>55.7934 * CHOOSE(CONTROL!$C$9, $D$9, 100%, $F$9) + CHOOSE(CONTROL!$C$27, 0.0021, 0)</f>
        <v>55.795499999999997</v>
      </c>
      <c r="K604" s="10">
        <f>55.7934 * CHOOSE(CONTROL!$C$9, $D$9, 100%, $F$9) + CHOOSE(CONTROL!$C$27, 0.0021, 0)</f>
        <v>55.795499999999997</v>
      </c>
      <c r="L604" s="10"/>
    </row>
    <row r="605" spans="1:12" ht="15.75">
      <c r="A605" s="13">
        <v>59717</v>
      </c>
      <c r="B605" s="10">
        <f>56.8901 * CHOOSE(CONTROL!$C$9, $D$9, 100%, $F$9) + CHOOSE(CONTROL!$C$27, 0.0021, 0)</f>
        <v>56.892199999999995</v>
      </c>
      <c r="C605" s="10">
        <f>56.4578 * CHOOSE(CONTROL!$C$9, $D$9, 100%, $F$9) + CHOOSE(CONTROL!$C$27, 0.0021, 0)</f>
        <v>56.459899999999998</v>
      </c>
      <c r="D605" s="10">
        <f>56.4578 * CHOOSE(CONTROL!$C$9, $D$9, 100%, $F$9) + CHOOSE(CONTROL!$C$27, 0.0021, 0)</f>
        <v>56.459899999999998</v>
      </c>
      <c r="E605" s="10">
        <f>56.3212 * CHOOSE(CONTROL!$C$9, $D$9, 100%, $F$9) + CHOOSE(CONTROL!$C$27, 0.0021, 0)</f>
        <v>56.323299999999996</v>
      </c>
      <c r="F605" s="10">
        <f>56.3212 * CHOOSE(CONTROL!$C$9, $D$9, 100%, $F$9) + CHOOSE(CONTROL!$C$27, 0.0021, 0)</f>
        <v>56.323299999999996</v>
      </c>
      <c r="G605" s="10">
        <f>56.5926 * CHOOSE(CONTROL!$C$9, $D$9, 100%, $F$9) + CHOOSE(CONTROL!$C$27, 0.0021, 0)</f>
        <v>56.594699999999996</v>
      </c>
      <c r="H605" s="10">
        <f>56.4578 * CHOOSE(CONTROL!$C$9, $D$9, 100%, $F$9) + CHOOSE(CONTROL!$C$27, 0.0021, 0)</f>
        <v>56.459899999999998</v>
      </c>
      <c r="I605" s="10">
        <f>56.4578 * CHOOSE(CONTROL!$C$9, $D$9, 100%, $F$9) + CHOOSE(CONTROL!$C$27, 0.0021, 0)</f>
        <v>56.459899999999998</v>
      </c>
      <c r="J605" s="10">
        <f>56.4578 * CHOOSE(CONTROL!$C$9, $D$9, 100%, $F$9) + CHOOSE(CONTROL!$C$27, 0.0021, 0)</f>
        <v>56.459899999999998</v>
      </c>
      <c r="K605" s="10">
        <f>56.4578 * CHOOSE(CONTROL!$C$9, $D$9, 100%, $F$9) + CHOOSE(CONTROL!$C$27, 0.0021, 0)</f>
        <v>56.459899999999998</v>
      </c>
      <c r="L605" s="10"/>
    </row>
    <row r="606" spans="1:12" ht="15.75">
      <c r="A606" s="13">
        <v>59748</v>
      </c>
      <c r="B606" s="10">
        <f>57.9862 * CHOOSE(CONTROL!$C$9, $D$9, 100%, $F$9) + CHOOSE(CONTROL!$C$27, 0.0021, 0)</f>
        <v>57.988299999999995</v>
      </c>
      <c r="C606" s="10">
        <f>57.5539 * CHOOSE(CONTROL!$C$9, $D$9, 100%, $F$9) + CHOOSE(CONTROL!$C$27, 0.0021, 0)</f>
        <v>57.555999999999997</v>
      </c>
      <c r="D606" s="10">
        <f>57.5539 * CHOOSE(CONTROL!$C$9, $D$9, 100%, $F$9) + CHOOSE(CONTROL!$C$27, 0.0021, 0)</f>
        <v>57.555999999999997</v>
      </c>
      <c r="E606" s="10">
        <f>57.4173 * CHOOSE(CONTROL!$C$9, $D$9, 100%, $F$9) + CHOOSE(CONTROL!$C$27, 0.0021, 0)</f>
        <v>57.419399999999996</v>
      </c>
      <c r="F606" s="10">
        <f>57.4173 * CHOOSE(CONTROL!$C$9, $D$9, 100%, $F$9) + CHOOSE(CONTROL!$C$27, 0.0021, 0)</f>
        <v>57.419399999999996</v>
      </c>
      <c r="G606" s="10">
        <f>57.6886 * CHOOSE(CONTROL!$C$9, $D$9, 100%, $F$9) + CHOOSE(CONTROL!$C$27, 0.0021, 0)</f>
        <v>57.6907</v>
      </c>
      <c r="H606" s="10">
        <f>57.5539 * CHOOSE(CONTROL!$C$9, $D$9, 100%, $F$9) + CHOOSE(CONTROL!$C$27, 0.0021, 0)</f>
        <v>57.555999999999997</v>
      </c>
      <c r="I606" s="10">
        <f>57.5539 * CHOOSE(CONTROL!$C$9, $D$9, 100%, $F$9) + CHOOSE(CONTROL!$C$27, 0.0021, 0)</f>
        <v>57.555999999999997</v>
      </c>
      <c r="J606" s="10">
        <f>57.5539 * CHOOSE(CONTROL!$C$9, $D$9, 100%, $F$9) + CHOOSE(CONTROL!$C$27, 0.0021, 0)</f>
        <v>57.555999999999997</v>
      </c>
      <c r="K606" s="10">
        <f>57.5539 * CHOOSE(CONTROL!$C$9, $D$9, 100%, $F$9) + CHOOSE(CONTROL!$C$27, 0.0021, 0)</f>
        <v>57.555999999999997</v>
      </c>
      <c r="L606" s="10"/>
    </row>
    <row r="607" spans="1:12" ht="15.75">
      <c r="A607" s="13">
        <v>59779</v>
      </c>
      <c r="B607" s="10">
        <f>58.3207 * CHOOSE(CONTROL!$C$9, $D$9, 100%, $F$9) + CHOOSE(CONTROL!$C$27, 0.0021, 0)</f>
        <v>58.322800000000001</v>
      </c>
      <c r="C607" s="10">
        <f>57.8885 * CHOOSE(CONTROL!$C$9, $D$9, 100%, $F$9) + CHOOSE(CONTROL!$C$27, 0.0021, 0)</f>
        <v>57.890599999999999</v>
      </c>
      <c r="D607" s="10">
        <f>57.8885 * CHOOSE(CONTROL!$C$9, $D$9, 100%, $F$9) + CHOOSE(CONTROL!$C$27, 0.0021, 0)</f>
        <v>57.890599999999999</v>
      </c>
      <c r="E607" s="10">
        <f>57.7518 * CHOOSE(CONTROL!$C$9, $D$9, 100%, $F$9) + CHOOSE(CONTROL!$C$27, 0.0021, 0)</f>
        <v>57.753900000000002</v>
      </c>
      <c r="F607" s="10">
        <f>57.7518 * CHOOSE(CONTROL!$C$9, $D$9, 100%, $F$9) + CHOOSE(CONTROL!$C$27, 0.0021, 0)</f>
        <v>57.753900000000002</v>
      </c>
      <c r="G607" s="10">
        <f>58.0232 * CHOOSE(CONTROL!$C$9, $D$9, 100%, $F$9) + CHOOSE(CONTROL!$C$27, 0.0021, 0)</f>
        <v>58.025300000000001</v>
      </c>
      <c r="H607" s="10">
        <f>57.8885 * CHOOSE(CONTROL!$C$9, $D$9, 100%, $F$9) + CHOOSE(CONTROL!$C$27, 0.0021, 0)</f>
        <v>57.890599999999999</v>
      </c>
      <c r="I607" s="10">
        <f>57.8885 * CHOOSE(CONTROL!$C$9, $D$9, 100%, $F$9) + CHOOSE(CONTROL!$C$27, 0.0021, 0)</f>
        <v>57.890599999999999</v>
      </c>
      <c r="J607" s="10">
        <f>57.8885 * CHOOSE(CONTROL!$C$9, $D$9, 100%, $F$9) + CHOOSE(CONTROL!$C$27, 0.0021, 0)</f>
        <v>57.890599999999999</v>
      </c>
      <c r="K607" s="10">
        <f>57.8885 * CHOOSE(CONTROL!$C$9, $D$9, 100%, $F$9) + CHOOSE(CONTROL!$C$27, 0.0021, 0)</f>
        <v>57.890599999999999</v>
      </c>
      <c r="L607" s="10"/>
    </row>
    <row r="608" spans="1:12" ht="15.75">
      <c r="A608" s="13">
        <v>59809</v>
      </c>
      <c r="B608" s="10">
        <f>59.4601 * CHOOSE(CONTROL!$C$9, $D$9, 100%, $F$9) + CHOOSE(CONTROL!$C$27, 0.0021, 0)</f>
        <v>59.462199999999996</v>
      </c>
      <c r="C608" s="10">
        <f>59.0278 * CHOOSE(CONTROL!$C$9, $D$9, 100%, $F$9) + CHOOSE(CONTROL!$C$27, 0.0021, 0)</f>
        <v>59.029899999999998</v>
      </c>
      <c r="D608" s="10">
        <f>59.0278 * CHOOSE(CONTROL!$C$9, $D$9, 100%, $F$9) + CHOOSE(CONTROL!$C$27, 0.0021, 0)</f>
        <v>59.029899999999998</v>
      </c>
      <c r="E608" s="10">
        <f>58.8912 * CHOOSE(CONTROL!$C$9, $D$9, 100%, $F$9) + CHOOSE(CONTROL!$C$27, 0.0021, 0)</f>
        <v>58.893299999999996</v>
      </c>
      <c r="F608" s="10">
        <f>58.8912 * CHOOSE(CONTROL!$C$9, $D$9, 100%, $F$9) + CHOOSE(CONTROL!$C$27, 0.0021, 0)</f>
        <v>58.893299999999996</v>
      </c>
      <c r="G608" s="10">
        <f>59.1625 * CHOOSE(CONTROL!$C$9, $D$9, 100%, $F$9) + CHOOSE(CONTROL!$C$27, 0.0021, 0)</f>
        <v>59.1646</v>
      </c>
      <c r="H608" s="10">
        <f>59.0278 * CHOOSE(CONTROL!$C$9, $D$9, 100%, $F$9) + CHOOSE(CONTROL!$C$27, 0.0021, 0)</f>
        <v>59.029899999999998</v>
      </c>
      <c r="I608" s="10">
        <f>59.0278 * CHOOSE(CONTROL!$C$9, $D$9, 100%, $F$9) + CHOOSE(CONTROL!$C$27, 0.0021, 0)</f>
        <v>59.029899999999998</v>
      </c>
      <c r="J608" s="10">
        <f>59.0278 * CHOOSE(CONTROL!$C$9, $D$9, 100%, $F$9) + CHOOSE(CONTROL!$C$27, 0.0021, 0)</f>
        <v>59.029899999999998</v>
      </c>
      <c r="K608" s="10">
        <f>59.0278 * CHOOSE(CONTROL!$C$9, $D$9, 100%, $F$9) + CHOOSE(CONTROL!$C$27, 0.0021, 0)</f>
        <v>59.029899999999998</v>
      </c>
      <c r="L608" s="10"/>
    </row>
    <row r="609" spans="1:12" ht="15.75">
      <c r="A609" s="13">
        <v>59840</v>
      </c>
      <c r="B609" s="10">
        <f>60.9023 * CHOOSE(CONTROL!$C$9, $D$9, 100%, $F$9) + CHOOSE(CONTROL!$C$27, 0.0021, 0)</f>
        <v>60.904399999999995</v>
      </c>
      <c r="C609" s="10">
        <f>60.47 * CHOOSE(CONTROL!$C$9, $D$9, 100%, $F$9) + CHOOSE(CONTROL!$C$27, 0.0021, 0)</f>
        <v>60.472099999999998</v>
      </c>
      <c r="D609" s="10">
        <f>60.47 * CHOOSE(CONTROL!$C$9, $D$9, 100%, $F$9) + CHOOSE(CONTROL!$C$27, 0.0021, 0)</f>
        <v>60.472099999999998</v>
      </c>
      <c r="E609" s="10">
        <f>60.3334 * CHOOSE(CONTROL!$C$9, $D$9, 100%, $F$9) + CHOOSE(CONTROL!$C$27, 0.0021, 0)</f>
        <v>60.335499999999996</v>
      </c>
      <c r="F609" s="10">
        <f>60.3334 * CHOOSE(CONTROL!$C$9, $D$9, 100%, $F$9) + CHOOSE(CONTROL!$C$27, 0.0021, 0)</f>
        <v>60.335499999999996</v>
      </c>
      <c r="G609" s="10">
        <f>60.6047 * CHOOSE(CONTROL!$C$9, $D$9, 100%, $F$9) + CHOOSE(CONTROL!$C$27, 0.0021, 0)</f>
        <v>60.6068</v>
      </c>
      <c r="H609" s="10">
        <f>60.47 * CHOOSE(CONTROL!$C$9, $D$9, 100%, $F$9) + CHOOSE(CONTROL!$C$27, 0.0021, 0)</f>
        <v>60.472099999999998</v>
      </c>
      <c r="I609" s="10">
        <f>60.47 * CHOOSE(CONTROL!$C$9, $D$9, 100%, $F$9) + CHOOSE(CONTROL!$C$27, 0.0021, 0)</f>
        <v>60.472099999999998</v>
      </c>
      <c r="J609" s="10">
        <f>60.47 * CHOOSE(CONTROL!$C$9, $D$9, 100%, $F$9) + CHOOSE(CONTROL!$C$27, 0.0021, 0)</f>
        <v>60.472099999999998</v>
      </c>
      <c r="K609" s="10">
        <f>60.47 * CHOOSE(CONTROL!$C$9, $D$9, 100%, $F$9) + CHOOSE(CONTROL!$C$27, 0.0021, 0)</f>
        <v>60.472099999999998</v>
      </c>
      <c r="L609" s="10"/>
    </row>
    <row r="610" spans="1:12" ht="15.75">
      <c r="A610" s="13">
        <v>59870</v>
      </c>
      <c r="B610" s="10">
        <f>61.0377 * CHOOSE(CONTROL!$C$9, $D$9, 100%, $F$9) + CHOOSE(CONTROL!$C$27, 0.0021, 0)</f>
        <v>61.0398</v>
      </c>
      <c r="C610" s="10">
        <f>60.6054 * CHOOSE(CONTROL!$C$9, $D$9, 100%, $F$9) + CHOOSE(CONTROL!$C$27, 0.0021, 0)</f>
        <v>60.607500000000002</v>
      </c>
      <c r="D610" s="10">
        <f>60.6054 * CHOOSE(CONTROL!$C$9, $D$9, 100%, $F$9) + CHOOSE(CONTROL!$C$27, 0.0021, 0)</f>
        <v>60.607500000000002</v>
      </c>
      <c r="E610" s="10">
        <f>60.4688 * CHOOSE(CONTROL!$C$9, $D$9, 100%, $F$9) + CHOOSE(CONTROL!$C$27, 0.0021, 0)</f>
        <v>60.4709</v>
      </c>
      <c r="F610" s="10">
        <f>60.4688 * CHOOSE(CONTROL!$C$9, $D$9, 100%, $F$9) + CHOOSE(CONTROL!$C$27, 0.0021, 0)</f>
        <v>60.4709</v>
      </c>
      <c r="G610" s="10">
        <f>60.7401 * CHOOSE(CONTROL!$C$9, $D$9, 100%, $F$9) + CHOOSE(CONTROL!$C$27, 0.0021, 0)</f>
        <v>60.742199999999997</v>
      </c>
      <c r="H610" s="10">
        <f>60.6054 * CHOOSE(CONTROL!$C$9, $D$9, 100%, $F$9) + CHOOSE(CONTROL!$C$27, 0.0021, 0)</f>
        <v>60.607500000000002</v>
      </c>
      <c r="I610" s="10">
        <f>60.6054 * CHOOSE(CONTROL!$C$9, $D$9, 100%, $F$9) + CHOOSE(CONTROL!$C$27, 0.0021, 0)</f>
        <v>60.607500000000002</v>
      </c>
      <c r="J610" s="10">
        <f>60.6054 * CHOOSE(CONTROL!$C$9, $D$9, 100%, $F$9) + CHOOSE(CONTROL!$C$27, 0.0021, 0)</f>
        <v>60.607500000000002</v>
      </c>
      <c r="K610" s="10">
        <f>60.6054 * CHOOSE(CONTROL!$C$9, $D$9, 100%, $F$9) + CHOOSE(CONTROL!$C$27, 0.0021, 0)</f>
        <v>60.607500000000002</v>
      </c>
      <c r="L610" s="10"/>
    </row>
    <row r="611" spans="1:12" ht="15.75">
      <c r="A611" s="13">
        <v>59901</v>
      </c>
      <c r="B611" s="10">
        <f>59.8858 * CHOOSE(CONTROL!$C$9, $D$9, 100%, $F$9) + CHOOSE(CONTROL!$C$27, 0.0021, 0)</f>
        <v>59.887900000000002</v>
      </c>
      <c r="C611" s="10">
        <f>59.4536 * CHOOSE(CONTROL!$C$9, $D$9, 100%, $F$9) + CHOOSE(CONTROL!$C$27, 0.0021, 0)</f>
        <v>59.4557</v>
      </c>
      <c r="D611" s="10">
        <f>59.4536 * CHOOSE(CONTROL!$C$9, $D$9, 100%, $F$9) + CHOOSE(CONTROL!$C$27, 0.0021, 0)</f>
        <v>59.4557</v>
      </c>
      <c r="E611" s="10">
        <f>59.3169 * CHOOSE(CONTROL!$C$9, $D$9, 100%, $F$9) + CHOOSE(CONTROL!$C$27, 0.0021, 0)</f>
        <v>59.318999999999996</v>
      </c>
      <c r="F611" s="10">
        <f>59.3169 * CHOOSE(CONTROL!$C$9, $D$9, 100%, $F$9) + CHOOSE(CONTROL!$C$27, 0.0021, 0)</f>
        <v>59.318999999999996</v>
      </c>
      <c r="G611" s="10">
        <f>59.5883 * CHOOSE(CONTROL!$C$9, $D$9, 100%, $F$9) + CHOOSE(CONTROL!$C$27, 0.0021, 0)</f>
        <v>59.590399999999995</v>
      </c>
      <c r="H611" s="10">
        <f>59.4536 * CHOOSE(CONTROL!$C$9, $D$9, 100%, $F$9) + CHOOSE(CONTROL!$C$27, 0.0021, 0)</f>
        <v>59.4557</v>
      </c>
      <c r="I611" s="10">
        <f>59.4536 * CHOOSE(CONTROL!$C$9, $D$9, 100%, $F$9) + CHOOSE(CONTROL!$C$27, 0.0021, 0)</f>
        <v>59.4557</v>
      </c>
      <c r="J611" s="10">
        <f>59.4536 * CHOOSE(CONTROL!$C$9, $D$9, 100%, $F$9) + CHOOSE(CONTROL!$C$27, 0.0021, 0)</f>
        <v>59.4557</v>
      </c>
      <c r="K611" s="10">
        <f>59.4536 * CHOOSE(CONTROL!$C$9, $D$9, 100%, $F$9) + CHOOSE(CONTROL!$C$27, 0.0021, 0)</f>
        <v>59.4557</v>
      </c>
      <c r="L611" s="10"/>
    </row>
    <row r="612" spans="1:12" ht="15.75">
      <c r="A612" s="13">
        <v>59932</v>
      </c>
      <c r="B612" s="10">
        <f>59.0039 * CHOOSE(CONTROL!$C$9, $D$9, 100%, $F$9) + CHOOSE(CONTROL!$C$27, 0.0021, 0)</f>
        <v>59.006</v>
      </c>
      <c r="C612" s="10">
        <f>58.5717 * CHOOSE(CONTROL!$C$9, $D$9, 100%, $F$9) + CHOOSE(CONTROL!$C$27, 0.0021, 0)</f>
        <v>58.573799999999999</v>
      </c>
      <c r="D612" s="10">
        <f>58.5717 * CHOOSE(CONTROL!$C$9, $D$9, 100%, $F$9) + CHOOSE(CONTROL!$C$27, 0.0021, 0)</f>
        <v>58.573799999999999</v>
      </c>
      <c r="E612" s="10">
        <f>58.435 * CHOOSE(CONTROL!$C$9, $D$9, 100%, $F$9) + CHOOSE(CONTROL!$C$27, 0.0021, 0)</f>
        <v>58.437100000000001</v>
      </c>
      <c r="F612" s="10">
        <f>58.435 * CHOOSE(CONTROL!$C$9, $D$9, 100%, $F$9) + CHOOSE(CONTROL!$C$27, 0.0021, 0)</f>
        <v>58.437100000000001</v>
      </c>
      <c r="G612" s="10">
        <f>58.7064 * CHOOSE(CONTROL!$C$9, $D$9, 100%, $F$9) + CHOOSE(CONTROL!$C$27, 0.0021, 0)</f>
        <v>58.708500000000001</v>
      </c>
      <c r="H612" s="10">
        <f>58.5717 * CHOOSE(CONTROL!$C$9, $D$9, 100%, $F$9) + CHOOSE(CONTROL!$C$27, 0.0021, 0)</f>
        <v>58.573799999999999</v>
      </c>
      <c r="I612" s="10">
        <f>58.5717 * CHOOSE(CONTROL!$C$9, $D$9, 100%, $F$9) + CHOOSE(CONTROL!$C$27, 0.0021, 0)</f>
        <v>58.573799999999999</v>
      </c>
      <c r="J612" s="10">
        <f>58.5717 * CHOOSE(CONTROL!$C$9, $D$9, 100%, $F$9) + CHOOSE(CONTROL!$C$27, 0.0021, 0)</f>
        <v>58.573799999999999</v>
      </c>
      <c r="K612" s="10">
        <f>58.5717 * CHOOSE(CONTROL!$C$9, $D$9, 100%, $F$9) + CHOOSE(CONTROL!$C$27, 0.0021, 0)</f>
        <v>58.573799999999999</v>
      </c>
      <c r="L612" s="10"/>
    </row>
    <row r="613" spans="1:12" ht="15.75">
      <c r="A613" s="13">
        <v>59961</v>
      </c>
      <c r="B613" s="10">
        <f>57.3998 * CHOOSE(CONTROL!$C$9, $D$9, 100%, $F$9) + CHOOSE(CONTROL!$C$27, 0.0021, 0)</f>
        <v>57.401899999999998</v>
      </c>
      <c r="C613" s="10">
        <f>56.9675 * CHOOSE(CONTROL!$C$9, $D$9, 100%, $F$9) + CHOOSE(CONTROL!$C$27, 0.0021, 0)</f>
        <v>56.9696</v>
      </c>
      <c r="D613" s="10">
        <f>56.9675 * CHOOSE(CONTROL!$C$9, $D$9, 100%, $F$9) + CHOOSE(CONTROL!$C$27, 0.0021, 0)</f>
        <v>56.9696</v>
      </c>
      <c r="E613" s="10">
        <f>56.8309 * CHOOSE(CONTROL!$C$9, $D$9, 100%, $F$9) + CHOOSE(CONTROL!$C$27, 0.0021, 0)</f>
        <v>56.832999999999998</v>
      </c>
      <c r="F613" s="10">
        <f>56.8309 * CHOOSE(CONTROL!$C$9, $D$9, 100%, $F$9) + CHOOSE(CONTROL!$C$27, 0.0021, 0)</f>
        <v>56.832999999999998</v>
      </c>
      <c r="G613" s="10">
        <f>57.1023 * CHOOSE(CONTROL!$C$9, $D$9, 100%, $F$9) + CHOOSE(CONTROL!$C$27, 0.0021, 0)</f>
        <v>57.104399999999998</v>
      </c>
      <c r="H613" s="10">
        <f>56.9675 * CHOOSE(CONTROL!$C$9, $D$9, 100%, $F$9) + CHOOSE(CONTROL!$C$27, 0.0021, 0)</f>
        <v>56.9696</v>
      </c>
      <c r="I613" s="10">
        <f>56.9675 * CHOOSE(CONTROL!$C$9, $D$9, 100%, $F$9) + CHOOSE(CONTROL!$C$27, 0.0021, 0)</f>
        <v>56.9696</v>
      </c>
      <c r="J613" s="10">
        <f>56.9675 * CHOOSE(CONTROL!$C$9, $D$9, 100%, $F$9) + CHOOSE(CONTROL!$C$27, 0.0021, 0)</f>
        <v>56.9696</v>
      </c>
      <c r="K613" s="10">
        <f>56.9675 * CHOOSE(CONTROL!$C$9, $D$9, 100%, $F$9) + CHOOSE(CONTROL!$C$27, 0.0021, 0)</f>
        <v>56.9696</v>
      </c>
      <c r="L613" s="10"/>
    </row>
    <row r="614" spans="1:12" ht="15.75">
      <c r="A614" s="13">
        <v>59992</v>
      </c>
      <c r="B614" s="10">
        <f>56.7376 * CHOOSE(CONTROL!$C$9, $D$9, 100%, $F$9) + CHOOSE(CONTROL!$C$27, 0.0021, 0)</f>
        <v>56.739699999999999</v>
      </c>
      <c r="C614" s="10">
        <f>56.3054 * CHOOSE(CONTROL!$C$9, $D$9, 100%, $F$9) + CHOOSE(CONTROL!$C$27, 0.0021, 0)</f>
        <v>56.307499999999997</v>
      </c>
      <c r="D614" s="10">
        <f>56.3054 * CHOOSE(CONTROL!$C$9, $D$9, 100%, $F$9) + CHOOSE(CONTROL!$C$27, 0.0021, 0)</f>
        <v>56.307499999999997</v>
      </c>
      <c r="E614" s="10">
        <f>56.1687 * CHOOSE(CONTROL!$C$9, $D$9, 100%, $F$9) + CHOOSE(CONTROL!$C$27, 0.0021, 0)</f>
        <v>56.1708</v>
      </c>
      <c r="F614" s="10">
        <f>56.1687 * CHOOSE(CONTROL!$C$9, $D$9, 100%, $F$9) + CHOOSE(CONTROL!$C$27, 0.0021, 0)</f>
        <v>56.1708</v>
      </c>
      <c r="G614" s="10">
        <f>56.4401 * CHOOSE(CONTROL!$C$9, $D$9, 100%, $F$9) + CHOOSE(CONTROL!$C$27, 0.0021, 0)</f>
        <v>56.4422</v>
      </c>
      <c r="H614" s="10">
        <f>56.3054 * CHOOSE(CONTROL!$C$9, $D$9, 100%, $F$9) + CHOOSE(CONTROL!$C$27, 0.0021, 0)</f>
        <v>56.307499999999997</v>
      </c>
      <c r="I614" s="10">
        <f>56.3054 * CHOOSE(CONTROL!$C$9, $D$9, 100%, $F$9) + CHOOSE(CONTROL!$C$27, 0.0021, 0)</f>
        <v>56.307499999999997</v>
      </c>
      <c r="J614" s="10">
        <f>56.3054 * CHOOSE(CONTROL!$C$9, $D$9, 100%, $F$9) + CHOOSE(CONTROL!$C$27, 0.0021, 0)</f>
        <v>56.307499999999997</v>
      </c>
      <c r="K614" s="10">
        <f>56.3054 * CHOOSE(CONTROL!$C$9, $D$9, 100%, $F$9) + CHOOSE(CONTROL!$C$27, 0.0021, 0)</f>
        <v>56.307499999999997</v>
      </c>
      <c r="L614" s="10"/>
    </row>
    <row r="615" spans="1:12" ht="15.75">
      <c r="A615" s="13">
        <v>60022</v>
      </c>
      <c r="B615" s="10">
        <f>55.947 * CHOOSE(CONTROL!$C$9, $D$9, 100%, $F$9) + CHOOSE(CONTROL!$C$27, 0.0021, 0)</f>
        <v>55.949100000000001</v>
      </c>
      <c r="C615" s="10">
        <f>55.5147 * CHOOSE(CONTROL!$C$9, $D$9, 100%, $F$9) + CHOOSE(CONTROL!$C$27, 0.0021, 0)</f>
        <v>55.516799999999996</v>
      </c>
      <c r="D615" s="10">
        <f>55.5147 * CHOOSE(CONTROL!$C$9, $D$9, 100%, $F$9) + CHOOSE(CONTROL!$C$27, 0.0021, 0)</f>
        <v>55.516799999999996</v>
      </c>
      <c r="E615" s="10">
        <f>55.3781 * CHOOSE(CONTROL!$C$9, $D$9, 100%, $F$9) + CHOOSE(CONTROL!$C$27, 0.0021, 0)</f>
        <v>55.380200000000002</v>
      </c>
      <c r="F615" s="10">
        <f>55.3781 * CHOOSE(CONTROL!$C$9, $D$9, 100%, $F$9) + CHOOSE(CONTROL!$C$27, 0.0021, 0)</f>
        <v>55.380200000000002</v>
      </c>
      <c r="G615" s="10">
        <f>55.6494 * CHOOSE(CONTROL!$C$9, $D$9, 100%, $F$9) + CHOOSE(CONTROL!$C$27, 0.0021, 0)</f>
        <v>55.651499999999999</v>
      </c>
      <c r="H615" s="10">
        <f>55.5147 * CHOOSE(CONTROL!$C$9, $D$9, 100%, $F$9) + CHOOSE(CONTROL!$C$27, 0.0021, 0)</f>
        <v>55.516799999999996</v>
      </c>
      <c r="I615" s="10">
        <f>55.5147 * CHOOSE(CONTROL!$C$9, $D$9, 100%, $F$9) + CHOOSE(CONTROL!$C$27, 0.0021, 0)</f>
        <v>55.516799999999996</v>
      </c>
      <c r="J615" s="10">
        <f>55.5147 * CHOOSE(CONTROL!$C$9, $D$9, 100%, $F$9) + CHOOSE(CONTROL!$C$27, 0.0021, 0)</f>
        <v>55.516799999999996</v>
      </c>
      <c r="K615" s="10">
        <f>55.5147 * CHOOSE(CONTROL!$C$9, $D$9, 100%, $F$9) + CHOOSE(CONTROL!$C$27, 0.0021, 0)</f>
        <v>55.516799999999996</v>
      </c>
      <c r="L615" s="10"/>
    </row>
    <row r="616" spans="1:12" ht="15.75">
      <c r="A616" s="13">
        <v>60053</v>
      </c>
      <c r="B616" s="10">
        <f>57.0737 * CHOOSE(CONTROL!$C$9, $D$9, 100%, $F$9) + CHOOSE(CONTROL!$C$27, 0.0021, 0)</f>
        <v>57.075800000000001</v>
      </c>
      <c r="C616" s="10">
        <f>56.6415 * CHOOSE(CONTROL!$C$9, $D$9, 100%, $F$9) + CHOOSE(CONTROL!$C$27, 0.0021, 0)</f>
        <v>56.643599999999999</v>
      </c>
      <c r="D616" s="10">
        <f>56.6415 * CHOOSE(CONTROL!$C$9, $D$9, 100%, $F$9) + CHOOSE(CONTROL!$C$27, 0.0021, 0)</f>
        <v>56.643599999999999</v>
      </c>
      <c r="E616" s="10">
        <f>56.5048 * CHOOSE(CONTROL!$C$9, $D$9, 100%, $F$9) + CHOOSE(CONTROL!$C$27, 0.0021, 0)</f>
        <v>56.506900000000002</v>
      </c>
      <c r="F616" s="10">
        <f>56.5048 * CHOOSE(CONTROL!$C$9, $D$9, 100%, $F$9) + CHOOSE(CONTROL!$C$27, 0.0021, 0)</f>
        <v>56.506900000000002</v>
      </c>
      <c r="G616" s="10">
        <f>56.7762 * CHOOSE(CONTROL!$C$9, $D$9, 100%, $F$9) + CHOOSE(CONTROL!$C$27, 0.0021, 0)</f>
        <v>56.778300000000002</v>
      </c>
      <c r="H616" s="10">
        <f>56.6415 * CHOOSE(CONTROL!$C$9, $D$9, 100%, $F$9) + CHOOSE(CONTROL!$C$27, 0.0021, 0)</f>
        <v>56.643599999999999</v>
      </c>
      <c r="I616" s="10">
        <f>56.6415 * CHOOSE(CONTROL!$C$9, $D$9, 100%, $F$9) + CHOOSE(CONTROL!$C$27, 0.0021, 0)</f>
        <v>56.643599999999999</v>
      </c>
      <c r="J616" s="10">
        <f>56.6415 * CHOOSE(CONTROL!$C$9, $D$9, 100%, $F$9) + CHOOSE(CONTROL!$C$27, 0.0021, 0)</f>
        <v>56.643599999999999</v>
      </c>
      <c r="K616" s="10">
        <f>56.6415 * CHOOSE(CONTROL!$C$9, $D$9, 100%, $F$9) + CHOOSE(CONTROL!$C$27, 0.0021, 0)</f>
        <v>56.643599999999999</v>
      </c>
      <c r="L616" s="10"/>
    </row>
    <row r="617" spans="1:12" ht="15.75">
      <c r="A617" s="13">
        <v>60083</v>
      </c>
      <c r="B617" s="10">
        <f>57.7486 * CHOOSE(CONTROL!$C$9, $D$9, 100%, $F$9) + CHOOSE(CONTROL!$C$27, 0.0021, 0)</f>
        <v>57.750700000000002</v>
      </c>
      <c r="C617" s="10">
        <f>57.3164 * CHOOSE(CONTROL!$C$9, $D$9, 100%, $F$9) + CHOOSE(CONTROL!$C$27, 0.0021, 0)</f>
        <v>57.3185</v>
      </c>
      <c r="D617" s="10">
        <f>57.3164 * CHOOSE(CONTROL!$C$9, $D$9, 100%, $F$9) + CHOOSE(CONTROL!$C$27, 0.0021, 0)</f>
        <v>57.3185</v>
      </c>
      <c r="E617" s="10">
        <f>57.1797 * CHOOSE(CONTROL!$C$9, $D$9, 100%, $F$9) + CHOOSE(CONTROL!$C$27, 0.0021, 0)</f>
        <v>57.181799999999996</v>
      </c>
      <c r="F617" s="10">
        <f>57.1797 * CHOOSE(CONTROL!$C$9, $D$9, 100%, $F$9) + CHOOSE(CONTROL!$C$27, 0.0021, 0)</f>
        <v>57.181799999999996</v>
      </c>
      <c r="G617" s="10">
        <f>57.4511 * CHOOSE(CONTROL!$C$9, $D$9, 100%, $F$9) + CHOOSE(CONTROL!$C$27, 0.0021, 0)</f>
        <v>57.453199999999995</v>
      </c>
      <c r="H617" s="10">
        <f>57.3164 * CHOOSE(CONTROL!$C$9, $D$9, 100%, $F$9) + CHOOSE(CONTROL!$C$27, 0.0021, 0)</f>
        <v>57.3185</v>
      </c>
      <c r="I617" s="10">
        <f>57.3164 * CHOOSE(CONTROL!$C$9, $D$9, 100%, $F$9) + CHOOSE(CONTROL!$C$27, 0.0021, 0)</f>
        <v>57.3185</v>
      </c>
      <c r="J617" s="10">
        <f>57.3164 * CHOOSE(CONTROL!$C$9, $D$9, 100%, $F$9) + CHOOSE(CONTROL!$C$27, 0.0021, 0)</f>
        <v>57.3185</v>
      </c>
      <c r="K617" s="10">
        <f>57.3164 * CHOOSE(CONTROL!$C$9, $D$9, 100%, $F$9) + CHOOSE(CONTROL!$C$27, 0.0021, 0)</f>
        <v>57.3185</v>
      </c>
      <c r="L617" s="10"/>
    </row>
    <row r="618" spans="1:12" ht="15.75">
      <c r="A618" s="13">
        <v>60114</v>
      </c>
      <c r="B618" s="10">
        <f>58.862 * CHOOSE(CONTROL!$C$9, $D$9, 100%, $F$9) + CHOOSE(CONTROL!$C$27, 0.0021, 0)</f>
        <v>58.864100000000001</v>
      </c>
      <c r="C618" s="10">
        <f>58.4297 * CHOOSE(CONTROL!$C$9, $D$9, 100%, $F$9) + CHOOSE(CONTROL!$C$27, 0.0021, 0)</f>
        <v>58.431799999999996</v>
      </c>
      <c r="D618" s="10">
        <f>58.4297 * CHOOSE(CONTROL!$C$9, $D$9, 100%, $F$9) + CHOOSE(CONTROL!$C$27, 0.0021, 0)</f>
        <v>58.431799999999996</v>
      </c>
      <c r="E618" s="10">
        <f>58.293 * CHOOSE(CONTROL!$C$9, $D$9, 100%, $F$9) + CHOOSE(CONTROL!$C$27, 0.0021, 0)</f>
        <v>58.295099999999998</v>
      </c>
      <c r="F618" s="10">
        <f>58.293 * CHOOSE(CONTROL!$C$9, $D$9, 100%, $F$9) + CHOOSE(CONTROL!$C$27, 0.0021, 0)</f>
        <v>58.295099999999998</v>
      </c>
      <c r="G618" s="10">
        <f>58.5644 * CHOOSE(CONTROL!$C$9, $D$9, 100%, $F$9) + CHOOSE(CONTROL!$C$27, 0.0021, 0)</f>
        <v>58.566499999999998</v>
      </c>
      <c r="H618" s="10">
        <f>58.4297 * CHOOSE(CONTROL!$C$9, $D$9, 100%, $F$9) + CHOOSE(CONTROL!$C$27, 0.0021, 0)</f>
        <v>58.431799999999996</v>
      </c>
      <c r="I618" s="10">
        <f>58.4297 * CHOOSE(CONTROL!$C$9, $D$9, 100%, $F$9) + CHOOSE(CONTROL!$C$27, 0.0021, 0)</f>
        <v>58.431799999999996</v>
      </c>
      <c r="J618" s="10">
        <f>58.4297 * CHOOSE(CONTROL!$C$9, $D$9, 100%, $F$9) + CHOOSE(CONTROL!$C$27, 0.0021, 0)</f>
        <v>58.431799999999996</v>
      </c>
      <c r="K618" s="10">
        <f>58.4297 * CHOOSE(CONTROL!$C$9, $D$9, 100%, $F$9) + CHOOSE(CONTROL!$C$27, 0.0021, 0)</f>
        <v>58.431799999999996</v>
      </c>
      <c r="L618" s="10"/>
    </row>
    <row r="619" spans="1:12" ht="15.75">
      <c r="A619" s="13">
        <v>60145</v>
      </c>
      <c r="B619" s="10">
        <f>59.2018 * CHOOSE(CONTROL!$C$9, $D$9, 100%, $F$9) + CHOOSE(CONTROL!$C$27, 0.0021, 0)</f>
        <v>59.203899999999997</v>
      </c>
      <c r="C619" s="10">
        <f>58.7695 * CHOOSE(CONTROL!$C$9, $D$9, 100%, $F$9) + CHOOSE(CONTROL!$C$27, 0.0021, 0)</f>
        <v>58.771599999999999</v>
      </c>
      <c r="D619" s="10">
        <f>58.7695 * CHOOSE(CONTROL!$C$9, $D$9, 100%, $F$9) + CHOOSE(CONTROL!$C$27, 0.0021, 0)</f>
        <v>58.771599999999999</v>
      </c>
      <c r="E619" s="10">
        <f>58.6329 * CHOOSE(CONTROL!$C$9, $D$9, 100%, $F$9) + CHOOSE(CONTROL!$C$27, 0.0021, 0)</f>
        <v>58.634999999999998</v>
      </c>
      <c r="F619" s="10">
        <f>58.6329 * CHOOSE(CONTROL!$C$9, $D$9, 100%, $F$9) + CHOOSE(CONTROL!$C$27, 0.0021, 0)</f>
        <v>58.634999999999998</v>
      </c>
      <c r="G619" s="10">
        <f>58.9042 * CHOOSE(CONTROL!$C$9, $D$9, 100%, $F$9) + CHOOSE(CONTROL!$C$27, 0.0021, 0)</f>
        <v>58.906300000000002</v>
      </c>
      <c r="H619" s="10">
        <f>58.7695 * CHOOSE(CONTROL!$C$9, $D$9, 100%, $F$9) + CHOOSE(CONTROL!$C$27, 0.0021, 0)</f>
        <v>58.771599999999999</v>
      </c>
      <c r="I619" s="10">
        <f>58.7695 * CHOOSE(CONTROL!$C$9, $D$9, 100%, $F$9) + CHOOSE(CONTROL!$C$27, 0.0021, 0)</f>
        <v>58.771599999999999</v>
      </c>
      <c r="J619" s="10">
        <f>58.7695 * CHOOSE(CONTROL!$C$9, $D$9, 100%, $F$9) + CHOOSE(CONTROL!$C$27, 0.0021, 0)</f>
        <v>58.771599999999999</v>
      </c>
      <c r="K619" s="10">
        <f>58.7695 * CHOOSE(CONTROL!$C$9, $D$9, 100%, $F$9) + CHOOSE(CONTROL!$C$27, 0.0021, 0)</f>
        <v>58.771599999999999</v>
      </c>
      <c r="L619" s="10"/>
    </row>
    <row r="620" spans="1:12" ht="15.75">
      <c r="A620" s="13">
        <v>60175</v>
      </c>
      <c r="B620" s="10">
        <f>60.359 * CHOOSE(CONTROL!$C$9, $D$9, 100%, $F$9) + CHOOSE(CONTROL!$C$27, 0.0021, 0)</f>
        <v>60.3611</v>
      </c>
      <c r="C620" s="10">
        <f>59.9268 * CHOOSE(CONTROL!$C$9, $D$9, 100%, $F$9) + CHOOSE(CONTROL!$C$27, 0.0021, 0)</f>
        <v>59.928899999999999</v>
      </c>
      <c r="D620" s="10">
        <f>59.9268 * CHOOSE(CONTROL!$C$9, $D$9, 100%, $F$9) + CHOOSE(CONTROL!$C$27, 0.0021, 0)</f>
        <v>59.928899999999999</v>
      </c>
      <c r="E620" s="10">
        <f>59.7901 * CHOOSE(CONTROL!$C$9, $D$9, 100%, $F$9) + CHOOSE(CONTROL!$C$27, 0.0021, 0)</f>
        <v>59.792200000000001</v>
      </c>
      <c r="F620" s="10">
        <f>59.7901 * CHOOSE(CONTROL!$C$9, $D$9, 100%, $F$9) + CHOOSE(CONTROL!$C$27, 0.0021, 0)</f>
        <v>59.792200000000001</v>
      </c>
      <c r="G620" s="10">
        <f>60.0615 * CHOOSE(CONTROL!$C$9, $D$9, 100%, $F$9) + CHOOSE(CONTROL!$C$27, 0.0021, 0)</f>
        <v>60.063600000000001</v>
      </c>
      <c r="H620" s="10">
        <f>59.9268 * CHOOSE(CONTROL!$C$9, $D$9, 100%, $F$9) + CHOOSE(CONTROL!$C$27, 0.0021, 0)</f>
        <v>59.928899999999999</v>
      </c>
      <c r="I620" s="10">
        <f>59.9268 * CHOOSE(CONTROL!$C$9, $D$9, 100%, $F$9) + CHOOSE(CONTROL!$C$27, 0.0021, 0)</f>
        <v>59.928899999999999</v>
      </c>
      <c r="J620" s="10">
        <f>59.9268 * CHOOSE(CONTROL!$C$9, $D$9, 100%, $F$9) + CHOOSE(CONTROL!$C$27, 0.0021, 0)</f>
        <v>59.928899999999999</v>
      </c>
      <c r="K620" s="10">
        <f>59.9268 * CHOOSE(CONTROL!$C$9, $D$9, 100%, $F$9) + CHOOSE(CONTROL!$C$27, 0.0021, 0)</f>
        <v>59.928899999999999</v>
      </c>
      <c r="L620" s="10"/>
    </row>
    <row r="621" spans="1:12" ht="15.75">
      <c r="A621" s="13">
        <v>60206</v>
      </c>
      <c r="B621" s="10">
        <f>61.8239 * CHOOSE(CONTROL!$C$9, $D$9, 100%, $F$9) + CHOOSE(CONTROL!$C$27, 0.0021, 0)</f>
        <v>61.826000000000001</v>
      </c>
      <c r="C621" s="10">
        <f>61.3917 * CHOOSE(CONTROL!$C$9, $D$9, 100%, $F$9) + CHOOSE(CONTROL!$C$27, 0.0021, 0)</f>
        <v>61.393799999999999</v>
      </c>
      <c r="D621" s="10">
        <f>61.3917 * CHOOSE(CONTROL!$C$9, $D$9, 100%, $F$9) + CHOOSE(CONTROL!$C$27, 0.0021, 0)</f>
        <v>61.393799999999999</v>
      </c>
      <c r="E621" s="10">
        <f>61.255 * CHOOSE(CONTROL!$C$9, $D$9, 100%, $F$9) + CHOOSE(CONTROL!$C$27, 0.0021, 0)</f>
        <v>61.257100000000001</v>
      </c>
      <c r="F621" s="10">
        <f>61.255 * CHOOSE(CONTROL!$C$9, $D$9, 100%, $F$9) + CHOOSE(CONTROL!$C$27, 0.0021, 0)</f>
        <v>61.257100000000001</v>
      </c>
      <c r="G621" s="10">
        <f>61.5264 * CHOOSE(CONTROL!$C$9, $D$9, 100%, $F$9) + CHOOSE(CONTROL!$C$27, 0.0021, 0)</f>
        <v>61.528500000000001</v>
      </c>
      <c r="H621" s="10">
        <f>61.3917 * CHOOSE(CONTROL!$C$9, $D$9, 100%, $F$9) + CHOOSE(CONTROL!$C$27, 0.0021, 0)</f>
        <v>61.393799999999999</v>
      </c>
      <c r="I621" s="10">
        <f>61.3917 * CHOOSE(CONTROL!$C$9, $D$9, 100%, $F$9) + CHOOSE(CONTROL!$C$27, 0.0021, 0)</f>
        <v>61.393799999999999</v>
      </c>
      <c r="J621" s="10">
        <f>61.3917 * CHOOSE(CONTROL!$C$9, $D$9, 100%, $F$9) + CHOOSE(CONTROL!$C$27, 0.0021, 0)</f>
        <v>61.393799999999999</v>
      </c>
      <c r="K621" s="10">
        <f>61.3917 * CHOOSE(CONTROL!$C$9, $D$9, 100%, $F$9) + CHOOSE(CONTROL!$C$27, 0.0021, 0)</f>
        <v>61.393799999999999</v>
      </c>
      <c r="L621" s="10"/>
    </row>
    <row r="622" spans="1:12" ht="15.75">
      <c r="A622" s="13">
        <v>60236</v>
      </c>
      <c r="B622" s="10">
        <f>61.9614 * CHOOSE(CONTROL!$C$9, $D$9, 100%, $F$9) + CHOOSE(CONTROL!$C$27, 0.0021, 0)</f>
        <v>61.963499999999996</v>
      </c>
      <c r="C622" s="10">
        <f>61.5292 * CHOOSE(CONTROL!$C$9, $D$9, 100%, $F$9) + CHOOSE(CONTROL!$C$27, 0.0021, 0)</f>
        <v>61.531300000000002</v>
      </c>
      <c r="D622" s="10">
        <f>61.5292 * CHOOSE(CONTROL!$C$9, $D$9, 100%, $F$9) + CHOOSE(CONTROL!$C$27, 0.0021, 0)</f>
        <v>61.531300000000002</v>
      </c>
      <c r="E622" s="10">
        <f>61.3925 * CHOOSE(CONTROL!$C$9, $D$9, 100%, $F$9) + CHOOSE(CONTROL!$C$27, 0.0021, 0)</f>
        <v>61.394599999999997</v>
      </c>
      <c r="F622" s="10">
        <f>61.3925 * CHOOSE(CONTROL!$C$9, $D$9, 100%, $F$9) + CHOOSE(CONTROL!$C$27, 0.0021, 0)</f>
        <v>61.394599999999997</v>
      </c>
      <c r="G622" s="10">
        <f>61.6639 * CHOOSE(CONTROL!$C$9, $D$9, 100%, $F$9) + CHOOSE(CONTROL!$C$27, 0.0021, 0)</f>
        <v>61.665999999999997</v>
      </c>
      <c r="H622" s="10">
        <f>61.5292 * CHOOSE(CONTROL!$C$9, $D$9, 100%, $F$9) + CHOOSE(CONTROL!$C$27, 0.0021, 0)</f>
        <v>61.531300000000002</v>
      </c>
      <c r="I622" s="10">
        <f>61.5292 * CHOOSE(CONTROL!$C$9, $D$9, 100%, $F$9) + CHOOSE(CONTROL!$C$27, 0.0021, 0)</f>
        <v>61.531300000000002</v>
      </c>
      <c r="J622" s="10">
        <f>61.5292 * CHOOSE(CONTROL!$C$9, $D$9, 100%, $F$9) + CHOOSE(CONTROL!$C$27, 0.0021, 0)</f>
        <v>61.531300000000002</v>
      </c>
      <c r="K622" s="10">
        <f>61.5292 * CHOOSE(CONTROL!$C$9, $D$9, 100%, $F$9) + CHOOSE(CONTROL!$C$27, 0.0021, 0)</f>
        <v>61.531300000000002</v>
      </c>
      <c r="L622" s="10"/>
    </row>
    <row r="623" spans="1:12" ht="15.75">
      <c r="A623" s="13">
        <v>60267</v>
      </c>
      <c r="B623" s="10">
        <f>60.7915 * CHOOSE(CONTROL!$C$9, $D$9, 100%, $F$9) + CHOOSE(CONTROL!$C$27, 0.0021, 0)</f>
        <v>60.793599999999998</v>
      </c>
      <c r="C623" s="10">
        <f>60.3592 * CHOOSE(CONTROL!$C$9, $D$9, 100%, $F$9) + CHOOSE(CONTROL!$C$27, 0.0021, 0)</f>
        <v>60.3613</v>
      </c>
      <c r="D623" s="10">
        <f>60.3592 * CHOOSE(CONTROL!$C$9, $D$9, 100%, $F$9) + CHOOSE(CONTROL!$C$27, 0.0021, 0)</f>
        <v>60.3613</v>
      </c>
      <c r="E623" s="10">
        <f>60.2226 * CHOOSE(CONTROL!$C$9, $D$9, 100%, $F$9) + CHOOSE(CONTROL!$C$27, 0.0021, 0)</f>
        <v>60.224699999999999</v>
      </c>
      <c r="F623" s="10">
        <f>60.2226 * CHOOSE(CONTROL!$C$9, $D$9, 100%, $F$9) + CHOOSE(CONTROL!$C$27, 0.0021, 0)</f>
        <v>60.224699999999999</v>
      </c>
      <c r="G623" s="10">
        <f>60.4939 * CHOOSE(CONTROL!$C$9, $D$9, 100%, $F$9) + CHOOSE(CONTROL!$C$27, 0.0021, 0)</f>
        <v>60.495999999999995</v>
      </c>
      <c r="H623" s="10">
        <f>60.3592 * CHOOSE(CONTROL!$C$9, $D$9, 100%, $F$9) + CHOOSE(CONTROL!$C$27, 0.0021, 0)</f>
        <v>60.3613</v>
      </c>
      <c r="I623" s="10">
        <f>60.3592 * CHOOSE(CONTROL!$C$9, $D$9, 100%, $F$9) + CHOOSE(CONTROL!$C$27, 0.0021, 0)</f>
        <v>60.3613</v>
      </c>
      <c r="J623" s="10">
        <f>60.3592 * CHOOSE(CONTROL!$C$9, $D$9, 100%, $F$9) + CHOOSE(CONTROL!$C$27, 0.0021, 0)</f>
        <v>60.3613</v>
      </c>
      <c r="K623" s="10">
        <f>60.3592 * CHOOSE(CONTROL!$C$9, $D$9, 100%, $F$9) + CHOOSE(CONTROL!$C$27, 0.0021, 0)</f>
        <v>60.3613</v>
      </c>
      <c r="L623" s="10"/>
    </row>
    <row r="624" spans="1:12" ht="15.75">
      <c r="A624" s="13">
        <v>60298</v>
      </c>
      <c r="B624" s="10">
        <f>59.8957 * CHOOSE(CONTROL!$C$9, $D$9, 100%, $F$9) + CHOOSE(CONTROL!$C$27, 0.0021, 0)</f>
        <v>59.897799999999997</v>
      </c>
      <c r="C624" s="10">
        <f>59.4634 * CHOOSE(CONTROL!$C$9, $D$9, 100%, $F$9) + CHOOSE(CONTROL!$C$27, 0.0021, 0)</f>
        <v>59.465499999999999</v>
      </c>
      <c r="D624" s="10">
        <f>59.4634 * CHOOSE(CONTROL!$C$9, $D$9, 100%, $F$9) + CHOOSE(CONTROL!$C$27, 0.0021, 0)</f>
        <v>59.465499999999999</v>
      </c>
      <c r="E624" s="10">
        <f>59.3268 * CHOOSE(CONTROL!$C$9, $D$9, 100%, $F$9) + CHOOSE(CONTROL!$C$27, 0.0021, 0)</f>
        <v>59.328899999999997</v>
      </c>
      <c r="F624" s="10">
        <f>59.3268 * CHOOSE(CONTROL!$C$9, $D$9, 100%, $F$9) + CHOOSE(CONTROL!$C$27, 0.0021, 0)</f>
        <v>59.328899999999997</v>
      </c>
      <c r="G624" s="10">
        <f>59.5982 * CHOOSE(CONTROL!$C$9, $D$9, 100%, $F$9) + CHOOSE(CONTROL!$C$27, 0.0021, 0)</f>
        <v>59.600299999999997</v>
      </c>
      <c r="H624" s="10">
        <f>59.4634 * CHOOSE(CONTROL!$C$9, $D$9, 100%, $F$9) + CHOOSE(CONTROL!$C$27, 0.0021, 0)</f>
        <v>59.465499999999999</v>
      </c>
      <c r="I624" s="10">
        <f>59.4634 * CHOOSE(CONTROL!$C$9, $D$9, 100%, $F$9) + CHOOSE(CONTROL!$C$27, 0.0021, 0)</f>
        <v>59.465499999999999</v>
      </c>
      <c r="J624" s="10">
        <f>59.4634 * CHOOSE(CONTROL!$C$9, $D$9, 100%, $F$9) + CHOOSE(CONTROL!$C$27, 0.0021, 0)</f>
        <v>59.465499999999999</v>
      </c>
      <c r="K624" s="10">
        <f>59.4634 * CHOOSE(CONTROL!$C$9, $D$9, 100%, $F$9) + CHOOSE(CONTROL!$C$27, 0.0021, 0)</f>
        <v>59.465499999999999</v>
      </c>
      <c r="L624" s="10"/>
    </row>
    <row r="625" spans="1:12" ht="15.75">
      <c r="A625" s="13">
        <v>60326</v>
      </c>
      <c r="B625" s="10">
        <f>58.2664 * CHOOSE(CONTROL!$C$9, $D$9, 100%, $F$9) + CHOOSE(CONTROL!$C$27, 0.0021, 0)</f>
        <v>58.268499999999996</v>
      </c>
      <c r="C625" s="10">
        <f>57.8341 * CHOOSE(CONTROL!$C$9, $D$9, 100%, $F$9) + CHOOSE(CONTROL!$C$27, 0.0021, 0)</f>
        <v>57.836199999999998</v>
      </c>
      <c r="D625" s="10">
        <f>57.8341 * CHOOSE(CONTROL!$C$9, $D$9, 100%, $F$9) + CHOOSE(CONTROL!$C$27, 0.0021, 0)</f>
        <v>57.836199999999998</v>
      </c>
      <c r="E625" s="10">
        <f>57.6974 * CHOOSE(CONTROL!$C$9, $D$9, 100%, $F$9) + CHOOSE(CONTROL!$C$27, 0.0021, 0)</f>
        <v>57.6995</v>
      </c>
      <c r="F625" s="10">
        <f>57.6974 * CHOOSE(CONTROL!$C$9, $D$9, 100%, $F$9) + CHOOSE(CONTROL!$C$27, 0.0021, 0)</f>
        <v>57.6995</v>
      </c>
      <c r="G625" s="10">
        <f>57.9688 * CHOOSE(CONTROL!$C$9, $D$9, 100%, $F$9) + CHOOSE(CONTROL!$C$27, 0.0021, 0)</f>
        <v>57.9709</v>
      </c>
      <c r="H625" s="10">
        <f>57.8341 * CHOOSE(CONTROL!$C$9, $D$9, 100%, $F$9) + CHOOSE(CONTROL!$C$27, 0.0021, 0)</f>
        <v>57.836199999999998</v>
      </c>
      <c r="I625" s="10">
        <f>57.8341 * CHOOSE(CONTROL!$C$9, $D$9, 100%, $F$9) + CHOOSE(CONTROL!$C$27, 0.0021, 0)</f>
        <v>57.836199999999998</v>
      </c>
      <c r="J625" s="10">
        <f>57.8341 * CHOOSE(CONTROL!$C$9, $D$9, 100%, $F$9) + CHOOSE(CONTROL!$C$27, 0.0021, 0)</f>
        <v>57.836199999999998</v>
      </c>
      <c r="K625" s="10">
        <f>57.8341 * CHOOSE(CONTROL!$C$9, $D$9, 100%, $F$9) + CHOOSE(CONTROL!$C$27, 0.0021, 0)</f>
        <v>57.836199999999998</v>
      </c>
      <c r="L625" s="10"/>
    </row>
    <row r="626" spans="1:12" ht="15.75">
      <c r="A626" s="13">
        <v>60357</v>
      </c>
      <c r="B626" s="10">
        <f>57.5938 * CHOOSE(CONTROL!$C$9, $D$9, 100%, $F$9) + CHOOSE(CONTROL!$C$27, 0.0021, 0)</f>
        <v>57.5959</v>
      </c>
      <c r="C626" s="10">
        <f>57.1615 * CHOOSE(CONTROL!$C$9, $D$9, 100%, $F$9) + CHOOSE(CONTROL!$C$27, 0.0021, 0)</f>
        <v>57.163599999999995</v>
      </c>
      <c r="D626" s="10">
        <f>57.1615 * CHOOSE(CONTROL!$C$9, $D$9, 100%, $F$9) + CHOOSE(CONTROL!$C$27, 0.0021, 0)</f>
        <v>57.163599999999995</v>
      </c>
      <c r="E626" s="10">
        <f>57.0249 * CHOOSE(CONTROL!$C$9, $D$9, 100%, $F$9) + CHOOSE(CONTROL!$C$27, 0.0021, 0)</f>
        <v>57.027000000000001</v>
      </c>
      <c r="F626" s="10">
        <f>57.0249 * CHOOSE(CONTROL!$C$9, $D$9, 100%, $F$9) + CHOOSE(CONTROL!$C$27, 0.0021, 0)</f>
        <v>57.027000000000001</v>
      </c>
      <c r="G626" s="10">
        <f>57.2962 * CHOOSE(CONTROL!$C$9, $D$9, 100%, $F$9) + CHOOSE(CONTROL!$C$27, 0.0021, 0)</f>
        <v>57.298299999999998</v>
      </c>
      <c r="H626" s="10">
        <f>57.1615 * CHOOSE(CONTROL!$C$9, $D$9, 100%, $F$9) + CHOOSE(CONTROL!$C$27, 0.0021, 0)</f>
        <v>57.163599999999995</v>
      </c>
      <c r="I626" s="10">
        <f>57.1615 * CHOOSE(CONTROL!$C$9, $D$9, 100%, $F$9) + CHOOSE(CONTROL!$C$27, 0.0021, 0)</f>
        <v>57.163599999999995</v>
      </c>
      <c r="J626" s="10">
        <f>57.1615 * CHOOSE(CONTROL!$C$9, $D$9, 100%, $F$9) + CHOOSE(CONTROL!$C$27, 0.0021, 0)</f>
        <v>57.163599999999995</v>
      </c>
      <c r="K626" s="10">
        <f>57.1615 * CHOOSE(CONTROL!$C$9, $D$9, 100%, $F$9) + CHOOSE(CONTROL!$C$27, 0.0021, 0)</f>
        <v>57.163599999999995</v>
      </c>
      <c r="L626" s="10"/>
    </row>
    <row r="627" spans="1:12" ht="15.75">
      <c r="A627" s="13">
        <v>60387</v>
      </c>
      <c r="B627" s="10">
        <f>56.7907 * CHOOSE(CONTROL!$C$9, $D$9, 100%, $F$9) + CHOOSE(CONTROL!$C$27, 0.0021, 0)</f>
        <v>56.7928</v>
      </c>
      <c r="C627" s="10">
        <f>56.3584 * CHOOSE(CONTROL!$C$9, $D$9, 100%, $F$9) + CHOOSE(CONTROL!$C$27, 0.0021, 0)</f>
        <v>56.360500000000002</v>
      </c>
      <c r="D627" s="10">
        <f>56.3584 * CHOOSE(CONTROL!$C$9, $D$9, 100%, $F$9) + CHOOSE(CONTROL!$C$27, 0.0021, 0)</f>
        <v>56.360500000000002</v>
      </c>
      <c r="E627" s="10">
        <f>56.2218 * CHOOSE(CONTROL!$C$9, $D$9, 100%, $F$9) + CHOOSE(CONTROL!$C$27, 0.0021, 0)</f>
        <v>56.2239</v>
      </c>
      <c r="F627" s="10">
        <f>56.2218 * CHOOSE(CONTROL!$C$9, $D$9, 100%, $F$9) + CHOOSE(CONTROL!$C$27, 0.0021, 0)</f>
        <v>56.2239</v>
      </c>
      <c r="G627" s="10">
        <f>56.4932 * CHOOSE(CONTROL!$C$9, $D$9, 100%, $F$9) + CHOOSE(CONTROL!$C$27, 0.0021, 0)</f>
        <v>56.4953</v>
      </c>
      <c r="H627" s="10">
        <f>56.3584 * CHOOSE(CONTROL!$C$9, $D$9, 100%, $F$9) + CHOOSE(CONTROL!$C$27, 0.0021, 0)</f>
        <v>56.360500000000002</v>
      </c>
      <c r="I627" s="10">
        <f>56.3584 * CHOOSE(CONTROL!$C$9, $D$9, 100%, $F$9) + CHOOSE(CONTROL!$C$27, 0.0021, 0)</f>
        <v>56.360500000000002</v>
      </c>
      <c r="J627" s="10">
        <f>56.3584 * CHOOSE(CONTROL!$C$9, $D$9, 100%, $F$9) + CHOOSE(CONTROL!$C$27, 0.0021, 0)</f>
        <v>56.360500000000002</v>
      </c>
      <c r="K627" s="10">
        <f>56.3584 * CHOOSE(CONTROL!$C$9, $D$9, 100%, $F$9) + CHOOSE(CONTROL!$C$27, 0.0021, 0)</f>
        <v>56.360500000000002</v>
      </c>
      <c r="L627" s="10"/>
    </row>
    <row r="628" spans="1:12" ht="15.75">
      <c r="A628" s="13">
        <v>60418</v>
      </c>
      <c r="B628" s="10">
        <f>57.9352 * CHOOSE(CONTROL!$C$9, $D$9, 100%, $F$9) + CHOOSE(CONTROL!$C$27, 0.0021, 0)</f>
        <v>57.9373</v>
      </c>
      <c r="C628" s="10">
        <f>57.5029 * CHOOSE(CONTROL!$C$9, $D$9, 100%, $F$9) + CHOOSE(CONTROL!$C$27, 0.0021, 0)</f>
        <v>57.504999999999995</v>
      </c>
      <c r="D628" s="10">
        <f>57.5029 * CHOOSE(CONTROL!$C$9, $D$9, 100%, $F$9) + CHOOSE(CONTROL!$C$27, 0.0021, 0)</f>
        <v>57.504999999999995</v>
      </c>
      <c r="E628" s="10">
        <f>57.3663 * CHOOSE(CONTROL!$C$9, $D$9, 100%, $F$9) + CHOOSE(CONTROL!$C$27, 0.0021, 0)</f>
        <v>57.368400000000001</v>
      </c>
      <c r="F628" s="10">
        <f>57.3663 * CHOOSE(CONTROL!$C$9, $D$9, 100%, $F$9) + CHOOSE(CONTROL!$C$27, 0.0021, 0)</f>
        <v>57.368400000000001</v>
      </c>
      <c r="G628" s="10">
        <f>57.6376 * CHOOSE(CONTROL!$C$9, $D$9, 100%, $F$9) + CHOOSE(CONTROL!$C$27, 0.0021, 0)</f>
        <v>57.639699999999998</v>
      </c>
      <c r="H628" s="10">
        <f>57.5029 * CHOOSE(CONTROL!$C$9, $D$9, 100%, $F$9) + CHOOSE(CONTROL!$C$27, 0.0021, 0)</f>
        <v>57.504999999999995</v>
      </c>
      <c r="I628" s="10">
        <f>57.5029 * CHOOSE(CONTROL!$C$9, $D$9, 100%, $F$9) + CHOOSE(CONTROL!$C$27, 0.0021, 0)</f>
        <v>57.504999999999995</v>
      </c>
      <c r="J628" s="10">
        <f>57.5029 * CHOOSE(CONTROL!$C$9, $D$9, 100%, $F$9) + CHOOSE(CONTROL!$C$27, 0.0021, 0)</f>
        <v>57.504999999999995</v>
      </c>
      <c r="K628" s="10">
        <f>57.5029 * CHOOSE(CONTROL!$C$9, $D$9, 100%, $F$9) + CHOOSE(CONTROL!$C$27, 0.0021, 0)</f>
        <v>57.504999999999995</v>
      </c>
      <c r="L628" s="10"/>
    </row>
    <row r="629" spans="1:12" ht="15.75">
      <c r="A629" s="13">
        <v>60448</v>
      </c>
      <c r="B629" s="10">
        <f>58.6207 * CHOOSE(CONTROL!$C$9, $D$9, 100%, $F$9) + CHOOSE(CONTROL!$C$27, 0.0021, 0)</f>
        <v>58.622799999999998</v>
      </c>
      <c r="C629" s="10">
        <f>58.1884 * CHOOSE(CONTROL!$C$9, $D$9, 100%, $F$9) + CHOOSE(CONTROL!$C$27, 0.0021, 0)</f>
        <v>58.1905</v>
      </c>
      <c r="D629" s="10">
        <f>58.1884 * CHOOSE(CONTROL!$C$9, $D$9, 100%, $F$9) + CHOOSE(CONTROL!$C$27, 0.0021, 0)</f>
        <v>58.1905</v>
      </c>
      <c r="E629" s="10">
        <f>58.0518 * CHOOSE(CONTROL!$C$9, $D$9, 100%, $F$9) + CHOOSE(CONTROL!$C$27, 0.0021, 0)</f>
        <v>58.053899999999999</v>
      </c>
      <c r="F629" s="10">
        <f>58.0518 * CHOOSE(CONTROL!$C$9, $D$9, 100%, $F$9) + CHOOSE(CONTROL!$C$27, 0.0021, 0)</f>
        <v>58.053899999999999</v>
      </c>
      <c r="G629" s="10">
        <f>58.3232 * CHOOSE(CONTROL!$C$9, $D$9, 100%, $F$9) + CHOOSE(CONTROL!$C$27, 0.0021, 0)</f>
        <v>58.325299999999999</v>
      </c>
      <c r="H629" s="10">
        <f>58.1884 * CHOOSE(CONTROL!$C$9, $D$9, 100%, $F$9) + CHOOSE(CONTROL!$C$27, 0.0021, 0)</f>
        <v>58.1905</v>
      </c>
      <c r="I629" s="10">
        <f>58.1884 * CHOOSE(CONTROL!$C$9, $D$9, 100%, $F$9) + CHOOSE(CONTROL!$C$27, 0.0021, 0)</f>
        <v>58.1905</v>
      </c>
      <c r="J629" s="10">
        <f>58.1884 * CHOOSE(CONTROL!$C$9, $D$9, 100%, $F$9) + CHOOSE(CONTROL!$C$27, 0.0021, 0)</f>
        <v>58.1905</v>
      </c>
      <c r="K629" s="10">
        <f>58.1884 * CHOOSE(CONTROL!$C$9, $D$9, 100%, $F$9) + CHOOSE(CONTROL!$C$27, 0.0021, 0)</f>
        <v>58.1905</v>
      </c>
      <c r="L629" s="10"/>
    </row>
    <row r="630" spans="1:12" ht="15.75">
      <c r="A630" s="13">
        <v>60479</v>
      </c>
      <c r="B630" s="10">
        <f>59.7515 * CHOOSE(CONTROL!$C$9, $D$9, 100%, $F$9) + CHOOSE(CONTROL!$C$27, 0.0021, 0)</f>
        <v>59.753599999999999</v>
      </c>
      <c r="C630" s="10">
        <f>59.3193 * CHOOSE(CONTROL!$C$9, $D$9, 100%, $F$9) + CHOOSE(CONTROL!$C$27, 0.0021, 0)</f>
        <v>59.321399999999997</v>
      </c>
      <c r="D630" s="10">
        <f>59.3193 * CHOOSE(CONTROL!$C$9, $D$9, 100%, $F$9) + CHOOSE(CONTROL!$C$27, 0.0021, 0)</f>
        <v>59.321399999999997</v>
      </c>
      <c r="E630" s="10">
        <f>59.1826 * CHOOSE(CONTROL!$C$9, $D$9, 100%, $F$9) + CHOOSE(CONTROL!$C$27, 0.0021, 0)</f>
        <v>59.184699999999999</v>
      </c>
      <c r="F630" s="10">
        <f>59.1826 * CHOOSE(CONTROL!$C$9, $D$9, 100%, $F$9) + CHOOSE(CONTROL!$C$27, 0.0021, 0)</f>
        <v>59.184699999999999</v>
      </c>
      <c r="G630" s="10">
        <f>59.454 * CHOOSE(CONTROL!$C$9, $D$9, 100%, $F$9) + CHOOSE(CONTROL!$C$27, 0.0021, 0)</f>
        <v>59.456099999999999</v>
      </c>
      <c r="H630" s="10">
        <f>59.3193 * CHOOSE(CONTROL!$C$9, $D$9, 100%, $F$9) + CHOOSE(CONTROL!$C$27, 0.0021, 0)</f>
        <v>59.321399999999997</v>
      </c>
      <c r="I630" s="10">
        <f>59.3193 * CHOOSE(CONTROL!$C$9, $D$9, 100%, $F$9) + CHOOSE(CONTROL!$C$27, 0.0021, 0)</f>
        <v>59.321399999999997</v>
      </c>
      <c r="J630" s="10">
        <f>59.3193 * CHOOSE(CONTROL!$C$9, $D$9, 100%, $F$9) + CHOOSE(CONTROL!$C$27, 0.0021, 0)</f>
        <v>59.321399999999997</v>
      </c>
      <c r="K630" s="10">
        <f>59.3193 * CHOOSE(CONTROL!$C$9, $D$9, 100%, $F$9) + CHOOSE(CONTROL!$C$27, 0.0021, 0)</f>
        <v>59.321399999999997</v>
      </c>
      <c r="L630" s="10"/>
    </row>
    <row r="631" spans="1:12" ht="15.75">
      <c r="A631" s="13">
        <v>60510</v>
      </c>
      <c r="B631" s="10">
        <f>60.0967 * CHOOSE(CONTROL!$C$9, $D$9, 100%, $F$9) + CHOOSE(CONTROL!$C$27, 0.0021, 0)</f>
        <v>60.098799999999997</v>
      </c>
      <c r="C631" s="10">
        <f>59.6644 * CHOOSE(CONTROL!$C$9, $D$9, 100%, $F$9) + CHOOSE(CONTROL!$C$27, 0.0021, 0)</f>
        <v>59.666499999999999</v>
      </c>
      <c r="D631" s="10">
        <f>59.6644 * CHOOSE(CONTROL!$C$9, $D$9, 100%, $F$9) + CHOOSE(CONTROL!$C$27, 0.0021, 0)</f>
        <v>59.666499999999999</v>
      </c>
      <c r="E631" s="10">
        <f>59.5278 * CHOOSE(CONTROL!$C$9, $D$9, 100%, $F$9) + CHOOSE(CONTROL!$C$27, 0.0021, 0)</f>
        <v>59.529899999999998</v>
      </c>
      <c r="F631" s="10">
        <f>59.5278 * CHOOSE(CONTROL!$C$9, $D$9, 100%, $F$9) + CHOOSE(CONTROL!$C$27, 0.0021, 0)</f>
        <v>59.529899999999998</v>
      </c>
      <c r="G631" s="10">
        <f>59.7991 * CHOOSE(CONTROL!$C$9, $D$9, 100%, $F$9) + CHOOSE(CONTROL!$C$27, 0.0021, 0)</f>
        <v>59.801200000000001</v>
      </c>
      <c r="H631" s="10">
        <f>59.6644 * CHOOSE(CONTROL!$C$9, $D$9, 100%, $F$9) + CHOOSE(CONTROL!$C$27, 0.0021, 0)</f>
        <v>59.666499999999999</v>
      </c>
      <c r="I631" s="10">
        <f>59.6644 * CHOOSE(CONTROL!$C$9, $D$9, 100%, $F$9) + CHOOSE(CONTROL!$C$27, 0.0021, 0)</f>
        <v>59.666499999999999</v>
      </c>
      <c r="J631" s="10">
        <f>59.6644 * CHOOSE(CONTROL!$C$9, $D$9, 100%, $F$9) + CHOOSE(CONTROL!$C$27, 0.0021, 0)</f>
        <v>59.666499999999999</v>
      </c>
      <c r="K631" s="10">
        <f>59.6644 * CHOOSE(CONTROL!$C$9, $D$9, 100%, $F$9) + CHOOSE(CONTROL!$C$27, 0.0021, 0)</f>
        <v>59.666499999999999</v>
      </c>
      <c r="L631" s="10"/>
    </row>
    <row r="632" spans="1:12" ht="15.75">
      <c r="A632" s="13">
        <v>60540</v>
      </c>
      <c r="B632" s="10">
        <f>61.2721 * CHOOSE(CONTROL!$C$9, $D$9, 100%, $F$9) + CHOOSE(CONTROL!$C$27, 0.0021, 0)</f>
        <v>61.2742</v>
      </c>
      <c r="C632" s="10">
        <f>60.8399 * CHOOSE(CONTROL!$C$9, $D$9, 100%, $F$9) + CHOOSE(CONTROL!$C$27, 0.0021, 0)</f>
        <v>60.841999999999999</v>
      </c>
      <c r="D632" s="10">
        <f>60.8399 * CHOOSE(CONTROL!$C$9, $D$9, 100%, $F$9) + CHOOSE(CONTROL!$C$27, 0.0021, 0)</f>
        <v>60.841999999999999</v>
      </c>
      <c r="E632" s="10">
        <f>60.7032 * CHOOSE(CONTROL!$C$9, $D$9, 100%, $F$9) + CHOOSE(CONTROL!$C$27, 0.0021, 0)</f>
        <v>60.705300000000001</v>
      </c>
      <c r="F632" s="10">
        <f>60.7032 * CHOOSE(CONTROL!$C$9, $D$9, 100%, $F$9) + CHOOSE(CONTROL!$C$27, 0.0021, 0)</f>
        <v>60.705300000000001</v>
      </c>
      <c r="G632" s="10">
        <f>60.9746 * CHOOSE(CONTROL!$C$9, $D$9, 100%, $F$9) + CHOOSE(CONTROL!$C$27, 0.0021, 0)</f>
        <v>60.976700000000001</v>
      </c>
      <c r="H632" s="10">
        <f>60.8399 * CHOOSE(CONTROL!$C$9, $D$9, 100%, $F$9) + CHOOSE(CONTROL!$C$27, 0.0021, 0)</f>
        <v>60.841999999999999</v>
      </c>
      <c r="I632" s="10">
        <f>60.8399 * CHOOSE(CONTROL!$C$9, $D$9, 100%, $F$9) + CHOOSE(CONTROL!$C$27, 0.0021, 0)</f>
        <v>60.841999999999999</v>
      </c>
      <c r="J632" s="10">
        <f>60.8399 * CHOOSE(CONTROL!$C$9, $D$9, 100%, $F$9) + CHOOSE(CONTROL!$C$27, 0.0021, 0)</f>
        <v>60.841999999999999</v>
      </c>
      <c r="K632" s="10">
        <f>60.8399 * CHOOSE(CONTROL!$C$9, $D$9, 100%, $F$9) + CHOOSE(CONTROL!$C$27, 0.0021, 0)</f>
        <v>60.841999999999999</v>
      </c>
      <c r="L632" s="10"/>
    </row>
    <row r="633" spans="1:12" ht="15.75">
      <c r="A633" s="13">
        <v>60571</v>
      </c>
      <c r="B633" s="10">
        <f>62.76 * CHOOSE(CONTROL!$C$9, $D$9, 100%, $F$9) + CHOOSE(CONTROL!$C$27, 0.0021, 0)</f>
        <v>62.762099999999997</v>
      </c>
      <c r="C633" s="10">
        <f>62.3278 * CHOOSE(CONTROL!$C$9, $D$9, 100%, $F$9) + CHOOSE(CONTROL!$C$27, 0.0021, 0)</f>
        <v>62.329900000000002</v>
      </c>
      <c r="D633" s="10">
        <f>62.3278 * CHOOSE(CONTROL!$C$9, $D$9, 100%, $F$9) + CHOOSE(CONTROL!$C$27, 0.0021, 0)</f>
        <v>62.329900000000002</v>
      </c>
      <c r="E633" s="10">
        <f>62.1911 * CHOOSE(CONTROL!$C$9, $D$9, 100%, $F$9) + CHOOSE(CONTROL!$C$27, 0.0021, 0)</f>
        <v>62.193199999999997</v>
      </c>
      <c r="F633" s="10">
        <f>62.1911 * CHOOSE(CONTROL!$C$9, $D$9, 100%, $F$9) + CHOOSE(CONTROL!$C$27, 0.0021, 0)</f>
        <v>62.193199999999997</v>
      </c>
      <c r="G633" s="10">
        <f>62.4625 * CHOOSE(CONTROL!$C$9, $D$9, 100%, $F$9) + CHOOSE(CONTROL!$C$27, 0.0021, 0)</f>
        <v>62.464599999999997</v>
      </c>
      <c r="H633" s="10">
        <f>62.3278 * CHOOSE(CONTROL!$C$9, $D$9, 100%, $F$9) + CHOOSE(CONTROL!$C$27, 0.0021, 0)</f>
        <v>62.329900000000002</v>
      </c>
      <c r="I633" s="10">
        <f>62.3278 * CHOOSE(CONTROL!$C$9, $D$9, 100%, $F$9) + CHOOSE(CONTROL!$C$27, 0.0021, 0)</f>
        <v>62.329900000000002</v>
      </c>
      <c r="J633" s="10">
        <f>62.3278 * CHOOSE(CONTROL!$C$9, $D$9, 100%, $F$9) + CHOOSE(CONTROL!$C$27, 0.0021, 0)</f>
        <v>62.329900000000002</v>
      </c>
      <c r="K633" s="10">
        <f>62.3278 * CHOOSE(CONTROL!$C$9, $D$9, 100%, $F$9) + CHOOSE(CONTROL!$C$27, 0.0021, 0)</f>
        <v>62.329900000000002</v>
      </c>
      <c r="L633" s="10"/>
    </row>
    <row r="634" spans="1:12" ht="15.75">
      <c r="A634" s="13">
        <v>60601</v>
      </c>
      <c r="B634" s="10">
        <f>62.8997 * CHOOSE(CONTROL!$C$9, $D$9, 100%, $F$9) + CHOOSE(CONTROL!$C$27, 0.0021, 0)</f>
        <v>62.901800000000001</v>
      </c>
      <c r="C634" s="10">
        <f>62.4675 * CHOOSE(CONTROL!$C$9, $D$9, 100%, $F$9) + CHOOSE(CONTROL!$C$27, 0.0021, 0)</f>
        <v>62.4696</v>
      </c>
      <c r="D634" s="10">
        <f>62.4675 * CHOOSE(CONTROL!$C$9, $D$9, 100%, $F$9) + CHOOSE(CONTROL!$C$27, 0.0021, 0)</f>
        <v>62.4696</v>
      </c>
      <c r="E634" s="10">
        <f>62.3308 * CHOOSE(CONTROL!$C$9, $D$9, 100%, $F$9) + CHOOSE(CONTROL!$C$27, 0.0021, 0)</f>
        <v>62.332900000000002</v>
      </c>
      <c r="F634" s="10">
        <f>62.3308 * CHOOSE(CONTROL!$C$9, $D$9, 100%, $F$9) + CHOOSE(CONTROL!$C$27, 0.0021, 0)</f>
        <v>62.332900000000002</v>
      </c>
      <c r="G634" s="10">
        <f>62.6022 * CHOOSE(CONTROL!$C$9, $D$9, 100%, $F$9) + CHOOSE(CONTROL!$C$27, 0.0021, 0)</f>
        <v>62.604300000000002</v>
      </c>
      <c r="H634" s="10">
        <f>62.4675 * CHOOSE(CONTROL!$C$9, $D$9, 100%, $F$9) + CHOOSE(CONTROL!$C$27, 0.0021, 0)</f>
        <v>62.4696</v>
      </c>
      <c r="I634" s="10">
        <f>62.4675 * CHOOSE(CONTROL!$C$9, $D$9, 100%, $F$9) + CHOOSE(CONTROL!$C$27, 0.0021, 0)</f>
        <v>62.4696</v>
      </c>
      <c r="J634" s="10">
        <f>62.4675 * CHOOSE(CONTROL!$C$9, $D$9, 100%, $F$9) + CHOOSE(CONTROL!$C$27, 0.0021, 0)</f>
        <v>62.4696</v>
      </c>
      <c r="K634" s="10">
        <f>62.4675 * CHOOSE(CONTROL!$C$9, $D$9, 100%, $F$9) + CHOOSE(CONTROL!$C$27, 0.0021, 0)</f>
        <v>62.4696</v>
      </c>
      <c r="L634" s="10"/>
    </row>
    <row r="635" spans="1:12" ht="15.75">
      <c r="A635" s="13">
        <v>60632</v>
      </c>
      <c r="B635" s="10">
        <f>61.7114 * CHOOSE(CONTROL!$C$9, $D$9, 100%, $F$9) + CHOOSE(CONTROL!$C$27, 0.0021, 0)</f>
        <v>61.713499999999996</v>
      </c>
      <c r="C635" s="10">
        <f>61.2791 * CHOOSE(CONTROL!$C$9, $D$9, 100%, $F$9) + CHOOSE(CONTROL!$C$27, 0.0021, 0)</f>
        <v>61.281199999999998</v>
      </c>
      <c r="D635" s="10">
        <f>61.2791 * CHOOSE(CONTROL!$C$9, $D$9, 100%, $F$9) + CHOOSE(CONTROL!$C$27, 0.0021, 0)</f>
        <v>61.281199999999998</v>
      </c>
      <c r="E635" s="10">
        <f>61.1424 * CHOOSE(CONTROL!$C$9, $D$9, 100%, $F$9) + CHOOSE(CONTROL!$C$27, 0.0021, 0)</f>
        <v>61.144500000000001</v>
      </c>
      <c r="F635" s="10">
        <f>61.1424 * CHOOSE(CONTROL!$C$9, $D$9, 100%, $F$9) + CHOOSE(CONTROL!$C$27, 0.0021, 0)</f>
        <v>61.144500000000001</v>
      </c>
      <c r="G635" s="10">
        <f>61.4138 * CHOOSE(CONTROL!$C$9, $D$9, 100%, $F$9) + CHOOSE(CONTROL!$C$27, 0.0021, 0)</f>
        <v>61.415900000000001</v>
      </c>
      <c r="H635" s="10">
        <f>61.2791 * CHOOSE(CONTROL!$C$9, $D$9, 100%, $F$9) + CHOOSE(CONTROL!$C$27, 0.0021, 0)</f>
        <v>61.281199999999998</v>
      </c>
      <c r="I635" s="10">
        <f>61.2791 * CHOOSE(CONTROL!$C$9, $D$9, 100%, $F$9) + CHOOSE(CONTROL!$C$27, 0.0021, 0)</f>
        <v>61.281199999999998</v>
      </c>
      <c r="J635" s="10">
        <f>61.2791 * CHOOSE(CONTROL!$C$9, $D$9, 100%, $F$9) + CHOOSE(CONTROL!$C$27, 0.0021, 0)</f>
        <v>61.281199999999998</v>
      </c>
      <c r="K635" s="10">
        <f>61.2791 * CHOOSE(CONTROL!$C$9, $D$9, 100%, $F$9) + CHOOSE(CONTROL!$C$27, 0.0021, 0)</f>
        <v>61.281199999999998</v>
      </c>
      <c r="L635" s="10"/>
    </row>
    <row r="636" spans="1:12" ht="15.75">
      <c r="A636" s="13">
        <v>60663</v>
      </c>
      <c r="B636" s="10">
        <f>60.8015 * CHOOSE(CONTROL!$C$9, $D$9, 100%, $F$9) + CHOOSE(CONTROL!$C$27, 0.0021, 0)</f>
        <v>60.803599999999996</v>
      </c>
      <c r="C636" s="10">
        <f>60.3693 * CHOOSE(CONTROL!$C$9, $D$9, 100%, $F$9) + CHOOSE(CONTROL!$C$27, 0.0021, 0)</f>
        <v>60.371400000000001</v>
      </c>
      <c r="D636" s="10">
        <f>60.3693 * CHOOSE(CONTROL!$C$9, $D$9, 100%, $F$9) + CHOOSE(CONTROL!$C$27, 0.0021, 0)</f>
        <v>60.371400000000001</v>
      </c>
      <c r="E636" s="10">
        <f>60.2326 * CHOOSE(CONTROL!$C$9, $D$9, 100%, $F$9) + CHOOSE(CONTROL!$C$27, 0.0021, 0)</f>
        <v>60.234699999999997</v>
      </c>
      <c r="F636" s="10">
        <f>60.2326 * CHOOSE(CONTROL!$C$9, $D$9, 100%, $F$9) + CHOOSE(CONTROL!$C$27, 0.0021, 0)</f>
        <v>60.234699999999997</v>
      </c>
      <c r="G636" s="10">
        <f>60.504 * CHOOSE(CONTROL!$C$9, $D$9, 100%, $F$9) + CHOOSE(CONTROL!$C$27, 0.0021, 0)</f>
        <v>60.506099999999996</v>
      </c>
      <c r="H636" s="10">
        <f>60.3693 * CHOOSE(CONTROL!$C$9, $D$9, 100%, $F$9) + CHOOSE(CONTROL!$C$27, 0.0021, 0)</f>
        <v>60.371400000000001</v>
      </c>
      <c r="I636" s="10">
        <f>60.3693 * CHOOSE(CONTROL!$C$9, $D$9, 100%, $F$9) + CHOOSE(CONTROL!$C$27, 0.0021, 0)</f>
        <v>60.371400000000001</v>
      </c>
      <c r="J636" s="10">
        <f>60.3693 * CHOOSE(CONTROL!$C$9, $D$9, 100%, $F$9) + CHOOSE(CONTROL!$C$27, 0.0021, 0)</f>
        <v>60.371400000000001</v>
      </c>
      <c r="K636" s="10">
        <f>60.3693 * CHOOSE(CONTROL!$C$9, $D$9, 100%, $F$9) + CHOOSE(CONTROL!$C$27, 0.0021, 0)</f>
        <v>60.371400000000001</v>
      </c>
      <c r="L636" s="10"/>
    </row>
    <row r="637" spans="1:12" ht="15.75">
      <c r="A637" s="13">
        <v>60691</v>
      </c>
      <c r="B637" s="10">
        <f>59.1465 * CHOOSE(CONTROL!$C$9, $D$9, 100%, $F$9) + CHOOSE(CONTROL!$C$27, 0.0021, 0)</f>
        <v>59.148600000000002</v>
      </c>
      <c r="C637" s="10">
        <f>58.7143 * CHOOSE(CONTROL!$C$9, $D$9, 100%, $F$9) + CHOOSE(CONTROL!$C$27, 0.0021, 0)</f>
        <v>58.7164</v>
      </c>
      <c r="D637" s="10">
        <f>58.7143 * CHOOSE(CONTROL!$C$9, $D$9, 100%, $F$9) + CHOOSE(CONTROL!$C$27, 0.0021, 0)</f>
        <v>58.7164</v>
      </c>
      <c r="E637" s="10">
        <f>58.5776 * CHOOSE(CONTROL!$C$9, $D$9, 100%, $F$9) + CHOOSE(CONTROL!$C$27, 0.0021, 0)</f>
        <v>58.579699999999995</v>
      </c>
      <c r="F637" s="10">
        <f>58.5776 * CHOOSE(CONTROL!$C$9, $D$9, 100%, $F$9) + CHOOSE(CONTROL!$C$27, 0.0021, 0)</f>
        <v>58.579699999999995</v>
      </c>
      <c r="G637" s="10">
        <f>58.849 * CHOOSE(CONTROL!$C$9, $D$9, 100%, $F$9) + CHOOSE(CONTROL!$C$27, 0.0021, 0)</f>
        <v>58.851099999999995</v>
      </c>
      <c r="H637" s="10">
        <f>58.7143 * CHOOSE(CONTROL!$C$9, $D$9, 100%, $F$9) + CHOOSE(CONTROL!$C$27, 0.0021, 0)</f>
        <v>58.7164</v>
      </c>
      <c r="I637" s="10">
        <f>58.7143 * CHOOSE(CONTROL!$C$9, $D$9, 100%, $F$9) + CHOOSE(CONTROL!$C$27, 0.0021, 0)</f>
        <v>58.7164</v>
      </c>
      <c r="J637" s="10">
        <f>58.7143 * CHOOSE(CONTROL!$C$9, $D$9, 100%, $F$9) + CHOOSE(CONTROL!$C$27, 0.0021, 0)</f>
        <v>58.7164</v>
      </c>
      <c r="K637" s="10">
        <f>58.7143 * CHOOSE(CONTROL!$C$9, $D$9, 100%, $F$9) + CHOOSE(CONTROL!$C$27, 0.0021, 0)</f>
        <v>58.7164</v>
      </c>
      <c r="L637" s="10"/>
    </row>
    <row r="638" spans="1:12" ht="15.75">
      <c r="A638" s="13">
        <v>60722</v>
      </c>
      <c r="B638" s="10">
        <f>58.4634 * CHOOSE(CONTROL!$C$9, $D$9, 100%, $F$9) + CHOOSE(CONTROL!$C$27, 0.0021, 0)</f>
        <v>58.465499999999999</v>
      </c>
      <c r="C638" s="10">
        <f>58.0311 * CHOOSE(CONTROL!$C$9, $D$9, 100%, $F$9) + CHOOSE(CONTROL!$C$27, 0.0021, 0)</f>
        <v>58.033200000000001</v>
      </c>
      <c r="D638" s="10">
        <f>58.0311 * CHOOSE(CONTROL!$C$9, $D$9, 100%, $F$9) + CHOOSE(CONTROL!$C$27, 0.0021, 0)</f>
        <v>58.033200000000001</v>
      </c>
      <c r="E638" s="10">
        <f>57.8945 * CHOOSE(CONTROL!$C$9, $D$9, 100%, $F$9) + CHOOSE(CONTROL!$C$27, 0.0021, 0)</f>
        <v>57.896599999999999</v>
      </c>
      <c r="F638" s="10">
        <f>57.8945 * CHOOSE(CONTROL!$C$9, $D$9, 100%, $F$9) + CHOOSE(CONTROL!$C$27, 0.0021, 0)</f>
        <v>57.896599999999999</v>
      </c>
      <c r="G638" s="10">
        <f>58.1659 * CHOOSE(CONTROL!$C$9, $D$9, 100%, $F$9) + CHOOSE(CONTROL!$C$27, 0.0021, 0)</f>
        <v>58.167999999999999</v>
      </c>
      <c r="H638" s="10">
        <f>58.0311 * CHOOSE(CONTROL!$C$9, $D$9, 100%, $F$9) + CHOOSE(CONTROL!$C$27, 0.0021, 0)</f>
        <v>58.033200000000001</v>
      </c>
      <c r="I638" s="10">
        <f>58.0311 * CHOOSE(CONTROL!$C$9, $D$9, 100%, $F$9) + CHOOSE(CONTROL!$C$27, 0.0021, 0)</f>
        <v>58.033200000000001</v>
      </c>
      <c r="J638" s="10">
        <f>58.0311 * CHOOSE(CONTROL!$C$9, $D$9, 100%, $F$9) + CHOOSE(CONTROL!$C$27, 0.0021, 0)</f>
        <v>58.033200000000001</v>
      </c>
      <c r="K638" s="10">
        <f>58.0311 * CHOOSE(CONTROL!$C$9, $D$9, 100%, $F$9) + CHOOSE(CONTROL!$C$27, 0.0021, 0)</f>
        <v>58.033200000000001</v>
      </c>
      <c r="L638" s="10"/>
    </row>
    <row r="639" spans="1:12" ht="15.75">
      <c r="A639" s="13">
        <v>60752</v>
      </c>
      <c r="B639" s="10">
        <f>57.6477 * CHOOSE(CONTROL!$C$9, $D$9, 100%, $F$9) + CHOOSE(CONTROL!$C$27, 0.0021, 0)</f>
        <v>57.649799999999999</v>
      </c>
      <c r="C639" s="10">
        <f>57.2154 * CHOOSE(CONTROL!$C$9, $D$9, 100%, $F$9) + CHOOSE(CONTROL!$C$27, 0.0021, 0)</f>
        <v>57.217500000000001</v>
      </c>
      <c r="D639" s="10">
        <f>57.2154 * CHOOSE(CONTROL!$C$9, $D$9, 100%, $F$9) + CHOOSE(CONTROL!$C$27, 0.0021, 0)</f>
        <v>57.217500000000001</v>
      </c>
      <c r="E639" s="10">
        <f>57.0788 * CHOOSE(CONTROL!$C$9, $D$9, 100%, $F$9) + CHOOSE(CONTROL!$C$27, 0.0021, 0)</f>
        <v>57.0809</v>
      </c>
      <c r="F639" s="10">
        <f>57.0788 * CHOOSE(CONTROL!$C$9, $D$9, 100%, $F$9) + CHOOSE(CONTROL!$C$27, 0.0021, 0)</f>
        <v>57.0809</v>
      </c>
      <c r="G639" s="10">
        <f>57.3501 * CHOOSE(CONTROL!$C$9, $D$9, 100%, $F$9) + CHOOSE(CONTROL!$C$27, 0.0021, 0)</f>
        <v>57.352199999999996</v>
      </c>
      <c r="H639" s="10">
        <f>57.2154 * CHOOSE(CONTROL!$C$9, $D$9, 100%, $F$9) + CHOOSE(CONTROL!$C$27, 0.0021, 0)</f>
        <v>57.217500000000001</v>
      </c>
      <c r="I639" s="10">
        <f>57.2154 * CHOOSE(CONTROL!$C$9, $D$9, 100%, $F$9) + CHOOSE(CONTROL!$C$27, 0.0021, 0)</f>
        <v>57.217500000000001</v>
      </c>
      <c r="J639" s="10">
        <f>57.2154 * CHOOSE(CONTROL!$C$9, $D$9, 100%, $F$9) + CHOOSE(CONTROL!$C$27, 0.0021, 0)</f>
        <v>57.217500000000001</v>
      </c>
      <c r="K639" s="10">
        <f>57.2154 * CHOOSE(CONTROL!$C$9, $D$9, 100%, $F$9) + CHOOSE(CONTROL!$C$27, 0.0021, 0)</f>
        <v>57.217500000000001</v>
      </c>
      <c r="L639" s="10"/>
    </row>
    <row r="640" spans="1:12" ht="15.75">
      <c r="A640" s="13">
        <v>60783</v>
      </c>
      <c r="B640" s="10">
        <f>58.8102 * CHOOSE(CONTROL!$C$9, $D$9, 100%, $F$9) + CHOOSE(CONTROL!$C$27, 0.0021, 0)</f>
        <v>58.8123</v>
      </c>
      <c r="C640" s="10">
        <f>58.3779 * CHOOSE(CONTROL!$C$9, $D$9, 100%, $F$9) + CHOOSE(CONTROL!$C$27, 0.0021, 0)</f>
        <v>58.379999999999995</v>
      </c>
      <c r="D640" s="10">
        <f>58.3779 * CHOOSE(CONTROL!$C$9, $D$9, 100%, $F$9) + CHOOSE(CONTROL!$C$27, 0.0021, 0)</f>
        <v>58.379999999999995</v>
      </c>
      <c r="E640" s="10">
        <f>58.2413 * CHOOSE(CONTROL!$C$9, $D$9, 100%, $F$9) + CHOOSE(CONTROL!$C$27, 0.0021, 0)</f>
        <v>58.243400000000001</v>
      </c>
      <c r="F640" s="10">
        <f>58.2413 * CHOOSE(CONTROL!$C$9, $D$9, 100%, $F$9) + CHOOSE(CONTROL!$C$27, 0.0021, 0)</f>
        <v>58.243400000000001</v>
      </c>
      <c r="G640" s="10">
        <f>58.5126 * CHOOSE(CONTROL!$C$9, $D$9, 100%, $F$9) + CHOOSE(CONTROL!$C$27, 0.0021, 0)</f>
        <v>58.514699999999998</v>
      </c>
      <c r="H640" s="10">
        <f>58.3779 * CHOOSE(CONTROL!$C$9, $D$9, 100%, $F$9) + CHOOSE(CONTROL!$C$27, 0.0021, 0)</f>
        <v>58.379999999999995</v>
      </c>
      <c r="I640" s="10">
        <f>58.3779 * CHOOSE(CONTROL!$C$9, $D$9, 100%, $F$9) + CHOOSE(CONTROL!$C$27, 0.0021, 0)</f>
        <v>58.379999999999995</v>
      </c>
      <c r="J640" s="10">
        <f>58.3779 * CHOOSE(CONTROL!$C$9, $D$9, 100%, $F$9) + CHOOSE(CONTROL!$C$27, 0.0021, 0)</f>
        <v>58.379999999999995</v>
      </c>
      <c r="K640" s="10">
        <f>58.3779 * CHOOSE(CONTROL!$C$9, $D$9, 100%, $F$9) + CHOOSE(CONTROL!$C$27, 0.0021, 0)</f>
        <v>58.379999999999995</v>
      </c>
      <c r="L640" s="10"/>
    </row>
    <row r="641" spans="1:12" ht="15.75">
      <c r="A641" s="13">
        <v>60813</v>
      </c>
      <c r="B641" s="10">
        <f>59.5064 * CHOOSE(CONTROL!$C$9, $D$9, 100%, $F$9) + CHOOSE(CONTROL!$C$27, 0.0021, 0)</f>
        <v>59.508499999999998</v>
      </c>
      <c r="C641" s="10">
        <f>59.0742 * CHOOSE(CONTROL!$C$9, $D$9, 100%, $F$9) + CHOOSE(CONTROL!$C$27, 0.0021, 0)</f>
        <v>59.076299999999996</v>
      </c>
      <c r="D641" s="10">
        <f>59.0742 * CHOOSE(CONTROL!$C$9, $D$9, 100%, $F$9) + CHOOSE(CONTROL!$C$27, 0.0021, 0)</f>
        <v>59.076299999999996</v>
      </c>
      <c r="E641" s="10">
        <f>58.9375 * CHOOSE(CONTROL!$C$9, $D$9, 100%, $F$9) + CHOOSE(CONTROL!$C$27, 0.0021, 0)</f>
        <v>58.939599999999999</v>
      </c>
      <c r="F641" s="10">
        <f>58.9375 * CHOOSE(CONTROL!$C$9, $D$9, 100%, $F$9) + CHOOSE(CONTROL!$C$27, 0.0021, 0)</f>
        <v>58.939599999999999</v>
      </c>
      <c r="G641" s="10">
        <f>59.2089 * CHOOSE(CONTROL!$C$9, $D$9, 100%, $F$9) + CHOOSE(CONTROL!$C$27, 0.0021, 0)</f>
        <v>59.210999999999999</v>
      </c>
      <c r="H641" s="10">
        <f>59.0742 * CHOOSE(CONTROL!$C$9, $D$9, 100%, $F$9) + CHOOSE(CONTROL!$C$27, 0.0021, 0)</f>
        <v>59.076299999999996</v>
      </c>
      <c r="I641" s="10">
        <f>59.0742 * CHOOSE(CONTROL!$C$9, $D$9, 100%, $F$9) + CHOOSE(CONTROL!$C$27, 0.0021, 0)</f>
        <v>59.076299999999996</v>
      </c>
      <c r="J641" s="10">
        <f>59.0742 * CHOOSE(CONTROL!$C$9, $D$9, 100%, $F$9) + CHOOSE(CONTROL!$C$27, 0.0021, 0)</f>
        <v>59.076299999999996</v>
      </c>
      <c r="K641" s="10">
        <f>59.0742 * CHOOSE(CONTROL!$C$9, $D$9, 100%, $F$9) + CHOOSE(CONTROL!$C$27, 0.0021, 0)</f>
        <v>59.076299999999996</v>
      </c>
      <c r="L641" s="10"/>
    </row>
    <row r="642" spans="1:12" ht="15.75">
      <c r="A642" s="13">
        <v>60844</v>
      </c>
      <c r="B642" s="10">
        <f>60.655 * CHOOSE(CONTROL!$C$9, $D$9, 100%, $F$9) + CHOOSE(CONTROL!$C$27, 0.0021, 0)</f>
        <v>60.6571</v>
      </c>
      <c r="C642" s="10">
        <f>60.2228 * CHOOSE(CONTROL!$C$9, $D$9, 100%, $F$9) + CHOOSE(CONTROL!$C$27, 0.0021, 0)</f>
        <v>60.224899999999998</v>
      </c>
      <c r="D642" s="10">
        <f>60.2228 * CHOOSE(CONTROL!$C$9, $D$9, 100%, $F$9) + CHOOSE(CONTROL!$C$27, 0.0021, 0)</f>
        <v>60.224899999999998</v>
      </c>
      <c r="E642" s="10">
        <f>60.0861 * CHOOSE(CONTROL!$C$9, $D$9, 100%, $F$9) + CHOOSE(CONTROL!$C$27, 0.0021, 0)</f>
        <v>60.088200000000001</v>
      </c>
      <c r="F642" s="10">
        <f>60.0861 * CHOOSE(CONTROL!$C$9, $D$9, 100%, $F$9) + CHOOSE(CONTROL!$C$27, 0.0021, 0)</f>
        <v>60.088200000000001</v>
      </c>
      <c r="G642" s="10">
        <f>60.3575 * CHOOSE(CONTROL!$C$9, $D$9, 100%, $F$9) + CHOOSE(CONTROL!$C$27, 0.0021, 0)</f>
        <v>60.3596</v>
      </c>
      <c r="H642" s="10">
        <f>60.2228 * CHOOSE(CONTROL!$C$9, $D$9, 100%, $F$9) + CHOOSE(CONTROL!$C$27, 0.0021, 0)</f>
        <v>60.224899999999998</v>
      </c>
      <c r="I642" s="10">
        <f>60.2228 * CHOOSE(CONTROL!$C$9, $D$9, 100%, $F$9) + CHOOSE(CONTROL!$C$27, 0.0021, 0)</f>
        <v>60.224899999999998</v>
      </c>
      <c r="J642" s="10">
        <f>60.2228 * CHOOSE(CONTROL!$C$9, $D$9, 100%, $F$9) + CHOOSE(CONTROL!$C$27, 0.0021, 0)</f>
        <v>60.224899999999998</v>
      </c>
      <c r="K642" s="10">
        <f>60.2228 * CHOOSE(CONTROL!$C$9, $D$9, 100%, $F$9) + CHOOSE(CONTROL!$C$27, 0.0021, 0)</f>
        <v>60.224899999999998</v>
      </c>
      <c r="L642" s="10"/>
    </row>
    <row r="643" spans="1:12" ht="15.75">
      <c r="A643" s="13">
        <v>60875</v>
      </c>
      <c r="B643" s="10">
        <f>61.0056 * CHOOSE(CONTROL!$C$9, $D$9, 100%, $F$9) + CHOOSE(CONTROL!$C$27, 0.0021, 0)</f>
        <v>61.0077</v>
      </c>
      <c r="C643" s="10">
        <f>60.5734 * CHOOSE(CONTROL!$C$9, $D$9, 100%, $F$9) + CHOOSE(CONTROL!$C$27, 0.0021, 0)</f>
        <v>60.575499999999998</v>
      </c>
      <c r="D643" s="10">
        <f>60.5734 * CHOOSE(CONTROL!$C$9, $D$9, 100%, $F$9) + CHOOSE(CONTROL!$C$27, 0.0021, 0)</f>
        <v>60.575499999999998</v>
      </c>
      <c r="E643" s="10">
        <f>60.4367 * CHOOSE(CONTROL!$C$9, $D$9, 100%, $F$9) + CHOOSE(CONTROL!$C$27, 0.0021, 0)</f>
        <v>60.438800000000001</v>
      </c>
      <c r="F643" s="10">
        <f>60.4367 * CHOOSE(CONTROL!$C$9, $D$9, 100%, $F$9) + CHOOSE(CONTROL!$C$27, 0.0021, 0)</f>
        <v>60.438800000000001</v>
      </c>
      <c r="G643" s="10">
        <f>60.7081 * CHOOSE(CONTROL!$C$9, $D$9, 100%, $F$9) + CHOOSE(CONTROL!$C$27, 0.0021, 0)</f>
        <v>60.7102</v>
      </c>
      <c r="H643" s="10">
        <f>60.5734 * CHOOSE(CONTROL!$C$9, $D$9, 100%, $F$9) + CHOOSE(CONTROL!$C$27, 0.0021, 0)</f>
        <v>60.575499999999998</v>
      </c>
      <c r="I643" s="10">
        <f>60.5734 * CHOOSE(CONTROL!$C$9, $D$9, 100%, $F$9) + CHOOSE(CONTROL!$C$27, 0.0021, 0)</f>
        <v>60.575499999999998</v>
      </c>
      <c r="J643" s="10">
        <f>60.5734 * CHOOSE(CONTROL!$C$9, $D$9, 100%, $F$9) + CHOOSE(CONTROL!$C$27, 0.0021, 0)</f>
        <v>60.575499999999998</v>
      </c>
      <c r="K643" s="10">
        <f>60.5734 * CHOOSE(CONTROL!$C$9, $D$9, 100%, $F$9) + CHOOSE(CONTROL!$C$27, 0.0021, 0)</f>
        <v>60.575499999999998</v>
      </c>
      <c r="L643" s="10"/>
    </row>
    <row r="644" spans="1:12" ht="15.75">
      <c r="A644" s="13">
        <v>60905</v>
      </c>
      <c r="B644" s="10">
        <f>62.1996 * CHOOSE(CONTROL!$C$9, $D$9, 100%, $F$9) + CHOOSE(CONTROL!$C$27, 0.0021, 0)</f>
        <v>62.201699999999995</v>
      </c>
      <c r="C644" s="10">
        <f>61.7673 * CHOOSE(CONTROL!$C$9, $D$9, 100%, $F$9) + CHOOSE(CONTROL!$C$27, 0.0021, 0)</f>
        <v>61.769399999999997</v>
      </c>
      <c r="D644" s="10">
        <f>61.7673 * CHOOSE(CONTROL!$C$9, $D$9, 100%, $F$9) + CHOOSE(CONTROL!$C$27, 0.0021, 0)</f>
        <v>61.769399999999997</v>
      </c>
      <c r="E644" s="10">
        <f>61.6307 * CHOOSE(CONTROL!$C$9, $D$9, 100%, $F$9) + CHOOSE(CONTROL!$C$27, 0.0021, 0)</f>
        <v>61.632799999999996</v>
      </c>
      <c r="F644" s="10">
        <f>61.6307 * CHOOSE(CONTROL!$C$9, $D$9, 100%, $F$9) + CHOOSE(CONTROL!$C$27, 0.0021, 0)</f>
        <v>61.632799999999996</v>
      </c>
      <c r="G644" s="10">
        <f>61.902 * CHOOSE(CONTROL!$C$9, $D$9, 100%, $F$9) + CHOOSE(CONTROL!$C$27, 0.0021, 0)</f>
        <v>61.9041</v>
      </c>
      <c r="H644" s="10">
        <f>61.7673 * CHOOSE(CONTROL!$C$9, $D$9, 100%, $F$9) + CHOOSE(CONTROL!$C$27, 0.0021, 0)</f>
        <v>61.769399999999997</v>
      </c>
      <c r="I644" s="10">
        <f>61.7673 * CHOOSE(CONTROL!$C$9, $D$9, 100%, $F$9) + CHOOSE(CONTROL!$C$27, 0.0021, 0)</f>
        <v>61.769399999999997</v>
      </c>
      <c r="J644" s="10">
        <f>61.7673 * CHOOSE(CONTROL!$C$9, $D$9, 100%, $F$9) + CHOOSE(CONTROL!$C$27, 0.0021, 0)</f>
        <v>61.769399999999997</v>
      </c>
      <c r="K644" s="10">
        <f>61.7673 * CHOOSE(CONTROL!$C$9, $D$9, 100%, $F$9) + CHOOSE(CONTROL!$C$27, 0.0021, 0)</f>
        <v>61.769399999999997</v>
      </c>
      <c r="L644" s="10"/>
    </row>
    <row r="645" spans="1:12" ht="15.75">
      <c r="A645" s="13">
        <v>60936</v>
      </c>
      <c r="B645" s="10">
        <f>63.7109 * CHOOSE(CONTROL!$C$9, $D$9, 100%, $F$9) + CHOOSE(CONTROL!$C$27, 0.0021, 0)</f>
        <v>63.713000000000001</v>
      </c>
      <c r="C645" s="10">
        <f>63.2786 * CHOOSE(CONTROL!$C$9, $D$9, 100%, $F$9) + CHOOSE(CONTROL!$C$27, 0.0021, 0)</f>
        <v>63.280699999999996</v>
      </c>
      <c r="D645" s="10">
        <f>63.2786 * CHOOSE(CONTROL!$C$9, $D$9, 100%, $F$9) + CHOOSE(CONTROL!$C$27, 0.0021, 0)</f>
        <v>63.280699999999996</v>
      </c>
      <c r="E645" s="10">
        <f>63.142 * CHOOSE(CONTROL!$C$9, $D$9, 100%, $F$9) + CHOOSE(CONTROL!$C$27, 0.0021, 0)</f>
        <v>63.144100000000002</v>
      </c>
      <c r="F645" s="10">
        <f>63.142 * CHOOSE(CONTROL!$C$9, $D$9, 100%, $F$9) + CHOOSE(CONTROL!$C$27, 0.0021, 0)</f>
        <v>63.144100000000002</v>
      </c>
      <c r="G645" s="10">
        <f>63.4134 * CHOOSE(CONTROL!$C$9, $D$9, 100%, $F$9) + CHOOSE(CONTROL!$C$27, 0.0021, 0)</f>
        <v>63.415500000000002</v>
      </c>
      <c r="H645" s="10">
        <f>63.2786 * CHOOSE(CONTROL!$C$9, $D$9, 100%, $F$9) + CHOOSE(CONTROL!$C$27, 0.0021, 0)</f>
        <v>63.280699999999996</v>
      </c>
      <c r="I645" s="10">
        <f>63.2786 * CHOOSE(CONTROL!$C$9, $D$9, 100%, $F$9) + CHOOSE(CONTROL!$C$27, 0.0021, 0)</f>
        <v>63.280699999999996</v>
      </c>
      <c r="J645" s="10">
        <f>63.2786 * CHOOSE(CONTROL!$C$9, $D$9, 100%, $F$9) + CHOOSE(CONTROL!$C$27, 0.0021, 0)</f>
        <v>63.280699999999996</v>
      </c>
      <c r="K645" s="10">
        <f>63.2786 * CHOOSE(CONTROL!$C$9, $D$9, 100%, $F$9) + CHOOSE(CONTROL!$C$27, 0.0021, 0)</f>
        <v>63.280699999999996</v>
      </c>
      <c r="L645" s="10"/>
    </row>
    <row r="646" spans="1:12" ht="15.75">
      <c r="A646" s="13">
        <v>60966</v>
      </c>
      <c r="B646" s="10">
        <f>63.8528 * CHOOSE(CONTROL!$C$9, $D$9, 100%, $F$9) + CHOOSE(CONTROL!$C$27, 0.0021, 0)</f>
        <v>63.854900000000001</v>
      </c>
      <c r="C646" s="10">
        <f>63.4205 * CHOOSE(CONTROL!$C$9, $D$9, 100%, $F$9) + CHOOSE(CONTROL!$C$27, 0.0021, 0)</f>
        <v>63.422599999999996</v>
      </c>
      <c r="D646" s="10">
        <f>63.4205 * CHOOSE(CONTROL!$C$9, $D$9, 100%, $F$9) + CHOOSE(CONTROL!$C$27, 0.0021, 0)</f>
        <v>63.422599999999996</v>
      </c>
      <c r="E646" s="10">
        <f>63.2839 * CHOOSE(CONTROL!$C$9, $D$9, 100%, $F$9) + CHOOSE(CONTROL!$C$27, 0.0021, 0)</f>
        <v>63.286000000000001</v>
      </c>
      <c r="F646" s="10">
        <f>63.2839 * CHOOSE(CONTROL!$C$9, $D$9, 100%, $F$9) + CHOOSE(CONTROL!$C$27, 0.0021, 0)</f>
        <v>63.286000000000001</v>
      </c>
      <c r="G646" s="10">
        <f>63.5552 * CHOOSE(CONTROL!$C$9, $D$9, 100%, $F$9) + CHOOSE(CONTROL!$C$27, 0.0021, 0)</f>
        <v>63.557299999999998</v>
      </c>
      <c r="H646" s="10">
        <f>63.4205 * CHOOSE(CONTROL!$C$9, $D$9, 100%, $F$9) + CHOOSE(CONTROL!$C$27, 0.0021, 0)</f>
        <v>63.422599999999996</v>
      </c>
      <c r="I646" s="10">
        <f>63.4205 * CHOOSE(CONTROL!$C$9, $D$9, 100%, $F$9) + CHOOSE(CONTROL!$C$27, 0.0021, 0)</f>
        <v>63.422599999999996</v>
      </c>
      <c r="J646" s="10">
        <f>63.4205 * CHOOSE(CONTROL!$C$9, $D$9, 100%, $F$9) + CHOOSE(CONTROL!$C$27, 0.0021, 0)</f>
        <v>63.422599999999996</v>
      </c>
      <c r="K646" s="10">
        <f>63.4205 * CHOOSE(CONTROL!$C$9, $D$9, 100%, $F$9) + CHOOSE(CONTROL!$C$27, 0.0021, 0)</f>
        <v>63.422599999999996</v>
      </c>
      <c r="L646" s="10"/>
    </row>
    <row r="647" spans="1:12" ht="15.75">
      <c r="A647" s="13">
        <v>60997</v>
      </c>
      <c r="B647" s="10">
        <f>62.6457 * CHOOSE(CONTROL!$C$9, $D$9, 100%, $F$9) + CHOOSE(CONTROL!$C$27, 0.0021, 0)</f>
        <v>62.647799999999997</v>
      </c>
      <c r="C647" s="10">
        <f>62.2135 * CHOOSE(CONTROL!$C$9, $D$9, 100%, $F$9) + CHOOSE(CONTROL!$C$27, 0.0021, 0)</f>
        <v>62.215600000000002</v>
      </c>
      <c r="D647" s="10">
        <f>62.2135 * CHOOSE(CONTROL!$C$9, $D$9, 100%, $F$9) + CHOOSE(CONTROL!$C$27, 0.0021, 0)</f>
        <v>62.215600000000002</v>
      </c>
      <c r="E647" s="10">
        <f>62.0768 * CHOOSE(CONTROL!$C$9, $D$9, 100%, $F$9) + CHOOSE(CONTROL!$C$27, 0.0021, 0)</f>
        <v>62.078899999999997</v>
      </c>
      <c r="F647" s="10">
        <f>62.0768 * CHOOSE(CONTROL!$C$9, $D$9, 100%, $F$9) + CHOOSE(CONTROL!$C$27, 0.0021, 0)</f>
        <v>62.078899999999997</v>
      </c>
      <c r="G647" s="10">
        <f>62.3482 * CHOOSE(CONTROL!$C$9, $D$9, 100%, $F$9) + CHOOSE(CONTROL!$C$27, 0.0021, 0)</f>
        <v>62.350299999999997</v>
      </c>
      <c r="H647" s="10">
        <f>62.2135 * CHOOSE(CONTROL!$C$9, $D$9, 100%, $F$9) + CHOOSE(CONTROL!$C$27, 0.0021, 0)</f>
        <v>62.215600000000002</v>
      </c>
      <c r="I647" s="10">
        <f>62.2135 * CHOOSE(CONTROL!$C$9, $D$9, 100%, $F$9) + CHOOSE(CONTROL!$C$27, 0.0021, 0)</f>
        <v>62.215600000000002</v>
      </c>
      <c r="J647" s="10">
        <f>62.2135 * CHOOSE(CONTROL!$C$9, $D$9, 100%, $F$9) + CHOOSE(CONTROL!$C$27, 0.0021, 0)</f>
        <v>62.215600000000002</v>
      </c>
      <c r="K647" s="10">
        <f>62.2135 * CHOOSE(CONTROL!$C$9, $D$9, 100%, $F$9) + CHOOSE(CONTROL!$C$27, 0.0021, 0)</f>
        <v>62.215600000000002</v>
      </c>
      <c r="L647" s="10"/>
    </row>
    <row r="648" spans="1:12" ht="15.75">
      <c r="A648" s="13">
        <v>61028</v>
      </c>
      <c r="B648" s="10">
        <f>61.7216 * CHOOSE(CONTROL!$C$9, $D$9, 100%, $F$9) + CHOOSE(CONTROL!$C$27, 0.0021, 0)</f>
        <v>61.723700000000001</v>
      </c>
      <c r="C648" s="10">
        <f>61.2893 * CHOOSE(CONTROL!$C$9, $D$9, 100%, $F$9) + CHOOSE(CONTROL!$C$27, 0.0021, 0)</f>
        <v>61.291399999999996</v>
      </c>
      <c r="D648" s="10">
        <f>61.2893 * CHOOSE(CONTROL!$C$9, $D$9, 100%, $F$9) + CHOOSE(CONTROL!$C$27, 0.0021, 0)</f>
        <v>61.291399999999996</v>
      </c>
      <c r="E648" s="10">
        <f>61.1526 * CHOOSE(CONTROL!$C$9, $D$9, 100%, $F$9) + CHOOSE(CONTROL!$C$27, 0.0021, 0)</f>
        <v>61.154699999999998</v>
      </c>
      <c r="F648" s="10">
        <f>61.1526 * CHOOSE(CONTROL!$C$9, $D$9, 100%, $F$9) + CHOOSE(CONTROL!$C$27, 0.0021, 0)</f>
        <v>61.154699999999998</v>
      </c>
      <c r="G648" s="10">
        <f>61.424 * CHOOSE(CONTROL!$C$9, $D$9, 100%, $F$9) + CHOOSE(CONTROL!$C$27, 0.0021, 0)</f>
        <v>61.426099999999998</v>
      </c>
      <c r="H648" s="10">
        <f>61.2893 * CHOOSE(CONTROL!$C$9, $D$9, 100%, $F$9) + CHOOSE(CONTROL!$C$27, 0.0021, 0)</f>
        <v>61.291399999999996</v>
      </c>
      <c r="I648" s="10">
        <f>61.2893 * CHOOSE(CONTROL!$C$9, $D$9, 100%, $F$9) + CHOOSE(CONTROL!$C$27, 0.0021, 0)</f>
        <v>61.291399999999996</v>
      </c>
      <c r="J648" s="10">
        <f>61.2893 * CHOOSE(CONTROL!$C$9, $D$9, 100%, $F$9) + CHOOSE(CONTROL!$C$27, 0.0021, 0)</f>
        <v>61.291399999999996</v>
      </c>
      <c r="K648" s="10">
        <f>61.2893 * CHOOSE(CONTROL!$C$9, $D$9, 100%, $F$9) + CHOOSE(CONTROL!$C$27, 0.0021, 0)</f>
        <v>61.291399999999996</v>
      </c>
      <c r="L648" s="10"/>
    </row>
    <row r="649" spans="1:12" ht="15.75">
      <c r="A649" s="13">
        <v>61056</v>
      </c>
      <c r="B649" s="10">
        <f>60.0406 * CHOOSE(CONTROL!$C$9, $D$9, 100%, $F$9) + CHOOSE(CONTROL!$C$27, 0.0021, 0)</f>
        <v>60.042699999999996</v>
      </c>
      <c r="C649" s="10">
        <f>59.6083 * CHOOSE(CONTROL!$C$9, $D$9, 100%, $F$9) + CHOOSE(CONTROL!$C$27, 0.0021, 0)</f>
        <v>59.610399999999998</v>
      </c>
      <c r="D649" s="10">
        <f>59.6083 * CHOOSE(CONTROL!$C$9, $D$9, 100%, $F$9) + CHOOSE(CONTROL!$C$27, 0.0021, 0)</f>
        <v>59.610399999999998</v>
      </c>
      <c r="E649" s="10">
        <f>59.4717 * CHOOSE(CONTROL!$C$9, $D$9, 100%, $F$9) + CHOOSE(CONTROL!$C$27, 0.0021, 0)</f>
        <v>59.473799999999997</v>
      </c>
      <c r="F649" s="10">
        <f>59.4717 * CHOOSE(CONTROL!$C$9, $D$9, 100%, $F$9) + CHOOSE(CONTROL!$C$27, 0.0021, 0)</f>
        <v>59.473799999999997</v>
      </c>
      <c r="G649" s="10">
        <f>59.743 * CHOOSE(CONTROL!$C$9, $D$9, 100%, $F$9) + CHOOSE(CONTROL!$C$27, 0.0021, 0)</f>
        <v>59.745100000000001</v>
      </c>
      <c r="H649" s="10">
        <f>59.6083 * CHOOSE(CONTROL!$C$9, $D$9, 100%, $F$9) + CHOOSE(CONTROL!$C$27, 0.0021, 0)</f>
        <v>59.610399999999998</v>
      </c>
      <c r="I649" s="10">
        <f>59.6083 * CHOOSE(CONTROL!$C$9, $D$9, 100%, $F$9) + CHOOSE(CONTROL!$C$27, 0.0021, 0)</f>
        <v>59.610399999999998</v>
      </c>
      <c r="J649" s="10">
        <f>59.6083 * CHOOSE(CONTROL!$C$9, $D$9, 100%, $F$9) + CHOOSE(CONTROL!$C$27, 0.0021, 0)</f>
        <v>59.610399999999998</v>
      </c>
      <c r="K649" s="10">
        <f>59.6083 * CHOOSE(CONTROL!$C$9, $D$9, 100%, $F$9) + CHOOSE(CONTROL!$C$27, 0.0021, 0)</f>
        <v>59.610399999999998</v>
      </c>
      <c r="L649" s="10"/>
    </row>
    <row r="650" spans="1:12" ht="15.75">
      <c r="A650" s="13">
        <v>61087</v>
      </c>
      <c r="B650" s="10">
        <f>59.3467 * CHOOSE(CONTROL!$C$9, $D$9, 100%, $F$9) + CHOOSE(CONTROL!$C$27, 0.0021, 0)</f>
        <v>59.348799999999997</v>
      </c>
      <c r="C650" s="10">
        <f>58.9144 * CHOOSE(CONTROL!$C$9, $D$9, 100%, $F$9) + CHOOSE(CONTROL!$C$27, 0.0021, 0)</f>
        <v>58.916499999999999</v>
      </c>
      <c r="D650" s="10">
        <f>58.9144 * CHOOSE(CONTROL!$C$9, $D$9, 100%, $F$9) + CHOOSE(CONTROL!$C$27, 0.0021, 0)</f>
        <v>58.916499999999999</v>
      </c>
      <c r="E650" s="10">
        <f>58.7778 * CHOOSE(CONTROL!$C$9, $D$9, 100%, $F$9) + CHOOSE(CONTROL!$C$27, 0.0021, 0)</f>
        <v>58.779899999999998</v>
      </c>
      <c r="F650" s="10">
        <f>58.7778 * CHOOSE(CONTROL!$C$9, $D$9, 100%, $F$9) + CHOOSE(CONTROL!$C$27, 0.0021, 0)</f>
        <v>58.779899999999998</v>
      </c>
      <c r="G650" s="10">
        <f>59.0491 * CHOOSE(CONTROL!$C$9, $D$9, 100%, $F$9) + CHOOSE(CONTROL!$C$27, 0.0021, 0)</f>
        <v>59.051200000000001</v>
      </c>
      <c r="H650" s="10">
        <f>58.9144 * CHOOSE(CONTROL!$C$9, $D$9, 100%, $F$9) + CHOOSE(CONTROL!$C$27, 0.0021, 0)</f>
        <v>58.916499999999999</v>
      </c>
      <c r="I650" s="10">
        <f>58.9144 * CHOOSE(CONTROL!$C$9, $D$9, 100%, $F$9) + CHOOSE(CONTROL!$C$27, 0.0021, 0)</f>
        <v>58.916499999999999</v>
      </c>
      <c r="J650" s="10">
        <f>58.9144 * CHOOSE(CONTROL!$C$9, $D$9, 100%, $F$9) + CHOOSE(CONTROL!$C$27, 0.0021, 0)</f>
        <v>58.916499999999999</v>
      </c>
      <c r="K650" s="10">
        <f>58.9144 * CHOOSE(CONTROL!$C$9, $D$9, 100%, $F$9) + CHOOSE(CONTROL!$C$27, 0.0021, 0)</f>
        <v>58.916499999999999</v>
      </c>
      <c r="L650" s="10"/>
    </row>
    <row r="651" spans="1:12" ht="15.75">
      <c r="A651" s="13">
        <v>61117</v>
      </c>
      <c r="B651" s="10">
        <f>58.5181 * CHOOSE(CONTROL!$C$9, $D$9, 100%, $F$9) + CHOOSE(CONTROL!$C$27, 0.0021, 0)</f>
        <v>58.520199999999996</v>
      </c>
      <c r="C651" s="10">
        <f>58.0859 * CHOOSE(CONTROL!$C$9, $D$9, 100%, $F$9) + CHOOSE(CONTROL!$C$27, 0.0021, 0)</f>
        <v>58.088000000000001</v>
      </c>
      <c r="D651" s="10">
        <f>58.0859 * CHOOSE(CONTROL!$C$9, $D$9, 100%, $F$9) + CHOOSE(CONTROL!$C$27, 0.0021, 0)</f>
        <v>58.088000000000001</v>
      </c>
      <c r="E651" s="10">
        <f>57.9492 * CHOOSE(CONTROL!$C$9, $D$9, 100%, $F$9) + CHOOSE(CONTROL!$C$27, 0.0021, 0)</f>
        <v>57.951299999999996</v>
      </c>
      <c r="F651" s="10">
        <f>57.9492 * CHOOSE(CONTROL!$C$9, $D$9, 100%, $F$9) + CHOOSE(CONTROL!$C$27, 0.0021, 0)</f>
        <v>57.951299999999996</v>
      </c>
      <c r="G651" s="10">
        <f>58.2206 * CHOOSE(CONTROL!$C$9, $D$9, 100%, $F$9) + CHOOSE(CONTROL!$C$27, 0.0021, 0)</f>
        <v>58.222699999999996</v>
      </c>
      <c r="H651" s="10">
        <f>58.0859 * CHOOSE(CONTROL!$C$9, $D$9, 100%, $F$9) + CHOOSE(CONTROL!$C$27, 0.0021, 0)</f>
        <v>58.088000000000001</v>
      </c>
      <c r="I651" s="10">
        <f>58.0859 * CHOOSE(CONTROL!$C$9, $D$9, 100%, $F$9) + CHOOSE(CONTROL!$C$27, 0.0021, 0)</f>
        <v>58.088000000000001</v>
      </c>
      <c r="J651" s="10">
        <f>58.0859 * CHOOSE(CONTROL!$C$9, $D$9, 100%, $F$9) + CHOOSE(CONTROL!$C$27, 0.0021, 0)</f>
        <v>58.088000000000001</v>
      </c>
      <c r="K651" s="10">
        <f>58.0859 * CHOOSE(CONTROL!$C$9, $D$9, 100%, $F$9) + CHOOSE(CONTROL!$C$27, 0.0021, 0)</f>
        <v>58.088000000000001</v>
      </c>
      <c r="L651" s="10"/>
    </row>
    <row r="652" spans="1:12" ht="15.75">
      <c r="A652" s="13">
        <v>61148</v>
      </c>
      <c r="B652" s="10">
        <f>59.6989 * CHOOSE(CONTROL!$C$9, $D$9, 100%, $F$9) + CHOOSE(CONTROL!$C$27, 0.0021, 0)</f>
        <v>59.701000000000001</v>
      </c>
      <c r="C652" s="10">
        <f>59.2666 * CHOOSE(CONTROL!$C$9, $D$9, 100%, $F$9) + CHOOSE(CONTROL!$C$27, 0.0021, 0)</f>
        <v>59.268699999999995</v>
      </c>
      <c r="D652" s="10">
        <f>59.2666 * CHOOSE(CONTROL!$C$9, $D$9, 100%, $F$9) + CHOOSE(CONTROL!$C$27, 0.0021, 0)</f>
        <v>59.268699999999995</v>
      </c>
      <c r="E652" s="10">
        <f>59.13 * CHOOSE(CONTROL!$C$9, $D$9, 100%, $F$9) + CHOOSE(CONTROL!$C$27, 0.0021, 0)</f>
        <v>59.132100000000001</v>
      </c>
      <c r="F652" s="10">
        <f>59.13 * CHOOSE(CONTROL!$C$9, $D$9, 100%, $F$9) + CHOOSE(CONTROL!$C$27, 0.0021, 0)</f>
        <v>59.132100000000001</v>
      </c>
      <c r="G652" s="10">
        <f>59.4014 * CHOOSE(CONTROL!$C$9, $D$9, 100%, $F$9) + CHOOSE(CONTROL!$C$27, 0.0021, 0)</f>
        <v>59.403500000000001</v>
      </c>
      <c r="H652" s="10">
        <f>59.2666 * CHOOSE(CONTROL!$C$9, $D$9, 100%, $F$9) + CHOOSE(CONTROL!$C$27, 0.0021, 0)</f>
        <v>59.268699999999995</v>
      </c>
      <c r="I652" s="10">
        <f>59.2666 * CHOOSE(CONTROL!$C$9, $D$9, 100%, $F$9) + CHOOSE(CONTROL!$C$27, 0.0021, 0)</f>
        <v>59.268699999999995</v>
      </c>
      <c r="J652" s="10">
        <f>59.2666 * CHOOSE(CONTROL!$C$9, $D$9, 100%, $F$9) + CHOOSE(CONTROL!$C$27, 0.0021, 0)</f>
        <v>59.268699999999995</v>
      </c>
      <c r="K652" s="10">
        <f>59.2666 * CHOOSE(CONTROL!$C$9, $D$9, 100%, $F$9) + CHOOSE(CONTROL!$C$27, 0.0021, 0)</f>
        <v>59.268699999999995</v>
      </c>
      <c r="L652" s="10"/>
    </row>
    <row r="653" spans="1:12" ht="15.75">
      <c r="A653" s="13">
        <v>61178</v>
      </c>
      <c r="B653" s="10">
        <f>60.4061 * CHOOSE(CONTROL!$C$9, $D$9, 100%, $F$9) + CHOOSE(CONTROL!$C$27, 0.0021, 0)</f>
        <v>60.408200000000001</v>
      </c>
      <c r="C653" s="10">
        <f>59.9739 * CHOOSE(CONTROL!$C$9, $D$9, 100%, $F$9) + CHOOSE(CONTROL!$C$27, 0.0021, 0)</f>
        <v>59.975999999999999</v>
      </c>
      <c r="D653" s="10">
        <f>59.9739 * CHOOSE(CONTROL!$C$9, $D$9, 100%, $F$9) + CHOOSE(CONTROL!$C$27, 0.0021, 0)</f>
        <v>59.975999999999999</v>
      </c>
      <c r="E653" s="10">
        <f>59.8372 * CHOOSE(CONTROL!$C$9, $D$9, 100%, $F$9) + CHOOSE(CONTROL!$C$27, 0.0021, 0)</f>
        <v>59.839300000000001</v>
      </c>
      <c r="F653" s="10">
        <f>59.8372 * CHOOSE(CONTROL!$C$9, $D$9, 100%, $F$9) + CHOOSE(CONTROL!$C$27, 0.0021, 0)</f>
        <v>59.839300000000001</v>
      </c>
      <c r="G653" s="10">
        <f>60.1086 * CHOOSE(CONTROL!$C$9, $D$9, 100%, $F$9) + CHOOSE(CONTROL!$C$27, 0.0021, 0)</f>
        <v>60.110700000000001</v>
      </c>
      <c r="H653" s="10">
        <f>59.9739 * CHOOSE(CONTROL!$C$9, $D$9, 100%, $F$9) + CHOOSE(CONTROL!$C$27, 0.0021, 0)</f>
        <v>59.975999999999999</v>
      </c>
      <c r="I653" s="10">
        <f>59.9739 * CHOOSE(CONTROL!$C$9, $D$9, 100%, $F$9) + CHOOSE(CONTROL!$C$27, 0.0021, 0)</f>
        <v>59.975999999999999</v>
      </c>
      <c r="J653" s="10">
        <f>59.9739 * CHOOSE(CONTROL!$C$9, $D$9, 100%, $F$9) + CHOOSE(CONTROL!$C$27, 0.0021, 0)</f>
        <v>59.975999999999999</v>
      </c>
      <c r="K653" s="10">
        <f>59.9739 * CHOOSE(CONTROL!$C$9, $D$9, 100%, $F$9) + CHOOSE(CONTROL!$C$27, 0.0021, 0)</f>
        <v>59.975999999999999</v>
      </c>
      <c r="L653" s="10"/>
    </row>
    <row r="654" spans="1:12" ht="15.75">
      <c r="A654" s="13">
        <v>61209</v>
      </c>
      <c r="B654" s="10">
        <f>61.5728 * CHOOSE(CONTROL!$C$9, $D$9, 100%, $F$9) + CHOOSE(CONTROL!$C$27, 0.0021, 0)</f>
        <v>61.5749</v>
      </c>
      <c r="C654" s="10">
        <f>61.1406 * CHOOSE(CONTROL!$C$9, $D$9, 100%, $F$9) + CHOOSE(CONTROL!$C$27, 0.0021, 0)</f>
        <v>61.142699999999998</v>
      </c>
      <c r="D654" s="10">
        <f>61.1406 * CHOOSE(CONTROL!$C$9, $D$9, 100%, $F$9) + CHOOSE(CONTROL!$C$27, 0.0021, 0)</f>
        <v>61.142699999999998</v>
      </c>
      <c r="E654" s="10">
        <f>61.0039 * CHOOSE(CONTROL!$C$9, $D$9, 100%, $F$9) + CHOOSE(CONTROL!$C$27, 0.0021, 0)</f>
        <v>61.006</v>
      </c>
      <c r="F654" s="10">
        <f>61.0039 * CHOOSE(CONTROL!$C$9, $D$9, 100%, $F$9) + CHOOSE(CONTROL!$C$27, 0.0021, 0)</f>
        <v>61.006</v>
      </c>
      <c r="G654" s="10">
        <f>61.2753 * CHOOSE(CONTROL!$C$9, $D$9, 100%, $F$9) + CHOOSE(CONTROL!$C$27, 0.0021, 0)</f>
        <v>61.2774</v>
      </c>
      <c r="H654" s="10">
        <f>61.1406 * CHOOSE(CONTROL!$C$9, $D$9, 100%, $F$9) + CHOOSE(CONTROL!$C$27, 0.0021, 0)</f>
        <v>61.142699999999998</v>
      </c>
      <c r="I654" s="10">
        <f>61.1406 * CHOOSE(CONTROL!$C$9, $D$9, 100%, $F$9) + CHOOSE(CONTROL!$C$27, 0.0021, 0)</f>
        <v>61.142699999999998</v>
      </c>
      <c r="J654" s="10">
        <f>61.1406 * CHOOSE(CONTROL!$C$9, $D$9, 100%, $F$9) + CHOOSE(CONTROL!$C$27, 0.0021, 0)</f>
        <v>61.142699999999998</v>
      </c>
      <c r="K654" s="10">
        <f>61.1406 * CHOOSE(CONTROL!$C$9, $D$9, 100%, $F$9) + CHOOSE(CONTROL!$C$27, 0.0021, 0)</f>
        <v>61.142699999999998</v>
      </c>
      <c r="L654" s="10"/>
    </row>
    <row r="655" spans="1:12" ht="15.75">
      <c r="A655" s="13">
        <v>61240</v>
      </c>
      <c r="B655" s="10">
        <f>61.9289 * CHOOSE(CONTROL!$C$9, $D$9, 100%, $F$9) + CHOOSE(CONTROL!$C$27, 0.0021, 0)</f>
        <v>61.930999999999997</v>
      </c>
      <c r="C655" s="10">
        <f>61.4967 * CHOOSE(CONTROL!$C$9, $D$9, 100%, $F$9) + CHOOSE(CONTROL!$C$27, 0.0021, 0)</f>
        <v>61.498799999999996</v>
      </c>
      <c r="D655" s="10">
        <f>61.4967 * CHOOSE(CONTROL!$C$9, $D$9, 100%, $F$9) + CHOOSE(CONTROL!$C$27, 0.0021, 0)</f>
        <v>61.498799999999996</v>
      </c>
      <c r="E655" s="10">
        <f>61.36 * CHOOSE(CONTROL!$C$9, $D$9, 100%, $F$9) + CHOOSE(CONTROL!$C$27, 0.0021, 0)</f>
        <v>61.362099999999998</v>
      </c>
      <c r="F655" s="10">
        <f>61.36 * CHOOSE(CONTROL!$C$9, $D$9, 100%, $F$9) + CHOOSE(CONTROL!$C$27, 0.0021, 0)</f>
        <v>61.362099999999998</v>
      </c>
      <c r="G655" s="10">
        <f>61.6314 * CHOOSE(CONTROL!$C$9, $D$9, 100%, $F$9) + CHOOSE(CONTROL!$C$27, 0.0021, 0)</f>
        <v>61.633499999999998</v>
      </c>
      <c r="H655" s="10">
        <f>61.4967 * CHOOSE(CONTROL!$C$9, $D$9, 100%, $F$9) + CHOOSE(CONTROL!$C$27, 0.0021, 0)</f>
        <v>61.498799999999996</v>
      </c>
      <c r="I655" s="10">
        <f>61.4967 * CHOOSE(CONTROL!$C$9, $D$9, 100%, $F$9) + CHOOSE(CONTROL!$C$27, 0.0021, 0)</f>
        <v>61.498799999999996</v>
      </c>
      <c r="J655" s="10">
        <f>61.4967 * CHOOSE(CONTROL!$C$9, $D$9, 100%, $F$9) + CHOOSE(CONTROL!$C$27, 0.0021, 0)</f>
        <v>61.498799999999996</v>
      </c>
      <c r="K655" s="10">
        <f>61.4967 * CHOOSE(CONTROL!$C$9, $D$9, 100%, $F$9) + CHOOSE(CONTROL!$C$27, 0.0021, 0)</f>
        <v>61.498799999999996</v>
      </c>
      <c r="L655" s="10"/>
    </row>
    <row r="656" spans="1:12" ht="15.75">
      <c r="A656" s="13">
        <v>61270</v>
      </c>
      <c r="B656" s="10">
        <f>63.1416 * CHOOSE(CONTROL!$C$9, $D$9, 100%, $F$9) + CHOOSE(CONTROL!$C$27, 0.0021, 0)</f>
        <v>63.143699999999995</v>
      </c>
      <c r="C656" s="10">
        <f>62.7094 * CHOOSE(CONTROL!$C$9, $D$9, 100%, $F$9) + CHOOSE(CONTROL!$C$27, 0.0021, 0)</f>
        <v>62.711500000000001</v>
      </c>
      <c r="D656" s="10">
        <f>62.7094 * CHOOSE(CONTROL!$C$9, $D$9, 100%, $F$9) + CHOOSE(CONTROL!$C$27, 0.0021, 0)</f>
        <v>62.711500000000001</v>
      </c>
      <c r="E656" s="10">
        <f>62.5727 * CHOOSE(CONTROL!$C$9, $D$9, 100%, $F$9) + CHOOSE(CONTROL!$C$27, 0.0021, 0)</f>
        <v>62.574799999999996</v>
      </c>
      <c r="F656" s="10">
        <f>62.5727 * CHOOSE(CONTROL!$C$9, $D$9, 100%, $F$9) + CHOOSE(CONTROL!$C$27, 0.0021, 0)</f>
        <v>62.574799999999996</v>
      </c>
      <c r="G656" s="10">
        <f>62.8441 * CHOOSE(CONTROL!$C$9, $D$9, 100%, $F$9) + CHOOSE(CONTROL!$C$27, 0.0021, 0)</f>
        <v>62.846199999999996</v>
      </c>
      <c r="H656" s="10">
        <f>62.7094 * CHOOSE(CONTROL!$C$9, $D$9, 100%, $F$9) + CHOOSE(CONTROL!$C$27, 0.0021, 0)</f>
        <v>62.711500000000001</v>
      </c>
      <c r="I656" s="10">
        <f>62.7094 * CHOOSE(CONTROL!$C$9, $D$9, 100%, $F$9) + CHOOSE(CONTROL!$C$27, 0.0021, 0)</f>
        <v>62.711500000000001</v>
      </c>
      <c r="J656" s="10">
        <f>62.7094 * CHOOSE(CONTROL!$C$9, $D$9, 100%, $F$9) + CHOOSE(CONTROL!$C$27, 0.0021, 0)</f>
        <v>62.711500000000001</v>
      </c>
      <c r="K656" s="10">
        <f>62.7094 * CHOOSE(CONTROL!$C$9, $D$9, 100%, $F$9) + CHOOSE(CONTROL!$C$27, 0.0021, 0)</f>
        <v>62.711500000000001</v>
      </c>
      <c r="L656" s="10"/>
    </row>
    <row r="657" spans="1:12" ht="15.75">
      <c r="A657" s="13">
        <v>61301</v>
      </c>
      <c r="B657" s="10">
        <f>64.6767 * CHOOSE(CONTROL!$C$9, $D$9, 100%, $F$9) + CHOOSE(CONTROL!$C$27, 0.0021, 0)</f>
        <v>64.678799999999995</v>
      </c>
      <c r="C657" s="10">
        <f>64.2444 * CHOOSE(CONTROL!$C$9, $D$9, 100%, $F$9) + CHOOSE(CONTROL!$C$27, 0.0021, 0)</f>
        <v>64.246499999999997</v>
      </c>
      <c r="D657" s="10">
        <f>64.2444 * CHOOSE(CONTROL!$C$9, $D$9, 100%, $F$9) + CHOOSE(CONTROL!$C$27, 0.0021, 0)</f>
        <v>64.246499999999997</v>
      </c>
      <c r="E657" s="10">
        <f>64.1078 * CHOOSE(CONTROL!$C$9, $D$9, 100%, $F$9) + CHOOSE(CONTROL!$C$27, 0.0021, 0)</f>
        <v>64.109899999999996</v>
      </c>
      <c r="F657" s="10">
        <f>64.1078 * CHOOSE(CONTROL!$C$9, $D$9, 100%, $F$9) + CHOOSE(CONTROL!$C$27, 0.0021, 0)</f>
        <v>64.109899999999996</v>
      </c>
      <c r="G657" s="10">
        <f>64.3792 * CHOOSE(CONTROL!$C$9, $D$9, 100%, $F$9) + CHOOSE(CONTROL!$C$27, 0.0021, 0)</f>
        <v>64.381299999999996</v>
      </c>
      <c r="H657" s="10">
        <f>64.2444 * CHOOSE(CONTROL!$C$9, $D$9, 100%, $F$9) + CHOOSE(CONTROL!$C$27, 0.0021, 0)</f>
        <v>64.246499999999997</v>
      </c>
      <c r="I657" s="10">
        <f>64.2444 * CHOOSE(CONTROL!$C$9, $D$9, 100%, $F$9) + CHOOSE(CONTROL!$C$27, 0.0021, 0)</f>
        <v>64.246499999999997</v>
      </c>
      <c r="J657" s="10">
        <f>64.2444 * CHOOSE(CONTROL!$C$9, $D$9, 100%, $F$9) + CHOOSE(CONTROL!$C$27, 0.0021, 0)</f>
        <v>64.246499999999997</v>
      </c>
      <c r="K657" s="10">
        <f>64.2444 * CHOOSE(CONTROL!$C$9, $D$9, 100%, $F$9) + CHOOSE(CONTROL!$C$27, 0.0021, 0)</f>
        <v>64.246499999999997</v>
      </c>
      <c r="L657" s="10"/>
    </row>
    <row r="658" spans="1:12" ht="15.75">
      <c r="A658" s="13">
        <v>61331</v>
      </c>
      <c r="B658" s="10">
        <f>64.8208 * CHOOSE(CONTROL!$C$9, $D$9, 100%, $F$9) + CHOOSE(CONTROL!$C$27, 0.0021, 0)</f>
        <v>64.822900000000004</v>
      </c>
      <c r="C658" s="10">
        <f>64.3886 * CHOOSE(CONTROL!$C$9, $D$9, 100%, $F$9) + CHOOSE(CONTROL!$C$27, 0.0021, 0)</f>
        <v>64.390699999999995</v>
      </c>
      <c r="D658" s="10">
        <f>64.3886 * CHOOSE(CONTROL!$C$9, $D$9, 100%, $F$9) + CHOOSE(CONTROL!$C$27, 0.0021, 0)</f>
        <v>64.390699999999995</v>
      </c>
      <c r="E658" s="10">
        <f>64.2519 * CHOOSE(CONTROL!$C$9, $D$9, 100%, $F$9) + CHOOSE(CONTROL!$C$27, 0.0021, 0)</f>
        <v>64.254000000000005</v>
      </c>
      <c r="F658" s="10">
        <f>64.2519 * CHOOSE(CONTROL!$C$9, $D$9, 100%, $F$9) + CHOOSE(CONTROL!$C$27, 0.0021, 0)</f>
        <v>64.254000000000005</v>
      </c>
      <c r="G658" s="10">
        <f>64.5233 * CHOOSE(CONTROL!$C$9, $D$9, 100%, $F$9) + CHOOSE(CONTROL!$C$27, 0.0021, 0)</f>
        <v>64.525400000000005</v>
      </c>
      <c r="H658" s="10">
        <f>64.3886 * CHOOSE(CONTROL!$C$9, $D$9, 100%, $F$9) + CHOOSE(CONTROL!$C$27, 0.0021, 0)</f>
        <v>64.390699999999995</v>
      </c>
      <c r="I658" s="10">
        <f>64.3886 * CHOOSE(CONTROL!$C$9, $D$9, 100%, $F$9) + CHOOSE(CONTROL!$C$27, 0.0021, 0)</f>
        <v>64.390699999999995</v>
      </c>
      <c r="J658" s="10">
        <f>64.3886 * CHOOSE(CONTROL!$C$9, $D$9, 100%, $F$9) + CHOOSE(CONTROL!$C$27, 0.0021, 0)</f>
        <v>64.390699999999995</v>
      </c>
      <c r="K658" s="10">
        <f>64.3886 * CHOOSE(CONTROL!$C$9, $D$9, 100%, $F$9) + CHOOSE(CONTROL!$C$27, 0.0021, 0)</f>
        <v>64.390699999999995</v>
      </c>
      <c r="L658" s="10"/>
    </row>
    <row r="659" spans="1:12" ht="15.75">
      <c r="A659" s="13">
        <v>61362</v>
      </c>
      <c r="B659" s="10">
        <f>63.5948 * CHOOSE(CONTROL!$C$9, $D$9, 100%, $F$9) + CHOOSE(CONTROL!$C$27, 0.0021, 0)</f>
        <v>63.596899999999998</v>
      </c>
      <c r="C659" s="10">
        <f>63.1625 * CHOOSE(CONTROL!$C$9, $D$9, 100%, $F$9) + CHOOSE(CONTROL!$C$27, 0.0021, 0)</f>
        <v>63.1646</v>
      </c>
      <c r="D659" s="10">
        <f>63.1625 * CHOOSE(CONTROL!$C$9, $D$9, 100%, $F$9) + CHOOSE(CONTROL!$C$27, 0.0021, 0)</f>
        <v>63.1646</v>
      </c>
      <c r="E659" s="10">
        <f>63.0259 * CHOOSE(CONTROL!$C$9, $D$9, 100%, $F$9) + CHOOSE(CONTROL!$C$27, 0.0021, 0)</f>
        <v>63.027999999999999</v>
      </c>
      <c r="F659" s="10">
        <f>63.0259 * CHOOSE(CONTROL!$C$9, $D$9, 100%, $F$9) + CHOOSE(CONTROL!$C$27, 0.0021, 0)</f>
        <v>63.027999999999999</v>
      </c>
      <c r="G659" s="10">
        <f>63.2972 * CHOOSE(CONTROL!$C$9, $D$9, 100%, $F$9) + CHOOSE(CONTROL!$C$27, 0.0021, 0)</f>
        <v>63.299299999999995</v>
      </c>
      <c r="H659" s="10">
        <f>63.1625 * CHOOSE(CONTROL!$C$9, $D$9, 100%, $F$9) + CHOOSE(CONTROL!$C$27, 0.0021, 0)</f>
        <v>63.1646</v>
      </c>
      <c r="I659" s="10">
        <f>63.1625 * CHOOSE(CONTROL!$C$9, $D$9, 100%, $F$9) + CHOOSE(CONTROL!$C$27, 0.0021, 0)</f>
        <v>63.1646</v>
      </c>
      <c r="J659" s="10">
        <f>63.1625 * CHOOSE(CONTROL!$C$9, $D$9, 100%, $F$9) + CHOOSE(CONTROL!$C$27, 0.0021, 0)</f>
        <v>63.1646</v>
      </c>
      <c r="K659" s="10">
        <f>63.1625 * CHOOSE(CONTROL!$C$9, $D$9, 100%, $F$9) + CHOOSE(CONTROL!$C$27, 0.0021, 0)</f>
        <v>63.1646</v>
      </c>
      <c r="L659" s="10"/>
    </row>
    <row r="660" spans="1:12" ht="15.75">
      <c r="A660" s="13">
        <v>61393</v>
      </c>
      <c r="B660" s="10">
        <f>62.6561 * CHOOSE(CONTROL!$C$9, $D$9, 100%, $F$9) + CHOOSE(CONTROL!$C$27, 0.0021, 0)</f>
        <v>62.658200000000001</v>
      </c>
      <c r="C660" s="10">
        <f>62.2238 * CHOOSE(CONTROL!$C$9, $D$9, 100%, $F$9) + CHOOSE(CONTROL!$C$27, 0.0021, 0)</f>
        <v>62.225899999999996</v>
      </c>
      <c r="D660" s="10">
        <f>62.2238 * CHOOSE(CONTROL!$C$9, $D$9, 100%, $F$9) + CHOOSE(CONTROL!$C$27, 0.0021, 0)</f>
        <v>62.225899999999996</v>
      </c>
      <c r="E660" s="10">
        <f>62.0872 * CHOOSE(CONTROL!$C$9, $D$9, 100%, $F$9) + CHOOSE(CONTROL!$C$27, 0.0021, 0)</f>
        <v>62.089300000000001</v>
      </c>
      <c r="F660" s="10">
        <f>62.0872 * CHOOSE(CONTROL!$C$9, $D$9, 100%, $F$9) + CHOOSE(CONTROL!$C$27, 0.0021, 0)</f>
        <v>62.089300000000001</v>
      </c>
      <c r="G660" s="10">
        <f>62.3585 * CHOOSE(CONTROL!$C$9, $D$9, 100%, $F$9) + CHOOSE(CONTROL!$C$27, 0.0021, 0)</f>
        <v>62.360599999999998</v>
      </c>
      <c r="H660" s="10">
        <f>62.2238 * CHOOSE(CONTROL!$C$9, $D$9, 100%, $F$9) + CHOOSE(CONTROL!$C$27, 0.0021, 0)</f>
        <v>62.225899999999996</v>
      </c>
      <c r="I660" s="10">
        <f>62.2238 * CHOOSE(CONTROL!$C$9, $D$9, 100%, $F$9) + CHOOSE(CONTROL!$C$27, 0.0021, 0)</f>
        <v>62.225899999999996</v>
      </c>
      <c r="J660" s="10">
        <f>62.2238 * CHOOSE(CONTROL!$C$9, $D$9, 100%, $F$9) + CHOOSE(CONTROL!$C$27, 0.0021, 0)</f>
        <v>62.225899999999996</v>
      </c>
      <c r="K660" s="10">
        <f>62.2238 * CHOOSE(CONTROL!$C$9, $D$9, 100%, $F$9) + CHOOSE(CONTROL!$C$27, 0.0021, 0)</f>
        <v>62.225899999999996</v>
      </c>
      <c r="L660" s="10"/>
    </row>
    <row r="661" spans="1:12" ht="15.75">
      <c r="A661" s="13">
        <v>61422</v>
      </c>
      <c r="B661" s="10">
        <f>60.9487 * CHOOSE(CONTROL!$C$9, $D$9, 100%, $F$9) + CHOOSE(CONTROL!$C$27, 0.0021, 0)</f>
        <v>60.950800000000001</v>
      </c>
      <c r="C661" s="10">
        <f>60.5164 * CHOOSE(CONTROL!$C$9, $D$9, 100%, $F$9) + CHOOSE(CONTROL!$C$27, 0.0021, 0)</f>
        <v>60.518499999999996</v>
      </c>
      <c r="D661" s="10">
        <f>60.5164 * CHOOSE(CONTROL!$C$9, $D$9, 100%, $F$9) + CHOOSE(CONTROL!$C$27, 0.0021, 0)</f>
        <v>60.518499999999996</v>
      </c>
      <c r="E661" s="10">
        <f>60.3798 * CHOOSE(CONTROL!$C$9, $D$9, 100%, $F$9) + CHOOSE(CONTROL!$C$27, 0.0021, 0)</f>
        <v>60.381900000000002</v>
      </c>
      <c r="F661" s="10">
        <f>60.3798 * CHOOSE(CONTROL!$C$9, $D$9, 100%, $F$9) + CHOOSE(CONTROL!$C$27, 0.0021, 0)</f>
        <v>60.381900000000002</v>
      </c>
      <c r="G661" s="10">
        <f>60.6511 * CHOOSE(CONTROL!$C$9, $D$9, 100%, $F$9) + CHOOSE(CONTROL!$C$27, 0.0021, 0)</f>
        <v>60.653199999999998</v>
      </c>
      <c r="H661" s="10">
        <f>60.5164 * CHOOSE(CONTROL!$C$9, $D$9, 100%, $F$9) + CHOOSE(CONTROL!$C$27, 0.0021, 0)</f>
        <v>60.518499999999996</v>
      </c>
      <c r="I661" s="10">
        <f>60.5164 * CHOOSE(CONTROL!$C$9, $D$9, 100%, $F$9) + CHOOSE(CONTROL!$C$27, 0.0021, 0)</f>
        <v>60.518499999999996</v>
      </c>
      <c r="J661" s="10">
        <f>60.5164 * CHOOSE(CONTROL!$C$9, $D$9, 100%, $F$9) + CHOOSE(CONTROL!$C$27, 0.0021, 0)</f>
        <v>60.518499999999996</v>
      </c>
      <c r="K661" s="10">
        <f>60.5164 * CHOOSE(CONTROL!$C$9, $D$9, 100%, $F$9) + CHOOSE(CONTROL!$C$27, 0.0021, 0)</f>
        <v>60.518499999999996</v>
      </c>
      <c r="L661" s="10"/>
    </row>
    <row r="662" spans="1:12" ht="15.75">
      <c r="A662" s="13">
        <v>61453</v>
      </c>
      <c r="B662" s="10">
        <f>60.2438 * CHOOSE(CONTROL!$C$9, $D$9, 100%, $F$9) + CHOOSE(CONTROL!$C$27, 0.0021, 0)</f>
        <v>60.245899999999999</v>
      </c>
      <c r="C662" s="10">
        <f>59.8116 * CHOOSE(CONTROL!$C$9, $D$9, 100%, $F$9) + CHOOSE(CONTROL!$C$27, 0.0021, 0)</f>
        <v>59.813699999999997</v>
      </c>
      <c r="D662" s="10">
        <f>59.8116 * CHOOSE(CONTROL!$C$9, $D$9, 100%, $F$9) + CHOOSE(CONTROL!$C$27, 0.0021, 0)</f>
        <v>59.813699999999997</v>
      </c>
      <c r="E662" s="10">
        <f>59.6749 * CHOOSE(CONTROL!$C$9, $D$9, 100%, $F$9) + CHOOSE(CONTROL!$C$27, 0.0021, 0)</f>
        <v>59.677</v>
      </c>
      <c r="F662" s="10">
        <f>59.6749 * CHOOSE(CONTROL!$C$9, $D$9, 100%, $F$9) + CHOOSE(CONTROL!$C$27, 0.0021, 0)</f>
        <v>59.677</v>
      </c>
      <c r="G662" s="10">
        <f>59.9463 * CHOOSE(CONTROL!$C$9, $D$9, 100%, $F$9) + CHOOSE(CONTROL!$C$27, 0.0021, 0)</f>
        <v>59.948399999999999</v>
      </c>
      <c r="H662" s="10">
        <f>59.8116 * CHOOSE(CONTROL!$C$9, $D$9, 100%, $F$9) + CHOOSE(CONTROL!$C$27, 0.0021, 0)</f>
        <v>59.813699999999997</v>
      </c>
      <c r="I662" s="10">
        <f>59.8116 * CHOOSE(CONTROL!$C$9, $D$9, 100%, $F$9) + CHOOSE(CONTROL!$C$27, 0.0021, 0)</f>
        <v>59.813699999999997</v>
      </c>
      <c r="J662" s="10">
        <f>59.8116 * CHOOSE(CONTROL!$C$9, $D$9, 100%, $F$9) + CHOOSE(CONTROL!$C$27, 0.0021, 0)</f>
        <v>59.813699999999997</v>
      </c>
      <c r="K662" s="10">
        <f>59.8116 * CHOOSE(CONTROL!$C$9, $D$9, 100%, $F$9) + CHOOSE(CONTROL!$C$27, 0.0021, 0)</f>
        <v>59.813699999999997</v>
      </c>
      <c r="L662" s="10"/>
    </row>
    <row r="663" spans="1:12" ht="15.75">
      <c r="A663" s="13">
        <v>61483</v>
      </c>
      <c r="B663" s="10">
        <f>59.4023 * CHOOSE(CONTROL!$C$9, $D$9, 100%, $F$9) + CHOOSE(CONTROL!$C$27, 0.0021, 0)</f>
        <v>59.404399999999995</v>
      </c>
      <c r="C663" s="10">
        <f>58.97 * CHOOSE(CONTROL!$C$9, $D$9, 100%, $F$9) + CHOOSE(CONTROL!$C$27, 0.0021, 0)</f>
        <v>58.972099999999998</v>
      </c>
      <c r="D663" s="10">
        <f>58.97 * CHOOSE(CONTROL!$C$9, $D$9, 100%, $F$9) + CHOOSE(CONTROL!$C$27, 0.0021, 0)</f>
        <v>58.972099999999998</v>
      </c>
      <c r="E663" s="10">
        <f>58.8334 * CHOOSE(CONTROL!$C$9, $D$9, 100%, $F$9) + CHOOSE(CONTROL!$C$27, 0.0021, 0)</f>
        <v>58.835499999999996</v>
      </c>
      <c r="F663" s="10">
        <f>58.8334 * CHOOSE(CONTROL!$C$9, $D$9, 100%, $F$9) + CHOOSE(CONTROL!$C$27, 0.0021, 0)</f>
        <v>58.835499999999996</v>
      </c>
      <c r="G663" s="10">
        <f>59.1047 * CHOOSE(CONTROL!$C$9, $D$9, 100%, $F$9) + CHOOSE(CONTROL!$C$27, 0.0021, 0)</f>
        <v>59.1068</v>
      </c>
      <c r="H663" s="10">
        <f>58.97 * CHOOSE(CONTROL!$C$9, $D$9, 100%, $F$9) + CHOOSE(CONTROL!$C$27, 0.0021, 0)</f>
        <v>58.972099999999998</v>
      </c>
      <c r="I663" s="10">
        <f>58.97 * CHOOSE(CONTROL!$C$9, $D$9, 100%, $F$9) + CHOOSE(CONTROL!$C$27, 0.0021, 0)</f>
        <v>58.972099999999998</v>
      </c>
      <c r="J663" s="10">
        <f>58.97 * CHOOSE(CONTROL!$C$9, $D$9, 100%, $F$9) + CHOOSE(CONTROL!$C$27, 0.0021, 0)</f>
        <v>58.972099999999998</v>
      </c>
      <c r="K663" s="10">
        <f>58.97 * CHOOSE(CONTROL!$C$9, $D$9, 100%, $F$9) + CHOOSE(CONTROL!$C$27, 0.0021, 0)</f>
        <v>58.972099999999998</v>
      </c>
      <c r="L663" s="10"/>
    </row>
    <row r="664" spans="1:12" ht="15.75">
      <c r="A664" s="13">
        <v>61514</v>
      </c>
      <c r="B664" s="10">
        <f>60.6016 * CHOOSE(CONTROL!$C$9, $D$9, 100%, $F$9) + CHOOSE(CONTROL!$C$27, 0.0021, 0)</f>
        <v>60.603699999999996</v>
      </c>
      <c r="C664" s="10">
        <f>60.1694 * CHOOSE(CONTROL!$C$9, $D$9, 100%, $F$9) + CHOOSE(CONTROL!$C$27, 0.0021, 0)</f>
        <v>60.171500000000002</v>
      </c>
      <c r="D664" s="10">
        <f>60.1694 * CHOOSE(CONTROL!$C$9, $D$9, 100%, $F$9) + CHOOSE(CONTROL!$C$27, 0.0021, 0)</f>
        <v>60.171500000000002</v>
      </c>
      <c r="E664" s="10">
        <f>60.0327 * CHOOSE(CONTROL!$C$9, $D$9, 100%, $F$9) + CHOOSE(CONTROL!$C$27, 0.0021, 0)</f>
        <v>60.034799999999997</v>
      </c>
      <c r="F664" s="10">
        <f>60.0327 * CHOOSE(CONTROL!$C$9, $D$9, 100%, $F$9) + CHOOSE(CONTROL!$C$27, 0.0021, 0)</f>
        <v>60.034799999999997</v>
      </c>
      <c r="G664" s="10">
        <f>60.3041 * CHOOSE(CONTROL!$C$9, $D$9, 100%, $F$9) + CHOOSE(CONTROL!$C$27, 0.0021, 0)</f>
        <v>60.306199999999997</v>
      </c>
      <c r="H664" s="10">
        <f>60.1694 * CHOOSE(CONTROL!$C$9, $D$9, 100%, $F$9) + CHOOSE(CONTROL!$C$27, 0.0021, 0)</f>
        <v>60.171500000000002</v>
      </c>
      <c r="I664" s="10">
        <f>60.1694 * CHOOSE(CONTROL!$C$9, $D$9, 100%, $F$9) + CHOOSE(CONTROL!$C$27, 0.0021, 0)</f>
        <v>60.171500000000002</v>
      </c>
      <c r="J664" s="10">
        <f>60.1694 * CHOOSE(CONTROL!$C$9, $D$9, 100%, $F$9) + CHOOSE(CONTROL!$C$27, 0.0021, 0)</f>
        <v>60.171500000000002</v>
      </c>
      <c r="K664" s="10">
        <f>60.1694 * CHOOSE(CONTROL!$C$9, $D$9, 100%, $F$9) + CHOOSE(CONTROL!$C$27, 0.0021, 0)</f>
        <v>60.171500000000002</v>
      </c>
      <c r="L664" s="10"/>
    </row>
    <row r="665" spans="1:12" ht="15.75">
      <c r="A665" s="13">
        <v>61544</v>
      </c>
      <c r="B665" s="10">
        <f>61.32 * CHOOSE(CONTROL!$C$9, $D$9, 100%, $F$9) + CHOOSE(CONTROL!$C$27, 0.0021, 0)</f>
        <v>61.322099999999999</v>
      </c>
      <c r="C665" s="10">
        <f>60.8877 * CHOOSE(CONTROL!$C$9, $D$9, 100%, $F$9) + CHOOSE(CONTROL!$C$27, 0.0021, 0)</f>
        <v>60.889800000000001</v>
      </c>
      <c r="D665" s="10">
        <f>60.8877 * CHOOSE(CONTROL!$C$9, $D$9, 100%, $F$9) + CHOOSE(CONTROL!$C$27, 0.0021, 0)</f>
        <v>60.889800000000001</v>
      </c>
      <c r="E665" s="10">
        <f>60.7511 * CHOOSE(CONTROL!$C$9, $D$9, 100%, $F$9) + CHOOSE(CONTROL!$C$27, 0.0021, 0)</f>
        <v>60.7532</v>
      </c>
      <c r="F665" s="10">
        <f>60.7511 * CHOOSE(CONTROL!$C$9, $D$9, 100%, $F$9) + CHOOSE(CONTROL!$C$27, 0.0021, 0)</f>
        <v>60.7532</v>
      </c>
      <c r="G665" s="10">
        <f>61.0224 * CHOOSE(CONTROL!$C$9, $D$9, 100%, $F$9) + CHOOSE(CONTROL!$C$27, 0.0021, 0)</f>
        <v>61.024499999999996</v>
      </c>
      <c r="H665" s="10">
        <f>60.8877 * CHOOSE(CONTROL!$C$9, $D$9, 100%, $F$9) + CHOOSE(CONTROL!$C$27, 0.0021, 0)</f>
        <v>60.889800000000001</v>
      </c>
      <c r="I665" s="10">
        <f>60.8877 * CHOOSE(CONTROL!$C$9, $D$9, 100%, $F$9) + CHOOSE(CONTROL!$C$27, 0.0021, 0)</f>
        <v>60.889800000000001</v>
      </c>
      <c r="J665" s="10">
        <f>60.8877 * CHOOSE(CONTROL!$C$9, $D$9, 100%, $F$9) + CHOOSE(CONTROL!$C$27, 0.0021, 0)</f>
        <v>60.889800000000001</v>
      </c>
      <c r="K665" s="10">
        <f>60.8877 * CHOOSE(CONTROL!$C$9, $D$9, 100%, $F$9) + CHOOSE(CONTROL!$C$27, 0.0021, 0)</f>
        <v>60.889800000000001</v>
      </c>
      <c r="L665" s="10"/>
    </row>
    <row r="666" spans="1:12" ht="15.75">
      <c r="A666" s="13">
        <v>61575</v>
      </c>
      <c r="B666" s="10">
        <f>62.505 * CHOOSE(CONTROL!$C$9, $D$9, 100%, $F$9) + CHOOSE(CONTROL!$C$27, 0.0021, 0)</f>
        <v>62.507100000000001</v>
      </c>
      <c r="C666" s="10">
        <f>62.0727 * CHOOSE(CONTROL!$C$9, $D$9, 100%, $F$9) + CHOOSE(CONTROL!$C$27, 0.0021, 0)</f>
        <v>62.074799999999996</v>
      </c>
      <c r="D666" s="10">
        <f>62.0727 * CHOOSE(CONTROL!$C$9, $D$9, 100%, $F$9) + CHOOSE(CONTROL!$C$27, 0.0021, 0)</f>
        <v>62.074799999999996</v>
      </c>
      <c r="E666" s="10">
        <f>61.9361 * CHOOSE(CONTROL!$C$9, $D$9, 100%, $F$9) + CHOOSE(CONTROL!$C$27, 0.0021, 0)</f>
        <v>61.938200000000002</v>
      </c>
      <c r="F666" s="10">
        <f>61.9361 * CHOOSE(CONTROL!$C$9, $D$9, 100%, $F$9) + CHOOSE(CONTROL!$C$27, 0.0021, 0)</f>
        <v>61.938200000000002</v>
      </c>
      <c r="G666" s="10">
        <f>62.2074 * CHOOSE(CONTROL!$C$9, $D$9, 100%, $F$9) + CHOOSE(CONTROL!$C$27, 0.0021, 0)</f>
        <v>62.209499999999998</v>
      </c>
      <c r="H666" s="10">
        <f>62.0727 * CHOOSE(CONTROL!$C$9, $D$9, 100%, $F$9) + CHOOSE(CONTROL!$C$27, 0.0021, 0)</f>
        <v>62.074799999999996</v>
      </c>
      <c r="I666" s="10">
        <f>62.0727 * CHOOSE(CONTROL!$C$9, $D$9, 100%, $F$9) + CHOOSE(CONTROL!$C$27, 0.0021, 0)</f>
        <v>62.074799999999996</v>
      </c>
      <c r="J666" s="10">
        <f>62.0727 * CHOOSE(CONTROL!$C$9, $D$9, 100%, $F$9) + CHOOSE(CONTROL!$C$27, 0.0021, 0)</f>
        <v>62.074799999999996</v>
      </c>
      <c r="K666" s="10">
        <f>62.0727 * CHOOSE(CONTROL!$C$9, $D$9, 100%, $F$9) + CHOOSE(CONTROL!$C$27, 0.0021, 0)</f>
        <v>62.074799999999996</v>
      </c>
      <c r="L666" s="10"/>
    </row>
    <row r="667" spans="1:12" ht="15.75">
      <c r="A667" s="13">
        <v>61606</v>
      </c>
      <c r="B667" s="10">
        <f>62.8667 * CHOOSE(CONTROL!$C$9, $D$9, 100%, $F$9) + CHOOSE(CONTROL!$C$27, 0.0021, 0)</f>
        <v>62.8688</v>
      </c>
      <c r="C667" s="10">
        <f>62.4344 * CHOOSE(CONTROL!$C$9, $D$9, 100%, $F$9) + CHOOSE(CONTROL!$C$27, 0.0021, 0)</f>
        <v>62.436499999999995</v>
      </c>
      <c r="D667" s="10">
        <f>62.4344 * CHOOSE(CONTROL!$C$9, $D$9, 100%, $F$9) + CHOOSE(CONTROL!$C$27, 0.0021, 0)</f>
        <v>62.436499999999995</v>
      </c>
      <c r="E667" s="10">
        <f>62.2978 * CHOOSE(CONTROL!$C$9, $D$9, 100%, $F$9) + CHOOSE(CONTROL!$C$27, 0.0021, 0)</f>
        <v>62.299900000000001</v>
      </c>
      <c r="F667" s="10">
        <f>62.2978 * CHOOSE(CONTROL!$C$9, $D$9, 100%, $F$9) + CHOOSE(CONTROL!$C$27, 0.0021, 0)</f>
        <v>62.299900000000001</v>
      </c>
      <c r="G667" s="10">
        <f>62.5692 * CHOOSE(CONTROL!$C$9, $D$9, 100%, $F$9) + CHOOSE(CONTROL!$C$27, 0.0021, 0)</f>
        <v>62.571300000000001</v>
      </c>
      <c r="H667" s="10">
        <f>62.4344 * CHOOSE(CONTROL!$C$9, $D$9, 100%, $F$9) + CHOOSE(CONTROL!$C$27, 0.0021, 0)</f>
        <v>62.436499999999995</v>
      </c>
      <c r="I667" s="10">
        <f>62.4344 * CHOOSE(CONTROL!$C$9, $D$9, 100%, $F$9) + CHOOSE(CONTROL!$C$27, 0.0021, 0)</f>
        <v>62.436499999999995</v>
      </c>
      <c r="J667" s="10">
        <f>62.4344 * CHOOSE(CONTROL!$C$9, $D$9, 100%, $F$9) + CHOOSE(CONTROL!$C$27, 0.0021, 0)</f>
        <v>62.436499999999995</v>
      </c>
      <c r="K667" s="10">
        <f>62.4344 * CHOOSE(CONTROL!$C$9, $D$9, 100%, $F$9) + CHOOSE(CONTROL!$C$27, 0.0021, 0)</f>
        <v>62.436499999999995</v>
      </c>
      <c r="L667" s="10"/>
    </row>
    <row r="668" spans="1:12" ht="15.75">
      <c r="A668" s="13">
        <v>61636</v>
      </c>
      <c r="B668" s="10">
        <f>64.0985 * CHOOSE(CONTROL!$C$9, $D$9, 100%, $F$9) + CHOOSE(CONTROL!$C$27, 0.0021, 0)</f>
        <v>64.1006</v>
      </c>
      <c r="C668" s="10">
        <f>63.6662 * CHOOSE(CONTROL!$C$9, $D$9, 100%, $F$9) + CHOOSE(CONTROL!$C$27, 0.0021, 0)</f>
        <v>63.668300000000002</v>
      </c>
      <c r="D668" s="10">
        <f>63.6662 * CHOOSE(CONTROL!$C$9, $D$9, 100%, $F$9) + CHOOSE(CONTROL!$C$27, 0.0021, 0)</f>
        <v>63.668300000000002</v>
      </c>
      <c r="E668" s="10">
        <f>63.5296 * CHOOSE(CONTROL!$C$9, $D$9, 100%, $F$9) + CHOOSE(CONTROL!$C$27, 0.0021, 0)</f>
        <v>63.531700000000001</v>
      </c>
      <c r="F668" s="10">
        <f>63.5296 * CHOOSE(CONTROL!$C$9, $D$9, 100%, $F$9) + CHOOSE(CONTROL!$C$27, 0.0021, 0)</f>
        <v>63.531700000000001</v>
      </c>
      <c r="G668" s="10">
        <f>63.8009 * CHOOSE(CONTROL!$C$9, $D$9, 100%, $F$9) + CHOOSE(CONTROL!$C$27, 0.0021, 0)</f>
        <v>63.802999999999997</v>
      </c>
      <c r="H668" s="10">
        <f>63.6662 * CHOOSE(CONTROL!$C$9, $D$9, 100%, $F$9) + CHOOSE(CONTROL!$C$27, 0.0021, 0)</f>
        <v>63.668300000000002</v>
      </c>
      <c r="I668" s="10">
        <f>63.6662 * CHOOSE(CONTROL!$C$9, $D$9, 100%, $F$9) + CHOOSE(CONTROL!$C$27, 0.0021, 0)</f>
        <v>63.668300000000002</v>
      </c>
      <c r="J668" s="10">
        <f>63.6662 * CHOOSE(CONTROL!$C$9, $D$9, 100%, $F$9) + CHOOSE(CONTROL!$C$27, 0.0021, 0)</f>
        <v>63.668300000000002</v>
      </c>
      <c r="K668" s="10">
        <f>63.6662 * CHOOSE(CONTROL!$C$9, $D$9, 100%, $F$9) + CHOOSE(CONTROL!$C$27, 0.0021, 0)</f>
        <v>63.668300000000002</v>
      </c>
      <c r="L668" s="10"/>
    </row>
    <row r="669" spans="1:12" ht="15.75">
      <c r="A669" s="13">
        <v>61667</v>
      </c>
      <c r="B669" s="10">
        <f>65.6577 * CHOOSE(CONTROL!$C$9, $D$9, 100%, $F$9) + CHOOSE(CONTROL!$C$27, 0.0021, 0)</f>
        <v>65.659800000000004</v>
      </c>
      <c r="C669" s="10">
        <f>65.2254 * CHOOSE(CONTROL!$C$9, $D$9, 100%, $F$9) + CHOOSE(CONTROL!$C$27, 0.0021, 0)</f>
        <v>65.227499999999992</v>
      </c>
      <c r="D669" s="10">
        <f>65.2254 * CHOOSE(CONTROL!$C$9, $D$9, 100%, $F$9) + CHOOSE(CONTROL!$C$27, 0.0021, 0)</f>
        <v>65.227499999999992</v>
      </c>
      <c r="E669" s="10">
        <f>65.0888 * CHOOSE(CONTROL!$C$9, $D$9, 100%, $F$9) + CHOOSE(CONTROL!$C$27, 0.0021, 0)</f>
        <v>65.090900000000005</v>
      </c>
      <c r="F669" s="10">
        <f>65.0888 * CHOOSE(CONTROL!$C$9, $D$9, 100%, $F$9) + CHOOSE(CONTROL!$C$27, 0.0021, 0)</f>
        <v>65.090900000000005</v>
      </c>
      <c r="G669" s="10">
        <f>65.3601 * CHOOSE(CONTROL!$C$9, $D$9, 100%, $F$9) + CHOOSE(CONTROL!$C$27, 0.0021, 0)</f>
        <v>65.362200000000001</v>
      </c>
      <c r="H669" s="10">
        <f>65.2254 * CHOOSE(CONTROL!$C$9, $D$9, 100%, $F$9) + CHOOSE(CONTROL!$C$27, 0.0021, 0)</f>
        <v>65.227499999999992</v>
      </c>
      <c r="I669" s="10">
        <f>65.2254 * CHOOSE(CONTROL!$C$9, $D$9, 100%, $F$9) + CHOOSE(CONTROL!$C$27, 0.0021, 0)</f>
        <v>65.227499999999992</v>
      </c>
      <c r="J669" s="10">
        <f>65.2254 * CHOOSE(CONTROL!$C$9, $D$9, 100%, $F$9) + CHOOSE(CONTROL!$C$27, 0.0021, 0)</f>
        <v>65.227499999999992</v>
      </c>
      <c r="K669" s="10">
        <f>65.2254 * CHOOSE(CONTROL!$C$9, $D$9, 100%, $F$9) + CHOOSE(CONTROL!$C$27, 0.0021, 0)</f>
        <v>65.227499999999992</v>
      </c>
      <c r="L669" s="10"/>
    </row>
    <row r="670" spans="1:12" ht="15.75">
      <c r="A670" s="13">
        <v>61697</v>
      </c>
      <c r="B670" s="10">
        <f>65.8041 * CHOOSE(CONTROL!$C$9, $D$9, 100%, $F$9) + CHOOSE(CONTROL!$C$27, 0.0021, 0)</f>
        <v>65.806200000000004</v>
      </c>
      <c r="C670" s="10">
        <f>65.3718 * CHOOSE(CONTROL!$C$9, $D$9, 100%, $F$9) + CHOOSE(CONTROL!$C$27, 0.0021, 0)</f>
        <v>65.373899999999992</v>
      </c>
      <c r="D670" s="10">
        <f>65.3718 * CHOOSE(CONTROL!$C$9, $D$9, 100%, $F$9) + CHOOSE(CONTROL!$C$27, 0.0021, 0)</f>
        <v>65.373899999999992</v>
      </c>
      <c r="E670" s="10">
        <f>65.2351 * CHOOSE(CONTROL!$C$9, $D$9, 100%, $F$9) + CHOOSE(CONTROL!$C$27, 0.0021, 0)</f>
        <v>65.237200000000001</v>
      </c>
      <c r="F670" s="10">
        <f>65.2351 * CHOOSE(CONTROL!$C$9, $D$9, 100%, $F$9) + CHOOSE(CONTROL!$C$27, 0.0021, 0)</f>
        <v>65.237200000000001</v>
      </c>
      <c r="G670" s="10">
        <f>65.5065 * CHOOSE(CONTROL!$C$9, $D$9, 100%, $F$9) + CHOOSE(CONTROL!$C$27, 0.0021, 0)</f>
        <v>65.508600000000001</v>
      </c>
      <c r="H670" s="10">
        <f>65.3718 * CHOOSE(CONTROL!$C$9, $D$9, 100%, $F$9) + CHOOSE(CONTROL!$C$27, 0.0021, 0)</f>
        <v>65.373899999999992</v>
      </c>
      <c r="I670" s="10">
        <f>65.3718 * CHOOSE(CONTROL!$C$9, $D$9, 100%, $F$9) + CHOOSE(CONTROL!$C$27, 0.0021, 0)</f>
        <v>65.373899999999992</v>
      </c>
      <c r="J670" s="10">
        <f>65.3718 * CHOOSE(CONTROL!$C$9, $D$9, 100%, $F$9) + CHOOSE(CONTROL!$C$27, 0.0021, 0)</f>
        <v>65.373899999999992</v>
      </c>
      <c r="K670" s="10">
        <f>65.3718 * CHOOSE(CONTROL!$C$9, $D$9, 100%, $F$9) + CHOOSE(CONTROL!$C$27, 0.0021, 0)</f>
        <v>65.373899999999992</v>
      </c>
      <c r="L670" s="10"/>
    </row>
    <row r="671" spans="1:12" ht="15.75">
      <c r="A671" s="13">
        <v>61728</v>
      </c>
      <c r="B671" s="10">
        <f>64.5587 * CHOOSE(CONTROL!$C$9, $D$9, 100%, $F$9) + CHOOSE(CONTROL!$C$27, 0.0021, 0)</f>
        <v>64.5608</v>
      </c>
      <c r="C671" s="10">
        <f>64.1265 * CHOOSE(CONTROL!$C$9, $D$9, 100%, $F$9) + CHOOSE(CONTROL!$C$27, 0.0021, 0)</f>
        <v>64.128599999999992</v>
      </c>
      <c r="D671" s="10">
        <f>64.1265 * CHOOSE(CONTROL!$C$9, $D$9, 100%, $F$9) + CHOOSE(CONTROL!$C$27, 0.0021, 0)</f>
        <v>64.128599999999992</v>
      </c>
      <c r="E671" s="10">
        <f>63.9898 * CHOOSE(CONTROL!$C$9, $D$9, 100%, $F$9) + CHOOSE(CONTROL!$C$27, 0.0021, 0)</f>
        <v>63.991900000000001</v>
      </c>
      <c r="F671" s="10">
        <f>63.9898 * CHOOSE(CONTROL!$C$9, $D$9, 100%, $F$9) + CHOOSE(CONTROL!$C$27, 0.0021, 0)</f>
        <v>63.991900000000001</v>
      </c>
      <c r="G671" s="10">
        <f>64.2612 * CHOOSE(CONTROL!$C$9, $D$9, 100%, $F$9) + CHOOSE(CONTROL!$C$27, 0.0021, 0)</f>
        <v>64.263300000000001</v>
      </c>
      <c r="H671" s="10">
        <f>64.1265 * CHOOSE(CONTROL!$C$9, $D$9, 100%, $F$9) + CHOOSE(CONTROL!$C$27, 0.0021, 0)</f>
        <v>64.128599999999992</v>
      </c>
      <c r="I671" s="10">
        <f>64.1265 * CHOOSE(CONTROL!$C$9, $D$9, 100%, $F$9) + CHOOSE(CONTROL!$C$27, 0.0021, 0)</f>
        <v>64.128599999999992</v>
      </c>
      <c r="J671" s="10">
        <f>64.1265 * CHOOSE(CONTROL!$C$9, $D$9, 100%, $F$9) + CHOOSE(CONTROL!$C$27, 0.0021, 0)</f>
        <v>64.128599999999992</v>
      </c>
      <c r="K671" s="10">
        <f>64.1265 * CHOOSE(CONTROL!$C$9, $D$9, 100%, $F$9) + CHOOSE(CONTROL!$C$27, 0.0021, 0)</f>
        <v>64.128599999999992</v>
      </c>
      <c r="L671" s="10"/>
    </row>
    <row r="672" spans="1:12" ht="15.75">
      <c r="A672" s="13">
        <v>61759</v>
      </c>
      <c r="B672" s="10">
        <f>63.6053 * CHOOSE(CONTROL!$C$9, $D$9, 100%, $F$9) + CHOOSE(CONTROL!$C$27, 0.0021, 0)</f>
        <v>63.607399999999998</v>
      </c>
      <c r="C672" s="10">
        <f>63.173 * CHOOSE(CONTROL!$C$9, $D$9, 100%, $F$9) + CHOOSE(CONTROL!$C$27, 0.0021, 0)</f>
        <v>63.1751</v>
      </c>
      <c r="D672" s="10">
        <f>63.173 * CHOOSE(CONTROL!$C$9, $D$9, 100%, $F$9) + CHOOSE(CONTROL!$C$27, 0.0021, 0)</f>
        <v>63.1751</v>
      </c>
      <c r="E672" s="10">
        <f>63.0364 * CHOOSE(CONTROL!$C$9, $D$9, 100%, $F$9) + CHOOSE(CONTROL!$C$27, 0.0021, 0)</f>
        <v>63.038499999999999</v>
      </c>
      <c r="F672" s="10">
        <f>63.0364 * CHOOSE(CONTROL!$C$9, $D$9, 100%, $F$9) + CHOOSE(CONTROL!$C$27, 0.0021, 0)</f>
        <v>63.038499999999999</v>
      </c>
      <c r="G672" s="10">
        <f>63.3078 * CHOOSE(CONTROL!$C$9, $D$9, 100%, $F$9) + CHOOSE(CONTROL!$C$27, 0.0021, 0)</f>
        <v>63.309899999999999</v>
      </c>
      <c r="H672" s="10">
        <f>63.173 * CHOOSE(CONTROL!$C$9, $D$9, 100%, $F$9) + CHOOSE(CONTROL!$C$27, 0.0021, 0)</f>
        <v>63.1751</v>
      </c>
      <c r="I672" s="10">
        <f>63.173 * CHOOSE(CONTROL!$C$9, $D$9, 100%, $F$9) + CHOOSE(CONTROL!$C$27, 0.0021, 0)</f>
        <v>63.1751</v>
      </c>
      <c r="J672" s="10">
        <f>63.173 * CHOOSE(CONTROL!$C$9, $D$9, 100%, $F$9) + CHOOSE(CONTROL!$C$27, 0.0021, 0)</f>
        <v>63.1751</v>
      </c>
      <c r="K672" s="10">
        <f>63.173 * CHOOSE(CONTROL!$C$9, $D$9, 100%, $F$9) + CHOOSE(CONTROL!$C$27, 0.0021, 0)</f>
        <v>63.1751</v>
      </c>
      <c r="L672" s="10"/>
    </row>
    <row r="673" spans="1:12" ht="15.75">
      <c r="A673" s="13">
        <v>61787</v>
      </c>
      <c r="B673" s="10">
        <f>61.871 * CHOOSE(CONTROL!$C$9, $D$9, 100%, $F$9) + CHOOSE(CONTROL!$C$27, 0.0021, 0)</f>
        <v>61.873100000000001</v>
      </c>
      <c r="C673" s="10">
        <f>61.4388 * CHOOSE(CONTROL!$C$9, $D$9, 100%, $F$9) + CHOOSE(CONTROL!$C$27, 0.0021, 0)</f>
        <v>61.440899999999999</v>
      </c>
      <c r="D673" s="10">
        <f>61.4388 * CHOOSE(CONTROL!$C$9, $D$9, 100%, $F$9) + CHOOSE(CONTROL!$C$27, 0.0021, 0)</f>
        <v>61.440899999999999</v>
      </c>
      <c r="E673" s="10">
        <f>61.3021 * CHOOSE(CONTROL!$C$9, $D$9, 100%, $F$9) + CHOOSE(CONTROL!$C$27, 0.0021, 0)</f>
        <v>61.304200000000002</v>
      </c>
      <c r="F673" s="10">
        <f>61.3021 * CHOOSE(CONTROL!$C$9, $D$9, 100%, $F$9) + CHOOSE(CONTROL!$C$27, 0.0021, 0)</f>
        <v>61.304200000000002</v>
      </c>
      <c r="G673" s="10">
        <f>61.5735 * CHOOSE(CONTROL!$C$9, $D$9, 100%, $F$9) + CHOOSE(CONTROL!$C$27, 0.0021, 0)</f>
        <v>61.575600000000001</v>
      </c>
      <c r="H673" s="10">
        <f>61.4388 * CHOOSE(CONTROL!$C$9, $D$9, 100%, $F$9) + CHOOSE(CONTROL!$C$27, 0.0021, 0)</f>
        <v>61.440899999999999</v>
      </c>
      <c r="I673" s="10">
        <f>61.4388 * CHOOSE(CONTROL!$C$9, $D$9, 100%, $F$9) + CHOOSE(CONTROL!$C$27, 0.0021, 0)</f>
        <v>61.440899999999999</v>
      </c>
      <c r="J673" s="10">
        <f>61.4388 * CHOOSE(CONTROL!$C$9, $D$9, 100%, $F$9) + CHOOSE(CONTROL!$C$27, 0.0021, 0)</f>
        <v>61.440899999999999</v>
      </c>
      <c r="K673" s="10">
        <f>61.4388 * CHOOSE(CONTROL!$C$9, $D$9, 100%, $F$9) + CHOOSE(CONTROL!$C$27, 0.0021, 0)</f>
        <v>61.440899999999999</v>
      </c>
      <c r="L673" s="10"/>
    </row>
    <row r="674" spans="1:12" ht="15.75">
      <c r="A674" s="13">
        <v>61818</v>
      </c>
      <c r="B674" s="10">
        <f>61.1551 * CHOOSE(CONTROL!$C$9, $D$9, 100%, $F$9) + CHOOSE(CONTROL!$C$27, 0.0021, 0)</f>
        <v>61.157199999999996</v>
      </c>
      <c r="C674" s="10">
        <f>60.7229 * CHOOSE(CONTROL!$C$9, $D$9, 100%, $F$9) + CHOOSE(CONTROL!$C$27, 0.0021, 0)</f>
        <v>60.725000000000001</v>
      </c>
      <c r="D674" s="10">
        <f>60.7229 * CHOOSE(CONTROL!$C$9, $D$9, 100%, $F$9) + CHOOSE(CONTROL!$C$27, 0.0021, 0)</f>
        <v>60.725000000000001</v>
      </c>
      <c r="E674" s="10">
        <f>60.5862 * CHOOSE(CONTROL!$C$9, $D$9, 100%, $F$9) + CHOOSE(CONTROL!$C$27, 0.0021, 0)</f>
        <v>60.588299999999997</v>
      </c>
      <c r="F674" s="10">
        <f>60.5862 * CHOOSE(CONTROL!$C$9, $D$9, 100%, $F$9) + CHOOSE(CONTROL!$C$27, 0.0021, 0)</f>
        <v>60.588299999999997</v>
      </c>
      <c r="G674" s="10">
        <f>60.8576 * CHOOSE(CONTROL!$C$9, $D$9, 100%, $F$9) + CHOOSE(CONTROL!$C$27, 0.0021, 0)</f>
        <v>60.859699999999997</v>
      </c>
      <c r="H674" s="10">
        <f>60.7229 * CHOOSE(CONTROL!$C$9, $D$9, 100%, $F$9) + CHOOSE(CONTROL!$C$27, 0.0021, 0)</f>
        <v>60.725000000000001</v>
      </c>
      <c r="I674" s="10">
        <f>60.7229 * CHOOSE(CONTROL!$C$9, $D$9, 100%, $F$9) + CHOOSE(CONTROL!$C$27, 0.0021, 0)</f>
        <v>60.725000000000001</v>
      </c>
      <c r="J674" s="10">
        <f>60.7229 * CHOOSE(CONTROL!$C$9, $D$9, 100%, $F$9) + CHOOSE(CONTROL!$C$27, 0.0021, 0)</f>
        <v>60.725000000000001</v>
      </c>
      <c r="K674" s="10">
        <f>60.7229 * CHOOSE(CONTROL!$C$9, $D$9, 100%, $F$9) + CHOOSE(CONTROL!$C$27, 0.0021, 0)</f>
        <v>60.725000000000001</v>
      </c>
      <c r="L674" s="10"/>
    </row>
    <row r="675" spans="1:12" ht="15.75">
      <c r="A675" s="13">
        <v>61848</v>
      </c>
      <c r="B675" s="10">
        <f>60.3003 * CHOOSE(CONTROL!$C$9, $D$9, 100%, $F$9) + CHOOSE(CONTROL!$C$27, 0.0021, 0)</f>
        <v>60.302399999999999</v>
      </c>
      <c r="C675" s="10">
        <f>59.8681 * CHOOSE(CONTROL!$C$9, $D$9, 100%, $F$9) + CHOOSE(CONTROL!$C$27, 0.0021, 0)</f>
        <v>59.870199999999997</v>
      </c>
      <c r="D675" s="10">
        <f>59.8681 * CHOOSE(CONTROL!$C$9, $D$9, 100%, $F$9) + CHOOSE(CONTROL!$C$27, 0.0021, 0)</f>
        <v>59.870199999999997</v>
      </c>
      <c r="E675" s="10">
        <f>59.7314 * CHOOSE(CONTROL!$C$9, $D$9, 100%, $F$9) + CHOOSE(CONTROL!$C$27, 0.0021, 0)</f>
        <v>59.733499999999999</v>
      </c>
      <c r="F675" s="10">
        <f>59.7314 * CHOOSE(CONTROL!$C$9, $D$9, 100%, $F$9) + CHOOSE(CONTROL!$C$27, 0.0021, 0)</f>
        <v>59.733499999999999</v>
      </c>
      <c r="G675" s="10">
        <f>60.0028 * CHOOSE(CONTROL!$C$9, $D$9, 100%, $F$9) + CHOOSE(CONTROL!$C$27, 0.0021, 0)</f>
        <v>60.004899999999999</v>
      </c>
      <c r="H675" s="10">
        <f>59.8681 * CHOOSE(CONTROL!$C$9, $D$9, 100%, $F$9) + CHOOSE(CONTROL!$C$27, 0.0021, 0)</f>
        <v>59.870199999999997</v>
      </c>
      <c r="I675" s="10">
        <f>59.8681 * CHOOSE(CONTROL!$C$9, $D$9, 100%, $F$9) + CHOOSE(CONTROL!$C$27, 0.0021, 0)</f>
        <v>59.870199999999997</v>
      </c>
      <c r="J675" s="10">
        <f>59.8681 * CHOOSE(CONTROL!$C$9, $D$9, 100%, $F$9) + CHOOSE(CONTROL!$C$27, 0.0021, 0)</f>
        <v>59.870199999999997</v>
      </c>
      <c r="K675" s="10">
        <f>59.8681 * CHOOSE(CONTROL!$C$9, $D$9, 100%, $F$9) + CHOOSE(CONTROL!$C$27, 0.0021, 0)</f>
        <v>59.870199999999997</v>
      </c>
      <c r="L675" s="10"/>
    </row>
    <row r="676" spans="1:12" ht="15.75">
      <c r="A676" s="13">
        <v>61879</v>
      </c>
      <c r="B676" s="10">
        <f>61.5185 * CHOOSE(CONTROL!$C$9, $D$9, 100%, $F$9) + CHOOSE(CONTROL!$C$27, 0.0021, 0)</f>
        <v>61.520600000000002</v>
      </c>
      <c r="C676" s="10">
        <f>61.0863 * CHOOSE(CONTROL!$C$9, $D$9, 100%, $F$9) + CHOOSE(CONTROL!$C$27, 0.0021, 0)</f>
        <v>61.0884</v>
      </c>
      <c r="D676" s="10">
        <f>61.0863 * CHOOSE(CONTROL!$C$9, $D$9, 100%, $F$9) + CHOOSE(CONTROL!$C$27, 0.0021, 0)</f>
        <v>61.0884</v>
      </c>
      <c r="E676" s="10">
        <f>60.9496 * CHOOSE(CONTROL!$C$9, $D$9, 100%, $F$9) + CHOOSE(CONTROL!$C$27, 0.0021, 0)</f>
        <v>60.951699999999995</v>
      </c>
      <c r="F676" s="10">
        <f>60.9496 * CHOOSE(CONTROL!$C$9, $D$9, 100%, $F$9) + CHOOSE(CONTROL!$C$27, 0.0021, 0)</f>
        <v>60.951699999999995</v>
      </c>
      <c r="G676" s="10">
        <f>61.221 * CHOOSE(CONTROL!$C$9, $D$9, 100%, $F$9) + CHOOSE(CONTROL!$C$27, 0.0021, 0)</f>
        <v>61.223099999999995</v>
      </c>
      <c r="H676" s="10">
        <f>61.0863 * CHOOSE(CONTROL!$C$9, $D$9, 100%, $F$9) + CHOOSE(CONTROL!$C$27, 0.0021, 0)</f>
        <v>61.0884</v>
      </c>
      <c r="I676" s="10">
        <f>61.0863 * CHOOSE(CONTROL!$C$9, $D$9, 100%, $F$9) + CHOOSE(CONTROL!$C$27, 0.0021, 0)</f>
        <v>61.0884</v>
      </c>
      <c r="J676" s="10">
        <f>61.0863 * CHOOSE(CONTROL!$C$9, $D$9, 100%, $F$9) + CHOOSE(CONTROL!$C$27, 0.0021, 0)</f>
        <v>61.0884</v>
      </c>
      <c r="K676" s="10">
        <f>61.0863 * CHOOSE(CONTROL!$C$9, $D$9, 100%, $F$9) + CHOOSE(CONTROL!$C$27, 0.0021, 0)</f>
        <v>61.0884</v>
      </c>
      <c r="L676" s="10"/>
    </row>
    <row r="677" spans="1:12" ht="15.75">
      <c r="A677" s="13">
        <v>61909</v>
      </c>
      <c r="B677" s="10">
        <f>62.2482 * CHOOSE(CONTROL!$C$9, $D$9, 100%, $F$9) + CHOOSE(CONTROL!$C$27, 0.0021, 0)</f>
        <v>62.250299999999996</v>
      </c>
      <c r="C677" s="10">
        <f>61.8159 * CHOOSE(CONTROL!$C$9, $D$9, 100%, $F$9) + CHOOSE(CONTROL!$C$27, 0.0021, 0)</f>
        <v>61.817999999999998</v>
      </c>
      <c r="D677" s="10">
        <f>61.8159 * CHOOSE(CONTROL!$C$9, $D$9, 100%, $F$9) + CHOOSE(CONTROL!$C$27, 0.0021, 0)</f>
        <v>61.817999999999998</v>
      </c>
      <c r="E677" s="10">
        <f>61.6793 * CHOOSE(CONTROL!$C$9, $D$9, 100%, $F$9) + CHOOSE(CONTROL!$C$27, 0.0021, 0)</f>
        <v>61.681399999999996</v>
      </c>
      <c r="F677" s="10">
        <f>61.6793 * CHOOSE(CONTROL!$C$9, $D$9, 100%, $F$9) + CHOOSE(CONTROL!$C$27, 0.0021, 0)</f>
        <v>61.681399999999996</v>
      </c>
      <c r="G677" s="10">
        <f>61.9506 * CHOOSE(CONTROL!$C$9, $D$9, 100%, $F$9) + CHOOSE(CONTROL!$C$27, 0.0021, 0)</f>
        <v>61.9527</v>
      </c>
      <c r="H677" s="10">
        <f>61.8159 * CHOOSE(CONTROL!$C$9, $D$9, 100%, $F$9) + CHOOSE(CONTROL!$C$27, 0.0021, 0)</f>
        <v>61.817999999999998</v>
      </c>
      <c r="I677" s="10">
        <f>61.8159 * CHOOSE(CONTROL!$C$9, $D$9, 100%, $F$9) + CHOOSE(CONTROL!$C$27, 0.0021, 0)</f>
        <v>61.817999999999998</v>
      </c>
      <c r="J677" s="10">
        <f>61.8159 * CHOOSE(CONTROL!$C$9, $D$9, 100%, $F$9) + CHOOSE(CONTROL!$C$27, 0.0021, 0)</f>
        <v>61.817999999999998</v>
      </c>
      <c r="K677" s="10">
        <f>61.8159 * CHOOSE(CONTROL!$C$9, $D$9, 100%, $F$9) + CHOOSE(CONTROL!$C$27, 0.0021, 0)</f>
        <v>61.817999999999998</v>
      </c>
      <c r="L677" s="10"/>
    </row>
    <row r="678" spans="1:12" ht="15.75">
      <c r="A678" s="13">
        <v>61940</v>
      </c>
      <c r="B678" s="10">
        <f>63.4518 * CHOOSE(CONTROL!$C$9, $D$9, 100%, $F$9) + CHOOSE(CONTROL!$C$27, 0.0021, 0)</f>
        <v>63.453899999999997</v>
      </c>
      <c r="C678" s="10">
        <f>63.0196 * CHOOSE(CONTROL!$C$9, $D$9, 100%, $F$9) + CHOOSE(CONTROL!$C$27, 0.0021, 0)</f>
        <v>63.021699999999996</v>
      </c>
      <c r="D678" s="10">
        <f>63.0196 * CHOOSE(CONTROL!$C$9, $D$9, 100%, $F$9) + CHOOSE(CONTROL!$C$27, 0.0021, 0)</f>
        <v>63.021699999999996</v>
      </c>
      <c r="E678" s="10">
        <f>62.8829 * CHOOSE(CONTROL!$C$9, $D$9, 100%, $F$9) + CHOOSE(CONTROL!$C$27, 0.0021, 0)</f>
        <v>62.884999999999998</v>
      </c>
      <c r="F678" s="10">
        <f>62.8829 * CHOOSE(CONTROL!$C$9, $D$9, 100%, $F$9) + CHOOSE(CONTROL!$C$27, 0.0021, 0)</f>
        <v>62.884999999999998</v>
      </c>
      <c r="G678" s="10">
        <f>63.1543 * CHOOSE(CONTROL!$C$9, $D$9, 100%, $F$9) + CHOOSE(CONTROL!$C$27, 0.0021, 0)</f>
        <v>63.156399999999998</v>
      </c>
      <c r="H678" s="10">
        <f>63.0196 * CHOOSE(CONTROL!$C$9, $D$9, 100%, $F$9) + CHOOSE(CONTROL!$C$27, 0.0021, 0)</f>
        <v>63.021699999999996</v>
      </c>
      <c r="I678" s="10">
        <f>63.0196 * CHOOSE(CONTROL!$C$9, $D$9, 100%, $F$9) + CHOOSE(CONTROL!$C$27, 0.0021, 0)</f>
        <v>63.021699999999996</v>
      </c>
      <c r="J678" s="10">
        <f>63.0196 * CHOOSE(CONTROL!$C$9, $D$9, 100%, $F$9) + CHOOSE(CONTROL!$C$27, 0.0021, 0)</f>
        <v>63.021699999999996</v>
      </c>
      <c r="K678" s="10">
        <f>63.0196 * CHOOSE(CONTROL!$C$9, $D$9, 100%, $F$9) + CHOOSE(CONTROL!$C$27, 0.0021, 0)</f>
        <v>63.021699999999996</v>
      </c>
      <c r="L678" s="10"/>
    </row>
    <row r="679" spans="1:12" ht="15.75">
      <c r="A679" s="13">
        <v>61971</v>
      </c>
      <c r="B679" s="10">
        <f>63.8192 * CHOOSE(CONTROL!$C$9, $D$9, 100%, $F$9) + CHOOSE(CONTROL!$C$27, 0.0021, 0)</f>
        <v>63.821300000000001</v>
      </c>
      <c r="C679" s="10">
        <f>63.387 * CHOOSE(CONTROL!$C$9, $D$9, 100%, $F$9) + CHOOSE(CONTROL!$C$27, 0.0021, 0)</f>
        <v>63.389099999999999</v>
      </c>
      <c r="D679" s="10">
        <f>63.387 * CHOOSE(CONTROL!$C$9, $D$9, 100%, $F$9) + CHOOSE(CONTROL!$C$27, 0.0021, 0)</f>
        <v>63.389099999999999</v>
      </c>
      <c r="E679" s="10">
        <f>63.2503 * CHOOSE(CONTROL!$C$9, $D$9, 100%, $F$9) + CHOOSE(CONTROL!$C$27, 0.0021, 0)</f>
        <v>63.252400000000002</v>
      </c>
      <c r="F679" s="10">
        <f>63.2503 * CHOOSE(CONTROL!$C$9, $D$9, 100%, $F$9) + CHOOSE(CONTROL!$C$27, 0.0021, 0)</f>
        <v>63.252400000000002</v>
      </c>
      <c r="G679" s="10">
        <f>63.5217 * CHOOSE(CONTROL!$C$9, $D$9, 100%, $F$9) + CHOOSE(CONTROL!$C$27, 0.0021, 0)</f>
        <v>63.523800000000001</v>
      </c>
      <c r="H679" s="10">
        <f>63.387 * CHOOSE(CONTROL!$C$9, $D$9, 100%, $F$9) + CHOOSE(CONTROL!$C$27, 0.0021, 0)</f>
        <v>63.389099999999999</v>
      </c>
      <c r="I679" s="10">
        <f>63.387 * CHOOSE(CONTROL!$C$9, $D$9, 100%, $F$9) + CHOOSE(CONTROL!$C$27, 0.0021, 0)</f>
        <v>63.389099999999999</v>
      </c>
      <c r="J679" s="10">
        <f>63.387 * CHOOSE(CONTROL!$C$9, $D$9, 100%, $F$9) + CHOOSE(CONTROL!$C$27, 0.0021, 0)</f>
        <v>63.389099999999999</v>
      </c>
      <c r="K679" s="10">
        <f>63.387 * CHOOSE(CONTROL!$C$9, $D$9, 100%, $F$9) + CHOOSE(CONTROL!$C$27, 0.0021, 0)</f>
        <v>63.389099999999999</v>
      </c>
      <c r="L679" s="10"/>
    </row>
    <row r="680" spans="1:12" ht="15.75">
      <c r="A680" s="13">
        <v>62001</v>
      </c>
      <c r="B680" s="10">
        <f>65.0704 * CHOOSE(CONTROL!$C$9, $D$9, 100%, $F$9) + CHOOSE(CONTROL!$C$27, 0.0021, 0)</f>
        <v>65.072500000000005</v>
      </c>
      <c r="C680" s="10">
        <f>64.6381 * CHOOSE(CONTROL!$C$9, $D$9, 100%, $F$9) + CHOOSE(CONTROL!$C$27, 0.0021, 0)</f>
        <v>64.640199999999993</v>
      </c>
      <c r="D680" s="10">
        <f>64.6381 * CHOOSE(CONTROL!$C$9, $D$9, 100%, $F$9) + CHOOSE(CONTROL!$C$27, 0.0021, 0)</f>
        <v>64.640199999999993</v>
      </c>
      <c r="E680" s="10">
        <f>64.5015 * CHOOSE(CONTROL!$C$9, $D$9, 100%, $F$9) + CHOOSE(CONTROL!$C$27, 0.0021, 0)</f>
        <v>64.503599999999992</v>
      </c>
      <c r="F680" s="10">
        <f>64.5015 * CHOOSE(CONTROL!$C$9, $D$9, 100%, $F$9) + CHOOSE(CONTROL!$C$27, 0.0021, 0)</f>
        <v>64.503599999999992</v>
      </c>
      <c r="G680" s="10">
        <f>64.7728 * CHOOSE(CONTROL!$C$9, $D$9, 100%, $F$9) + CHOOSE(CONTROL!$C$27, 0.0021, 0)</f>
        <v>64.774900000000002</v>
      </c>
      <c r="H680" s="10">
        <f>64.6381 * CHOOSE(CONTROL!$C$9, $D$9, 100%, $F$9) + CHOOSE(CONTROL!$C$27, 0.0021, 0)</f>
        <v>64.640199999999993</v>
      </c>
      <c r="I680" s="10">
        <f>64.6381 * CHOOSE(CONTROL!$C$9, $D$9, 100%, $F$9) + CHOOSE(CONTROL!$C$27, 0.0021, 0)</f>
        <v>64.640199999999993</v>
      </c>
      <c r="J680" s="10">
        <f>64.6381 * CHOOSE(CONTROL!$C$9, $D$9, 100%, $F$9) + CHOOSE(CONTROL!$C$27, 0.0021, 0)</f>
        <v>64.640199999999993</v>
      </c>
      <c r="K680" s="10">
        <f>64.6381 * CHOOSE(CONTROL!$C$9, $D$9, 100%, $F$9) + CHOOSE(CONTROL!$C$27, 0.0021, 0)</f>
        <v>64.640199999999993</v>
      </c>
      <c r="L680" s="10"/>
    </row>
    <row r="681" spans="1:12" ht="15.75">
      <c r="A681" s="13">
        <v>62032</v>
      </c>
      <c r="B681" s="10">
        <f>66.6541 * CHOOSE(CONTROL!$C$9, $D$9, 100%, $F$9) + CHOOSE(CONTROL!$C$27, 0.0021, 0)</f>
        <v>66.656199999999998</v>
      </c>
      <c r="C681" s="10">
        <f>66.2218 * CHOOSE(CONTROL!$C$9, $D$9, 100%, $F$9) + CHOOSE(CONTROL!$C$27, 0.0021, 0)</f>
        <v>66.2239</v>
      </c>
      <c r="D681" s="10">
        <f>66.2218 * CHOOSE(CONTROL!$C$9, $D$9, 100%, $F$9) + CHOOSE(CONTROL!$C$27, 0.0021, 0)</f>
        <v>66.2239</v>
      </c>
      <c r="E681" s="10">
        <f>66.0852 * CHOOSE(CONTROL!$C$9, $D$9, 100%, $F$9) + CHOOSE(CONTROL!$C$27, 0.0021, 0)</f>
        <v>66.087299999999999</v>
      </c>
      <c r="F681" s="10">
        <f>66.0852 * CHOOSE(CONTROL!$C$9, $D$9, 100%, $F$9) + CHOOSE(CONTROL!$C$27, 0.0021, 0)</f>
        <v>66.087299999999999</v>
      </c>
      <c r="G681" s="10">
        <f>66.3566 * CHOOSE(CONTROL!$C$9, $D$9, 100%, $F$9) + CHOOSE(CONTROL!$C$27, 0.0021, 0)</f>
        <v>66.358699999999999</v>
      </c>
      <c r="H681" s="10">
        <f>66.2218 * CHOOSE(CONTROL!$C$9, $D$9, 100%, $F$9) + CHOOSE(CONTROL!$C$27, 0.0021, 0)</f>
        <v>66.2239</v>
      </c>
      <c r="I681" s="10">
        <f>66.2218 * CHOOSE(CONTROL!$C$9, $D$9, 100%, $F$9) + CHOOSE(CONTROL!$C$27, 0.0021, 0)</f>
        <v>66.2239</v>
      </c>
      <c r="J681" s="10">
        <f>66.2218 * CHOOSE(CONTROL!$C$9, $D$9, 100%, $F$9) + CHOOSE(CONTROL!$C$27, 0.0021, 0)</f>
        <v>66.2239</v>
      </c>
      <c r="K681" s="10">
        <f>66.2218 * CHOOSE(CONTROL!$C$9, $D$9, 100%, $F$9) + CHOOSE(CONTROL!$C$27, 0.0021, 0)</f>
        <v>66.2239</v>
      </c>
      <c r="L681" s="10"/>
    </row>
    <row r="682" spans="1:12" ht="15.75">
      <c r="A682" s="13">
        <v>62062</v>
      </c>
      <c r="B682" s="10">
        <f>66.8028 * CHOOSE(CONTROL!$C$9, $D$9, 100%, $F$9) + CHOOSE(CONTROL!$C$27, 0.0021, 0)</f>
        <v>66.804900000000004</v>
      </c>
      <c r="C682" s="10">
        <f>66.3705 * CHOOSE(CONTROL!$C$9, $D$9, 100%, $F$9) + CHOOSE(CONTROL!$C$27, 0.0021, 0)</f>
        <v>66.372600000000006</v>
      </c>
      <c r="D682" s="10">
        <f>66.3705 * CHOOSE(CONTROL!$C$9, $D$9, 100%, $F$9) + CHOOSE(CONTROL!$C$27, 0.0021, 0)</f>
        <v>66.372600000000006</v>
      </c>
      <c r="E682" s="10">
        <f>66.2339 * CHOOSE(CONTROL!$C$9, $D$9, 100%, $F$9) + CHOOSE(CONTROL!$C$27, 0.0021, 0)</f>
        <v>66.236000000000004</v>
      </c>
      <c r="F682" s="10">
        <f>66.2339 * CHOOSE(CONTROL!$C$9, $D$9, 100%, $F$9) + CHOOSE(CONTROL!$C$27, 0.0021, 0)</f>
        <v>66.236000000000004</v>
      </c>
      <c r="G682" s="10">
        <f>66.5052 * CHOOSE(CONTROL!$C$9, $D$9, 100%, $F$9) + CHOOSE(CONTROL!$C$27, 0.0021, 0)</f>
        <v>66.507300000000001</v>
      </c>
      <c r="H682" s="10">
        <f>66.3705 * CHOOSE(CONTROL!$C$9, $D$9, 100%, $F$9) + CHOOSE(CONTROL!$C$27, 0.0021, 0)</f>
        <v>66.372600000000006</v>
      </c>
      <c r="I682" s="10">
        <f>66.3705 * CHOOSE(CONTROL!$C$9, $D$9, 100%, $F$9) + CHOOSE(CONTROL!$C$27, 0.0021, 0)</f>
        <v>66.372600000000006</v>
      </c>
      <c r="J682" s="10">
        <f>66.3705 * CHOOSE(CONTROL!$C$9, $D$9, 100%, $F$9) + CHOOSE(CONTROL!$C$27, 0.0021, 0)</f>
        <v>66.372600000000006</v>
      </c>
      <c r="K682" s="10">
        <f>66.3705 * CHOOSE(CONTROL!$C$9, $D$9, 100%, $F$9) + CHOOSE(CONTROL!$C$27, 0.0021, 0)</f>
        <v>66.372600000000006</v>
      </c>
      <c r="L682" s="10"/>
    </row>
    <row r="683" spans="1:12" ht="15.75">
      <c r="A683" s="13">
        <v>62093</v>
      </c>
      <c r="B683" s="10">
        <f>65.5379 * CHOOSE(CONTROL!$C$9, $D$9, 100%, $F$9) + CHOOSE(CONTROL!$C$27, 0.0021, 0)</f>
        <v>65.539999999999992</v>
      </c>
      <c r="C683" s="10">
        <f>65.1056 * CHOOSE(CONTROL!$C$9, $D$9, 100%, $F$9) + CHOOSE(CONTROL!$C$27, 0.0021, 0)</f>
        <v>65.107699999999994</v>
      </c>
      <c r="D683" s="10">
        <f>65.1056 * CHOOSE(CONTROL!$C$9, $D$9, 100%, $F$9) + CHOOSE(CONTROL!$C$27, 0.0021, 0)</f>
        <v>65.107699999999994</v>
      </c>
      <c r="E683" s="10">
        <f>64.969 * CHOOSE(CONTROL!$C$9, $D$9, 100%, $F$9) + CHOOSE(CONTROL!$C$27, 0.0021, 0)</f>
        <v>64.971099999999993</v>
      </c>
      <c r="F683" s="10">
        <f>64.969 * CHOOSE(CONTROL!$C$9, $D$9, 100%, $F$9) + CHOOSE(CONTROL!$C$27, 0.0021, 0)</f>
        <v>64.971099999999993</v>
      </c>
      <c r="G683" s="10">
        <f>65.2403 * CHOOSE(CONTROL!$C$9, $D$9, 100%, $F$9) + CHOOSE(CONTROL!$C$27, 0.0021, 0)</f>
        <v>65.242400000000004</v>
      </c>
      <c r="H683" s="10">
        <f>65.1056 * CHOOSE(CONTROL!$C$9, $D$9, 100%, $F$9) + CHOOSE(CONTROL!$C$27, 0.0021, 0)</f>
        <v>65.107699999999994</v>
      </c>
      <c r="I683" s="10">
        <f>65.1056 * CHOOSE(CONTROL!$C$9, $D$9, 100%, $F$9) + CHOOSE(CONTROL!$C$27, 0.0021, 0)</f>
        <v>65.107699999999994</v>
      </c>
      <c r="J683" s="10">
        <f>65.1056 * CHOOSE(CONTROL!$C$9, $D$9, 100%, $F$9) + CHOOSE(CONTROL!$C$27, 0.0021, 0)</f>
        <v>65.107699999999994</v>
      </c>
      <c r="K683" s="10">
        <f>65.1056 * CHOOSE(CONTROL!$C$9, $D$9, 100%, $F$9) + CHOOSE(CONTROL!$C$27, 0.0021, 0)</f>
        <v>65.107699999999994</v>
      </c>
      <c r="L683" s="10"/>
    </row>
    <row r="684" spans="1:12" ht="15.75">
      <c r="A684" s="13">
        <v>62124</v>
      </c>
      <c r="B684" s="10">
        <f>64.5694 * CHOOSE(CONTROL!$C$9, $D$9, 100%, $F$9) + CHOOSE(CONTROL!$C$27, 0.0021, 0)</f>
        <v>64.5715</v>
      </c>
      <c r="C684" s="10">
        <f>64.1372 * CHOOSE(CONTROL!$C$9, $D$9, 100%, $F$9) + CHOOSE(CONTROL!$C$27, 0.0021, 0)</f>
        <v>64.139300000000006</v>
      </c>
      <c r="D684" s="10">
        <f>64.1372 * CHOOSE(CONTROL!$C$9, $D$9, 100%, $F$9) + CHOOSE(CONTROL!$C$27, 0.0021, 0)</f>
        <v>64.139300000000006</v>
      </c>
      <c r="E684" s="10">
        <f>64.0005 * CHOOSE(CONTROL!$C$9, $D$9, 100%, $F$9) + CHOOSE(CONTROL!$C$27, 0.0021, 0)</f>
        <v>64.002600000000001</v>
      </c>
      <c r="F684" s="10">
        <f>64.0005 * CHOOSE(CONTROL!$C$9, $D$9, 100%, $F$9) + CHOOSE(CONTROL!$C$27, 0.0021, 0)</f>
        <v>64.002600000000001</v>
      </c>
      <c r="G684" s="10">
        <f>64.2719 * CHOOSE(CONTROL!$C$9, $D$9, 100%, $F$9) + CHOOSE(CONTROL!$C$27, 0.0021, 0)</f>
        <v>64.274000000000001</v>
      </c>
      <c r="H684" s="10">
        <f>64.1372 * CHOOSE(CONTROL!$C$9, $D$9, 100%, $F$9) + CHOOSE(CONTROL!$C$27, 0.0021, 0)</f>
        <v>64.139300000000006</v>
      </c>
      <c r="I684" s="10">
        <f>64.1372 * CHOOSE(CONTROL!$C$9, $D$9, 100%, $F$9) + CHOOSE(CONTROL!$C$27, 0.0021, 0)</f>
        <v>64.139300000000006</v>
      </c>
      <c r="J684" s="10">
        <f>64.1372 * CHOOSE(CONTROL!$C$9, $D$9, 100%, $F$9) + CHOOSE(CONTROL!$C$27, 0.0021, 0)</f>
        <v>64.139300000000006</v>
      </c>
      <c r="K684" s="10">
        <f>64.1372 * CHOOSE(CONTROL!$C$9, $D$9, 100%, $F$9) + CHOOSE(CONTROL!$C$27, 0.0021, 0)</f>
        <v>64.139300000000006</v>
      </c>
      <c r="L684" s="10"/>
    </row>
    <row r="685" spans="1:12" ht="15.75">
      <c r="A685" s="13">
        <v>62152</v>
      </c>
      <c r="B685" s="10">
        <f>62.8079 * CHOOSE(CONTROL!$C$9, $D$9, 100%, $F$9) + CHOOSE(CONTROL!$C$27, 0.0021, 0)</f>
        <v>62.809999999999995</v>
      </c>
      <c r="C685" s="10">
        <f>62.3756 * CHOOSE(CONTROL!$C$9, $D$9, 100%, $F$9) + CHOOSE(CONTROL!$C$27, 0.0021, 0)</f>
        <v>62.377699999999997</v>
      </c>
      <c r="D685" s="10">
        <f>62.3756 * CHOOSE(CONTROL!$C$9, $D$9, 100%, $F$9) + CHOOSE(CONTROL!$C$27, 0.0021, 0)</f>
        <v>62.377699999999997</v>
      </c>
      <c r="E685" s="10">
        <f>62.239 * CHOOSE(CONTROL!$C$9, $D$9, 100%, $F$9) + CHOOSE(CONTROL!$C$27, 0.0021, 0)</f>
        <v>62.241099999999996</v>
      </c>
      <c r="F685" s="10">
        <f>62.239 * CHOOSE(CONTROL!$C$9, $D$9, 100%, $F$9) + CHOOSE(CONTROL!$C$27, 0.0021, 0)</f>
        <v>62.241099999999996</v>
      </c>
      <c r="G685" s="10">
        <f>62.5104 * CHOOSE(CONTROL!$C$9, $D$9, 100%, $F$9) + CHOOSE(CONTROL!$C$27, 0.0021, 0)</f>
        <v>62.512499999999996</v>
      </c>
      <c r="H685" s="10">
        <f>62.3756 * CHOOSE(CONTROL!$C$9, $D$9, 100%, $F$9) + CHOOSE(CONTROL!$C$27, 0.0021, 0)</f>
        <v>62.377699999999997</v>
      </c>
      <c r="I685" s="10">
        <f>62.3756 * CHOOSE(CONTROL!$C$9, $D$9, 100%, $F$9) + CHOOSE(CONTROL!$C$27, 0.0021, 0)</f>
        <v>62.377699999999997</v>
      </c>
      <c r="J685" s="10">
        <f>62.3756 * CHOOSE(CONTROL!$C$9, $D$9, 100%, $F$9) + CHOOSE(CONTROL!$C$27, 0.0021, 0)</f>
        <v>62.377699999999997</v>
      </c>
      <c r="K685" s="10">
        <f>62.3756 * CHOOSE(CONTROL!$C$9, $D$9, 100%, $F$9) + CHOOSE(CONTROL!$C$27, 0.0021, 0)</f>
        <v>62.377699999999997</v>
      </c>
      <c r="L685" s="10"/>
    </row>
    <row r="686" spans="1:12" ht="15.75">
      <c r="A686" s="13">
        <v>62183</v>
      </c>
      <c r="B686" s="10">
        <f>62.0807 * CHOOSE(CONTROL!$C$9, $D$9, 100%, $F$9) + CHOOSE(CONTROL!$C$27, 0.0021, 0)</f>
        <v>62.082799999999999</v>
      </c>
      <c r="C686" s="10">
        <f>61.6485 * CHOOSE(CONTROL!$C$9, $D$9, 100%, $F$9) + CHOOSE(CONTROL!$C$27, 0.0021, 0)</f>
        <v>61.650599999999997</v>
      </c>
      <c r="D686" s="10">
        <f>61.6485 * CHOOSE(CONTROL!$C$9, $D$9, 100%, $F$9) + CHOOSE(CONTROL!$C$27, 0.0021, 0)</f>
        <v>61.650599999999997</v>
      </c>
      <c r="E686" s="10">
        <f>61.5118 * CHOOSE(CONTROL!$C$9, $D$9, 100%, $F$9) + CHOOSE(CONTROL!$C$27, 0.0021, 0)</f>
        <v>61.5139</v>
      </c>
      <c r="F686" s="10">
        <f>61.5118 * CHOOSE(CONTROL!$C$9, $D$9, 100%, $F$9) + CHOOSE(CONTROL!$C$27, 0.0021, 0)</f>
        <v>61.5139</v>
      </c>
      <c r="G686" s="10">
        <f>61.7832 * CHOOSE(CONTROL!$C$9, $D$9, 100%, $F$9) + CHOOSE(CONTROL!$C$27, 0.0021, 0)</f>
        <v>61.785299999999999</v>
      </c>
      <c r="H686" s="10">
        <f>61.6485 * CHOOSE(CONTROL!$C$9, $D$9, 100%, $F$9) + CHOOSE(CONTROL!$C$27, 0.0021, 0)</f>
        <v>61.650599999999997</v>
      </c>
      <c r="I686" s="10">
        <f>61.6485 * CHOOSE(CONTROL!$C$9, $D$9, 100%, $F$9) + CHOOSE(CONTROL!$C$27, 0.0021, 0)</f>
        <v>61.650599999999997</v>
      </c>
      <c r="J686" s="10">
        <f>61.6485 * CHOOSE(CONTROL!$C$9, $D$9, 100%, $F$9) + CHOOSE(CONTROL!$C$27, 0.0021, 0)</f>
        <v>61.650599999999997</v>
      </c>
      <c r="K686" s="10">
        <f>61.6485 * CHOOSE(CONTROL!$C$9, $D$9, 100%, $F$9) + CHOOSE(CONTROL!$C$27, 0.0021, 0)</f>
        <v>61.650599999999997</v>
      </c>
      <c r="L686" s="10"/>
    </row>
    <row r="687" spans="1:12" ht="15.75">
      <c r="A687" s="13">
        <v>62213</v>
      </c>
      <c r="B687" s="10">
        <f>61.2125 * CHOOSE(CONTROL!$C$9, $D$9, 100%, $F$9) + CHOOSE(CONTROL!$C$27, 0.0021, 0)</f>
        <v>61.214599999999997</v>
      </c>
      <c r="C687" s="10">
        <f>60.7802 * CHOOSE(CONTROL!$C$9, $D$9, 100%, $F$9) + CHOOSE(CONTROL!$C$27, 0.0021, 0)</f>
        <v>60.782299999999999</v>
      </c>
      <c r="D687" s="10">
        <f>60.7802 * CHOOSE(CONTROL!$C$9, $D$9, 100%, $F$9) + CHOOSE(CONTROL!$C$27, 0.0021, 0)</f>
        <v>60.782299999999999</v>
      </c>
      <c r="E687" s="10">
        <f>60.6436 * CHOOSE(CONTROL!$C$9, $D$9, 100%, $F$9) + CHOOSE(CONTROL!$C$27, 0.0021, 0)</f>
        <v>60.645699999999998</v>
      </c>
      <c r="F687" s="10">
        <f>60.6436 * CHOOSE(CONTROL!$C$9, $D$9, 100%, $F$9) + CHOOSE(CONTROL!$C$27, 0.0021, 0)</f>
        <v>60.645699999999998</v>
      </c>
      <c r="G687" s="10">
        <f>60.915 * CHOOSE(CONTROL!$C$9, $D$9, 100%, $F$9) + CHOOSE(CONTROL!$C$27, 0.0021, 0)</f>
        <v>60.917099999999998</v>
      </c>
      <c r="H687" s="10">
        <f>60.7802 * CHOOSE(CONTROL!$C$9, $D$9, 100%, $F$9) + CHOOSE(CONTROL!$C$27, 0.0021, 0)</f>
        <v>60.782299999999999</v>
      </c>
      <c r="I687" s="10">
        <f>60.7802 * CHOOSE(CONTROL!$C$9, $D$9, 100%, $F$9) + CHOOSE(CONTROL!$C$27, 0.0021, 0)</f>
        <v>60.782299999999999</v>
      </c>
      <c r="J687" s="10">
        <f>60.7802 * CHOOSE(CONTROL!$C$9, $D$9, 100%, $F$9) + CHOOSE(CONTROL!$C$27, 0.0021, 0)</f>
        <v>60.782299999999999</v>
      </c>
      <c r="K687" s="10">
        <f>60.7802 * CHOOSE(CONTROL!$C$9, $D$9, 100%, $F$9) + CHOOSE(CONTROL!$C$27, 0.0021, 0)</f>
        <v>60.782299999999999</v>
      </c>
      <c r="L687" s="10"/>
    </row>
    <row r="688" spans="1:12" ht="15.75">
      <c r="A688" s="13">
        <v>62244</v>
      </c>
      <c r="B688" s="10">
        <f>62.4498 * CHOOSE(CONTROL!$C$9, $D$9, 100%, $F$9) + CHOOSE(CONTROL!$C$27, 0.0021, 0)</f>
        <v>62.451900000000002</v>
      </c>
      <c r="C688" s="10">
        <f>62.0176 * CHOOSE(CONTROL!$C$9, $D$9, 100%, $F$9) + CHOOSE(CONTROL!$C$27, 0.0021, 0)</f>
        <v>62.0197</v>
      </c>
      <c r="D688" s="10">
        <f>62.0176 * CHOOSE(CONTROL!$C$9, $D$9, 100%, $F$9) + CHOOSE(CONTROL!$C$27, 0.0021, 0)</f>
        <v>62.0197</v>
      </c>
      <c r="E688" s="10">
        <f>61.8809 * CHOOSE(CONTROL!$C$9, $D$9, 100%, $F$9) + CHOOSE(CONTROL!$C$27, 0.0021, 0)</f>
        <v>61.882999999999996</v>
      </c>
      <c r="F688" s="10">
        <f>61.8809 * CHOOSE(CONTROL!$C$9, $D$9, 100%, $F$9) + CHOOSE(CONTROL!$C$27, 0.0021, 0)</f>
        <v>61.882999999999996</v>
      </c>
      <c r="G688" s="10">
        <f>62.1523 * CHOOSE(CONTROL!$C$9, $D$9, 100%, $F$9) + CHOOSE(CONTROL!$C$27, 0.0021, 0)</f>
        <v>62.154399999999995</v>
      </c>
      <c r="H688" s="10">
        <f>62.0176 * CHOOSE(CONTROL!$C$9, $D$9, 100%, $F$9) + CHOOSE(CONTROL!$C$27, 0.0021, 0)</f>
        <v>62.0197</v>
      </c>
      <c r="I688" s="10">
        <f>62.0176 * CHOOSE(CONTROL!$C$9, $D$9, 100%, $F$9) + CHOOSE(CONTROL!$C$27, 0.0021, 0)</f>
        <v>62.0197</v>
      </c>
      <c r="J688" s="10">
        <f>62.0176 * CHOOSE(CONTROL!$C$9, $D$9, 100%, $F$9) + CHOOSE(CONTROL!$C$27, 0.0021, 0)</f>
        <v>62.0197</v>
      </c>
      <c r="K688" s="10">
        <f>62.0176 * CHOOSE(CONTROL!$C$9, $D$9, 100%, $F$9) + CHOOSE(CONTROL!$C$27, 0.0021, 0)</f>
        <v>62.0197</v>
      </c>
      <c r="L688" s="10"/>
    </row>
    <row r="689" spans="1:12" ht="15.75">
      <c r="A689" s="13">
        <v>62274</v>
      </c>
      <c r="B689" s="10">
        <f>63.191 * CHOOSE(CONTROL!$C$9, $D$9, 100%, $F$9) + CHOOSE(CONTROL!$C$27, 0.0021, 0)</f>
        <v>63.193100000000001</v>
      </c>
      <c r="C689" s="10">
        <f>62.7587 * CHOOSE(CONTROL!$C$9, $D$9, 100%, $F$9) + CHOOSE(CONTROL!$C$27, 0.0021, 0)</f>
        <v>62.760799999999996</v>
      </c>
      <c r="D689" s="10">
        <f>62.7587 * CHOOSE(CONTROL!$C$9, $D$9, 100%, $F$9) + CHOOSE(CONTROL!$C$27, 0.0021, 0)</f>
        <v>62.760799999999996</v>
      </c>
      <c r="E689" s="10">
        <f>62.6221 * CHOOSE(CONTROL!$C$9, $D$9, 100%, $F$9) + CHOOSE(CONTROL!$C$27, 0.0021, 0)</f>
        <v>62.624200000000002</v>
      </c>
      <c r="F689" s="10">
        <f>62.6221 * CHOOSE(CONTROL!$C$9, $D$9, 100%, $F$9) + CHOOSE(CONTROL!$C$27, 0.0021, 0)</f>
        <v>62.624200000000002</v>
      </c>
      <c r="G689" s="10">
        <f>62.8934 * CHOOSE(CONTROL!$C$9, $D$9, 100%, $F$9) + CHOOSE(CONTROL!$C$27, 0.0021, 0)</f>
        <v>62.895499999999998</v>
      </c>
      <c r="H689" s="10">
        <f>62.7587 * CHOOSE(CONTROL!$C$9, $D$9, 100%, $F$9) + CHOOSE(CONTROL!$C$27, 0.0021, 0)</f>
        <v>62.760799999999996</v>
      </c>
      <c r="I689" s="10">
        <f>62.7587 * CHOOSE(CONTROL!$C$9, $D$9, 100%, $F$9) + CHOOSE(CONTROL!$C$27, 0.0021, 0)</f>
        <v>62.760799999999996</v>
      </c>
      <c r="J689" s="10">
        <f>62.7587 * CHOOSE(CONTROL!$C$9, $D$9, 100%, $F$9) + CHOOSE(CONTROL!$C$27, 0.0021, 0)</f>
        <v>62.760799999999996</v>
      </c>
      <c r="K689" s="10">
        <f>62.7587 * CHOOSE(CONTROL!$C$9, $D$9, 100%, $F$9) + CHOOSE(CONTROL!$C$27, 0.0021, 0)</f>
        <v>62.760799999999996</v>
      </c>
      <c r="L689" s="10"/>
    </row>
    <row r="690" spans="1:12" ht="15.75">
      <c r="A690" s="13">
        <v>62305</v>
      </c>
      <c r="B690" s="10">
        <f>64.4135 * CHOOSE(CONTROL!$C$9, $D$9, 100%, $F$9) + CHOOSE(CONTROL!$C$27, 0.0021, 0)</f>
        <v>64.415599999999998</v>
      </c>
      <c r="C690" s="10">
        <f>63.9813 * CHOOSE(CONTROL!$C$9, $D$9, 100%, $F$9) + CHOOSE(CONTROL!$C$27, 0.0021, 0)</f>
        <v>63.983399999999996</v>
      </c>
      <c r="D690" s="10">
        <f>63.9813 * CHOOSE(CONTROL!$C$9, $D$9, 100%, $F$9) + CHOOSE(CONTROL!$C$27, 0.0021, 0)</f>
        <v>63.983399999999996</v>
      </c>
      <c r="E690" s="10">
        <f>63.8446 * CHOOSE(CONTROL!$C$9, $D$9, 100%, $F$9) + CHOOSE(CONTROL!$C$27, 0.0021, 0)</f>
        <v>63.846699999999998</v>
      </c>
      <c r="F690" s="10">
        <f>63.8446 * CHOOSE(CONTROL!$C$9, $D$9, 100%, $F$9) + CHOOSE(CONTROL!$C$27, 0.0021, 0)</f>
        <v>63.846699999999998</v>
      </c>
      <c r="G690" s="10">
        <f>64.116 * CHOOSE(CONTROL!$C$9, $D$9, 100%, $F$9) + CHOOSE(CONTROL!$C$27, 0.0021, 0)</f>
        <v>64.118099999999998</v>
      </c>
      <c r="H690" s="10">
        <f>63.9813 * CHOOSE(CONTROL!$C$9, $D$9, 100%, $F$9) + CHOOSE(CONTROL!$C$27, 0.0021, 0)</f>
        <v>63.983399999999996</v>
      </c>
      <c r="I690" s="10">
        <f>63.9813 * CHOOSE(CONTROL!$C$9, $D$9, 100%, $F$9) + CHOOSE(CONTROL!$C$27, 0.0021, 0)</f>
        <v>63.983399999999996</v>
      </c>
      <c r="J690" s="10">
        <f>63.9813 * CHOOSE(CONTROL!$C$9, $D$9, 100%, $F$9) + CHOOSE(CONTROL!$C$27, 0.0021, 0)</f>
        <v>63.983399999999996</v>
      </c>
      <c r="K690" s="10">
        <f>63.9813 * CHOOSE(CONTROL!$C$9, $D$9, 100%, $F$9) + CHOOSE(CONTROL!$C$27, 0.0021, 0)</f>
        <v>63.983399999999996</v>
      </c>
      <c r="L690" s="10"/>
    </row>
    <row r="691" spans="1:12" ht="15.75">
      <c r="A691" s="13">
        <v>62336</v>
      </c>
      <c r="B691" s="10">
        <f>64.7867 * CHOOSE(CONTROL!$C$9, $D$9, 100%, $F$9) + CHOOSE(CONTROL!$C$27, 0.0021, 0)</f>
        <v>64.788799999999995</v>
      </c>
      <c r="C691" s="10">
        <f>64.3545 * CHOOSE(CONTROL!$C$9, $D$9, 100%, $F$9) + CHOOSE(CONTROL!$C$27, 0.0021, 0)</f>
        <v>64.3566</v>
      </c>
      <c r="D691" s="10">
        <f>64.3545 * CHOOSE(CONTROL!$C$9, $D$9, 100%, $F$9) + CHOOSE(CONTROL!$C$27, 0.0021, 0)</f>
        <v>64.3566</v>
      </c>
      <c r="E691" s="10">
        <f>64.2178 * CHOOSE(CONTROL!$C$9, $D$9, 100%, $F$9) + CHOOSE(CONTROL!$C$27, 0.0021, 0)</f>
        <v>64.219899999999996</v>
      </c>
      <c r="F691" s="10">
        <f>64.2178 * CHOOSE(CONTROL!$C$9, $D$9, 100%, $F$9) + CHOOSE(CONTROL!$C$27, 0.0021, 0)</f>
        <v>64.219899999999996</v>
      </c>
      <c r="G691" s="10">
        <f>64.4892 * CHOOSE(CONTROL!$C$9, $D$9, 100%, $F$9) + CHOOSE(CONTROL!$C$27, 0.0021, 0)</f>
        <v>64.491299999999995</v>
      </c>
      <c r="H691" s="10">
        <f>64.3545 * CHOOSE(CONTROL!$C$9, $D$9, 100%, $F$9) + CHOOSE(CONTROL!$C$27, 0.0021, 0)</f>
        <v>64.3566</v>
      </c>
      <c r="I691" s="10">
        <f>64.3545 * CHOOSE(CONTROL!$C$9, $D$9, 100%, $F$9) + CHOOSE(CONTROL!$C$27, 0.0021, 0)</f>
        <v>64.3566</v>
      </c>
      <c r="J691" s="10">
        <f>64.3545 * CHOOSE(CONTROL!$C$9, $D$9, 100%, $F$9) + CHOOSE(CONTROL!$C$27, 0.0021, 0)</f>
        <v>64.3566</v>
      </c>
      <c r="K691" s="10">
        <f>64.3545 * CHOOSE(CONTROL!$C$9, $D$9, 100%, $F$9) + CHOOSE(CONTROL!$C$27, 0.0021, 0)</f>
        <v>64.3566</v>
      </c>
      <c r="L691" s="10"/>
    </row>
    <row r="692" spans="1:12" ht="15.75">
      <c r="A692" s="13">
        <v>62366</v>
      </c>
      <c r="B692" s="10">
        <f>66.0575 * CHOOSE(CONTROL!$C$9, $D$9, 100%, $F$9) + CHOOSE(CONTROL!$C$27, 0.0021, 0)</f>
        <v>66.059600000000003</v>
      </c>
      <c r="C692" s="10">
        <f>65.6253 * CHOOSE(CONTROL!$C$9, $D$9, 100%, $F$9) + CHOOSE(CONTROL!$C$27, 0.0021, 0)</f>
        <v>65.627399999999994</v>
      </c>
      <c r="D692" s="10">
        <f>65.6253 * CHOOSE(CONTROL!$C$9, $D$9, 100%, $F$9) + CHOOSE(CONTROL!$C$27, 0.0021, 0)</f>
        <v>65.627399999999994</v>
      </c>
      <c r="E692" s="10">
        <f>65.4886 * CHOOSE(CONTROL!$C$9, $D$9, 100%, $F$9) + CHOOSE(CONTROL!$C$27, 0.0021, 0)</f>
        <v>65.490700000000004</v>
      </c>
      <c r="F692" s="10">
        <f>65.4886 * CHOOSE(CONTROL!$C$9, $D$9, 100%, $F$9) + CHOOSE(CONTROL!$C$27, 0.0021, 0)</f>
        <v>65.490700000000004</v>
      </c>
      <c r="G692" s="10">
        <f>65.76 * CHOOSE(CONTROL!$C$9, $D$9, 100%, $F$9) + CHOOSE(CONTROL!$C$27, 0.0021, 0)</f>
        <v>65.762100000000004</v>
      </c>
      <c r="H692" s="10">
        <f>65.6253 * CHOOSE(CONTROL!$C$9, $D$9, 100%, $F$9) + CHOOSE(CONTROL!$C$27, 0.0021, 0)</f>
        <v>65.627399999999994</v>
      </c>
      <c r="I692" s="10">
        <f>65.6253 * CHOOSE(CONTROL!$C$9, $D$9, 100%, $F$9) + CHOOSE(CONTROL!$C$27, 0.0021, 0)</f>
        <v>65.627399999999994</v>
      </c>
      <c r="J692" s="10">
        <f>65.6253 * CHOOSE(CONTROL!$C$9, $D$9, 100%, $F$9) + CHOOSE(CONTROL!$C$27, 0.0021, 0)</f>
        <v>65.627399999999994</v>
      </c>
      <c r="K692" s="10">
        <f>65.6253 * CHOOSE(CONTROL!$C$9, $D$9, 100%, $F$9) + CHOOSE(CONTROL!$C$27, 0.0021, 0)</f>
        <v>65.627399999999994</v>
      </c>
      <c r="L692" s="10"/>
    </row>
    <row r="693" spans="1:12" ht="15.75">
      <c r="A693" s="13">
        <v>62397</v>
      </c>
      <c r="B693" s="10">
        <f>67.6662 * CHOOSE(CONTROL!$C$9, $D$9, 100%, $F$9) + CHOOSE(CONTROL!$C$27, 0.0021, 0)</f>
        <v>67.668300000000002</v>
      </c>
      <c r="C693" s="10">
        <f>67.2339 * CHOOSE(CONTROL!$C$9, $D$9, 100%, $F$9) + CHOOSE(CONTROL!$C$27, 0.0021, 0)</f>
        <v>67.236000000000004</v>
      </c>
      <c r="D693" s="10">
        <f>67.2339 * CHOOSE(CONTROL!$C$9, $D$9, 100%, $F$9) + CHOOSE(CONTROL!$C$27, 0.0021, 0)</f>
        <v>67.236000000000004</v>
      </c>
      <c r="E693" s="10">
        <f>67.0973 * CHOOSE(CONTROL!$C$9, $D$9, 100%, $F$9) + CHOOSE(CONTROL!$C$27, 0.0021, 0)</f>
        <v>67.099400000000003</v>
      </c>
      <c r="F693" s="10">
        <f>67.0973 * CHOOSE(CONTROL!$C$9, $D$9, 100%, $F$9) + CHOOSE(CONTROL!$C$27, 0.0021, 0)</f>
        <v>67.099400000000003</v>
      </c>
      <c r="G693" s="10">
        <f>67.3686 * CHOOSE(CONTROL!$C$9, $D$9, 100%, $F$9) + CHOOSE(CONTROL!$C$27, 0.0021, 0)</f>
        <v>67.370699999999999</v>
      </c>
      <c r="H693" s="10">
        <f>67.2339 * CHOOSE(CONTROL!$C$9, $D$9, 100%, $F$9) + CHOOSE(CONTROL!$C$27, 0.0021, 0)</f>
        <v>67.236000000000004</v>
      </c>
      <c r="I693" s="10">
        <f>67.2339 * CHOOSE(CONTROL!$C$9, $D$9, 100%, $F$9) + CHOOSE(CONTROL!$C$27, 0.0021, 0)</f>
        <v>67.236000000000004</v>
      </c>
      <c r="J693" s="10">
        <f>67.2339 * CHOOSE(CONTROL!$C$9, $D$9, 100%, $F$9) + CHOOSE(CONTROL!$C$27, 0.0021, 0)</f>
        <v>67.236000000000004</v>
      </c>
      <c r="K693" s="10">
        <f>67.2339 * CHOOSE(CONTROL!$C$9, $D$9, 100%, $F$9) + CHOOSE(CONTROL!$C$27, 0.0021, 0)</f>
        <v>67.236000000000004</v>
      </c>
      <c r="L693" s="10"/>
    </row>
    <row r="694" spans="1:12" ht="15.75">
      <c r="A694" s="13">
        <v>62427</v>
      </c>
      <c r="B694" s="10">
        <f>67.8172 * CHOOSE(CONTROL!$C$9, $D$9, 100%, $F$9) + CHOOSE(CONTROL!$C$27, 0.0021, 0)</f>
        <v>67.819299999999998</v>
      </c>
      <c r="C694" s="10">
        <f>67.3849 * CHOOSE(CONTROL!$C$9, $D$9, 100%, $F$9) + CHOOSE(CONTROL!$C$27, 0.0021, 0)</f>
        <v>67.387</v>
      </c>
      <c r="D694" s="10">
        <f>67.3849 * CHOOSE(CONTROL!$C$9, $D$9, 100%, $F$9) + CHOOSE(CONTROL!$C$27, 0.0021, 0)</f>
        <v>67.387</v>
      </c>
      <c r="E694" s="10">
        <f>67.2483 * CHOOSE(CONTROL!$C$9, $D$9, 100%, $F$9) + CHOOSE(CONTROL!$C$27, 0.0021, 0)</f>
        <v>67.250399999999999</v>
      </c>
      <c r="F694" s="10">
        <f>67.2483 * CHOOSE(CONTROL!$C$9, $D$9, 100%, $F$9) + CHOOSE(CONTROL!$C$27, 0.0021, 0)</f>
        <v>67.250399999999999</v>
      </c>
      <c r="G694" s="10">
        <f>67.5197 * CHOOSE(CONTROL!$C$9, $D$9, 100%, $F$9) + CHOOSE(CONTROL!$C$27, 0.0021, 0)</f>
        <v>67.521799999999999</v>
      </c>
      <c r="H694" s="10">
        <f>67.3849 * CHOOSE(CONTROL!$C$9, $D$9, 100%, $F$9) + CHOOSE(CONTROL!$C$27, 0.0021, 0)</f>
        <v>67.387</v>
      </c>
      <c r="I694" s="10">
        <f>67.3849 * CHOOSE(CONTROL!$C$9, $D$9, 100%, $F$9) + CHOOSE(CONTROL!$C$27, 0.0021, 0)</f>
        <v>67.387</v>
      </c>
      <c r="J694" s="10">
        <f>67.3849 * CHOOSE(CONTROL!$C$9, $D$9, 100%, $F$9) + CHOOSE(CONTROL!$C$27, 0.0021, 0)</f>
        <v>67.387</v>
      </c>
      <c r="K694" s="10">
        <f>67.3849 * CHOOSE(CONTROL!$C$9, $D$9, 100%, $F$9) + CHOOSE(CONTROL!$C$27, 0.0021, 0)</f>
        <v>67.387</v>
      </c>
      <c r="L694" s="10"/>
    </row>
    <row r="695" spans="1:12" ht="15.75">
      <c r="A695" s="13">
        <v>62458</v>
      </c>
      <c r="B695" s="10">
        <f>66.5324 * CHOOSE(CONTROL!$C$9, $D$9, 100%, $F$9) + CHOOSE(CONTROL!$C$27, 0.0021, 0)</f>
        <v>66.534499999999994</v>
      </c>
      <c r="C695" s="10">
        <f>66.1002 * CHOOSE(CONTROL!$C$9, $D$9, 100%, $F$9) + CHOOSE(CONTROL!$C$27, 0.0021, 0)</f>
        <v>66.1023</v>
      </c>
      <c r="D695" s="10">
        <f>66.1002 * CHOOSE(CONTROL!$C$9, $D$9, 100%, $F$9) + CHOOSE(CONTROL!$C$27, 0.0021, 0)</f>
        <v>66.1023</v>
      </c>
      <c r="E695" s="10">
        <f>65.9635 * CHOOSE(CONTROL!$C$9, $D$9, 100%, $F$9) + CHOOSE(CONTROL!$C$27, 0.0021, 0)</f>
        <v>65.965599999999995</v>
      </c>
      <c r="F695" s="10">
        <f>65.9635 * CHOOSE(CONTROL!$C$9, $D$9, 100%, $F$9) + CHOOSE(CONTROL!$C$27, 0.0021, 0)</f>
        <v>65.965599999999995</v>
      </c>
      <c r="G695" s="10">
        <f>66.2349 * CHOOSE(CONTROL!$C$9, $D$9, 100%, $F$9) + CHOOSE(CONTROL!$C$27, 0.0021, 0)</f>
        <v>66.236999999999995</v>
      </c>
      <c r="H695" s="10">
        <f>66.1002 * CHOOSE(CONTROL!$C$9, $D$9, 100%, $F$9) + CHOOSE(CONTROL!$C$27, 0.0021, 0)</f>
        <v>66.1023</v>
      </c>
      <c r="I695" s="10">
        <f>66.1002 * CHOOSE(CONTROL!$C$9, $D$9, 100%, $F$9) + CHOOSE(CONTROL!$C$27, 0.0021, 0)</f>
        <v>66.1023</v>
      </c>
      <c r="J695" s="10">
        <f>66.1002 * CHOOSE(CONTROL!$C$9, $D$9, 100%, $F$9) + CHOOSE(CONTROL!$C$27, 0.0021, 0)</f>
        <v>66.1023</v>
      </c>
      <c r="K695" s="10">
        <f>66.1002 * CHOOSE(CONTROL!$C$9, $D$9, 100%, $F$9) + CHOOSE(CONTROL!$C$27, 0.0021, 0)</f>
        <v>66.1023</v>
      </c>
      <c r="L695" s="10"/>
    </row>
    <row r="696" spans="1:12" ht="15.75">
      <c r="A696" s="13">
        <v>62489</v>
      </c>
      <c r="B696" s="10">
        <f>65.5487 * CHOOSE(CONTROL!$C$9, $D$9, 100%, $F$9) + CHOOSE(CONTROL!$C$27, 0.0021, 0)</f>
        <v>65.550799999999995</v>
      </c>
      <c r="C696" s="10">
        <f>65.1165 * CHOOSE(CONTROL!$C$9, $D$9, 100%, $F$9) + CHOOSE(CONTROL!$C$27, 0.0021, 0)</f>
        <v>65.118600000000001</v>
      </c>
      <c r="D696" s="10">
        <f>65.1165 * CHOOSE(CONTROL!$C$9, $D$9, 100%, $F$9) + CHOOSE(CONTROL!$C$27, 0.0021, 0)</f>
        <v>65.118600000000001</v>
      </c>
      <c r="E696" s="10">
        <f>64.9798 * CHOOSE(CONTROL!$C$9, $D$9, 100%, $F$9) + CHOOSE(CONTROL!$C$27, 0.0021, 0)</f>
        <v>64.981899999999996</v>
      </c>
      <c r="F696" s="10">
        <f>64.9798 * CHOOSE(CONTROL!$C$9, $D$9, 100%, $F$9) + CHOOSE(CONTROL!$C$27, 0.0021, 0)</f>
        <v>64.981899999999996</v>
      </c>
      <c r="G696" s="10">
        <f>65.2512 * CHOOSE(CONTROL!$C$9, $D$9, 100%, $F$9) + CHOOSE(CONTROL!$C$27, 0.0021, 0)</f>
        <v>65.253299999999996</v>
      </c>
      <c r="H696" s="10">
        <f>65.1165 * CHOOSE(CONTROL!$C$9, $D$9, 100%, $F$9) + CHOOSE(CONTROL!$C$27, 0.0021, 0)</f>
        <v>65.118600000000001</v>
      </c>
      <c r="I696" s="10">
        <f>65.1165 * CHOOSE(CONTROL!$C$9, $D$9, 100%, $F$9) + CHOOSE(CONTROL!$C$27, 0.0021, 0)</f>
        <v>65.118600000000001</v>
      </c>
      <c r="J696" s="10">
        <f>65.1165 * CHOOSE(CONTROL!$C$9, $D$9, 100%, $F$9) + CHOOSE(CONTROL!$C$27, 0.0021, 0)</f>
        <v>65.118600000000001</v>
      </c>
      <c r="K696" s="10">
        <f>65.1165 * CHOOSE(CONTROL!$C$9, $D$9, 100%, $F$9) + CHOOSE(CONTROL!$C$27, 0.0021, 0)</f>
        <v>65.118600000000001</v>
      </c>
      <c r="L696" s="10"/>
    </row>
    <row r="697" spans="1:12" ht="15.75">
      <c r="A697" s="13">
        <v>62517</v>
      </c>
      <c r="B697" s="10">
        <f>63.7595 * CHOOSE(CONTROL!$C$9, $D$9, 100%, $F$9) + CHOOSE(CONTROL!$C$27, 0.0021, 0)</f>
        <v>63.761600000000001</v>
      </c>
      <c r="C697" s="10">
        <f>63.3272 * CHOOSE(CONTROL!$C$9, $D$9, 100%, $F$9) + CHOOSE(CONTROL!$C$27, 0.0021, 0)</f>
        <v>63.329299999999996</v>
      </c>
      <c r="D697" s="10">
        <f>63.3272 * CHOOSE(CONTROL!$C$9, $D$9, 100%, $F$9) + CHOOSE(CONTROL!$C$27, 0.0021, 0)</f>
        <v>63.329299999999996</v>
      </c>
      <c r="E697" s="10">
        <f>63.1906 * CHOOSE(CONTROL!$C$9, $D$9, 100%, $F$9) + CHOOSE(CONTROL!$C$27, 0.0021, 0)</f>
        <v>63.192700000000002</v>
      </c>
      <c r="F697" s="10">
        <f>63.1906 * CHOOSE(CONTROL!$C$9, $D$9, 100%, $F$9) + CHOOSE(CONTROL!$C$27, 0.0021, 0)</f>
        <v>63.192700000000002</v>
      </c>
      <c r="G697" s="10">
        <f>63.462 * CHOOSE(CONTROL!$C$9, $D$9, 100%, $F$9) + CHOOSE(CONTROL!$C$27, 0.0021, 0)</f>
        <v>63.464100000000002</v>
      </c>
      <c r="H697" s="10">
        <f>63.3272 * CHOOSE(CONTROL!$C$9, $D$9, 100%, $F$9) + CHOOSE(CONTROL!$C$27, 0.0021, 0)</f>
        <v>63.329299999999996</v>
      </c>
      <c r="I697" s="10">
        <f>63.3272 * CHOOSE(CONTROL!$C$9, $D$9, 100%, $F$9) + CHOOSE(CONTROL!$C$27, 0.0021, 0)</f>
        <v>63.329299999999996</v>
      </c>
      <c r="J697" s="10">
        <f>63.3272 * CHOOSE(CONTROL!$C$9, $D$9, 100%, $F$9) + CHOOSE(CONTROL!$C$27, 0.0021, 0)</f>
        <v>63.329299999999996</v>
      </c>
      <c r="K697" s="10">
        <f>63.3272 * CHOOSE(CONTROL!$C$9, $D$9, 100%, $F$9) + CHOOSE(CONTROL!$C$27, 0.0021, 0)</f>
        <v>63.329299999999996</v>
      </c>
      <c r="L697" s="10"/>
    </row>
    <row r="698" spans="1:12" ht="15.75">
      <c r="A698" s="13">
        <v>62548</v>
      </c>
      <c r="B698" s="10">
        <f>63.0209 * CHOOSE(CONTROL!$C$9, $D$9, 100%, $F$9) + CHOOSE(CONTROL!$C$27, 0.0021, 0)</f>
        <v>63.022999999999996</v>
      </c>
      <c r="C698" s="10">
        <f>62.5887 * CHOOSE(CONTROL!$C$9, $D$9, 100%, $F$9) + CHOOSE(CONTROL!$C$27, 0.0021, 0)</f>
        <v>62.590800000000002</v>
      </c>
      <c r="D698" s="10">
        <f>62.5887 * CHOOSE(CONTROL!$C$9, $D$9, 100%, $F$9) + CHOOSE(CONTROL!$C$27, 0.0021, 0)</f>
        <v>62.590800000000002</v>
      </c>
      <c r="E698" s="10">
        <f>62.452 * CHOOSE(CONTROL!$C$9, $D$9, 100%, $F$9) + CHOOSE(CONTROL!$C$27, 0.0021, 0)</f>
        <v>62.454099999999997</v>
      </c>
      <c r="F698" s="10">
        <f>62.452 * CHOOSE(CONTROL!$C$9, $D$9, 100%, $F$9) + CHOOSE(CONTROL!$C$27, 0.0021, 0)</f>
        <v>62.454099999999997</v>
      </c>
      <c r="G698" s="10">
        <f>62.7234 * CHOOSE(CONTROL!$C$9, $D$9, 100%, $F$9) + CHOOSE(CONTROL!$C$27, 0.0021, 0)</f>
        <v>62.725499999999997</v>
      </c>
      <c r="H698" s="10">
        <f>62.5887 * CHOOSE(CONTROL!$C$9, $D$9, 100%, $F$9) + CHOOSE(CONTROL!$C$27, 0.0021, 0)</f>
        <v>62.590800000000002</v>
      </c>
      <c r="I698" s="10">
        <f>62.5887 * CHOOSE(CONTROL!$C$9, $D$9, 100%, $F$9) + CHOOSE(CONTROL!$C$27, 0.0021, 0)</f>
        <v>62.590800000000002</v>
      </c>
      <c r="J698" s="10">
        <f>62.5887 * CHOOSE(CONTROL!$C$9, $D$9, 100%, $F$9) + CHOOSE(CONTROL!$C$27, 0.0021, 0)</f>
        <v>62.590800000000002</v>
      </c>
      <c r="K698" s="10">
        <f>62.5887 * CHOOSE(CONTROL!$C$9, $D$9, 100%, $F$9) + CHOOSE(CONTROL!$C$27, 0.0021, 0)</f>
        <v>62.590800000000002</v>
      </c>
      <c r="L698" s="10"/>
    </row>
    <row r="699" spans="1:12" ht="15.75">
      <c r="A699" s="13">
        <v>62578</v>
      </c>
      <c r="B699" s="10">
        <f>62.139 * CHOOSE(CONTROL!$C$9, $D$9, 100%, $F$9) + CHOOSE(CONTROL!$C$27, 0.0021, 0)</f>
        <v>62.141100000000002</v>
      </c>
      <c r="C699" s="10">
        <f>61.7068 * CHOOSE(CONTROL!$C$9, $D$9, 100%, $F$9) + CHOOSE(CONTROL!$C$27, 0.0021, 0)</f>
        <v>61.7089</v>
      </c>
      <c r="D699" s="10">
        <f>61.7068 * CHOOSE(CONTROL!$C$9, $D$9, 100%, $F$9) + CHOOSE(CONTROL!$C$27, 0.0021, 0)</f>
        <v>61.7089</v>
      </c>
      <c r="E699" s="10">
        <f>61.5701 * CHOOSE(CONTROL!$C$9, $D$9, 100%, $F$9) + CHOOSE(CONTROL!$C$27, 0.0021, 0)</f>
        <v>61.572199999999995</v>
      </c>
      <c r="F699" s="10">
        <f>61.5701 * CHOOSE(CONTROL!$C$9, $D$9, 100%, $F$9) + CHOOSE(CONTROL!$C$27, 0.0021, 0)</f>
        <v>61.572199999999995</v>
      </c>
      <c r="G699" s="10">
        <f>61.8415 * CHOOSE(CONTROL!$C$9, $D$9, 100%, $F$9) + CHOOSE(CONTROL!$C$27, 0.0021, 0)</f>
        <v>61.843600000000002</v>
      </c>
      <c r="H699" s="10">
        <f>61.7068 * CHOOSE(CONTROL!$C$9, $D$9, 100%, $F$9) + CHOOSE(CONTROL!$C$27, 0.0021, 0)</f>
        <v>61.7089</v>
      </c>
      <c r="I699" s="10">
        <f>61.7068 * CHOOSE(CONTROL!$C$9, $D$9, 100%, $F$9) + CHOOSE(CONTROL!$C$27, 0.0021, 0)</f>
        <v>61.7089</v>
      </c>
      <c r="J699" s="10">
        <f>61.7068 * CHOOSE(CONTROL!$C$9, $D$9, 100%, $F$9) + CHOOSE(CONTROL!$C$27, 0.0021, 0)</f>
        <v>61.7089</v>
      </c>
      <c r="K699" s="10">
        <f>61.7068 * CHOOSE(CONTROL!$C$9, $D$9, 100%, $F$9) + CHOOSE(CONTROL!$C$27, 0.0021, 0)</f>
        <v>61.7089</v>
      </c>
      <c r="L699" s="10"/>
    </row>
    <row r="700" spans="1:12" ht="15.75">
      <c r="A700" s="13">
        <v>62609</v>
      </c>
      <c r="B700" s="10">
        <f>63.3958 * CHOOSE(CONTROL!$C$9, $D$9, 100%, $F$9) + CHOOSE(CONTROL!$C$27, 0.0021, 0)</f>
        <v>63.3979</v>
      </c>
      <c r="C700" s="10">
        <f>62.9636 * CHOOSE(CONTROL!$C$9, $D$9, 100%, $F$9) + CHOOSE(CONTROL!$C$27, 0.0021, 0)</f>
        <v>62.965699999999998</v>
      </c>
      <c r="D700" s="10">
        <f>62.9636 * CHOOSE(CONTROL!$C$9, $D$9, 100%, $F$9) + CHOOSE(CONTROL!$C$27, 0.0021, 0)</f>
        <v>62.965699999999998</v>
      </c>
      <c r="E700" s="10">
        <f>62.8269 * CHOOSE(CONTROL!$C$9, $D$9, 100%, $F$9) + CHOOSE(CONTROL!$C$27, 0.0021, 0)</f>
        <v>62.829000000000001</v>
      </c>
      <c r="F700" s="10">
        <f>62.8269 * CHOOSE(CONTROL!$C$9, $D$9, 100%, $F$9) + CHOOSE(CONTROL!$C$27, 0.0021, 0)</f>
        <v>62.829000000000001</v>
      </c>
      <c r="G700" s="10">
        <f>63.0983 * CHOOSE(CONTROL!$C$9, $D$9, 100%, $F$9) + CHOOSE(CONTROL!$C$27, 0.0021, 0)</f>
        <v>63.1004</v>
      </c>
      <c r="H700" s="10">
        <f>62.9636 * CHOOSE(CONTROL!$C$9, $D$9, 100%, $F$9) + CHOOSE(CONTROL!$C$27, 0.0021, 0)</f>
        <v>62.965699999999998</v>
      </c>
      <c r="I700" s="10">
        <f>62.9636 * CHOOSE(CONTROL!$C$9, $D$9, 100%, $F$9) + CHOOSE(CONTROL!$C$27, 0.0021, 0)</f>
        <v>62.965699999999998</v>
      </c>
      <c r="J700" s="10">
        <f>62.9636 * CHOOSE(CONTROL!$C$9, $D$9, 100%, $F$9) + CHOOSE(CONTROL!$C$27, 0.0021, 0)</f>
        <v>62.965699999999998</v>
      </c>
      <c r="K700" s="10">
        <f>62.9636 * CHOOSE(CONTROL!$C$9, $D$9, 100%, $F$9) + CHOOSE(CONTROL!$C$27, 0.0021, 0)</f>
        <v>62.965699999999998</v>
      </c>
      <c r="L700" s="10"/>
    </row>
    <row r="701" spans="1:12" ht="15.75">
      <c r="A701" s="13">
        <v>62639</v>
      </c>
      <c r="B701" s="10">
        <f>64.1486 * CHOOSE(CONTROL!$C$9, $D$9, 100%, $F$9) + CHOOSE(CONTROL!$C$27, 0.0021, 0)</f>
        <v>64.150700000000001</v>
      </c>
      <c r="C701" s="10">
        <f>63.7163 * CHOOSE(CONTROL!$C$9, $D$9, 100%, $F$9) + CHOOSE(CONTROL!$C$27, 0.0021, 0)</f>
        <v>63.718399999999995</v>
      </c>
      <c r="D701" s="10">
        <f>63.7163 * CHOOSE(CONTROL!$C$9, $D$9, 100%, $F$9) + CHOOSE(CONTROL!$C$27, 0.0021, 0)</f>
        <v>63.718399999999995</v>
      </c>
      <c r="E701" s="10">
        <f>63.5797 * CHOOSE(CONTROL!$C$9, $D$9, 100%, $F$9) + CHOOSE(CONTROL!$C$27, 0.0021, 0)</f>
        <v>63.581800000000001</v>
      </c>
      <c r="F701" s="10">
        <f>63.5797 * CHOOSE(CONTROL!$C$9, $D$9, 100%, $F$9) + CHOOSE(CONTROL!$C$27, 0.0021, 0)</f>
        <v>63.581800000000001</v>
      </c>
      <c r="G701" s="10">
        <f>63.8511 * CHOOSE(CONTROL!$C$9, $D$9, 100%, $F$9) + CHOOSE(CONTROL!$C$27, 0.0021, 0)</f>
        <v>63.853200000000001</v>
      </c>
      <c r="H701" s="10">
        <f>63.7163 * CHOOSE(CONTROL!$C$9, $D$9, 100%, $F$9) + CHOOSE(CONTROL!$C$27, 0.0021, 0)</f>
        <v>63.718399999999995</v>
      </c>
      <c r="I701" s="10">
        <f>63.7163 * CHOOSE(CONTROL!$C$9, $D$9, 100%, $F$9) + CHOOSE(CONTROL!$C$27, 0.0021, 0)</f>
        <v>63.718399999999995</v>
      </c>
      <c r="J701" s="10">
        <f>63.7163 * CHOOSE(CONTROL!$C$9, $D$9, 100%, $F$9) + CHOOSE(CONTROL!$C$27, 0.0021, 0)</f>
        <v>63.718399999999995</v>
      </c>
      <c r="K701" s="10">
        <f>63.7163 * CHOOSE(CONTROL!$C$9, $D$9, 100%, $F$9) + CHOOSE(CONTROL!$C$27, 0.0021, 0)</f>
        <v>63.718399999999995</v>
      </c>
      <c r="L701" s="10"/>
    </row>
    <row r="702" spans="1:12" ht="15.75">
      <c r="A702" s="13">
        <v>62670</v>
      </c>
      <c r="B702" s="10">
        <f>65.3904 * CHOOSE(CONTROL!$C$9, $D$9, 100%, $F$9) + CHOOSE(CONTROL!$C$27, 0.0021, 0)</f>
        <v>65.392499999999998</v>
      </c>
      <c r="C702" s="10">
        <f>64.9581 * CHOOSE(CONTROL!$C$9, $D$9, 100%, $F$9) + CHOOSE(CONTROL!$C$27, 0.0021, 0)</f>
        <v>64.9602</v>
      </c>
      <c r="D702" s="10">
        <f>64.9581 * CHOOSE(CONTROL!$C$9, $D$9, 100%, $F$9) + CHOOSE(CONTROL!$C$27, 0.0021, 0)</f>
        <v>64.9602</v>
      </c>
      <c r="E702" s="10">
        <f>64.8215 * CHOOSE(CONTROL!$C$9, $D$9, 100%, $F$9) + CHOOSE(CONTROL!$C$27, 0.0021, 0)</f>
        <v>64.823599999999999</v>
      </c>
      <c r="F702" s="10">
        <f>64.8215 * CHOOSE(CONTROL!$C$9, $D$9, 100%, $F$9) + CHOOSE(CONTROL!$C$27, 0.0021, 0)</f>
        <v>64.823599999999999</v>
      </c>
      <c r="G702" s="10">
        <f>65.0929 * CHOOSE(CONTROL!$C$9, $D$9, 100%, $F$9) + CHOOSE(CONTROL!$C$27, 0.0021, 0)</f>
        <v>65.094999999999999</v>
      </c>
      <c r="H702" s="10">
        <f>64.9581 * CHOOSE(CONTROL!$C$9, $D$9, 100%, $F$9) + CHOOSE(CONTROL!$C$27, 0.0021, 0)</f>
        <v>64.9602</v>
      </c>
      <c r="I702" s="10">
        <f>64.9581 * CHOOSE(CONTROL!$C$9, $D$9, 100%, $F$9) + CHOOSE(CONTROL!$C$27, 0.0021, 0)</f>
        <v>64.9602</v>
      </c>
      <c r="J702" s="10">
        <f>64.9581 * CHOOSE(CONTROL!$C$9, $D$9, 100%, $F$9) + CHOOSE(CONTROL!$C$27, 0.0021, 0)</f>
        <v>64.9602</v>
      </c>
      <c r="K702" s="10">
        <f>64.9581 * CHOOSE(CONTROL!$C$9, $D$9, 100%, $F$9) + CHOOSE(CONTROL!$C$27, 0.0021, 0)</f>
        <v>64.9602</v>
      </c>
      <c r="L702" s="10"/>
    </row>
    <row r="703" spans="1:12" ht="15.75">
      <c r="A703" s="13">
        <v>62701</v>
      </c>
      <c r="B703" s="10">
        <f>65.7694 * CHOOSE(CONTROL!$C$9, $D$9, 100%, $F$9) + CHOOSE(CONTROL!$C$27, 0.0021, 0)</f>
        <v>65.771500000000003</v>
      </c>
      <c r="C703" s="10">
        <f>65.3372 * CHOOSE(CONTROL!$C$9, $D$9, 100%, $F$9) + CHOOSE(CONTROL!$C$27, 0.0021, 0)</f>
        <v>65.339299999999994</v>
      </c>
      <c r="D703" s="10">
        <f>65.3372 * CHOOSE(CONTROL!$C$9, $D$9, 100%, $F$9) + CHOOSE(CONTROL!$C$27, 0.0021, 0)</f>
        <v>65.339299999999994</v>
      </c>
      <c r="E703" s="10">
        <f>65.2005 * CHOOSE(CONTROL!$C$9, $D$9, 100%, $F$9) + CHOOSE(CONTROL!$C$27, 0.0021, 0)</f>
        <v>65.202600000000004</v>
      </c>
      <c r="F703" s="10">
        <f>65.2005 * CHOOSE(CONTROL!$C$9, $D$9, 100%, $F$9) + CHOOSE(CONTROL!$C$27, 0.0021, 0)</f>
        <v>65.202600000000004</v>
      </c>
      <c r="G703" s="10">
        <f>65.4719 * CHOOSE(CONTROL!$C$9, $D$9, 100%, $F$9) + CHOOSE(CONTROL!$C$27, 0.0021, 0)</f>
        <v>65.474000000000004</v>
      </c>
      <c r="H703" s="10">
        <f>65.3372 * CHOOSE(CONTROL!$C$9, $D$9, 100%, $F$9) + CHOOSE(CONTROL!$C$27, 0.0021, 0)</f>
        <v>65.339299999999994</v>
      </c>
      <c r="I703" s="10">
        <f>65.3372 * CHOOSE(CONTROL!$C$9, $D$9, 100%, $F$9) + CHOOSE(CONTROL!$C$27, 0.0021, 0)</f>
        <v>65.339299999999994</v>
      </c>
      <c r="J703" s="10">
        <f>65.3372 * CHOOSE(CONTROL!$C$9, $D$9, 100%, $F$9) + CHOOSE(CONTROL!$C$27, 0.0021, 0)</f>
        <v>65.339299999999994</v>
      </c>
      <c r="K703" s="10">
        <f>65.3372 * CHOOSE(CONTROL!$C$9, $D$9, 100%, $F$9) + CHOOSE(CONTROL!$C$27, 0.0021, 0)</f>
        <v>65.339299999999994</v>
      </c>
      <c r="L703" s="10"/>
    </row>
    <row r="704" spans="1:12" ht="15.75">
      <c r="A704" s="13">
        <v>62731</v>
      </c>
      <c r="B704" s="10">
        <f>67.0602 * CHOOSE(CONTROL!$C$9, $D$9, 100%, $F$9) + CHOOSE(CONTROL!$C$27, 0.0021, 0)</f>
        <v>67.062299999999993</v>
      </c>
      <c r="C704" s="10">
        <f>66.628 * CHOOSE(CONTROL!$C$9, $D$9, 100%, $F$9) + CHOOSE(CONTROL!$C$27, 0.0021, 0)</f>
        <v>66.630099999999999</v>
      </c>
      <c r="D704" s="10">
        <f>66.628 * CHOOSE(CONTROL!$C$9, $D$9, 100%, $F$9) + CHOOSE(CONTROL!$C$27, 0.0021, 0)</f>
        <v>66.630099999999999</v>
      </c>
      <c r="E704" s="10">
        <f>66.4913 * CHOOSE(CONTROL!$C$9, $D$9, 100%, $F$9) + CHOOSE(CONTROL!$C$27, 0.0021, 0)</f>
        <v>66.493399999999994</v>
      </c>
      <c r="F704" s="10">
        <f>66.4913 * CHOOSE(CONTROL!$C$9, $D$9, 100%, $F$9) + CHOOSE(CONTROL!$C$27, 0.0021, 0)</f>
        <v>66.493399999999994</v>
      </c>
      <c r="G704" s="10">
        <f>66.7627 * CHOOSE(CONTROL!$C$9, $D$9, 100%, $F$9) + CHOOSE(CONTROL!$C$27, 0.0021, 0)</f>
        <v>66.764799999999994</v>
      </c>
      <c r="H704" s="10">
        <f>66.628 * CHOOSE(CONTROL!$C$9, $D$9, 100%, $F$9) + CHOOSE(CONTROL!$C$27, 0.0021, 0)</f>
        <v>66.630099999999999</v>
      </c>
      <c r="I704" s="10">
        <f>66.628 * CHOOSE(CONTROL!$C$9, $D$9, 100%, $F$9) + CHOOSE(CONTROL!$C$27, 0.0021, 0)</f>
        <v>66.630099999999999</v>
      </c>
      <c r="J704" s="10">
        <f>66.628 * CHOOSE(CONTROL!$C$9, $D$9, 100%, $F$9) + CHOOSE(CONTROL!$C$27, 0.0021, 0)</f>
        <v>66.630099999999999</v>
      </c>
      <c r="K704" s="10">
        <f>66.628 * CHOOSE(CONTROL!$C$9, $D$9, 100%, $F$9) + CHOOSE(CONTROL!$C$27, 0.0021, 0)</f>
        <v>66.630099999999999</v>
      </c>
      <c r="L704" s="10"/>
    </row>
    <row r="705" spans="1:12" ht="15.75">
      <c r="A705" s="13">
        <v>62762</v>
      </c>
      <c r="B705" s="10">
        <f>68.6942 * CHOOSE(CONTROL!$C$9, $D$9, 100%, $F$9) + CHOOSE(CONTROL!$C$27, 0.0021, 0)</f>
        <v>68.696299999999994</v>
      </c>
      <c r="C705" s="10">
        <f>68.2619 * CHOOSE(CONTROL!$C$9, $D$9, 100%, $F$9) + CHOOSE(CONTROL!$C$27, 0.0021, 0)</f>
        <v>68.263999999999996</v>
      </c>
      <c r="D705" s="10">
        <f>68.2619 * CHOOSE(CONTROL!$C$9, $D$9, 100%, $F$9) + CHOOSE(CONTROL!$C$27, 0.0021, 0)</f>
        <v>68.263999999999996</v>
      </c>
      <c r="E705" s="10">
        <f>68.1253 * CHOOSE(CONTROL!$C$9, $D$9, 100%, $F$9) + CHOOSE(CONTROL!$C$27, 0.0021, 0)</f>
        <v>68.127399999999994</v>
      </c>
      <c r="F705" s="10">
        <f>68.1253 * CHOOSE(CONTROL!$C$9, $D$9, 100%, $F$9) + CHOOSE(CONTROL!$C$27, 0.0021, 0)</f>
        <v>68.127399999999994</v>
      </c>
      <c r="G705" s="10">
        <f>68.3966 * CHOOSE(CONTROL!$C$9, $D$9, 100%, $F$9) + CHOOSE(CONTROL!$C$27, 0.0021, 0)</f>
        <v>68.398700000000005</v>
      </c>
      <c r="H705" s="10">
        <f>68.2619 * CHOOSE(CONTROL!$C$9, $D$9, 100%, $F$9) + CHOOSE(CONTROL!$C$27, 0.0021, 0)</f>
        <v>68.263999999999996</v>
      </c>
      <c r="I705" s="10">
        <f>68.2619 * CHOOSE(CONTROL!$C$9, $D$9, 100%, $F$9) + CHOOSE(CONTROL!$C$27, 0.0021, 0)</f>
        <v>68.263999999999996</v>
      </c>
      <c r="J705" s="10">
        <f>68.2619 * CHOOSE(CONTROL!$C$9, $D$9, 100%, $F$9) + CHOOSE(CONTROL!$C$27, 0.0021, 0)</f>
        <v>68.263999999999996</v>
      </c>
      <c r="K705" s="10">
        <f>68.2619 * CHOOSE(CONTROL!$C$9, $D$9, 100%, $F$9) + CHOOSE(CONTROL!$C$27, 0.0021, 0)</f>
        <v>68.263999999999996</v>
      </c>
      <c r="L705" s="10"/>
    </row>
    <row r="706" spans="1:12" ht="15.75">
      <c r="A706" s="13">
        <v>62792</v>
      </c>
      <c r="B706" s="10">
        <f>68.8476 * CHOOSE(CONTROL!$C$9, $D$9, 100%, $F$9) + CHOOSE(CONTROL!$C$27, 0.0021, 0)</f>
        <v>68.849699999999999</v>
      </c>
      <c r="C706" s="10">
        <f>68.4153 * CHOOSE(CONTROL!$C$9, $D$9, 100%, $F$9) + CHOOSE(CONTROL!$C$27, 0.0021, 0)</f>
        <v>68.417400000000001</v>
      </c>
      <c r="D706" s="10">
        <f>68.4153 * CHOOSE(CONTROL!$C$9, $D$9, 100%, $F$9) + CHOOSE(CONTROL!$C$27, 0.0021, 0)</f>
        <v>68.417400000000001</v>
      </c>
      <c r="E706" s="10">
        <f>68.2787 * CHOOSE(CONTROL!$C$9, $D$9, 100%, $F$9) + CHOOSE(CONTROL!$C$27, 0.0021, 0)</f>
        <v>68.280799999999999</v>
      </c>
      <c r="F706" s="10">
        <f>68.2787 * CHOOSE(CONTROL!$C$9, $D$9, 100%, $F$9) + CHOOSE(CONTROL!$C$27, 0.0021, 0)</f>
        <v>68.280799999999999</v>
      </c>
      <c r="G706" s="10">
        <f>68.55 * CHOOSE(CONTROL!$C$9, $D$9, 100%, $F$9) + CHOOSE(CONTROL!$C$27, 0.0021, 0)</f>
        <v>68.552099999999996</v>
      </c>
      <c r="H706" s="10">
        <f>68.4153 * CHOOSE(CONTROL!$C$9, $D$9, 100%, $F$9) + CHOOSE(CONTROL!$C$27, 0.0021, 0)</f>
        <v>68.417400000000001</v>
      </c>
      <c r="I706" s="10">
        <f>68.4153 * CHOOSE(CONTROL!$C$9, $D$9, 100%, $F$9) + CHOOSE(CONTROL!$C$27, 0.0021, 0)</f>
        <v>68.417400000000001</v>
      </c>
      <c r="J706" s="10">
        <f>68.4153 * CHOOSE(CONTROL!$C$9, $D$9, 100%, $F$9) + CHOOSE(CONTROL!$C$27, 0.0021, 0)</f>
        <v>68.417400000000001</v>
      </c>
      <c r="K706" s="10">
        <f>68.4153 * CHOOSE(CONTROL!$C$9, $D$9, 100%, $F$9) + CHOOSE(CONTROL!$C$27, 0.0021, 0)</f>
        <v>68.417400000000001</v>
      </c>
      <c r="L706" s="10"/>
    </row>
    <row r="707" spans="1:12" ht="15.75">
      <c r="A707" s="13">
        <v>62823</v>
      </c>
      <c r="B707" s="10">
        <f>67.5426 * CHOOSE(CONTROL!$C$9, $D$9, 100%, $F$9) + CHOOSE(CONTROL!$C$27, 0.0021, 0)</f>
        <v>67.544699999999992</v>
      </c>
      <c r="C707" s="10">
        <f>67.1103 * CHOOSE(CONTROL!$C$9, $D$9, 100%, $F$9) + CHOOSE(CONTROL!$C$27, 0.0021, 0)</f>
        <v>67.112399999999994</v>
      </c>
      <c r="D707" s="10">
        <f>67.1103 * CHOOSE(CONTROL!$C$9, $D$9, 100%, $F$9) + CHOOSE(CONTROL!$C$27, 0.0021, 0)</f>
        <v>67.112399999999994</v>
      </c>
      <c r="E707" s="10">
        <f>66.9737 * CHOOSE(CONTROL!$C$9, $D$9, 100%, $F$9) + CHOOSE(CONTROL!$C$27, 0.0021, 0)</f>
        <v>66.975799999999992</v>
      </c>
      <c r="F707" s="10">
        <f>66.9737 * CHOOSE(CONTROL!$C$9, $D$9, 100%, $F$9) + CHOOSE(CONTROL!$C$27, 0.0021, 0)</f>
        <v>66.975799999999992</v>
      </c>
      <c r="G707" s="10">
        <f>67.245 * CHOOSE(CONTROL!$C$9, $D$9, 100%, $F$9) + CHOOSE(CONTROL!$C$27, 0.0021, 0)</f>
        <v>67.247100000000003</v>
      </c>
      <c r="H707" s="10">
        <f>67.1103 * CHOOSE(CONTROL!$C$9, $D$9, 100%, $F$9) + CHOOSE(CONTROL!$C$27, 0.0021, 0)</f>
        <v>67.112399999999994</v>
      </c>
      <c r="I707" s="10">
        <f>67.1103 * CHOOSE(CONTROL!$C$9, $D$9, 100%, $F$9) + CHOOSE(CONTROL!$C$27, 0.0021, 0)</f>
        <v>67.112399999999994</v>
      </c>
      <c r="J707" s="10">
        <f>67.1103 * CHOOSE(CONTROL!$C$9, $D$9, 100%, $F$9) + CHOOSE(CONTROL!$C$27, 0.0021, 0)</f>
        <v>67.112399999999994</v>
      </c>
      <c r="K707" s="10">
        <f>67.1103 * CHOOSE(CONTROL!$C$9, $D$9, 100%, $F$9) + CHOOSE(CONTROL!$C$27, 0.0021, 0)</f>
        <v>67.112399999999994</v>
      </c>
      <c r="L707" s="10"/>
    </row>
    <row r="708" spans="1:12" ht="15.75">
      <c r="A708" s="13">
        <v>62854</v>
      </c>
      <c r="B708" s="10">
        <f>66.5434 * CHOOSE(CONTROL!$C$9, $D$9, 100%, $F$9) + CHOOSE(CONTROL!$C$27, 0.0021, 0)</f>
        <v>66.545500000000004</v>
      </c>
      <c r="C708" s="10">
        <f>66.1112 * CHOOSE(CONTROL!$C$9, $D$9, 100%, $F$9) + CHOOSE(CONTROL!$C$27, 0.0021, 0)</f>
        <v>66.113299999999995</v>
      </c>
      <c r="D708" s="10">
        <f>66.1112 * CHOOSE(CONTROL!$C$9, $D$9, 100%, $F$9) + CHOOSE(CONTROL!$C$27, 0.0021, 0)</f>
        <v>66.113299999999995</v>
      </c>
      <c r="E708" s="10">
        <f>65.9745 * CHOOSE(CONTROL!$C$9, $D$9, 100%, $F$9) + CHOOSE(CONTROL!$C$27, 0.0021, 0)</f>
        <v>65.976600000000005</v>
      </c>
      <c r="F708" s="10">
        <f>65.9745 * CHOOSE(CONTROL!$C$9, $D$9, 100%, $F$9) + CHOOSE(CONTROL!$C$27, 0.0021, 0)</f>
        <v>65.976600000000005</v>
      </c>
      <c r="G708" s="10">
        <f>66.2459 * CHOOSE(CONTROL!$C$9, $D$9, 100%, $F$9) + CHOOSE(CONTROL!$C$27, 0.0021, 0)</f>
        <v>66.248000000000005</v>
      </c>
      <c r="H708" s="10">
        <f>66.1112 * CHOOSE(CONTROL!$C$9, $D$9, 100%, $F$9) + CHOOSE(CONTROL!$C$27, 0.0021, 0)</f>
        <v>66.113299999999995</v>
      </c>
      <c r="I708" s="10">
        <f>66.1112 * CHOOSE(CONTROL!$C$9, $D$9, 100%, $F$9) + CHOOSE(CONTROL!$C$27, 0.0021, 0)</f>
        <v>66.113299999999995</v>
      </c>
      <c r="J708" s="10">
        <f>66.1112 * CHOOSE(CONTROL!$C$9, $D$9, 100%, $F$9) + CHOOSE(CONTROL!$C$27, 0.0021, 0)</f>
        <v>66.113299999999995</v>
      </c>
      <c r="K708" s="10">
        <f>66.1112 * CHOOSE(CONTROL!$C$9, $D$9, 100%, $F$9) + CHOOSE(CONTROL!$C$27, 0.0021, 0)</f>
        <v>66.113299999999995</v>
      </c>
      <c r="L708" s="10"/>
    </row>
    <row r="709" spans="1:12" ht="15.75">
      <c r="A709" s="13">
        <v>62883</v>
      </c>
      <c r="B709" s="10">
        <f>64.7261 * CHOOSE(CONTROL!$C$9, $D$9, 100%, $F$9) + CHOOSE(CONTROL!$C$27, 0.0021, 0)</f>
        <v>64.728200000000001</v>
      </c>
      <c r="C709" s="10">
        <f>64.2938 * CHOOSE(CONTROL!$C$9, $D$9, 100%, $F$9) + CHOOSE(CONTROL!$C$27, 0.0021, 0)</f>
        <v>64.295900000000003</v>
      </c>
      <c r="D709" s="10">
        <f>64.2938 * CHOOSE(CONTROL!$C$9, $D$9, 100%, $F$9) + CHOOSE(CONTROL!$C$27, 0.0021, 0)</f>
        <v>64.295900000000003</v>
      </c>
      <c r="E709" s="10">
        <f>64.1572 * CHOOSE(CONTROL!$C$9, $D$9, 100%, $F$9) + CHOOSE(CONTROL!$C$27, 0.0021, 0)</f>
        <v>64.159300000000002</v>
      </c>
      <c r="F709" s="10">
        <f>64.1572 * CHOOSE(CONTROL!$C$9, $D$9, 100%, $F$9) + CHOOSE(CONTROL!$C$27, 0.0021, 0)</f>
        <v>64.159300000000002</v>
      </c>
      <c r="G709" s="10">
        <f>64.4285 * CHOOSE(CONTROL!$C$9, $D$9, 100%, $F$9) + CHOOSE(CONTROL!$C$27, 0.0021, 0)</f>
        <v>64.430599999999998</v>
      </c>
      <c r="H709" s="10">
        <f>64.2938 * CHOOSE(CONTROL!$C$9, $D$9, 100%, $F$9) + CHOOSE(CONTROL!$C$27, 0.0021, 0)</f>
        <v>64.295900000000003</v>
      </c>
      <c r="I709" s="10">
        <f>64.2938 * CHOOSE(CONTROL!$C$9, $D$9, 100%, $F$9) + CHOOSE(CONTROL!$C$27, 0.0021, 0)</f>
        <v>64.295900000000003</v>
      </c>
      <c r="J709" s="10">
        <f>64.2938 * CHOOSE(CONTROL!$C$9, $D$9, 100%, $F$9) + CHOOSE(CONTROL!$C$27, 0.0021, 0)</f>
        <v>64.295900000000003</v>
      </c>
      <c r="K709" s="10">
        <f>64.2938 * CHOOSE(CONTROL!$C$9, $D$9, 100%, $F$9) + CHOOSE(CONTROL!$C$27, 0.0021, 0)</f>
        <v>64.295900000000003</v>
      </c>
      <c r="L709" s="10"/>
    </row>
    <row r="710" spans="1:12" ht="15.75">
      <c r="A710" s="13">
        <v>62914</v>
      </c>
      <c r="B710" s="10">
        <f>63.9759 * CHOOSE(CONTROL!$C$9, $D$9, 100%, $F$9) + CHOOSE(CONTROL!$C$27, 0.0021, 0)</f>
        <v>63.978000000000002</v>
      </c>
      <c r="C710" s="10">
        <f>63.5436 * CHOOSE(CONTROL!$C$9, $D$9, 100%, $F$9) + CHOOSE(CONTROL!$C$27, 0.0021, 0)</f>
        <v>63.545699999999997</v>
      </c>
      <c r="D710" s="10">
        <f>63.5436 * CHOOSE(CONTROL!$C$9, $D$9, 100%, $F$9) + CHOOSE(CONTROL!$C$27, 0.0021, 0)</f>
        <v>63.545699999999997</v>
      </c>
      <c r="E710" s="10">
        <f>63.407 * CHOOSE(CONTROL!$C$9, $D$9, 100%, $F$9) + CHOOSE(CONTROL!$C$27, 0.0021, 0)</f>
        <v>63.409099999999995</v>
      </c>
      <c r="F710" s="10">
        <f>63.407 * CHOOSE(CONTROL!$C$9, $D$9, 100%, $F$9) + CHOOSE(CONTROL!$C$27, 0.0021, 0)</f>
        <v>63.409099999999995</v>
      </c>
      <c r="G710" s="10">
        <f>63.6783 * CHOOSE(CONTROL!$C$9, $D$9, 100%, $F$9) + CHOOSE(CONTROL!$C$27, 0.0021, 0)</f>
        <v>63.680399999999999</v>
      </c>
      <c r="H710" s="10">
        <f>63.5436 * CHOOSE(CONTROL!$C$9, $D$9, 100%, $F$9) + CHOOSE(CONTROL!$C$27, 0.0021, 0)</f>
        <v>63.545699999999997</v>
      </c>
      <c r="I710" s="10">
        <f>63.5436 * CHOOSE(CONTROL!$C$9, $D$9, 100%, $F$9) + CHOOSE(CONTROL!$C$27, 0.0021, 0)</f>
        <v>63.545699999999997</v>
      </c>
      <c r="J710" s="10">
        <f>63.5436 * CHOOSE(CONTROL!$C$9, $D$9, 100%, $F$9) + CHOOSE(CONTROL!$C$27, 0.0021, 0)</f>
        <v>63.545699999999997</v>
      </c>
      <c r="K710" s="10">
        <f>63.5436 * CHOOSE(CONTROL!$C$9, $D$9, 100%, $F$9) + CHOOSE(CONTROL!$C$27, 0.0021, 0)</f>
        <v>63.545699999999997</v>
      </c>
      <c r="L710" s="10"/>
    </row>
    <row r="711" spans="1:12" ht="15.75">
      <c r="A711" s="13">
        <v>62944</v>
      </c>
      <c r="B711" s="10">
        <f>63.0801 * CHOOSE(CONTROL!$C$9, $D$9, 100%, $F$9) + CHOOSE(CONTROL!$C$27, 0.0021, 0)</f>
        <v>63.0822</v>
      </c>
      <c r="C711" s="10">
        <f>62.6478 * CHOOSE(CONTROL!$C$9, $D$9, 100%, $F$9) + CHOOSE(CONTROL!$C$27, 0.0021, 0)</f>
        <v>62.649899999999995</v>
      </c>
      <c r="D711" s="10">
        <f>62.6478 * CHOOSE(CONTROL!$C$9, $D$9, 100%, $F$9) + CHOOSE(CONTROL!$C$27, 0.0021, 0)</f>
        <v>62.649899999999995</v>
      </c>
      <c r="E711" s="10">
        <f>62.5112 * CHOOSE(CONTROL!$C$9, $D$9, 100%, $F$9) + CHOOSE(CONTROL!$C$27, 0.0021, 0)</f>
        <v>62.513300000000001</v>
      </c>
      <c r="F711" s="10">
        <f>62.5112 * CHOOSE(CONTROL!$C$9, $D$9, 100%, $F$9) + CHOOSE(CONTROL!$C$27, 0.0021, 0)</f>
        <v>62.513300000000001</v>
      </c>
      <c r="G711" s="10">
        <f>62.7826 * CHOOSE(CONTROL!$C$9, $D$9, 100%, $F$9) + CHOOSE(CONTROL!$C$27, 0.0021, 0)</f>
        <v>62.784700000000001</v>
      </c>
      <c r="H711" s="10">
        <f>62.6478 * CHOOSE(CONTROL!$C$9, $D$9, 100%, $F$9) + CHOOSE(CONTROL!$C$27, 0.0021, 0)</f>
        <v>62.649899999999995</v>
      </c>
      <c r="I711" s="10">
        <f>62.6478 * CHOOSE(CONTROL!$C$9, $D$9, 100%, $F$9) + CHOOSE(CONTROL!$C$27, 0.0021, 0)</f>
        <v>62.649899999999995</v>
      </c>
      <c r="J711" s="10">
        <f>62.6478 * CHOOSE(CONTROL!$C$9, $D$9, 100%, $F$9) + CHOOSE(CONTROL!$C$27, 0.0021, 0)</f>
        <v>62.649899999999995</v>
      </c>
      <c r="K711" s="10">
        <f>62.6478 * CHOOSE(CONTROL!$C$9, $D$9, 100%, $F$9) + CHOOSE(CONTROL!$C$27, 0.0021, 0)</f>
        <v>62.649899999999995</v>
      </c>
      <c r="L711" s="10"/>
    </row>
    <row r="712" spans="1:12" ht="15.75">
      <c r="A712" s="13">
        <v>62975</v>
      </c>
      <c r="B712" s="10">
        <f>64.3567 * CHOOSE(CONTROL!$C$9, $D$9, 100%, $F$9) + CHOOSE(CONTROL!$C$27, 0.0021, 0)</f>
        <v>64.358800000000002</v>
      </c>
      <c r="C712" s="10">
        <f>63.9244 * CHOOSE(CONTROL!$C$9, $D$9, 100%, $F$9) + CHOOSE(CONTROL!$C$27, 0.0021, 0)</f>
        <v>63.926499999999997</v>
      </c>
      <c r="D712" s="10">
        <f>63.9244 * CHOOSE(CONTROL!$C$9, $D$9, 100%, $F$9) + CHOOSE(CONTROL!$C$27, 0.0021, 0)</f>
        <v>63.926499999999997</v>
      </c>
      <c r="E712" s="10">
        <f>63.7878 * CHOOSE(CONTROL!$C$9, $D$9, 100%, $F$9) + CHOOSE(CONTROL!$C$27, 0.0021, 0)</f>
        <v>63.789899999999996</v>
      </c>
      <c r="F712" s="10">
        <f>63.7878 * CHOOSE(CONTROL!$C$9, $D$9, 100%, $F$9) + CHOOSE(CONTROL!$C$27, 0.0021, 0)</f>
        <v>63.789899999999996</v>
      </c>
      <c r="G712" s="10">
        <f>64.0591 * CHOOSE(CONTROL!$C$9, $D$9, 100%, $F$9) + CHOOSE(CONTROL!$C$27, 0.0021, 0)</f>
        <v>64.061199999999999</v>
      </c>
      <c r="H712" s="10">
        <f>63.9244 * CHOOSE(CONTROL!$C$9, $D$9, 100%, $F$9) + CHOOSE(CONTROL!$C$27, 0.0021, 0)</f>
        <v>63.926499999999997</v>
      </c>
      <c r="I712" s="10">
        <f>63.9244 * CHOOSE(CONTROL!$C$9, $D$9, 100%, $F$9) + CHOOSE(CONTROL!$C$27, 0.0021, 0)</f>
        <v>63.926499999999997</v>
      </c>
      <c r="J712" s="10">
        <f>63.9244 * CHOOSE(CONTROL!$C$9, $D$9, 100%, $F$9) + CHOOSE(CONTROL!$C$27, 0.0021, 0)</f>
        <v>63.926499999999997</v>
      </c>
      <c r="K712" s="10">
        <f>63.9244 * CHOOSE(CONTROL!$C$9, $D$9, 100%, $F$9) + CHOOSE(CONTROL!$C$27, 0.0021, 0)</f>
        <v>63.926499999999997</v>
      </c>
      <c r="L712" s="10"/>
    </row>
    <row r="713" spans="1:12" ht="15.75">
      <c r="A713" s="13">
        <v>63005</v>
      </c>
      <c r="B713" s="10">
        <f>65.1213 * CHOOSE(CONTROL!$C$9, $D$9, 100%, $F$9) + CHOOSE(CONTROL!$C$27, 0.0021, 0)</f>
        <v>65.123400000000004</v>
      </c>
      <c r="C713" s="10">
        <f>64.689 * CHOOSE(CONTROL!$C$9, $D$9, 100%, $F$9) + CHOOSE(CONTROL!$C$27, 0.0021, 0)</f>
        <v>64.691099999999992</v>
      </c>
      <c r="D713" s="10">
        <f>64.689 * CHOOSE(CONTROL!$C$9, $D$9, 100%, $F$9) + CHOOSE(CONTROL!$C$27, 0.0021, 0)</f>
        <v>64.691099999999992</v>
      </c>
      <c r="E713" s="10">
        <f>64.5524 * CHOOSE(CONTROL!$C$9, $D$9, 100%, $F$9) + CHOOSE(CONTROL!$C$27, 0.0021, 0)</f>
        <v>64.554500000000004</v>
      </c>
      <c r="F713" s="10">
        <f>64.5524 * CHOOSE(CONTROL!$C$9, $D$9, 100%, $F$9) + CHOOSE(CONTROL!$C$27, 0.0021, 0)</f>
        <v>64.554500000000004</v>
      </c>
      <c r="G713" s="10">
        <f>64.8237 * CHOOSE(CONTROL!$C$9, $D$9, 100%, $F$9) + CHOOSE(CONTROL!$C$27, 0.0021, 0)</f>
        <v>64.825800000000001</v>
      </c>
      <c r="H713" s="10">
        <f>64.689 * CHOOSE(CONTROL!$C$9, $D$9, 100%, $F$9) + CHOOSE(CONTROL!$C$27, 0.0021, 0)</f>
        <v>64.691099999999992</v>
      </c>
      <c r="I713" s="10">
        <f>64.689 * CHOOSE(CONTROL!$C$9, $D$9, 100%, $F$9) + CHOOSE(CONTROL!$C$27, 0.0021, 0)</f>
        <v>64.691099999999992</v>
      </c>
      <c r="J713" s="10">
        <f>64.689 * CHOOSE(CONTROL!$C$9, $D$9, 100%, $F$9) + CHOOSE(CONTROL!$C$27, 0.0021, 0)</f>
        <v>64.691099999999992</v>
      </c>
      <c r="K713" s="10">
        <f>64.689 * CHOOSE(CONTROL!$C$9, $D$9, 100%, $F$9) + CHOOSE(CONTROL!$C$27, 0.0021, 0)</f>
        <v>64.691099999999992</v>
      </c>
      <c r="L713" s="10"/>
    </row>
    <row r="714" spans="1:12" ht="15.75">
      <c r="A714" s="13">
        <v>63036</v>
      </c>
      <c r="B714" s="10">
        <f>66.3826 * CHOOSE(CONTROL!$C$9, $D$9, 100%, $F$9) + CHOOSE(CONTROL!$C$27, 0.0021, 0)</f>
        <v>66.384699999999995</v>
      </c>
      <c r="C714" s="10">
        <f>65.9504 * CHOOSE(CONTROL!$C$9, $D$9, 100%, $F$9) + CHOOSE(CONTROL!$C$27, 0.0021, 0)</f>
        <v>65.952500000000001</v>
      </c>
      <c r="D714" s="10">
        <f>65.9504 * CHOOSE(CONTROL!$C$9, $D$9, 100%, $F$9) + CHOOSE(CONTROL!$C$27, 0.0021, 0)</f>
        <v>65.952500000000001</v>
      </c>
      <c r="E714" s="10">
        <f>65.8137 * CHOOSE(CONTROL!$C$9, $D$9, 100%, $F$9) + CHOOSE(CONTROL!$C$27, 0.0021, 0)</f>
        <v>65.815799999999996</v>
      </c>
      <c r="F714" s="10">
        <f>65.8137 * CHOOSE(CONTROL!$C$9, $D$9, 100%, $F$9) + CHOOSE(CONTROL!$C$27, 0.0021, 0)</f>
        <v>65.815799999999996</v>
      </c>
      <c r="G714" s="10">
        <f>66.0851 * CHOOSE(CONTROL!$C$9, $D$9, 100%, $F$9) + CHOOSE(CONTROL!$C$27, 0.0021, 0)</f>
        <v>66.087199999999996</v>
      </c>
      <c r="H714" s="10">
        <f>65.9504 * CHOOSE(CONTROL!$C$9, $D$9, 100%, $F$9) + CHOOSE(CONTROL!$C$27, 0.0021, 0)</f>
        <v>65.952500000000001</v>
      </c>
      <c r="I714" s="10">
        <f>65.9504 * CHOOSE(CONTROL!$C$9, $D$9, 100%, $F$9) + CHOOSE(CONTROL!$C$27, 0.0021, 0)</f>
        <v>65.952500000000001</v>
      </c>
      <c r="J714" s="10">
        <f>65.9504 * CHOOSE(CONTROL!$C$9, $D$9, 100%, $F$9) + CHOOSE(CONTROL!$C$27, 0.0021, 0)</f>
        <v>65.952500000000001</v>
      </c>
      <c r="K714" s="10">
        <f>65.9504 * CHOOSE(CONTROL!$C$9, $D$9, 100%, $F$9) + CHOOSE(CONTROL!$C$27, 0.0021, 0)</f>
        <v>65.952500000000001</v>
      </c>
      <c r="L714" s="10"/>
    </row>
    <row r="715" spans="1:12" ht="15.75">
      <c r="A715" s="13">
        <v>63067</v>
      </c>
      <c r="B715" s="10">
        <f>66.7676 * CHOOSE(CONTROL!$C$9, $D$9, 100%, $F$9) + CHOOSE(CONTROL!$C$27, 0.0021, 0)</f>
        <v>66.7697</v>
      </c>
      <c r="C715" s="10">
        <f>66.3354 * CHOOSE(CONTROL!$C$9, $D$9, 100%, $F$9) + CHOOSE(CONTROL!$C$27, 0.0021, 0)</f>
        <v>66.337500000000006</v>
      </c>
      <c r="D715" s="10">
        <f>66.3354 * CHOOSE(CONTROL!$C$9, $D$9, 100%, $F$9) + CHOOSE(CONTROL!$C$27, 0.0021, 0)</f>
        <v>66.337500000000006</v>
      </c>
      <c r="E715" s="10">
        <f>66.1987 * CHOOSE(CONTROL!$C$9, $D$9, 100%, $F$9) + CHOOSE(CONTROL!$C$27, 0.0021, 0)</f>
        <v>66.200800000000001</v>
      </c>
      <c r="F715" s="10">
        <f>66.1987 * CHOOSE(CONTROL!$C$9, $D$9, 100%, $F$9) + CHOOSE(CONTROL!$C$27, 0.0021, 0)</f>
        <v>66.200800000000001</v>
      </c>
      <c r="G715" s="10">
        <f>66.4701 * CHOOSE(CONTROL!$C$9, $D$9, 100%, $F$9) + CHOOSE(CONTROL!$C$27, 0.0021, 0)</f>
        <v>66.472200000000001</v>
      </c>
      <c r="H715" s="10">
        <f>66.3354 * CHOOSE(CONTROL!$C$9, $D$9, 100%, $F$9) + CHOOSE(CONTROL!$C$27, 0.0021, 0)</f>
        <v>66.337500000000006</v>
      </c>
      <c r="I715" s="10">
        <f>66.3354 * CHOOSE(CONTROL!$C$9, $D$9, 100%, $F$9) + CHOOSE(CONTROL!$C$27, 0.0021, 0)</f>
        <v>66.337500000000006</v>
      </c>
      <c r="J715" s="10">
        <f>66.3354 * CHOOSE(CONTROL!$C$9, $D$9, 100%, $F$9) + CHOOSE(CONTROL!$C$27, 0.0021, 0)</f>
        <v>66.337500000000006</v>
      </c>
      <c r="K715" s="10">
        <f>66.3354 * CHOOSE(CONTROL!$C$9, $D$9, 100%, $F$9) + CHOOSE(CONTROL!$C$27, 0.0021, 0)</f>
        <v>66.337500000000006</v>
      </c>
      <c r="L715" s="10"/>
    </row>
    <row r="716" spans="1:12" ht="15.75">
      <c r="A716" s="13">
        <v>63097</v>
      </c>
      <c r="B716" s="10">
        <f>68.0787 * CHOOSE(CONTROL!$C$9, $D$9, 100%, $F$9) + CHOOSE(CONTROL!$C$27, 0.0021, 0)</f>
        <v>68.080799999999996</v>
      </c>
      <c r="C716" s="10">
        <f>67.6465 * CHOOSE(CONTROL!$C$9, $D$9, 100%, $F$9) + CHOOSE(CONTROL!$C$27, 0.0021, 0)</f>
        <v>67.648600000000002</v>
      </c>
      <c r="D716" s="10">
        <f>67.6465 * CHOOSE(CONTROL!$C$9, $D$9, 100%, $F$9) + CHOOSE(CONTROL!$C$27, 0.0021, 0)</f>
        <v>67.648600000000002</v>
      </c>
      <c r="E716" s="10">
        <f>67.5098 * CHOOSE(CONTROL!$C$9, $D$9, 100%, $F$9) + CHOOSE(CONTROL!$C$27, 0.0021, 0)</f>
        <v>67.511899999999997</v>
      </c>
      <c r="F716" s="10">
        <f>67.5098 * CHOOSE(CONTROL!$C$9, $D$9, 100%, $F$9) + CHOOSE(CONTROL!$C$27, 0.0021, 0)</f>
        <v>67.511899999999997</v>
      </c>
      <c r="G716" s="10">
        <f>67.7812 * CHOOSE(CONTROL!$C$9, $D$9, 100%, $F$9) + CHOOSE(CONTROL!$C$27, 0.0021, 0)</f>
        <v>67.783299999999997</v>
      </c>
      <c r="H716" s="10">
        <f>67.6465 * CHOOSE(CONTROL!$C$9, $D$9, 100%, $F$9) + CHOOSE(CONTROL!$C$27, 0.0021, 0)</f>
        <v>67.648600000000002</v>
      </c>
      <c r="I716" s="10">
        <f>67.6465 * CHOOSE(CONTROL!$C$9, $D$9, 100%, $F$9) + CHOOSE(CONTROL!$C$27, 0.0021, 0)</f>
        <v>67.648600000000002</v>
      </c>
      <c r="J716" s="10">
        <f>67.6465 * CHOOSE(CONTROL!$C$9, $D$9, 100%, $F$9) + CHOOSE(CONTROL!$C$27, 0.0021, 0)</f>
        <v>67.648600000000002</v>
      </c>
      <c r="K716" s="10">
        <f>67.6465 * CHOOSE(CONTROL!$C$9, $D$9, 100%, $F$9) + CHOOSE(CONTROL!$C$27, 0.0021, 0)</f>
        <v>67.648600000000002</v>
      </c>
      <c r="L716" s="10"/>
    </row>
    <row r="717" spans="1:12" ht="15.75">
      <c r="A717" s="13">
        <v>63128</v>
      </c>
      <c r="B717" s="10">
        <f>69.7383 * CHOOSE(CONTROL!$C$9, $D$9, 100%, $F$9) + CHOOSE(CONTROL!$C$27, 0.0021, 0)</f>
        <v>69.740399999999994</v>
      </c>
      <c r="C717" s="10">
        <f>69.3061 * CHOOSE(CONTROL!$C$9, $D$9, 100%, $F$9) + CHOOSE(CONTROL!$C$27, 0.0021, 0)</f>
        <v>69.308199999999999</v>
      </c>
      <c r="D717" s="10">
        <f>69.3061 * CHOOSE(CONTROL!$C$9, $D$9, 100%, $F$9) + CHOOSE(CONTROL!$C$27, 0.0021, 0)</f>
        <v>69.308199999999999</v>
      </c>
      <c r="E717" s="10">
        <f>69.1694 * CHOOSE(CONTROL!$C$9, $D$9, 100%, $F$9) + CHOOSE(CONTROL!$C$27, 0.0021, 0)</f>
        <v>69.171499999999995</v>
      </c>
      <c r="F717" s="10">
        <f>69.1694 * CHOOSE(CONTROL!$C$9, $D$9, 100%, $F$9) + CHOOSE(CONTROL!$C$27, 0.0021, 0)</f>
        <v>69.171499999999995</v>
      </c>
      <c r="G717" s="10">
        <f>69.4408 * CHOOSE(CONTROL!$C$9, $D$9, 100%, $F$9) + CHOOSE(CONTROL!$C$27, 0.0021, 0)</f>
        <v>69.442899999999995</v>
      </c>
      <c r="H717" s="10">
        <f>69.3061 * CHOOSE(CONTROL!$C$9, $D$9, 100%, $F$9) + CHOOSE(CONTROL!$C$27, 0.0021, 0)</f>
        <v>69.308199999999999</v>
      </c>
      <c r="I717" s="10">
        <f>69.3061 * CHOOSE(CONTROL!$C$9, $D$9, 100%, $F$9) + CHOOSE(CONTROL!$C$27, 0.0021, 0)</f>
        <v>69.308199999999999</v>
      </c>
      <c r="J717" s="10">
        <f>69.3061 * CHOOSE(CONTROL!$C$9, $D$9, 100%, $F$9) + CHOOSE(CONTROL!$C$27, 0.0021, 0)</f>
        <v>69.308199999999999</v>
      </c>
      <c r="K717" s="10">
        <f>69.3061 * CHOOSE(CONTROL!$C$9, $D$9, 100%, $F$9) + CHOOSE(CONTROL!$C$27, 0.0021, 0)</f>
        <v>69.308199999999999</v>
      </c>
      <c r="L717" s="10"/>
    </row>
    <row r="718" spans="1:12" ht="15.75">
      <c r="A718" s="13">
        <v>63158</v>
      </c>
      <c r="B718" s="10">
        <f>69.8941 * CHOOSE(CONTROL!$C$9, $D$9, 100%, $F$9) + CHOOSE(CONTROL!$C$27, 0.0021, 0)</f>
        <v>69.896199999999993</v>
      </c>
      <c r="C718" s="10">
        <f>69.4619 * CHOOSE(CONTROL!$C$9, $D$9, 100%, $F$9) + CHOOSE(CONTROL!$C$27, 0.0021, 0)</f>
        <v>69.463999999999999</v>
      </c>
      <c r="D718" s="10">
        <f>69.4619 * CHOOSE(CONTROL!$C$9, $D$9, 100%, $F$9) + CHOOSE(CONTROL!$C$27, 0.0021, 0)</f>
        <v>69.463999999999999</v>
      </c>
      <c r="E718" s="10">
        <f>69.3252 * CHOOSE(CONTROL!$C$9, $D$9, 100%, $F$9) + CHOOSE(CONTROL!$C$27, 0.0021, 0)</f>
        <v>69.327299999999994</v>
      </c>
      <c r="F718" s="10">
        <f>69.3252 * CHOOSE(CONTROL!$C$9, $D$9, 100%, $F$9) + CHOOSE(CONTROL!$C$27, 0.0021, 0)</f>
        <v>69.327299999999994</v>
      </c>
      <c r="G718" s="10">
        <f>69.5966 * CHOOSE(CONTROL!$C$9, $D$9, 100%, $F$9) + CHOOSE(CONTROL!$C$27, 0.0021, 0)</f>
        <v>69.598699999999994</v>
      </c>
      <c r="H718" s="10">
        <f>69.4619 * CHOOSE(CONTROL!$C$9, $D$9, 100%, $F$9) + CHOOSE(CONTROL!$C$27, 0.0021, 0)</f>
        <v>69.463999999999999</v>
      </c>
      <c r="I718" s="10">
        <f>69.4619 * CHOOSE(CONTROL!$C$9, $D$9, 100%, $F$9) + CHOOSE(CONTROL!$C$27, 0.0021, 0)</f>
        <v>69.463999999999999</v>
      </c>
      <c r="J718" s="10">
        <f>69.4619 * CHOOSE(CONTROL!$C$9, $D$9, 100%, $F$9) + CHOOSE(CONTROL!$C$27, 0.0021, 0)</f>
        <v>69.463999999999999</v>
      </c>
      <c r="K718" s="10">
        <f>69.4619 * CHOOSE(CONTROL!$C$9, $D$9, 100%, $F$9) + CHOOSE(CONTROL!$C$27, 0.0021, 0)</f>
        <v>69.463999999999999</v>
      </c>
      <c r="L718" s="10"/>
    </row>
    <row r="719" spans="1:12" ht="15.75">
      <c r="A719" s="13">
        <v>63189</v>
      </c>
      <c r="B719" s="10">
        <f>68.5686 * CHOOSE(CONTROL!$C$9, $D$9, 100%, $F$9) + CHOOSE(CONTROL!$C$27, 0.0021, 0)</f>
        <v>68.570700000000002</v>
      </c>
      <c r="C719" s="10">
        <f>68.1364 * CHOOSE(CONTROL!$C$9, $D$9, 100%, $F$9) + CHOOSE(CONTROL!$C$27, 0.0021, 0)</f>
        <v>68.138499999999993</v>
      </c>
      <c r="D719" s="10">
        <f>68.1364 * CHOOSE(CONTROL!$C$9, $D$9, 100%, $F$9) + CHOOSE(CONTROL!$C$27, 0.0021, 0)</f>
        <v>68.138499999999993</v>
      </c>
      <c r="E719" s="10">
        <f>67.9997 * CHOOSE(CONTROL!$C$9, $D$9, 100%, $F$9) + CHOOSE(CONTROL!$C$27, 0.0021, 0)</f>
        <v>68.001800000000003</v>
      </c>
      <c r="F719" s="10">
        <f>67.9997 * CHOOSE(CONTROL!$C$9, $D$9, 100%, $F$9) + CHOOSE(CONTROL!$C$27, 0.0021, 0)</f>
        <v>68.001800000000003</v>
      </c>
      <c r="G719" s="10">
        <f>68.2711 * CHOOSE(CONTROL!$C$9, $D$9, 100%, $F$9) + CHOOSE(CONTROL!$C$27, 0.0021, 0)</f>
        <v>68.273200000000003</v>
      </c>
      <c r="H719" s="10">
        <f>68.1364 * CHOOSE(CONTROL!$C$9, $D$9, 100%, $F$9) + CHOOSE(CONTROL!$C$27, 0.0021, 0)</f>
        <v>68.138499999999993</v>
      </c>
      <c r="I719" s="10">
        <f>68.1364 * CHOOSE(CONTROL!$C$9, $D$9, 100%, $F$9) + CHOOSE(CONTROL!$C$27, 0.0021, 0)</f>
        <v>68.138499999999993</v>
      </c>
      <c r="J719" s="10">
        <f>68.1364 * CHOOSE(CONTROL!$C$9, $D$9, 100%, $F$9) + CHOOSE(CONTROL!$C$27, 0.0021, 0)</f>
        <v>68.138499999999993</v>
      </c>
      <c r="K719" s="10">
        <f>68.1364 * CHOOSE(CONTROL!$C$9, $D$9, 100%, $F$9) + CHOOSE(CONTROL!$C$27, 0.0021, 0)</f>
        <v>68.138499999999993</v>
      </c>
      <c r="L719" s="10"/>
    </row>
    <row r="720" spans="1:12" ht="15.75">
      <c r="A720" s="13">
        <v>63220</v>
      </c>
      <c r="B720" s="10">
        <f>67.5538 * CHOOSE(CONTROL!$C$9, $D$9, 100%, $F$9) + CHOOSE(CONTROL!$C$27, 0.0021, 0)</f>
        <v>67.555899999999994</v>
      </c>
      <c r="C720" s="10">
        <f>67.1215 * CHOOSE(CONTROL!$C$9, $D$9, 100%, $F$9) + CHOOSE(CONTROL!$C$27, 0.0021, 0)</f>
        <v>67.123599999999996</v>
      </c>
      <c r="D720" s="10">
        <f>67.1215 * CHOOSE(CONTROL!$C$9, $D$9, 100%, $F$9) + CHOOSE(CONTROL!$C$27, 0.0021, 0)</f>
        <v>67.123599999999996</v>
      </c>
      <c r="E720" s="10">
        <f>66.9849 * CHOOSE(CONTROL!$C$9, $D$9, 100%, $F$9) + CHOOSE(CONTROL!$C$27, 0.0021, 0)</f>
        <v>66.986999999999995</v>
      </c>
      <c r="F720" s="10">
        <f>66.9849 * CHOOSE(CONTROL!$C$9, $D$9, 100%, $F$9) + CHOOSE(CONTROL!$C$27, 0.0021, 0)</f>
        <v>66.986999999999995</v>
      </c>
      <c r="G720" s="10">
        <f>67.2562 * CHOOSE(CONTROL!$C$9, $D$9, 100%, $F$9) + CHOOSE(CONTROL!$C$27, 0.0021, 0)</f>
        <v>67.258300000000006</v>
      </c>
      <c r="H720" s="10">
        <f>67.1215 * CHOOSE(CONTROL!$C$9, $D$9, 100%, $F$9) + CHOOSE(CONTROL!$C$27, 0.0021, 0)</f>
        <v>67.123599999999996</v>
      </c>
      <c r="I720" s="10">
        <f>67.1215 * CHOOSE(CONTROL!$C$9, $D$9, 100%, $F$9) + CHOOSE(CONTROL!$C$27, 0.0021, 0)</f>
        <v>67.123599999999996</v>
      </c>
      <c r="J720" s="10">
        <f>67.1215 * CHOOSE(CONTROL!$C$9, $D$9, 100%, $F$9) + CHOOSE(CONTROL!$C$27, 0.0021, 0)</f>
        <v>67.123599999999996</v>
      </c>
      <c r="K720" s="10">
        <f>67.1215 * CHOOSE(CONTROL!$C$9, $D$9, 100%, $F$9) + CHOOSE(CONTROL!$C$27, 0.0021, 0)</f>
        <v>67.123599999999996</v>
      </c>
      <c r="L720" s="10"/>
    </row>
    <row r="721" spans="1:12" ht="15.75">
      <c r="A721" s="13">
        <v>63248</v>
      </c>
      <c r="B721" s="10">
        <f>65.7078 * CHOOSE(CONTROL!$C$9, $D$9, 100%, $F$9) + CHOOSE(CONTROL!$C$27, 0.0021, 0)</f>
        <v>65.709900000000005</v>
      </c>
      <c r="C721" s="10">
        <f>65.2756 * CHOOSE(CONTROL!$C$9, $D$9, 100%, $F$9) + CHOOSE(CONTROL!$C$27, 0.0021, 0)</f>
        <v>65.277699999999996</v>
      </c>
      <c r="D721" s="10">
        <f>65.2756 * CHOOSE(CONTROL!$C$9, $D$9, 100%, $F$9) + CHOOSE(CONTROL!$C$27, 0.0021, 0)</f>
        <v>65.277699999999996</v>
      </c>
      <c r="E721" s="10">
        <f>65.1389 * CHOOSE(CONTROL!$C$9, $D$9, 100%, $F$9) + CHOOSE(CONTROL!$C$27, 0.0021, 0)</f>
        <v>65.141000000000005</v>
      </c>
      <c r="F721" s="10">
        <f>65.1389 * CHOOSE(CONTROL!$C$9, $D$9, 100%, $F$9) + CHOOSE(CONTROL!$C$27, 0.0021, 0)</f>
        <v>65.141000000000005</v>
      </c>
      <c r="G721" s="10">
        <f>65.4103 * CHOOSE(CONTROL!$C$9, $D$9, 100%, $F$9) + CHOOSE(CONTROL!$C$27, 0.0021, 0)</f>
        <v>65.412400000000005</v>
      </c>
      <c r="H721" s="10">
        <f>65.2756 * CHOOSE(CONTROL!$C$9, $D$9, 100%, $F$9) + CHOOSE(CONTROL!$C$27, 0.0021, 0)</f>
        <v>65.277699999999996</v>
      </c>
      <c r="I721" s="10">
        <f>65.2756 * CHOOSE(CONTROL!$C$9, $D$9, 100%, $F$9) + CHOOSE(CONTROL!$C$27, 0.0021, 0)</f>
        <v>65.277699999999996</v>
      </c>
      <c r="J721" s="10">
        <f>65.2756 * CHOOSE(CONTROL!$C$9, $D$9, 100%, $F$9) + CHOOSE(CONTROL!$C$27, 0.0021, 0)</f>
        <v>65.277699999999996</v>
      </c>
      <c r="K721" s="10">
        <f>65.2756 * CHOOSE(CONTROL!$C$9, $D$9, 100%, $F$9) + CHOOSE(CONTROL!$C$27, 0.0021, 0)</f>
        <v>65.277699999999996</v>
      </c>
      <c r="L721" s="10"/>
    </row>
    <row r="722" spans="1:12" ht="15.75">
      <c r="A722" s="13">
        <v>63279</v>
      </c>
      <c r="B722" s="10">
        <f>64.9458 * CHOOSE(CONTROL!$C$9, $D$9, 100%, $F$9) + CHOOSE(CONTROL!$C$27, 0.0021, 0)</f>
        <v>64.947900000000004</v>
      </c>
      <c r="C722" s="10">
        <f>64.5136 * CHOOSE(CONTROL!$C$9, $D$9, 100%, $F$9) + CHOOSE(CONTROL!$C$27, 0.0021, 0)</f>
        <v>64.515699999999995</v>
      </c>
      <c r="D722" s="10">
        <f>64.5136 * CHOOSE(CONTROL!$C$9, $D$9, 100%, $F$9) + CHOOSE(CONTROL!$C$27, 0.0021, 0)</f>
        <v>64.515699999999995</v>
      </c>
      <c r="E722" s="10">
        <f>64.3769 * CHOOSE(CONTROL!$C$9, $D$9, 100%, $F$9) + CHOOSE(CONTROL!$C$27, 0.0021, 0)</f>
        <v>64.379000000000005</v>
      </c>
      <c r="F722" s="10">
        <f>64.3769 * CHOOSE(CONTROL!$C$9, $D$9, 100%, $F$9) + CHOOSE(CONTROL!$C$27, 0.0021, 0)</f>
        <v>64.379000000000005</v>
      </c>
      <c r="G722" s="10">
        <f>64.6483 * CHOOSE(CONTROL!$C$9, $D$9, 100%, $F$9) + CHOOSE(CONTROL!$C$27, 0.0021, 0)</f>
        <v>64.650400000000005</v>
      </c>
      <c r="H722" s="10">
        <f>64.5136 * CHOOSE(CONTROL!$C$9, $D$9, 100%, $F$9) + CHOOSE(CONTROL!$C$27, 0.0021, 0)</f>
        <v>64.515699999999995</v>
      </c>
      <c r="I722" s="10">
        <f>64.5136 * CHOOSE(CONTROL!$C$9, $D$9, 100%, $F$9) + CHOOSE(CONTROL!$C$27, 0.0021, 0)</f>
        <v>64.515699999999995</v>
      </c>
      <c r="J722" s="10">
        <f>64.5136 * CHOOSE(CONTROL!$C$9, $D$9, 100%, $F$9) + CHOOSE(CONTROL!$C$27, 0.0021, 0)</f>
        <v>64.515699999999995</v>
      </c>
      <c r="K722" s="10">
        <f>64.5136 * CHOOSE(CONTROL!$C$9, $D$9, 100%, $F$9) + CHOOSE(CONTROL!$C$27, 0.0021, 0)</f>
        <v>64.515699999999995</v>
      </c>
      <c r="L722" s="10"/>
    </row>
    <row r="723" spans="1:12" ht="15.75">
      <c r="A723" s="13">
        <v>63309</v>
      </c>
      <c r="B723" s="10">
        <f>64.036 * CHOOSE(CONTROL!$C$9, $D$9, 100%, $F$9) + CHOOSE(CONTROL!$C$27, 0.0021, 0)</f>
        <v>64.0381</v>
      </c>
      <c r="C723" s="10">
        <f>63.6037 * CHOOSE(CONTROL!$C$9, $D$9, 100%, $F$9) + CHOOSE(CONTROL!$C$27, 0.0021, 0)</f>
        <v>63.605800000000002</v>
      </c>
      <c r="D723" s="10">
        <f>63.6037 * CHOOSE(CONTROL!$C$9, $D$9, 100%, $F$9) + CHOOSE(CONTROL!$C$27, 0.0021, 0)</f>
        <v>63.605800000000002</v>
      </c>
      <c r="E723" s="10">
        <f>63.4671 * CHOOSE(CONTROL!$C$9, $D$9, 100%, $F$9) + CHOOSE(CONTROL!$C$27, 0.0021, 0)</f>
        <v>63.469200000000001</v>
      </c>
      <c r="F723" s="10">
        <f>63.4671 * CHOOSE(CONTROL!$C$9, $D$9, 100%, $F$9) + CHOOSE(CONTROL!$C$27, 0.0021, 0)</f>
        <v>63.469200000000001</v>
      </c>
      <c r="G723" s="10">
        <f>63.7384 * CHOOSE(CONTROL!$C$9, $D$9, 100%, $F$9) + CHOOSE(CONTROL!$C$27, 0.0021, 0)</f>
        <v>63.740499999999997</v>
      </c>
      <c r="H723" s="10">
        <f>63.6037 * CHOOSE(CONTROL!$C$9, $D$9, 100%, $F$9) + CHOOSE(CONTROL!$C$27, 0.0021, 0)</f>
        <v>63.605800000000002</v>
      </c>
      <c r="I723" s="10">
        <f>63.6037 * CHOOSE(CONTROL!$C$9, $D$9, 100%, $F$9) + CHOOSE(CONTROL!$C$27, 0.0021, 0)</f>
        <v>63.605800000000002</v>
      </c>
      <c r="J723" s="10">
        <f>63.6037 * CHOOSE(CONTROL!$C$9, $D$9, 100%, $F$9) + CHOOSE(CONTROL!$C$27, 0.0021, 0)</f>
        <v>63.605800000000002</v>
      </c>
      <c r="K723" s="10">
        <f>63.6037 * CHOOSE(CONTROL!$C$9, $D$9, 100%, $F$9) + CHOOSE(CONTROL!$C$27, 0.0021, 0)</f>
        <v>63.605800000000002</v>
      </c>
      <c r="L723" s="10"/>
    </row>
    <row r="724" spans="1:12" ht="15.75">
      <c r="A724" s="13">
        <v>63340</v>
      </c>
      <c r="B724" s="10">
        <f>65.3326 * CHOOSE(CONTROL!$C$9, $D$9, 100%, $F$9) + CHOOSE(CONTROL!$C$27, 0.0021, 0)</f>
        <v>65.334699999999998</v>
      </c>
      <c r="C724" s="10">
        <f>64.9004 * CHOOSE(CONTROL!$C$9, $D$9, 100%, $F$9) + CHOOSE(CONTROL!$C$27, 0.0021, 0)</f>
        <v>64.902500000000003</v>
      </c>
      <c r="D724" s="10">
        <f>64.9004 * CHOOSE(CONTROL!$C$9, $D$9, 100%, $F$9) + CHOOSE(CONTROL!$C$27, 0.0021, 0)</f>
        <v>64.902500000000003</v>
      </c>
      <c r="E724" s="10">
        <f>64.7637 * CHOOSE(CONTROL!$C$9, $D$9, 100%, $F$9) + CHOOSE(CONTROL!$C$27, 0.0021, 0)</f>
        <v>64.765799999999999</v>
      </c>
      <c r="F724" s="10">
        <f>64.7637 * CHOOSE(CONTROL!$C$9, $D$9, 100%, $F$9) + CHOOSE(CONTROL!$C$27, 0.0021, 0)</f>
        <v>64.765799999999999</v>
      </c>
      <c r="G724" s="10">
        <f>65.0351 * CHOOSE(CONTROL!$C$9, $D$9, 100%, $F$9) + CHOOSE(CONTROL!$C$27, 0.0021, 0)</f>
        <v>65.037199999999999</v>
      </c>
      <c r="H724" s="10">
        <f>64.9004 * CHOOSE(CONTROL!$C$9, $D$9, 100%, $F$9) + CHOOSE(CONTROL!$C$27, 0.0021, 0)</f>
        <v>64.902500000000003</v>
      </c>
      <c r="I724" s="10">
        <f>64.9004 * CHOOSE(CONTROL!$C$9, $D$9, 100%, $F$9) + CHOOSE(CONTROL!$C$27, 0.0021, 0)</f>
        <v>64.902500000000003</v>
      </c>
      <c r="J724" s="10">
        <f>64.9004 * CHOOSE(CONTROL!$C$9, $D$9, 100%, $F$9) + CHOOSE(CONTROL!$C$27, 0.0021, 0)</f>
        <v>64.902500000000003</v>
      </c>
      <c r="K724" s="10">
        <f>64.9004 * CHOOSE(CONTROL!$C$9, $D$9, 100%, $F$9) + CHOOSE(CONTROL!$C$27, 0.0021, 0)</f>
        <v>64.902500000000003</v>
      </c>
      <c r="L724" s="10"/>
    </row>
    <row r="725" spans="1:12" ht="15.75">
      <c r="A725" s="13">
        <v>63370</v>
      </c>
      <c r="B725" s="10">
        <f>66.1093 * CHOOSE(CONTROL!$C$9, $D$9, 100%, $F$9) + CHOOSE(CONTROL!$C$27, 0.0021, 0)</f>
        <v>66.111400000000003</v>
      </c>
      <c r="C725" s="10">
        <f>65.677 * CHOOSE(CONTROL!$C$9, $D$9, 100%, $F$9) + CHOOSE(CONTROL!$C$27, 0.0021, 0)</f>
        <v>65.679100000000005</v>
      </c>
      <c r="D725" s="10">
        <f>65.677 * CHOOSE(CONTROL!$C$9, $D$9, 100%, $F$9) + CHOOSE(CONTROL!$C$27, 0.0021, 0)</f>
        <v>65.679100000000005</v>
      </c>
      <c r="E725" s="10">
        <f>65.5404 * CHOOSE(CONTROL!$C$9, $D$9, 100%, $F$9) + CHOOSE(CONTROL!$C$27, 0.0021, 0)</f>
        <v>65.542500000000004</v>
      </c>
      <c r="F725" s="10">
        <f>65.5404 * CHOOSE(CONTROL!$C$9, $D$9, 100%, $F$9) + CHOOSE(CONTROL!$C$27, 0.0021, 0)</f>
        <v>65.542500000000004</v>
      </c>
      <c r="G725" s="10">
        <f>65.8117 * CHOOSE(CONTROL!$C$9, $D$9, 100%, $F$9) + CHOOSE(CONTROL!$C$27, 0.0021, 0)</f>
        <v>65.813800000000001</v>
      </c>
      <c r="H725" s="10">
        <f>65.677 * CHOOSE(CONTROL!$C$9, $D$9, 100%, $F$9) + CHOOSE(CONTROL!$C$27, 0.0021, 0)</f>
        <v>65.679100000000005</v>
      </c>
      <c r="I725" s="10">
        <f>65.677 * CHOOSE(CONTROL!$C$9, $D$9, 100%, $F$9) + CHOOSE(CONTROL!$C$27, 0.0021, 0)</f>
        <v>65.679100000000005</v>
      </c>
      <c r="J725" s="10">
        <f>65.677 * CHOOSE(CONTROL!$C$9, $D$9, 100%, $F$9) + CHOOSE(CONTROL!$C$27, 0.0021, 0)</f>
        <v>65.679100000000005</v>
      </c>
      <c r="K725" s="10">
        <f>65.677 * CHOOSE(CONTROL!$C$9, $D$9, 100%, $F$9) + CHOOSE(CONTROL!$C$27, 0.0021, 0)</f>
        <v>65.679100000000005</v>
      </c>
      <c r="L725" s="10"/>
    </row>
    <row r="726" spans="1:12" ht="15.75">
      <c r="A726" s="13">
        <v>63401</v>
      </c>
      <c r="B726" s="10">
        <f>67.3904 * CHOOSE(CONTROL!$C$9, $D$9, 100%, $F$9) + CHOOSE(CONTROL!$C$27, 0.0021, 0)</f>
        <v>67.392499999999998</v>
      </c>
      <c r="C726" s="10">
        <f>66.9582 * CHOOSE(CONTROL!$C$9, $D$9, 100%, $F$9) + CHOOSE(CONTROL!$C$27, 0.0021, 0)</f>
        <v>66.960300000000004</v>
      </c>
      <c r="D726" s="10">
        <f>66.9582 * CHOOSE(CONTROL!$C$9, $D$9, 100%, $F$9) + CHOOSE(CONTROL!$C$27, 0.0021, 0)</f>
        <v>66.960300000000004</v>
      </c>
      <c r="E726" s="10">
        <f>66.8215 * CHOOSE(CONTROL!$C$9, $D$9, 100%, $F$9) + CHOOSE(CONTROL!$C$27, 0.0021, 0)</f>
        <v>66.823599999999999</v>
      </c>
      <c r="F726" s="10">
        <f>66.8215 * CHOOSE(CONTROL!$C$9, $D$9, 100%, $F$9) + CHOOSE(CONTROL!$C$27, 0.0021, 0)</f>
        <v>66.823599999999999</v>
      </c>
      <c r="G726" s="10">
        <f>67.0929 * CHOOSE(CONTROL!$C$9, $D$9, 100%, $F$9) + CHOOSE(CONTROL!$C$27, 0.0021, 0)</f>
        <v>67.094999999999999</v>
      </c>
      <c r="H726" s="10">
        <f>66.9582 * CHOOSE(CONTROL!$C$9, $D$9, 100%, $F$9) + CHOOSE(CONTROL!$C$27, 0.0021, 0)</f>
        <v>66.960300000000004</v>
      </c>
      <c r="I726" s="10">
        <f>66.9582 * CHOOSE(CONTROL!$C$9, $D$9, 100%, $F$9) + CHOOSE(CONTROL!$C$27, 0.0021, 0)</f>
        <v>66.960300000000004</v>
      </c>
      <c r="J726" s="10">
        <f>66.9582 * CHOOSE(CONTROL!$C$9, $D$9, 100%, $F$9) + CHOOSE(CONTROL!$C$27, 0.0021, 0)</f>
        <v>66.960300000000004</v>
      </c>
      <c r="K726" s="10">
        <f>66.9582 * CHOOSE(CONTROL!$C$9, $D$9, 100%, $F$9) + CHOOSE(CONTROL!$C$27, 0.0021, 0)</f>
        <v>66.960300000000004</v>
      </c>
      <c r="L726" s="10"/>
    </row>
    <row r="727" spans="1:12" ht="15.75">
      <c r="A727" s="13">
        <v>63432</v>
      </c>
      <c r="B727" s="10">
        <f>67.7815 * CHOOSE(CONTROL!$C$9, $D$9, 100%, $F$9) + CHOOSE(CONTROL!$C$27, 0.0021, 0)</f>
        <v>67.783599999999993</v>
      </c>
      <c r="C727" s="10">
        <f>67.3492 * CHOOSE(CONTROL!$C$9, $D$9, 100%, $F$9) + CHOOSE(CONTROL!$C$27, 0.0021, 0)</f>
        <v>67.351299999999995</v>
      </c>
      <c r="D727" s="10">
        <f>67.3492 * CHOOSE(CONTROL!$C$9, $D$9, 100%, $F$9) + CHOOSE(CONTROL!$C$27, 0.0021, 0)</f>
        <v>67.351299999999995</v>
      </c>
      <c r="E727" s="10">
        <f>67.2126 * CHOOSE(CONTROL!$C$9, $D$9, 100%, $F$9) + CHOOSE(CONTROL!$C$27, 0.0021, 0)</f>
        <v>67.214699999999993</v>
      </c>
      <c r="F727" s="10">
        <f>67.2126 * CHOOSE(CONTROL!$C$9, $D$9, 100%, $F$9) + CHOOSE(CONTROL!$C$27, 0.0021, 0)</f>
        <v>67.214699999999993</v>
      </c>
      <c r="G727" s="10">
        <f>67.4839 * CHOOSE(CONTROL!$C$9, $D$9, 100%, $F$9) + CHOOSE(CONTROL!$C$27, 0.0021, 0)</f>
        <v>67.486000000000004</v>
      </c>
      <c r="H727" s="10">
        <f>67.3492 * CHOOSE(CONTROL!$C$9, $D$9, 100%, $F$9) + CHOOSE(CONTROL!$C$27, 0.0021, 0)</f>
        <v>67.351299999999995</v>
      </c>
      <c r="I727" s="10">
        <f>67.3492 * CHOOSE(CONTROL!$C$9, $D$9, 100%, $F$9) + CHOOSE(CONTROL!$C$27, 0.0021, 0)</f>
        <v>67.351299999999995</v>
      </c>
      <c r="J727" s="10">
        <f>67.3492 * CHOOSE(CONTROL!$C$9, $D$9, 100%, $F$9) + CHOOSE(CONTROL!$C$27, 0.0021, 0)</f>
        <v>67.351299999999995</v>
      </c>
      <c r="K727" s="10">
        <f>67.3492 * CHOOSE(CONTROL!$C$9, $D$9, 100%, $F$9) + CHOOSE(CONTROL!$C$27, 0.0021, 0)</f>
        <v>67.351299999999995</v>
      </c>
      <c r="L727" s="10"/>
    </row>
    <row r="728" spans="1:12" ht="15.75">
      <c r="A728" s="13">
        <v>63462</v>
      </c>
      <c r="B728" s="10">
        <f>69.1132 * CHOOSE(CONTROL!$C$9, $D$9, 100%, $F$9) + CHOOSE(CONTROL!$C$27, 0.0021, 0)</f>
        <v>69.115300000000005</v>
      </c>
      <c r="C728" s="10">
        <f>68.6809 * CHOOSE(CONTROL!$C$9, $D$9, 100%, $F$9) + CHOOSE(CONTROL!$C$27, 0.0021, 0)</f>
        <v>68.682999999999993</v>
      </c>
      <c r="D728" s="10">
        <f>68.6809 * CHOOSE(CONTROL!$C$9, $D$9, 100%, $F$9) + CHOOSE(CONTROL!$C$27, 0.0021, 0)</f>
        <v>68.682999999999993</v>
      </c>
      <c r="E728" s="10">
        <f>68.5443 * CHOOSE(CONTROL!$C$9, $D$9, 100%, $F$9) + CHOOSE(CONTROL!$C$27, 0.0021, 0)</f>
        <v>68.546400000000006</v>
      </c>
      <c r="F728" s="10">
        <f>68.5443 * CHOOSE(CONTROL!$C$9, $D$9, 100%, $F$9) + CHOOSE(CONTROL!$C$27, 0.0021, 0)</f>
        <v>68.546400000000006</v>
      </c>
      <c r="G728" s="10">
        <f>68.8157 * CHOOSE(CONTROL!$C$9, $D$9, 100%, $F$9) + CHOOSE(CONTROL!$C$27, 0.0021, 0)</f>
        <v>68.817800000000005</v>
      </c>
      <c r="H728" s="10">
        <f>68.6809 * CHOOSE(CONTROL!$C$9, $D$9, 100%, $F$9) + CHOOSE(CONTROL!$C$27, 0.0021, 0)</f>
        <v>68.682999999999993</v>
      </c>
      <c r="I728" s="10">
        <f>68.6809 * CHOOSE(CONTROL!$C$9, $D$9, 100%, $F$9) + CHOOSE(CONTROL!$C$27, 0.0021, 0)</f>
        <v>68.682999999999993</v>
      </c>
      <c r="J728" s="10">
        <f>68.6809 * CHOOSE(CONTROL!$C$9, $D$9, 100%, $F$9) + CHOOSE(CONTROL!$C$27, 0.0021, 0)</f>
        <v>68.682999999999993</v>
      </c>
      <c r="K728" s="10">
        <f>68.6809 * CHOOSE(CONTROL!$C$9, $D$9, 100%, $F$9) + CHOOSE(CONTROL!$C$27, 0.0021, 0)</f>
        <v>68.682999999999993</v>
      </c>
      <c r="L728" s="10"/>
    </row>
    <row r="729" spans="1:12" ht="15.75">
      <c r="A729" s="13">
        <v>63493</v>
      </c>
      <c r="B729" s="10">
        <f>70.7989 * CHOOSE(CONTROL!$C$9, $D$9, 100%, $F$9) + CHOOSE(CONTROL!$C$27, 0.0021, 0)</f>
        <v>70.801000000000002</v>
      </c>
      <c r="C729" s="10">
        <f>70.3667 * CHOOSE(CONTROL!$C$9, $D$9, 100%, $F$9) + CHOOSE(CONTROL!$C$27, 0.0021, 0)</f>
        <v>70.368799999999993</v>
      </c>
      <c r="D729" s="10">
        <f>70.3667 * CHOOSE(CONTROL!$C$9, $D$9, 100%, $F$9) + CHOOSE(CONTROL!$C$27, 0.0021, 0)</f>
        <v>70.368799999999993</v>
      </c>
      <c r="E729" s="10">
        <f>70.23 * CHOOSE(CONTROL!$C$9, $D$9, 100%, $F$9) + CHOOSE(CONTROL!$C$27, 0.0021, 0)</f>
        <v>70.232100000000003</v>
      </c>
      <c r="F729" s="10">
        <f>70.23 * CHOOSE(CONTROL!$C$9, $D$9, 100%, $F$9) + CHOOSE(CONTROL!$C$27, 0.0021, 0)</f>
        <v>70.232100000000003</v>
      </c>
      <c r="G729" s="10">
        <f>70.5014 * CHOOSE(CONTROL!$C$9, $D$9, 100%, $F$9) + CHOOSE(CONTROL!$C$27, 0.0021, 0)</f>
        <v>70.503500000000003</v>
      </c>
      <c r="H729" s="10">
        <f>70.3667 * CHOOSE(CONTROL!$C$9, $D$9, 100%, $F$9) + CHOOSE(CONTROL!$C$27, 0.0021, 0)</f>
        <v>70.368799999999993</v>
      </c>
      <c r="I729" s="10">
        <f>70.3667 * CHOOSE(CONTROL!$C$9, $D$9, 100%, $F$9) + CHOOSE(CONTROL!$C$27, 0.0021, 0)</f>
        <v>70.368799999999993</v>
      </c>
      <c r="J729" s="10">
        <f>70.3667 * CHOOSE(CONTROL!$C$9, $D$9, 100%, $F$9) + CHOOSE(CONTROL!$C$27, 0.0021, 0)</f>
        <v>70.368799999999993</v>
      </c>
      <c r="K729" s="10">
        <f>70.3667 * CHOOSE(CONTROL!$C$9, $D$9, 100%, $F$9) + CHOOSE(CONTROL!$C$27, 0.0021, 0)</f>
        <v>70.368799999999993</v>
      </c>
      <c r="L729" s="10"/>
    </row>
    <row r="730" spans="1:12" ht="15.75">
      <c r="A730" s="13">
        <v>63523</v>
      </c>
      <c r="B730" s="10">
        <f>70.9572 * CHOOSE(CONTROL!$C$9, $D$9, 100%, $F$9) + CHOOSE(CONTROL!$C$27, 0.0021, 0)</f>
        <v>70.959299999999999</v>
      </c>
      <c r="C730" s="10">
        <f>70.5249 * CHOOSE(CONTROL!$C$9, $D$9, 100%, $F$9) + CHOOSE(CONTROL!$C$27, 0.0021, 0)</f>
        <v>70.527000000000001</v>
      </c>
      <c r="D730" s="10">
        <f>70.5249 * CHOOSE(CONTROL!$C$9, $D$9, 100%, $F$9) + CHOOSE(CONTROL!$C$27, 0.0021, 0)</f>
        <v>70.527000000000001</v>
      </c>
      <c r="E730" s="10">
        <f>70.3883 * CHOOSE(CONTROL!$C$9, $D$9, 100%, $F$9) + CHOOSE(CONTROL!$C$27, 0.0021, 0)</f>
        <v>70.3904</v>
      </c>
      <c r="F730" s="10">
        <f>70.3883 * CHOOSE(CONTROL!$C$9, $D$9, 100%, $F$9) + CHOOSE(CONTROL!$C$27, 0.0021, 0)</f>
        <v>70.3904</v>
      </c>
      <c r="G730" s="10">
        <f>70.6596 * CHOOSE(CONTROL!$C$9, $D$9, 100%, $F$9) + CHOOSE(CONTROL!$C$27, 0.0021, 0)</f>
        <v>70.661699999999996</v>
      </c>
      <c r="H730" s="10">
        <f>70.5249 * CHOOSE(CONTROL!$C$9, $D$9, 100%, $F$9) + CHOOSE(CONTROL!$C$27, 0.0021, 0)</f>
        <v>70.527000000000001</v>
      </c>
      <c r="I730" s="10">
        <f>70.5249 * CHOOSE(CONTROL!$C$9, $D$9, 100%, $F$9) + CHOOSE(CONTROL!$C$27, 0.0021, 0)</f>
        <v>70.527000000000001</v>
      </c>
      <c r="J730" s="10">
        <f>70.5249 * CHOOSE(CONTROL!$C$9, $D$9, 100%, $F$9) + CHOOSE(CONTROL!$C$27, 0.0021, 0)</f>
        <v>70.527000000000001</v>
      </c>
      <c r="K730" s="10">
        <f>70.5249 * CHOOSE(CONTROL!$C$9, $D$9, 100%, $F$9) + CHOOSE(CONTROL!$C$27, 0.0021, 0)</f>
        <v>70.527000000000001</v>
      </c>
      <c r="L730" s="10"/>
    </row>
    <row r="731" spans="1:12" ht="15.75">
      <c r="A731" s="13">
        <v>63554</v>
      </c>
      <c r="B731" s="10">
        <f>69.6108 * CHOOSE(CONTROL!$C$9, $D$9, 100%, $F$9) + CHOOSE(CONTROL!$C$27, 0.0021, 0)</f>
        <v>69.612899999999996</v>
      </c>
      <c r="C731" s="10">
        <f>69.1786 * CHOOSE(CONTROL!$C$9, $D$9, 100%, $F$9) + CHOOSE(CONTROL!$C$27, 0.0021, 0)</f>
        <v>69.180700000000002</v>
      </c>
      <c r="D731" s="10">
        <f>69.1786 * CHOOSE(CONTROL!$C$9, $D$9, 100%, $F$9) + CHOOSE(CONTROL!$C$27, 0.0021, 0)</f>
        <v>69.180700000000002</v>
      </c>
      <c r="E731" s="10">
        <f>69.0419 * CHOOSE(CONTROL!$C$9, $D$9, 100%, $F$9) + CHOOSE(CONTROL!$C$27, 0.0021, 0)</f>
        <v>69.043999999999997</v>
      </c>
      <c r="F731" s="10">
        <f>69.0419 * CHOOSE(CONTROL!$C$9, $D$9, 100%, $F$9) + CHOOSE(CONTROL!$C$27, 0.0021, 0)</f>
        <v>69.043999999999997</v>
      </c>
      <c r="G731" s="10">
        <f>69.3133 * CHOOSE(CONTROL!$C$9, $D$9, 100%, $F$9) + CHOOSE(CONTROL!$C$27, 0.0021, 0)</f>
        <v>69.315399999999997</v>
      </c>
      <c r="H731" s="10">
        <f>69.1786 * CHOOSE(CONTROL!$C$9, $D$9, 100%, $F$9) + CHOOSE(CONTROL!$C$27, 0.0021, 0)</f>
        <v>69.180700000000002</v>
      </c>
      <c r="I731" s="10">
        <f>69.1786 * CHOOSE(CONTROL!$C$9, $D$9, 100%, $F$9) + CHOOSE(CONTROL!$C$27, 0.0021, 0)</f>
        <v>69.180700000000002</v>
      </c>
      <c r="J731" s="10">
        <f>69.1786 * CHOOSE(CONTROL!$C$9, $D$9, 100%, $F$9) + CHOOSE(CONTROL!$C$27, 0.0021, 0)</f>
        <v>69.180700000000002</v>
      </c>
      <c r="K731" s="10">
        <f>69.1786 * CHOOSE(CONTROL!$C$9, $D$9, 100%, $F$9) + CHOOSE(CONTROL!$C$27, 0.0021, 0)</f>
        <v>69.180700000000002</v>
      </c>
      <c r="L731" s="10"/>
    </row>
    <row r="732" spans="1:12" ht="15.75">
      <c r="A732" s="13">
        <v>63585</v>
      </c>
      <c r="B732" s="10">
        <f>68.58 * CHOOSE(CONTROL!$C$9, $D$9, 100%, $F$9) + CHOOSE(CONTROL!$C$27, 0.0021, 0)</f>
        <v>68.582099999999997</v>
      </c>
      <c r="C732" s="10">
        <f>68.1478 * CHOOSE(CONTROL!$C$9, $D$9, 100%, $F$9) + CHOOSE(CONTROL!$C$27, 0.0021, 0)</f>
        <v>68.149900000000002</v>
      </c>
      <c r="D732" s="10">
        <f>68.1478 * CHOOSE(CONTROL!$C$9, $D$9, 100%, $F$9) + CHOOSE(CONTROL!$C$27, 0.0021, 0)</f>
        <v>68.149900000000002</v>
      </c>
      <c r="E732" s="10">
        <f>68.0111 * CHOOSE(CONTROL!$C$9, $D$9, 100%, $F$9) + CHOOSE(CONTROL!$C$27, 0.0021, 0)</f>
        <v>68.013199999999998</v>
      </c>
      <c r="F732" s="10">
        <f>68.0111 * CHOOSE(CONTROL!$C$9, $D$9, 100%, $F$9) + CHOOSE(CONTROL!$C$27, 0.0021, 0)</f>
        <v>68.013199999999998</v>
      </c>
      <c r="G732" s="10">
        <f>68.2825 * CHOOSE(CONTROL!$C$9, $D$9, 100%, $F$9) + CHOOSE(CONTROL!$C$27, 0.0021, 0)</f>
        <v>68.284599999999998</v>
      </c>
      <c r="H732" s="10">
        <f>68.1478 * CHOOSE(CONTROL!$C$9, $D$9, 100%, $F$9) + CHOOSE(CONTROL!$C$27, 0.0021, 0)</f>
        <v>68.149900000000002</v>
      </c>
      <c r="I732" s="10">
        <f>68.1478 * CHOOSE(CONTROL!$C$9, $D$9, 100%, $F$9) + CHOOSE(CONTROL!$C$27, 0.0021, 0)</f>
        <v>68.149900000000002</v>
      </c>
      <c r="J732" s="10">
        <f>68.1478 * CHOOSE(CONTROL!$C$9, $D$9, 100%, $F$9) + CHOOSE(CONTROL!$C$27, 0.0021, 0)</f>
        <v>68.149900000000002</v>
      </c>
      <c r="K732" s="10">
        <f>68.1478 * CHOOSE(CONTROL!$C$9, $D$9, 100%, $F$9) + CHOOSE(CONTROL!$C$27, 0.0021, 0)</f>
        <v>68.149900000000002</v>
      </c>
      <c r="L732" s="10"/>
    </row>
    <row r="733" spans="1:12" ht="15.75">
      <c r="A733" s="13">
        <v>63613</v>
      </c>
      <c r="B733" s="10">
        <f>66.705 * CHOOSE(CONTROL!$C$9, $D$9, 100%, $F$9) + CHOOSE(CONTROL!$C$27, 0.0021, 0)</f>
        <v>66.707099999999997</v>
      </c>
      <c r="C733" s="10">
        <f>66.2728 * CHOOSE(CONTROL!$C$9, $D$9, 100%, $F$9) + CHOOSE(CONTROL!$C$27, 0.0021, 0)</f>
        <v>66.274900000000002</v>
      </c>
      <c r="D733" s="10">
        <f>66.2728 * CHOOSE(CONTROL!$C$9, $D$9, 100%, $F$9) + CHOOSE(CONTROL!$C$27, 0.0021, 0)</f>
        <v>66.274900000000002</v>
      </c>
      <c r="E733" s="10">
        <f>66.1361 * CHOOSE(CONTROL!$C$9, $D$9, 100%, $F$9) + CHOOSE(CONTROL!$C$27, 0.0021, 0)</f>
        <v>66.138199999999998</v>
      </c>
      <c r="F733" s="10">
        <f>66.1361 * CHOOSE(CONTROL!$C$9, $D$9, 100%, $F$9) + CHOOSE(CONTROL!$C$27, 0.0021, 0)</f>
        <v>66.138199999999998</v>
      </c>
      <c r="G733" s="10">
        <f>66.4075 * CHOOSE(CONTROL!$C$9, $D$9, 100%, $F$9) + CHOOSE(CONTROL!$C$27, 0.0021, 0)</f>
        <v>66.409599999999998</v>
      </c>
      <c r="H733" s="10">
        <f>66.2728 * CHOOSE(CONTROL!$C$9, $D$9, 100%, $F$9) + CHOOSE(CONTROL!$C$27, 0.0021, 0)</f>
        <v>66.274900000000002</v>
      </c>
      <c r="I733" s="10">
        <f>66.2728 * CHOOSE(CONTROL!$C$9, $D$9, 100%, $F$9) + CHOOSE(CONTROL!$C$27, 0.0021, 0)</f>
        <v>66.274900000000002</v>
      </c>
      <c r="J733" s="10">
        <f>66.2728 * CHOOSE(CONTROL!$C$9, $D$9, 100%, $F$9) + CHOOSE(CONTROL!$C$27, 0.0021, 0)</f>
        <v>66.274900000000002</v>
      </c>
      <c r="K733" s="10">
        <f>66.2728 * CHOOSE(CONTROL!$C$9, $D$9, 100%, $F$9) + CHOOSE(CONTROL!$C$27, 0.0021, 0)</f>
        <v>66.274900000000002</v>
      </c>
      <c r="L733" s="10"/>
    </row>
    <row r="734" spans="1:12" ht="15.75">
      <c r="A734" s="13">
        <v>63644</v>
      </c>
      <c r="B734" s="10">
        <f>65.931 * CHOOSE(CONTROL!$C$9, $D$9, 100%, $F$9) + CHOOSE(CONTROL!$C$27, 0.0021, 0)</f>
        <v>65.933099999999996</v>
      </c>
      <c r="C734" s="10">
        <f>65.4988 * CHOOSE(CONTROL!$C$9, $D$9, 100%, $F$9) + CHOOSE(CONTROL!$C$27, 0.0021, 0)</f>
        <v>65.500900000000001</v>
      </c>
      <c r="D734" s="10">
        <f>65.4988 * CHOOSE(CONTROL!$C$9, $D$9, 100%, $F$9) + CHOOSE(CONTROL!$C$27, 0.0021, 0)</f>
        <v>65.500900000000001</v>
      </c>
      <c r="E734" s="10">
        <f>65.3621 * CHOOSE(CONTROL!$C$9, $D$9, 100%, $F$9) + CHOOSE(CONTROL!$C$27, 0.0021, 0)</f>
        <v>65.364199999999997</v>
      </c>
      <c r="F734" s="10">
        <f>65.3621 * CHOOSE(CONTROL!$C$9, $D$9, 100%, $F$9) + CHOOSE(CONTROL!$C$27, 0.0021, 0)</f>
        <v>65.364199999999997</v>
      </c>
      <c r="G734" s="10">
        <f>65.6335 * CHOOSE(CONTROL!$C$9, $D$9, 100%, $F$9) + CHOOSE(CONTROL!$C$27, 0.0021, 0)</f>
        <v>65.635599999999997</v>
      </c>
      <c r="H734" s="10">
        <f>65.4988 * CHOOSE(CONTROL!$C$9, $D$9, 100%, $F$9) + CHOOSE(CONTROL!$C$27, 0.0021, 0)</f>
        <v>65.500900000000001</v>
      </c>
      <c r="I734" s="10">
        <f>65.4988 * CHOOSE(CONTROL!$C$9, $D$9, 100%, $F$9) + CHOOSE(CONTROL!$C$27, 0.0021, 0)</f>
        <v>65.500900000000001</v>
      </c>
      <c r="J734" s="10">
        <f>65.4988 * CHOOSE(CONTROL!$C$9, $D$9, 100%, $F$9) + CHOOSE(CONTROL!$C$27, 0.0021, 0)</f>
        <v>65.500900000000001</v>
      </c>
      <c r="K734" s="10">
        <f>65.4988 * CHOOSE(CONTROL!$C$9, $D$9, 100%, $F$9) + CHOOSE(CONTROL!$C$27, 0.0021, 0)</f>
        <v>65.500900000000001</v>
      </c>
      <c r="L734" s="10"/>
    </row>
    <row r="735" spans="1:12" ht="15.75">
      <c r="A735" s="13">
        <v>63674</v>
      </c>
      <c r="B735" s="10">
        <f>65.0069 * CHOOSE(CONTROL!$C$9, $D$9, 100%, $F$9) + CHOOSE(CONTROL!$C$27, 0.0021, 0)</f>
        <v>65.009</v>
      </c>
      <c r="C735" s="10">
        <f>64.5746 * CHOOSE(CONTROL!$C$9, $D$9, 100%, $F$9) + CHOOSE(CONTROL!$C$27, 0.0021, 0)</f>
        <v>64.576700000000002</v>
      </c>
      <c r="D735" s="10">
        <f>64.5746 * CHOOSE(CONTROL!$C$9, $D$9, 100%, $F$9) + CHOOSE(CONTROL!$C$27, 0.0021, 0)</f>
        <v>64.576700000000002</v>
      </c>
      <c r="E735" s="10">
        <f>64.438 * CHOOSE(CONTROL!$C$9, $D$9, 100%, $F$9) + CHOOSE(CONTROL!$C$27, 0.0021, 0)</f>
        <v>64.440100000000001</v>
      </c>
      <c r="F735" s="10">
        <f>64.438 * CHOOSE(CONTROL!$C$9, $D$9, 100%, $F$9) + CHOOSE(CONTROL!$C$27, 0.0021, 0)</f>
        <v>64.440100000000001</v>
      </c>
      <c r="G735" s="10">
        <f>64.7094 * CHOOSE(CONTROL!$C$9, $D$9, 100%, $F$9) + CHOOSE(CONTROL!$C$27, 0.0021, 0)</f>
        <v>64.711500000000001</v>
      </c>
      <c r="H735" s="10">
        <f>64.5746 * CHOOSE(CONTROL!$C$9, $D$9, 100%, $F$9) + CHOOSE(CONTROL!$C$27, 0.0021, 0)</f>
        <v>64.576700000000002</v>
      </c>
      <c r="I735" s="10">
        <f>64.5746 * CHOOSE(CONTROL!$C$9, $D$9, 100%, $F$9) + CHOOSE(CONTROL!$C$27, 0.0021, 0)</f>
        <v>64.576700000000002</v>
      </c>
      <c r="J735" s="10">
        <f>64.5746 * CHOOSE(CONTROL!$C$9, $D$9, 100%, $F$9) + CHOOSE(CONTROL!$C$27, 0.0021, 0)</f>
        <v>64.576700000000002</v>
      </c>
      <c r="K735" s="10">
        <f>64.5746 * CHOOSE(CONTROL!$C$9, $D$9, 100%, $F$9) + CHOOSE(CONTROL!$C$27, 0.0021, 0)</f>
        <v>64.576700000000002</v>
      </c>
      <c r="L735" s="10"/>
    </row>
    <row r="736" spans="1:12" ht="15.75">
      <c r="A736" s="13">
        <v>63705</v>
      </c>
      <c r="B736" s="10">
        <f>66.3239 * CHOOSE(CONTROL!$C$9, $D$9, 100%, $F$9) + CHOOSE(CONTROL!$C$27, 0.0021, 0)</f>
        <v>66.325999999999993</v>
      </c>
      <c r="C736" s="10">
        <f>65.8917 * CHOOSE(CONTROL!$C$9, $D$9, 100%, $F$9) + CHOOSE(CONTROL!$C$27, 0.0021, 0)</f>
        <v>65.893799999999999</v>
      </c>
      <c r="D736" s="10">
        <f>65.8917 * CHOOSE(CONTROL!$C$9, $D$9, 100%, $F$9) + CHOOSE(CONTROL!$C$27, 0.0021, 0)</f>
        <v>65.893799999999999</v>
      </c>
      <c r="E736" s="10">
        <f>65.755 * CHOOSE(CONTROL!$C$9, $D$9, 100%, $F$9) + CHOOSE(CONTROL!$C$27, 0.0021, 0)</f>
        <v>65.757099999999994</v>
      </c>
      <c r="F736" s="10">
        <f>65.755 * CHOOSE(CONTROL!$C$9, $D$9, 100%, $F$9) + CHOOSE(CONTROL!$C$27, 0.0021, 0)</f>
        <v>65.757099999999994</v>
      </c>
      <c r="G736" s="10">
        <f>66.0264 * CHOOSE(CONTROL!$C$9, $D$9, 100%, $F$9) + CHOOSE(CONTROL!$C$27, 0.0021, 0)</f>
        <v>66.028499999999994</v>
      </c>
      <c r="H736" s="10">
        <f>65.8917 * CHOOSE(CONTROL!$C$9, $D$9, 100%, $F$9) + CHOOSE(CONTROL!$C$27, 0.0021, 0)</f>
        <v>65.893799999999999</v>
      </c>
      <c r="I736" s="10">
        <f>65.8917 * CHOOSE(CONTROL!$C$9, $D$9, 100%, $F$9) + CHOOSE(CONTROL!$C$27, 0.0021, 0)</f>
        <v>65.893799999999999</v>
      </c>
      <c r="J736" s="10">
        <f>65.8917 * CHOOSE(CONTROL!$C$9, $D$9, 100%, $F$9) + CHOOSE(CONTROL!$C$27, 0.0021, 0)</f>
        <v>65.893799999999999</v>
      </c>
      <c r="K736" s="10">
        <f>65.8917 * CHOOSE(CONTROL!$C$9, $D$9, 100%, $F$9) + CHOOSE(CONTROL!$C$27, 0.0021, 0)</f>
        <v>65.893799999999999</v>
      </c>
      <c r="L736" s="10"/>
    </row>
    <row r="737" spans="1:12" ht="15.75">
      <c r="A737" s="13">
        <v>63735</v>
      </c>
      <c r="B737" s="10">
        <f>67.1128 * CHOOSE(CONTROL!$C$9, $D$9, 100%, $F$9) + CHOOSE(CONTROL!$C$27, 0.0021, 0)</f>
        <v>67.114899999999992</v>
      </c>
      <c r="C737" s="10">
        <f>66.6805 * CHOOSE(CONTROL!$C$9, $D$9, 100%, $F$9) + CHOOSE(CONTROL!$C$27, 0.0021, 0)</f>
        <v>66.682599999999994</v>
      </c>
      <c r="D737" s="10">
        <f>66.6805 * CHOOSE(CONTROL!$C$9, $D$9, 100%, $F$9) + CHOOSE(CONTROL!$C$27, 0.0021, 0)</f>
        <v>66.682599999999994</v>
      </c>
      <c r="E737" s="10">
        <f>66.5439 * CHOOSE(CONTROL!$C$9, $D$9, 100%, $F$9) + CHOOSE(CONTROL!$C$27, 0.0021, 0)</f>
        <v>66.545999999999992</v>
      </c>
      <c r="F737" s="10">
        <f>66.5439 * CHOOSE(CONTROL!$C$9, $D$9, 100%, $F$9) + CHOOSE(CONTROL!$C$27, 0.0021, 0)</f>
        <v>66.545999999999992</v>
      </c>
      <c r="G737" s="10">
        <f>66.8152 * CHOOSE(CONTROL!$C$9, $D$9, 100%, $F$9) + CHOOSE(CONTROL!$C$27, 0.0021, 0)</f>
        <v>66.817300000000003</v>
      </c>
      <c r="H737" s="10">
        <f>66.6805 * CHOOSE(CONTROL!$C$9, $D$9, 100%, $F$9) + CHOOSE(CONTROL!$C$27, 0.0021, 0)</f>
        <v>66.682599999999994</v>
      </c>
      <c r="I737" s="10">
        <f>66.6805 * CHOOSE(CONTROL!$C$9, $D$9, 100%, $F$9) + CHOOSE(CONTROL!$C$27, 0.0021, 0)</f>
        <v>66.682599999999994</v>
      </c>
      <c r="J737" s="10">
        <f>66.6805 * CHOOSE(CONTROL!$C$9, $D$9, 100%, $F$9) + CHOOSE(CONTROL!$C$27, 0.0021, 0)</f>
        <v>66.682599999999994</v>
      </c>
      <c r="K737" s="10">
        <f>66.6805 * CHOOSE(CONTROL!$C$9, $D$9, 100%, $F$9) + CHOOSE(CONTROL!$C$27, 0.0021, 0)</f>
        <v>66.682599999999994</v>
      </c>
      <c r="L737" s="10"/>
    </row>
    <row r="738" spans="1:12" ht="15.75">
      <c r="A738" s="13">
        <v>63766</v>
      </c>
      <c r="B738" s="10">
        <f>68.4141 * CHOOSE(CONTROL!$C$9, $D$9, 100%, $F$9) + CHOOSE(CONTROL!$C$27, 0.0021, 0)</f>
        <v>68.416200000000003</v>
      </c>
      <c r="C738" s="10">
        <f>67.9818 * CHOOSE(CONTROL!$C$9, $D$9, 100%, $F$9) + CHOOSE(CONTROL!$C$27, 0.0021, 0)</f>
        <v>67.983900000000006</v>
      </c>
      <c r="D738" s="10">
        <f>67.9818 * CHOOSE(CONTROL!$C$9, $D$9, 100%, $F$9) + CHOOSE(CONTROL!$C$27, 0.0021, 0)</f>
        <v>67.983900000000006</v>
      </c>
      <c r="E738" s="10">
        <f>67.8452 * CHOOSE(CONTROL!$C$9, $D$9, 100%, $F$9) + CHOOSE(CONTROL!$C$27, 0.0021, 0)</f>
        <v>67.847300000000004</v>
      </c>
      <c r="F738" s="10">
        <f>67.8452 * CHOOSE(CONTROL!$C$9, $D$9, 100%, $F$9) + CHOOSE(CONTROL!$C$27, 0.0021, 0)</f>
        <v>67.847300000000004</v>
      </c>
      <c r="G738" s="10">
        <f>68.1166 * CHOOSE(CONTROL!$C$9, $D$9, 100%, $F$9) + CHOOSE(CONTROL!$C$27, 0.0021, 0)</f>
        <v>68.118700000000004</v>
      </c>
      <c r="H738" s="10">
        <f>67.9818 * CHOOSE(CONTROL!$C$9, $D$9, 100%, $F$9) + CHOOSE(CONTROL!$C$27, 0.0021, 0)</f>
        <v>67.983900000000006</v>
      </c>
      <c r="I738" s="10">
        <f>67.9818 * CHOOSE(CONTROL!$C$9, $D$9, 100%, $F$9) + CHOOSE(CONTROL!$C$27, 0.0021, 0)</f>
        <v>67.983900000000006</v>
      </c>
      <c r="J738" s="10">
        <f>67.9818 * CHOOSE(CONTROL!$C$9, $D$9, 100%, $F$9) + CHOOSE(CONTROL!$C$27, 0.0021, 0)</f>
        <v>67.983900000000006</v>
      </c>
      <c r="K738" s="10">
        <f>67.9818 * CHOOSE(CONTROL!$C$9, $D$9, 100%, $F$9) + CHOOSE(CONTROL!$C$27, 0.0021, 0)</f>
        <v>67.983900000000006</v>
      </c>
      <c r="L738" s="10"/>
    </row>
    <row r="739" spans="1:12" ht="15.75">
      <c r="A739" s="13">
        <v>63797</v>
      </c>
      <c r="B739" s="10">
        <f>68.8113 * CHOOSE(CONTROL!$C$9, $D$9, 100%, $F$9) + CHOOSE(CONTROL!$C$27, 0.0021, 0)</f>
        <v>68.813400000000001</v>
      </c>
      <c r="C739" s="10">
        <f>68.379 * CHOOSE(CONTROL!$C$9, $D$9, 100%, $F$9) + CHOOSE(CONTROL!$C$27, 0.0021, 0)</f>
        <v>68.381100000000004</v>
      </c>
      <c r="D739" s="10">
        <f>68.379 * CHOOSE(CONTROL!$C$9, $D$9, 100%, $F$9) + CHOOSE(CONTROL!$C$27, 0.0021, 0)</f>
        <v>68.381100000000004</v>
      </c>
      <c r="E739" s="10">
        <f>68.2424 * CHOOSE(CONTROL!$C$9, $D$9, 100%, $F$9) + CHOOSE(CONTROL!$C$27, 0.0021, 0)</f>
        <v>68.244500000000002</v>
      </c>
      <c r="F739" s="10">
        <f>68.2424 * CHOOSE(CONTROL!$C$9, $D$9, 100%, $F$9) + CHOOSE(CONTROL!$C$27, 0.0021, 0)</f>
        <v>68.244500000000002</v>
      </c>
      <c r="G739" s="10">
        <f>68.5138 * CHOOSE(CONTROL!$C$9, $D$9, 100%, $F$9) + CHOOSE(CONTROL!$C$27, 0.0021, 0)</f>
        <v>68.515900000000002</v>
      </c>
      <c r="H739" s="10">
        <f>68.379 * CHOOSE(CONTROL!$C$9, $D$9, 100%, $F$9) + CHOOSE(CONTROL!$C$27, 0.0021, 0)</f>
        <v>68.381100000000004</v>
      </c>
      <c r="I739" s="10">
        <f>68.379 * CHOOSE(CONTROL!$C$9, $D$9, 100%, $F$9) + CHOOSE(CONTROL!$C$27, 0.0021, 0)</f>
        <v>68.381100000000004</v>
      </c>
      <c r="J739" s="10">
        <f>68.379 * CHOOSE(CONTROL!$C$9, $D$9, 100%, $F$9) + CHOOSE(CONTROL!$C$27, 0.0021, 0)</f>
        <v>68.381100000000004</v>
      </c>
      <c r="K739" s="10">
        <f>68.379 * CHOOSE(CONTROL!$C$9, $D$9, 100%, $F$9) + CHOOSE(CONTROL!$C$27, 0.0021, 0)</f>
        <v>68.381100000000004</v>
      </c>
      <c r="L739" s="10"/>
    </row>
    <row r="740" spans="1:12" ht="15.75">
      <c r="A740" s="13">
        <v>63827</v>
      </c>
      <c r="B740" s="10">
        <f>70.1639 * CHOOSE(CONTROL!$C$9, $D$9, 100%, $F$9) + CHOOSE(CONTROL!$C$27, 0.0021, 0)</f>
        <v>70.165999999999997</v>
      </c>
      <c r="C740" s="10">
        <f>69.7317 * CHOOSE(CONTROL!$C$9, $D$9, 100%, $F$9) + CHOOSE(CONTROL!$C$27, 0.0021, 0)</f>
        <v>69.733800000000002</v>
      </c>
      <c r="D740" s="10">
        <f>69.7317 * CHOOSE(CONTROL!$C$9, $D$9, 100%, $F$9) + CHOOSE(CONTROL!$C$27, 0.0021, 0)</f>
        <v>69.733800000000002</v>
      </c>
      <c r="E740" s="10">
        <f>69.595 * CHOOSE(CONTROL!$C$9, $D$9, 100%, $F$9) + CHOOSE(CONTROL!$C$27, 0.0021, 0)</f>
        <v>69.597099999999998</v>
      </c>
      <c r="F740" s="10">
        <f>69.595 * CHOOSE(CONTROL!$C$9, $D$9, 100%, $F$9) + CHOOSE(CONTROL!$C$27, 0.0021, 0)</f>
        <v>69.597099999999998</v>
      </c>
      <c r="G740" s="10">
        <f>69.8664 * CHOOSE(CONTROL!$C$9, $D$9, 100%, $F$9) + CHOOSE(CONTROL!$C$27, 0.0021, 0)</f>
        <v>69.868499999999997</v>
      </c>
      <c r="H740" s="10">
        <f>69.7317 * CHOOSE(CONTROL!$C$9, $D$9, 100%, $F$9) + CHOOSE(CONTROL!$C$27, 0.0021, 0)</f>
        <v>69.733800000000002</v>
      </c>
      <c r="I740" s="10">
        <f>69.7317 * CHOOSE(CONTROL!$C$9, $D$9, 100%, $F$9) + CHOOSE(CONTROL!$C$27, 0.0021, 0)</f>
        <v>69.733800000000002</v>
      </c>
      <c r="J740" s="10">
        <f>69.7317 * CHOOSE(CONTROL!$C$9, $D$9, 100%, $F$9) + CHOOSE(CONTROL!$C$27, 0.0021, 0)</f>
        <v>69.733800000000002</v>
      </c>
      <c r="K740" s="10">
        <f>69.7317 * CHOOSE(CONTROL!$C$9, $D$9, 100%, $F$9) + CHOOSE(CONTROL!$C$27, 0.0021, 0)</f>
        <v>69.733800000000002</v>
      </c>
      <c r="L740" s="10"/>
    </row>
    <row r="741" spans="1:12" ht="15.75">
      <c r="A741" s="13">
        <v>63858</v>
      </c>
      <c r="B741" s="10">
        <f>71.8762 * CHOOSE(CONTROL!$C$9, $D$9, 100%, $F$9) + CHOOSE(CONTROL!$C$27, 0.0021, 0)</f>
        <v>71.878299999999996</v>
      </c>
      <c r="C741" s="10">
        <f>71.4439 * CHOOSE(CONTROL!$C$9, $D$9, 100%, $F$9) + CHOOSE(CONTROL!$C$27, 0.0021, 0)</f>
        <v>71.445999999999998</v>
      </c>
      <c r="D741" s="10">
        <f>71.4439 * CHOOSE(CONTROL!$C$9, $D$9, 100%, $F$9) + CHOOSE(CONTROL!$C$27, 0.0021, 0)</f>
        <v>71.445999999999998</v>
      </c>
      <c r="E741" s="10">
        <f>71.3073 * CHOOSE(CONTROL!$C$9, $D$9, 100%, $F$9) + CHOOSE(CONTROL!$C$27, 0.0021, 0)</f>
        <v>71.309399999999997</v>
      </c>
      <c r="F741" s="10">
        <f>71.3073 * CHOOSE(CONTROL!$C$9, $D$9, 100%, $F$9) + CHOOSE(CONTROL!$C$27, 0.0021, 0)</f>
        <v>71.309399999999997</v>
      </c>
      <c r="G741" s="10">
        <f>71.5787 * CHOOSE(CONTROL!$C$9, $D$9, 100%, $F$9) + CHOOSE(CONTROL!$C$27, 0.0021, 0)</f>
        <v>71.580799999999996</v>
      </c>
      <c r="H741" s="10">
        <f>71.4439 * CHOOSE(CONTROL!$C$9, $D$9, 100%, $F$9) + CHOOSE(CONTROL!$C$27, 0.0021, 0)</f>
        <v>71.445999999999998</v>
      </c>
      <c r="I741" s="10">
        <f>71.4439 * CHOOSE(CONTROL!$C$9, $D$9, 100%, $F$9) + CHOOSE(CONTROL!$C$27, 0.0021, 0)</f>
        <v>71.445999999999998</v>
      </c>
      <c r="J741" s="10">
        <f>71.4439 * CHOOSE(CONTROL!$C$9, $D$9, 100%, $F$9) + CHOOSE(CONTROL!$C$27, 0.0021, 0)</f>
        <v>71.445999999999998</v>
      </c>
      <c r="K741" s="10">
        <f>71.4439 * CHOOSE(CONTROL!$C$9, $D$9, 100%, $F$9) + CHOOSE(CONTROL!$C$27, 0.0021, 0)</f>
        <v>71.445999999999998</v>
      </c>
      <c r="L741" s="10"/>
    </row>
    <row r="742" spans="1:12" ht="15.75">
      <c r="A742" s="13">
        <v>63888</v>
      </c>
      <c r="B742" s="10">
        <f>72.0369 * CHOOSE(CONTROL!$C$9, $D$9, 100%, $F$9) + CHOOSE(CONTROL!$C$27, 0.0021, 0)</f>
        <v>72.039000000000001</v>
      </c>
      <c r="C742" s="10">
        <f>71.6047 * CHOOSE(CONTROL!$C$9, $D$9, 100%, $F$9) + CHOOSE(CONTROL!$C$27, 0.0021, 0)</f>
        <v>71.606799999999993</v>
      </c>
      <c r="D742" s="10">
        <f>71.6047 * CHOOSE(CONTROL!$C$9, $D$9, 100%, $F$9) + CHOOSE(CONTROL!$C$27, 0.0021, 0)</f>
        <v>71.606799999999993</v>
      </c>
      <c r="E742" s="10">
        <f>71.468 * CHOOSE(CONTROL!$C$9, $D$9, 100%, $F$9) + CHOOSE(CONTROL!$C$27, 0.0021, 0)</f>
        <v>71.470100000000002</v>
      </c>
      <c r="F742" s="10">
        <f>71.468 * CHOOSE(CONTROL!$C$9, $D$9, 100%, $F$9) + CHOOSE(CONTROL!$C$27, 0.0021, 0)</f>
        <v>71.470100000000002</v>
      </c>
      <c r="G742" s="10">
        <f>71.7394 * CHOOSE(CONTROL!$C$9, $D$9, 100%, $F$9) + CHOOSE(CONTROL!$C$27, 0.0021, 0)</f>
        <v>71.741500000000002</v>
      </c>
      <c r="H742" s="10">
        <f>71.6047 * CHOOSE(CONTROL!$C$9, $D$9, 100%, $F$9) + CHOOSE(CONTROL!$C$27, 0.0021, 0)</f>
        <v>71.606799999999993</v>
      </c>
      <c r="I742" s="10">
        <f>71.6047 * CHOOSE(CONTROL!$C$9, $D$9, 100%, $F$9) + CHOOSE(CONTROL!$C$27, 0.0021, 0)</f>
        <v>71.606799999999993</v>
      </c>
      <c r="J742" s="10">
        <f>71.6047 * CHOOSE(CONTROL!$C$9, $D$9, 100%, $F$9) + CHOOSE(CONTROL!$C$27, 0.0021, 0)</f>
        <v>71.606799999999993</v>
      </c>
      <c r="K742" s="10">
        <f>71.6047 * CHOOSE(CONTROL!$C$9, $D$9, 100%, $F$9) + CHOOSE(CONTROL!$C$27, 0.0021, 0)</f>
        <v>71.606799999999993</v>
      </c>
      <c r="L742" s="10"/>
    </row>
    <row r="743" spans="1:12" ht="15.75">
      <c r="A743" s="13">
        <v>63919</v>
      </c>
      <c r="B743" s="10">
        <f>70.6694 * CHOOSE(CONTROL!$C$9, $D$9, 100%, $F$9) + CHOOSE(CONTROL!$C$27, 0.0021, 0)</f>
        <v>70.671499999999995</v>
      </c>
      <c r="C743" s="10">
        <f>70.2371 * CHOOSE(CONTROL!$C$9, $D$9, 100%, $F$9) + CHOOSE(CONTROL!$C$27, 0.0021, 0)</f>
        <v>70.239199999999997</v>
      </c>
      <c r="D743" s="10">
        <f>70.2371 * CHOOSE(CONTROL!$C$9, $D$9, 100%, $F$9) + CHOOSE(CONTROL!$C$27, 0.0021, 0)</f>
        <v>70.239199999999997</v>
      </c>
      <c r="E743" s="10">
        <f>70.1005 * CHOOSE(CONTROL!$C$9, $D$9, 100%, $F$9) + CHOOSE(CONTROL!$C$27, 0.0021, 0)</f>
        <v>70.102599999999995</v>
      </c>
      <c r="F743" s="10">
        <f>70.1005 * CHOOSE(CONTROL!$C$9, $D$9, 100%, $F$9) + CHOOSE(CONTROL!$C$27, 0.0021, 0)</f>
        <v>70.102599999999995</v>
      </c>
      <c r="G743" s="10">
        <f>70.3719 * CHOOSE(CONTROL!$C$9, $D$9, 100%, $F$9) + CHOOSE(CONTROL!$C$27, 0.0021, 0)</f>
        <v>70.373999999999995</v>
      </c>
      <c r="H743" s="10">
        <f>70.2371 * CHOOSE(CONTROL!$C$9, $D$9, 100%, $F$9) + CHOOSE(CONTROL!$C$27, 0.0021, 0)</f>
        <v>70.239199999999997</v>
      </c>
      <c r="I743" s="10">
        <f>70.2371 * CHOOSE(CONTROL!$C$9, $D$9, 100%, $F$9) + CHOOSE(CONTROL!$C$27, 0.0021, 0)</f>
        <v>70.239199999999997</v>
      </c>
      <c r="J743" s="10">
        <f>70.2371 * CHOOSE(CONTROL!$C$9, $D$9, 100%, $F$9) + CHOOSE(CONTROL!$C$27, 0.0021, 0)</f>
        <v>70.239199999999997</v>
      </c>
      <c r="K743" s="10">
        <f>70.2371 * CHOOSE(CONTROL!$C$9, $D$9, 100%, $F$9) + CHOOSE(CONTROL!$C$27, 0.0021, 0)</f>
        <v>70.239199999999997</v>
      </c>
      <c r="L743" s="10"/>
    </row>
    <row r="744" spans="1:12" ht="15.75">
      <c r="A744" s="13">
        <v>63950</v>
      </c>
      <c r="B744" s="10">
        <f>69.6224 * CHOOSE(CONTROL!$C$9, $D$9, 100%, $F$9) + CHOOSE(CONTROL!$C$27, 0.0021, 0)</f>
        <v>69.624499999999998</v>
      </c>
      <c r="C744" s="10">
        <f>69.1901 * CHOOSE(CONTROL!$C$9, $D$9, 100%, $F$9) + CHOOSE(CONTROL!$C$27, 0.0021, 0)</f>
        <v>69.1922</v>
      </c>
      <c r="D744" s="10">
        <f>69.1901 * CHOOSE(CONTROL!$C$9, $D$9, 100%, $F$9) + CHOOSE(CONTROL!$C$27, 0.0021, 0)</f>
        <v>69.1922</v>
      </c>
      <c r="E744" s="10">
        <f>69.0535 * CHOOSE(CONTROL!$C$9, $D$9, 100%, $F$9) + CHOOSE(CONTROL!$C$27, 0.0021, 0)</f>
        <v>69.055599999999998</v>
      </c>
      <c r="F744" s="10">
        <f>69.0535 * CHOOSE(CONTROL!$C$9, $D$9, 100%, $F$9) + CHOOSE(CONTROL!$C$27, 0.0021, 0)</f>
        <v>69.055599999999998</v>
      </c>
      <c r="G744" s="10">
        <f>69.3248 * CHOOSE(CONTROL!$C$9, $D$9, 100%, $F$9) + CHOOSE(CONTROL!$C$27, 0.0021, 0)</f>
        <v>69.326899999999995</v>
      </c>
      <c r="H744" s="10">
        <f>69.1901 * CHOOSE(CONTROL!$C$9, $D$9, 100%, $F$9) + CHOOSE(CONTROL!$C$27, 0.0021, 0)</f>
        <v>69.1922</v>
      </c>
      <c r="I744" s="10">
        <f>69.1901 * CHOOSE(CONTROL!$C$9, $D$9, 100%, $F$9) + CHOOSE(CONTROL!$C$27, 0.0021, 0)</f>
        <v>69.1922</v>
      </c>
      <c r="J744" s="10">
        <f>69.1901 * CHOOSE(CONTROL!$C$9, $D$9, 100%, $F$9) + CHOOSE(CONTROL!$C$27, 0.0021, 0)</f>
        <v>69.1922</v>
      </c>
      <c r="K744" s="10">
        <f>69.1901 * CHOOSE(CONTROL!$C$9, $D$9, 100%, $F$9) + CHOOSE(CONTROL!$C$27, 0.0021, 0)</f>
        <v>69.1922</v>
      </c>
      <c r="L744" s="10"/>
    </row>
    <row r="745" spans="1:12" ht="15.75">
      <c r="A745" s="13">
        <v>63978</v>
      </c>
      <c r="B745" s="10">
        <f>67.7179 * CHOOSE(CONTROL!$C$9, $D$9, 100%, $F$9) + CHOOSE(CONTROL!$C$27, 0.0021, 0)</f>
        <v>67.72</v>
      </c>
      <c r="C745" s="10">
        <f>67.2857 * CHOOSE(CONTROL!$C$9, $D$9, 100%, $F$9) + CHOOSE(CONTROL!$C$27, 0.0021, 0)</f>
        <v>67.287800000000004</v>
      </c>
      <c r="D745" s="10">
        <f>67.2857 * CHOOSE(CONTROL!$C$9, $D$9, 100%, $F$9) + CHOOSE(CONTROL!$C$27, 0.0021, 0)</f>
        <v>67.287800000000004</v>
      </c>
      <c r="E745" s="10">
        <f>67.149 * CHOOSE(CONTROL!$C$9, $D$9, 100%, $F$9) + CHOOSE(CONTROL!$C$27, 0.0021, 0)</f>
        <v>67.1511</v>
      </c>
      <c r="F745" s="10">
        <f>67.149 * CHOOSE(CONTROL!$C$9, $D$9, 100%, $F$9) + CHOOSE(CONTROL!$C$27, 0.0021, 0)</f>
        <v>67.1511</v>
      </c>
      <c r="G745" s="10">
        <f>67.4204 * CHOOSE(CONTROL!$C$9, $D$9, 100%, $F$9) + CHOOSE(CONTROL!$C$27, 0.0021, 0)</f>
        <v>67.422499999999999</v>
      </c>
      <c r="H745" s="10">
        <f>67.2857 * CHOOSE(CONTROL!$C$9, $D$9, 100%, $F$9) + CHOOSE(CONTROL!$C$27, 0.0021, 0)</f>
        <v>67.287800000000004</v>
      </c>
      <c r="I745" s="10">
        <f>67.2857 * CHOOSE(CONTROL!$C$9, $D$9, 100%, $F$9) + CHOOSE(CONTROL!$C$27, 0.0021, 0)</f>
        <v>67.287800000000004</v>
      </c>
      <c r="J745" s="10">
        <f>67.2857 * CHOOSE(CONTROL!$C$9, $D$9, 100%, $F$9) + CHOOSE(CONTROL!$C$27, 0.0021, 0)</f>
        <v>67.287800000000004</v>
      </c>
      <c r="K745" s="10">
        <f>67.2857 * CHOOSE(CONTROL!$C$9, $D$9, 100%, $F$9) + CHOOSE(CONTROL!$C$27, 0.0021, 0)</f>
        <v>67.287800000000004</v>
      </c>
      <c r="L745" s="10"/>
    </row>
    <row r="746" spans="1:12" ht="15.75">
      <c r="A746" s="13">
        <v>64009</v>
      </c>
      <c r="B746" s="10">
        <f>66.9318 * CHOOSE(CONTROL!$C$9, $D$9, 100%, $F$9) + CHOOSE(CONTROL!$C$27, 0.0021, 0)</f>
        <v>66.933899999999994</v>
      </c>
      <c r="C746" s="10">
        <f>66.4995 * CHOOSE(CONTROL!$C$9, $D$9, 100%, $F$9) + CHOOSE(CONTROL!$C$27, 0.0021, 0)</f>
        <v>66.501599999999996</v>
      </c>
      <c r="D746" s="10">
        <f>66.4995 * CHOOSE(CONTROL!$C$9, $D$9, 100%, $F$9) + CHOOSE(CONTROL!$C$27, 0.0021, 0)</f>
        <v>66.501599999999996</v>
      </c>
      <c r="E746" s="10">
        <f>66.3629 * CHOOSE(CONTROL!$C$9, $D$9, 100%, $F$9) + CHOOSE(CONTROL!$C$27, 0.0021, 0)</f>
        <v>66.364999999999995</v>
      </c>
      <c r="F746" s="10">
        <f>66.3629 * CHOOSE(CONTROL!$C$9, $D$9, 100%, $F$9) + CHOOSE(CONTROL!$C$27, 0.0021, 0)</f>
        <v>66.364999999999995</v>
      </c>
      <c r="G746" s="10">
        <f>66.6342 * CHOOSE(CONTROL!$C$9, $D$9, 100%, $F$9) + CHOOSE(CONTROL!$C$27, 0.0021, 0)</f>
        <v>66.636300000000006</v>
      </c>
      <c r="H746" s="10">
        <f>66.4995 * CHOOSE(CONTROL!$C$9, $D$9, 100%, $F$9) + CHOOSE(CONTROL!$C$27, 0.0021, 0)</f>
        <v>66.501599999999996</v>
      </c>
      <c r="I746" s="10">
        <f>66.4995 * CHOOSE(CONTROL!$C$9, $D$9, 100%, $F$9) + CHOOSE(CONTROL!$C$27, 0.0021, 0)</f>
        <v>66.501599999999996</v>
      </c>
      <c r="J746" s="10">
        <f>66.4995 * CHOOSE(CONTROL!$C$9, $D$9, 100%, $F$9) + CHOOSE(CONTROL!$C$27, 0.0021, 0)</f>
        <v>66.501599999999996</v>
      </c>
      <c r="K746" s="10">
        <f>66.4995 * CHOOSE(CONTROL!$C$9, $D$9, 100%, $F$9) + CHOOSE(CONTROL!$C$27, 0.0021, 0)</f>
        <v>66.501599999999996</v>
      </c>
      <c r="L746" s="10"/>
    </row>
    <row r="747" spans="1:12" ht="15.75">
      <c r="A747" s="13">
        <v>64039</v>
      </c>
      <c r="B747" s="10">
        <f>65.9931 * CHOOSE(CONTROL!$C$9, $D$9, 100%, $F$9) + CHOOSE(CONTROL!$C$27, 0.0021, 0)</f>
        <v>65.995199999999997</v>
      </c>
      <c r="C747" s="10">
        <f>65.5608 * CHOOSE(CONTROL!$C$9, $D$9, 100%, $F$9) + CHOOSE(CONTROL!$C$27, 0.0021, 0)</f>
        <v>65.562899999999999</v>
      </c>
      <c r="D747" s="10">
        <f>65.5608 * CHOOSE(CONTROL!$C$9, $D$9, 100%, $F$9) + CHOOSE(CONTROL!$C$27, 0.0021, 0)</f>
        <v>65.562899999999999</v>
      </c>
      <c r="E747" s="10">
        <f>65.4242 * CHOOSE(CONTROL!$C$9, $D$9, 100%, $F$9) + CHOOSE(CONTROL!$C$27, 0.0021, 0)</f>
        <v>65.426299999999998</v>
      </c>
      <c r="F747" s="10">
        <f>65.4242 * CHOOSE(CONTROL!$C$9, $D$9, 100%, $F$9) + CHOOSE(CONTROL!$C$27, 0.0021, 0)</f>
        <v>65.426299999999998</v>
      </c>
      <c r="G747" s="10">
        <f>65.6955 * CHOOSE(CONTROL!$C$9, $D$9, 100%, $F$9) + CHOOSE(CONTROL!$C$27, 0.0021, 0)</f>
        <v>65.697599999999994</v>
      </c>
      <c r="H747" s="10">
        <f>65.5608 * CHOOSE(CONTROL!$C$9, $D$9, 100%, $F$9) + CHOOSE(CONTROL!$C$27, 0.0021, 0)</f>
        <v>65.562899999999999</v>
      </c>
      <c r="I747" s="10">
        <f>65.5608 * CHOOSE(CONTROL!$C$9, $D$9, 100%, $F$9) + CHOOSE(CONTROL!$C$27, 0.0021, 0)</f>
        <v>65.562899999999999</v>
      </c>
      <c r="J747" s="10">
        <f>65.5608 * CHOOSE(CONTROL!$C$9, $D$9, 100%, $F$9) + CHOOSE(CONTROL!$C$27, 0.0021, 0)</f>
        <v>65.562899999999999</v>
      </c>
      <c r="K747" s="10">
        <f>65.5608 * CHOOSE(CONTROL!$C$9, $D$9, 100%, $F$9) + CHOOSE(CONTROL!$C$27, 0.0021, 0)</f>
        <v>65.562899999999999</v>
      </c>
      <c r="L747" s="10"/>
    </row>
    <row r="748" spans="1:12" ht="15.75">
      <c r="A748" s="13">
        <v>64070</v>
      </c>
      <c r="B748" s="10">
        <f>67.3308 * CHOOSE(CONTROL!$C$9, $D$9, 100%, $F$9) + CHOOSE(CONTROL!$C$27, 0.0021, 0)</f>
        <v>67.332899999999995</v>
      </c>
      <c r="C748" s="10">
        <f>66.8986 * CHOOSE(CONTROL!$C$9, $D$9, 100%, $F$9) + CHOOSE(CONTROL!$C$27, 0.0021, 0)</f>
        <v>66.900700000000001</v>
      </c>
      <c r="D748" s="10">
        <f>66.8986 * CHOOSE(CONTROL!$C$9, $D$9, 100%, $F$9) + CHOOSE(CONTROL!$C$27, 0.0021, 0)</f>
        <v>66.900700000000001</v>
      </c>
      <c r="E748" s="10">
        <f>66.7619 * CHOOSE(CONTROL!$C$9, $D$9, 100%, $F$9) + CHOOSE(CONTROL!$C$27, 0.0021, 0)</f>
        <v>66.763999999999996</v>
      </c>
      <c r="F748" s="10">
        <f>66.7619 * CHOOSE(CONTROL!$C$9, $D$9, 100%, $F$9) + CHOOSE(CONTROL!$C$27, 0.0021, 0)</f>
        <v>66.763999999999996</v>
      </c>
      <c r="G748" s="10">
        <f>67.0333 * CHOOSE(CONTROL!$C$9, $D$9, 100%, $F$9) + CHOOSE(CONTROL!$C$27, 0.0021, 0)</f>
        <v>67.035399999999996</v>
      </c>
      <c r="H748" s="10">
        <f>66.8986 * CHOOSE(CONTROL!$C$9, $D$9, 100%, $F$9) + CHOOSE(CONTROL!$C$27, 0.0021, 0)</f>
        <v>66.900700000000001</v>
      </c>
      <c r="I748" s="10">
        <f>66.8986 * CHOOSE(CONTROL!$C$9, $D$9, 100%, $F$9) + CHOOSE(CONTROL!$C$27, 0.0021, 0)</f>
        <v>66.900700000000001</v>
      </c>
      <c r="J748" s="10">
        <f>66.8986 * CHOOSE(CONTROL!$C$9, $D$9, 100%, $F$9) + CHOOSE(CONTROL!$C$27, 0.0021, 0)</f>
        <v>66.900700000000001</v>
      </c>
      <c r="K748" s="10">
        <f>66.8986 * CHOOSE(CONTROL!$C$9, $D$9, 100%, $F$9) + CHOOSE(CONTROL!$C$27, 0.0021, 0)</f>
        <v>66.900700000000001</v>
      </c>
      <c r="L748" s="10"/>
    </row>
    <row r="749" spans="1:12" ht="15.75">
      <c r="A749" s="13">
        <v>64100</v>
      </c>
      <c r="B749" s="10">
        <f>68.1321 * CHOOSE(CONTROL!$C$9, $D$9, 100%, $F$9) + CHOOSE(CONTROL!$C$27, 0.0021, 0)</f>
        <v>68.134199999999993</v>
      </c>
      <c r="C749" s="10">
        <f>67.6998 * CHOOSE(CONTROL!$C$9, $D$9, 100%, $F$9) + CHOOSE(CONTROL!$C$27, 0.0021, 0)</f>
        <v>67.701899999999995</v>
      </c>
      <c r="D749" s="10">
        <f>67.6998 * CHOOSE(CONTROL!$C$9, $D$9, 100%, $F$9) + CHOOSE(CONTROL!$C$27, 0.0021, 0)</f>
        <v>67.701899999999995</v>
      </c>
      <c r="E749" s="10">
        <f>67.5632 * CHOOSE(CONTROL!$C$9, $D$9, 100%, $F$9) + CHOOSE(CONTROL!$C$27, 0.0021, 0)</f>
        <v>67.565299999999993</v>
      </c>
      <c r="F749" s="10">
        <f>67.5632 * CHOOSE(CONTROL!$C$9, $D$9, 100%, $F$9) + CHOOSE(CONTROL!$C$27, 0.0021, 0)</f>
        <v>67.565299999999993</v>
      </c>
      <c r="G749" s="10">
        <f>67.8345 * CHOOSE(CONTROL!$C$9, $D$9, 100%, $F$9) + CHOOSE(CONTROL!$C$27, 0.0021, 0)</f>
        <v>67.836600000000004</v>
      </c>
      <c r="H749" s="10">
        <f>67.6998 * CHOOSE(CONTROL!$C$9, $D$9, 100%, $F$9) + CHOOSE(CONTROL!$C$27, 0.0021, 0)</f>
        <v>67.701899999999995</v>
      </c>
      <c r="I749" s="10">
        <f>67.6998 * CHOOSE(CONTROL!$C$9, $D$9, 100%, $F$9) + CHOOSE(CONTROL!$C$27, 0.0021, 0)</f>
        <v>67.701899999999995</v>
      </c>
      <c r="J749" s="10">
        <f>67.6998 * CHOOSE(CONTROL!$C$9, $D$9, 100%, $F$9) + CHOOSE(CONTROL!$C$27, 0.0021, 0)</f>
        <v>67.701899999999995</v>
      </c>
      <c r="K749" s="10">
        <f>67.6998 * CHOOSE(CONTROL!$C$9, $D$9, 100%, $F$9) + CHOOSE(CONTROL!$C$27, 0.0021, 0)</f>
        <v>67.701899999999995</v>
      </c>
      <c r="L749" s="10"/>
    </row>
    <row r="750" spans="1:12" ht="15.75">
      <c r="A750" s="13">
        <v>64131</v>
      </c>
      <c r="B750" s="10">
        <f>69.4538 * CHOOSE(CONTROL!$C$9, $D$9, 100%, $F$9) + CHOOSE(CONTROL!$C$27, 0.0021, 0)</f>
        <v>69.4559</v>
      </c>
      <c r="C750" s="10">
        <f>69.0216 * CHOOSE(CONTROL!$C$9, $D$9, 100%, $F$9) + CHOOSE(CONTROL!$C$27, 0.0021, 0)</f>
        <v>69.023700000000005</v>
      </c>
      <c r="D750" s="10">
        <f>69.0216 * CHOOSE(CONTROL!$C$9, $D$9, 100%, $F$9) + CHOOSE(CONTROL!$C$27, 0.0021, 0)</f>
        <v>69.023700000000005</v>
      </c>
      <c r="E750" s="10">
        <f>68.8849 * CHOOSE(CONTROL!$C$9, $D$9, 100%, $F$9) + CHOOSE(CONTROL!$C$27, 0.0021, 0)</f>
        <v>68.887</v>
      </c>
      <c r="F750" s="10">
        <f>68.8849 * CHOOSE(CONTROL!$C$9, $D$9, 100%, $F$9) + CHOOSE(CONTROL!$C$27, 0.0021, 0)</f>
        <v>68.887</v>
      </c>
      <c r="G750" s="10">
        <f>69.1563 * CHOOSE(CONTROL!$C$9, $D$9, 100%, $F$9) + CHOOSE(CONTROL!$C$27, 0.0021, 0)</f>
        <v>69.1584</v>
      </c>
      <c r="H750" s="10">
        <f>69.0216 * CHOOSE(CONTROL!$C$9, $D$9, 100%, $F$9) + CHOOSE(CONTROL!$C$27, 0.0021, 0)</f>
        <v>69.023700000000005</v>
      </c>
      <c r="I750" s="10">
        <f>69.0216 * CHOOSE(CONTROL!$C$9, $D$9, 100%, $F$9) + CHOOSE(CONTROL!$C$27, 0.0021, 0)</f>
        <v>69.023700000000005</v>
      </c>
      <c r="J750" s="10">
        <f>69.0216 * CHOOSE(CONTROL!$C$9, $D$9, 100%, $F$9) + CHOOSE(CONTROL!$C$27, 0.0021, 0)</f>
        <v>69.023700000000005</v>
      </c>
      <c r="K750" s="10">
        <f>69.0216 * CHOOSE(CONTROL!$C$9, $D$9, 100%, $F$9) + CHOOSE(CONTROL!$C$27, 0.0021, 0)</f>
        <v>69.023700000000005</v>
      </c>
      <c r="L750" s="10"/>
    </row>
    <row r="751" spans="1:12" ht="15.75">
      <c r="A751" s="13">
        <v>64162</v>
      </c>
      <c r="B751" s="10">
        <f>69.8573 * CHOOSE(CONTROL!$C$9, $D$9, 100%, $F$9) + CHOOSE(CONTROL!$C$27, 0.0021, 0)</f>
        <v>69.859399999999994</v>
      </c>
      <c r="C751" s="10">
        <f>69.425 * CHOOSE(CONTROL!$C$9, $D$9, 100%, $F$9) + CHOOSE(CONTROL!$C$27, 0.0021, 0)</f>
        <v>69.427099999999996</v>
      </c>
      <c r="D751" s="10">
        <f>69.425 * CHOOSE(CONTROL!$C$9, $D$9, 100%, $F$9) + CHOOSE(CONTROL!$C$27, 0.0021, 0)</f>
        <v>69.427099999999996</v>
      </c>
      <c r="E751" s="10">
        <f>69.2884 * CHOOSE(CONTROL!$C$9, $D$9, 100%, $F$9) + CHOOSE(CONTROL!$C$27, 0.0021, 0)</f>
        <v>69.290499999999994</v>
      </c>
      <c r="F751" s="10">
        <f>69.2884 * CHOOSE(CONTROL!$C$9, $D$9, 100%, $F$9) + CHOOSE(CONTROL!$C$27, 0.0021, 0)</f>
        <v>69.290499999999994</v>
      </c>
      <c r="G751" s="10">
        <f>69.5598 * CHOOSE(CONTROL!$C$9, $D$9, 100%, $F$9) + CHOOSE(CONTROL!$C$27, 0.0021, 0)</f>
        <v>69.561899999999994</v>
      </c>
      <c r="H751" s="10">
        <f>69.425 * CHOOSE(CONTROL!$C$9, $D$9, 100%, $F$9) + CHOOSE(CONTROL!$C$27, 0.0021, 0)</f>
        <v>69.427099999999996</v>
      </c>
      <c r="I751" s="10">
        <f>69.425 * CHOOSE(CONTROL!$C$9, $D$9, 100%, $F$9) + CHOOSE(CONTROL!$C$27, 0.0021, 0)</f>
        <v>69.427099999999996</v>
      </c>
      <c r="J751" s="10">
        <f>69.425 * CHOOSE(CONTROL!$C$9, $D$9, 100%, $F$9) + CHOOSE(CONTROL!$C$27, 0.0021, 0)</f>
        <v>69.427099999999996</v>
      </c>
      <c r="K751" s="10">
        <f>69.425 * CHOOSE(CONTROL!$C$9, $D$9, 100%, $F$9) + CHOOSE(CONTROL!$C$27, 0.0021, 0)</f>
        <v>69.427099999999996</v>
      </c>
      <c r="L751" s="10"/>
    </row>
    <row r="752" spans="1:12" ht="15.75">
      <c r="A752" s="13">
        <v>64192</v>
      </c>
      <c r="B752" s="10">
        <f>71.2312 * CHOOSE(CONTROL!$C$9, $D$9, 100%, $F$9) + CHOOSE(CONTROL!$C$27, 0.0021, 0)</f>
        <v>71.2333</v>
      </c>
      <c r="C752" s="10">
        <f>70.799 * CHOOSE(CONTROL!$C$9, $D$9, 100%, $F$9) + CHOOSE(CONTROL!$C$27, 0.0021, 0)</f>
        <v>70.801100000000005</v>
      </c>
      <c r="D752" s="10">
        <f>70.799 * CHOOSE(CONTROL!$C$9, $D$9, 100%, $F$9) + CHOOSE(CONTROL!$C$27, 0.0021, 0)</f>
        <v>70.801100000000005</v>
      </c>
      <c r="E752" s="10">
        <f>70.6623 * CHOOSE(CONTROL!$C$9, $D$9, 100%, $F$9) + CHOOSE(CONTROL!$C$27, 0.0021, 0)</f>
        <v>70.664400000000001</v>
      </c>
      <c r="F752" s="10">
        <f>70.6623 * CHOOSE(CONTROL!$C$9, $D$9, 100%, $F$9) + CHOOSE(CONTROL!$C$27, 0.0021, 0)</f>
        <v>70.664400000000001</v>
      </c>
      <c r="G752" s="10">
        <f>70.9337 * CHOOSE(CONTROL!$C$9, $D$9, 100%, $F$9) + CHOOSE(CONTROL!$C$27, 0.0021, 0)</f>
        <v>70.9358</v>
      </c>
      <c r="H752" s="10">
        <f>70.799 * CHOOSE(CONTROL!$C$9, $D$9, 100%, $F$9) + CHOOSE(CONTROL!$C$27, 0.0021, 0)</f>
        <v>70.801100000000005</v>
      </c>
      <c r="I752" s="10">
        <f>70.799 * CHOOSE(CONTROL!$C$9, $D$9, 100%, $F$9) + CHOOSE(CONTROL!$C$27, 0.0021, 0)</f>
        <v>70.801100000000005</v>
      </c>
      <c r="J752" s="10">
        <f>70.799 * CHOOSE(CONTROL!$C$9, $D$9, 100%, $F$9) + CHOOSE(CONTROL!$C$27, 0.0021, 0)</f>
        <v>70.801100000000005</v>
      </c>
      <c r="K752" s="10">
        <f>70.799 * CHOOSE(CONTROL!$C$9, $D$9, 100%, $F$9) + CHOOSE(CONTROL!$C$27, 0.0021, 0)</f>
        <v>70.801100000000005</v>
      </c>
      <c r="L752" s="10"/>
    </row>
    <row r="753" spans="1:12" ht="15.75">
      <c r="A753" s="13">
        <v>64223</v>
      </c>
      <c r="B753" s="10">
        <f>72.9704 * CHOOSE(CONTROL!$C$9, $D$9, 100%, $F$9) + CHOOSE(CONTROL!$C$27, 0.0021, 0)</f>
        <v>72.972499999999997</v>
      </c>
      <c r="C753" s="10">
        <f>72.5381 * CHOOSE(CONTROL!$C$9, $D$9, 100%, $F$9) + CHOOSE(CONTROL!$C$27, 0.0021, 0)</f>
        <v>72.540199999999999</v>
      </c>
      <c r="D753" s="10">
        <f>72.5381 * CHOOSE(CONTROL!$C$9, $D$9, 100%, $F$9) + CHOOSE(CONTROL!$C$27, 0.0021, 0)</f>
        <v>72.540199999999999</v>
      </c>
      <c r="E753" s="10">
        <f>72.4015 * CHOOSE(CONTROL!$C$9, $D$9, 100%, $F$9) + CHOOSE(CONTROL!$C$27, 0.0021, 0)</f>
        <v>72.403599999999997</v>
      </c>
      <c r="F753" s="10">
        <f>72.4015 * CHOOSE(CONTROL!$C$9, $D$9, 100%, $F$9) + CHOOSE(CONTROL!$C$27, 0.0021, 0)</f>
        <v>72.403599999999997</v>
      </c>
      <c r="G753" s="10">
        <f>72.6729 * CHOOSE(CONTROL!$C$9, $D$9, 100%, $F$9) + CHOOSE(CONTROL!$C$27, 0.0021, 0)</f>
        <v>72.674999999999997</v>
      </c>
      <c r="H753" s="10">
        <f>72.5381 * CHOOSE(CONTROL!$C$9, $D$9, 100%, $F$9) + CHOOSE(CONTROL!$C$27, 0.0021, 0)</f>
        <v>72.540199999999999</v>
      </c>
      <c r="I753" s="10">
        <f>72.5381 * CHOOSE(CONTROL!$C$9, $D$9, 100%, $F$9) + CHOOSE(CONTROL!$C$27, 0.0021, 0)</f>
        <v>72.540199999999999</v>
      </c>
      <c r="J753" s="10">
        <f>72.5381 * CHOOSE(CONTROL!$C$9, $D$9, 100%, $F$9) + CHOOSE(CONTROL!$C$27, 0.0021, 0)</f>
        <v>72.540199999999999</v>
      </c>
      <c r="K753" s="10">
        <f>72.5381 * CHOOSE(CONTROL!$C$9, $D$9, 100%, $F$9) + CHOOSE(CONTROL!$C$27, 0.0021, 0)</f>
        <v>72.540199999999999</v>
      </c>
      <c r="L753" s="10"/>
    </row>
    <row r="754" spans="1:12" ht="15.75">
      <c r="A754" s="13">
        <v>64253</v>
      </c>
      <c r="B754" s="10">
        <f>73.1337 * CHOOSE(CONTROL!$C$9, $D$9, 100%, $F$9) + CHOOSE(CONTROL!$C$27, 0.0021, 0)</f>
        <v>73.135800000000003</v>
      </c>
      <c r="C754" s="10">
        <f>72.7014 * CHOOSE(CONTROL!$C$9, $D$9, 100%, $F$9) + CHOOSE(CONTROL!$C$27, 0.0021, 0)</f>
        <v>72.703500000000005</v>
      </c>
      <c r="D754" s="10">
        <f>72.7014 * CHOOSE(CONTROL!$C$9, $D$9, 100%, $F$9) + CHOOSE(CONTROL!$C$27, 0.0021, 0)</f>
        <v>72.703500000000005</v>
      </c>
      <c r="E754" s="10">
        <f>72.5647 * CHOOSE(CONTROL!$C$9, $D$9, 100%, $F$9) + CHOOSE(CONTROL!$C$27, 0.0021, 0)</f>
        <v>72.566800000000001</v>
      </c>
      <c r="F754" s="10">
        <f>72.5647 * CHOOSE(CONTROL!$C$9, $D$9, 100%, $F$9) + CHOOSE(CONTROL!$C$27, 0.0021, 0)</f>
        <v>72.566800000000001</v>
      </c>
      <c r="G754" s="10">
        <f>72.8361 * CHOOSE(CONTROL!$C$9, $D$9, 100%, $F$9) + CHOOSE(CONTROL!$C$27, 0.0021, 0)</f>
        <v>72.838200000000001</v>
      </c>
      <c r="H754" s="10">
        <f>72.7014 * CHOOSE(CONTROL!$C$9, $D$9, 100%, $F$9) + CHOOSE(CONTROL!$C$27, 0.0021, 0)</f>
        <v>72.703500000000005</v>
      </c>
      <c r="I754" s="10">
        <f>72.7014 * CHOOSE(CONTROL!$C$9, $D$9, 100%, $F$9) + CHOOSE(CONTROL!$C$27, 0.0021, 0)</f>
        <v>72.703500000000005</v>
      </c>
      <c r="J754" s="10">
        <f>72.7014 * CHOOSE(CONTROL!$C$9, $D$9, 100%, $F$9) + CHOOSE(CONTROL!$C$27, 0.0021, 0)</f>
        <v>72.703500000000005</v>
      </c>
      <c r="K754" s="10">
        <f>72.7014 * CHOOSE(CONTROL!$C$9, $D$9, 100%, $F$9) + CHOOSE(CONTROL!$C$27, 0.0021, 0)</f>
        <v>72.703500000000005</v>
      </c>
      <c r="L754" s="10"/>
    </row>
    <row r="755" spans="1:12" ht="15.75">
      <c r="A755" s="13">
        <v>64284</v>
      </c>
      <c r="B755" s="10">
        <f>71.7446 * CHOOSE(CONTROL!$C$9, $D$9, 100%, $F$9) + CHOOSE(CONTROL!$C$27, 0.0021, 0)</f>
        <v>71.746700000000004</v>
      </c>
      <c r="C755" s="10">
        <f>71.3124 * CHOOSE(CONTROL!$C$9, $D$9, 100%, $F$9) + CHOOSE(CONTROL!$C$27, 0.0021, 0)</f>
        <v>71.314499999999995</v>
      </c>
      <c r="D755" s="10">
        <f>71.3124 * CHOOSE(CONTROL!$C$9, $D$9, 100%, $F$9) + CHOOSE(CONTROL!$C$27, 0.0021, 0)</f>
        <v>71.314499999999995</v>
      </c>
      <c r="E755" s="10">
        <f>71.1757 * CHOOSE(CONTROL!$C$9, $D$9, 100%, $F$9) + CHOOSE(CONTROL!$C$27, 0.0021, 0)</f>
        <v>71.177800000000005</v>
      </c>
      <c r="F755" s="10">
        <f>71.1757 * CHOOSE(CONTROL!$C$9, $D$9, 100%, $F$9) + CHOOSE(CONTROL!$C$27, 0.0021, 0)</f>
        <v>71.177800000000005</v>
      </c>
      <c r="G755" s="10">
        <f>71.4471 * CHOOSE(CONTROL!$C$9, $D$9, 100%, $F$9) + CHOOSE(CONTROL!$C$27, 0.0021, 0)</f>
        <v>71.449200000000005</v>
      </c>
      <c r="H755" s="10">
        <f>71.3124 * CHOOSE(CONTROL!$C$9, $D$9, 100%, $F$9) + CHOOSE(CONTROL!$C$27, 0.0021, 0)</f>
        <v>71.314499999999995</v>
      </c>
      <c r="I755" s="10">
        <f>71.3124 * CHOOSE(CONTROL!$C$9, $D$9, 100%, $F$9) + CHOOSE(CONTROL!$C$27, 0.0021, 0)</f>
        <v>71.314499999999995</v>
      </c>
      <c r="J755" s="10">
        <f>71.3124 * CHOOSE(CONTROL!$C$9, $D$9, 100%, $F$9) + CHOOSE(CONTROL!$C$27, 0.0021, 0)</f>
        <v>71.314499999999995</v>
      </c>
      <c r="K755" s="10">
        <f>71.3124 * CHOOSE(CONTROL!$C$9, $D$9, 100%, $F$9) + CHOOSE(CONTROL!$C$27, 0.0021, 0)</f>
        <v>71.314499999999995</v>
      </c>
      <c r="L755" s="10"/>
    </row>
    <row r="756" spans="1:12" ht="15.75">
      <c r="A756" s="13">
        <v>64315</v>
      </c>
      <c r="B756" s="10">
        <f>70.6811 * CHOOSE(CONTROL!$C$9, $D$9, 100%, $F$9) + CHOOSE(CONTROL!$C$27, 0.0021, 0)</f>
        <v>70.683199999999999</v>
      </c>
      <c r="C756" s="10">
        <f>70.2489 * CHOOSE(CONTROL!$C$9, $D$9, 100%, $F$9) + CHOOSE(CONTROL!$C$27, 0.0021, 0)</f>
        <v>70.251000000000005</v>
      </c>
      <c r="D756" s="10">
        <f>70.2489 * CHOOSE(CONTROL!$C$9, $D$9, 100%, $F$9) + CHOOSE(CONTROL!$C$27, 0.0021, 0)</f>
        <v>70.251000000000005</v>
      </c>
      <c r="E756" s="10">
        <f>70.1122 * CHOOSE(CONTROL!$C$9, $D$9, 100%, $F$9) + CHOOSE(CONTROL!$C$27, 0.0021, 0)</f>
        <v>70.1143</v>
      </c>
      <c r="F756" s="10">
        <f>70.1122 * CHOOSE(CONTROL!$C$9, $D$9, 100%, $F$9) + CHOOSE(CONTROL!$C$27, 0.0021, 0)</f>
        <v>70.1143</v>
      </c>
      <c r="G756" s="10">
        <f>70.3836 * CHOOSE(CONTROL!$C$9, $D$9, 100%, $F$9) + CHOOSE(CONTROL!$C$27, 0.0021, 0)</f>
        <v>70.3857</v>
      </c>
      <c r="H756" s="10">
        <f>70.2489 * CHOOSE(CONTROL!$C$9, $D$9, 100%, $F$9) + CHOOSE(CONTROL!$C$27, 0.0021, 0)</f>
        <v>70.251000000000005</v>
      </c>
      <c r="I756" s="10">
        <f>70.2489 * CHOOSE(CONTROL!$C$9, $D$9, 100%, $F$9) + CHOOSE(CONTROL!$C$27, 0.0021, 0)</f>
        <v>70.251000000000005</v>
      </c>
      <c r="J756" s="10">
        <f>70.2489 * CHOOSE(CONTROL!$C$9, $D$9, 100%, $F$9) + CHOOSE(CONTROL!$C$27, 0.0021, 0)</f>
        <v>70.251000000000005</v>
      </c>
      <c r="K756" s="10">
        <f>70.2489 * CHOOSE(CONTROL!$C$9, $D$9, 100%, $F$9) + CHOOSE(CONTROL!$C$27, 0.0021, 0)</f>
        <v>70.251000000000005</v>
      </c>
      <c r="L756" s="10"/>
    </row>
    <row r="757" spans="1:12" ht="15.75">
      <c r="A757" s="13">
        <v>64344</v>
      </c>
      <c r="B757" s="10">
        <f>68.7467 * CHOOSE(CONTROL!$C$9, $D$9, 100%, $F$9) + CHOOSE(CONTROL!$C$27, 0.0021, 0)</f>
        <v>68.748800000000003</v>
      </c>
      <c r="C757" s="10">
        <f>68.3145 * CHOOSE(CONTROL!$C$9, $D$9, 100%, $F$9) + CHOOSE(CONTROL!$C$27, 0.0021, 0)</f>
        <v>68.316599999999994</v>
      </c>
      <c r="D757" s="10">
        <f>68.3145 * CHOOSE(CONTROL!$C$9, $D$9, 100%, $F$9) + CHOOSE(CONTROL!$C$27, 0.0021, 0)</f>
        <v>68.316599999999994</v>
      </c>
      <c r="E757" s="10">
        <f>68.1778 * CHOOSE(CONTROL!$C$9, $D$9, 100%, $F$9) + CHOOSE(CONTROL!$C$27, 0.0021, 0)</f>
        <v>68.179900000000004</v>
      </c>
      <c r="F757" s="10">
        <f>68.1778 * CHOOSE(CONTROL!$C$9, $D$9, 100%, $F$9) + CHOOSE(CONTROL!$C$27, 0.0021, 0)</f>
        <v>68.179900000000004</v>
      </c>
      <c r="G757" s="10">
        <f>68.4492 * CHOOSE(CONTROL!$C$9, $D$9, 100%, $F$9) + CHOOSE(CONTROL!$C$27, 0.0021, 0)</f>
        <v>68.451300000000003</v>
      </c>
      <c r="H757" s="10">
        <f>68.3145 * CHOOSE(CONTROL!$C$9, $D$9, 100%, $F$9) + CHOOSE(CONTROL!$C$27, 0.0021, 0)</f>
        <v>68.316599999999994</v>
      </c>
      <c r="I757" s="10">
        <f>68.3145 * CHOOSE(CONTROL!$C$9, $D$9, 100%, $F$9) + CHOOSE(CONTROL!$C$27, 0.0021, 0)</f>
        <v>68.316599999999994</v>
      </c>
      <c r="J757" s="10">
        <f>68.3145 * CHOOSE(CONTROL!$C$9, $D$9, 100%, $F$9) + CHOOSE(CONTROL!$C$27, 0.0021, 0)</f>
        <v>68.316599999999994</v>
      </c>
      <c r="K757" s="10">
        <f>68.3145 * CHOOSE(CONTROL!$C$9, $D$9, 100%, $F$9) + CHOOSE(CONTROL!$C$27, 0.0021, 0)</f>
        <v>68.316599999999994</v>
      </c>
      <c r="L757" s="10"/>
    </row>
    <row r="758" spans="1:12" ht="15.75">
      <c r="A758" s="13">
        <v>64375</v>
      </c>
      <c r="B758" s="10">
        <f>67.9482 * CHOOSE(CONTROL!$C$9, $D$9, 100%, $F$9) + CHOOSE(CONTROL!$C$27, 0.0021, 0)</f>
        <v>67.950299999999999</v>
      </c>
      <c r="C758" s="10">
        <f>67.516 * CHOOSE(CONTROL!$C$9, $D$9, 100%, $F$9) + CHOOSE(CONTROL!$C$27, 0.0021, 0)</f>
        <v>67.518100000000004</v>
      </c>
      <c r="D758" s="10">
        <f>67.516 * CHOOSE(CONTROL!$C$9, $D$9, 100%, $F$9) + CHOOSE(CONTROL!$C$27, 0.0021, 0)</f>
        <v>67.518100000000004</v>
      </c>
      <c r="E758" s="10">
        <f>67.3793 * CHOOSE(CONTROL!$C$9, $D$9, 100%, $F$9) + CHOOSE(CONTROL!$C$27, 0.0021, 0)</f>
        <v>67.381399999999999</v>
      </c>
      <c r="F758" s="10">
        <f>67.3793 * CHOOSE(CONTROL!$C$9, $D$9, 100%, $F$9) + CHOOSE(CONTROL!$C$27, 0.0021, 0)</f>
        <v>67.381399999999999</v>
      </c>
      <c r="G758" s="10">
        <f>67.6507 * CHOOSE(CONTROL!$C$9, $D$9, 100%, $F$9) + CHOOSE(CONTROL!$C$27, 0.0021, 0)</f>
        <v>67.652799999999999</v>
      </c>
      <c r="H758" s="10">
        <f>67.516 * CHOOSE(CONTROL!$C$9, $D$9, 100%, $F$9) + CHOOSE(CONTROL!$C$27, 0.0021, 0)</f>
        <v>67.518100000000004</v>
      </c>
      <c r="I758" s="10">
        <f>67.516 * CHOOSE(CONTROL!$C$9, $D$9, 100%, $F$9) + CHOOSE(CONTROL!$C$27, 0.0021, 0)</f>
        <v>67.518100000000004</v>
      </c>
      <c r="J758" s="10">
        <f>67.516 * CHOOSE(CONTROL!$C$9, $D$9, 100%, $F$9) + CHOOSE(CONTROL!$C$27, 0.0021, 0)</f>
        <v>67.518100000000004</v>
      </c>
      <c r="K758" s="10">
        <f>67.516 * CHOOSE(CONTROL!$C$9, $D$9, 100%, $F$9) + CHOOSE(CONTROL!$C$27, 0.0021, 0)</f>
        <v>67.518100000000004</v>
      </c>
      <c r="L758" s="10"/>
    </row>
    <row r="759" spans="1:12" ht="15.75">
      <c r="A759" s="13">
        <v>64405</v>
      </c>
      <c r="B759" s="10">
        <f>66.9948 * CHOOSE(CONTROL!$C$9, $D$9, 100%, $F$9) + CHOOSE(CONTROL!$C$27, 0.0021, 0)</f>
        <v>66.996899999999997</v>
      </c>
      <c r="C759" s="10">
        <f>66.5625 * CHOOSE(CONTROL!$C$9, $D$9, 100%, $F$9) + CHOOSE(CONTROL!$C$27, 0.0021, 0)</f>
        <v>66.564599999999999</v>
      </c>
      <c r="D759" s="10">
        <f>66.5625 * CHOOSE(CONTROL!$C$9, $D$9, 100%, $F$9) + CHOOSE(CONTROL!$C$27, 0.0021, 0)</f>
        <v>66.564599999999999</v>
      </c>
      <c r="E759" s="10">
        <f>66.4259 * CHOOSE(CONTROL!$C$9, $D$9, 100%, $F$9) + CHOOSE(CONTROL!$C$27, 0.0021, 0)</f>
        <v>66.427999999999997</v>
      </c>
      <c r="F759" s="10">
        <f>66.4259 * CHOOSE(CONTROL!$C$9, $D$9, 100%, $F$9) + CHOOSE(CONTROL!$C$27, 0.0021, 0)</f>
        <v>66.427999999999997</v>
      </c>
      <c r="G759" s="10">
        <f>66.6972 * CHOOSE(CONTROL!$C$9, $D$9, 100%, $F$9) + CHOOSE(CONTROL!$C$27, 0.0021, 0)</f>
        <v>66.699299999999994</v>
      </c>
      <c r="H759" s="10">
        <f>66.5625 * CHOOSE(CONTROL!$C$9, $D$9, 100%, $F$9) + CHOOSE(CONTROL!$C$27, 0.0021, 0)</f>
        <v>66.564599999999999</v>
      </c>
      <c r="I759" s="10">
        <f>66.5625 * CHOOSE(CONTROL!$C$9, $D$9, 100%, $F$9) + CHOOSE(CONTROL!$C$27, 0.0021, 0)</f>
        <v>66.564599999999999</v>
      </c>
      <c r="J759" s="10">
        <f>66.5625 * CHOOSE(CONTROL!$C$9, $D$9, 100%, $F$9) + CHOOSE(CONTROL!$C$27, 0.0021, 0)</f>
        <v>66.564599999999999</v>
      </c>
      <c r="K759" s="10">
        <f>66.5625 * CHOOSE(CONTROL!$C$9, $D$9, 100%, $F$9) + CHOOSE(CONTROL!$C$27, 0.0021, 0)</f>
        <v>66.564599999999999</v>
      </c>
      <c r="L759" s="10"/>
    </row>
    <row r="760" spans="1:12" ht="15.75">
      <c r="A760" s="13">
        <v>64436</v>
      </c>
      <c r="B760" s="10">
        <f>68.3535 * CHOOSE(CONTROL!$C$9, $D$9, 100%, $F$9) + CHOOSE(CONTROL!$C$27, 0.0021, 0)</f>
        <v>68.355599999999995</v>
      </c>
      <c r="C760" s="10">
        <f>67.9213 * CHOOSE(CONTROL!$C$9, $D$9, 100%, $F$9) + CHOOSE(CONTROL!$C$27, 0.0021, 0)</f>
        <v>67.923400000000001</v>
      </c>
      <c r="D760" s="10">
        <f>67.9213 * CHOOSE(CONTROL!$C$9, $D$9, 100%, $F$9) + CHOOSE(CONTROL!$C$27, 0.0021, 0)</f>
        <v>67.923400000000001</v>
      </c>
      <c r="E760" s="10">
        <f>67.7846 * CHOOSE(CONTROL!$C$9, $D$9, 100%, $F$9) + CHOOSE(CONTROL!$C$27, 0.0021, 0)</f>
        <v>67.786699999999996</v>
      </c>
      <c r="F760" s="10">
        <f>67.7846 * CHOOSE(CONTROL!$C$9, $D$9, 100%, $F$9) + CHOOSE(CONTROL!$C$27, 0.0021, 0)</f>
        <v>67.786699999999996</v>
      </c>
      <c r="G760" s="10">
        <f>68.056 * CHOOSE(CONTROL!$C$9, $D$9, 100%, $F$9) + CHOOSE(CONTROL!$C$27, 0.0021, 0)</f>
        <v>68.058099999999996</v>
      </c>
      <c r="H760" s="10">
        <f>67.9213 * CHOOSE(CONTROL!$C$9, $D$9, 100%, $F$9) + CHOOSE(CONTROL!$C$27, 0.0021, 0)</f>
        <v>67.923400000000001</v>
      </c>
      <c r="I760" s="10">
        <f>67.9213 * CHOOSE(CONTROL!$C$9, $D$9, 100%, $F$9) + CHOOSE(CONTROL!$C$27, 0.0021, 0)</f>
        <v>67.923400000000001</v>
      </c>
      <c r="J760" s="10">
        <f>67.9213 * CHOOSE(CONTROL!$C$9, $D$9, 100%, $F$9) + CHOOSE(CONTROL!$C$27, 0.0021, 0)</f>
        <v>67.923400000000001</v>
      </c>
      <c r="K760" s="10">
        <f>67.9213 * CHOOSE(CONTROL!$C$9, $D$9, 100%, $F$9) + CHOOSE(CONTROL!$C$27, 0.0021, 0)</f>
        <v>67.923400000000001</v>
      </c>
      <c r="L760" s="10"/>
    </row>
    <row r="761" spans="1:12" ht="15.75">
      <c r="A761" s="13">
        <v>64466</v>
      </c>
      <c r="B761" s="10">
        <f>69.1674 * CHOOSE(CONTROL!$C$9, $D$9, 100%, $F$9) + CHOOSE(CONTROL!$C$27, 0.0021, 0)</f>
        <v>69.169499999999999</v>
      </c>
      <c r="C761" s="10">
        <f>68.7351 * CHOOSE(CONTROL!$C$9, $D$9, 100%, $F$9) + CHOOSE(CONTROL!$C$27, 0.0021, 0)</f>
        <v>68.737200000000001</v>
      </c>
      <c r="D761" s="10">
        <f>68.7351 * CHOOSE(CONTROL!$C$9, $D$9, 100%, $F$9) + CHOOSE(CONTROL!$C$27, 0.0021, 0)</f>
        <v>68.737200000000001</v>
      </c>
      <c r="E761" s="10">
        <f>68.5985 * CHOOSE(CONTROL!$C$9, $D$9, 100%, $F$9) + CHOOSE(CONTROL!$C$27, 0.0021, 0)</f>
        <v>68.6006</v>
      </c>
      <c r="F761" s="10">
        <f>68.5985 * CHOOSE(CONTROL!$C$9, $D$9, 100%, $F$9) + CHOOSE(CONTROL!$C$27, 0.0021, 0)</f>
        <v>68.6006</v>
      </c>
      <c r="G761" s="10">
        <f>68.8699 * CHOOSE(CONTROL!$C$9, $D$9, 100%, $F$9) + CHOOSE(CONTROL!$C$27, 0.0021, 0)</f>
        <v>68.872</v>
      </c>
      <c r="H761" s="10">
        <f>68.7351 * CHOOSE(CONTROL!$C$9, $D$9, 100%, $F$9) + CHOOSE(CONTROL!$C$27, 0.0021, 0)</f>
        <v>68.737200000000001</v>
      </c>
      <c r="I761" s="10">
        <f>68.7351 * CHOOSE(CONTROL!$C$9, $D$9, 100%, $F$9) + CHOOSE(CONTROL!$C$27, 0.0021, 0)</f>
        <v>68.737200000000001</v>
      </c>
      <c r="J761" s="10">
        <f>68.7351 * CHOOSE(CONTROL!$C$9, $D$9, 100%, $F$9) + CHOOSE(CONTROL!$C$27, 0.0021, 0)</f>
        <v>68.737200000000001</v>
      </c>
      <c r="K761" s="10">
        <f>68.7351 * CHOOSE(CONTROL!$C$9, $D$9, 100%, $F$9) + CHOOSE(CONTROL!$C$27, 0.0021, 0)</f>
        <v>68.737200000000001</v>
      </c>
      <c r="L761" s="10"/>
    </row>
    <row r="762" spans="1:12" ht="15.75">
      <c r="A762" s="13">
        <v>64497</v>
      </c>
      <c r="B762" s="10">
        <f>70.51 * CHOOSE(CONTROL!$C$9, $D$9, 100%, $F$9) + CHOOSE(CONTROL!$C$27, 0.0021, 0)</f>
        <v>70.512100000000004</v>
      </c>
      <c r="C762" s="10">
        <f>70.0777 * CHOOSE(CONTROL!$C$9, $D$9, 100%, $F$9) + CHOOSE(CONTROL!$C$27, 0.0021, 0)</f>
        <v>70.079799999999992</v>
      </c>
      <c r="D762" s="10">
        <f>70.0777 * CHOOSE(CONTROL!$C$9, $D$9, 100%, $F$9) + CHOOSE(CONTROL!$C$27, 0.0021, 0)</f>
        <v>70.079799999999992</v>
      </c>
      <c r="E762" s="10">
        <f>69.941 * CHOOSE(CONTROL!$C$9, $D$9, 100%, $F$9) + CHOOSE(CONTROL!$C$27, 0.0021, 0)</f>
        <v>69.943100000000001</v>
      </c>
      <c r="F762" s="10">
        <f>69.941 * CHOOSE(CONTROL!$C$9, $D$9, 100%, $F$9) + CHOOSE(CONTROL!$C$27, 0.0021, 0)</f>
        <v>69.943100000000001</v>
      </c>
      <c r="G762" s="10">
        <f>70.2124 * CHOOSE(CONTROL!$C$9, $D$9, 100%, $F$9) + CHOOSE(CONTROL!$C$27, 0.0021, 0)</f>
        <v>70.214500000000001</v>
      </c>
      <c r="H762" s="10">
        <f>70.0777 * CHOOSE(CONTROL!$C$9, $D$9, 100%, $F$9) + CHOOSE(CONTROL!$C$27, 0.0021, 0)</f>
        <v>70.079799999999992</v>
      </c>
      <c r="I762" s="10">
        <f>70.0777 * CHOOSE(CONTROL!$C$9, $D$9, 100%, $F$9) + CHOOSE(CONTROL!$C$27, 0.0021, 0)</f>
        <v>70.079799999999992</v>
      </c>
      <c r="J762" s="10">
        <f>70.0777 * CHOOSE(CONTROL!$C$9, $D$9, 100%, $F$9) + CHOOSE(CONTROL!$C$27, 0.0021, 0)</f>
        <v>70.079799999999992</v>
      </c>
      <c r="K762" s="10">
        <f>70.0777 * CHOOSE(CONTROL!$C$9, $D$9, 100%, $F$9) + CHOOSE(CONTROL!$C$27, 0.0021, 0)</f>
        <v>70.079799999999992</v>
      </c>
      <c r="L762" s="10"/>
    </row>
    <row r="763" spans="1:12" ht="15.75">
      <c r="A763" s="13">
        <v>64528</v>
      </c>
      <c r="B763" s="10">
        <f>70.9197 * CHOOSE(CONTROL!$C$9, $D$9, 100%, $F$9) + CHOOSE(CONTROL!$C$27, 0.0021, 0)</f>
        <v>70.921800000000005</v>
      </c>
      <c r="C763" s="10">
        <f>70.4875 * CHOOSE(CONTROL!$C$9, $D$9, 100%, $F$9) + CHOOSE(CONTROL!$C$27, 0.0021, 0)</f>
        <v>70.489599999999996</v>
      </c>
      <c r="D763" s="10">
        <f>70.4875 * CHOOSE(CONTROL!$C$9, $D$9, 100%, $F$9) + CHOOSE(CONTROL!$C$27, 0.0021, 0)</f>
        <v>70.489599999999996</v>
      </c>
      <c r="E763" s="10">
        <f>70.3508 * CHOOSE(CONTROL!$C$9, $D$9, 100%, $F$9) + CHOOSE(CONTROL!$C$27, 0.0021, 0)</f>
        <v>70.352900000000005</v>
      </c>
      <c r="F763" s="10">
        <f>70.3508 * CHOOSE(CONTROL!$C$9, $D$9, 100%, $F$9) + CHOOSE(CONTROL!$C$27, 0.0021, 0)</f>
        <v>70.352900000000005</v>
      </c>
      <c r="G763" s="10">
        <f>70.6222 * CHOOSE(CONTROL!$C$9, $D$9, 100%, $F$9) + CHOOSE(CONTROL!$C$27, 0.0021, 0)</f>
        <v>70.624300000000005</v>
      </c>
      <c r="H763" s="10">
        <f>70.4875 * CHOOSE(CONTROL!$C$9, $D$9, 100%, $F$9) + CHOOSE(CONTROL!$C$27, 0.0021, 0)</f>
        <v>70.489599999999996</v>
      </c>
      <c r="I763" s="10">
        <f>70.4875 * CHOOSE(CONTROL!$C$9, $D$9, 100%, $F$9) + CHOOSE(CONTROL!$C$27, 0.0021, 0)</f>
        <v>70.489599999999996</v>
      </c>
      <c r="J763" s="10">
        <f>70.4875 * CHOOSE(CONTROL!$C$9, $D$9, 100%, $F$9) + CHOOSE(CONTROL!$C$27, 0.0021, 0)</f>
        <v>70.489599999999996</v>
      </c>
      <c r="K763" s="10">
        <f>70.4875 * CHOOSE(CONTROL!$C$9, $D$9, 100%, $F$9) + CHOOSE(CONTROL!$C$27, 0.0021, 0)</f>
        <v>70.489599999999996</v>
      </c>
      <c r="L763" s="10"/>
    </row>
    <row r="764" spans="1:12" ht="15.75">
      <c r="A764" s="13">
        <v>64558</v>
      </c>
      <c r="B764" s="10">
        <f>72.3153 * CHOOSE(CONTROL!$C$9, $D$9, 100%, $F$9) + CHOOSE(CONTROL!$C$27, 0.0021, 0)</f>
        <v>72.317399999999992</v>
      </c>
      <c r="C764" s="10">
        <f>71.883 * CHOOSE(CONTROL!$C$9, $D$9, 100%, $F$9) + CHOOSE(CONTROL!$C$27, 0.0021, 0)</f>
        <v>71.885099999999994</v>
      </c>
      <c r="D764" s="10">
        <f>71.883 * CHOOSE(CONTROL!$C$9, $D$9, 100%, $F$9) + CHOOSE(CONTROL!$C$27, 0.0021, 0)</f>
        <v>71.885099999999994</v>
      </c>
      <c r="E764" s="10">
        <f>71.7464 * CHOOSE(CONTROL!$C$9, $D$9, 100%, $F$9) + CHOOSE(CONTROL!$C$27, 0.0021, 0)</f>
        <v>71.748499999999993</v>
      </c>
      <c r="F764" s="10">
        <f>71.7464 * CHOOSE(CONTROL!$C$9, $D$9, 100%, $F$9) + CHOOSE(CONTROL!$C$27, 0.0021, 0)</f>
        <v>71.748499999999993</v>
      </c>
      <c r="G764" s="10">
        <f>72.0178 * CHOOSE(CONTROL!$C$9, $D$9, 100%, $F$9) + CHOOSE(CONTROL!$C$27, 0.0021, 0)</f>
        <v>72.019899999999993</v>
      </c>
      <c r="H764" s="10">
        <f>71.883 * CHOOSE(CONTROL!$C$9, $D$9, 100%, $F$9) + CHOOSE(CONTROL!$C$27, 0.0021, 0)</f>
        <v>71.885099999999994</v>
      </c>
      <c r="I764" s="10">
        <f>71.883 * CHOOSE(CONTROL!$C$9, $D$9, 100%, $F$9) + CHOOSE(CONTROL!$C$27, 0.0021, 0)</f>
        <v>71.885099999999994</v>
      </c>
      <c r="J764" s="10">
        <f>71.883 * CHOOSE(CONTROL!$C$9, $D$9, 100%, $F$9) + CHOOSE(CONTROL!$C$27, 0.0021, 0)</f>
        <v>71.885099999999994</v>
      </c>
      <c r="K764" s="10">
        <f>71.883 * CHOOSE(CONTROL!$C$9, $D$9, 100%, $F$9) + CHOOSE(CONTROL!$C$27, 0.0021, 0)</f>
        <v>71.885099999999994</v>
      </c>
      <c r="L764" s="10"/>
    </row>
    <row r="765" spans="1:12" ht="15.75">
      <c r="A765" s="13">
        <v>64589</v>
      </c>
      <c r="B765" s="10">
        <f>74.0818 * CHOOSE(CONTROL!$C$9, $D$9, 100%, $F$9) + CHOOSE(CONTROL!$C$27, 0.0021, 0)</f>
        <v>74.0839</v>
      </c>
      <c r="C765" s="10">
        <f>73.6495 * CHOOSE(CONTROL!$C$9, $D$9, 100%, $F$9) + CHOOSE(CONTROL!$C$27, 0.0021, 0)</f>
        <v>73.651600000000002</v>
      </c>
      <c r="D765" s="10">
        <f>73.6495 * CHOOSE(CONTROL!$C$9, $D$9, 100%, $F$9) + CHOOSE(CONTROL!$C$27, 0.0021, 0)</f>
        <v>73.651600000000002</v>
      </c>
      <c r="E765" s="10">
        <f>73.5129 * CHOOSE(CONTROL!$C$9, $D$9, 100%, $F$9) + CHOOSE(CONTROL!$C$27, 0.0021, 0)</f>
        <v>73.515000000000001</v>
      </c>
      <c r="F765" s="10">
        <f>73.5129 * CHOOSE(CONTROL!$C$9, $D$9, 100%, $F$9) + CHOOSE(CONTROL!$C$27, 0.0021, 0)</f>
        <v>73.515000000000001</v>
      </c>
      <c r="G765" s="10">
        <f>73.7843 * CHOOSE(CONTROL!$C$9, $D$9, 100%, $F$9) + CHOOSE(CONTROL!$C$27, 0.0021, 0)</f>
        <v>73.7864</v>
      </c>
      <c r="H765" s="10">
        <f>73.6495 * CHOOSE(CONTROL!$C$9, $D$9, 100%, $F$9) + CHOOSE(CONTROL!$C$27, 0.0021, 0)</f>
        <v>73.651600000000002</v>
      </c>
      <c r="I765" s="10">
        <f>73.6495 * CHOOSE(CONTROL!$C$9, $D$9, 100%, $F$9) + CHOOSE(CONTROL!$C$27, 0.0021, 0)</f>
        <v>73.651600000000002</v>
      </c>
      <c r="J765" s="10">
        <f>73.6495 * CHOOSE(CONTROL!$C$9, $D$9, 100%, $F$9) + CHOOSE(CONTROL!$C$27, 0.0021, 0)</f>
        <v>73.651600000000002</v>
      </c>
      <c r="K765" s="10">
        <f>73.6495 * CHOOSE(CONTROL!$C$9, $D$9, 100%, $F$9) + CHOOSE(CONTROL!$C$27, 0.0021, 0)</f>
        <v>73.651600000000002</v>
      </c>
      <c r="L765" s="10"/>
    </row>
    <row r="766" spans="1:12" ht="15.75">
      <c r="A766" s="13">
        <v>64619</v>
      </c>
      <c r="B766" s="10">
        <f>74.2476 * CHOOSE(CONTROL!$C$9, $D$9, 100%, $F$9) + CHOOSE(CONTROL!$C$27, 0.0021, 0)</f>
        <v>74.249700000000004</v>
      </c>
      <c r="C766" s="10">
        <f>73.8154 * CHOOSE(CONTROL!$C$9, $D$9, 100%, $F$9) + CHOOSE(CONTROL!$C$27, 0.0021, 0)</f>
        <v>73.817499999999995</v>
      </c>
      <c r="D766" s="10">
        <f>73.8154 * CHOOSE(CONTROL!$C$9, $D$9, 100%, $F$9) + CHOOSE(CONTROL!$C$27, 0.0021, 0)</f>
        <v>73.817499999999995</v>
      </c>
      <c r="E766" s="10">
        <f>73.6787 * CHOOSE(CONTROL!$C$9, $D$9, 100%, $F$9) + CHOOSE(CONTROL!$C$27, 0.0021, 0)</f>
        <v>73.680800000000005</v>
      </c>
      <c r="F766" s="10">
        <f>73.6787 * CHOOSE(CONTROL!$C$9, $D$9, 100%, $F$9) + CHOOSE(CONTROL!$C$27, 0.0021, 0)</f>
        <v>73.680800000000005</v>
      </c>
      <c r="G766" s="10">
        <f>73.9501 * CHOOSE(CONTROL!$C$9, $D$9, 100%, $F$9) + CHOOSE(CONTROL!$C$27, 0.0021, 0)</f>
        <v>73.952200000000005</v>
      </c>
      <c r="H766" s="10">
        <f>73.8154 * CHOOSE(CONTROL!$C$9, $D$9, 100%, $F$9) + CHOOSE(CONTROL!$C$27, 0.0021, 0)</f>
        <v>73.817499999999995</v>
      </c>
      <c r="I766" s="10">
        <f>73.8154 * CHOOSE(CONTROL!$C$9, $D$9, 100%, $F$9) + CHOOSE(CONTROL!$C$27, 0.0021, 0)</f>
        <v>73.817499999999995</v>
      </c>
      <c r="J766" s="10">
        <f>73.8154 * CHOOSE(CONTROL!$C$9, $D$9, 100%, $F$9) + CHOOSE(CONTROL!$C$27, 0.0021, 0)</f>
        <v>73.817499999999995</v>
      </c>
      <c r="K766" s="10">
        <f>73.8154 * CHOOSE(CONTROL!$C$9, $D$9, 100%, $F$9) + CHOOSE(CONTROL!$C$27, 0.0021, 0)</f>
        <v>73.817499999999995</v>
      </c>
      <c r="L766" s="10"/>
    </row>
    <row r="767" spans="1:12" ht="15.75">
      <c r="A767" s="13">
        <v>64650</v>
      </c>
      <c r="B767" s="10">
        <f>72.8368 * CHOOSE(CONTROL!$C$9, $D$9, 100%, $F$9) + CHOOSE(CONTROL!$C$27, 0.0021, 0)</f>
        <v>72.838899999999995</v>
      </c>
      <c r="C767" s="10">
        <f>72.4045 * CHOOSE(CONTROL!$C$9, $D$9, 100%, $F$9) + CHOOSE(CONTROL!$C$27, 0.0021, 0)</f>
        <v>72.406599999999997</v>
      </c>
      <c r="D767" s="10">
        <f>72.4045 * CHOOSE(CONTROL!$C$9, $D$9, 100%, $F$9) + CHOOSE(CONTROL!$C$27, 0.0021, 0)</f>
        <v>72.406599999999997</v>
      </c>
      <c r="E767" s="10">
        <f>72.2678 * CHOOSE(CONTROL!$C$9, $D$9, 100%, $F$9) + CHOOSE(CONTROL!$C$27, 0.0021, 0)</f>
        <v>72.269899999999993</v>
      </c>
      <c r="F767" s="10">
        <f>72.2678 * CHOOSE(CONTROL!$C$9, $D$9, 100%, $F$9) + CHOOSE(CONTROL!$C$27, 0.0021, 0)</f>
        <v>72.269899999999993</v>
      </c>
      <c r="G767" s="10">
        <f>72.5392 * CHOOSE(CONTROL!$C$9, $D$9, 100%, $F$9) + CHOOSE(CONTROL!$C$27, 0.0021, 0)</f>
        <v>72.541299999999993</v>
      </c>
      <c r="H767" s="10">
        <f>72.4045 * CHOOSE(CONTROL!$C$9, $D$9, 100%, $F$9) + CHOOSE(CONTROL!$C$27, 0.0021, 0)</f>
        <v>72.406599999999997</v>
      </c>
      <c r="I767" s="10">
        <f>72.4045 * CHOOSE(CONTROL!$C$9, $D$9, 100%, $F$9) + CHOOSE(CONTROL!$C$27, 0.0021, 0)</f>
        <v>72.406599999999997</v>
      </c>
      <c r="J767" s="10">
        <f>72.4045 * CHOOSE(CONTROL!$C$9, $D$9, 100%, $F$9) + CHOOSE(CONTROL!$C$27, 0.0021, 0)</f>
        <v>72.406599999999997</v>
      </c>
      <c r="K767" s="10">
        <f>72.4045 * CHOOSE(CONTROL!$C$9, $D$9, 100%, $F$9) + CHOOSE(CONTROL!$C$27, 0.0021, 0)</f>
        <v>72.406599999999997</v>
      </c>
      <c r="L767" s="10"/>
    </row>
    <row r="768" spans="1:12" ht="15.75">
      <c r="A768" s="13">
        <v>64681</v>
      </c>
      <c r="B768" s="10">
        <f>71.7565 * CHOOSE(CONTROL!$C$9, $D$9, 100%, $F$9) + CHOOSE(CONTROL!$C$27, 0.0021, 0)</f>
        <v>71.758600000000001</v>
      </c>
      <c r="C768" s="10">
        <f>71.3243 * CHOOSE(CONTROL!$C$9, $D$9, 100%, $F$9) + CHOOSE(CONTROL!$C$27, 0.0021, 0)</f>
        <v>71.326399999999992</v>
      </c>
      <c r="D768" s="10">
        <f>71.3243 * CHOOSE(CONTROL!$C$9, $D$9, 100%, $F$9) + CHOOSE(CONTROL!$C$27, 0.0021, 0)</f>
        <v>71.326399999999992</v>
      </c>
      <c r="E768" s="10">
        <f>71.1876 * CHOOSE(CONTROL!$C$9, $D$9, 100%, $F$9) + CHOOSE(CONTROL!$C$27, 0.0021, 0)</f>
        <v>71.189700000000002</v>
      </c>
      <c r="F768" s="10">
        <f>71.1876 * CHOOSE(CONTROL!$C$9, $D$9, 100%, $F$9) + CHOOSE(CONTROL!$C$27, 0.0021, 0)</f>
        <v>71.189700000000002</v>
      </c>
      <c r="G768" s="10">
        <f>71.459 * CHOOSE(CONTROL!$C$9, $D$9, 100%, $F$9) + CHOOSE(CONTROL!$C$27, 0.0021, 0)</f>
        <v>71.461100000000002</v>
      </c>
      <c r="H768" s="10">
        <f>71.3243 * CHOOSE(CONTROL!$C$9, $D$9, 100%, $F$9) + CHOOSE(CONTROL!$C$27, 0.0021, 0)</f>
        <v>71.326399999999992</v>
      </c>
      <c r="I768" s="10">
        <f>71.3243 * CHOOSE(CONTROL!$C$9, $D$9, 100%, $F$9) + CHOOSE(CONTROL!$C$27, 0.0021, 0)</f>
        <v>71.326399999999992</v>
      </c>
      <c r="J768" s="10">
        <f>71.3243 * CHOOSE(CONTROL!$C$9, $D$9, 100%, $F$9) + CHOOSE(CONTROL!$C$27, 0.0021, 0)</f>
        <v>71.326399999999992</v>
      </c>
      <c r="K768" s="10">
        <f>71.3243 * CHOOSE(CONTROL!$C$9, $D$9, 100%, $F$9) + CHOOSE(CONTROL!$C$27, 0.0021, 0)</f>
        <v>71.326399999999992</v>
      </c>
      <c r="L768" s="10"/>
    </row>
    <row r="769" spans="1:12" ht="15.75">
      <c r="A769" s="13">
        <v>64709</v>
      </c>
      <c r="B769" s="10">
        <f>69.7917 * CHOOSE(CONTROL!$C$9, $D$9, 100%, $F$9) + CHOOSE(CONTROL!$C$27, 0.0021, 0)</f>
        <v>69.793800000000005</v>
      </c>
      <c r="C769" s="10">
        <f>69.3595 * CHOOSE(CONTROL!$C$9, $D$9, 100%, $F$9) + CHOOSE(CONTROL!$C$27, 0.0021, 0)</f>
        <v>69.361599999999996</v>
      </c>
      <c r="D769" s="10">
        <f>69.3595 * CHOOSE(CONTROL!$C$9, $D$9, 100%, $F$9) + CHOOSE(CONTROL!$C$27, 0.0021, 0)</f>
        <v>69.361599999999996</v>
      </c>
      <c r="E769" s="10">
        <f>69.2228 * CHOOSE(CONTROL!$C$9, $D$9, 100%, $F$9) + CHOOSE(CONTROL!$C$27, 0.0021, 0)</f>
        <v>69.224900000000005</v>
      </c>
      <c r="F769" s="10">
        <f>69.2228 * CHOOSE(CONTROL!$C$9, $D$9, 100%, $F$9) + CHOOSE(CONTROL!$C$27, 0.0021, 0)</f>
        <v>69.224900000000005</v>
      </c>
      <c r="G769" s="10">
        <f>69.4942 * CHOOSE(CONTROL!$C$9, $D$9, 100%, $F$9) + CHOOSE(CONTROL!$C$27, 0.0021, 0)</f>
        <v>69.496300000000005</v>
      </c>
      <c r="H769" s="10">
        <f>69.3595 * CHOOSE(CONTROL!$C$9, $D$9, 100%, $F$9) + CHOOSE(CONTROL!$C$27, 0.0021, 0)</f>
        <v>69.361599999999996</v>
      </c>
      <c r="I769" s="10">
        <f>69.3595 * CHOOSE(CONTROL!$C$9, $D$9, 100%, $F$9) + CHOOSE(CONTROL!$C$27, 0.0021, 0)</f>
        <v>69.361599999999996</v>
      </c>
      <c r="J769" s="10">
        <f>69.3595 * CHOOSE(CONTROL!$C$9, $D$9, 100%, $F$9) + CHOOSE(CONTROL!$C$27, 0.0021, 0)</f>
        <v>69.361599999999996</v>
      </c>
      <c r="K769" s="10">
        <f>69.3595 * CHOOSE(CONTROL!$C$9, $D$9, 100%, $F$9) + CHOOSE(CONTROL!$C$27, 0.0021, 0)</f>
        <v>69.361599999999996</v>
      </c>
      <c r="L769" s="10"/>
    </row>
    <row r="770" spans="1:12" ht="15.75">
      <c r="A770" s="13">
        <v>64740</v>
      </c>
      <c r="B770" s="10">
        <f>68.9806 * CHOOSE(CONTROL!$C$9, $D$9, 100%, $F$9) + CHOOSE(CONTROL!$C$27, 0.0021, 0)</f>
        <v>68.982699999999994</v>
      </c>
      <c r="C770" s="10">
        <f>68.5484 * CHOOSE(CONTROL!$C$9, $D$9, 100%, $F$9) + CHOOSE(CONTROL!$C$27, 0.0021, 0)</f>
        <v>68.5505</v>
      </c>
      <c r="D770" s="10">
        <f>68.5484 * CHOOSE(CONTROL!$C$9, $D$9, 100%, $F$9) + CHOOSE(CONTROL!$C$27, 0.0021, 0)</f>
        <v>68.5505</v>
      </c>
      <c r="E770" s="10">
        <f>68.4117 * CHOOSE(CONTROL!$C$9, $D$9, 100%, $F$9) + CHOOSE(CONTROL!$C$27, 0.0021, 0)</f>
        <v>68.413799999999995</v>
      </c>
      <c r="F770" s="10">
        <f>68.4117 * CHOOSE(CONTROL!$C$9, $D$9, 100%, $F$9) + CHOOSE(CONTROL!$C$27, 0.0021, 0)</f>
        <v>68.413799999999995</v>
      </c>
      <c r="G770" s="10">
        <f>68.6831 * CHOOSE(CONTROL!$C$9, $D$9, 100%, $F$9) + CHOOSE(CONTROL!$C$27, 0.0021, 0)</f>
        <v>68.685199999999995</v>
      </c>
      <c r="H770" s="10">
        <f>68.5484 * CHOOSE(CONTROL!$C$9, $D$9, 100%, $F$9) + CHOOSE(CONTROL!$C$27, 0.0021, 0)</f>
        <v>68.5505</v>
      </c>
      <c r="I770" s="10">
        <f>68.5484 * CHOOSE(CONTROL!$C$9, $D$9, 100%, $F$9) + CHOOSE(CONTROL!$C$27, 0.0021, 0)</f>
        <v>68.5505</v>
      </c>
      <c r="J770" s="10">
        <f>68.5484 * CHOOSE(CONTROL!$C$9, $D$9, 100%, $F$9) + CHOOSE(CONTROL!$C$27, 0.0021, 0)</f>
        <v>68.5505</v>
      </c>
      <c r="K770" s="10">
        <f>68.5484 * CHOOSE(CONTROL!$C$9, $D$9, 100%, $F$9) + CHOOSE(CONTROL!$C$27, 0.0021, 0)</f>
        <v>68.5505</v>
      </c>
      <c r="L770" s="10"/>
    </row>
    <row r="771" spans="1:12" ht="15.75">
      <c r="A771" s="13">
        <v>64770</v>
      </c>
      <c r="B771" s="10">
        <f>68.0122 * CHOOSE(CONTROL!$C$9, $D$9, 100%, $F$9) + CHOOSE(CONTROL!$C$27, 0.0021, 0)</f>
        <v>68.014300000000006</v>
      </c>
      <c r="C771" s="10">
        <f>67.58 * CHOOSE(CONTROL!$C$9, $D$9, 100%, $F$9) + CHOOSE(CONTROL!$C$27, 0.0021, 0)</f>
        <v>67.582099999999997</v>
      </c>
      <c r="D771" s="10">
        <f>67.58 * CHOOSE(CONTROL!$C$9, $D$9, 100%, $F$9) + CHOOSE(CONTROL!$C$27, 0.0021, 0)</f>
        <v>67.582099999999997</v>
      </c>
      <c r="E771" s="10">
        <f>67.4433 * CHOOSE(CONTROL!$C$9, $D$9, 100%, $F$9) + CHOOSE(CONTROL!$C$27, 0.0021, 0)</f>
        <v>67.445399999999992</v>
      </c>
      <c r="F771" s="10">
        <f>67.4433 * CHOOSE(CONTROL!$C$9, $D$9, 100%, $F$9) + CHOOSE(CONTROL!$C$27, 0.0021, 0)</f>
        <v>67.445399999999992</v>
      </c>
      <c r="G771" s="10">
        <f>67.7147 * CHOOSE(CONTROL!$C$9, $D$9, 100%, $F$9) + CHOOSE(CONTROL!$C$27, 0.0021, 0)</f>
        <v>67.716799999999992</v>
      </c>
      <c r="H771" s="10">
        <f>67.58 * CHOOSE(CONTROL!$C$9, $D$9, 100%, $F$9) + CHOOSE(CONTROL!$C$27, 0.0021, 0)</f>
        <v>67.582099999999997</v>
      </c>
      <c r="I771" s="10">
        <f>67.58 * CHOOSE(CONTROL!$C$9, $D$9, 100%, $F$9) + CHOOSE(CONTROL!$C$27, 0.0021, 0)</f>
        <v>67.582099999999997</v>
      </c>
      <c r="J771" s="10">
        <f>67.58 * CHOOSE(CONTROL!$C$9, $D$9, 100%, $F$9) + CHOOSE(CONTROL!$C$27, 0.0021, 0)</f>
        <v>67.582099999999997</v>
      </c>
      <c r="K771" s="10">
        <f>67.58 * CHOOSE(CONTROL!$C$9, $D$9, 100%, $F$9) + CHOOSE(CONTROL!$C$27, 0.0021, 0)</f>
        <v>67.582099999999997</v>
      </c>
      <c r="L771" s="10"/>
    </row>
    <row r="772" spans="1:12" ht="15.75">
      <c r="A772" s="13">
        <v>64801</v>
      </c>
      <c r="B772" s="10">
        <f>69.3923 * CHOOSE(CONTROL!$C$9, $D$9, 100%, $F$9) + CHOOSE(CONTROL!$C$27, 0.0021, 0)</f>
        <v>69.394400000000005</v>
      </c>
      <c r="C772" s="10">
        <f>68.9601 * CHOOSE(CONTROL!$C$9, $D$9, 100%, $F$9) + CHOOSE(CONTROL!$C$27, 0.0021, 0)</f>
        <v>68.962199999999996</v>
      </c>
      <c r="D772" s="10">
        <f>68.9601 * CHOOSE(CONTROL!$C$9, $D$9, 100%, $F$9) + CHOOSE(CONTROL!$C$27, 0.0021, 0)</f>
        <v>68.962199999999996</v>
      </c>
      <c r="E772" s="10">
        <f>68.8234 * CHOOSE(CONTROL!$C$9, $D$9, 100%, $F$9) + CHOOSE(CONTROL!$C$27, 0.0021, 0)</f>
        <v>68.825500000000005</v>
      </c>
      <c r="F772" s="10">
        <f>68.8234 * CHOOSE(CONTROL!$C$9, $D$9, 100%, $F$9) + CHOOSE(CONTROL!$C$27, 0.0021, 0)</f>
        <v>68.825500000000005</v>
      </c>
      <c r="G772" s="10">
        <f>69.0948 * CHOOSE(CONTROL!$C$9, $D$9, 100%, $F$9) + CHOOSE(CONTROL!$C$27, 0.0021, 0)</f>
        <v>69.096900000000005</v>
      </c>
      <c r="H772" s="10">
        <f>68.9601 * CHOOSE(CONTROL!$C$9, $D$9, 100%, $F$9) + CHOOSE(CONTROL!$C$27, 0.0021, 0)</f>
        <v>68.962199999999996</v>
      </c>
      <c r="I772" s="10">
        <f>68.9601 * CHOOSE(CONTROL!$C$9, $D$9, 100%, $F$9) + CHOOSE(CONTROL!$C$27, 0.0021, 0)</f>
        <v>68.962199999999996</v>
      </c>
      <c r="J772" s="10">
        <f>68.9601 * CHOOSE(CONTROL!$C$9, $D$9, 100%, $F$9) + CHOOSE(CONTROL!$C$27, 0.0021, 0)</f>
        <v>68.962199999999996</v>
      </c>
      <c r="K772" s="10">
        <f>68.9601 * CHOOSE(CONTROL!$C$9, $D$9, 100%, $F$9) + CHOOSE(CONTROL!$C$27, 0.0021, 0)</f>
        <v>68.962199999999996</v>
      </c>
      <c r="L772" s="10"/>
    </row>
    <row r="773" spans="1:12" ht="15.75">
      <c r="A773" s="13">
        <v>64831</v>
      </c>
      <c r="B773" s="10">
        <f>70.219 * CHOOSE(CONTROL!$C$9, $D$9, 100%, $F$9) + CHOOSE(CONTROL!$C$27, 0.0021, 0)</f>
        <v>70.221099999999993</v>
      </c>
      <c r="C773" s="10">
        <f>69.7868 * CHOOSE(CONTROL!$C$9, $D$9, 100%, $F$9) + CHOOSE(CONTROL!$C$27, 0.0021, 0)</f>
        <v>69.788899999999998</v>
      </c>
      <c r="D773" s="10">
        <f>69.7868 * CHOOSE(CONTROL!$C$9, $D$9, 100%, $F$9) + CHOOSE(CONTROL!$C$27, 0.0021, 0)</f>
        <v>69.788899999999998</v>
      </c>
      <c r="E773" s="10">
        <f>69.6501 * CHOOSE(CONTROL!$C$9, $D$9, 100%, $F$9) + CHOOSE(CONTROL!$C$27, 0.0021, 0)</f>
        <v>69.652199999999993</v>
      </c>
      <c r="F773" s="10">
        <f>69.6501 * CHOOSE(CONTROL!$C$9, $D$9, 100%, $F$9) + CHOOSE(CONTROL!$C$27, 0.0021, 0)</f>
        <v>69.652199999999993</v>
      </c>
      <c r="G773" s="10">
        <f>69.9215 * CHOOSE(CONTROL!$C$9, $D$9, 100%, $F$9) + CHOOSE(CONTROL!$C$27, 0.0021, 0)</f>
        <v>69.923599999999993</v>
      </c>
      <c r="H773" s="10">
        <f>69.7868 * CHOOSE(CONTROL!$C$9, $D$9, 100%, $F$9) + CHOOSE(CONTROL!$C$27, 0.0021, 0)</f>
        <v>69.788899999999998</v>
      </c>
      <c r="I773" s="10">
        <f>69.7868 * CHOOSE(CONTROL!$C$9, $D$9, 100%, $F$9) + CHOOSE(CONTROL!$C$27, 0.0021, 0)</f>
        <v>69.788899999999998</v>
      </c>
      <c r="J773" s="10">
        <f>69.7868 * CHOOSE(CONTROL!$C$9, $D$9, 100%, $F$9) + CHOOSE(CONTROL!$C$27, 0.0021, 0)</f>
        <v>69.788899999999998</v>
      </c>
      <c r="K773" s="10">
        <f>69.7868 * CHOOSE(CONTROL!$C$9, $D$9, 100%, $F$9) + CHOOSE(CONTROL!$C$27, 0.0021, 0)</f>
        <v>69.788899999999998</v>
      </c>
      <c r="L773" s="10"/>
    </row>
    <row r="774" spans="1:12" ht="15.75">
      <c r="A774" s="13">
        <v>64862</v>
      </c>
      <c r="B774" s="10">
        <f>71.5827 * CHOOSE(CONTROL!$C$9, $D$9, 100%, $F$9) + CHOOSE(CONTROL!$C$27, 0.0021, 0)</f>
        <v>71.584800000000001</v>
      </c>
      <c r="C774" s="10">
        <f>71.1504 * CHOOSE(CONTROL!$C$9, $D$9, 100%, $F$9) + CHOOSE(CONTROL!$C$27, 0.0021, 0)</f>
        <v>71.152500000000003</v>
      </c>
      <c r="D774" s="10">
        <f>71.1504 * CHOOSE(CONTROL!$C$9, $D$9, 100%, $F$9) + CHOOSE(CONTROL!$C$27, 0.0021, 0)</f>
        <v>71.152500000000003</v>
      </c>
      <c r="E774" s="10">
        <f>71.0138 * CHOOSE(CONTROL!$C$9, $D$9, 100%, $F$9) + CHOOSE(CONTROL!$C$27, 0.0021, 0)</f>
        <v>71.015900000000002</v>
      </c>
      <c r="F774" s="10">
        <f>71.0138 * CHOOSE(CONTROL!$C$9, $D$9, 100%, $F$9) + CHOOSE(CONTROL!$C$27, 0.0021, 0)</f>
        <v>71.015900000000002</v>
      </c>
      <c r="G774" s="10">
        <f>71.2851 * CHOOSE(CONTROL!$C$9, $D$9, 100%, $F$9) + CHOOSE(CONTROL!$C$27, 0.0021, 0)</f>
        <v>71.287199999999999</v>
      </c>
      <c r="H774" s="10">
        <f>71.1504 * CHOOSE(CONTROL!$C$9, $D$9, 100%, $F$9) + CHOOSE(CONTROL!$C$27, 0.0021, 0)</f>
        <v>71.152500000000003</v>
      </c>
      <c r="I774" s="10">
        <f>71.1504 * CHOOSE(CONTROL!$C$9, $D$9, 100%, $F$9) + CHOOSE(CONTROL!$C$27, 0.0021, 0)</f>
        <v>71.152500000000003</v>
      </c>
      <c r="J774" s="10">
        <f>71.1504 * CHOOSE(CONTROL!$C$9, $D$9, 100%, $F$9) + CHOOSE(CONTROL!$C$27, 0.0021, 0)</f>
        <v>71.152500000000003</v>
      </c>
      <c r="K774" s="10">
        <f>71.1504 * CHOOSE(CONTROL!$C$9, $D$9, 100%, $F$9) + CHOOSE(CONTROL!$C$27, 0.0021, 0)</f>
        <v>71.152500000000003</v>
      </c>
      <c r="L774" s="10"/>
    </row>
    <row r="775" spans="1:12" ht="15.75">
      <c r="A775" s="13">
        <v>64893</v>
      </c>
      <c r="B775" s="10">
        <f>71.9989 * CHOOSE(CONTROL!$C$9, $D$9, 100%, $F$9) + CHOOSE(CONTROL!$C$27, 0.0021, 0)</f>
        <v>72.001000000000005</v>
      </c>
      <c r="C775" s="10">
        <f>71.5667 * CHOOSE(CONTROL!$C$9, $D$9, 100%, $F$9) + CHOOSE(CONTROL!$C$27, 0.0021, 0)</f>
        <v>71.568799999999996</v>
      </c>
      <c r="D775" s="10">
        <f>71.5667 * CHOOSE(CONTROL!$C$9, $D$9, 100%, $F$9) + CHOOSE(CONTROL!$C$27, 0.0021, 0)</f>
        <v>71.568799999999996</v>
      </c>
      <c r="E775" s="10">
        <f>71.43 * CHOOSE(CONTROL!$C$9, $D$9, 100%, $F$9) + CHOOSE(CONTROL!$C$27, 0.0021, 0)</f>
        <v>71.432100000000005</v>
      </c>
      <c r="F775" s="10">
        <f>71.43 * CHOOSE(CONTROL!$C$9, $D$9, 100%, $F$9) + CHOOSE(CONTROL!$C$27, 0.0021, 0)</f>
        <v>71.432100000000005</v>
      </c>
      <c r="G775" s="10">
        <f>71.7014 * CHOOSE(CONTROL!$C$9, $D$9, 100%, $F$9) + CHOOSE(CONTROL!$C$27, 0.0021, 0)</f>
        <v>71.703500000000005</v>
      </c>
      <c r="H775" s="10">
        <f>71.5667 * CHOOSE(CONTROL!$C$9, $D$9, 100%, $F$9) + CHOOSE(CONTROL!$C$27, 0.0021, 0)</f>
        <v>71.568799999999996</v>
      </c>
      <c r="I775" s="10">
        <f>71.5667 * CHOOSE(CONTROL!$C$9, $D$9, 100%, $F$9) + CHOOSE(CONTROL!$C$27, 0.0021, 0)</f>
        <v>71.568799999999996</v>
      </c>
      <c r="J775" s="10">
        <f>71.5667 * CHOOSE(CONTROL!$C$9, $D$9, 100%, $F$9) + CHOOSE(CONTROL!$C$27, 0.0021, 0)</f>
        <v>71.568799999999996</v>
      </c>
      <c r="K775" s="10">
        <f>71.5667 * CHOOSE(CONTROL!$C$9, $D$9, 100%, $F$9) + CHOOSE(CONTROL!$C$27, 0.0021, 0)</f>
        <v>71.568799999999996</v>
      </c>
      <c r="L775" s="10"/>
    </row>
    <row r="776" spans="1:12" ht="15.75">
      <c r="A776" s="13">
        <v>64923</v>
      </c>
      <c r="B776" s="10">
        <f>73.4164 * CHOOSE(CONTROL!$C$9, $D$9, 100%, $F$9) + CHOOSE(CONTROL!$C$27, 0.0021, 0)</f>
        <v>73.418499999999995</v>
      </c>
      <c r="C776" s="10">
        <f>72.9841 * CHOOSE(CONTROL!$C$9, $D$9, 100%, $F$9) + CHOOSE(CONTROL!$C$27, 0.0021, 0)</f>
        <v>72.986199999999997</v>
      </c>
      <c r="D776" s="10">
        <f>72.9841 * CHOOSE(CONTROL!$C$9, $D$9, 100%, $F$9) + CHOOSE(CONTROL!$C$27, 0.0021, 0)</f>
        <v>72.986199999999997</v>
      </c>
      <c r="E776" s="10">
        <f>72.8475 * CHOOSE(CONTROL!$C$9, $D$9, 100%, $F$9) + CHOOSE(CONTROL!$C$27, 0.0021, 0)</f>
        <v>72.849599999999995</v>
      </c>
      <c r="F776" s="10">
        <f>72.8475 * CHOOSE(CONTROL!$C$9, $D$9, 100%, $F$9) + CHOOSE(CONTROL!$C$27, 0.0021, 0)</f>
        <v>72.849599999999995</v>
      </c>
      <c r="G776" s="10">
        <f>73.1189 * CHOOSE(CONTROL!$C$9, $D$9, 100%, $F$9) + CHOOSE(CONTROL!$C$27, 0.0021, 0)</f>
        <v>73.120999999999995</v>
      </c>
      <c r="H776" s="10">
        <f>72.9841 * CHOOSE(CONTROL!$C$9, $D$9, 100%, $F$9) + CHOOSE(CONTROL!$C$27, 0.0021, 0)</f>
        <v>72.986199999999997</v>
      </c>
      <c r="I776" s="10">
        <f>72.9841 * CHOOSE(CONTROL!$C$9, $D$9, 100%, $F$9) + CHOOSE(CONTROL!$C$27, 0.0021, 0)</f>
        <v>72.986199999999997</v>
      </c>
      <c r="J776" s="10">
        <f>72.9841 * CHOOSE(CONTROL!$C$9, $D$9, 100%, $F$9) + CHOOSE(CONTROL!$C$27, 0.0021, 0)</f>
        <v>72.986199999999997</v>
      </c>
      <c r="K776" s="10">
        <f>72.9841 * CHOOSE(CONTROL!$C$9, $D$9, 100%, $F$9) + CHOOSE(CONTROL!$C$27, 0.0021, 0)</f>
        <v>72.986199999999997</v>
      </c>
      <c r="L776" s="10"/>
    </row>
    <row r="777" spans="1:12" ht="15.75">
      <c r="A777" s="13">
        <v>64954</v>
      </c>
      <c r="B777" s="10">
        <f>75.2107 * CHOOSE(CONTROL!$C$9, $D$9, 100%, $F$9) + CHOOSE(CONTROL!$C$27, 0.0021, 0)</f>
        <v>75.212800000000001</v>
      </c>
      <c r="C777" s="10">
        <f>74.7784 * CHOOSE(CONTROL!$C$9, $D$9, 100%, $F$9) + CHOOSE(CONTROL!$C$27, 0.0021, 0)</f>
        <v>74.780500000000004</v>
      </c>
      <c r="D777" s="10">
        <f>74.7784 * CHOOSE(CONTROL!$C$9, $D$9, 100%, $F$9) + CHOOSE(CONTROL!$C$27, 0.0021, 0)</f>
        <v>74.780500000000004</v>
      </c>
      <c r="E777" s="10">
        <f>74.6418 * CHOOSE(CONTROL!$C$9, $D$9, 100%, $F$9) + CHOOSE(CONTROL!$C$27, 0.0021, 0)</f>
        <v>74.643900000000002</v>
      </c>
      <c r="F777" s="10">
        <f>74.6418 * CHOOSE(CONTROL!$C$9, $D$9, 100%, $F$9) + CHOOSE(CONTROL!$C$27, 0.0021, 0)</f>
        <v>74.643900000000002</v>
      </c>
      <c r="G777" s="10">
        <f>74.9131 * CHOOSE(CONTROL!$C$9, $D$9, 100%, $F$9) + CHOOSE(CONTROL!$C$27, 0.0021, 0)</f>
        <v>74.915199999999999</v>
      </c>
      <c r="H777" s="10">
        <f>74.7784 * CHOOSE(CONTROL!$C$9, $D$9, 100%, $F$9) + CHOOSE(CONTROL!$C$27, 0.0021, 0)</f>
        <v>74.780500000000004</v>
      </c>
      <c r="I777" s="10">
        <f>74.7784 * CHOOSE(CONTROL!$C$9, $D$9, 100%, $F$9) + CHOOSE(CONTROL!$C$27, 0.0021, 0)</f>
        <v>74.780500000000004</v>
      </c>
      <c r="J777" s="10">
        <f>74.7784 * CHOOSE(CONTROL!$C$9, $D$9, 100%, $F$9) + CHOOSE(CONTROL!$C$27, 0.0021, 0)</f>
        <v>74.780500000000004</v>
      </c>
      <c r="K777" s="10">
        <f>74.7784 * CHOOSE(CONTROL!$C$9, $D$9, 100%, $F$9) + CHOOSE(CONTROL!$C$27, 0.0021, 0)</f>
        <v>74.780500000000004</v>
      </c>
      <c r="L777" s="10"/>
    </row>
    <row r="778" spans="1:12" ht="15.75">
      <c r="A778" s="13">
        <v>64984</v>
      </c>
      <c r="B778" s="10">
        <f>75.3791 * CHOOSE(CONTROL!$C$9, $D$9, 100%, $F$9) + CHOOSE(CONTROL!$C$27, 0.0021, 0)</f>
        <v>75.381199999999993</v>
      </c>
      <c r="C778" s="10">
        <f>74.9469 * CHOOSE(CONTROL!$C$9, $D$9, 100%, $F$9) + CHOOSE(CONTROL!$C$27, 0.0021, 0)</f>
        <v>74.948999999999998</v>
      </c>
      <c r="D778" s="10">
        <f>74.9469 * CHOOSE(CONTROL!$C$9, $D$9, 100%, $F$9) + CHOOSE(CONTROL!$C$27, 0.0021, 0)</f>
        <v>74.948999999999998</v>
      </c>
      <c r="E778" s="10">
        <f>74.8102 * CHOOSE(CONTROL!$C$9, $D$9, 100%, $F$9) + CHOOSE(CONTROL!$C$27, 0.0021, 0)</f>
        <v>74.812299999999993</v>
      </c>
      <c r="F778" s="10">
        <f>74.8102 * CHOOSE(CONTROL!$C$9, $D$9, 100%, $F$9) + CHOOSE(CONTROL!$C$27, 0.0021, 0)</f>
        <v>74.812299999999993</v>
      </c>
      <c r="G778" s="10">
        <f>75.0816 * CHOOSE(CONTROL!$C$9, $D$9, 100%, $F$9) + CHOOSE(CONTROL!$C$27, 0.0021, 0)</f>
        <v>75.083699999999993</v>
      </c>
      <c r="H778" s="10">
        <f>74.9469 * CHOOSE(CONTROL!$C$9, $D$9, 100%, $F$9) + CHOOSE(CONTROL!$C$27, 0.0021, 0)</f>
        <v>74.948999999999998</v>
      </c>
      <c r="I778" s="10">
        <f>74.9469 * CHOOSE(CONTROL!$C$9, $D$9, 100%, $F$9) + CHOOSE(CONTROL!$C$27, 0.0021, 0)</f>
        <v>74.948999999999998</v>
      </c>
      <c r="J778" s="10">
        <f>74.9469 * CHOOSE(CONTROL!$C$9, $D$9, 100%, $F$9) + CHOOSE(CONTROL!$C$27, 0.0021, 0)</f>
        <v>74.948999999999998</v>
      </c>
      <c r="K778" s="10">
        <f>74.9469 * CHOOSE(CONTROL!$C$9, $D$9, 100%, $F$9) + CHOOSE(CONTROL!$C$27, 0.0021, 0)</f>
        <v>74.948999999999998</v>
      </c>
      <c r="L778" s="10"/>
    </row>
    <row r="779" spans="1:12" ht="15.75">
      <c r="A779" s="13">
        <v>65015</v>
      </c>
      <c r="B779" s="10">
        <f>73.9461 * CHOOSE(CONTROL!$C$9, $D$9, 100%, $F$9) + CHOOSE(CONTROL!$C$27, 0.0021, 0)</f>
        <v>73.9482</v>
      </c>
      <c r="C779" s="10">
        <f>73.5138 * CHOOSE(CONTROL!$C$9, $D$9, 100%, $F$9) + CHOOSE(CONTROL!$C$27, 0.0021, 0)</f>
        <v>73.515900000000002</v>
      </c>
      <c r="D779" s="10">
        <f>73.5138 * CHOOSE(CONTROL!$C$9, $D$9, 100%, $F$9) + CHOOSE(CONTROL!$C$27, 0.0021, 0)</f>
        <v>73.515900000000002</v>
      </c>
      <c r="E779" s="10">
        <f>73.3771 * CHOOSE(CONTROL!$C$9, $D$9, 100%, $F$9) + CHOOSE(CONTROL!$C$27, 0.0021, 0)</f>
        <v>73.379199999999997</v>
      </c>
      <c r="F779" s="10">
        <f>73.3771 * CHOOSE(CONTROL!$C$9, $D$9, 100%, $F$9) + CHOOSE(CONTROL!$C$27, 0.0021, 0)</f>
        <v>73.379199999999997</v>
      </c>
      <c r="G779" s="10">
        <f>73.6485 * CHOOSE(CONTROL!$C$9, $D$9, 100%, $F$9) + CHOOSE(CONTROL!$C$27, 0.0021, 0)</f>
        <v>73.650599999999997</v>
      </c>
      <c r="H779" s="10">
        <f>73.5138 * CHOOSE(CONTROL!$C$9, $D$9, 100%, $F$9) + CHOOSE(CONTROL!$C$27, 0.0021, 0)</f>
        <v>73.515900000000002</v>
      </c>
      <c r="I779" s="10">
        <f>73.5138 * CHOOSE(CONTROL!$C$9, $D$9, 100%, $F$9) + CHOOSE(CONTROL!$C$27, 0.0021, 0)</f>
        <v>73.515900000000002</v>
      </c>
      <c r="J779" s="10">
        <f>73.5138 * CHOOSE(CONTROL!$C$9, $D$9, 100%, $F$9) + CHOOSE(CONTROL!$C$27, 0.0021, 0)</f>
        <v>73.515900000000002</v>
      </c>
      <c r="K779" s="10">
        <f>73.5138 * CHOOSE(CONTROL!$C$9, $D$9, 100%, $F$9) + CHOOSE(CONTROL!$C$27, 0.0021, 0)</f>
        <v>73.515900000000002</v>
      </c>
      <c r="L779" s="10"/>
    </row>
    <row r="780" spans="1:12" ht="15.75">
      <c r="A780" s="13">
        <v>65046</v>
      </c>
      <c r="B780" s="10">
        <f>72.8489 * CHOOSE(CONTROL!$C$9, $D$9, 100%, $F$9) + CHOOSE(CONTROL!$C$27, 0.0021, 0)</f>
        <v>72.850999999999999</v>
      </c>
      <c r="C780" s="10">
        <f>72.4166 * CHOOSE(CONTROL!$C$9, $D$9, 100%, $F$9) + CHOOSE(CONTROL!$C$27, 0.0021, 0)</f>
        <v>72.418700000000001</v>
      </c>
      <c r="D780" s="10">
        <f>72.4166 * CHOOSE(CONTROL!$C$9, $D$9, 100%, $F$9) + CHOOSE(CONTROL!$C$27, 0.0021, 0)</f>
        <v>72.418700000000001</v>
      </c>
      <c r="E780" s="10">
        <f>72.28 * CHOOSE(CONTROL!$C$9, $D$9, 100%, $F$9) + CHOOSE(CONTROL!$C$27, 0.0021, 0)</f>
        <v>72.2821</v>
      </c>
      <c r="F780" s="10">
        <f>72.28 * CHOOSE(CONTROL!$C$9, $D$9, 100%, $F$9) + CHOOSE(CONTROL!$C$27, 0.0021, 0)</f>
        <v>72.2821</v>
      </c>
      <c r="G780" s="10">
        <f>72.5513 * CHOOSE(CONTROL!$C$9, $D$9, 100%, $F$9) + CHOOSE(CONTROL!$C$27, 0.0021, 0)</f>
        <v>72.553399999999996</v>
      </c>
      <c r="H780" s="10">
        <f>72.4166 * CHOOSE(CONTROL!$C$9, $D$9, 100%, $F$9) + CHOOSE(CONTROL!$C$27, 0.0021, 0)</f>
        <v>72.418700000000001</v>
      </c>
      <c r="I780" s="10">
        <f>72.4166 * CHOOSE(CONTROL!$C$9, $D$9, 100%, $F$9) + CHOOSE(CONTROL!$C$27, 0.0021, 0)</f>
        <v>72.418700000000001</v>
      </c>
      <c r="J780" s="10">
        <f>72.4166 * CHOOSE(CONTROL!$C$9, $D$9, 100%, $F$9) + CHOOSE(CONTROL!$C$27, 0.0021, 0)</f>
        <v>72.418700000000001</v>
      </c>
      <c r="K780" s="10">
        <f>72.4166 * CHOOSE(CONTROL!$C$9, $D$9, 100%, $F$9) + CHOOSE(CONTROL!$C$27, 0.0021, 0)</f>
        <v>72.418700000000001</v>
      </c>
      <c r="L780" s="10"/>
    </row>
    <row r="781" spans="1:12" ht="15.75">
      <c r="A781" s="13">
        <v>65074</v>
      </c>
      <c r="B781" s="10">
        <f>70.8531 * CHOOSE(CONTROL!$C$9, $D$9, 100%, $F$9) + CHOOSE(CONTROL!$C$27, 0.0021, 0)</f>
        <v>70.855199999999996</v>
      </c>
      <c r="C781" s="10">
        <f>70.4209 * CHOOSE(CONTROL!$C$9, $D$9, 100%, $F$9) + CHOOSE(CONTROL!$C$27, 0.0021, 0)</f>
        <v>70.423000000000002</v>
      </c>
      <c r="D781" s="10">
        <f>70.4209 * CHOOSE(CONTROL!$C$9, $D$9, 100%, $F$9) + CHOOSE(CONTROL!$C$27, 0.0021, 0)</f>
        <v>70.423000000000002</v>
      </c>
      <c r="E781" s="10">
        <f>70.2842 * CHOOSE(CONTROL!$C$9, $D$9, 100%, $F$9) + CHOOSE(CONTROL!$C$27, 0.0021, 0)</f>
        <v>70.286299999999997</v>
      </c>
      <c r="F781" s="10">
        <f>70.2842 * CHOOSE(CONTROL!$C$9, $D$9, 100%, $F$9) + CHOOSE(CONTROL!$C$27, 0.0021, 0)</f>
        <v>70.286299999999997</v>
      </c>
      <c r="G781" s="10">
        <f>70.5556 * CHOOSE(CONTROL!$C$9, $D$9, 100%, $F$9) + CHOOSE(CONTROL!$C$27, 0.0021, 0)</f>
        <v>70.557699999999997</v>
      </c>
      <c r="H781" s="10">
        <f>70.4209 * CHOOSE(CONTROL!$C$9, $D$9, 100%, $F$9) + CHOOSE(CONTROL!$C$27, 0.0021, 0)</f>
        <v>70.423000000000002</v>
      </c>
      <c r="I781" s="10">
        <f>70.4209 * CHOOSE(CONTROL!$C$9, $D$9, 100%, $F$9) + CHOOSE(CONTROL!$C$27, 0.0021, 0)</f>
        <v>70.423000000000002</v>
      </c>
      <c r="J781" s="10">
        <f>70.4209 * CHOOSE(CONTROL!$C$9, $D$9, 100%, $F$9) + CHOOSE(CONTROL!$C$27, 0.0021, 0)</f>
        <v>70.423000000000002</v>
      </c>
      <c r="K781" s="10">
        <f>70.4209 * CHOOSE(CONTROL!$C$9, $D$9, 100%, $F$9) + CHOOSE(CONTROL!$C$27, 0.0021, 0)</f>
        <v>70.423000000000002</v>
      </c>
      <c r="L781" s="10"/>
    </row>
    <row r="782" spans="1:12" ht="15.75">
      <c r="A782" s="13">
        <v>65105</v>
      </c>
      <c r="B782" s="10">
        <f>70.0293 * CHOOSE(CONTROL!$C$9, $D$9, 100%, $F$9) + CHOOSE(CONTROL!$C$27, 0.0021, 0)</f>
        <v>70.031400000000005</v>
      </c>
      <c r="C782" s="10">
        <f>69.5971 * CHOOSE(CONTROL!$C$9, $D$9, 100%, $F$9) + CHOOSE(CONTROL!$C$27, 0.0021, 0)</f>
        <v>69.599199999999996</v>
      </c>
      <c r="D782" s="10">
        <f>69.5971 * CHOOSE(CONTROL!$C$9, $D$9, 100%, $F$9) + CHOOSE(CONTROL!$C$27, 0.0021, 0)</f>
        <v>69.599199999999996</v>
      </c>
      <c r="E782" s="10">
        <f>69.4604 * CHOOSE(CONTROL!$C$9, $D$9, 100%, $F$9) + CHOOSE(CONTROL!$C$27, 0.0021, 0)</f>
        <v>69.462500000000006</v>
      </c>
      <c r="F782" s="10">
        <f>69.4604 * CHOOSE(CONTROL!$C$9, $D$9, 100%, $F$9) + CHOOSE(CONTROL!$C$27, 0.0021, 0)</f>
        <v>69.462500000000006</v>
      </c>
      <c r="G782" s="10">
        <f>69.7318 * CHOOSE(CONTROL!$C$9, $D$9, 100%, $F$9) + CHOOSE(CONTROL!$C$27, 0.0021, 0)</f>
        <v>69.733900000000006</v>
      </c>
      <c r="H782" s="10">
        <f>69.5971 * CHOOSE(CONTROL!$C$9, $D$9, 100%, $F$9) + CHOOSE(CONTROL!$C$27, 0.0021, 0)</f>
        <v>69.599199999999996</v>
      </c>
      <c r="I782" s="10">
        <f>69.5971 * CHOOSE(CONTROL!$C$9, $D$9, 100%, $F$9) + CHOOSE(CONTROL!$C$27, 0.0021, 0)</f>
        <v>69.599199999999996</v>
      </c>
      <c r="J782" s="10">
        <f>69.5971 * CHOOSE(CONTROL!$C$9, $D$9, 100%, $F$9) + CHOOSE(CONTROL!$C$27, 0.0021, 0)</f>
        <v>69.599199999999996</v>
      </c>
      <c r="K782" s="10">
        <f>69.5971 * CHOOSE(CONTROL!$C$9, $D$9, 100%, $F$9) + CHOOSE(CONTROL!$C$27, 0.0021, 0)</f>
        <v>69.599199999999996</v>
      </c>
      <c r="L782" s="10"/>
    </row>
    <row r="783" spans="1:12" ht="15.75">
      <c r="A783" s="13">
        <v>65135</v>
      </c>
      <c r="B783" s="10">
        <f>69.0456 * CHOOSE(CONTROL!$C$9, $D$9, 100%, $F$9) + CHOOSE(CONTROL!$C$27, 0.0021, 0)</f>
        <v>69.047699999999992</v>
      </c>
      <c r="C783" s="10">
        <f>68.6134 * CHOOSE(CONTROL!$C$9, $D$9, 100%, $F$9) + CHOOSE(CONTROL!$C$27, 0.0021, 0)</f>
        <v>68.615499999999997</v>
      </c>
      <c r="D783" s="10">
        <f>68.6134 * CHOOSE(CONTROL!$C$9, $D$9, 100%, $F$9) + CHOOSE(CONTROL!$C$27, 0.0021, 0)</f>
        <v>68.615499999999997</v>
      </c>
      <c r="E783" s="10">
        <f>68.4767 * CHOOSE(CONTROL!$C$9, $D$9, 100%, $F$9) + CHOOSE(CONTROL!$C$27, 0.0021, 0)</f>
        <v>68.478799999999993</v>
      </c>
      <c r="F783" s="10">
        <f>68.4767 * CHOOSE(CONTROL!$C$9, $D$9, 100%, $F$9) + CHOOSE(CONTROL!$C$27, 0.0021, 0)</f>
        <v>68.478799999999993</v>
      </c>
      <c r="G783" s="10">
        <f>68.7481 * CHOOSE(CONTROL!$C$9, $D$9, 100%, $F$9) + CHOOSE(CONTROL!$C$27, 0.0021, 0)</f>
        <v>68.750199999999992</v>
      </c>
      <c r="H783" s="10">
        <f>68.6134 * CHOOSE(CONTROL!$C$9, $D$9, 100%, $F$9) + CHOOSE(CONTROL!$C$27, 0.0021, 0)</f>
        <v>68.615499999999997</v>
      </c>
      <c r="I783" s="10">
        <f>68.6134 * CHOOSE(CONTROL!$C$9, $D$9, 100%, $F$9) + CHOOSE(CONTROL!$C$27, 0.0021, 0)</f>
        <v>68.615499999999997</v>
      </c>
      <c r="J783" s="10">
        <f>68.6134 * CHOOSE(CONTROL!$C$9, $D$9, 100%, $F$9) + CHOOSE(CONTROL!$C$27, 0.0021, 0)</f>
        <v>68.615499999999997</v>
      </c>
      <c r="K783" s="10">
        <f>68.6134 * CHOOSE(CONTROL!$C$9, $D$9, 100%, $F$9) + CHOOSE(CONTROL!$C$27, 0.0021, 0)</f>
        <v>68.615499999999997</v>
      </c>
      <c r="L783" s="10"/>
    </row>
    <row r="784" spans="1:12" ht="15.75">
      <c r="A784" s="13">
        <v>65166</v>
      </c>
      <c r="B784" s="10">
        <f>70.4475 * CHOOSE(CONTROL!$C$9, $D$9, 100%, $F$9) + CHOOSE(CONTROL!$C$27, 0.0021, 0)</f>
        <v>70.449600000000004</v>
      </c>
      <c r="C784" s="10">
        <f>70.0152 * CHOOSE(CONTROL!$C$9, $D$9, 100%, $F$9) + CHOOSE(CONTROL!$C$27, 0.0021, 0)</f>
        <v>70.017299999999992</v>
      </c>
      <c r="D784" s="10">
        <f>70.0152 * CHOOSE(CONTROL!$C$9, $D$9, 100%, $F$9) + CHOOSE(CONTROL!$C$27, 0.0021, 0)</f>
        <v>70.017299999999992</v>
      </c>
      <c r="E784" s="10">
        <f>69.8786 * CHOOSE(CONTROL!$C$9, $D$9, 100%, $F$9) + CHOOSE(CONTROL!$C$27, 0.0021, 0)</f>
        <v>69.880700000000004</v>
      </c>
      <c r="F784" s="10">
        <f>69.8786 * CHOOSE(CONTROL!$C$9, $D$9, 100%, $F$9) + CHOOSE(CONTROL!$C$27, 0.0021, 0)</f>
        <v>69.880700000000004</v>
      </c>
      <c r="G784" s="10">
        <f>70.15 * CHOOSE(CONTROL!$C$9, $D$9, 100%, $F$9) + CHOOSE(CONTROL!$C$27, 0.0021, 0)</f>
        <v>70.152100000000004</v>
      </c>
      <c r="H784" s="10">
        <f>70.0152 * CHOOSE(CONTROL!$C$9, $D$9, 100%, $F$9) + CHOOSE(CONTROL!$C$27, 0.0021, 0)</f>
        <v>70.017299999999992</v>
      </c>
      <c r="I784" s="10">
        <f>70.0152 * CHOOSE(CONTROL!$C$9, $D$9, 100%, $F$9) + CHOOSE(CONTROL!$C$27, 0.0021, 0)</f>
        <v>70.017299999999992</v>
      </c>
      <c r="J784" s="10">
        <f>70.0152 * CHOOSE(CONTROL!$C$9, $D$9, 100%, $F$9) + CHOOSE(CONTROL!$C$27, 0.0021, 0)</f>
        <v>70.017299999999992</v>
      </c>
      <c r="K784" s="10">
        <f>70.0152 * CHOOSE(CONTROL!$C$9, $D$9, 100%, $F$9) + CHOOSE(CONTROL!$C$27, 0.0021, 0)</f>
        <v>70.017299999999992</v>
      </c>
      <c r="L784" s="10"/>
    </row>
    <row r="785" spans="1:12" ht="15.75">
      <c r="A785" s="13">
        <v>65196</v>
      </c>
      <c r="B785" s="10">
        <f>71.2871 * CHOOSE(CONTROL!$C$9, $D$9, 100%, $F$9) + CHOOSE(CONTROL!$C$27, 0.0021, 0)</f>
        <v>71.289199999999994</v>
      </c>
      <c r="C785" s="10">
        <f>70.8549 * CHOOSE(CONTROL!$C$9, $D$9, 100%, $F$9) + CHOOSE(CONTROL!$C$27, 0.0021, 0)</f>
        <v>70.856999999999999</v>
      </c>
      <c r="D785" s="10">
        <f>70.8549 * CHOOSE(CONTROL!$C$9, $D$9, 100%, $F$9) + CHOOSE(CONTROL!$C$27, 0.0021, 0)</f>
        <v>70.856999999999999</v>
      </c>
      <c r="E785" s="10">
        <f>70.7182 * CHOOSE(CONTROL!$C$9, $D$9, 100%, $F$9) + CHOOSE(CONTROL!$C$27, 0.0021, 0)</f>
        <v>70.720299999999995</v>
      </c>
      <c r="F785" s="10">
        <f>70.7182 * CHOOSE(CONTROL!$C$9, $D$9, 100%, $F$9) + CHOOSE(CONTROL!$C$27, 0.0021, 0)</f>
        <v>70.720299999999995</v>
      </c>
      <c r="G785" s="10">
        <f>70.9896 * CHOOSE(CONTROL!$C$9, $D$9, 100%, $F$9) + CHOOSE(CONTROL!$C$27, 0.0021, 0)</f>
        <v>70.991699999999994</v>
      </c>
      <c r="H785" s="10">
        <f>70.8549 * CHOOSE(CONTROL!$C$9, $D$9, 100%, $F$9) + CHOOSE(CONTROL!$C$27, 0.0021, 0)</f>
        <v>70.856999999999999</v>
      </c>
      <c r="I785" s="10">
        <f>70.8549 * CHOOSE(CONTROL!$C$9, $D$9, 100%, $F$9) + CHOOSE(CONTROL!$C$27, 0.0021, 0)</f>
        <v>70.856999999999999</v>
      </c>
      <c r="J785" s="10">
        <f>70.8549 * CHOOSE(CONTROL!$C$9, $D$9, 100%, $F$9) + CHOOSE(CONTROL!$C$27, 0.0021, 0)</f>
        <v>70.856999999999999</v>
      </c>
      <c r="K785" s="10">
        <f>70.8549 * CHOOSE(CONTROL!$C$9, $D$9, 100%, $F$9) + CHOOSE(CONTROL!$C$27, 0.0021, 0)</f>
        <v>70.856999999999999</v>
      </c>
      <c r="L785" s="10"/>
    </row>
    <row r="786" spans="1:12" ht="15.75">
      <c r="A786" s="13">
        <v>65227</v>
      </c>
      <c r="B786" s="10">
        <f>72.6723 * CHOOSE(CONTROL!$C$9, $D$9, 100%, $F$9) + CHOOSE(CONTROL!$C$27, 0.0021, 0)</f>
        <v>72.674400000000006</v>
      </c>
      <c r="C786" s="10">
        <f>72.24 * CHOOSE(CONTROL!$C$9, $D$9, 100%, $F$9) + CHOOSE(CONTROL!$C$27, 0.0021, 0)</f>
        <v>72.242099999999994</v>
      </c>
      <c r="D786" s="10">
        <f>72.24 * CHOOSE(CONTROL!$C$9, $D$9, 100%, $F$9) + CHOOSE(CONTROL!$C$27, 0.0021, 0)</f>
        <v>72.242099999999994</v>
      </c>
      <c r="E786" s="10">
        <f>72.1033 * CHOOSE(CONTROL!$C$9, $D$9, 100%, $F$9) + CHOOSE(CONTROL!$C$27, 0.0021, 0)</f>
        <v>72.105400000000003</v>
      </c>
      <c r="F786" s="10">
        <f>72.1033 * CHOOSE(CONTROL!$C$9, $D$9, 100%, $F$9) + CHOOSE(CONTROL!$C$27, 0.0021, 0)</f>
        <v>72.105400000000003</v>
      </c>
      <c r="G786" s="10">
        <f>72.3747 * CHOOSE(CONTROL!$C$9, $D$9, 100%, $F$9) + CHOOSE(CONTROL!$C$27, 0.0021, 0)</f>
        <v>72.376800000000003</v>
      </c>
      <c r="H786" s="10">
        <f>72.24 * CHOOSE(CONTROL!$C$9, $D$9, 100%, $F$9) + CHOOSE(CONTROL!$C$27, 0.0021, 0)</f>
        <v>72.242099999999994</v>
      </c>
      <c r="I786" s="10">
        <f>72.24 * CHOOSE(CONTROL!$C$9, $D$9, 100%, $F$9) + CHOOSE(CONTROL!$C$27, 0.0021, 0)</f>
        <v>72.242099999999994</v>
      </c>
      <c r="J786" s="10">
        <f>72.24 * CHOOSE(CONTROL!$C$9, $D$9, 100%, $F$9) + CHOOSE(CONTROL!$C$27, 0.0021, 0)</f>
        <v>72.242099999999994</v>
      </c>
      <c r="K786" s="10">
        <f>72.24 * CHOOSE(CONTROL!$C$9, $D$9, 100%, $F$9) + CHOOSE(CONTROL!$C$27, 0.0021, 0)</f>
        <v>72.242099999999994</v>
      </c>
      <c r="L786" s="10"/>
    </row>
    <row r="787" spans="1:12" ht="15.75">
      <c r="A787" s="13">
        <v>65258</v>
      </c>
      <c r="B787" s="10">
        <f>73.095 * CHOOSE(CONTROL!$C$9, $D$9, 100%, $F$9) + CHOOSE(CONTROL!$C$27, 0.0021, 0)</f>
        <v>73.097099999999998</v>
      </c>
      <c r="C787" s="10">
        <f>72.6628 * CHOOSE(CONTROL!$C$9, $D$9, 100%, $F$9) + CHOOSE(CONTROL!$C$27, 0.0021, 0)</f>
        <v>72.664900000000003</v>
      </c>
      <c r="D787" s="10">
        <f>72.6628 * CHOOSE(CONTROL!$C$9, $D$9, 100%, $F$9) + CHOOSE(CONTROL!$C$27, 0.0021, 0)</f>
        <v>72.664900000000003</v>
      </c>
      <c r="E787" s="10">
        <f>72.5261 * CHOOSE(CONTROL!$C$9, $D$9, 100%, $F$9) + CHOOSE(CONTROL!$C$27, 0.0021, 0)</f>
        <v>72.528199999999998</v>
      </c>
      <c r="F787" s="10">
        <f>72.5261 * CHOOSE(CONTROL!$C$9, $D$9, 100%, $F$9) + CHOOSE(CONTROL!$C$27, 0.0021, 0)</f>
        <v>72.528199999999998</v>
      </c>
      <c r="G787" s="10">
        <f>72.7975 * CHOOSE(CONTROL!$C$9, $D$9, 100%, $F$9) + CHOOSE(CONTROL!$C$27, 0.0021, 0)</f>
        <v>72.799599999999998</v>
      </c>
      <c r="H787" s="10">
        <f>72.6628 * CHOOSE(CONTROL!$C$9, $D$9, 100%, $F$9) + CHOOSE(CONTROL!$C$27, 0.0021, 0)</f>
        <v>72.664900000000003</v>
      </c>
      <c r="I787" s="10">
        <f>72.6628 * CHOOSE(CONTROL!$C$9, $D$9, 100%, $F$9) + CHOOSE(CONTROL!$C$27, 0.0021, 0)</f>
        <v>72.664900000000003</v>
      </c>
      <c r="J787" s="10">
        <f>72.6628 * CHOOSE(CONTROL!$C$9, $D$9, 100%, $F$9) + CHOOSE(CONTROL!$C$27, 0.0021, 0)</f>
        <v>72.664900000000003</v>
      </c>
      <c r="K787" s="10">
        <f>72.6628 * CHOOSE(CONTROL!$C$9, $D$9, 100%, $F$9) + CHOOSE(CONTROL!$C$27, 0.0021, 0)</f>
        <v>72.664900000000003</v>
      </c>
      <c r="L787" s="10"/>
    </row>
    <row r="788" spans="1:12" ht="15.75">
      <c r="A788" s="13">
        <v>65288</v>
      </c>
      <c r="B788" s="10">
        <f>74.5348 * CHOOSE(CONTROL!$C$9, $D$9, 100%, $F$9) + CHOOSE(CONTROL!$C$27, 0.0021, 0)</f>
        <v>74.536900000000003</v>
      </c>
      <c r="C788" s="10">
        <f>74.1026 * CHOOSE(CONTROL!$C$9, $D$9, 100%, $F$9) + CHOOSE(CONTROL!$C$27, 0.0021, 0)</f>
        <v>74.104699999999994</v>
      </c>
      <c r="D788" s="10">
        <f>74.1026 * CHOOSE(CONTROL!$C$9, $D$9, 100%, $F$9) + CHOOSE(CONTROL!$C$27, 0.0021, 0)</f>
        <v>74.104699999999994</v>
      </c>
      <c r="E788" s="10">
        <f>73.9659 * CHOOSE(CONTROL!$C$9, $D$9, 100%, $F$9) + CHOOSE(CONTROL!$C$27, 0.0021, 0)</f>
        <v>73.968000000000004</v>
      </c>
      <c r="F788" s="10">
        <f>73.9659 * CHOOSE(CONTROL!$C$9, $D$9, 100%, $F$9) + CHOOSE(CONTROL!$C$27, 0.0021, 0)</f>
        <v>73.968000000000004</v>
      </c>
      <c r="G788" s="10">
        <f>74.2373 * CHOOSE(CONTROL!$C$9, $D$9, 100%, $F$9) + CHOOSE(CONTROL!$C$27, 0.0021, 0)</f>
        <v>74.239400000000003</v>
      </c>
      <c r="H788" s="10">
        <f>74.1026 * CHOOSE(CONTROL!$C$9, $D$9, 100%, $F$9) + CHOOSE(CONTROL!$C$27, 0.0021, 0)</f>
        <v>74.104699999999994</v>
      </c>
      <c r="I788" s="10">
        <f>74.1026 * CHOOSE(CONTROL!$C$9, $D$9, 100%, $F$9) + CHOOSE(CONTROL!$C$27, 0.0021, 0)</f>
        <v>74.104699999999994</v>
      </c>
      <c r="J788" s="10">
        <f>74.1026 * CHOOSE(CONTROL!$C$9, $D$9, 100%, $F$9) + CHOOSE(CONTROL!$C$27, 0.0021, 0)</f>
        <v>74.104699999999994</v>
      </c>
      <c r="K788" s="10">
        <f>74.1026 * CHOOSE(CONTROL!$C$9, $D$9, 100%, $F$9) + CHOOSE(CONTROL!$C$27, 0.0021, 0)</f>
        <v>74.104699999999994</v>
      </c>
      <c r="L788" s="10"/>
    </row>
    <row r="789" spans="1:12" ht="15.75">
      <c r="A789" s="13">
        <v>65319</v>
      </c>
      <c r="B789" s="10">
        <f>76.3573 * CHOOSE(CONTROL!$C$9, $D$9, 100%, $F$9) + CHOOSE(CONTROL!$C$27, 0.0021, 0)</f>
        <v>76.359399999999994</v>
      </c>
      <c r="C789" s="10">
        <f>75.9251 * CHOOSE(CONTROL!$C$9, $D$9, 100%, $F$9) + CHOOSE(CONTROL!$C$27, 0.0021, 0)</f>
        <v>75.927199999999999</v>
      </c>
      <c r="D789" s="10">
        <f>75.9251 * CHOOSE(CONTROL!$C$9, $D$9, 100%, $F$9) + CHOOSE(CONTROL!$C$27, 0.0021, 0)</f>
        <v>75.927199999999999</v>
      </c>
      <c r="E789" s="10">
        <f>75.7884 * CHOOSE(CONTROL!$C$9, $D$9, 100%, $F$9) + CHOOSE(CONTROL!$C$27, 0.0021, 0)</f>
        <v>75.790499999999994</v>
      </c>
      <c r="F789" s="10">
        <f>75.7884 * CHOOSE(CONTROL!$C$9, $D$9, 100%, $F$9) + CHOOSE(CONTROL!$C$27, 0.0021, 0)</f>
        <v>75.790499999999994</v>
      </c>
      <c r="G789" s="10">
        <f>76.0598 * CHOOSE(CONTROL!$C$9, $D$9, 100%, $F$9) + CHOOSE(CONTROL!$C$27, 0.0021, 0)</f>
        <v>76.061899999999994</v>
      </c>
      <c r="H789" s="10">
        <f>75.9251 * CHOOSE(CONTROL!$C$9, $D$9, 100%, $F$9) + CHOOSE(CONTROL!$C$27, 0.0021, 0)</f>
        <v>75.927199999999999</v>
      </c>
      <c r="I789" s="10">
        <f>75.9251 * CHOOSE(CONTROL!$C$9, $D$9, 100%, $F$9) + CHOOSE(CONTROL!$C$27, 0.0021, 0)</f>
        <v>75.927199999999999</v>
      </c>
      <c r="J789" s="10">
        <f>75.9251 * CHOOSE(CONTROL!$C$9, $D$9, 100%, $F$9) + CHOOSE(CONTROL!$C$27, 0.0021, 0)</f>
        <v>75.927199999999999</v>
      </c>
      <c r="K789" s="10">
        <f>75.9251 * CHOOSE(CONTROL!$C$9, $D$9, 100%, $F$9) + CHOOSE(CONTROL!$C$27, 0.0021, 0)</f>
        <v>75.927199999999999</v>
      </c>
      <c r="L789" s="10"/>
    </row>
    <row r="790" spans="1:12" ht="15.75">
      <c r="A790" s="13">
        <v>65349</v>
      </c>
      <c r="B790" s="10">
        <f>76.5284 * CHOOSE(CONTROL!$C$9, $D$9, 100%, $F$9) + CHOOSE(CONTROL!$C$27, 0.0021, 0)</f>
        <v>76.530500000000004</v>
      </c>
      <c r="C790" s="10">
        <f>76.0962 * CHOOSE(CONTROL!$C$9, $D$9, 100%, $F$9) + CHOOSE(CONTROL!$C$27, 0.0021, 0)</f>
        <v>76.098299999999995</v>
      </c>
      <c r="D790" s="10">
        <f>76.0962 * CHOOSE(CONTROL!$C$9, $D$9, 100%, $F$9) + CHOOSE(CONTROL!$C$27, 0.0021, 0)</f>
        <v>76.098299999999995</v>
      </c>
      <c r="E790" s="10">
        <f>75.9595 * CHOOSE(CONTROL!$C$9, $D$9, 100%, $F$9) + CHOOSE(CONTROL!$C$27, 0.0021, 0)</f>
        <v>75.961600000000004</v>
      </c>
      <c r="F790" s="10">
        <f>75.9595 * CHOOSE(CONTROL!$C$9, $D$9, 100%, $F$9) + CHOOSE(CONTROL!$C$27, 0.0021, 0)</f>
        <v>75.961600000000004</v>
      </c>
      <c r="G790" s="10">
        <f>76.2309 * CHOOSE(CONTROL!$C$9, $D$9, 100%, $F$9) + CHOOSE(CONTROL!$C$27, 0.0021, 0)</f>
        <v>76.233000000000004</v>
      </c>
      <c r="H790" s="10">
        <f>76.0962 * CHOOSE(CONTROL!$C$9, $D$9, 100%, $F$9) + CHOOSE(CONTROL!$C$27, 0.0021, 0)</f>
        <v>76.098299999999995</v>
      </c>
      <c r="I790" s="10">
        <f>76.0962 * CHOOSE(CONTROL!$C$9, $D$9, 100%, $F$9) + CHOOSE(CONTROL!$C$27, 0.0021, 0)</f>
        <v>76.098299999999995</v>
      </c>
      <c r="J790" s="10">
        <f>76.0962 * CHOOSE(CONTROL!$C$9, $D$9, 100%, $F$9) + CHOOSE(CONTROL!$C$27, 0.0021, 0)</f>
        <v>76.098299999999995</v>
      </c>
      <c r="K790" s="10">
        <f>76.0962 * CHOOSE(CONTROL!$C$9, $D$9, 100%, $F$9) + CHOOSE(CONTROL!$C$27, 0.0021, 0)</f>
        <v>76.098299999999995</v>
      </c>
      <c r="L790" s="10"/>
    </row>
    <row r="791" spans="1:12" ht="15.75">
      <c r="A791" s="13">
        <v>65380</v>
      </c>
      <c r="B791" s="10">
        <f>75.0728 * CHOOSE(CONTROL!$C$9, $D$9, 100%, $F$9) + CHOOSE(CONTROL!$C$27, 0.0021, 0)</f>
        <v>75.0749</v>
      </c>
      <c r="C791" s="10">
        <f>74.6406 * CHOOSE(CONTROL!$C$9, $D$9, 100%, $F$9) + CHOOSE(CONTROL!$C$27, 0.0021, 0)</f>
        <v>74.642700000000005</v>
      </c>
      <c r="D791" s="10">
        <f>74.6406 * CHOOSE(CONTROL!$C$9, $D$9, 100%, $F$9) + CHOOSE(CONTROL!$C$27, 0.0021, 0)</f>
        <v>74.642700000000005</v>
      </c>
      <c r="E791" s="10">
        <f>74.5039 * CHOOSE(CONTROL!$C$9, $D$9, 100%, $F$9) + CHOOSE(CONTROL!$C$27, 0.0021, 0)</f>
        <v>74.506</v>
      </c>
      <c r="F791" s="10">
        <f>74.5039 * CHOOSE(CONTROL!$C$9, $D$9, 100%, $F$9) + CHOOSE(CONTROL!$C$27, 0.0021, 0)</f>
        <v>74.506</v>
      </c>
      <c r="G791" s="10">
        <f>74.7753 * CHOOSE(CONTROL!$C$9, $D$9, 100%, $F$9) + CHOOSE(CONTROL!$C$27, 0.0021, 0)</f>
        <v>74.7774</v>
      </c>
      <c r="H791" s="10">
        <f>74.6406 * CHOOSE(CONTROL!$C$9, $D$9, 100%, $F$9) + CHOOSE(CONTROL!$C$27, 0.0021, 0)</f>
        <v>74.642700000000005</v>
      </c>
      <c r="I791" s="10">
        <f>74.6406 * CHOOSE(CONTROL!$C$9, $D$9, 100%, $F$9) + CHOOSE(CONTROL!$C$27, 0.0021, 0)</f>
        <v>74.642700000000005</v>
      </c>
      <c r="J791" s="10">
        <f>74.6406 * CHOOSE(CONTROL!$C$9, $D$9, 100%, $F$9) + CHOOSE(CONTROL!$C$27, 0.0021, 0)</f>
        <v>74.642700000000005</v>
      </c>
      <c r="K791" s="10">
        <f>74.6406 * CHOOSE(CONTROL!$C$9, $D$9, 100%, $F$9) + CHOOSE(CONTROL!$C$27, 0.0021, 0)</f>
        <v>74.642700000000005</v>
      </c>
      <c r="L791" s="10"/>
    </row>
    <row r="792" spans="1:12" ht="15.75">
      <c r="A792" s="13">
        <v>65411</v>
      </c>
      <c r="B792" s="10">
        <f>73.9584 * CHOOSE(CONTROL!$C$9, $D$9, 100%, $F$9) + CHOOSE(CONTROL!$C$27, 0.0021, 0)</f>
        <v>73.960499999999996</v>
      </c>
      <c r="C792" s="10">
        <f>73.5261 * CHOOSE(CONTROL!$C$9, $D$9, 100%, $F$9) + CHOOSE(CONTROL!$C$27, 0.0021, 0)</f>
        <v>73.528199999999998</v>
      </c>
      <c r="D792" s="10">
        <f>73.5261 * CHOOSE(CONTROL!$C$9, $D$9, 100%, $F$9) + CHOOSE(CONTROL!$C$27, 0.0021, 0)</f>
        <v>73.528199999999998</v>
      </c>
      <c r="E792" s="10">
        <f>73.3894 * CHOOSE(CONTROL!$C$9, $D$9, 100%, $F$9) + CHOOSE(CONTROL!$C$27, 0.0021, 0)</f>
        <v>73.391499999999994</v>
      </c>
      <c r="F792" s="10">
        <f>73.3894 * CHOOSE(CONTROL!$C$9, $D$9, 100%, $F$9) + CHOOSE(CONTROL!$C$27, 0.0021, 0)</f>
        <v>73.391499999999994</v>
      </c>
      <c r="G792" s="10">
        <f>73.6608 * CHOOSE(CONTROL!$C$9, $D$9, 100%, $F$9) + CHOOSE(CONTROL!$C$27, 0.0021, 0)</f>
        <v>73.662899999999993</v>
      </c>
      <c r="H792" s="10">
        <f>73.5261 * CHOOSE(CONTROL!$C$9, $D$9, 100%, $F$9) + CHOOSE(CONTROL!$C$27, 0.0021, 0)</f>
        <v>73.528199999999998</v>
      </c>
      <c r="I792" s="10">
        <f>73.5261 * CHOOSE(CONTROL!$C$9, $D$9, 100%, $F$9) + CHOOSE(CONTROL!$C$27, 0.0021, 0)</f>
        <v>73.528199999999998</v>
      </c>
      <c r="J792" s="10">
        <f>73.5261 * CHOOSE(CONTROL!$C$9, $D$9, 100%, $F$9) + CHOOSE(CONTROL!$C$27, 0.0021, 0)</f>
        <v>73.528199999999998</v>
      </c>
      <c r="K792" s="10">
        <f>73.5261 * CHOOSE(CONTROL!$C$9, $D$9, 100%, $F$9) + CHOOSE(CONTROL!$C$27, 0.0021, 0)</f>
        <v>73.528199999999998</v>
      </c>
      <c r="L792" s="10"/>
    </row>
    <row r="793" spans="1:12" ht="15.75">
      <c r="A793" s="13">
        <v>65439</v>
      </c>
      <c r="B793" s="10">
        <f>71.9313 * CHOOSE(CONTROL!$C$9, $D$9, 100%, $F$9) + CHOOSE(CONTROL!$C$27, 0.0021, 0)</f>
        <v>71.933399999999992</v>
      </c>
      <c r="C793" s="10">
        <f>71.499 * CHOOSE(CONTROL!$C$9, $D$9, 100%, $F$9) + CHOOSE(CONTROL!$C$27, 0.0021, 0)</f>
        <v>71.501099999999994</v>
      </c>
      <c r="D793" s="10">
        <f>71.499 * CHOOSE(CONTROL!$C$9, $D$9, 100%, $F$9) + CHOOSE(CONTROL!$C$27, 0.0021, 0)</f>
        <v>71.501099999999994</v>
      </c>
      <c r="E793" s="10">
        <f>71.3623 * CHOOSE(CONTROL!$C$9, $D$9, 100%, $F$9) + CHOOSE(CONTROL!$C$27, 0.0021, 0)</f>
        <v>71.364400000000003</v>
      </c>
      <c r="F793" s="10">
        <f>71.3623 * CHOOSE(CONTROL!$C$9, $D$9, 100%, $F$9) + CHOOSE(CONTROL!$C$27, 0.0021, 0)</f>
        <v>71.364400000000003</v>
      </c>
      <c r="G793" s="10">
        <f>71.6337 * CHOOSE(CONTROL!$C$9, $D$9, 100%, $F$9) + CHOOSE(CONTROL!$C$27, 0.0021, 0)</f>
        <v>71.635800000000003</v>
      </c>
      <c r="H793" s="10">
        <f>71.499 * CHOOSE(CONTROL!$C$9, $D$9, 100%, $F$9) + CHOOSE(CONTROL!$C$27, 0.0021, 0)</f>
        <v>71.501099999999994</v>
      </c>
      <c r="I793" s="10">
        <f>71.499 * CHOOSE(CONTROL!$C$9, $D$9, 100%, $F$9) + CHOOSE(CONTROL!$C$27, 0.0021, 0)</f>
        <v>71.501099999999994</v>
      </c>
      <c r="J793" s="10">
        <f>71.499 * CHOOSE(CONTROL!$C$9, $D$9, 100%, $F$9) + CHOOSE(CONTROL!$C$27, 0.0021, 0)</f>
        <v>71.501099999999994</v>
      </c>
      <c r="K793" s="10">
        <f>71.499 * CHOOSE(CONTROL!$C$9, $D$9, 100%, $F$9) + CHOOSE(CONTROL!$C$27, 0.0021, 0)</f>
        <v>71.501099999999994</v>
      </c>
      <c r="L793" s="10"/>
    </row>
    <row r="794" spans="1:12" ht="15.75">
      <c r="A794" s="13">
        <v>65470</v>
      </c>
      <c r="B794" s="10">
        <f>71.0945 * CHOOSE(CONTROL!$C$9, $D$9, 100%, $F$9) + CHOOSE(CONTROL!$C$27, 0.0021, 0)</f>
        <v>71.096599999999995</v>
      </c>
      <c r="C794" s="10">
        <f>70.6622 * CHOOSE(CONTROL!$C$9, $D$9, 100%, $F$9) + CHOOSE(CONTROL!$C$27, 0.0021, 0)</f>
        <v>70.664299999999997</v>
      </c>
      <c r="D794" s="10">
        <f>70.6622 * CHOOSE(CONTROL!$C$9, $D$9, 100%, $F$9) + CHOOSE(CONTROL!$C$27, 0.0021, 0)</f>
        <v>70.664299999999997</v>
      </c>
      <c r="E794" s="10">
        <f>70.5256 * CHOOSE(CONTROL!$C$9, $D$9, 100%, $F$9) + CHOOSE(CONTROL!$C$27, 0.0021, 0)</f>
        <v>70.527699999999996</v>
      </c>
      <c r="F794" s="10">
        <f>70.5256 * CHOOSE(CONTROL!$C$9, $D$9, 100%, $F$9) + CHOOSE(CONTROL!$C$27, 0.0021, 0)</f>
        <v>70.527699999999996</v>
      </c>
      <c r="G794" s="10">
        <f>70.7969 * CHOOSE(CONTROL!$C$9, $D$9, 100%, $F$9) + CHOOSE(CONTROL!$C$27, 0.0021, 0)</f>
        <v>70.798999999999992</v>
      </c>
      <c r="H794" s="10">
        <f>70.6622 * CHOOSE(CONTROL!$C$9, $D$9, 100%, $F$9) + CHOOSE(CONTROL!$C$27, 0.0021, 0)</f>
        <v>70.664299999999997</v>
      </c>
      <c r="I794" s="10">
        <f>70.6622 * CHOOSE(CONTROL!$C$9, $D$9, 100%, $F$9) + CHOOSE(CONTROL!$C$27, 0.0021, 0)</f>
        <v>70.664299999999997</v>
      </c>
      <c r="J794" s="10">
        <f>70.6622 * CHOOSE(CONTROL!$C$9, $D$9, 100%, $F$9) + CHOOSE(CONTROL!$C$27, 0.0021, 0)</f>
        <v>70.664299999999997</v>
      </c>
      <c r="K794" s="10">
        <f>70.6622 * CHOOSE(CONTROL!$C$9, $D$9, 100%, $F$9) + CHOOSE(CONTROL!$C$27, 0.0021, 0)</f>
        <v>70.664299999999997</v>
      </c>
      <c r="L794" s="10"/>
    </row>
    <row r="795" spans="1:12" ht="15.75">
      <c r="A795" s="13">
        <v>65500</v>
      </c>
      <c r="B795" s="10">
        <f>70.0953 * CHOOSE(CONTROL!$C$9, $D$9, 100%, $F$9) + CHOOSE(CONTROL!$C$27, 0.0021, 0)</f>
        <v>70.097399999999993</v>
      </c>
      <c r="C795" s="10">
        <f>69.6631 * CHOOSE(CONTROL!$C$9, $D$9, 100%, $F$9) + CHOOSE(CONTROL!$C$27, 0.0021, 0)</f>
        <v>69.665199999999999</v>
      </c>
      <c r="D795" s="10">
        <f>69.6631 * CHOOSE(CONTROL!$C$9, $D$9, 100%, $F$9) + CHOOSE(CONTROL!$C$27, 0.0021, 0)</f>
        <v>69.665199999999999</v>
      </c>
      <c r="E795" s="10">
        <f>69.5264 * CHOOSE(CONTROL!$C$9, $D$9, 100%, $F$9) + CHOOSE(CONTROL!$C$27, 0.0021, 0)</f>
        <v>69.528499999999994</v>
      </c>
      <c r="F795" s="10">
        <f>69.5264 * CHOOSE(CONTROL!$C$9, $D$9, 100%, $F$9) + CHOOSE(CONTROL!$C$27, 0.0021, 0)</f>
        <v>69.528499999999994</v>
      </c>
      <c r="G795" s="10">
        <f>69.7978 * CHOOSE(CONTROL!$C$9, $D$9, 100%, $F$9) + CHOOSE(CONTROL!$C$27, 0.0021, 0)</f>
        <v>69.799899999999994</v>
      </c>
      <c r="H795" s="10">
        <f>69.6631 * CHOOSE(CONTROL!$C$9, $D$9, 100%, $F$9) + CHOOSE(CONTROL!$C$27, 0.0021, 0)</f>
        <v>69.665199999999999</v>
      </c>
      <c r="I795" s="10">
        <f>69.6631 * CHOOSE(CONTROL!$C$9, $D$9, 100%, $F$9) + CHOOSE(CONTROL!$C$27, 0.0021, 0)</f>
        <v>69.665199999999999</v>
      </c>
      <c r="J795" s="10">
        <f>69.6631 * CHOOSE(CONTROL!$C$9, $D$9, 100%, $F$9) + CHOOSE(CONTROL!$C$27, 0.0021, 0)</f>
        <v>69.665199999999999</v>
      </c>
      <c r="K795" s="10">
        <f>69.6631 * CHOOSE(CONTROL!$C$9, $D$9, 100%, $F$9) + CHOOSE(CONTROL!$C$27, 0.0021, 0)</f>
        <v>69.665199999999999</v>
      </c>
      <c r="L795" s="10"/>
    </row>
    <row r="796" spans="1:12" ht="15.75">
      <c r="A796" s="13">
        <v>65531</v>
      </c>
      <c r="B796" s="10">
        <f>71.5192 * CHOOSE(CONTROL!$C$9, $D$9, 100%, $F$9) + CHOOSE(CONTROL!$C$27, 0.0021, 0)</f>
        <v>71.521299999999997</v>
      </c>
      <c r="C796" s="10">
        <f>71.087 * CHOOSE(CONTROL!$C$9, $D$9, 100%, $F$9) + CHOOSE(CONTROL!$C$27, 0.0021, 0)</f>
        <v>71.089100000000002</v>
      </c>
      <c r="D796" s="10">
        <f>71.087 * CHOOSE(CONTROL!$C$9, $D$9, 100%, $F$9) + CHOOSE(CONTROL!$C$27, 0.0021, 0)</f>
        <v>71.089100000000002</v>
      </c>
      <c r="E796" s="10">
        <f>70.9503 * CHOOSE(CONTROL!$C$9, $D$9, 100%, $F$9) + CHOOSE(CONTROL!$C$27, 0.0021, 0)</f>
        <v>70.952399999999997</v>
      </c>
      <c r="F796" s="10">
        <f>70.9503 * CHOOSE(CONTROL!$C$9, $D$9, 100%, $F$9) + CHOOSE(CONTROL!$C$27, 0.0021, 0)</f>
        <v>70.952399999999997</v>
      </c>
      <c r="G796" s="10">
        <f>71.2217 * CHOOSE(CONTROL!$C$9, $D$9, 100%, $F$9) + CHOOSE(CONTROL!$C$27, 0.0021, 0)</f>
        <v>71.223799999999997</v>
      </c>
      <c r="H796" s="10">
        <f>71.087 * CHOOSE(CONTROL!$C$9, $D$9, 100%, $F$9) + CHOOSE(CONTROL!$C$27, 0.0021, 0)</f>
        <v>71.089100000000002</v>
      </c>
      <c r="I796" s="10">
        <f>71.087 * CHOOSE(CONTROL!$C$9, $D$9, 100%, $F$9) + CHOOSE(CONTROL!$C$27, 0.0021, 0)</f>
        <v>71.089100000000002</v>
      </c>
      <c r="J796" s="10">
        <f>71.087 * CHOOSE(CONTROL!$C$9, $D$9, 100%, $F$9) + CHOOSE(CONTROL!$C$27, 0.0021, 0)</f>
        <v>71.089100000000002</v>
      </c>
      <c r="K796" s="10">
        <f>71.087 * CHOOSE(CONTROL!$C$9, $D$9, 100%, $F$9) + CHOOSE(CONTROL!$C$27, 0.0021, 0)</f>
        <v>71.089100000000002</v>
      </c>
      <c r="L796" s="10"/>
    </row>
    <row r="797" spans="1:12" ht="15.75">
      <c r="A797" s="13">
        <v>65561</v>
      </c>
      <c r="B797" s="10">
        <f>72.3721 * CHOOSE(CONTROL!$C$9, $D$9, 100%, $F$9) + CHOOSE(CONTROL!$C$27, 0.0021, 0)</f>
        <v>72.374200000000002</v>
      </c>
      <c r="C797" s="10">
        <f>71.9398 * CHOOSE(CONTROL!$C$9, $D$9, 100%, $F$9) + CHOOSE(CONTROL!$C$27, 0.0021, 0)</f>
        <v>71.941900000000004</v>
      </c>
      <c r="D797" s="10">
        <f>71.9398 * CHOOSE(CONTROL!$C$9, $D$9, 100%, $F$9) + CHOOSE(CONTROL!$C$27, 0.0021, 0)</f>
        <v>71.941900000000004</v>
      </c>
      <c r="E797" s="10">
        <f>71.8032 * CHOOSE(CONTROL!$C$9, $D$9, 100%, $F$9) + CHOOSE(CONTROL!$C$27, 0.0021, 0)</f>
        <v>71.805300000000003</v>
      </c>
      <c r="F797" s="10">
        <f>71.8032 * CHOOSE(CONTROL!$C$9, $D$9, 100%, $F$9) + CHOOSE(CONTROL!$C$27, 0.0021, 0)</f>
        <v>71.805300000000003</v>
      </c>
      <c r="G797" s="10">
        <f>72.0745 * CHOOSE(CONTROL!$C$9, $D$9, 100%, $F$9) + CHOOSE(CONTROL!$C$27, 0.0021, 0)</f>
        <v>72.076599999999999</v>
      </c>
      <c r="H797" s="10">
        <f>71.9398 * CHOOSE(CONTROL!$C$9, $D$9, 100%, $F$9) + CHOOSE(CONTROL!$C$27, 0.0021, 0)</f>
        <v>71.941900000000004</v>
      </c>
      <c r="I797" s="10">
        <f>71.9398 * CHOOSE(CONTROL!$C$9, $D$9, 100%, $F$9) + CHOOSE(CONTROL!$C$27, 0.0021, 0)</f>
        <v>71.941900000000004</v>
      </c>
      <c r="J797" s="10">
        <f>71.9398 * CHOOSE(CONTROL!$C$9, $D$9, 100%, $F$9) + CHOOSE(CONTROL!$C$27, 0.0021, 0)</f>
        <v>71.941900000000004</v>
      </c>
      <c r="K797" s="10">
        <f>71.9398 * CHOOSE(CONTROL!$C$9, $D$9, 100%, $F$9) + CHOOSE(CONTROL!$C$27, 0.0021, 0)</f>
        <v>71.941900000000004</v>
      </c>
      <c r="L797" s="10"/>
    </row>
    <row r="798" spans="1:12" ht="15.75">
      <c r="A798" s="13">
        <v>65592</v>
      </c>
      <c r="B798" s="10">
        <f>73.779 * CHOOSE(CONTROL!$C$9, $D$9, 100%, $F$9) + CHOOSE(CONTROL!$C$27, 0.0021, 0)</f>
        <v>73.781099999999995</v>
      </c>
      <c r="C798" s="10">
        <f>73.3467 * CHOOSE(CONTROL!$C$9, $D$9, 100%, $F$9) + CHOOSE(CONTROL!$C$27, 0.0021, 0)</f>
        <v>73.348799999999997</v>
      </c>
      <c r="D798" s="10">
        <f>73.3467 * CHOOSE(CONTROL!$C$9, $D$9, 100%, $F$9) + CHOOSE(CONTROL!$C$27, 0.0021, 0)</f>
        <v>73.348799999999997</v>
      </c>
      <c r="E798" s="10">
        <f>73.2101 * CHOOSE(CONTROL!$C$9, $D$9, 100%, $F$9) + CHOOSE(CONTROL!$C$27, 0.0021, 0)</f>
        <v>73.212199999999996</v>
      </c>
      <c r="F798" s="10">
        <f>73.2101 * CHOOSE(CONTROL!$C$9, $D$9, 100%, $F$9) + CHOOSE(CONTROL!$C$27, 0.0021, 0)</f>
        <v>73.212199999999996</v>
      </c>
      <c r="G798" s="10">
        <f>73.4814 * CHOOSE(CONTROL!$C$9, $D$9, 100%, $F$9) + CHOOSE(CONTROL!$C$27, 0.0021, 0)</f>
        <v>73.483499999999992</v>
      </c>
      <c r="H798" s="10">
        <f>73.3467 * CHOOSE(CONTROL!$C$9, $D$9, 100%, $F$9) + CHOOSE(CONTROL!$C$27, 0.0021, 0)</f>
        <v>73.348799999999997</v>
      </c>
      <c r="I798" s="10">
        <f>73.3467 * CHOOSE(CONTROL!$C$9, $D$9, 100%, $F$9) + CHOOSE(CONTROL!$C$27, 0.0021, 0)</f>
        <v>73.348799999999997</v>
      </c>
      <c r="J798" s="10">
        <f>73.3467 * CHOOSE(CONTROL!$C$9, $D$9, 100%, $F$9) + CHOOSE(CONTROL!$C$27, 0.0021, 0)</f>
        <v>73.348799999999997</v>
      </c>
      <c r="K798" s="10">
        <f>73.3467 * CHOOSE(CONTROL!$C$9, $D$9, 100%, $F$9) + CHOOSE(CONTROL!$C$27, 0.0021, 0)</f>
        <v>73.348799999999997</v>
      </c>
      <c r="L798" s="10"/>
    </row>
    <row r="799" spans="1:12" ht="15.75">
      <c r="A799" s="13">
        <v>65623</v>
      </c>
      <c r="B799" s="10">
        <f>74.2084 * CHOOSE(CONTROL!$C$9, $D$9, 100%, $F$9) + CHOOSE(CONTROL!$C$27, 0.0021, 0)</f>
        <v>74.210499999999996</v>
      </c>
      <c r="C799" s="10">
        <f>73.7762 * CHOOSE(CONTROL!$C$9, $D$9, 100%, $F$9) + CHOOSE(CONTROL!$C$27, 0.0021, 0)</f>
        <v>73.778300000000002</v>
      </c>
      <c r="D799" s="10">
        <f>73.7762 * CHOOSE(CONTROL!$C$9, $D$9, 100%, $F$9) + CHOOSE(CONTROL!$C$27, 0.0021, 0)</f>
        <v>73.778300000000002</v>
      </c>
      <c r="E799" s="10">
        <f>73.6395 * CHOOSE(CONTROL!$C$9, $D$9, 100%, $F$9) + CHOOSE(CONTROL!$C$27, 0.0021, 0)</f>
        <v>73.641599999999997</v>
      </c>
      <c r="F799" s="10">
        <f>73.6395 * CHOOSE(CONTROL!$C$9, $D$9, 100%, $F$9) + CHOOSE(CONTROL!$C$27, 0.0021, 0)</f>
        <v>73.641599999999997</v>
      </c>
      <c r="G799" s="10">
        <f>73.9109 * CHOOSE(CONTROL!$C$9, $D$9, 100%, $F$9) + CHOOSE(CONTROL!$C$27, 0.0021, 0)</f>
        <v>73.912999999999997</v>
      </c>
      <c r="H799" s="10">
        <f>73.7762 * CHOOSE(CONTROL!$C$9, $D$9, 100%, $F$9) + CHOOSE(CONTROL!$C$27, 0.0021, 0)</f>
        <v>73.778300000000002</v>
      </c>
      <c r="I799" s="10">
        <f>73.7762 * CHOOSE(CONTROL!$C$9, $D$9, 100%, $F$9) + CHOOSE(CONTROL!$C$27, 0.0021, 0)</f>
        <v>73.778300000000002</v>
      </c>
      <c r="J799" s="10">
        <f>73.7762 * CHOOSE(CONTROL!$C$9, $D$9, 100%, $F$9) + CHOOSE(CONTROL!$C$27, 0.0021, 0)</f>
        <v>73.778300000000002</v>
      </c>
      <c r="K799" s="10">
        <f>73.7762 * CHOOSE(CONTROL!$C$9, $D$9, 100%, $F$9) + CHOOSE(CONTROL!$C$27, 0.0021, 0)</f>
        <v>73.778300000000002</v>
      </c>
      <c r="L799" s="10"/>
    </row>
    <row r="800" spans="1:12" ht="15.75">
      <c r="A800" s="13">
        <v>65653</v>
      </c>
      <c r="B800" s="10">
        <f>75.6708 * CHOOSE(CONTROL!$C$9, $D$9, 100%, $F$9) + CHOOSE(CONTROL!$C$27, 0.0021, 0)</f>
        <v>75.672899999999998</v>
      </c>
      <c r="C800" s="10">
        <f>75.2386 * CHOOSE(CONTROL!$C$9, $D$9, 100%, $F$9) + CHOOSE(CONTROL!$C$27, 0.0021, 0)</f>
        <v>75.240700000000004</v>
      </c>
      <c r="D800" s="10">
        <f>75.2386 * CHOOSE(CONTROL!$C$9, $D$9, 100%, $F$9) + CHOOSE(CONTROL!$C$27, 0.0021, 0)</f>
        <v>75.240700000000004</v>
      </c>
      <c r="E800" s="10">
        <f>75.1019 * CHOOSE(CONTROL!$C$9, $D$9, 100%, $F$9) + CHOOSE(CONTROL!$C$27, 0.0021, 0)</f>
        <v>75.103999999999999</v>
      </c>
      <c r="F800" s="10">
        <f>75.1019 * CHOOSE(CONTROL!$C$9, $D$9, 100%, $F$9) + CHOOSE(CONTROL!$C$27, 0.0021, 0)</f>
        <v>75.103999999999999</v>
      </c>
      <c r="G800" s="10">
        <f>75.3733 * CHOOSE(CONTROL!$C$9, $D$9, 100%, $F$9) + CHOOSE(CONTROL!$C$27, 0.0021, 0)</f>
        <v>75.375399999999999</v>
      </c>
      <c r="H800" s="10">
        <f>75.2386 * CHOOSE(CONTROL!$C$9, $D$9, 100%, $F$9) + CHOOSE(CONTROL!$C$27, 0.0021, 0)</f>
        <v>75.240700000000004</v>
      </c>
      <c r="I800" s="10">
        <f>75.2386 * CHOOSE(CONTROL!$C$9, $D$9, 100%, $F$9) + CHOOSE(CONTROL!$C$27, 0.0021, 0)</f>
        <v>75.240700000000004</v>
      </c>
      <c r="J800" s="10">
        <f>75.2386 * CHOOSE(CONTROL!$C$9, $D$9, 100%, $F$9) + CHOOSE(CONTROL!$C$27, 0.0021, 0)</f>
        <v>75.240700000000004</v>
      </c>
      <c r="K800" s="10">
        <f>75.2386 * CHOOSE(CONTROL!$C$9, $D$9, 100%, $F$9) + CHOOSE(CONTROL!$C$27, 0.0021, 0)</f>
        <v>75.240700000000004</v>
      </c>
      <c r="L800" s="10"/>
    </row>
    <row r="801" spans="1:12" ht="15.75">
      <c r="A801" s="13">
        <v>65684</v>
      </c>
      <c r="B801" s="10">
        <f>77.522 * CHOOSE(CONTROL!$C$9, $D$9, 100%, $F$9) + CHOOSE(CONTROL!$C$27, 0.0021, 0)</f>
        <v>77.524100000000004</v>
      </c>
      <c r="C801" s="10">
        <f>77.0897 * CHOOSE(CONTROL!$C$9, $D$9, 100%, $F$9) + CHOOSE(CONTROL!$C$27, 0.0021, 0)</f>
        <v>77.091799999999992</v>
      </c>
      <c r="D801" s="10">
        <f>77.0897 * CHOOSE(CONTROL!$C$9, $D$9, 100%, $F$9) + CHOOSE(CONTROL!$C$27, 0.0021, 0)</f>
        <v>77.091799999999992</v>
      </c>
      <c r="E801" s="10">
        <f>76.9531 * CHOOSE(CONTROL!$C$9, $D$9, 100%, $F$9) + CHOOSE(CONTROL!$C$27, 0.0021, 0)</f>
        <v>76.955200000000005</v>
      </c>
      <c r="F801" s="10">
        <f>76.9531 * CHOOSE(CONTROL!$C$9, $D$9, 100%, $F$9) + CHOOSE(CONTROL!$C$27, 0.0021, 0)</f>
        <v>76.955200000000005</v>
      </c>
      <c r="G801" s="10">
        <f>77.2244 * CHOOSE(CONTROL!$C$9, $D$9, 100%, $F$9) + CHOOSE(CONTROL!$C$27, 0.0021, 0)</f>
        <v>77.226500000000001</v>
      </c>
      <c r="H801" s="10">
        <f>77.0897 * CHOOSE(CONTROL!$C$9, $D$9, 100%, $F$9) + CHOOSE(CONTROL!$C$27, 0.0021, 0)</f>
        <v>77.091799999999992</v>
      </c>
      <c r="I801" s="10">
        <f>77.0897 * CHOOSE(CONTROL!$C$9, $D$9, 100%, $F$9) + CHOOSE(CONTROL!$C$27, 0.0021, 0)</f>
        <v>77.091799999999992</v>
      </c>
      <c r="J801" s="10">
        <f>77.0897 * CHOOSE(CONTROL!$C$9, $D$9, 100%, $F$9) + CHOOSE(CONTROL!$C$27, 0.0021, 0)</f>
        <v>77.091799999999992</v>
      </c>
      <c r="K801" s="10">
        <f>77.0897 * CHOOSE(CONTROL!$C$9, $D$9, 100%, $F$9) + CHOOSE(CONTROL!$C$27, 0.0021, 0)</f>
        <v>77.091799999999992</v>
      </c>
      <c r="L801" s="10"/>
    </row>
    <row r="802" spans="1:12" ht="15.75">
      <c r="A802" s="13">
        <v>65714</v>
      </c>
      <c r="B802" s="10">
        <f>77.6958 * CHOOSE(CONTROL!$C$9, $D$9, 100%, $F$9) + CHOOSE(CONTROL!$C$27, 0.0021, 0)</f>
        <v>77.697900000000004</v>
      </c>
      <c r="C802" s="10">
        <f>77.2635 * CHOOSE(CONTROL!$C$9, $D$9, 100%, $F$9) + CHOOSE(CONTROL!$C$27, 0.0021, 0)</f>
        <v>77.265599999999992</v>
      </c>
      <c r="D802" s="10">
        <f>77.2635 * CHOOSE(CONTROL!$C$9, $D$9, 100%, $F$9) + CHOOSE(CONTROL!$C$27, 0.0021, 0)</f>
        <v>77.265599999999992</v>
      </c>
      <c r="E802" s="10">
        <f>77.1269 * CHOOSE(CONTROL!$C$9, $D$9, 100%, $F$9) + CHOOSE(CONTROL!$C$27, 0.0021, 0)</f>
        <v>77.129000000000005</v>
      </c>
      <c r="F802" s="10">
        <f>77.1269 * CHOOSE(CONTROL!$C$9, $D$9, 100%, $F$9) + CHOOSE(CONTROL!$C$27, 0.0021, 0)</f>
        <v>77.129000000000005</v>
      </c>
      <c r="G802" s="10">
        <f>77.3982 * CHOOSE(CONTROL!$C$9, $D$9, 100%, $F$9) + CHOOSE(CONTROL!$C$27, 0.0021, 0)</f>
        <v>77.400300000000001</v>
      </c>
      <c r="H802" s="10">
        <f>77.2635 * CHOOSE(CONTROL!$C$9, $D$9, 100%, $F$9) + CHOOSE(CONTROL!$C$27, 0.0021, 0)</f>
        <v>77.265599999999992</v>
      </c>
      <c r="I802" s="10">
        <f>77.2635 * CHOOSE(CONTROL!$C$9, $D$9, 100%, $F$9) + CHOOSE(CONTROL!$C$27, 0.0021, 0)</f>
        <v>77.265599999999992</v>
      </c>
      <c r="J802" s="10">
        <f>77.2635 * CHOOSE(CONTROL!$C$9, $D$9, 100%, $F$9) + CHOOSE(CONTROL!$C$27, 0.0021, 0)</f>
        <v>77.265599999999992</v>
      </c>
      <c r="K802" s="10">
        <f>77.2635 * CHOOSE(CONTROL!$C$9, $D$9, 100%, $F$9) + CHOOSE(CONTROL!$C$27, 0.0021, 0)</f>
        <v>77.265599999999992</v>
      </c>
      <c r="L802" s="10"/>
    </row>
    <row r="803" spans="1:12" ht="15.75">
      <c r="A803" s="13">
        <v>65745</v>
      </c>
      <c r="B803" s="10">
        <f>76.2173 * CHOOSE(CONTROL!$C$9, $D$9, 100%, $F$9) + CHOOSE(CONTROL!$C$27, 0.0021, 0)</f>
        <v>76.219399999999993</v>
      </c>
      <c r="C803" s="10">
        <f>75.785 * CHOOSE(CONTROL!$C$9, $D$9, 100%, $F$9) + CHOOSE(CONTROL!$C$27, 0.0021, 0)</f>
        <v>75.787099999999995</v>
      </c>
      <c r="D803" s="10">
        <f>75.785 * CHOOSE(CONTROL!$C$9, $D$9, 100%, $F$9) + CHOOSE(CONTROL!$C$27, 0.0021, 0)</f>
        <v>75.787099999999995</v>
      </c>
      <c r="E803" s="10">
        <f>75.6484 * CHOOSE(CONTROL!$C$9, $D$9, 100%, $F$9) + CHOOSE(CONTROL!$C$27, 0.0021, 0)</f>
        <v>75.650499999999994</v>
      </c>
      <c r="F803" s="10">
        <f>75.6484 * CHOOSE(CONTROL!$C$9, $D$9, 100%, $F$9) + CHOOSE(CONTROL!$C$27, 0.0021, 0)</f>
        <v>75.650499999999994</v>
      </c>
      <c r="G803" s="10">
        <f>75.9197 * CHOOSE(CONTROL!$C$9, $D$9, 100%, $F$9) + CHOOSE(CONTROL!$C$27, 0.0021, 0)</f>
        <v>75.921800000000005</v>
      </c>
      <c r="H803" s="10">
        <f>75.785 * CHOOSE(CONTROL!$C$9, $D$9, 100%, $F$9) + CHOOSE(CONTROL!$C$27, 0.0021, 0)</f>
        <v>75.787099999999995</v>
      </c>
      <c r="I803" s="10">
        <f>75.785 * CHOOSE(CONTROL!$C$9, $D$9, 100%, $F$9) + CHOOSE(CONTROL!$C$27, 0.0021, 0)</f>
        <v>75.787099999999995</v>
      </c>
      <c r="J803" s="10">
        <f>75.785 * CHOOSE(CONTROL!$C$9, $D$9, 100%, $F$9) + CHOOSE(CONTROL!$C$27, 0.0021, 0)</f>
        <v>75.787099999999995</v>
      </c>
      <c r="K803" s="10">
        <f>75.785 * CHOOSE(CONTROL!$C$9, $D$9, 100%, $F$9) + CHOOSE(CONTROL!$C$27, 0.0021, 0)</f>
        <v>75.787099999999995</v>
      </c>
      <c r="L803" s="10"/>
    </row>
    <row r="804" spans="1:12" ht="15.75">
      <c r="A804" s="13">
        <v>65776</v>
      </c>
      <c r="B804" s="10">
        <f>75.0853 * CHOOSE(CONTROL!$C$9, $D$9, 100%, $F$9) + CHOOSE(CONTROL!$C$27, 0.0021, 0)</f>
        <v>75.087400000000002</v>
      </c>
      <c r="C804" s="10">
        <f>74.6531 * CHOOSE(CONTROL!$C$9, $D$9, 100%, $F$9) + CHOOSE(CONTROL!$C$27, 0.0021, 0)</f>
        <v>74.655199999999994</v>
      </c>
      <c r="D804" s="10">
        <f>74.6531 * CHOOSE(CONTROL!$C$9, $D$9, 100%, $F$9) + CHOOSE(CONTROL!$C$27, 0.0021, 0)</f>
        <v>74.655199999999994</v>
      </c>
      <c r="E804" s="10">
        <f>74.5164 * CHOOSE(CONTROL!$C$9, $D$9, 100%, $F$9) + CHOOSE(CONTROL!$C$27, 0.0021, 0)</f>
        <v>74.518500000000003</v>
      </c>
      <c r="F804" s="10">
        <f>74.5164 * CHOOSE(CONTROL!$C$9, $D$9, 100%, $F$9) + CHOOSE(CONTROL!$C$27, 0.0021, 0)</f>
        <v>74.518500000000003</v>
      </c>
      <c r="G804" s="10">
        <f>74.7878 * CHOOSE(CONTROL!$C$9, $D$9, 100%, $F$9) + CHOOSE(CONTROL!$C$27, 0.0021, 0)</f>
        <v>74.789900000000003</v>
      </c>
      <c r="H804" s="10">
        <f>74.6531 * CHOOSE(CONTROL!$C$9, $D$9, 100%, $F$9) + CHOOSE(CONTROL!$C$27, 0.0021, 0)</f>
        <v>74.655199999999994</v>
      </c>
      <c r="I804" s="10">
        <f>74.6531 * CHOOSE(CONTROL!$C$9, $D$9, 100%, $F$9) + CHOOSE(CONTROL!$C$27, 0.0021, 0)</f>
        <v>74.655199999999994</v>
      </c>
      <c r="J804" s="10">
        <f>74.6531 * CHOOSE(CONTROL!$C$9, $D$9, 100%, $F$9) + CHOOSE(CONTROL!$C$27, 0.0021, 0)</f>
        <v>74.655199999999994</v>
      </c>
      <c r="K804" s="10">
        <f>74.6531 * CHOOSE(CONTROL!$C$9, $D$9, 100%, $F$9) + CHOOSE(CONTROL!$C$27, 0.0021, 0)</f>
        <v>74.655199999999994</v>
      </c>
      <c r="L804" s="10"/>
    </row>
    <row r="805" spans="1:12" ht="15.75">
      <c r="A805" s="13">
        <v>65805</v>
      </c>
      <c r="B805" s="10">
        <f>73.0263 * CHOOSE(CONTROL!$C$9, $D$9, 100%, $F$9) + CHOOSE(CONTROL!$C$27, 0.0021, 0)</f>
        <v>73.028400000000005</v>
      </c>
      <c r="C805" s="10">
        <f>72.5941 * CHOOSE(CONTROL!$C$9, $D$9, 100%, $F$9) + CHOOSE(CONTROL!$C$27, 0.0021, 0)</f>
        <v>72.596199999999996</v>
      </c>
      <c r="D805" s="10">
        <f>72.5941 * CHOOSE(CONTROL!$C$9, $D$9, 100%, $F$9) + CHOOSE(CONTROL!$C$27, 0.0021, 0)</f>
        <v>72.596199999999996</v>
      </c>
      <c r="E805" s="10">
        <f>72.4574 * CHOOSE(CONTROL!$C$9, $D$9, 100%, $F$9) + CHOOSE(CONTROL!$C$27, 0.0021, 0)</f>
        <v>72.459500000000006</v>
      </c>
      <c r="F805" s="10">
        <f>72.4574 * CHOOSE(CONTROL!$C$9, $D$9, 100%, $F$9) + CHOOSE(CONTROL!$C$27, 0.0021, 0)</f>
        <v>72.459500000000006</v>
      </c>
      <c r="G805" s="10">
        <f>72.7288 * CHOOSE(CONTROL!$C$9, $D$9, 100%, $F$9) + CHOOSE(CONTROL!$C$27, 0.0021, 0)</f>
        <v>72.730900000000005</v>
      </c>
      <c r="H805" s="10">
        <f>72.5941 * CHOOSE(CONTROL!$C$9, $D$9, 100%, $F$9) + CHOOSE(CONTROL!$C$27, 0.0021, 0)</f>
        <v>72.596199999999996</v>
      </c>
      <c r="I805" s="10">
        <f>72.5941 * CHOOSE(CONTROL!$C$9, $D$9, 100%, $F$9) + CHOOSE(CONTROL!$C$27, 0.0021, 0)</f>
        <v>72.596199999999996</v>
      </c>
      <c r="J805" s="10">
        <f>72.5941 * CHOOSE(CONTROL!$C$9, $D$9, 100%, $F$9) + CHOOSE(CONTROL!$C$27, 0.0021, 0)</f>
        <v>72.596199999999996</v>
      </c>
      <c r="K805" s="10">
        <f>72.5941 * CHOOSE(CONTROL!$C$9, $D$9, 100%, $F$9) + CHOOSE(CONTROL!$C$27, 0.0021, 0)</f>
        <v>72.596199999999996</v>
      </c>
      <c r="L805" s="10"/>
    </row>
    <row r="806" spans="1:12" ht="15.75">
      <c r="A806" s="13">
        <v>65836</v>
      </c>
      <c r="B806" s="10">
        <f>72.1764 * CHOOSE(CONTROL!$C$9, $D$9, 100%, $F$9) + CHOOSE(CONTROL!$C$27, 0.0021, 0)</f>
        <v>72.1785</v>
      </c>
      <c r="C806" s="10">
        <f>71.7441 * CHOOSE(CONTROL!$C$9, $D$9, 100%, $F$9) + CHOOSE(CONTROL!$C$27, 0.0021, 0)</f>
        <v>71.746200000000002</v>
      </c>
      <c r="D806" s="10">
        <f>71.7441 * CHOOSE(CONTROL!$C$9, $D$9, 100%, $F$9) + CHOOSE(CONTROL!$C$27, 0.0021, 0)</f>
        <v>71.746200000000002</v>
      </c>
      <c r="E806" s="10">
        <f>71.6075 * CHOOSE(CONTROL!$C$9, $D$9, 100%, $F$9) + CHOOSE(CONTROL!$C$27, 0.0021, 0)</f>
        <v>71.6096</v>
      </c>
      <c r="F806" s="10">
        <f>71.6075 * CHOOSE(CONTROL!$C$9, $D$9, 100%, $F$9) + CHOOSE(CONTROL!$C$27, 0.0021, 0)</f>
        <v>71.6096</v>
      </c>
      <c r="G806" s="10">
        <f>71.8788 * CHOOSE(CONTROL!$C$9, $D$9, 100%, $F$9) + CHOOSE(CONTROL!$C$27, 0.0021, 0)</f>
        <v>71.880899999999997</v>
      </c>
      <c r="H806" s="10">
        <f>71.7441 * CHOOSE(CONTROL!$C$9, $D$9, 100%, $F$9) + CHOOSE(CONTROL!$C$27, 0.0021, 0)</f>
        <v>71.746200000000002</v>
      </c>
      <c r="I806" s="10">
        <f>71.7441 * CHOOSE(CONTROL!$C$9, $D$9, 100%, $F$9) + CHOOSE(CONTROL!$C$27, 0.0021, 0)</f>
        <v>71.746200000000002</v>
      </c>
      <c r="J806" s="10">
        <f>71.7441 * CHOOSE(CONTROL!$C$9, $D$9, 100%, $F$9) + CHOOSE(CONTROL!$C$27, 0.0021, 0)</f>
        <v>71.746200000000002</v>
      </c>
      <c r="K806" s="10">
        <f>71.7441 * CHOOSE(CONTROL!$C$9, $D$9, 100%, $F$9) + CHOOSE(CONTROL!$C$27, 0.0021, 0)</f>
        <v>71.746200000000002</v>
      </c>
      <c r="L806" s="10"/>
    </row>
    <row r="807" spans="1:12" ht="15.75">
      <c r="A807" s="13">
        <v>65866</v>
      </c>
      <c r="B807" s="10">
        <f>71.1615 * CHOOSE(CONTROL!$C$9, $D$9, 100%, $F$9) + CHOOSE(CONTROL!$C$27, 0.0021, 0)</f>
        <v>71.163600000000002</v>
      </c>
      <c r="C807" s="10">
        <f>70.7293 * CHOOSE(CONTROL!$C$9, $D$9, 100%, $F$9) + CHOOSE(CONTROL!$C$27, 0.0021, 0)</f>
        <v>70.731399999999994</v>
      </c>
      <c r="D807" s="10">
        <f>70.7293 * CHOOSE(CONTROL!$C$9, $D$9, 100%, $F$9) + CHOOSE(CONTROL!$C$27, 0.0021, 0)</f>
        <v>70.731399999999994</v>
      </c>
      <c r="E807" s="10">
        <f>70.5926 * CHOOSE(CONTROL!$C$9, $D$9, 100%, $F$9) + CHOOSE(CONTROL!$C$27, 0.0021, 0)</f>
        <v>70.594700000000003</v>
      </c>
      <c r="F807" s="10">
        <f>70.5926 * CHOOSE(CONTROL!$C$9, $D$9, 100%, $F$9) + CHOOSE(CONTROL!$C$27, 0.0021, 0)</f>
        <v>70.594700000000003</v>
      </c>
      <c r="G807" s="10">
        <f>70.864 * CHOOSE(CONTROL!$C$9, $D$9, 100%, $F$9) + CHOOSE(CONTROL!$C$27, 0.0021, 0)</f>
        <v>70.866100000000003</v>
      </c>
      <c r="H807" s="10">
        <f>70.7293 * CHOOSE(CONTROL!$C$9, $D$9, 100%, $F$9) + CHOOSE(CONTROL!$C$27, 0.0021, 0)</f>
        <v>70.731399999999994</v>
      </c>
      <c r="I807" s="10">
        <f>70.7293 * CHOOSE(CONTROL!$C$9, $D$9, 100%, $F$9) + CHOOSE(CONTROL!$C$27, 0.0021, 0)</f>
        <v>70.731399999999994</v>
      </c>
      <c r="J807" s="10">
        <f>70.7293 * CHOOSE(CONTROL!$C$9, $D$9, 100%, $F$9) + CHOOSE(CONTROL!$C$27, 0.0021, 0)</f>
        <v>70.731399999999994</v>
      </c>
      <c r="K807" s="10">
        <f>70.7293 * CHOOSE(CONTROL!$C$9, $D$9, 100%, $F$9) + CHOOSE(CONTROL!$C$27, 0.0021, 0)</f>
        <v>70.731399999999994</v>
      </c>
      <c r="L807" s="10"/>
    </row>
    <row r="808" spans="1:12" ht="15.75">
      <c r="A808" s="13">
        <v>65897</v>
      </c>
      <c r="B808" s="10">
        <f>72.6078 * CHOOSE(CONTROL!$C$9, $D$9, 100%, $F$9) + CHOOSE(CONTROL!$C$27, 0.0021, 0)</f>
        <v>72.609899999999996</v>
      </c>
      <c r="C808" s="10">
        <f>72.1756 * CHOOSE(CONTROL!$C$9, $D$9, 100%, $F$9) + CHOOSE(CONTROL!$C$27, 0.0021, 0)</f>
        <v>72.177700000000002</v>
      </c>
      <c r="D808" s="10">
        <f>72.1756 * CHOOSE(CONTROL!$C$9, $D$9, 100%, $F$9) + CHOOSE(CONTROL!$C$27, 0.0021, 0)</f>
        <v>72.177700000000002</v>
      </c>
      <c r="E808" s="10">
        <f>72.0389 * CHOOSE(CONTROL!$C$9, $D$9, 100%, $F$9) + CHOOSE(CONTROL!$C$27, 0.0021, 0)</f>
        <v>72.040999999999997</v>
      </c>
      <c r="F808" s="10">
        <f>72.0389 * CHOOSE(CONTROL!$C$9, $D$9, 100%, $F$9) + CHOOSE(CONTROL!$C$27, 0.0021, 0)</f>
        <v>72.040999999999997</v>
      </c>
      <c r="G808" s="10">
        <f>72.3103 * CHOOSE(CONTROL!$C$9, $D$9, 100%, $F$9) + CHOOSE(CONTROL!$C$27, 0.0021, 0)</f>
        <v>72.312399999999997</v>
      </c>
      <c r="H808" s="10">
        <f>72.1756 * CHOOSE(CONTROL!$C$9, $D$9, 100%, $F$9) + CHOOSE(CONTROL!$C$27, 0.0021, 0)</f>
        <v>72.177700000000002</v>
      </c>
      <c r="I808" s="10">
        <f>72.1756 * CHOOSE(CONTROL!$C$9, $D$9, 100%, $F$9) + CHOOSE(CONTROL!$C$27, 0.0021, 0)</f>
        <v>72.177700000000002</v>
      </c>
      <c r="J808" s="10">
        <f>72.1756 * CHOOSE(CONTROL!$C$9, $D$9, 100%, $F$9) + CHOOSE(CONTROL!$C$27, 0.0021, 0)</f>
        <v>72.177700000000002</v>
      </c>
      <c r="K808" s="10">
        <f>72.1756 * CHOOSE(CONTROL!$C$9, $D$9, 100%, $F$9) + CHOOSE(CONTROL!$C$27, 0.0021, 0)</f>
        <v>72.177700000000002</v>
      </c>
      <c r="L808" s="10"/>
    </row>
    <row r="809" spans="1:12" ht="15.75">
      <c r="A809" s="13">
        <v>65927</v>
      </c>
      <c r="B809" s="10">
        <f>73.4741 * CHOOSE(CONTROL!$C$9, $D$9, 100%, $F$9) + CHOOSE(CONTROL!$C$27, 0.0021, 0)</f>
        <v>73.476200000000006</v>
      </c>
      <c r="C809" s="10">
        <f>73.0418 * CHOOSE(CONTROL!$C$9, $D$9, 100%, $F$9) + CHOOSE(CONTROL!$C$27, 0.0021, 0)</f>
        <v>73.043899999999994</v>
      </c>
      <c r="D809" s="10">
        <f>73.0418 * CHOOSE(CONTROL!$C$9, $D$9, 100%, $F$9) + CHOOSE(CONTROL!$C$27, 0.0021, 0)</f>
        <v>73.043899999999994</v>
      </c>
      <c r="E809" s="10">
        <f>72.9052 * CHOOSE(CONTROL!$C$9, $D$9, 100%, $F$9) + CHOOSE(CONTROL!$C$27, 0.0021, 0)</f>
        <v>72.907299999999992</v>
      </c>
      <c r="F809" s="10">
        <f>72.9052 * CHOOSE(CONTROL!$C$9, $D$9, 100%, $F$9) + CHOOSE(CONTROL!$C$27, 0.0021, 0)</f>
        <v>72.907299999999992</v>
      </c>
      <c r="G809" s="10">
        <f>73.1765 * CHOOSE(CONTROL!$C$9, $D$9, 100%, $F$9) + CHOOSE(CONTROL!$C$27, 0.0021, 0)</f>
        <v>73.178600000000003</v>
      </c>
      <c r="H809" s="10">
        <f>73.0418 * CHOOSE(CONTROL!$C$9, $D$9, 100%, $F$9) + CHOOSE(CONTROL!$C$27, 0.0021, 0)</f>
        <v>73.043899999999994</v>
      </c>
      <c r="I809" s="10">
        <f>73.0418 * CHOOSE(CONTROL!$C$9, $D$9, 100%, $F$9) + CHOOSE(CONTROL!$C$27, 0.0021, 0)</f>
        <v>73.043899999999994</v>
      </c>
      <c r="J809" s="10">
        <f>73.0418 * CHOOSE(CONTROL!$C$9, $D$9, 100%, $F$9) + CHOOSE(CONTROL!$C$27, 0.0021, 0)</f>
        <v>73.043899999999994</v>
      </c>
      <c r="K809" s="10">
        <f>73.0418 * CHOOSE(CONTROL!$C$9, $D$9, 100%, $F$9) + CHOOSE(CONTROL!$C$27, 0.0021, 0)</f>
        <v>73.043899999999994</v>
      </c>
      <c r="L809" s="10"/>
    </row>
    <row r="810" spans="1:12" ht="15.75">
      <c r="A810" s="13">
        <v>65958</v>
      </c>
      <c r="B810" s="10">
        <f>74.9031 * CHOOSE(CONTROL!$C$9, $D$9, 100%, $F$9) + CHOOSE(CONTROL!$C$27, 0.0021, 0)</f>
        <v>74.905199999999994</v>
      </c>
      <c r="C810" s="10">
        <f>74.4708 * CHOOSE(CONTROL!$C$9, $D$9, 100%, $F$9) + CHOOSE(CONTROL!$C$27, 0.0021, 0)</f>
        <v>74.472899999999996</v>
      </c>
      <c r="D810" s="10">
        <f>74.4708 * CHOOSE(CONTROL!$C$9, $D$9, 100%, $F$9) + CHOOSE(CONTROL!$C$27, 0.0021, 0)</f>
        <v>74.472899999999996</v>
      </c>
      <c r="E810" s="10">
        <f>74.3342 * CHOOSE(CONTROL!$C$9, $D$9, 100%, $F$9) + CHOOSE(CONTROL!$C$27, 0.0021, 0)</f>
        <v>74.336299999999994</v>
      </c>
      <c r="F810" s="10">
        <f>74.3342 * CHOOSE(CONTROL!$C$9, $D$9, 100%, $F$9) + CHOOSE(CONTROL!$C$27, 0.0021, 0)</f>
        <v>74.336299999999994</v>
      </c>
      <c r="G810" s="10">
        <f>74.6056 * CHOOSE(CONTROL!$C$9, $D$9, 100%, $F$9) + CHOOSE(CONTROL!$C$27, 0.0021, 0)</f>
        <v>74.607699999999994</v>
      </c>
      <c r="H810" s="10">
        <f>74.4708 * CHOOSE(CONTROL!$C$9, $D$9, 100%, $F$9) + CHOOSE(CONTROL!$C$27, 0.0021, 0)</f>
        <v>74.472899999999996</v>
      </c>
      <c r="I810" s="10">
        <f>74.4708 * CHOOSE(CONTROL!$C$9, $D$9, 100%, $F$9) + CHOOSE(CONTROL!$C$27, 0.0021, 0)</f>
        <v>74.472899999999996</v>
      </c>
      <c r="J810" s="10">
        <f>74.4708 * CHOOSE(CONTROL!$C$9, $D$9, 100%, $F$9) + CHOOSE(CONTROL!$C$27, 0.0021, 0)</f>
        <v>74.472899999999996</v>
      </c>
      <c r="K810" s="10">
        <f>74.4708 * CHOOSE(CONTROL!$C$9, $D$9, 100%, $F$9) + CHOOSE(CONTROL!$C$27, 0.0021, 0)</f>
        <v>74.472899999999996</v>
      </c>
      <c r="L810" s="10"/>
    </row>
    <row r="811" spans="1:12" ht="15.75">
      <c r="A811" s="13">
        <v>65989</v>
      </c>
      <c r="B811" s="10">
        <f>75.3393 * CHOOSE(CONTROL!$C$9, $D$9, 100%, $F$9) + CHOOSE(CONTROL!$C$27, 0.0021, 0)</f>
        <v>75.341399999999993</v>
      </c>
      <c r="C811" s="10">
        <f>74.907 * CHOOSE(CONTROL!$C$9, $D$9, 100%, $F$9) + CHOOSE(CONTROL!$C$27, 0.0021, 0)</f>
        <v>74.909099999999995</v>
      </c>
      <c r="D811" s="10">
        <f>74.907 * CHOOSE(CONTROL!$C$9, $D$9, 100%, $F$9) + CHOOSE(CONTROL!$C$27, 0.0021, 0)</f>
        <v>74.909099999999995</v>
      </c>
      <c r="E811" s="10">
        <f>74.7704 * CHOOSE(CONTROL!$C$9, $D$9, 100%, $F$9) + CHOOSE(CONTROL!$C$27, 0.0021, 0)</f>
        <v>74.772499999999994</v>
      </c>
      <c r="F811" s="10">
        <f>74.7704 * CHOOSE(CONTROL!$C$9, $D$9, 100%, $F$9) + CHOOSE(CONTROL!$C$27, 0.0021, 0)</f>
        <v>74.772499999999994</v>
      </c>
      <c r="G811" s="10">
        <f>75.0417 * CHOOSE(CONTROL!$C$9, $D$9, 100%, $F$9) + CHOOSE(CONTROL!$C$27, 0.0021, 0)</f>
        <v>75.043800000000005</v>
      </c>
      <c r="H811" s="10">
        <f>74.907 * CHOOSE(CONTROL!$C$9, $D$9, 100%, $F$9) + CHOOSE(CONTROL!$C$27, 0.0021, 0)</f>
        <v>74.909099999999995</v>
      </c>
      <c r="I811" s="10">
        <f>74.907 * CHOOSE(CONTROL!$C$9, $D$9, 100%, $F$9) + CHOOSE(CONTROL!$C$27, 0.0021, 0)</f>
        <v>74.909099999999995</v>
      </c>
      <c r="J811" s="10">
        <f>74.907 * CHOOSE(CONTROL!$C$9, $D$9, 100%, $F$9) + CHOOSE(CONTROL!$C$27, 0.0021, 0)</f>
        <v>74.909099999999995</v>
      </c>
      <c r="K811" s="10">
        <f>74.907 * CHOOSE(CONTROL!$C$9, $D$9, 100%, $F$9) + CHOOSE(CONTROL!$C$27, 0.0021, 0)</f>
        <v>74.909099999999995</v>
      </c>
      <c r="L811" s="10"/>
    </row>
    <row r="812" spans="1:12" ht="15.75">
      <c r="A812" s="13">
        <v>66019</v>
      </c>
      <c r="B812" s="10">
        <f>76.8247 * CHOOSE(CONTROL!$C$9, $D$9, 100%, $F$9) + CHOOSE(CONTROL!$C$27, 0.0021, 0)</f>
        <v>76.826800000000006</v>
      </c>
      <c r="C812" s="10">
        <f>76.3924 * CHOOSE(CONTROL!$C$9, $D$9, 100%, $F$9) + CHOOSE(CONTROL!$C$27, 0.0021, 0)</f>
        <v>76.394499999999994</v>
      </c>
      <c r="D812" s="10">
        <f>76.3924 * CHOOSE(CONTROL!$C$9, $D$9, 100%, $F$9) + CHOOSE(CONTROL!$C$27, 0.0021, 0)</f>
        <v>76.394499999999994</v>
      </c>
      <c r="E812" s="10">
        <f>76.2558 * CHOOSE(CONTROL!$C$9, $D$9, 100%, $F$9) + CHOOSE(CONTROL!$C$27, 0.0021, 0)</f>
        <v>76.257899999999992</v>
      </c>
      <c r="F812" s="10">
        <f>76.2558 * CHOOSE(CONTROL!$C$9, $D$9, 100%, $F$9) + CHOOSE(CONTROL!$C$27, 0.0021, 0)</f>
        <v>76.257899999999992</v>
      </c>
      <c r="G812" s="10">
        <f>76.5272 * CHOOSE(CONTROL!$C$9, $D$9, 100%, $F$9) + CHOOSE(CONTROL!$C$27, 0.0021, 0)</f>
        <v>76.529299999999992</v>
      </c>
      <c r="H812" s="10">
        <f>76.3924 * CHOOSE(CONTROL!$C$9, $D$9, 100%, $F$9) + CHOOSE(CONTROL!$C$27, 0.0021, 0)</f>
        <v>76.394499999999994</v>
      </c>
      <c r="I812" s="10">
        <f>76.3924 * CHOOSE(CONTROL!$C$9, $D$9, 100%, $F$9) + CHOOSE(CONTROL!$C$27, 0.0021, 0)</f>
        <v>76.394499999999994</v>
      </c>
      <c r="J812" s="10">
        <f>76.3924 * CHOOSE(CONTROL!$C$9, $D$9, 100%, $F$9) + CHOOSE(CONTROL!$C$27, 0.0021, 0)</f>
        <v>76.394499999999994</v>
      </c>
      <c r="K812" s="10">
        <f>76.3924 * CHOOSE(CONTROL!$C$9, $D$9, 100%, $F$9) + CHOOSE(CONTROL!$C$27, 0.0021, 0)</f>
        <v>76.394499999999994</v>
      </c>
      <c r="L812" s="10"/>
    </row>
    <row r="813" spans="1:12" ht="15.75">
      <c r="A813" s="13">
        <v>66050</v>
      </c>
      <c r="B813" s="10">
        <f>78.705 * CHOOSE(CONTROL!$C$9, $D$9, 100%, $F$9) + CHOOSE(CONTROL!$C$27, 0.0021, 0)</f>
        <v>78.707099999999997</v>
      </c>
      <c r="C813" s="10">
        <f>78.2727 * CHOOSE(CONTROL!$C$9, $D$9, 100%, $F$9) + CHOOSE(CONTROL!$C$27, 0.0021, 0)</f>
        <v>78.274799999999999</v>
      </c>
      <c r="D813" s="10">
        <f>78.2727 * CHOOSE(CONTROL!$C$9, $D$9, 100%, $F$9) + CHOOSE(CONTROL!$C$27, 0.0021, 0)</f>
        <v>78.274799999999999</v>
      </c>
      <c r="E813" s="10">
        <f>78.136 * CHOOSE(CONTROL!$C$9, $D$9, 100%, $F$9) + CHOOSE(CONTROL!$C$27, 0.0021, 0)</f>
        <v>78.138099999999994</v>
      </c>
      <c r="F813" s="10">
        <f>78.136 * CHOOSE(CONTROL!$C$9, $D$9, 100%, $F$9) + CHOOSE(CONTROL!$C$27, 0.0021, 0)</f>
        <v>78.138099999999994</v>
      </c>
      <c r="G813" s="10">
        <f>78.4074 * CHOOSE(CONTROL!$C$9, $D$9, 100%, $F$9) + CHOOSE(CONTROL!$C$27, 0.0021, 0)</f>
        <v>78.409499999999994</v>
      </c>
      <c r="H813" s="10">
        <f>78.2727 * CHOOSE(CONTROL!$C$9, $D$9, 100%, $F$9) + CHOOSE(CONTROL!$C$27, 0.0021, 0)</f>
        <v>78.274799999999999</v>
      </c>
      <c r="I813" s="10">
        <f>78.2727 * CHOOSE(CONTROL!$C$9, $D$9, 100%, $F$9) + CHOOSE(CONTROL!$C$27, 0.0021, 0)</f>
        <v>78.274799999999999</v>
      </c>
      <c r="J813" s="10">
        <f>78.2727 * CHOOSE(CONTROL!$C$9, $D$9, 100%, $F$9) + CHOOSE(CONTROL!$C$27, 0.0021, 0)</f>
        <v>78.274799999999999</v>
      </c>
      <c r="K813" s="10">
        <f>78.2727 * CHOOSE(CONTROL!$C$9, $D$9, 100%, $F$9) + CHOOSE(CONTROL!$C$27, 0.0021, 0)</f>
        <v>78.274799999999999</v>
      </c>
      <c r="L813" s="10"/>
    </row>
    <row r="814" spans="1:12" ht="15.75">
      <c r="A814" s="13">
        <v>66080</v>
      </c>
      <c r="B814" s="10">
        <f>78.8815 * CHOOSE(CONTROL!$C$9, $D$9, 100%, $F$9) + CHOOSE(CONTROL!$C$27, 0.0021, 0)</f>
        <v>78.883600000000001</v>
      </c>
      <c r="C814" s="10">
        <f>78.4492 * CHOOSE(CONTROL!$C$9, $D$9, 100%, $F$9) + CHOOSE(CONTROL!$C$27, 0.0021, 0)</f>
        <v>78.451300000000003</v>
      </c>
      <c r="D814" s="10">
        <f>78.4492 * CHOOSE(CONTROL!$C$9, $D$9, 100%, $F$9) + CHOOSE(CONTROL!$C$27, 0.0021, 0)</f>
        <v>78.451300000000003</v>
      </c>
      <c r="E814" s="10">
        <f>78.3126 * CHOOSE(CONTROL!$C$9, $D$9, 100%, $F$9) + CHOOSE(CONTROL!$C$27, 0.0021, 0)</f>
        <v>78.314700000000002</v>
      </c>
      <c r="F814" s="10">
        <f>78.3126 * CHOOSE(CONTROL!$C$9, $D$9, 100%, $F$9) + CHOOSE(CONTROL!$C$27, 0.0021, 0)</f>
        <v>78.314700000000002</v>
      </c>
      <c r="G814" s="10">
        <f>78.5839 * CHOOSE(CONTROL!$C$9, $D$9, 100%, $F$9) + CHOOSE(CONTROL!$C$27, 0.0021, 0)</f>
        <v>78.585999999999999</v>
      </c>
      <c r="H814" s="10">
        <f>78.4492 * CHOOSE(CONTROL!$C$9, $D$9, 100%, $F$9) + CHOOSE(CONTROL!$C$27, 0.0021, 0)</f>
        <v>78.451300000000003</v>
      </c>
      <c r="I814" s="10">
        <f>78.4492 * CHOOSE(CONTROL!$C$9, $D$9, 100%, $F$9) + CHOOSE(CONTROL!$C$27, 0.0021, 0)</f>
        <v>78.451300000000003</v>
      </c>
      <c r="J814" s="10">
        <f>78.4492 * CHOOSE(CONTROL!$C$9, $D$9, 100%, $F$9) + CHOOSE(CONTROL!$C$27, 0.0021, 0)</f>
        <v>78.451300000000003</v>
      </c>
      <c r="K814" s="10">
        <f>78.4492 * CHOOSE(CONTROL!$C$9, $D$9, 100%, $F$9) + CHOOSE(CONTROL!$C$27, 0.0021, 0)</f>
        <v>78.451300000000003</v>
      </c>
      <c r="L814" s="10"/>
    </row>
    <row r="815" spans="1:12" ht="15.75">
      <c r="A815" s="13">
        <v>66111</v>
      </c>
      <c r="B815" s="10">
        <f>77.3797 * CHOOSE(CONTROL!$C$9, $D$9, 100%, $F$9) + CHOOSE(CONTROL!$C$27, 0.0021, 0)</f>
        <v>77.381799999999998</v>
      </c>
      <c r="C815" s="10">
        <f>76.9475 * CHOOSE(CONTROL!$C$9, $D$9, 100%, $F$9) + CHOOSE(CONTROL!$C$27, 0.0021, 0)</f>
        <v>76.949600000000004</v>
      </c>
      <c r="D815" s="10">
        <f>76.9475 * CHOOSE(CONTROL!$C$9, $D$9, 100%, $F$9) + CHOOSE(CONTROL!$C$27, 0.0021, 0)</f>
        <v>76.949600000000004</v>
      </c>
      <c r="E815" s="10">
        <f>76.8108 * CHOOSE(CONTROL!$C$9, $D$9, 100%, $F$9) + CHOOSE(CONTROL!$C$27, 0.0021, 0)</f>
        <v>76.812899999999999</v>
      </c>
      <c r="F815" s="10">
        <f>76.8108 * CHOOSE(CONTROL!$C$9, $D$9, 100%, $F$9) + CHOOSE(CONTROL!$C$27, 0.0021, 0)</f>
        <v>76.812899999999999</v>
      </c>
      <c r="G815" s="10">
        <f>77.0822 * CHOOSE(CONTROL!$C$9, $D$9, 100%, $F$9) + CHOOSE(CONTROL!$C$27, 0.0021, 0)</f>
        <v>77.084299999999999</v>
      </c>
      <c r="H815" s="10">
        <f>76.9475 * CHOOSE(CONTROL!$C$9, $D$9, 100%, $F$9) + CHOOSE(CONTROL!$C$27, 0.0021, 0)</f>
        <v>76.949600000000004</v>
      </c>
      <c r="I815" s="10">
        <f>76.9475 * CHOOSE(CONTROL!$C$9, $D$9, 100%, $F$9) + CHOOSE(CONTROL!$C$27, 0.0021, 0)</f>
        <v>76.949600000000004</v>
      </c>
      <c r="J815" s="10">
        <f>76.9475 * CHOOSE(CONTROL!$C$9, $D$9, 100%, $F$9) + CHOOSE(CONTROL!$C$27, 0.0021, 0)</f>
        <v>76.949600000000004</v>
      </c>
      <c r="K815" s="10">
        <f>76.9475 * CHOOSE(CONTROL!$C$9, $D$9, 100%, $F$9) + CHOOSE(CONTROL!$C$27, 0.0021, 0)</f>
        <v>76.949600000000004</v>
      </c>
      <c r="L815" s="10"/>
    </row>
    <row r="816" spans="1:12" ht="15.75">
      <c r="A816" s="13">
        <v>66142</v>
      </c>
      <c r="B816" s="10">
        <f>76.23 * CHOOSE(CONTROL!$C$9, $D$9, 100%, $F$9) + CHOOSE(CONTROL!$C$27, 0.0021, 0)</f>
        <v>76.232100000000003</v>
      </c>
      <c r="C816" s="10">
        <f>75.7977 * CHOOSE(CONTROL!$C$9, $D$9, 100%, $F$9) + CHOOSE(CONTROL!$C$27, 0.0021, 0)</f>
        <v>75.799800000000005</v>
      </c>
      <c r="D816" s="10">
        <f>75.7977 * CHOOSE(CONTROL!$C$9, $D$9, 100%, $F$9) + CHOOSE(CONTROL!$C$27, 0.0021, 0)</f>
        <v>75.799800000000005</v>
      </c>
      <c r="E816" s="10">
        <f>75.6611 * CHOOSE(CONTROL!$C$9, $D$9, 100%, $F$9) + CHOOSE(CONTROL!$C$27, 0.0021, 0)</f>
        <v>75.663200000000003</v>
      </c>
      <c r="F816" s="10">
        <f>75.6611 * CHOOSE(CONTROL!$C$9, $D$9, 100%, $F$9) + CHOOSE(CONTROL!$C$27, 0.0021, 0)</f>
        <v>75.663200000000003</v>
      </c>
      <c r="G816" s="10">
        <f>75.9324 * CHOOSE(CONTROL!$C$9, $D$9, 100%, $F$9) + CHOOSE(CONTROL!$C$27, 0.0021, 0)</f>
        <v>75.9345</v>
      </c>
      <c r="H816" s="10">
        <f>75.7977 * CHOOSE(CONTROL!$C$9, $D$9, 100%, $F$9) + CHOOSE(CONTROL!$C$27, 0.0021, 0)</f>
        <v>75.799800000000005</v>
      </c>
      <c r="I816" s="10">
        <f>75.7977 * CHOOSE(CONTROL!$C$9, $D$9, 100%, $F$9) + CHOOSE(CONTROL!$C$27, 0.0021, 0)</f>
        <v>75.799800000000005</v>
      </c>
      <c r="J816" s="10">
        <f>75.7977 * CHOOSE(CONTROL!$C$9, $D$9, 100%, $F$9) + CHOOSE(CONTROL!$C$27, 0.0021, 0)</f>
        <v>75.799800000000005</v>
      </c>
      <c r="K816" s="10">
        <f>75.7977 * CHOOSE(CONTROL!$C$9, $D$9, 100%, $F$9) + CHOOSE(CONTROL!$C$27, 0.0021, 0)</f>
        <v>75.799800000000005</v>
      </c>
      <c r="L816" s="10"/>
    </row>
    <row r="817" spans="1:12" ht="15.75">
      <c r="A817" s="13">
        <v>66170</v>
      </c>
      <c r="B817" s="10">
        <f>74.1386 * CHOOSE(CONTROL!$C$9, $D$9, 100%, $F$9) + CHOOSE(CONTROL!$C$27, 0.0021, 0)</f>
        <v>74.140699999999995</v>
      </c>
      <c r="C817" s="10">
        <f>73.7064 * CHOOSE(CONTROL!$C$9, $D$9, 100%, $F$9) + CHOOSE(CONTROL!$C$27, 0.0021, 0)</f>
        <v>73.708500000000001</v>
      </c>
      <c r="D817" s="10">
        <f>73.7064 * CHOOSE(CONTROL!$C$9, $D$9, 100%, $F$9) + CHOOSE(CONTROL!$C$27, 0.0021, 0)</f>
        <v>73.708500000000001</v>
      </c>
      <c r="E817" s="10">
        <f>73.5697 * CHOOSE(CONTROL!$C$9, $D$9, 100%, $F$9) + CHOOSE(CONTROL!$C$27, 0.0021, 0)</f>
        <v>73.571799999999996</v>
      </c>
      <c r="F817" s="10">
        <f>73.5697 * CHOOSE(CONTROL!$C$9, $D$9, 100%, $F$9) + CHOOSE(CONTROL!$C$27, 0.0021, 0)</f>
        <v>73.571799999999996</v>
      </c>
      <c r="G817" s="10">
        <f>73.8411 * CHOOSE(CONTROL!$C$9, $D$9, 100%, $F$9) + CHOOSE(CONTROL!$C$27, 0.0021, 0)</f>
        <v>73.843199999999996</v>
      </c>
      <c r="H817" s="10">
        <f>73.7064 * CHOOSE(CONTROL!$C$9, $D$9, 100%, $F$9) + CHOOSE(CONTROL!$C$27, 0.0021, 0)</f>
        <v>73.708500000000001</v>
      </c>
      <c r="I817" s="10">
        <f>73.7064 * CHOOSE(CONTROL!$C$9, $D$9, 100%, $F$9) + CHOOSE(CONTROL!$C$27, 0.0021, 0)</f>
        <v>73.708500000000001</v>
      </c>
      <c r="J817" s="10">
        <f>73.7064 * CHOOSE(CONTROL!$C$9, $D$9, 100%, $F$9) + CHOOSE(CONTROL!$C$27, 0.0021, 0)</f>
        <v>73.708500000000001</v>
      </c>
      <c r="K817" s="10">
        <f>73.7064 * CHOOSE(CONTROL!$C$9, $D$9, 100%, $F$9) + CHOOSE(CONTROL!$C$27, 0.0021, 0)</f>
        <v>73.708500000000001</v>
      </c>
      <c r="L817" s="10"/>
    </row>
    <row r="818" spans="1:12" ht="15.75">
      <c r="A818" s="13">
        <v>66201</v>
      </c>
      <c r="B818" s="10">
        <f>73.2753 * CHOOSE(CONTROL!$C$9, $D$9, 100%, $F$9) + CHOOSE(CONTROL!$C$27, 0.0021, 0)</f>
        <v>73.2774</v>
      </c>
      <c r="C818" s="10">
        <f>72.8431 * CHOOSE(CONTROL!$C$9, $D$9, 100%, $F$9) + CHOOSE(CONTROL!$C$27, 0.0021, 0)</f>
        <v>72.845200000000006</v>
      </c>
      <c r="D818" s="10">
        <f>72.8431 * CHOOSE(CONTROL!$C$9, $D$9, 100%, $F$9) + CHOOSE(CONTROL!$C$27, 0.0021, 0)</f>
        <v>72.845200000000006</v>
      </c>
      <c r="E818" s="10">
        <f>72.7064 * CHOOSE(CONTROL!$C$9, $D$9, 100%, $F$9) + CHOOSE(CONTROL!$C$27, 0.0021, 0)</f>
        <v>72.708500000000001</v>
      </c>
      <c r="F818" s="10">
        <f>72.7064 * CHOOSE(CONTROL!$C$9, $D$9, 100%, $F$9) + CHOOSE(CONTROL!$C$27, 0.0021, 0)</f>
        <v>72.708500000000001</v>
      </c>
      <c r="G818" s="10">
        <f>72.9778 * CHOOSE(CONTROL!$C$9, $D$9, 100%, $F$9) + CHOOSE(CONTROL!$C$27, 0.0021, 0)</f>
        <v>72.979900000000001</v>
      </c>
      <c r="H818" s="10">
        <f>72.8431 * CHOOSE(CONTROL!$C$9, $D$9, 100%, $F$9) + CHOOSE(CONTROL!$C$27, 0.0021, 0)</f>
        <v>72.845200000000006</v>
      </c>
      <c r="I818" s="10">
        <f>72.8431 * CHOOSE(CONTROL!$C$9, $D$9, 100%, $F$9) + CHOOSE(CONTROL!$C$27, 0.0021, 0)</f>
        <v>72.845200000000006</v>
      </c>
      <c r="J818" s="10">
        <f>72.8431 * CHOOSE(CONTROL!$C$9, $D$9, 100%, $F$9) + CHOOSE(CONTROL!$C$27, 0.0021, 0)</f>
        <v>72.845200000000006</v>
      </c>
      <c r="K818" s="10">
        <f>72.8431 * CHOOSE(CONTROL!$C$9, $D$9, 100%, $F$9) + CHOOSE(CONTROL!$C$27, 0.0021, 0)</f>
        <v>72.845200000000006</v>
      </c>
      <c r="L818" s="10"/>
    </row>
    <row r="819" spans="1:12" ht="15.75">
      <c r="A819" s="13">
        <v>66231</v>
      </c>
      <c r="B819" s="10">
        <f>72.2445 * CHOOSE(CONTROL!$C$9, $D$9, 100%, $F$9) + CHOOSE(CONTROL!$C$27, 0.0021, 0)</f>
        <v>72.246600000000001</v>
      </c>
      <c r="C819" s="10">
        <f>71.8122 * CHOOSE(CONTROL!$C$9, $D$9, 100%, $F$9) + CHOOSE(CONTROL!$C$27, 0.0021, 0)</f>
        <v>71.814300000000003</v>
      </c>
      <c r="D819" s="10">
        <f>71.8122 * CHOOSE(CONTROL!$C$9, $D$9, 100%, $F$9) + CHOOSE(CONTROL!$C$27, 0.0021, 0)</f>
        <v>71.814300000000003</v>
      </c>
      <c r="E819" s="10">
        <f>71.6756 * CHOOSE(CONTROL!$C$9, $D$9, 100%, $F$9) + CHOOSE(CONTROL!$C$27, 0.0021, 0)</f>
        <v>71.677700000000002</v>
      </c>
      <c r="F819" s="10">
        <f>71.6756 * CHOOSE(CONTROL!$C$9, $D$9, 100%, $F$9) + CHOOSE(CONTROL!$C$27, 0.0021, 0)</f>
        <v>71.677700000000002</v>
      </c>
      <c r="G819" s="10">
        <f>71.947 * CHOOSE(CONTROL!$C$9, $D$9, 100%, $F$9) + CHOOSE(CONTROL!$C$27, 0.0021, 0)</f>
        <v>71.949100000000001</v>
      </c>
      <c r="H819" s="10">
        <f>71.8122 * CHOOSE(CONTROL!$C$9, $D$9, 100%, $F$9) + CHOOSE(CONTROL!$C$27, 0.0021, 0)</f>
        <v>71.814300000000003</v>
      </c>
      <c r="I819" s="10">
        <f>71.8122 * CHOOSE(CONTROL!$C$9, $D$9, 100%, $F$9) + CHOOSE(CONTROL!$C$27, 0.0021, 0)</f>
        <v>71.814300000000003</v>
      </c>
      <c r="J819" s="10">
        <f>71.8122 * CHOOSE(CONTROL!$C$9, $D$9, 100%, $F$9) + CHOOSE(CONTROL!$C$27, 0.0021, 0)</f>
        <v>71.814300000000003</v>
      </c>
      <c r="K819" s="10">
        <f>71.8122 * CHOOSE(CONTROL!$C$9, $D$9, 100%, $F$9) + CHOOSE(CONTROL!$C$27, 0.0021, 0)</f>
        <v>71.814300000000003</v>
      </c>
      <c r="L819" s="10"/>
    </row>
    <row r="820" spans="1:12" ht="15.75">
      <c r="A820" s="13">
        <v>66262</v>
      </c>
      <c r="B820" s="10">
        <f>73.7135 * CHOOSE(CONTROL!$C$9, $D$9, 100%, $F$9) + CHOOSE(CONTROL!$C$27, 0.0021, 0)</f>
        <v>73.715599999999995</v>
      </c>
      <c r="C820" s="10">
        <f>73.2813 * CHOOSE(CONTROL!$C$9, $D$9, 100%, $F$9) + CHOOSE(CONTROL!$C$27, 0.0021, 0)</f>
        <v>73.2834</v>
      </c>
      <c r="D820" s="10">
        <f>73.2813 * CHOOSE(CONTROL!$C$9, $D$9, 100%, $F$9) + CHOOSE(CONTROL!$C$27, 0.0021, 0)</f>
        <v>73.2834</v>
      </c>
      <c r="E820" s="10">
        <f>73.1446 * CHOOSE(CONTROL!$C$9, $D$9, 100%, $F$9) + CHOOSE(CONTROL!$C$27, 0.0021, 0)</f>
        <v>73.146699999999996</v>
      </c>
      <c r="F820" s="10">
        <f>73.1446 * CHOOSE(CONTROL!$C$9, $D$9, 100%, $F$9) + CHOOSE(CONTROL!$C$27, 0.0021, 0)</f>
        <v>73.146699999999996</v>
      </c>
      <c r="G820" s="10">
        <f>73.416 * CHOOSE(CONTROL!$C$9, $D$9, 100%, $F$9) + CHOOSE(CONTROL!$C$27, 0.0021, 0)</f>
        <v>73.418099999999995</v>
      </c>
      <c r="H820" s="10">
        <f>73.2813 * CHOOSE(CONTROL!$C$9, $D$9, 100%, $F$9) + CHOOSE(CONTROL!$C$27, 0.0021, 0)</f>
        <v>73.2834</v>
      </c>
      <c r="I820" s="10">
        <f>73.2813 * CHOOSE(CONTROL!$C$9, $D$9, 100%, $F$9) + CHOOSE(CONTROL!$C$27, 0.0021, 0)</f>
        <v>73.2834</v>
      </c>
      <c r="J820" s="10">
        <f>73.2813 * CHOOSE(CONTROL!$C$9, $D$9, 100%, $F$9) + CHOOSE(CONTROL!$C$27, 0.0021, 0)</f>
        <v>73.2834</v>
      </c>
      <c r="K820" s="10">
        <f>73.2813 * CHOOSE(CONTROL!$C$9, $D$9, 100%, $F$9) + CHOOSE(CONTROL!$C$27, 0.0021, 0)</f>
        <v>73.2834</v>
      </c>
      <c r="L820" s="10"/>
    </row>
    <row r="821" spans="1:12" ht="15.75">
      <c r="A821" s="13">
        <v>66292</v>
      </c>
      <c r="B821" s="10">
        <f>74.5934 * CHOOSE(CONTROL!$C$9, $D$9, 100%, $F$9) + CHOOSE(CONTROL!$C$27, 0.0021, 0)</f>
        <v>74.595500000000001</v>
      </c>
      <c r="C821" s="10">
        <f>74.1612 * CHOOSE(CONTROL!$C$9, $D$9, 100%, $F$9) + CHOOSE(CONTROL!$C$27, 0.0021, 0)</f>
        <v>74.163299999999992</v>
      </c>
      <c r="D821" s="10">
        <f>74.1612 * CHOOSE(CONTROL!$C$9, $D$9, 100%, $F$9) + CHOOSE(CONTROL!$C$27, 0.0021, 0)</f>
        <v>74.163299999999992</v>
      </c>
      <c r="E821" s="10">
        <f>74.0245 * CHOOSE(CONTROL!$C$9, $D$9, 100%, $F$9) + CHOOSE(CONTROL!$C$27, 0.0021, 0)</f>
        <v>74.026600000000002</v>
      </c>
      <c r="F821" s="10">
        <f>74.0245 * CHOOSE(CONTROL!$C$9, $D$9, 100%, $F$9) + CHOOSE(CONTROL!$C$27, 0.0021, 0)</f>
        <v>74.026600000000002</v>
      </c>
      <c r="G821" s="10">
        <f>74.2959 * CHOOSE(CONTROL!$C$9, $D$9, 100%, $F$9) + CHOOSE(CONTROL!$C$27, 0.0021, 0)</f>
        <v>74.298000000000002</v>
      </c>
      <c r="H821" s="10">
        <f>74.1612 * CHOOSE(CONTROL!$C$9, $D$9, 100%, $F$9) + CHOOSE(CONTROL!$C$27, 0.0021, 0)</f>
        <v>74.163299999999992</v>
      </c>
      <c r="I821" s="10">
        <f>74.1612 * CHOOSE(CONTROL!$C$9, $D$9, 100%, $F$9) + CHOOSE(CONTROL!$C$27, 0.0021, 0)</f>
        <v>74.163299999999992</v>
      </c>
      <c r="J821" s="10">
        <f>74.1612 * CHOOSE(CONTROL!$C$9, $D$9, 100%, $F$9) + CHOOSE(CONTROL!$C$27, 0.0021, 0)</f>
        <v>74.163299999999992</v>
      </c>
      <c r="K821" s="10">
        <f>74.1612 * CHOOSE(CONTROL!$C$9, $D$9, 100%, $F$9) + CHOOSE(CONTROL!$C$27, 0.0021, 0)</f>
        <v>74.163299999999992</v>
      </c>
      <c r="L821" s="10"/>
    </row>
    <row r="822" spans="1:12" ht="15.75">
      <c r="A822" s="13">
        <v>66323</v>
      </c>
      <c r="B822" s="10">
        <f>76.0449 * CHOOSE(CONTROL!$C$9, $D$9, 100%, $F$9) + CHOOSE(CONTROL!$C$27, 0.0021, 0)</f>
        <v>76.046999999999997</v>
      </c>
      <c r="C822" s="10">
        <f>75.6126 * CHOOSE(CONTROL!$C$9, $D$9, 100%, $F$9) + CHOOSE(CONTROL!$C$27, 0.0021, 0)</f>
        <v>75.614699999999999</v>
      </c>
      <c r="D822" s="10">
        <f>75.6126 * CHOOSE(CONTROL!$C$9, $D$9, 100%, $F$9) + CHOOSE(CONTROL!$C$27, 0.0021, 0)</f>
        <v>75.614699999999999</v>
      </c>
      <c r="E822" s="10">
        <f>75.476 * CHOOSE(CONTROL!$C$9, $D$9, 100%, $F$9) + CHOOSE(CONTROL!$C$27, 0.0021, 0)</f>
        <v>75.478099999999998</v>
      </c>
      <c r="F822" s="10">
        <f>75.476 * CHOOSE(CONTROL!$C$9, $D$9, 100%, $F$9) + CHOOSE(CONTROL!$C$27, 0.0021, 0)</f>
        <v>75.478099999999998</v>
      </c>
      <c r="G822" s="10">
        <f>75.7474 * CHOOSE(CONTROL!$C$9, $D$9, 100%, $F$9) + CHOOSE(CONTROL!$C$27, 0.0021, 0)</f>
        <v>75.749499999999998</v>
      </c>
      <c r="H822" s="10">
        <f>75.6126 * CHOOSE(CONTROL!$C$9, $D$9, 100%, $F$9) + CHOOSE(CONTROL!$C$27, 0.0021, 0)</f>
        <v>75.614699999999999</v>
      </c>
      <c r="I822" s="10">
        <f>75.6126 * CHOOSE(CONTROL!$C$9, $D$9, 100%, $F$9) + CHOOSE(CONTROL!$C$27, 0.0021, 0)</f>
        <v>75.614699999999999</v>
      </c>
      <c r="J822" s="10">
        <f>75.6126 * CHOOSE(CONTROL!$C$9, $D$9, 100%, $F$9) + CHOOSE(CONTROL!$C$27, 0.0021, 0)</f>
        <v>75.614699999999999</v>
      </c>
      <c r="K822" s="10">
        <f>75.6126 * CHOOSE(CONTROL!$C$9, $D$9, 100%, $F$9) + CHOOSE(CONTROL!$C$27, 0.0021, 0)</f>
        <v>75.614699999999999</v>
      </c>
      <c r="L822" s="10"/>
    </row>
    <row r="823" spans="1:12" ht="15.75">
      <c r="A823" s="13">
        <v>66354</v>
      </c>
      <c r="B823" s="10">
        <f>76.4879 * CHOOSE(CONTROL!$C$9, $D$9, 100%, $F$9) + CHOOSE(CONTROL!$C$27, 0.0021, 0)</f>
        <v>76.489999999999995</v>
      </c>
      <c r="C823" s="10">
        <f>76.0557 * CHOOSE(CONTROL!$C$9, $D$9, 100%, $F$9) + CHOOSE(CONTROL!$C$27, 0.0021, 0)</f>
        <v>76.0578</v>
      </c>
      <c r="D823" s="10">
        <f>76.0557 * CHOOSE(CONTROL!$C$9, $D$9, 100%, $F$9) + CHOOSE(CONTROL!$C$27, 0.0021, 0)</f>
        <v>76.0578</v>
      </c>
      <c r="E823" s="10">
        <f>75.919 * CHOOSE(CONTROL!$C$9, $D$9, 100%, $F$9) + CHOOSE(CONTROL!$C$27, 0.0021, 0)</f>
        <v>75.921099999999996</v>
      </c>
      <c r="F823" s="10">
        <f>75.919 * CHOOSE(CONTROL!$C$9, $D$9, 100%, $F$9) + CHOOSE(CONTROL!$C$27, 0.0021, 0)</f>
        <v>75.921099999999996</v>
      </c>
      <c r="G823" s="10">
        <f>76.1904 * CHOOSE(CONTROL!$C$9, $D$9, 100%, $F$9) + CHOOSE(CONTROL!$C$27, 0.0021, 0)</f>
        <v>76.192499999999995</v>
      </c>
      <c r="H823" s="10">
        <f>76.0557 * CHOOSE(CONTROL!$C$9, $D$9, 100%, $F$9) + CHOOSE(CONTROL!$C$27, 0.0021, 0)</f>
        <v>76.0578</v>
      </c>
      <c r="I823" s="10">
        <f>76.0557 * CHOOSE(CONTROL!$C$9, $D$9, 100%, $F$9) + CHOOSE(CONTROL!$C$27, 0.0021, 0)</f>
        <v>76.0578</v>
      </c>
      <c r="J823" s="10">
        <f>76.0557 * CHOOSE(CONTROL!$C$9, $D$9, 100%, $F$9) + CHOOSE(CONTROL!$C$27, 0.0021, 0)</f>
        <v>76.0578</v>
      </c>
      <c r="K823" s="10">
        <f>76.0557 * CHOOSE(CONTROL!$C$9, $D$9, 100%, $F$9) + CHOOSE(CONTROL!$C$27, 0.0021, 0)</f>
        <v>76.0578</v>
      </c>
      <c r="L823" s="10"/>
    </row>
    <row r="824" spans="1:12" ht="15.75">
      <c r="A824" s="13">
        <v>66384</v>
      </c>
      <c r="B824" s="10">
        <f>77.9967 * CHOOSE(CONTROL!$C$9, $D$9, 100%, $F$9) + CHOOSE(CONTROL!$C$27, 0.0021, 0)</f>
        <v>77.998800000000003</v>
      </c>
      <c r="C824" s="10">
        <f>77.5645 * CHOOSE(CONTROL!$C$9, $D$9, 100%, $F$9) + CHOOSE(CONTROL!$C$27, 0.0021, 0)</f>
        <v>77.566599999999994</v>
      </c>
      <c r="D824" s="10">
        <f>77.5645 * CHOOSE(CONTROL!$C$9, $D$9, 100%, $F$9) + CHOOSE(CONTROL!$C$27, 0.0021, 0)</f>
        <v>77.566599999999994</v>
      </c>
      <c r="E824" s="10">
        <f>77.4278 * CHOOSE(CONTROL!$C$9, $D$9, 100%, $F$9) + CHOOSE(CONTROL!$C$27, 0.0021, 0)</f>
        <v>77.429900000000004</v>
      </c>
      <c r="F824" s="10">
        <f>77.4278 * CHOOSE(CONTROL!$C$9, $D$9, 100%, $F$9) + CHOOSE(CONTROL!$C$27, 0.0021, 0)</f>
        <v>77.429900000000004</v>
      </c>
      <c r="G824" s="10">
        <f>77.6992 * CHOOSE(CONTROL!$C$9, $D$9, 100%, $F$9) + CHOOSE(CONTROL!$C$27, 0.0021, 0)</f>
        <v>77.701300000000003</v>
      </c>
      <c r="H824" s="10">
        <f>77.5645 * CHOOSE(CONTROL!$C$9, $D$9, 100%, $F$9) + CHOOSE(CONTROL!$C$27, 0.0021, 0)</f>
        <v>77.566599999999994</v>
      </c>
      <c r="I824" s="10">
        <f>77.5645 * CHOOSE(CONTROL!$C$9, $D$9, 100%, $F$9) + CHOOSE(CONTROL!$C$27, 0.0021, 0)</f>
        <v>77.566599999999994</v>
      </c>
      <c r="J824" s="10">
        <f>77.5645 * CHOOSE(CONTROL!$C$9, $D$9, 100%, $F$9) + CHOOSE(CONTROL!$C$27, 0.0021, 0)</f>
        <v>77.566599999999994</v>
      </c>
      <c r="K824" s="10">
        <f>77.5645 * CHOOSE(CONTROL!$C$9, $D$9, 100%, $F$9) + CHOOSE(CONTROL!$C$27, 0.0021, 0)</f>
        <v>77.566599999999994</v>
      </c>
      <c r="L824" s="10"/>
    </row>
    <row r="825" spans="1:12" ht="15.75">
      <c r="A825" s="13">
        <v>66415</v>
      </c>
      <c r="B825" s="10">
        <f>79.9065 * CHOOSE(CONTROL!$C$9, $D$9, 100%, $F$9) + CHOOSE(CONTROL!$C$27, 0.0021, 0)</f>
        <v>79.908599999999993</v>
      </c>
      <c r="C825" s="10">
        <f>79.4743 * CHOOSE(CONTROL!$C$9, $D$9, 100%, $F$9) + CHOOSE(CONTROL!$C$27, 0.0021, 0)</f>
        <v>79.476399999999998</v>
      </c>
      <c r="D825" s="10">
        <f>79.4743 * CHOOSE(CONTROL!$C$9, $D$9, 100%, $F$9) + CHOOSE(CONTROL!$C$27, 0.0021, 0)</f>
        <v>79.476399999999998</v>
      </c>
      <c r="E825" s="10">
        <f>79.3376 * CHOOSE(CONTROL!$C$9, $D$9, 100%, $F$9) + CHOOSE(CONTROL!$C$27, 0.0021, 0)</f>
        <v>79.339699999999993</v>
      </c>
      <c r="F825" s="10">
        <f>79.3376 * CHOOSE(CONTROL!$C$9, $D$9, 100%, $F$9) + CHOOSE(CONTROL!$C$27, 0.0021, 0)</f>
        <v>79.339699999999993</v>
      </c>
      <c r="G825" s="10">
        <f>79.609 * CHOOSE(CONTROL!$C$9, $D$9, 100%, $F$9) + CHOOSE(CONTROL!$C$27, 0.0021, 0)</f>
        <v>79.611099999999993</v>
      </c>
      <c r="H825" s="10">
        <f>79.4743 * CHOOSE(CONTROL!$C$9, $D$9, 100%, $F$9) + CHOOSE(CONTROL!$C$27, 0.0021, 0)</f>
        <v>79.476399999999998</v>
      </c>
      <c r="I825" s="10">
        <f>79.4743 * CHOOSE(CONTROL!$C$9, $D$9, 100%, $F$9) + CHOOSE(CONTROL!$C$27, 0.0021, 0)</f>
        <v>79.476399999999998</v>
      </c>
      <c r="J825" s="10">
        <f>79.4743 * CHOOSE(CONTROL!$C$9, $D$9, 100%, $F$9) + CHOOSE(CONTROL!$C$27, 0.0021, 0)</f>
        <v>79.476399999999998</v>
      </c>
      <c r="K825" s="10">
        <f>79.4743 * CHOOSE(CONTROL!$C$9, $D$9, 100%, $F$9) + CHOOSE(CONTROL!$C$27, 0.0021, 0)</f>
        <v>79.476399999999998</v>
      </c>
      <c r="L825" s="10"/>
    </row>
    <row r="826" spans="1:12" ht="15.75">
      <c r="A826" s="13">
        <v>66445</v>
      </c>
      <c r="B826" s="10">
        <f>80.0858 * CHOOSE(CONTROL!$C$9, $D$9, 100%, $F$9) + CHOOSE(CONTROL!$C$27, 0.0021, 0)</f>
        <v>80.087900000000005</v>
      </c>
      <c r="C826" s="10">
        <f>79.6536 * CHOOSE(CONTROL!$C$9, $D$9, 100%, $F$9) + CHOOSE(CONTROL!$C$27, 0.0021, 0)</f>
        <v>79.655699999999996</v>
      </c>
      <c r="D826" s="10">
        <f>79.6536 * CHOOSE(CONTROL!$C$9, $D$9, 100%, $F$9) + CHOOSE(CONTROL!$C$27, 0.0021, 0)</f>
        <v>79.655699999999996</v>
      </c>
      <c r="E826" s="10">
        <f>79.5169 * CHOOSE(CONTROL!$C$9, $D$9, 100%, $F$9) + CHOOSE(CONTROL!$C$27, 0.0021, 0)</f>
        <v>79.519000000000005</v>
      </c>
      <c r="F826" s="10">
        <f>79.5169 * CHOOSE(CONTROL!$C$9, $D$9, 100%, $F$9) + CHOOSE(CONTROL!$C$27, 0.0021, 0)</f>
        <v>79.519000000000005</v>
      </c>
      <c r="G826" s="10">
        <f>79.7883 * CHOOSE(CONTROL!$C$9, $D$9, 100%, $F$9) + CHOOSE(CONTROL!$C$27, 0.0021, 0)</f>
        <v>79.790400000000005</v>
      </c>
      <c r="H826" s="10">
        <f>79.6536 * CHOOSE(CONTROL!$C$9, $D$9, 100%, $F$9) + CHOOSE(CONTROL!$C$27, 0.0021, 0)</f>
        <v>79.655699999999996</v>
      </c>
      <c r="I826" s="10">
        <f>79.6536 * CHOOSE(CONTROL!$C$9, $D$9, 100%, $F$9) + CHOOSE(CONTROL!$C$27, 0.0021, 0)</f>
        <v>79.655699999999996</v>
      </c>
      <c r="J826" s="10">
        <f>79.6536 * CHOOSE(CONTROL!$C$9, $D$9, 100%, $F$9) + CHOOSE(CONTROL!$C$27, 0.0021, 0)</f>
        <v>79.655699999999996</v>
      </c>
      <c r="K826" s="10">
        <f>79.6536 * CHOOSE(CONTROL!$C$9, $D$9, 100%, $F$9) + CHOOSE(CONTROL!$C$27, 0.0021, 0)</f>
        <v>79.655699999999996</v>
      </c>
      <c r="L826" s="10"/>
    </row>
    <row r="827" spans="1:12" ht="15.75">
      <c r="A827" s="13">
        <v>66476</v>
      </c>
      <c r="B827" s="10">
        <f>78.5605 * CHOOSE(CONTROL!$C$9, $D$9, 100%, $F$9) + CHOOSE(CONTROL!$C$27, 0.0021, 0)</f>
        <v>78.562600000000003</v>
      </c>
      <c r="C827" s="10">
        <f>78.1282 * CHOOSE(CONTROL!$C$9, $D$9, 100%, $F$9) + CHOOSE(CONTROL!$C$27, 0.0021, 0)</f>
        <v>78.130300000000005</v>
      </c>
      <c r="D827" s="10">
        <f>78.1282 * CHOOSE(CONTROL!$C$9, $D$9, 100%, $F$9) + CHOOSE(CONTROL!$C$27, 0.0021, 0)</f>
        <v>78.130300000000005</v>
      </c>
      <c r="E827" s="10">
        <f>77.9916 * CHOOSE(CONTROL!$C$9, $D$9, 100%, $F$9) + CHOOSE(CONTROL!$C$27, 0.0021, 0)</f>
        <v>77.993700000000004</v>
      </c>
      <c r="F827" s="10">
        <f>77.9916 * CHOOSE(CONTROL!$C$9, $D$9, 100%, $F$9) + CHOOSE(CONTROL!$C$27, 0.0021, 0)</f>
        <v>77.993700000000004</v>
      </c>
      <c r="G827" s="10">
        <f>78.2629 * CHOOSE(CONTROL!$C$9, $D$9, 100%, $F$9) + CHOOSE(CONTROL!$C$27, 0.0021, 0)</f>
        <v>78.265000000000001</v>
      </c>
      <c r="H827" s="10">
        <f>78.1282 * CHOOSE(CONTROL!$C$9, $D$9, 100%, $F$9) + CHOOSE(CONTROL!$C$27, 0.0021, 0)</f>
        <v>78.130300000000005</v>
      </c>
      <c r="I827" s="10">
        <f>78.1282 * CHOOSE(CONTROL!$C$9, $D$9, 100%, $F$9) + CHOOSE(CONTROL!$C$27, 0.0021, 0)</f>
        <v>78.130300000000005</v>
      </c>
      <c r="J827" s="10">
        <f>78.1282 * CHOOSE(CONTROL!$C$9, $D$9, 100%, $F$9) + CHOOSE(CONTROL!$C$27, 0.0021, 0)</f>
        <v>78.130300000000005</v>
      </c>
      <c r="K827" s="10">
        <f>78.1282 * CHOOSE(CONTROL!$C$9, $D$9, 100%, $F$9) + CHOOSE(CONTROL!$C$27, 0.0021, 0)</f>
        <v>78.130300000000005</v>
      </c>
      <c r="L827" s="10"/>
    </row>
    <row r="828" spans="1:12" ht="15.75">
      <c r="A828" s="13">
        <v>66507</v>
      </c>
      <c r="B828" s="10">
        <f>77.3926 * CHOOSE(CONTROL!$C$9, $D$9, 100%, $F$9) + CHOOSE(CONTROL!$C$27, 0.0021, 0)</f>
        <v>77.3947</v>
      </c>
      <c r="C828" s="10">
        <f>76.9604 * CHOOSE(CONTROL!$C$9, $D$9, 100%, $F$9) + CHOOSE(CONTROL!$C$27, 0.0021, 0)</f>
        <v>76.962500000000006</v>
      </c>
      <c r="D828" s="10">
        <f>76.9604 * CHOOSE(CONTROL!$C$9, $D$9, 100%, $F$9) + CHOOSE(CONTROL!$C$27, 0.0021, 0)</f>
        <v>76.962500000000006</v>
      </c>
      <c r="E828" s="10">
        <f>76.8237 * CHOOSE(CONTROL!$C$9, $D$9, 100%, $F$9) + CHOOSE(CONTROL!$C$27, 0.0021, 0)</f>
        <v>76.825800000000001</v>
      </c>
      <c r="F828" s="10">
        <f>76.8237 * CHOOSE(CONTROL!$C$9, $D$9, 100%, $F$9) + CHOOSE(CONTROL!$C$27, 0.0021, 0)</f>
        <v>76.825800000000001</v>
      </c>
      <c r="G828" s="10">
        <f>77.0951 * CHOOSE(CONTROL!$C$9, $D$9, 100%, $F$9) + CHOOSE(CONTROL!$C$27, 0.0021, 0)</f>
        <v>77.097200000000001</v>
      </c>
      <c r="H828" s="10">
        <f>76.9604 * CHOOSE(CONTROL!$C$9, $D$9, 100%, $F$9) + CHOOSE(CONTROL!$C$27, 0.0021, 0)</f>
        <v>76.962500000000006</v>
      </c>
      <c r="I828" s="10">
        <f>76.9604 * CHOOSE(CONTROL!$C$9, $D$9, 100%, $F$9) + CHOOSE(CONTROL!$C$27, 0.0021, 0)</f>
        <v>76.962500000000006</v>
      </c>
      <c r="J828" s="10">
        <f>76.9604 * CHOOSE(CONTROL!$C$9, $D$9, 100%, $F$9) + CHOOSE(CONTROL!$C$27, 0.0021, 0)</f>
        <v>76.962500000000006</v>
      </c>
      <c r="K828" s="10">
        <f>76.9604 * CHOOSE(CONTROL!$C$9, $D$9, 100%, $F$9) + CHOOSE(CONTROL!$C$27, 0.0021, 0)</f>
        <v>76.962500000000006</v>
      </c>
      <c r="L828" s="10"/>
    </row>
    <row r="829" spans="1:12" ht="15.75">
      <c r="A829" s="13">
        <v>66535</v>
      </c>
      <c r="B829" s="10">
        <f>75.2684 * CHOOSE(CONTROL!$C$9, $D$9, 100%, $F$9) + CHOOSE(CONTROL!$C$27, 0.0021, 0)</f>
        <v>75.270499999999998</v>
      </c>
      <c r="C829" s="10">
        <f>74.8361 * CHOOSE(CONTROL!$C$9, $D$9, 100%, $F$9) + CHOOSE(CONTROL!$C$27, 0.0021, 0)</f>
        <v>74.838200000000001</v>
      </c>
      <c r="D829" s="10">
        <f>74.8361 * CHOOSE(CONTROL!$C$9, $D$9, 100%, $F$9) + CHOOSE(CONTROL!$C$27, 0.0021, 0)</f>
        <v>74.838200000000001</v>
      </c>
      <c r="E829" s="10">
        <f>74.6995 * CHOOSE(CONTROL!$C$9, $D$9, 100%, $F$9) + CHOOSE(CONTROL!$C$27, 0.0021, 0)</f>
        <v>74.701599999999999</v>
      </c>
      <c r="F829" s="10">
        <f>74.6995 * CHOOSE(CONTROL!$C$9, $D$9, 100%, $F$9) + CHOOSE(CONTROL!$C$27, 0.0021, 0)</f>
        <v>74.701599999999999</v>
      </c>
      <c r="G829" s="10">
        <f>74.9709 * CHOOSE(CONTROL!$C$9, $D$9, 100%, $F$9) + CHOOSE(CONTROL!$C$27, 0.0021, 0)</f>
        <v>74.972999999999999</v>
      </c>
      <c r="H829" s="10">
        <f>74.8361 * CHOOSE(CONTROL!$C$9, $D$9, 100%, $F$9) + CHOOSE(CONTROL!$C$27, 0.0021, 0)</f>
        <v>74.838200000000001</v>
      </c>
      <c r="I829" s="10">
        <f>74.8361 * CHOOSE(CONTROL!$C$9, $D$9, 100%, $F$9) + CHOOSE(CONTROL!$C$27, 0.0021, 0)</f>
        <v>74.838200000000001</v>
      </c>
      <c r="J829" s="10">
        <f>74.8361 * CHOOSE(CONTROL!$C$9, $D$9, 100%, $F$9) + CHOOSE(CONTROL!$C$27, 0.0021, 0)</f>
        <v>74.838200000000001</v>
      </c>
      <c r="K829" s="10">
        <f>74.8361 * CHOOSE(CONTROL!$C$9, $D$9, 100%, $F$9) + CHOOSE(CONTROL!$C$27, 0.0021, 0)</f>
        <v>74.838200000000001</v>
      </c>
      <c r="L829" s="10"/>
    </row>
    <row r="830" spans="1:12" ht="15.75">
      <c r="A830" s="13">
        <v>66566</v>
      </c>
      <c r="B830" s="10">
        <f>74.3915 * CHOOSE(CONTROL!$C$9, $D$9, 100%, $F$9) + CHOOSE(CONTROL!$C$27, 0.0021, 0)</f>
        <v>74.393599999999992</v>
      </c>
      <c r="C830" s="10">
        <f>73.9593 * CHOOSE(CONTROL!$C$9, $D$9, 100%, $F$9) + CHOOSE(CONTROL!$C$27, 0.0021, 0)</f>
        <v>73.961399999999998</v>
      </c>
      <c r="D830" s="10">
        <f>73.9593 * CHOOSE(CONTROL!$C$9, $D$9, 100%, $F$9) + CHOOSE(CONTROL!$C$27, 0.0021, 0)</f>
        <v>73.961399999999998</v>
      </c>
      <c r="E830" s="10">
        <f>73.8226 * CHOOSE(CONTROL!$C$9, $D$9, 100%, $F$9) + CHOOSE(CONTROL!$C$27, 0.0021, 0)</f>
        <v>73.824699999999993</v>
      </c>
      <c r="F830" s="10">
        <f>73.8226 * CHOOSE(CONTROL!$C$9, $D$9, 100%, $F$9) + CHOOSE(CONTROL!$C$27, 0.0021, 0)</f>
        <v>73.824699999999993</v>
      </c>
      <c r="G830" s="10">
        <f>74.094 * CHOOSE(CONTROL!$C$9, $D$9, 100%, $F$9) + CHOOSE(CONTROL!$C$27, 0.0021, 0)</f>
        <v>74.096099999999993</v>
      </c>
      <c r="H830" s="10">
        <f>73.9593 * CHOOSE(CONTROL!$C$9, $D$9, 100%, $F$9) + CHOOSE(CONTROL!$C$27, 0.0021, 0)</f>
        <v>73.961399999999998</v>
      </c>
      <c r="I830" s="10">
        <f>73.9593 * CHOOSE(CONTROL!$C$9, $D$9, 100%, $F$9) + CHOOSE(CONTROL!$C$27, 0.0021, 0)</f>
        <v>73.961399999999998</v>
      </c>
      <c r="J830" s="10">
        <f>73.9593 * CHOOSE(CONTROL!$C$9, $D$9, 100%, $F$9) + CHOOSE(CONTROL!$C$27, 0.0021, 0)</f>
        <v>73.961399999999998</v>
      </c>
      <c r="K830" s="10">
        <f>73.9593 * CHOOSE(CONTROL!$C$9, $D$9, 100%, $F$9) + CHOOSE(CONTROL!$C$27, 0.0021, 0)</f>
        <v>73.961399999999998</v>
      </c>
      <c r="L830" s="10"/>
    </row>
    <row r="831" spans="1:12" ht="15.75">
      <c r="A831" s="13">
        <v>66596</v>
      </c>
      <c r="B831" s="10">
        <f>73.3445 * CHOOSE(CONTROL!$C$9, $D$9, 100%, $F$9) + CHOOSE(CONTROL!$C$27, 0.0021, 0)</f>
        <v>73.346599999999995</v>
      </c>
      <c r="C831" s="10">
        <f>72.9122 * CHOOSE(CONTROL!$C$9, $D$9, 100%, $F$9) + CHOOSE(CONTROL!$C$27, 0.0021, 0)</f>
        <v>72.914299999999997</v>
      </c>
      <c r="D831" s="10">
        <f>72.9122 * CHOOSE(CONTROL!$C$9, $D$9, 100%, $F$9) + CHOOSE(CONTROL!$C$27, 0.0021, 0)</f>
        <v>72.914299999999997</v>
      </c>
      <c r="E831" s="10">
        <f>72.7756 * CHOOSE(CONTROL!$C$9, $D$9, 100%, $F$9) + CHOOSE(CONTROL!$C$27, 0.0021, 0)</f>
        <v>72.777699999999996</v>
      </c>
      <c r="F831" s="10">
        <f>72.7756 * CHOOSE(CONTROL!$C$9, $D$9, 100%, $F$9) + CHOOSE(CONTROL!$C$27, 0.0021, 0)</f>
        <v>72.777699999999996</v>
      </c>
      <c r="G831" s="10">
        <f>73.047 * CHOOSE(CONTROL!$C$9, $D$9, 100%, $F$9) + CHOOSE(CONTROL!$C$27, 0.0021, 0)</f>
        <v>73.049099999999996</v>
      </c>
      <c r="H831" s="10">
        <f>72.9122 * CHOOSE(CONTROL!$C$9, $D$9, 100%, $F$9) + CHOOSE(CONTROL!$C$27, 0.0021, 0)</f>
        <v>72.914299999999997</v>
      </c>
      <c r="I831" s="10">
        <f>72.9122 * CHOOSE(CONTROL!$C$9, $D$9, 100%, $F$9) + CHOOSE(CONTROL!$C$27, 0.0021, 0)</f>
        <v>72.914299999999997</v>
      </c>
      <c r="J831" s="10">
        <f>72.9122 * CHOOSE(CONTROL!$C$9, $D$9, 100%, $F$9) + CHOOSE(CONTROL!$C$27, 0.0021, 0)</f>
        <v>72.914299999999997</v>
      </c>
      <c r="K831" s="10">
        <f>72.9122 * CHOOSE(CONTROL!$C$9, $D$9, 100%, $F$9) + CHOOSE(CONTROL!$C$27, 0.0021, 0)</f>
        <v>72.914299999999997</v>
      </c>
      <c r="L831" s="10"/>
    </row>
    <row r="832" spans="1:12" ht="15.75">
      <c r="A832" s="13">
        <v>66627</v>
      </c>
      <c r="B832" s="10">
        <f>74.8366 * CHOOSE(CONTROL!$C$9, $D$9, 100%, $F$9) + CHOOSE(CONTROL!$C$27, 0.0021, 0)</f>
        <v>74.838700000000003</v>
      </c>
      <c r="C832" s="10">
        <f>74.4044 * CHOOSE(CONTROL!$C$9, $D$9, 100%, $F$9) + CHOOSE(CONTROL!$C$27, 0.0021, 0)</f>
        <v>74.406499999999994</v>
      </c>
      <c r="D832" s="10">
        <f>74.4044 * CHOOSE(CONTROL!$C$9, $D$9, 100%, $F$9) + CHOOSE(CONTROL!$C$27, 0.0021, 0)</f>
        <v>74.406499999999994</v>
      </c>
      <c r="E832" s="10">
        <f>74.2677 * CHOOSE(CONTROL!$C$9, $D$9, 100%, $F$9) + CHOOSE(CONTROL!$C$27, 0.0021, 0)</f>
        <v>74.269800000000004</v>
      </c>
      <c r="F832" s="10">
        <f>74.2677 * CHOOSE(CONTROL!$C$9, $D$9, 100%, $F$9) + CHOOSE(CONTROL!$C$27, 0.0021, 0)</f>
        <v>74.269800000000004</v>
      </c>
      <c r="G832" s="10">
        <f>74.5391 * CHOOSE(CONTROL!$C$9, $D$9, 100%, $F$9) + CHOOSE(CONTROL!$C$27, 0.0021, 0)</f>
        <v>74.541200000000003</v>
      </c>
      <c r="H832" s="10">
        <f>74.4044 * CHOOSE(CONTROL!$C$9, $D$9, 100%, $F$9) + CHOOSE(CONTROL!$C$27, 0.0021, 0)</f>
        <v>74.406499999999994</v>
      </c>
      <c r="I832" s="10">
        <f>74.4044 * CHOOSE(CONTROL!$C$9, $D$9, 100%, $F$9) + CHOOSE(CONTROL!$C$27, 0.0021, 0)</f>
        <v>74.406499999999994</v>
      </c>
      <c r="J832" s="10">
        <f>74.4044 * CHOOSE(CONTROL!$C$9, $D$9, 100%, $F$9) + CHOOSE(CONTROL!$C$27, 0.0021, 0)</f>
        <v>74.406499999999994</v>
      </c>
      <c r="K832" s="10">
        <f>74.4044 * CHOOSE(CONTROL!$C$9, $D$9, 100%, $F$9) + CHOOSE(CONTROL!$C$27, 0.0021, 0)</f>
        <v>74.406499999999994</v>
      </c>
      <c r="L832" s="10"/>
    </row>
    <row r="833" spans="1:12" ht="15.75">
      <c r="A833" s="13">
        <v>66657</v>
      </c>
      <c r="B833" s="10">
        <f>75.7303 * CHOOSE(CONTROL!$C$9, $D$9, 100%, $F$9) + CHOOSE(CONTROL!$C$27, 0.0021, 0)</f>
        <v>75.732399999999998</v>
      </c>
      <c r="C833" s="10">
        <f>75.2981 * CHOOSE(CONTROL!$C$9, $D$9, 100%, $F$9) + CHOOSE(CONTROL!$C$27, 0.0021, 0)</f>
        <v>75.300200000000004</v>
      </c>
      <c r="D833" s="10">
        <f>75.2981 * CHOOSE(CONTROL!$C$9, $D$9, 100%, $F$9) + CHOOSE(CONTROL!$C$27, 0.0021, 0)</f>
        <v>75.300200000000004</v>
      </c>
      <c r="E833" s="10">
        <f>75.1614 * CHOOSE(CONTROL!$C$9, $D$9, 100%, $F$9) + CHOOSE(CONTROL!$C$27, 0.0021, 0)</f>
        <v>75.163499999999999</v>
      </c>
      <c r="F833" s="10">
        <f>75.1614 * CHOOSE(CONTROL!$C$9, $D$9, 100%, $F$9) + CHOOSE(CONTROL!$C$27, 0.0021, 0)</f>
        <v>75.163499999999999</v>
      </c>
      <c r="G833" s="10">
        <f>75.4328 * CHOOSE(CONTROL!$C$9, $D$9, 100%, $F$9) + CHOOSE(CONTROL!$C$27, 0.0021, 0)</f>
        <v>75.434899999999999</v>
      </c>
      <c r="H833" s="10">
        <f>75.2981 * CHOOSE(CONTROL!$C$9, $D$9, 100%, $F$9) + CHOOSE(CONTROL!$C$27, 0.0021, 0)</f>
        <v>75.300200000000004</v>
      </c>
      <c r="I833" s="10">
        <f>75.2981 * CHOOSE(CONTROL!$C$9, $D$9, 100%, $F$9) + CHOOSE(CONTROL!$C$27, 0.0021, 0)</f>
        <v>75.300200000000004</v>
      </c>
      <c r="J833" s="10">
        <f>75.2981 * CHOOSE(CONTROL!$C$9, $D$9, 100%, $F$9) + CHOOSE(CONTROL!$C$27, 0.0021, 0)</f>
        <v>75.300200000000004</v>
      </c>
      <c r="K833" s="10">
        <f>75.2981 * CHOOSE(CONTROL!$C$9, $D$9, 100%, $F$9) + CHOOSE(CONTROL!$C$27, 0.0021, 0)</f>
        <v>75.300200000000004</v>
      </c>
      <c r="L833" s="10"/>
    </row>
    <row r="834" spans="1:12" ht="15.75">
      <c r="A834" s="13">
        <v>66688</v>
      </c>
      <c r="B834" s="10">
        <f>77.2046 * CHOOSE(CONTROL!$C$9, $D$9, 100%, $F$9) + CHOOSE(CONTROL!$C$27, 0.0021, 0)</f>
        <v>77.206699999999998</v>
      </c>
      <c r="C834" s="10">
        <f>76.7724 * CHOOSE(CONTROL!$C$9, $D$9, 100%, $F$9) + CHOOSE(CONTROL!$C$27, 0.0021, 0)</f>
        <v>76.774500000000003</v>
      </c>
      <c r="D834" s="10">
        <f>76.7724 * CHOOSE(CONTROL!$C$9, $D$9, 100%, $F$9) + CHOOSE(CONTROL!$C$27, 0.0021, 0)</f>
        <v>76.774500000000003</v>
      </c>
      <c r="E834" s="10">
        <f>76.6357 * CHOOSE(CONTROL!$C$9, $D$9, 100%, $F$9) + CHOOSE(CONTROL!$C$27, 0.0021, 0)</f>
        <v>76.637799999999999</v>
      </c>
      <c r="F834" s="10">
        <f>76.6357 * CHOOSE(CONTROL!$C$9, $D$9, 100%, $F$9) + CHOOSE(CONTROL!$C$27, 0.0021, 0)</f>
        <v>76.637799999999999</v>
      </c>
      <c r="G834" s="10">
        <f>76.9071 * CHOOSE(CONTROL!$C$9, $D$9, 100%, $F$9) + CHOOSE(CONTROL!$C$27, 0.0021, 0)</f>
        <v>76.909199999999998</v>
      </c>
      <c r="H834" s="10">
        <f>76.7724 * CHOOSE(CONTROL!$C$9, $D$9, 100%, $F$9) + CHOOSE(CONTROL!$C$27, 0.0021, 0)</f>
        <v>76.774500000000003</v>
      </c>
      <c r="I834" s="10">
        <f>76.7724 * CHOOSE(CONTROL!$C$9, $D$9, 100%, $F$9) + CHOOSE(CONTROL!$C$27, 0.0021, 0)</f>
        <v>76.774500000000003</v>
      </c>
      <c r="J834" s="10">
        <f>76.7724 * CHOOSE(CONTROL!$C$9, $D$9, 100%, $F$9) + CHOOSE(CONTROL!$C$27, 0.0021, 0)</f>
        <v>76.774500000000003</v>
      </c>
      <c r="K834" s="10">
        <f>76.7724 * CHOOSE(CONTROL!$C$9, $D$9, 100%, $F$9) + CHOOSE(CONTROL!$C$27, 0.0021, 0)</f>
        <v>76.774500000000003</v>
      </c>
      <c r="L834" s="10"/>
    </row>
    <row r="835" spans="1:12" ht="15.75">
      <c r="A835" s="13">
        <v>66719</v>
      </c>
      <c r="B835" s="10">
        <f>77.6547 * CHOOSE(CONTROL!$C$9, $D$9, 100%, $F$9) + CHOOSE(CONTROL!$C$27, 0.0021, 0)</f>
        <v>77.656800000000004</v>
      </c>
      <c r="C835" s="10">
        <f>77.2224 * CHOOSE(CONTROL!$C$9, $D$9, 100%, $F$9) + CHOOSE(CONTROL!$C$27, 0.0021, 0)</f>
        <v>77.224499999999992</v>
      </c>
      <c r="D835" s="10">
        <f>77.2224 * CHOOSE(CONTROL!$C$9, $D$9, 100%, $F$9) + CHOOSE(CONTROL!$C$27, 0.0021, 0)</f>
        <v>77.224499999999992</v>
      </c>
      <c r="E835" s="10">
        <f>77.0857 * CHOOSE(CONTROL!$C$9, $D$9, 100%, $F$9) + CHOOSE(CONTROL!$C$27, 0.0021, 0)</f>
        <v>77.087800000000001</v>
      </c>
      <c r="F835" s="10">
        <f>77.0857 * CHOOSE(CONTROL!$C$9, $D$9, 100%, $F$9) + CHOOSE(CONTROL!$C$27, 0.0021, 0)</f>
        <v>77.087800000000001</v>
      </c>
      <c r="G835" s="10">
        <f>77.3571 * CHOOSE(CONTROL!$C$9, $D$9, 100%, $F$9) + CHOOSE(CONTROL!$C$27, 0.0021, 0)</f>
        <v>77.359200000000001</v>
      </c>
      <c r="H835" s="10">
        <f>77.2224 * CHOOSE(CONTROL!$C$9, $D$9, 100%, $F$9) + CHOOSE(CONTROL!$C$27, 0.0021, 0)</f>
        <v>77.224499999999992</v>
      </c>
      <c r="I835" s="10">
        <f>77.2224 * CHOOSE(CONTROL!$C$9, $D$9, 100%, $F$9) + CHOOSE(CONTROL!$C$27, 0.0021, 0)</f>
        <v>77.224499999999992</v>
      </c>
      <c r="J835" s="10">
        <f>77.2224 * CHOOSE(CONTROL!$C$9, $D$9, 100%, $F$9) + CHOOSE(CONTROL!$C$27, 0.0021, 0)</f>
        <v>77.224499999999992</v>
      </c>
      <c r="K835" s="10">
        <f>77.2224 * CHOOSE(CONTROL!$C$9, $D$9, 100%, $F$9) + CHOOSE(CONTROL!$C$27, 0.0021, 0)</f>
        <v>77.224499999999992</v>
      </c>
      <c r="L835" s="10"/>
    </row>
    <row r="836" spans="1:12" ht="15.75">
      <c r="A836" s="13">
        <v>66749</v>
      </c>
      <c r="B836" s="10">
        <f>79.1871 * CHOOSE(CONTROL!$C$9, $D$9, 100%, $F$9) + CHOOSE(CONTROL!$C$27, 0.0021, 0)</f>
        <v>79.1892</v>
      </c>
      <c r="C836" s="10">
        <f>78.7549 * CHOOSE(CONTROL!$C$9, $D$9, 100%, $F$9) + CHOOSE(CONTROL!$C$27, 0.0021, 0)</f>
        <v>78.757000000000005</v>
      </c>
      <c r="D836" s="10">
        <f>78.7549 * CHOOSE(CONTROL!$C$9, $D$9, 100%, $F$9) + CHOOSE(CONTROL!$C$27, 0.0021, 0)</f>
        <v>78.757000000000005</v>
      </c>
      <c r="E836" s="10">
        <f>78.6182 * CHOOSE(CONTROL!$C$9, $D$9, 100%, $F$9) + CHOOSE(CONTROL!$C$27, 0.0021, 0)</f>
        <v>78.6203</v>
      </c>
      <c r="F836" s="10">
        <f>78.6182 * CHOOSE(CONTROL!$C$9, $D$9, 100%, $F$9) + CHOOSE(CONTROL!$C$27, 0.0021, 0)</f>
        <v>78.6203</v>
      </c>
      <c r="G836" s="10">
        <f>78.8896 * CHOOSE(CONTROL!$C$9, $D$9, 100%, $F$9) + CHOOSE(CONTROL!$C$27, 0.0021, 0)</f>
        <v>78.8917</v>
      </c>
      <c r="H836" s="10">
        <f>78.7549 * CHOOSE(CONTROL!$C$9, $D$9, 100%, $F$9) + CHOOSE(CONTROL!$C$27, 0.0021, 0)</f>
        <v>78.757000000000005</v>
      </c>
      <c r="I836" s="10">
        <f>78.7549 * CHOOSE(CONTROL!$C$9, $D$9, 100%, $F$9) + CHOOSE(CONTROL!$C$27, 0.0021, 0)</f>
        <v>78.757000000000005</v>
      </c>
      <c r="J836" s="10">
        <f>78.7549 * CHOOSE(CONTROL!$C$9, $D$9, 100%, $F$9) + CHOOSE(CONTROL!$C$27, 0.0021, 0)</f>
        <v>78.757000000000005</v>
      </c>
      <c r="K836" s="10">
        <f>78.7549 * CHOOSE(CONTROL!$C$9, $D$9, 100%, $F$9) + CHOOSE(CONTROL!$C$27, 0.0021, 0)</f>
        <v>78.757000000000005</v>
      </c>
      <c r="L836" s="10"/>
    </row>
    <row r="837" spans="1:12" ht="15.75">
      <c r="A837" s="13">
        <v>66780</v>
      </c>
      <c r="B837" s="10">
        <f>81.127 * CHOOSE(CONTROL!$C$9, $D$9, 100%, $F$9) + CHOOSE(CONTROL!$C$27, 0.0021, 0)</f>
        <v>81.129099999999994</v>
      </c>
      <c r="C837" s="10">
        <f>80.6948 * CHOOSE(CONTROL!$C$9, $D$9, 100%, $F$9) + CHOOSE(CONTROL!$C$27, 0.0021, 0)</f>
        <v>80.696899999999999</v>
      </c>
      <c r="D837" s="10">
        <f>80.6948 * CHOOSE(CONTROL!$C$9, $D$9, 100%, $F$9) + CHOOSE(CONTROL!$C$27, 0.0021, 0)</f>
        <v>80.696899999999999</v>
      </c>
      <c r="E837" s="10">
        <f>80.5581 * CHOOSE(CONTROL!$C$9, $D$9, 100%, $F$9) + CHOOSE(CONTROL!$C$27, 0.0021, 0)</f>
        <v>80.560199999999995</v>
      </c>
      <c r="F837" s="10">
        <f>80.5581 * CHOOSE(CONTROL!$C$9, $D$9, 100%, $F$9) + CHOOSE(CONTROL!$C$27, 0.0021, 0)</f>
        <v>80.560199999999995</v>
      </c>
      <c r="G837" s="10">
        <f>80.8295 * CHOOSE(CONTROL!$C$9, $D$9, 100%, $F$9) + CHOOSE(CONTROL!$C$27, 0.0021, 0)</f>
        <v>80.831599999999995</v>
      </c>
      <c r="H837" s="10">
        <f>80.6948 * CHOOSE(CONTROL!$C$9, $D$9, 100%, $F$9) + CHOOSE(CONTROL!$C$27, 0.0021, 0)</f>
        <v>80.696899999999999</v>
      </c>
      <c r="I837" s="10">
        <f>80.6948 * CHOOSE(CONTROL!$C$9, $D$9, 100%, $F$9) + CHOOSE(CONTROL!$C$27, 0.0021, 0)</f>
        <v>80.696899999999999</v>
      </c>
      <c r="J837" s="10">
        <f>80.6948 * CHOOSE(CONTROL!$C$9, $D$9, 100%, $F$9) + CHOOSE(CONTROL!$C$27, 0.0021, 0)</f>
        <v>80.696899999999999</v>
      </c>
      <c r="K837" s="10">
        <f>80.6948 * CHOOSE(CONTROL!$C$9, $D$9, 100%, $F$9) + CHOOSE(CONTROL!$C$27, 0.0021, 0)</f>
        <v>80.696899999999999</v>
      </c>
      <c r="L837" s="10"/>
    </row>
    <row r="838" spans="1:12" ht="15.75">
      <c r="A838" s="13">
        <v>66810</v>
      </c>
      <c r="B838" s="10">
        <f>81.3091 * CHOOSE(CONTROL!$C$9, $D$9, 100%, $F$9) + CHOOSE(CONTROL!$C$27, 0.0021, 0)</f>
        <v>81.311199999999999</v>
      </c>
      <c r="C838" s="10">
        <f>80.8769 * CHOOSE(CONTROL!$C$9, $D$9, 100%, $F$9) + CHOOSE(CONTROL!$C$27, 0.0021, 0)</f>
        <v>80.879000000000005</v>
      </c>
      <c r="D838" s="10">
        <f>80.8769 * CHOOSE(CONTROL!$C$9, $D$9, 100%, $F$9) + CHOOSE(CONTROL!$C$27, 0.0021, 0)</f>
        <v>80.879000000000005</v>
      </c>
      <c r="E838" s="10">
        <f>80.7402 * CHOOSE(CONTROL!$C$9, $D$9, 100%, $F$9) + CHOOSE(CONTROL!$C$27, 0.0021, 0)</f>
        <v>80.7423</v>
      </c>
      <c r="F838" s="10">
        <f>80.7402 * CHOOSE(CONTROL!$C$9, $D$9, 100%, $F$9) + CHOOSE(CONTROL!$C$27, 0.0021, 0)</f>
        <v>80.7423</v>
      </c>
      <c r="G838" s="10">
        <f>81.0116 * CHOOSE(CONTROL!$C$9, $D$9, 100%, $F$9) + CHOOSE(CONTROL!$C$27, 0.0021, 0)</f>
        <v>81.0137</v>
      </c>
      <c r="H838" s="10">
        <f>80.8769 * CHOOSE(CONTROL!$C$9, $D$9, 100%, $F$9) + CHOOSE(CONTROL!$C$27, 0.0021, 0)</f>
        <v>80.879000000000005</v>
      </c>
      <c r="I838" s="10">
        <f>80.8769 * CHOOSE(CONTROL!$C$9, $D$9, 100%, $F$9) + CHOOSE(CONTROL!$C$27, 0.0021, 0)</f>
        <v>80.879000000000005</v>
      </c>
      <c r="J838" s="10">
        <f>80.8769 * CHOOSE(CONTROL!$C$9, $D$9, 100%, $F$9) + CHOOSE(CONTROL!$C$27, 0.0021, 0)</f>
        <v>80.879000000000005</v>
      </c>
      <c r="K838" s="10">
        <f>80.8769 * CHOOSE(CONTROL!$C$9, $D$9, 100%, $F$9) + CHOOSE(CONTROL!$C$27, 0.0021, 0)</f>
        <v>80.879000000000005</v>
      </c>
      <c r="L838" s="10"/>
    </row>
    <row r="839" spans="1:12" ht="15.75">
      <c r="A839" s="13">
        <v>66841</v>
      </c>
      <c r="B839" s="10">
        <f>79.7598 * CHOOSE(CONTROL!$C$9, $D$9, 100%, $F$9) + CHOOSE(CONTROL!$C$27, 0.0021, 0)</f>
        <v>79.761899999999997</v>
      </c>
      <c r="C839" s="10">
        <f>79.3275 * CHOOSE(CONTROL!$C$9, $D$9, 100%, $F$9) + CHOOSE(CONTROL!$C$27, 0.0021, 0)</f>
        <v>79.329599999999999</v>
      </c>
      <c r="D839" s="10">
        <f>79.3275 * CHOOSE(CONTROL!$C$9, $D$9, 100%, $F$9) + CHOOSE(CONTROL!$C$27, 0.0021, 0)</f>
        <v>79.329599999999999</v>
      </c>
      <c r="E839" s="10">
        <f>79.1909 * CHOOSE(CONTROL!$C$9, $D$9, 100%, $F$9) + CHOOSE(CONTROL!$C$27, 0.0021, 0)</f>
        <v>79.192999999999998</v>
      </c>
      <c r="F839" s="10">
        <f>79.1909 * CHOOSE(CONTROL!$C$9, $D$9, 100%, $F$9) + CHOOSE(CONTROL!$C$27, 0.0021, 0)</f>
        <v>79.192999999999998</v>
      </c>
      <c r="G839" s="10">
        <f>79.4623 * CHOOSE(CONTROL!$C$9, $D$9, 100%, $F$9) + CHOOSE(CONTROL!$C$27, 0.0021, 0)</f>
        <v>79.464399999999998</v>
      </c>
      <c r="H839" s="10">
        <f>79.3275 * CHOOSE(CONTROL!$C$9, $D$9, 100%, $F$9) + CHOOSE(CONTROL!$C$27, 0.0021, 0)</f>
        <v>79.329599999999999</v>
      </c>
      <c r="I839" s="10">
        <f>79.3275 * CHOOSE(CONTROL!$C$9, $D$9, 100%, $F$9) + CHOOSE(CONTROL!$C$27, 0.0021, 0)</f>
        <v>79.329599999999999</v>
      </c>
      <c r="J839" s="10">
        <f>79.3275 * CHOOSE(CONTROL!$C$9, $D$9, 100%, $F$9) + CHOOSE(CONTROL!$C$27, 0.0021, 0)</f>
        <v>79.329599999999999</v>
      </c>
      <c r="K839" s="10">
        <f>79.3275 * CHOOSE(CONTROL!$C$9, $D$9, 100%, $F$9) + CHOOSE(CONTROL!$C$27, 0.0021, 0)</f>
        <v>79.329599999999999</v>
      </c>
      <c r="L839" s="10"/>
    </row>
    <row r="840" spans="1:12" ht="15.75">
      <c r="A840" s="13">
        <v>66872</v>
      </c>
      <c r="B840" s="10">
        <f>78.5736 * CHOOSE(CONTROL!$C$9, $D$9, 100%, $F$9) + CHOOSE(CONTROL!$C$27, 0.0021, 0)</f>
        <v>78.575699999999998</v>
      </c>
      <c r="C840" s="10">
        <f>78.1413 * CHOOSE(CONTROL!$C$9, $D$9, 100%, $F$9) + CHOOSE(CONTROL!$C$27, 0.0021, 0)</f>
        <v>78.1434</v>
      </c>
      <c r="D840" s="10">
        <f>78.1413 * CHOOSE(CONTROL!$C$9, $D$9, 100%, $F$9) + CHOOSE(CONTROL!$C$27, 0.0021, 0)</f>
        <v>78.1434</v>
      </c>
      <c r="E840" s="10">
        <f>78.0047 * CHOOSE(CONTROL!$C$9, $D$9, 100%, $F$9) + CHOOSE(CONTROL!$C$27, 0.0021, 0)</f>
        <v>78.006799999999998</v>
      </c>
      <c r="F840" s="10">
        <f>78.0047 * CHOOSE(CONTROL!$C$9, $D$9, 100%, $F$9) + CHOOSE(CONTROL!$C$27, 0.0021, 0)</f>
        <v>78.006799999999998</v>
      </c>
      <c r="G840" s="10">
        <f>78.276 * CHOOSE(CONTROL!$C$9, $D$9, 100%, $F$9) + CHOOSE(CONTROL!$C$27, 0.0021, 0)</f>
        <v>78.278099999999995</v>
      </c>
      <c r="H840" s="10">
        <f>78.1413 * CHOOSE(CONTROL!$C$9, $D$9, 100%, $F$9) + CHOOSE(CONTROL!$C$27, 0.0021, 0)</f>
        <v>78.1434</v>
      </c>
      <c r="I840" s="10">
        <f>78.1413 * CHOOSE(CONTROL!$C$9, $D$9, 100%, $F$9) + CHOOSE(CONTROL!$C$27, 0.0021, 0)</f>
        <v>78.1434</v>
      </c>
      <c r="J840" s="10">
        <f>78.1413 * CHOOSE(CONTROL!$C$9, $D$9, 100%, $F$9) + CHOOSE(CONTROL!$C$27, 0.0021, 0)</f>
        <v>78.1434</v>
      </c>
      <c r="K840" s="10">
        <f>78.1413 * CHOOSE(CONTROL!$C$9, $D$9, 100%, $F$9) + CHOOSE(CONTROL!$C$27, 0.0021, 0)</f>
        <v>78.1434</v>
      </c>
      <c r="L840" s="10"/>
    </row>
    <row r="841" spans="1:12" ht="15.75">
      <c r="A841" s="13">
        <v>66900</v>
      </c>
      <c r="B841" s="10">
        <f>76.4159 * CHOOSE(CONTROL!$C$9, $D$9, 100%, $F$9) + CHOOSE(CONTROL!$C$27, 0.0021, 0)</f>
        <v>76.417999999999992</v>
      </c>
      <c r="C841" s="10">
        <f>75.9837 * CHOOSE(CONTROL!$C$9, $D$9, 100%, $F$9) + CHOOSE(CONTROL!$C$27, 0.0021, 0)</f>
        <v>75.985799999999998</v>
      </c>
      <c r="D841" s="10">
        <f>75.9837 * CHOOSE(CONTROL!$C$9, $D$9, 100%, $F$9) + CHOOSE(CONTROL!$C$27, 0.0021, 0)</f>
        <v>75.985799999999998</v>
      </c>
      <c r="E841" s="10">
        <f>75.847 * CHOOSE(CONTROL!$C$9, $D$9, 100%, $F$9) + CHOOSE(CONTROL!$C$27, 0.0021, 0)</f>
        <v>75.849099999999993</v>
      </c>
      <c r="F841" s="10">
        <f>75.847 * CHOOSE(CONTROL!$C$9, $D$9, 100%, $F$9) + CHOOSE(CONTROL!$C$27, 0.0021, 0)</f>
        <v>75.849099999999993</v>
      </c>
      <c r="G841" s="10">
        <f>76.1184 * CHOOSE(CONTROL!$C$9, $D$9, 100%, $F$9) + CHOOSE(CONTROL!$C$27, 0.0021, 0)</f>
        <v>76.120499999999993</v>
      </c>
      <c r="H841" s="10">
        <f>75.9837 * CHOOSE(CONTROL!$C$9, $D$9, 100%, $F$9) + CHOOSE(CONTROL!$C$27, 0.0021, 0)</f>
        <v>75.985799999999998</v>
      </c>
      <c r="I841" s="10">
        <f>75.9837 * CHOOSE(CONTROL!$C$9, $D$9, 100%, $F$9) + CHOOSE(CONTROL!$C$27, 0.0021, 0)</f>
        <v>75.985799999999998</v>
      </c>
      <c r="J841" s="10">
        <f>75.9837 * CHOOSE(CONTROL!$C$9, $D$9, 100%, $F$9) + CHOOSE(CONTROL!$C$27, 0.0021, 0)</f>
        <v>75.985799999999998</v>
      </c>
      <c r="K841" s="10">
        <f>75.9837 * CHOOSE(CONTROL!$C$9, $D$9, 100%, $F$9) + CHOOSE(CONTROL!$C$27, 0.0021, 0)</f>
        <v>75.985799999999998</v>
      </c>
      <c r="L841" s="10"/>
    </row>
    <row r="842" spans="1:12" ht="15.75">
      <c r="A842" s="13">
        <v>66931</v>
      </c>
      <c r="B842" s="10">
        <f>75.5253 * CHOOSE(CONTROL!$C$9, $D$9, 100%, $F$9) + CHOOSE(CONTROL!$C$27, 0.0021, 0)</f>
        <v>75.5274</v>
      </c>
      <c r="C842" s="10">
        <f>75.093 * CHOOSE(CONTROL!$C$9, $D$9, 100%, $F$9) + CHOOSE(CONTROL!$C$27, 0.0021, 0)</f>
        <v>75.095100000000002</v>
      </c>
      <c r="D842" s="10">
        <f>75.093 * CHOOSE(CONTROL!$C$9, $D$9, 100%, $F$9) + CHOOSE(CONTROL!$C$27, 0.0021, 0)</f>
        <v>75.095100000000002</v>
      </c>
      <c r="E842" s="10">
        <f>74.9563 * CHOOSE(CONTROL!$C$9, $D$9, 100%, $F$9) + CHOOSE(CONTROL!$C$27, 0.0021, 0)</f>
        <v>74.958399999999997</v>
      </c>
      <c r="F842" s="10">
        <f>74.9563 * CHOOSE(CONTROL!$C$9, $D$9, 100%, $F$9) + CHOOSE(CONTROL!$C$27, 0.0021, 0)</f>
        <v>74.958399999999997</v>
      </c>
      <c r="G842" s="10">
        <f>75.2277 * CHOOSE(CONTROL!$C$9, $D$9, 100%, $F$9) + CHOOSE(CONTROL!$C$27, 0.0021, 0)</f>
        <v>75.229799999999997</v>
      </c>
      <c r="H842" s="10">
        <f>75.093 * CHOOSE(CONTROL!$C$9, $D$9, 100%, $F$9) + CHOOSE(CONTROL!$C$27, 0.0021, 0)</f>
        <v>75.095100000000002</v>
      </c>
      <c r="I842" s="10">
        <f>75.093 * CHOOSE(CONTROL!$C$9, $D$9, 100%, $F$9) + CHOOSE(CONTROL!$C$27, 0.0021, 0)</f>
        <v>75.095100000000002</v>
      </c>
      <c r="J842" s="10">
        <f>75.093 * CHOOSE(CONTROL!$C$9, $D$9, 100%, $F$9) + CHOOSE(CONTROL!$C$27, 0.0021, 0)</f>
        <v>75.095100000000002</v>
      </c>
      <c r="K842" s="10">
        <f>75.093 * CHOOSE(CONTROL!$C$9, $D$9, 100%, $F$9) + CHOOSE(CONTROL!$C$27, 0.0021, 0)</f>
        <v>75.095100000000002</v>
      </c>
      <c r="L842" s="10"/>
    </row>
    <row r="843" spans="1:12" ht="15.75">
      <c r="A843" s="13">
        <v>66961</v>
      </c>
      <c r="B843" s="10">
        <f>74.4618 * CHOOSE(CONTROL!$C$9, $D$9, 100%, $F$9) + CHOOSE(CONTROL!$C$27, 0.0021, 0)</f>
        <v>74.463899999999995</v>
      </c>
      <c r="C843" s="10">
        <f>74.0295 * CHOOSE(CONTROL!$C$9, $D$9, 100%, $F$9) + CHOOSE(CONTROL!$C$27, 0.0021, 0)</f>
        <v>74.031599999999997</v>
      </c>
      <c r="D843" s="10">
        <f>74.0295 * CHOOSE(CONTROL!$C$9, $D$9, 100%, $F$9) + CHOOSE(CONTROL!$C$27, 0.0021, 0)</f>
        <v>74.031599999999997</v>
      </c>
      <c r="E843" s="10">
        <f>73.8929 * CHOOSE(CONTROL!$C$9, $D$9, 100%, $F$9) + CHOOSE(CONTROL!$C$27, 0.0021, 0)</f>
        <v>73.894999999999996</v>
      </c>
      <c r="F843" s="10">
        <f>73.8929 * CHOOSE(CONTROL!$C$9, $D$9, 100%, $F$9) + CHOOSE(CONTROL!$C$27, 0.0021, 0)</f>
        <v>73.894999999999996</v>
      </c>
      <c r="G843" s="10">
        <f>74.1642 * CHOOSE(CONTROL!$C$9, $D$9, 100%, $F$9) + CHOOSE(CONTROL!$C$27, 0.0021, 0)</f>
        <v>74.166299999999993</v>
      </c>
      <c r="H843" s="10">
        <f>74.0295 * CHOOSE(CONTROL!$C$9, $D$9, 100%, $F$9) + CHOOSE(CONTROL!$C$27, 0.0021, 0)</f>
        <v>74.031599999999997</v>
      </c>
      <c r="I843" s="10">
        <f>74.0295 * CHOOSE(CONTROL!$C$9, $D$9, 100%, $F$9) + CHOOSE(CONTROL!$C$27, 0.0021, 0)</f>
        <v>74.031599999999997</v>
      </c>
      <c r="J843" s="10">
        <f>74.0295 * CHOOSE(CONTROL!$C$9, $D$9, 100%, $F$9) + CHOOSE(CONTROL!$C$27, 0.0021, 0)</f>
        <v>74.031599999999997</v>
      </c>
      <c r="K843" s="10">
        <f>74.0295 * CHOOSE(CONTROL!$C$9, $D$9, 100%, $F$9) + CHOOSE(CONTROL!$C$27, 0.0021, 0)</f>
        <v>74.031599999999997</v>
      </c>
      <c r="L843" s="10"/>
    </row>
    <row r="844" spans="1:12" ht="15.75">
      <c r="A844" s="13">
        <v>66992</v>
      </c>
      <c r="B844" s="10">
        <f>75.9774 * CHOOSE(CONTROL!$C$9, $D$9, 100%, $F$9) + CHOOSE(CONTROL!$C$27, 0.0021, 0)</f>
        <v>75.979500000000002</v>
      </c>
      <c r="C844" s="10">
        <f>75.5451 * CHOOSE(CONTROL!$C$9, $D$9, 100%, $F$9) + CHOOSE(CONTROL!$C$27, 0.0021, 0)</f>
        <v>75.547200000000004</v>
      </c>
      <c r="D844" s="10">
        <f>75.5451 * CHOOSE(CONTROL!$C$9, $D$9, 100%, $F$9) + CHOOSE(CONTROL!$C$27, 0.0021, 0)</f>
        <v>75.547200000000004</v>
      </c>
      <c r="E844" s="10">
        <f>75.4085 * CHOOSE(CONTROL!$C$9, $D$9, 100%, $F$9) + CHOOSE(CONTROL!$C$27, 0.0021, 0)</f>
        <v>75.410600000000002</v>
      </c>
      <c r="F844" s="10">
        <f>75.4085 * CHOOSE(CONTROL!$C$9, $D$9, 100%, $F$9) + CHOOSE(CONTROL!$C$27, 0.0021, 0)</f>
        <v>75.410600000000002</v>
      </c>
      <c r="G844" s="10">
        <f>75.6798 * CHOOSE(CONTROL!$C$9, $D$9, 100%, $F$9) + CHOOSE(CONTROL!$C$27, 0.0021, 0)</f>
        <v>75.681899999999999</v>
      </c>
      <c r="H844" s="10">
        <f>75.5451 * CHOOSE(CONTROL!$C$9, $D$9, 100%, $F$9) + CHOOSE(CONTROL!$C$27, 0.0021, 0)</f>
        <v>75.547200000000004</v>
      </c>
      <c r="I844" s="10">
        <f>75.5451 * CHOOSE(CONTROL!$C$9, $D$9, 100%, $F$9) + CHOOSE(CONTROL!$C$27, 0.0021, 0)</f>
        <v>75.547200000000004</v>
      </c>
      <c r="J844" s="10">
        <f>75.5451 * CHOOSE(CONTROL!$C$9, $D$9, 100%, $F$9) + CHOOSE(CONTROL!$C$27, 0.0021, 0)</f>
        <v>75.547200000000004</v>
      </c>
      <c r="K844" s="10">
        <f>75.5451 * CHOOSE(CONTROL!$C$9, $D$9, 100%, $F$9) + CHOOSE(CONTROL!$C$27, 0.0021, 0)</f>
        <v>75.547200000000004</v>
      </c>
      <c r="L844" s="10"/>
    </row>
    <row r="845" spans="1:12" ht="15.75">
      <c r="A845" s="13">
        <v>67022</v>
      </c>
      <c r="B845" s="10">
        <f>76.8851 * CHOOSE(CONTROL!$C$9, $D$9, 100%, $F$9) + CHOOSE(CONTROL!$C$27, 0.0021, 0)</f>
        <v>76.887199999999993</v>
      </c>
      <c r="C845" s="10">
        <f>76.4529 * CHOOSE(CONTROL!$C$9, $D$9, 100%, $F$9) + CHOOSE(CONTROL!$C$27, 0.0021, 0)</f>
        <v>76.454999999999998</v>
      </c>
      <c r="D845" s="10">
        <f>76.4529 * CHOOSE(CONTROL!$C$9, $D$9, 100%, $F$9) + CHOOSE(CONTROL!$C$27, 0.0021, 0)</f>
        <v>76.454999999999998</v>
      </c>
      <c r="E845" s="10">
        <f>76.3162 * CHOOSE(CONTROL!$C$9, $D$9, 100%, $F$9) + CHOOSE(CONTROL!$C$27, 0.0021, 0)</f>
        <v>76.318299999999994</v>
      </c>
      <c r="F845" s="10">
        <f>76.3162 * CHOOSE(CONTROL!$C$9, $D$9, 100%, $F$9) + CHOOSE(CONTROL!$C$27, 0.0021, 0)</f>
        <v>76.318299999999994</v>
      </c>
      <c r="G845" s="10">
        <f>76.5876 * CHOOSE(CONTROL!$C$9, $D$9, 100%, $F$9) + CHOOSE(CONTROL!$C$27, 0.0021, 0)</f>
        <v>76.589699999999993</v>
      </c>
      <c r="H845" s="10">
        <f>76.4529 * CHOOSE(CONTROL!$C$9, $D$9, 100%, $F$9) + CHOOSE(CONTROL!$C$27, 0.0021, 0)</f>
        <v>76.454999999999998</v>
      </c>
      <c r="I845" s="10">
        <f>76.4529 * CHOOSE(CONTROL!$C$9, $D$9, 100%, $F$9) + CHOOSE(CONTROL!$C$27, 0.0021, 0)</f>
        <v>76.454999999999998</v>
      </c>
      <c r="J845" s="10">
        <f>76.4529 * CHOOSE(CONTROL!$C$9, $D$9, 100%, $F$9) + CHOOSE(CONTROL!$C$27, 0.0021, 0)</f>
        <v>76.454999999999998</v>
      </c>
      <c r="K845" s="10">
        <f>76.4529 * CHOOSE(CONTROL!$C$9, $D$9, 100%, $F$9) + CHOOSE(CONTROL!$C$27, 0.0021, 0)</f>
        <v>76.454999999999998</v>
      </c>
      <c r="L845" s="10"/>
    </row>
    <row r="846" spans="1:12" ht="15.75">
      <c r="A846" s="13">
        <v>67053</v>
      </c>
      <c r="B846" s="10">
        <f>78.3826 * CHOOSE(CONTROL!$C$9, $D$9, 100%, $F$9) + CHOOSE(CONTROL!$C$27, 0.0021, 0)</f>
        <v>78.384699999999995</v>
      </c>
      <c r="C846" s="10">
        <f>77.9504 * CHOOSE(CONTROL!$C$9, $D$9, 100%, $F$9) + CHOOSE(CONTROL!$C$27, 0.0021, 0)</f>
        <v>77.952500000000001</v>
      </c>
      <c r="D846" s="10">
        <f>77.9504 * CHOOSE(CONTROL!$C$9, $D$9, 100%, $F$9) + CHOOSE(CONTROL!$C$27, 0.0021, 0)</f>
        <v>77.952500000000001</v>
      </c>
      <c r="E846" s="10">
        <f>77.8137 * CHOOSE(CONTROL!$C$9, $D$9, 100%, $F$9) + CHOOSE(CONTROL!$C$27, 0.0021, 0)</f>
        <v>77.815799999999996</v>
      </c>
      <c r="F846" s="10">
        <f>77.8137 * CHOOSE(CONTROL!$C$9, $D$9, 100%, $F$9) + CHOOSE(CONTROL!$C$27, 0.0021, 0)</f>
        <v>77.815799999999996</v>
      </c>
      <c r="G846" s="10">
        <f>78.0851 * CHOOSE(CONTROL!$C$9, $D$9, 100%, $F$9) + CHOOSE(CONTROL!$C$27, 0.0021, 0)</f>
        <v>78.087199999999996</v>
      </c>
      <c r="H846" s="10">
        <f>77.9504 * CHOOSE(CONTROL!$C$9, $D$9, 100%, $F$9) + CHOOSE(CONTROL!$C$27, 0.0021, 0)</f>
        <v>77.952500000000001</v>
      </c>
      <c r="I846" s="10">
        <f>77.9504 * CHOOSE(CONTROL!$C$9, $D$9, 100%, $F$9) + CHOOSE(CONTROL!$C$27, 0.0021, 0)</f>
        <v>77.952500000000001</v>
      </c>
      <c r="J846" s="10">
        <f>77.9504 * CHOOSE(CONTROL!$C$9, $D$9, 100%, $F$9) + CHOOSE(CONTROL!$C$27, 0.0021, 0)</f>
        <v>77.952500000000001</v>
      </c>
      <c r="K846" s="10">
        <f>77.9504 * CHOOSE(CONTROL!$C$9, $D$9, 100%, $F$9) + CHOOSE(CONTROL!$C$27, 0.0021, 0)</f>
        <v>77.952500000000001</v>
      </c>
      <c r="L846" s="10"/>
    </row>
    <row r="847" spans="1:12" ht="15.75">
      <c r="A847" s="13">
        <v>67084</v>
      </c>
      <c r="B847" s="10">
        <f>78.8397 * CHOOSE(CONTROL!$C$9, $D$9, 100%, $F$9) + CHOOSE(CONTROL!$C$27, 0.0021, 0)</f>
        <v>78.841799999999992</v>
      </c>
      <c r="C847" s="10">
        <f>78.4075 * CHOOSE(CONTROL!$C$9, $D$9, 100%, $F$9) + CHOOSE(CONTROL!$C$27, 0.0021, 0)</f>
        <v>78.409599999999998</v>
      </c>
      <c r="D847" s="10">
        <f>78.4075 * CHOOSE(CONTROL!$C$9, $D$9, 100%, $F$9) + CHOOSE(CONTROL!$C$27, 0.0021, 0)</f>
        <v>78.409599999999998</v>
      </c>
      <c r="E847" s="10">
        <f>78.2708 * CHOOSE(CONTROL!$C$9, $D$9, 100%, $F$9) + CHOOSE(CONTROL!$C$27, 0.0021, 0)</f>
        <v>78.272899999999993</v>
      </c>
      <c r="F847" s="10">
        <f>78.2708 * CHOOSE(CONTROL!$C$9, $D$9, 100%, $F$9) + CHOOSE(CONTROL!$C$27, 0.0021, 0)</f>
        <v>78.272899999999993</v>
      </c>
      <c r="G847" s="10">
        <f>78.5422 * CHOOSE(CONTROL!$C$9, $D$9, 100%, $F$9) + CHOOSE(CONTROL!$C$27, 0.0021, 0)</f>
        <v>78.544299999999993</v>
      </c>
      <c r="H847" s="10">
        <f>78.4075 * CHOOSE(CONTROL!$C$9, $D$9, 100%, $F$9) + CHOOSE(CONTROL!$C$27, 0.0021, 0)</f>
        <v>78.409599999999998</v>
      </c>
      <c r="I847" s="10">
        <f>78.4075 * CHOOSE(CONTROL!$C$9, $D$9, 100%, $F$9) + CHOOSE(CONTROL!$C$27, 0.0021, 0)</f>
        <v>78.409599999999998</v>
      </c>
      <c r="J847" s="10">
        <f>78.4075 * CHOOSE(CONTROL!$C$9, $D$9, 100%, $F$9) + CHOOSE(CONTROL!$C$27, 0.0021, 0)</f>
        <v>78.409599999999998</v>
      </c>
      <c r="K847" s="10">
        <f>78.4075 * CHOOSE(CONTROL!$C$9, $D$9, 100%, $F$9) + CHOOSE(CONTROL!$C$27, 0.0021, 0)</f>
        <v>78.409599999999998</v>
      </c>
      <c r="L847" s="10"/>
    </row>
    <row r="848" spans="1:12" ht="15.75">
      <c r="A848" s="13">
        <v>67114</v>
      </c>
      <c r="B848" s="10">
        <f>80.3963 * CHOOSE(CONTROL!$C$9, $D$9, 100%, $F$9) + CHOOSE(CONTROL!$C$27, 0.0021, 0)</f>
        <v>80.398399999999995</v>
      </c>
      <c r="C848" s="10">
        <f>79.9641 * CHOOSE(CONTROL!$C$9, $D$9, 100%, $F$9) + CHOOSE(CONTROL!$C$27, 0.0021, 0)</f>
        <v>79.966200000000001</v>
      </c>
      <c r="D848" s="10">
        <f>79.9641 * CHOOSE(CONTROL!$C$9, $D$9, 100%, $F$9) + CHOOSE(CONTROL!$C$27, 0.0021, 0)</f>
        <v>79.966200000000001</v>
      </c>
      <c r="E848" s="10">
        <f>79.8274 * CHOOSE(CONTROL!$C$9, $D$9, 100%, $F$9) + CHOOSE(CONTROL!$C$27, 0.0021, 0)</f>
        <v>79.829499999999996</v>
      </c>
      <c r="F848" s="10">
        <f>79.8274 * CHOOSE(CONTROL!$C$9, $D$9, 100%, $F$9) + CHOOSE(CONTROL!$C$27, 0.0021, 0)</f>
        <v>79.829499999999996</v>
      </c>
      <c r="G848" s="10">
        <f>80.0988 * CHOOSE(CONTROL!$C$9, $D$9, 100%, $F$9) + CHOOSE(CONTROL!$C$27, 0.0021, 0)</f>
        <v>80.100899999999996</v>
      </c>
      <c r="H848" s="10">
        <f>79.9641 * CHOOSE(CONTROL!$C$9, $D$9, 100%, $F$9) + CHOOSE(CONTROL!$C$27, 0.0021, 0)</f>
        <v>79.966200000000001</v>
      </c>
      <c r="I848" s="10">
        <f>79.9641 * CHOOSE(CONTROL!$C$9, $D$9, 100%, $F$9) + CHOOSE(CONTROL!$C$27, 0.0021, 0)</f>
        <v>79.966200000000001</v>
      </c>
      <c r="J848" s="10">
        <f>79.9641 * CHOOSE(CONTROL!$C$9, $D$9, 100%, $F$9) + CHOOSE(CONTROL!$C$27, 0.0021, 0)</f>
        <v>79.966200000000001</v>
      </c>
      <c r="K848" s="10">
        <f>79.9641 * CHOOSE(CONTROL!$C$9, $D$9, 100%, $F$9) + CHOOSE(CONTROL!$C$27, 0.0021, 0)</f>
        <v>79.966200000000001</v>
      </c>
      <c r="L848" s="10"/>
    </row>
    <row r="849" spans="1:12" ht="15.75">
      <c r="A849" s="13">
        <v>67145</v>
      </c>
      <c r="B849" s="10">
        <f>82.3667 * CHOOSE(CONTROL!$C$9, $D$9, 100%, $F$9) + CHOOSE(CONTROL!$C$27, 0.0021, 0)</f>
        <v>82.368799999999993</v>
      </c>
      <c r="C849" s="10">
        <f>81.9344 * CHOOSE(CONTROL!$C$9, $D$9, 100%, $F$9) + CHOOSE(CONTROL!$C$27, 0.0021, 0)</f>
        <v>81.936499999999995</v>
      </c>
      <c r="D849" s="10">
        <f>81.9344 * CHOOSE(CONTROL!$C$9, $D$9, 100%, $F$9) + CHOOSE(CONTROL!$C$27, 0.0021, 0)</f>
        <v>81.936499999999995</v>
      </c>
      <c r="E849" s="10">
        <f>81.7978 * CHOOSE(CONTROL!$C$9, $D$9, 100%, $F$9) + CHOOSE(CONTROL!$C$27, 0.0021, 0)</f>
        <v>81.799899999999994</v>
      </c>
      <c r="F849" s="10">
        <f>81.7978 * CHOOSE(CONTROL!$C$9, $D$9, 100%, $F$9) + CHOOSE(CONTROL!$C$27, 0.0021, 0)</f>
        <v>81.799899999999994</v>
      </c>
      <c r="G849" s="10">
        <f>82.0692 * CHOOSE(CONTROL!$C$9, $D$9, 100%, $F$9) + CHOOSE(CONTROL!$C$27, 0.0021, 0)</f>
        <v>82.071299999999994</v>
      </c>
      <c r="H849" s="10">
        <f>81.9344 * CHOOSE(CONTROL!$C$9, $D$9, 100%, $F$9) + CHOOSE(CONTROL!$C$27, 0.0021, 0)</f>
        <v>81.936499999999995</v>
      </c>
      <c r="I849" s="10">
        <f>81.9344 * CHOOSE(CONTROL!$C$9, $D$9, 100%, $F$9) + CHOOSE(CONTROL!$C$27, 0.0021, 0)</f>
        <v>81.936499999999995</v>
      </c>
      <c r="J849" s="10">
        <f>81.9344 * CHOOSE(CONTROL!$C$9, $D$9, 100%, $F$9) + CHOOSE(CONTROL!$C$27, 0.0021, 0)</f>
        <v>81.936499999999995</v>
      </c>
      <c r="K849" s="10">
        <f>81.9344 * CHOOSE(CONTROL!$C$9, $D$9, 100%, $F$9) + CHOOSE(CONTROL!$C$27, 0.0021, 0)</f>
        <v>81.936499999999995</v>
      </c>
      <c r="L849" s="10"/>
    </row>
    <row r="850" spans="1:12" ht="15.75">
      <c r="A850" s="13">
        <v>67175</v>
      </c>
      <c r="B850" s="10">
        <f>82.5517 * CHOOSE(CONTROL!$C$9, $D$9, 100%, $F$9) + CHOOSE(CONTROL!$C$27, 0.0021, 0)</f>
        <v>82.553799999999995</v>
      </c>
      <c r="C850" s="10">
        <f>82.1194 * CHOOSE(CONTROL!$C$9, $D$9, 100%, $F$9) + CHOOSE(CONTROL!$C$27, 0.0021, 0)</f>
        <v>82.121499999999997</v>
      </c>
      <c r="D850" s="10">
        <f>82.1194 * CHOOSE(CONTROL!$C$9, $D$9, 100%, $F$9) + CHOOSE(CONTROL!$C$27, 0.0021, 0)</f>
        <v>82.121499999999997</v>
      </c>
      <c r="E850" s="10">
        <f>81.9828 * CHOOSE(CONTROL!$C$9, $D$9, 100%, $F$9) + CHOOSE(CONTROL!$C$27, 0.0021, 0)</f>
        <v>81.984899999999996</v>
      </c>
      <c r="F850" s="10">
        <f>81.9828 * CHOOSE(CONTROL!$C$9, $D$9, 100%, $F$9) + CHOOSE(CONTROL!$C$27, 0.0021, 0)</f>
        <v>81.984899999999996</v>
      </c>
      <c r="G850" s="10">
        <f>82.2541 * CHOOSE(CONTROL!$C$9, $D$9, 100%, $F$9) + CHOOSE(CONTROL!$C$27, 0.0021, 0)</f>
        <v>82.256199999999993</v>
      </c>
      <c r="H850" s="10">
        <f>82.1194 * CHOOSE(CONTROL!$C$9, $D$9, 100%, $F$9) + CHOOSE(CONTROL!$C$27, 0.0021, 0)</f>
        <v>82.121499999999997</v>
      </c>
      <c r="I850" s="10">
        <f>82.1194 * CHOOSE(CONTROL!$C$9, $D$9, 100%, $F$9) + CHOOSE(CONTROL!$C$27, 0.0021, 0)</f>
        <v>82.121499999999997</v>
      </c>
      <c r="J850" s="10">
        <f>82.1194 * CHOOSE(CONTROL!$C$9, $D$9, 100%, $F$9) + CHOOSE(CONTROL!$C$27, 0.0021, 0)</f>
        <v>82.121499999999997</v>
      </c>
      <c r="K850" s="10">
        <f>82.1194 * CHOOSE(CONTROL!$C$9, $D$9, 100%, $F$9) + CHOOSE(CONTROL!$C$27, 0.0021, 0)</f>
        <v>82.121499999999997</v>
      </c>
      <c r="L850" s="10"/>
    </row>
    <row r="851" spans="1:12" ht="15.75">
      <c r="A851" s="13">
        <v>67206</v>
      </c>
      <c r="B851" s="10">
        <f>80.978 * CHOOSE(CONTROL!$C$9, $D$9, 100%, $F$9) + CHOOSE(CONTROL!$C$27, 0.0021, 0)</f>
        <v>80.980099999999993</v>
      </c>
      <c r="C851" s="10">
        <f>80.5457 * CHOOSE(CONTROL!$C$9, $D$9, 100%, $F$9) + CHOOSE(CONTROL!$C$27, 0.0021, 0)</f>
        <v>80.547799999999995</v>
      </c>
      <c r="D851" s="10">
        <f>80.5457 * CHOOSE(CONTROL!$C$9, $D$9, 100%, $F$9) + CHOOSE(CONTROL!$C$27, 0.0021, 0)</f>
        <v>80.547799999999995</v>
      </c>
      <c r="E851" s="10">
        <f>80.4091 * CHOOSE(CONTROL!$C$9, $D$9, 100%, $F$9) + CHOOSE(CONTROL!$C$27, 0.0021, 0)</f>
        <v>80.411199999999994</v>
      </c>
      <c r="F851" s="10">
        <f>80.4091 * CHOOSE(CONTROL!$C$9, $D$9, 100%, $F$9) + CHOOSE(CONTROL!$C$27, 0.0021, 0)</f>
        <v>80.411199999999994</v>
      </c>
      <c r="G851" s="10">
        <f>80.6804 * CHOOSE(CONTROL!$C$9, $D$9, 100%, $F$9) + CHOOSE(CONTROL!$C$27, 0.0021, 0)</f>
        <v>80.682500000000005</v>
      </c>
      <c r="H851" s="10">
        <f>80.5457 * CHOOSE(CONTROL!$C$9, $D$9, 100%, $F$9) + CHOOSE(CONTROL!$C$27, 0.0021, 0)</f>
        <v>80.547799999999995</v>
      </c>
      <c r="I851" s="10">
        <f>80.5457 * CHOOSE(CONTROL!$C$9, $D$9, 100%, $F$9) + CHOOSE(CONTROL!$C$27, 0.0021, 0)</f>
        <v>80.547799999999995</v>
      </c>
      <c r="J851" s="10">
        <f>80.5457 * CHOOSE(CONTROL!$C$9, $D$9, 100%, $F$9) + CHOOSE(CONTROL!$C$27, 0.0021, 0)</f>
        <v>80.547799999999995</v>
      </c>
      <c r="K851" s="10">
        <f>80.5457 * CHOOSE(CONTROL!$C$9, $D$9, 100%, $F$9) + CHOOSE(CONTROL!$C$27, 0.0021, 0)</f>
        <v>80.547799999999995</v>
      </c>
      <c r="L851" s="10"/>
    </row>
    <row r="852" spans="1:12" ht="15.75">
      <c r="A852" s="13">
        <v>67237</v>
      </c>
      <c r="B852" s="10">
        <f>79.7731 * CHOOSE(CONTROL!$C$9, $D$9, 100%, $F$9) + CHOOSE(CONTROL!$C$27, 0.0021, 0)</f>
        <v>79.775199999999998</v>
      </c>
      <c r="C852" s="10">
        <f>79.3408 * CHOOSE(CONTROL!$C$9, $D$9, 100%, $F$9) + CHOOSE(CONTROL!$C$27, 0.0021, 0)</f>
        <v>79.3429</v>
      </c>
      <c r="D852" s="10">
        <f>79.3408 * CHOOSE(CONTROL!$C$9, $D$9, 100%, $F$9) + CHOOSE(CONTROL!$C$27, 0.0021, 0)</f>
        <v>79.3429</v>
      </c>
      <c r="E852" s="10">
        <f>79.2042 * CHOOSE(CONTROL!$C$9, $D$9, 100%, $F$9) + CHOOSE(CONTROL!$C$27, 0.0021, 0)</f>
        <v>79.206299999999999</v>
      </c>
      <c r="F852" s="10">
        <f>79.2042 * CHOOSE(CONTROL!$C$9, $D$9, 100%, $F$9) + CHOOSE(CONTROL!$C$27, 0.0021, 0)</f>
        <v>79.206299999999999</v>
      </c>
      <c r="G852" s="10">
        <f>79.4756 * CHOOSE(CONTROL!$C$9, $D$9, 100%, $F$9) + CHOOSE(CONTROL!$C$27, 0.0021, 0)</f>
        <v>79.477699999999999</v>
      </c>
      <c r="H852" s="10">
        <f>79.3408 * CHOOSE(CONTROL!$C$9, $D$9, 100%, $F$9) + CHOOSE(CONTROL!$C$27, 0.0021, 0)</f>
        <v>79.3429</v>
      </c>
      <c r="I852" s="10">
        <f>79.3408 * CHOOSE(CONTROL!$C$9, $D$9, 100%, $F$9) + CHOOSE(CONTROL!$C$27, 0.0021, 0)</f>
        <v>79.3429</v>
      </c>
      <c r="J852" s="10">
        <f>79.3408 * CHOOSE(CONTROL!$C$9, $D$9, 100%, $F$9) + CHOOSE(CONTROL!$C$27, 0.0021, 0)</f>
        <v>79.3429</v>
      </c>
      <c r="K852" s="10">
        <f>79.3408 * CHOOSE(CONTROL!$C$9, $D$9, 100%, $F$9) + CHOOSE(CONTROL!$C$27, 0.0021, 0)</f>
        <v>79.3429</v>
      </c>
      <c r="L852" s="10"/>
    </row>
    <row r="853" spans="1:12" ht="15.75">
      <c r="A853" s="13">
        <v>67266</v>
      </c>
      <c r="B853" s="10">
        <f>77.5815 * CHOOSE(CONTROL!$C$9, $D$9, 100%, $F$9) + CHOOSE(CONTROL!$C$27, 0.0021, 0)</f>
        <v>77.583600000000004</v>
      </c>
      <c r="C853" s="10">
        <f>77.1493 * CHOOSE(CONTROL!$C$9, $D$9, 100%, $F$9) + CHOOSE(CONTROL!$C$27, 0.0021, 0)</f>
        <v>77.151399999999995</v>
      </c>
      <c r="D853" s="10">
        <f>77.1493 * CHOOSE(CONTROL!$C$9, $D$9, 100%, $F$9) + CHOOSE(CONTROL!$C$27, 0.0021, 0)</f>
        <v>77.151399999999995</v>
      </c>
      <c r="E853" s="10">
        <f>77.0126 * CHOOSE(CONTROL!$C$9, $D$9, 100%, $F$9) + CHOOSE(CONTROL!$C$27, 0.0021, 0)</f>
        <v>77.014700000000005</v>
      </c>
      <c r="F853" s="10">
        <f>77.0126 * CHOOSE(CONTROL!$C$9, $D$9, 100%, $F$9) + CHOOSE(CONTROL!$C$27, 0.0021, 0)</f>
        <v>77.014700000000005</v>
      </c>
      <c r="G853" s="10">
        <f>77.284 * CHOOSE(CONTROL!$C$9, $D$9, 100%, $F$9) + CHOOSE(CONTROL!$C$27, 0.0021, 0)</f>
        <v>77.286100000000005</v>
      </c>
      <c r="H853" s="10">
        <f>77.1493 * CHOOSE(CONTROL!$C$9, $D$9, 100%, $F$9) + CHOOSE(CONTROL!$C$27, 0.0021, 0)</f>
        <v>77.151399999999995</v>
      </c>
      <c r="I853" s="10">
        <f>77.1493 * CHOOSE(CONTROL!$C$9, $D$9, 100%, $F$9) + CHOOSE(CONTROL!$C$27, 0.0021, 0)</f>
        <v>77.151399999999995</v>
      </c>
      <c r="J853" s="10">
        <f>77.1493 * CHOOSE(CONTROL!$C$9, $D$9, 100%, $F$9) + CHOOSE(CONTROL!$C$27, 0.0021, 0)</f>
        <v>77.151399999999995</v>
      </c>
      <c r="K853" s="10">
        <f>77.1493 * CHOOSE(CONTROL!$C$9, $D$9, 100%, $F$9) + CHOOSE(CONTROL!$C$27, 0.0021, 0)</f>
        <v>77.151399999999995</v>
      </c>
      <c r="L853" s="10"/>
    </row>
    <row r="854" spans="1:12" ht="15.75">
      <c r="A854" s="13">
        <v>67297</v>
      </c>
      <c r="B854" s="10">
        <f>76.6768 * CHOOSE(CONTROL!$C$9, $D$9, 100%, $F$9) + CHOOSE(CONTROL!$C$27, 0.0021, 0)</f>
        <v>76.678899999999999</v>
      </c>
      <c r="C854" s="10">
        <f>76.2446 * CHOOSE(CONTROL!$C$9, $D$9, 100%, $F$9) + CHOOSE(CONTROL!$C$27, 0.0021, 0)</f>
        <v>76.246700000000004</v>
      </c>
      <c r="D854" s="10">
        <f>76.2446 * CHOOSE(CONTROL!$C$9, $D$9, 100%, $F$9) + CHOOSE(CONTROL!$C$27, 0.0021, 0)</f>
        <v>76.246700000000004</v>
      </c>
      <c r="E854" s="10">
        <f>76.1079 * CHOOSE(CONTROL!$C$9, $D$9, 100%, $F$9) + CHOOSE(CONTROL!$C$27, 0.0021, 0)</f>
        <v>76.11</v>
      </c>
      <c r="F854" s="10">
        <f>76.1079 * CHOOSE(CONTROL!$C$9, $D$9, 100%, $F$9) + CHOOSE(CONTROL!$C$27, 0.0021, 0)</f>
        <v>76.11</v>
      </c>
      <c r="G854" s="10">
        <f>76.3793 * CHOOSE(CONTROL!$C$9, $D$9, 100%, $F$9) + CHOOSE(CONTROL!$C$27, 0.0021, 0)</f>
        <v>76.381399999999999</v>
      </c>
      <c r="H854" s="10">
        <f>76.2446 * CHOOSE(CONTROL!$C$9, $D$9, 100%, $F$9) + CHOOSE(CONTROL!$C$27, 0.0021, 0)</f>
        <v>76.246700000000004</v>
      </c>
      <c r="I854" s="10">
        <f>76.2446 * CHOOSE(CONTROL!$C$9, $D$9, 100%, $F$9) + CHOOSE(CONTROL!$C$27, 0.0021, 0)</f>
        <v>76.246700000000004</v>
      </c>
      <c r="J854" s="10">
        <f>76.2446 * CHOOSE(CONTROL!$C$9, $D$9, 100%, $F$9) + CHOOSE(CONTROL!$C$27, 0.0021, 0)</f>
        <v>76.246700000000004</v>
      </c>
      <c r="K854" s="10">
        <f>76.2446 * CHOOSE(CONTROL!$C$9, $D$9, 100%, $F$9) + CHOOSE(CONTROL!$C$27, 0.0021, 0)</f>
        <v>76.246700000000004</v>
      </c>
      <c r="L854" s="10"/>
    </row>
    <row r="855" spans="1:12" ht="15.75">
      <c r="A855" s="13">
        <v>67327</v>
      </c>
      <c r="B855" s="10">
        <f>75.5966 * CHOOSE(CONTROL!$C$9, $D$9, 100%, $F$9) + CHOOSE(CONTROL!$C$27, 0.0021, 0)</f>
        <v>75.598699999999994</v>
      </c>
      <c r="C855" s="10">
        <f>75.1644 * CHOOSE(CONTROL!$C$9, $D$9, 100%, $F$9) + CHOOSE(CONTROL!$C$27, 0.0021, 0)</f>
        <v>75.166499999999999</v>
      </c>
      <c r="D855" s="10">
        <f>75.1644 * CHOOSE(CONTROL!$C$9, $D$9, 100%, $F$9) + CHOOSE(CONTROL!$C$27, 0.0021, 0)</f>
        <v>75.166499999999999</v>
      </c>
      <c r="E855" s="10">
        <f>75.0277 * CHOOSE(CONTROL!$C$9, $D$9, 100%, $F$9) + CHOOSE(CONTROL!$C$27, 0.0021, 0)</f>
        <v>75.029799999999994</v>
      </c>
      <c r="F855" s="10">
        <f>75.0277 * CHOOSE(CONTROL!$C$9, $D$9, 100%, $F$9) + CHOOSE(CONTROL!$C$27, 0.0021, 0)</f>
        <v>75.029799999999994</v>
      </c>
      <c r="G855" s="10">
        <f>75.2991 * CHOOSE(CONTROL!$C$9, $D$9, 100%, $F$9) + CHOOSE(CONTROL!$C$27, 0.0021, 0)</f>
        <v>75.301199999999994</v>
      </c>
      <c r="H855" s="10">
        <f>75.1644 * CHOOSE(CONTROL!$C$9, $D$9, 100%, $F$9) + CHOOSE(CONTROL!$C$27, 0.0021, 0)</f>
        <v>75.166499999999999</v>
      </c>
      <c r="I855" s="10">
        <f>75.1644 * CHOOSE(CONTROL!$C$9, $D$9, 100%, $F$9) + CHOOSE(CONTROL!$C$27, 0.0021, 0)</f>
        <v>75.166499999999999</v>
      </c>
      <c r="J855" s="10">
        <f>75.1644 * CHOOSE(CONTROL!$C$9, $D$9, 100%, $F$9) + CHOOSE(CONTROL!$C$27, 0.0021, 0)</f>
        <v>75.166499999999999</v>
      </c>
      <c r="K855" s="10">
        <f>75.1644 * CHOOSE(CONTROL!$C$9, $D$9, 100%, $F$9) + CHOOSE(CONTROL!$C$27, 0.0021, 0)</f>
        <v>75.166499999999999</v>
      </c>
      <c r="L855" s="10"/>
    </row>
    <row r="856" spans="1:12" ht="15.75">
      <c r="A856" s="13">
        <v>67358</v>
      </c>
      <c r="B856" s="10">
        <f>77.1361 * CHOOSE(CONTROL!$C$9, $D$9, 100%, $F$9) + CHOOSE(CONTROL!$C$27, 0.0021, 0)</f>
        <v>77.138199999999998</v>
      </c>
      <c r="C856" s="10">
        <f>76.7038 * CHOOSE(CONTROL!$C$9, $D$9, 100%, $F$9) + CHOOSE(CONTROL!$C$27, 0.0021, 0)</f>
        <v>76.7059</v>
      </c>
      <c r="D856" s="10">
        <f>76.7038 * CHOOSE(CONTROL!$C$9, $D$9, 100%, $F$9) + CHOOSE(CONTROL!$C$27, 0.0021, 0)</f>
        <v>76.7059</v>
      </c>
      <c r="E856" s="10">
        <f>76.5671 * CHOOSE(CONTROL!$C$9, $D$9, 100%, $F$9) + CHOOSE(CONTROL!$C$27, 0.0021, 0)</f>
        <v>76.569199999999995</v>
      </c>
      <c r="F856" s="10">
        <f>76.5671 * CHOOSE(CONTROL!$C$9, $D$9, 100%, $F$9) + CHOOSE(CONTROL!$C$27, 0.0021, 0)</f>
        <v>76.569199999999995</v>
      </c>
      <c r="G856" s="10">
        <f>76.8385 * CHOOSE(CONTROL!$C$9, $D$9, 100%, $F$9) + CHOOSE(CONTROL!$C$27, 0.0021, 0)</f>
        <v>76.840599999999995</v>
      </c>
      <c r="H856" s="10">
        <f>76.7038 * CHOOSE(CONTROL!$C$9, $D$9, 100%, $F$9) + CHOOSE(CONTROL!$C$27, 0.0021, 0)</f>
        <v>76.7059</v>
      </c>
      <c r="I856" s="10">
        <f>76.7038 * CHOOSE(CONTROL!$C$9, $D$9, 100%, $F$9) + CHOOSE(CONTROL!$C$27, 0.0021, 0)</f>
        <v>76.7059</v>
      </c>
      <c r="J856" s="10">
        <f>76.7038 * CHOOSE(CONTROL!$C$9, $D$9, 100%, $F$9) + CHOOSE(CONTROL!$C$27, 0.0021, 0)</f>
        <v>76.7059</v>
      </c>
      <c r="K856" s="10">
        <f>76.7038 * CHOOSE(CONTROL!$C$9, $D$9, 100%, $F$9) + CHOOSE(CONTROL!$C$27, 0.0021, 0)</f>
        <v>76.7059</v>
      </c>
      <c r="L856" s="10"/>
    </row>
    <row r="857" spans="1:12" ht="15.75">
      <c r="A857" s="13">
        <v>67388</v>
      </c>
      <c r="B857" s="10">
        <f>78.0581 * CHOOSE(CONTROL!$C$9, $D$9, 100%, $F$9) + CHOOSE(CONTROL!$C$27, 0.0021, 0)</f>
        <v>78.060199999999995</v>
      </c>
      <c r="C857" s="10">
        <f>77.6259 * CHOOSE(CONTROL!$C$9, $D$9, 100%, $F$9) + CHOOSE(CONTROL!$C$27, 0.0021, 0)</f>
        <v>77.628</v>
      </c>
      <c r="D857" s="10">
        <f>77.6259 * CHOOSE(CONTROL!$C$9, $D$9, 100%, $F$9) + CHOOSE(CONTROL!$C$27, 0.0021, 0)</f>
        <v>77.628</v>
      </c>
      <c r="E857" s="10">
        <f>77.4892 * CHOOSE(CONTROL!$C$9, $D$9, 100%, $F$9) + CHOOSE(CONTROL!$C$27, 0.0021, 0)</f>
        <v>77.491299999999995</v>
      </c>
      <c r="F857" s="10">
        <f>77.4892 * CHOOSE(CONTROL!$C$9, $D$9, 100%, $F$9) + CHOOSE(CONTROL!$C$27, 0.0021, 0)</f>
        <v>77.491299999999995</v>
      </c>
      <c r="G857" s="10">
        <f>77.7606 * CHOOSE(CONTROL!$C$9, $D$9, 100%, $F$9) + CHOOSE(CONTROL!$C$27, 0.0021, 0)</f>
        <v>77.762699999999995</v>
      </c>
      <c r="H857" s="10">
        <f>77.6259 * CHOOSE(CONTROL!$C$9, $D$9, 100%, $F$9) + CHOOSE(CONTROL!$C$27, 0.0021, 0)</f>
        <v>77.628</v>
      </c>
      <c r="I857" s="10">
        <f>77.6259 * CHOOSE(CONTROL!$C$9, $D$9, 100%, $F$9) + CHOOSE(CONTROL!$C$27, 0.0021, 0)</f>
        <v>77.628</v>
      </c>
      <c r="J857" s="10">
        <f>77.6259 * CHOOSE(CONTROL!$C$9, $D$9, 100%, $F$9) + CHOOSE(CONTROL!$C$27, 0.0021, 0)</f>
        <v>77.628</v>
      </c>
      <c r="K857" s="10">
        <f>77.6259 * CHOOSE(CONTROL!$C$9, $D$9, 100%, $F$9) + CHOOSE(CONTROL!$C$27, 0.0021, 0)</f>
        <v>77.628</v>
      </c>
      <c r="L857" s="10"/>
    </row>
    <row r="858" spans="1:12" ht="15.75">
      <c r="A858" s="13">
        <v>67419</v>
      </c>
      <c r="B858" s="10">
        <f>79.5792 * CHOOSE(CONTROL!$C$9, $D$9, 100%, $F$9) + CHOOSE(CONTROL!$C$27, 0.0021, 0)</f>
        <v>79.581299999999999</v>
      </c>
      <c r="C858" s="10">
        <f>79.1469 * CHOOSE(CONTROL!$C$9, $D$9, 100%, $F$9) + CHOOSE(CONTROL!$C$27, 0.0021, 0)</f>
        <v>79.149000000000001</v>
      </c>
      <c r="D858" s="10">
        <f>79.1469 * CHOOSE(CONTROL!$C$9, $D$9, 100%, $F$9) + CHOOSE(CONTROL!$C$27, 0.0021, 0)</f>
        <v>79.149000000000001</v>
      </c>
      <c r="E858" s="10">
        <f>79.0102 * CHOOSE(CONTROL!$C$9, $D$9, 100%, $F$9) + CHOOSE(CONTROL!$C$27, 0.0021, 0)</f>
        <v>79.012299999999996</v>
      </c>
      <c r="F858" s="10">
        <f>79.0102 * CHOOSE(CONTROL!$C$9, $D$9, 100%, $F$9) + CHOOSE(CONTROL!$C$27, 0.0021, 0)</f>
        <v>79.012299999999996</v>
      </c>
      <c r="G858" s="10">
        <f>79.2816 * CHOOSE(CONTROL!$C$9, $D$9, 100%, $F$9) + CHOOSE(CONTROL!$C$27, 0.0021, 0)</f>
        <v>79.283699999999996</v>
      </c>
      <c r="H858" s="10">
        <f>79.1469 * CHOOSE(CONTROL!$C$9, $D$9, 100%, $F$9) + CHOOSE(CONTROL!$C$27, 0.0021, 0)</f>
        <v>79.149000000000001</v>
      </c>
      <c r="I858" s="10">
        <f>79.1469 * CHOOSE(CONTROL!$C$9, $D$9, 100%, $F$9) + CHOOSE(CONTROL!$C$27, 0.0021, 0)</f>
        <v>79.149000000000001</v>
      </c>
      <c r="J858" s="10">
        <f>79.1469 * CHOOSE(CONTROL!$C$9, $D$9, 100%, $F$9) + CHOOSE(CONTROL!$C$27, 0.0021, 0)</f>
        <v>79.149000000000001</v>
      </c>
      <c r="K858" s="10">
        <f>79.1469 * CHOOSE(CONTROL!$C$9, $D$9, 100%, $F$9) + CHOOSE(CONTROL!$C$27, 0.0021, 0)</f>
        <v>79.149000000000001</v>
      </c>
      <c r="L858" s="10"/>
    </row>
    <row r="859" spans="1:12" ht="15.75">
      <c r="A859" s="13">
        <v>67450</v>
      </c>
      <c r="B859" s="10">
        <f>80.0434 * CHOOSE(CONTROL!$C$9, $D$9, 100%, $F$9) + CHOOSE(CONTROL!$C$27, 0.0021, 0)</f>
        <v>80.045500000000004</v>
      </c>
      <c r="C859" s="10">
        <f>79.6112 * CHOOSE(CONTROL!$C$9, $D$9, 100%, $F$9) + CHOOSE(CONTROL!$C$27, 0.0021, 0)</f>
        <v>79.613299999999995</v>
      </c>
      <c r="D859" s="10">
        <f>79.6112 * CHOOSE(CONTROL!$C$9, $D$9, 100%, $F$9) + CHOOSE(CONTROL!$C$27, 0.0021, 0)</f>
        <v>79.613299999999995</v>
      </c>
      <c r="E859" s="10">
        <f>79.4745 * CHOOSE(CONTROL!$C$9, $D$9, 100%, $F$9) + CHOOSE(CONTROL!$C$27, 0.0021, 0)</f>
        <v>79.476600000000005</v>
      </c>
      <c r="F859" s="10">
        <f>79.4745 * CHOOSE(CONTROL!$C$9, $D$9, 100%, $F$9) + CHOOSE(CONTROL!$C$27, 0.0021, 0)</f>
        <v>79.476600000000005</v>
      </c>
      <c r="G859" s="10">
        <f>79.7459 * CHOOSE(CONTROL!$C$9, $D$9, 100%, $F$9) + CHOOSE(CONTROL!$C$27, 0.0021, 0)</f>
        <v>79.748000000000005</v>
      </c>
      <c r="H859" s="10">
        <f>79.6112 * CHOOSE(CONTROL!$C$9, $D$9, 100%, $F$9) + CHOOSE(CONTROL!$C$27, 0.0021, 0)</f>
        <v>79.613299999999995</v>
      </c>
      <c r="I859" s="10">
        <f>79.6112 * CHOOSE(CONTROL!$C$9, $D$9, 100%, $F$9) + CHOOSE(CONTROL!$C$27, 0.0021, 0)</f>
        <v>79.613299999999995</v>
      </c>
      <c r="J859" s="10">
        <f>79.6112 * CHOOSE(CONTROL!$C$9, $D$9, 100%, $F$9) + CHOOSE(CONTROL!$C$27, 0.0021, 0)</f>
        <v>79.613299999999995</v>
      </c>
      <c r="K859" s="10">
        <f>79.6112 * CHOOSE(CONTROL!$C$9, $D$9, 100%, $F$9) + CHOOSE(CONTROL!$C$27, 0.0021, 0)</f>
        <v>79.613299999999995</v>
      </c>
      <c r="L859" s="10"/>
    </row>
    <row r="860" spans="1:12" ht="15.75">
      <c r="A860" s="13">
        <v>67480</v>
      </c>
      <c r="B860" s="10">
        <f>81.6245 * CHOOSE(CONTROL!$C$9, $D$9, 100%, $F$9) + CHOOSE(CONTROL!$C$27, 0.0021, 0)</f>
        <v>81.626599999999996</v>
      </c>
      <c r="C860" s="10">
        <f>81.1922 * CHOOSE(CONTROL!$C$9, $D$9, 100%, $F$9) + CHOOSE(CONTROL!$C$27, 0.0021, 0)</f>
        <v>81.194299999999998</v>
      </c>
      <c r="D860" s="10">
        <f>81.1922 * CHOOSE(CONTROL!$C$9, $D$9, 100%, $F$9) + CHOOSE(CONTROL!$C$27, 0.0021, 0)</f>
        <v>81.194299999999998</v>
      </c>
      <c r="E860" s="10">
        <f>81.0556 * CHOOSE(CONTROL!$C$9, $D$9, 100%, $F$9) + CHOOSE(CONTROL!$C$27, 0.0021, 0)</f>
        <v>81.057699999999997</v>
      </c>
      <c r="F860" s="10">
        <f>81.0556 * CHOOSE(CONTROL!$C$9, $D$9, 100%, $F$9) + CHOOSE(CONTROL!$C$27, 0.0021, 0)</f>
        <v>81.057699999999997</v>
      </c>
      <c r="G860" s="10">
        <f>81.327 * CHOOSE(CONTROL!$C$9, $D$9, 100%, $F$9) + CHOOSE(CONTROL!$C$27, 0.0021, 0)</f>
        <v>81.329099999999997</v>
      </c>
      <c r="H860" s="10">
        <f>81.1922 * CHOOSE(CONTROL!$C$9, $D$9, 100%, $F$9) + CHOOSE(CONTROL!$C$27, 0.0021, 0)</f>
        <v>81.194299999999998</v>
      </c>
      <c r="I860" s="10">
        <f>81.1922 * CHOOSE(CONTROL!$C$9, $D$9, 100%, $F$9) + CHOOSE(CONTROL!$C$27, 0.0021, 0)</f>
        <v>81.194299999999998</v>
      </c>
      <c r="J860" s="10">
        <f>81.1922 * CHOOSE(CONTROL!$C$9, $D$9, 100%, $F$9) + CHOOSE(CONTROL!$C$27, 0.0021, 0)</f>
        <v>81.194299999999998</v>
      </c>
      <c r="K860" s="10">
        <f>81.1922 * CHOOSE(CONTROL!$C$9, $D$9, 100%, $F$9) + CHOOSE(CONTROL!$C$27, 0.0021, 0)</f>
        <v>81.194299999999998</v>
      </c>
      <c r="L860" s="10"/>
    </row>
    <row r="861" spans="1:12" ht="15.75">
      <c r="A861" s="13">
        <v>67511</v>
      </c>
      <c r="B861" s="10">
        <f>83.6258 * CHOOSE(CONTROL!$C$9, $D$9, 100%, $F$9) + CHOOSE(CONTROL!$C$27, 0.0021, 0)</f>
        <v>83.627899999999997</v>
      </c>
      <c r="C861" s="10">
        <f>83.1936 * CHOOSE(CONTROL!$C$9, $D$9, 100%, $F$9) + CHOOSE(CONTROL!$C$27, 0.0021, 0)</f>
        <v>83.195700000000002</v>
      </c>
      <c r="D861" s="10">
        <f>83.1936 * CHOOSE(CONTROL!$C$9, $D$9, 100%, $F$9) + CHOOSE(CONTROL!$C$27, 0.0021, 0)</f>
        <v>83.195700000000002</v>
      </c>
      <c r="E861" s="10">
        <f>83.0569 * CHOOSE(CONTROL!$C$9, $D$9, 100%, $F$9) + CHOOSE(CONTROL!$C$27, 0.0021, 0)</f>
        <v>83.058999999999997</v>
      </c>
      <c r="F861" s="10">
        <f>83.0569 * CHOOSE(CONTROL!$C$9, $D$9, 100%, $F$9) + CHOOSE(CONTROL!$C$27, 0.0021, 0)</f>
        <v>83.058999999999997</v>
      </c>
      <c r="G861" s="10">
        <f>83.3283 * CHOOSE(CONTROL!$C$9, $D$9, 100%, $F$9) + CHOOSE(CONTROL!$C$27, 0.0021, 0)</f>
        <v>83.330399999999997</v>
      </c>
      <c r="H861" s="10">
        <f>83.1936 * CHOOSE(CONTROL!$C$9, $D$9, 100%, $F$9) + CHOOSE(CONTROL!$C$27, 0.0021, 0)</f>
        <v>83.195700000000002</v>
      </c>
      <c r="I861" s="10">
        <f>83.1936 * CHOOSE(CONTROL!$C$9, $D$9, 100%, $F$9) + CHOOSE(CONTROL!$C$27, 0.0021, 0)</f>
        <v>83.195700000000002</v>
      </c>
      <c r="J861" s="10">
        <f>83.1936 * CHOOSE(CONTROL!$C$9, $D$9, 100%, $F$9) + CHOOSE(CONTROL!$C$27, 0.0021, 0)</f>
        <v>83.195700000000002</v>
      </c>
      <c r="K861" s="10">
        <f>83.1936 * CHOOSE(CONTROL!$C$9, $D$9, 100%, $F$9) + CHOOSE(CONTROL!$C$27, 0.0021, 0)</f>
        <v>83.195700000000002</v>
      </c>
      <c r="L861" s="10"/>
    </row>
    <row r="862" spans="1:12" ht="15.75">
      <c r="A862" s="13">
        <v>67541</v>
      </c>
      <c r="B862" s="10">
        <f>83.8137 * CHOOSE(CONTROL!$C$9, $D$9, 100%, $F$9) + CHOOSE(CONTROL!$C$27, 0.0021, 0)</f>
        <v>83.815799999999996</v>
      </c>
      <c r="C862" s="10">
        <f>83.3815 * CHOOSE(CONTROL!$C$9, $D$9, 100%, $F$9) + CHOOSE(CONTROL!$C$27, 0.0021, 0)</f>
        <v>83.383600000000001</v>
      </c>
      <c r="D862" s="10">
        <f>83.3815 * CHOOSE(CONTROL!$C$9, $D$9, 100%, $F$9) + CHOOSE(CONTROL!$C$27, 0.0021, 0)</f>
        <v>83.383600000000001</v>
      </c>
      <c r="E862" s="10">
        <f>83.2448 * CHOOSE(CONTROL!$C$9, $D$9, 100%, $F$9) + CHOOSE(CONTROL!$C$27, 0.0021, 0)</f>
        <v>83.246899999999997</v>
      </c>
      <c r="F862" s="10">
        <f>83.2448 * CHOOSE(CONTROL!$C$9, $D$9, 100%, $F$9) + CHOOSE(CONTROL!$C$27, 0.0021, 0)</f>
        <v>83.246899999999997</v>
      </c>
      <c r="G862" s="10">
        <f>83.5162 * CHOOSE(CONTROL!$C$9, $D$9, 100%, $F$9) + CHOOSE(CONTROL!$C$27, 0.0021, 0)</f>
        <v>83.518299999999996</v>
      </c>
      <c r="H862" s="10">
        <f>83.3815 * CHOOSE(CONTROL!$C$9, $D$9, 100%, $F$9) + CHOOSE(CONTROL!$C$27, 0.0021, 0)</f>
        <v>83.383600000000001</v>
      </c>
      <c r="I862" s="10">
        <f>83.3815 * CHOOSE(CONTROL!$C$9, $D$9, 100%, $F$9) + CHOOSE(CONTROL!$C$27, 0.0021, 0)</f>
        <v>83.383600000000001</v>
      </c>
      <c r="J862" s="10">
        <f>83.3815 * CHOOSE(CONTROL!$C$9, $D$9, 100%, $F$9) + CHOOSE(CONTROL!$C$27, 0.0021, 0)</f>
        <v>83.383600000000001</v>
      </c>
      <c r="K862" s="10">
        <f>83.3815 * CHOOSE(CONTROL!$C$9, $D$9, 100%, $F$9) + CHOOSE(CONTROL!$C$27, 0.0021, 0)</f>
        <v>83.383600000000001</v>
      </c>
      <c r="L862" s="10"/>
    </row>
    <row r="863" spans="1:12" ht="15.75">
      <c r="A863" s="13">
        <v>67572</v>
      </c>
      <c r="B863" s="10">
        <f>82.2153 * CHOOSE(CONTROL!$C$9, $D$9, 100%, $F$9) + CHOOSE(CONTROL!$C$27, 0.0021, 0)</f>
        <v>82.217399999999998</v>
      </c>
      <c r="C863" s="10">
        <f>81.783 * CHOOSE(CONTROL!$C$9, $D$9, 100%, $F$9) + CHOOSE(CONTROL!$C$27, 0.0021, 0)</f>
        <v>81.7851</v>
      </c>
      <c r="D863" s="10">
        <f>81.783 * CHOOSE(CONTROL!$C$9, $D$9, 100%, $F$9) + CHOOSE(CONTROL!$C$27, 0.0021, 0)</f>
        <v>81.7851</v>
      </c>
      <c r="E863" s="10">
        <f>81.6464 * CHOOSE(CONTROL!$C$9, $D$9, 100%, $F$9) + CHOOSE(CONTROL!$C$27, 0.0021, 0)</f>
        <v>81.648499999999999</v>
      </c>
      <c r="F863" s="10">
        <f>81.6464 * CHOOSE(CONTROL!$C$9, $D$9, 100%, $F$9) + CHOOSE(CONTROL!$C$27, 0.0021, 0)</f>
        <v>81.648499999999999</v>
      </c>
      <c r="G863" s="10">
        <f>81.9178 * CHOOSE(CONTROL!$C$9, $D$9, 100%, $F$9) + CHOOSE(CONTROL!$C$27, 0.0021, 0)</f>
        <v>81.919899999999998</v>
      </c>
      <c r="H863" s="10">
        <f>81.783 * CHOOSE(CONTROL!$C$9, $D$9, 100%, $F$9) + CHOOSE(CONTROL!$C$27, 0.0021, 0)</f>
        <v>81.7851</v>
      </c>
      <c r="I863" s="10">
        <f>81.783 * CHOOSE(CONTROL!$C$9, $D$9, 100%, $F$9) + CHOOSE(CONTROL!$C$27, 0.0021, 0)</f>
        <v>81.7851</v>
      </c>
      <c r="J863" s="10">
        <f>81.783 * CHOOSE(CONTROL!$C$9, $D$9, 100%, $F$9) + CHOOSE(CONTROL!$C$27, 0.0021, 0)</f>
        <v>81.7851</v>
      </c>
      <c r="K863" s="10">
        <f>81.783 * CHOOSE(CONTROL!$C$9, $D$9, 100%, $F$9) + CHOOSE(CONTROL!$C$27, 0.0021, 0)</f>
        <v>81.7851</v>
      </c>
      <c r="L863" s="10"/>
    </row>
    <row r="864" spans="1:12" ht="15.75">
      <c r="A864" s="13">
        <v>67603</v>
      </c>
      <c r="B864" s="10">
        <f>80.9915 * CHOOSE(CONTROL!$C$9, $D$9, 100%, $F$9) + CHOOSE(CONTROL!$C$27, 0.0021, 0)</f>
        <v>80.993600000000001</v>
      </c>
      <c r="C864" s="10">
        <f>80.5592 * CHOOSE(CONTROL!$C$9, $D$9, 100%, $F$9) + CHOOSE(CONTROL!$C$27, 0.0021, 0)</f>
        <v>80.561300000000003</v>
      </c>
      <c r="D864" s="10">
        <f>80.5592 * CHOOSE(CONTROL!$C$9, $D$9, 100%, $F$9) + CHOOSE(CONTROL!$C$27, 0.0021, 0)</f>
        <v>80.561300000000003</v>
      </c>
      <c r="E864" s="10">
        <f>80.4226 * CHOOSE(CONTROL!$C$9, $D$9, 100%, $F$9) + CHOOSE(CONTROL!$C$27, 0.0021, 0)</f>
        <v>80.424700000000001</v>
      </c>
      <c r="F864" s="10">
        <f>80.4226 * CHOOSE(CONTROL!$C$9, $D$9, 100%, $F$9) + CHOOSE(CONTROL!$C$27, 0.0021, 0)</f>
        <v>80.424700000000001</v>
      </c>
      <c r="G864" s="10">
        <f>80.6939 * CHOOSE(CONTROL!$C$9, $D$9, 100%, $F$9) + CHOOSE(CONTROL!$C$27, 0.0021, 0)</f>
        <v>80.695999999999998</v>
      </c>
      <c r="H864" s="10">
        <f>80.5592 * CHOOSE(CONTROL!$C$9, $D$9, 100%, $F$9) + CHOOSE(CONTROL!$C$27, 0.0021, 0)</f>
        <v>80.561300000000003</v>
      </c>
      <c r="I864" s="10">
        <f>80.5592 * CHOOSE(CONTROL!$C$9, $D$9, 100%, $F$9) + CHOOSE(CONTROL!$C$27, 0.0021, 0)</f>
        <v>80.561300000000003</v>
      </c>
      <c r="J864" s="10">
        <f>80.5592 * CHOOSE(CONTROL!$C$9, $D$9, 100%, $F$9) + CHOOSE(CONTROL!$C$27, 0.0021, 0)</f>
        <v>80.561300000000003</v>
      </c>
      <c r="K864" s="10">
        <f>80.5592 * CHOOSE(CONTROL!$C$9, $D$9, 100%, $F$9) + CHOOSE(CONTROL!$C$27, 0.0021, 0)</f>
        <v>80.561300000000003</v>
      </c>
      <c r="L864" s="10"/>
    </row>
    <row r="865" spans="1:12" ht="15.75">
      <c r="A865" s="13">
        <v>67631</v>
      </c>
      <c r="B865" s="10">
        <f>78.7654 * CHOOSE(CONTROL!$C$9, $D$9, 100%, $F$9) + CHOOSE(CONTROL!$C$27, 0.0021, 0)</f>
        <v>78.767499999999998</v>
      </c>
      <c r="C865" s="10">
        <f>78.3332 * CHOOSE(CONTROL!$C$9, $D$9, 100%, $F$9) + CHOOSE(CONTROL!$C$27, 0.0021, 0)</f>
        <v>78.335300000000004</v>
      </c>
      <c r="D865" s="10">
        <f>78.3332 * CHOOSE(CONTROL!$C$9, $D$9, 100%, $F$9) + CHOOSE(CONTROL!$C$27, 0.0021, 0)</f>
        <v>78.335300000000004</v>
      </c>
      <c r="E865" s="10">
        <f>78.1965 * CHOOSE(CONTROL!$C$9, $D$9, 100%, $F$9) + CHOOSE(CONTROL!$C$27, 0.0021, 0)</f>
        <v>78.198599999999999</v>
      </c>
      <c r="F865" s="10">
        <f>78.1965 * CHOOSE(CONTROL!$C$9, $D$9, 100%, $F$9) + CHOOSE(CONTROL!$C$27, 0.0021, 0)</f>
        <v>78.198599999999999</v>
      </c>
      <c r="G865" s="10">
        <f>78.4679 * CHOOSE(CONTROL!$C$9, $D$9, 100%, $F$9) + CHOOSE(CONTROL!$C$27, 0.0021, 0)</f>
        <v>78.47</v>
      </c>
      <c r="H865" s="10">
        <f>78.3332 * CHOOSE(CONTROL!$C$9, $D$9, 100%, $F$9) + CHOOSE(CONTROL!$C$27, 0.0021, 0)</f>
        <v>78.335300000000004</v>
      </c>
      <c r="I865" s="10">
        <f>78.3332 * CHOOSE(CONTROL!$C$9, $D$9, 100%, $F$9) + CHOOSE(CONTROL!$C$27, 0.0021, 0)</f>
        <v>78.335300000000004</v>
      </c>
      <c r="J865" s="10">
        <f>78.3332 * CHOOSE(CONTROL!$C$9, $D$9, 100%, $F$9) + CHOOSE(CONTROL!$C$27, 0.0021, 0)</f>
        <v>78.335300000000004</v>
      </c>
      <c r="K865" s="10">
        <f>78.3332 * CHOOSE(CONTROL!$C$9, $D$9, 100%, $F$9) + CHOOSE(CONTROL!$C$27, 0.0021, 0)</f>
        <v>78.335300000000004</v>
      </c>
      <c r="L865" s="10"/>
    </row>
    <row r="866" spans="1:12" ht="15.75">
      <c r="A866" s="13">
        <v>67662</v>
      </c>
      <c r="B866" s="10">
        <f>77.8465 * CHOOSE(CONTROL!$C$9, $D$9, 100%, $F$9) + CHOOSE(CONTROL!$C$27, 0.0021, 0)</f>
        <v>77.848600000000005</v>
      </c>
      <c r="C866" s="10">
        <f>77.4143 * CHOOSE(CONTROL!$C$9, $D$9, 100%, $F$9) + CHOOSE(CONTROL!$C$27, 0.0021, 0)</f>
        <v>77.416399999999996</v>
      </c>
      <c r="D866" s="10">
        <f>77.4143 * CHOOSE(CONTROL!$C$9, $D$9, 100%, $F$9) + CHOOSE(CONTROL!$C$27, 0.0021, 0)</f>
        <v>77.416399999999996</v>
      </c>
      <c r="E866" s="10">
        <f>77.2776 * CHOOSE(CONTROL!$C$9, $D$9, 100%, $F$9) + CHOOSE(CONTROL!$C$27, 0.0021, 0)</f>
        <v>77.279700000000005</v>
      </c>
      <c r="F866" s="10">
        <f>77.2776 * CHOOSE(CONTROL!$C$9, $D$9, 100%, $F$9) + CHOOSE(CONTROL!$C$27, 0.0021, 0)</f>
        <v>77.279700000000005</v>
      </c>
      <c r="G866" s="10">
        <f>77.549 * CHOOSE(CONTROL!$C$9, $D$9, 100%, $F$9) + CHOOSE(CONTROL!$C$27, 0.0021, 0)</f>
        <v>77.551100000000005</v>
      </c>
      <c r="H866" s="10">
        <f>77.4143 * CHOOSE(CONTROL!$C$9, $D$9, 100%, $F$9) + CHOOSE(CONTROL!$C$27, 0.0021, 0)</f>
        <v>77.416399999999996</v>
      </c>
      <c r="I866" s="10">
        <f>77.4143 * CHOOSE(CONTROL!$C$9, $D$9, 100%, $F$9) + CHOOSE(CONTROL!$C$27, 0.0021, 0)</f>
        <v>77.416399999999996</v>
      </c>
      <c r="J866" s="10">
        <f>77.4143 * CHOOSE(CONTROL!$C$9, $D$9, 100%, $F$9) + CHOOSE(CONTROL!$C$27, 0.0021, 0)</f>
        <v>77.416399999999996</v>
      </c>
      <c r="K866" s="10">
        <f>77.4143 * CHOOSE(CONTROL!$C$9, $D$9, 100%, $F$9) + CHOOSE(CONTROL!$C$27, 0.0021, 0)</f>
        <v>77.416399999999996</v>
      </c>
      <c r="L866" s="10"/>
    </row>
    <row r="867" spans="1:12" ht="15.75">
      <c r="A867" s="13">
        <v>67692</v>
      </c>
      <c r="B867" s="10">
        <f>76.7493 * CHOOSE(CONTROL!$C$9, $D$9, 100%, $F$9) + CHOOSE(CONTROL!$C$27, 0.0021, 0)</f>
        <v>76.751400000000004</v>
      </c>
      <c r="C867" s="10">
        <f>76.3171 * CHOOSE(CONTROL!$C$9, $D$9, 100%, $F$9) + CHOOSE(CONTROL!$C$27, 0.0021, 0)</f>
        <v>76.319199999999995</v>
      </c>
      <c r="D867" s="10">
        <f>76.3171 * CHOOSE(CONTROL!$C$9, $D$9, 100%, $F$9) + CHOOSE(CONTROL!$C$27, 0.0021, 0)</f>
        <v>76.319199999999995</v>
      </c>
      <c r="E867" s="10">
        <f>76.1804 * CHOOSE(CONTROL!$C$9, $D$9, 100%, $F$9) + CHOOSE(CONTROL!$C$27, 0.0021, 0)</f>
        <v>76.182500000000005</v>
      </c>
      <c r="F867" s="10">
        <f>76.1804 * CHOOSE(CONTROL!$C$9, $D$9, 100%, $F$9) + CHOOSE(CONTROL!$C$27, 0.0021, 0)</f>
        <v>76.182500000000005</v>
      </c>
      <c r="G867" s="10">
        <f>76.4518 * CHOOSE(CONTROL!$C$9, $D$9, 100%, $F$9) + CHOOSE(CONTROL!$C$27, 0.0021, 0)</f>
        <v>76.453900000000004</v>
      </c>
      <c r="H867" s="10">
        <f>76.3171 * CHOOSE(CONTROL!$C$9, $D$9, 100%, $F$9) + CHOOSE(CONTROL!$C$27, 0.0021, 0)</f>
        <v>76.319199999999995</v>
      </c>
      <c r="I867" s="10">
        <f>76.3171 * CHOOSE(CONTROL!$C$9, $D$9, 100%, $F$9) + CHOOSE(CONTROL!$C$27, 0.0021, 0)</f>
        <v>76.319199999999995</v>
      </c>
      <c r="J867" s="10">
        <f>76.3171 * CHOOSE(CONTROL!$C$9, $D$9, 100%, $F$9) + CHOOSE(CONTROL!$C$27, 0.0021, 0)</f>
        <v>76.319199999999995</v>
      </c>
      <c r="K867" s="10">
        <f>76.3171 * CHOOSE(CONTROL!$C$9, $D$9, 100%, $F$9) + CHOOSE(CONTROL!$C$27, 0.0021, 0)</f>
        <v>76.319199999999995</v>
      </c>
      <c r="L867" s="10"/>
    </row>
    <row r="868" spans="1:12" ht="15.75">
      <c r="A868" s="13">
        <v>67723</v>
      </c>
      <c r="B868" s="10">
        <f>78.313 * CHOOSE(CONTROL!$C$9, $D$9, 100%, $F$9) + CHOOSE(CONTROL!$C$27, 0.0021, 0)</f>
        <v>78.315100000000001</v>
      </c>
      <c r="C868" s="10">
        <f>77.8807 * CHOOSE(CONTROL!$C$9, $D$9, 100%, $F$9) + CHOOSE(CONTROL!$C$27, 0.0021, 0)</f>
        <v>77.882800000000003</v>
      </c>
      <c r="D868" s="10">
        <f>77.8807 * CHOOSE(CONTROL!$C$9, $D$9, 100%, $F$9) + CHOOSE(CONTROL!$C$27, 0.0021, 0)</f>
        <v>77.882800000000003</v>
      </c>
      <c r="E868" s="10">
        <f>77.7441 * CHOOSE(CONTROL!$C$9, $D$9, 100%, $F$9) + CHOOSE(CONTROL!$C$27, 0.0021, 0)</f>
        <v>77.746200000000002</v>
      </c>
      <c r="F868" s="10">
        <f>77.7441 * CHOOSE(CONTROL!$C$9, $D$9, 100%, $F$9) + CHOOSE(CONTROL!$C$27, 0.0021, 0)</f>
        <v>77.746200000000002</v>
      </c>
      <c r="G868" s="10">
        <f>78.0154 * CHOOSE(CONTROL!$C$9, $D$9, 100%, $F$9) + CHOOSE(CONTROL!$C$27, 0.0021, 0)</f>
        <v>78.017499999999998</v>
      </c>
      <c r="H868" s="10">
        <f>77.8807 * CHOOSE(CONTROL!$C$9, $D$9, 100%, $F$9) + CHOOSE(CONTROL!$C$27, 0.0021, 0)</f>
        <v>77.882800000000003</v>
      </c>
      <c r="I868" s="10">
        <f>77.8807 * CHOOSE(CONTROL!$C$9, $D$9, 100%, $F$9) + CHOOSE(CONTROL!$C$27, 0.0021, 0)</f>
        <v>77.882800000000003</v>
      </c>
      <c r="J868" s="10">
        <f>77.8807 * CHOOSE(CONTROL!$C$9, $D$9, 100%, $F$9) + CHOOSE(CONTROL!$C$27, 0.0021, 0)</f>
        <v>77.882800000000003</v>
      </c>
      <c r="K868" s="10">
        <f>77.8807 * CHOOSE(CONTROL!$C$9, $D$9, 100%, $F$9) + CHOOSE(CONTROL!$C$27, 0.0021, 0)</f>
        <v>77.882800000000003</v>
      </c>
      <c r="L868" s="10"/>
    </row>
    <row r="869" spans="1:12" ht="15.75">
      <c r="A869" s="13">
        <v>67753</v>
      </c>
      <c r="B869" s="10">
        <f>79.2495 * CHOOSE(CONTROL!$C$9, $D$9, 100%, $F$9) + CHOOSE(CONTROL!$C$27, 0.0021, 0)</f>
        <v>79.251599999999996</v>
      </c>
      <c r="C869" s="10">
        <f>78.8173 * CHOOSE(CONTROL!$C$9, $D$9, 100%, $F$9) + CHOOSE(CONTROL!$C$27, 0.0021, 0)</f>
        <v>78.819400000000002</v>
      </c>
      <c r="D869" s="10">
        <f>78.8173 * CHOOSE(CONTROL!$C$9, $D$9, 100%, $F$9) + CHOOSE(CONTROL!$C$27, 0.0021, 0)</f>
        <v>78.819400000000002</v>
      </c>
      <c r="E869" s="10">
        <f>78.6806 * CHOOSE(CONTROL!$C$9, $D$9, 100%, $F$9) + CHOOSE(CONTROL!$C$27, 0.0021, 0)</f>
        <v>78.682699999999997</v>
      </c>
      <c r="F869" s="10">
        <f>78.6806 * CHOOSE(CONTROL!$C$9, $D$9, 100%, $F$9) + CHOOSE(CONTROL!$C$27, 0.0021, 0)</f>
        <v>78.682699999999997</v>
      </c>
      <c r="G869" s="10">
        <f>78.952 * CHOOSE(CONTROL!$C$9, $D$9, 100%, $F$9) + CHOOSE(CONTROL!$C$27, 0.0021, 0)</f>
        <v>78.954099999999997</v>
      </c>
      <c r="H869" s="10">
        <f>78.8173 * CHOOSE(CONTROL!$C$9, $D$9, 100%, $F$9) + CHOOSE(CONTROL!$C$27, 0.0021, 0)</f>
        <v>78.819400000000002</v>
      </c>
      <c r="I869" s="10">
        <f>78.8173 * CHOOSE(CONTROL!$C$9, $D$9, 100%, $F$9) + CHOOSE(CONTROL!$C$27, 0.0021, 0)</f>
        <v>78.819400000000002</v>
      </c>
      <c r="J869" s="10">
        <f>78.8173 * CHOOSE(CONTROL!$C$9, $D$9, 100%, $F$9) + CHOOSE(CONTROL!$C$27, 0.0021, 0)</f>
        <v>78.819400000000002</v>
      </c>
      <c r="K869" s="10">
        <f>78.8173 * CHOOSE(CONTROL!$C$9, $D$9, 100%, $F$9) + CHOOSE(CONTROL!$C$27, 0.0021, 0)</f>
        <v>78.819400000000002</v>
      </c>
      <c r="L869" s="10"/>
    </row>
    <row r="870" spans="1:12" ht="15.75">
      <c r="A870" s="13">
        <v>67784</v>
      </c>
      <c r="B870" s="10">
        <f>80.7945 * CHOOSE(CONTROL!$C$9, $D$9, 100%, $F$9) + CHOOSE(CONTROL!$C$27, 0.0021, 0)</f>
        <v>80.796599999999998</v>
      </c>
      <c r="C870" s="10">
        <f>80.3622 * CHOOSE(CONTROL!$C$9, $D$9, 100%, $F$9) + CHOOSE(CONTROL!$C$27, 0.0021, 0)</f>
        <v>80.3643</v>
      </c>
      <c r="D870" s="10">
        <f>80.3622 * CHOOSE(CONTROL!$C$9, $D$9, 100%, $F$9) + CHOOSE(CONTROL!$C$27, 0.0021, 0)</f>
        <v>80.3643</v>
      </c>
      <c r="E870" s="10">
        <f>80.2256 * CHOOSE(CONTROL!$C$9, $D$9, 100%, $F$9) + CHOOSE(CONTROL!$C$27, 0.0021, 0)</f>
        <v>80.227699999999999</v>
      </c>
      <c r="F870" s="10">
        <f>80.2256 * CHOOSE(CONTROL!$C$9, $D$9, 100%, $F$9) + CHOOSE(CONTROL!$C$27, 0.0021, 0)</f>
        <v>80.227699999999999</v>
      </c>
      <c r="G870" s="10">
        <f>80.4969 * CHOOSE(CONTROL!$C$9, $D$9, 100%, $F$9) + CHOOSE(CONTROL!$C$27, 0.0021, 0)</f>
        <v>80.498999999999995</v>
      </c>
      <c r="H870" s="10">
        <f>80.3622 * CHOOSE(CONTROL!$C$9, $D$9, 100%, $F$9) + CHOOSE(CONTROL!$C$27, 0.0021, 0)</f>
        <v>80.3643</v>
      </c>
      <c r="I870" s="10">
        <f>80.3622 * CHOOSE(CONTROL!$C$9, $D$9, 100%, $F$9) + CHOOSE(CONTROL!$C$27, 0.0021, 0)</f>
        <v>80.3643</v>
      </c>
      <c r="J870" s="10">
        <f>80.3622 * CHOOSE(CONTROL!$C$9, $D$9, 100%, $F$9) + CHOOSE(CONTROL!$C$27, 0.0021, 0)</f>
        <v>80.3643</v>
      </c>
      <c r="K870" s="10">
        <f>80.3622 * CHOOSE(CONTROL!$C$9, $D$9, 100%, $F$9) + CHOOSE(CONTROL!$C$27, 0.0021, 0)</f>
        <v>80.3643</v>
      </c>
      <c r="L870" s="10"/>
    </row>
    <row r="871" spans="1:12" ht="15.75">
      <c r="A871" s="13">
        <v>67815</v>
      </c>
      <c r="B871" s="10">
        <f>81.2661 * CHOOSE(CONTROL!$C$9, $D$9, 100%, $F$9) + CHOOSE(CONTROL!$C$27, 0.0021, 0)</f>
        <v>81.268199999999993</v>
      </c>
      <c r="C871" s="10">
        <f>80.8338 * CHOOSE(CONTROL!$C$9, $D$9, 100%, $F$9) + CHOOSE(CONTROL!$C$27, 0.0021, 0)</f>
        <v>80.835899999999995</v>
      </c>
      <c r="D871" s="10">
        <f>80.8338 * CHOOSE(CONTROL!$C$9, $D$9, 100%, $F$9) + CHOOSE(CONTROL!$C$27, 0.0021, 0)</f>
        <v>80.835899999999995</v>
      </c>
      <c r="E871" s="10">
        <f>80.6971 * CHOOSE(CONTROL!$C$9, $D$9, 100%, $F$9) + CHOOSE(CONTROL!$C$27, 0.0021, 0)</f>
        <v>80.699200000000005</v>
      </c>
      <c r="F871" s="10">
        <f>80.6971 * CHOOSE(CONTROL!$C$9, $D$9, 100%, $F$9) + CHOOSE(CONTROL!$C$27, 0.0021, 0)</f>
        <v>80.699200000000005</v>
      </c>
      <c r="G871" s="10">
        <f>80.9685 * CHOOSE(CONTROL!$C$9, $D$9, 100%, $F$9) + CHOOSE(CONTROL!$C$27, 0.0021, 0)</f>
        <v>80.970600000000005</v>
      </c>
      <c r="H871" s="10">
        <f>80.8338 * CHOOSE(CONTROL!$C$9, $D$9, 100%, $F$9) + CHOOSE(CONTROL!$C$27, 0.0021, 0)</f>
        <v>80.835899999999995</v>
      </c>
      <c r="I871" s="10">
        <f>80.8338 * CHOOSE(CONTROL!$C$9, $D$9, 100%, $F$9) + CHOOSE(CONTROL!$C$27, 0.0021, 0)</f>
        <v>80.835899999999995</v>
      </c>
      <c r="J871" s="10">
        <f>80.8338 * CHOOSE(CONTROL!$C$9, $D$9, 100%, $F$9) + CHOOSE(CONTROL!$C$27, 0.0021, 0)</f>
        <v>80.835899999999995</v>
      </c>
      <c r="K871" s="10">
        <f>80.8338 * CHOOSE(CONTROL!$C$9, $D$9, 100%, $F$9) + CHOOSE(CONTROL!$C$27, 0.0021, 0)</f>
        <v>80.835899999999995</v>
      </c>
      <c r="L871" s="10"/>
    </row>
    <row r="872" spans="1:12" ht="15.75">
      <c r="A872" s="13">
        <v>67845</v>
      </c>
      <c r="B872" s="10">
        <f>82.872 * CHOOSE(CONTROL!$C$9, $D$9, 100%, $F$9) + CHOOSE(CONTROL!$C$27, 0.0021, 0)</f>
        <v>82.874099999999999</v>
      </c>
      <c r="C872" s="10">
        <f>82.4397 * CHOOSE(CONTROL!$C$9, $D$9, 100%, $F$9) + CHOOSE(CONTROL!$C$27, 0.0021, 0)</f>
        <v>82.441800000000001</v>
      </c>
      <c r="D872" s="10">
        <f>82.4397 * CHOOSE(CONTROL!$C$9, $D$9, 100%, $F$9) + CHOOSE(CONTROL!$C$27, 0.0021, 0)</f>
        <v>82.441800000000001</v>
      </c>
      <c r="E872" s="10">
        <f>82.3031 * CHOOSE(CONTROL!$C$9, $D$9, 100%, $F$9) + CHOOSE(CONTROL!$C$27, 0.0021, 0)</f>
        <v>82.305199999999999</v>
      </c>
      <c r="F872" s="10">
        <f>82.3031 * CHOOSE(CONTROL!$C$9, $D$9, 100%, $F$9) + CHOOSE(CONTROL!$C$27, 0.0021, 0)</f>
        <v>82.305199999999999</v>
      </c>
      <c r="G872" s="10">
        <f>82.5745 * CHOOSE(CONTROL!$C$9, $D$9, 100%, $F$9) + CHOOSE(CONTROL!$C$27, 0.0021, 0)</f>
        <v>82.576599999999999</v>
      </c>
      <c r="H872" s="10">
        <f>82.4397 * CHOOSE(CONTROL!$C$9, $D$9, 100%, $F$9) + CHOOSE(CONTROL!$C$27, 0.0021, 0)</f>
        <v>82.441800000000001</v>
      </c>
      <c r="I872" s="10">
        <f>82.4397 * CHOOSE(CONTROL!$C$9, $D$9, 100%, $F$9) + CHOOSE(CONTROL!$C$27, 0.0021, 0)</f>
        <v>82.441800000000001</v>
      </c>
      <c r="J872" s="10">
        <f>82.4397 * CHOOSE(CONTROL!$C$9, $D$9, 100%, $F$9) + CHOOSE(CONTROL!$C$27, 0.0021, 0)</f>
        <v>82.441800000000001</v>
      </c>
      <c r="K872" s="10">
        <f>82.4397 * CHOOSE(CONTROL!$C$9, $D$9, 100%, $F$9) + CHOOSE(CONTROL!$C$27, 0.0021, 0)</f>
        <v>82.441800000000001</v>
      </c>
      <c r="L872" s="10"/>
    </row>
    <row r="873" spans="1:12" ht="15.75">
      <c r="A873" s="13">
        <v>67876</v>
      </c>
      <c r="B873" s="10">
        <f>84.9048 * CHOOSE(CONTROL!$C$9, $D$9, 100%, $F$9) + CHOOSE(CONTROL!$C$27, 0.0021, 0)</f>
        <v>84.906899999999993</v>
      </c>
      <c r="C873" s="10">
        <f>84.4726 * CHOOSE(CONTROL!$C$9, $D$9, 100%, $F$9) + CHOOSE(CONTROL!$C$27, 0.0021, 0)</f>
        <v>84.474699999999999</v>
      </c>
      <c r="D873" s="10">
        <f>84.4726 * CHOOSE(CONTROL!$C$9, $D$9, 100%, $F$9) + CHOOSE(CONTROL!$C$27, 0.0021, 0)</f>
        <v>84.474699999999999</v>
      </c>
      <c r="E873" s="10">
        <f>84.3359 * CHOOSE(CONTROL!$C$9, $D$9, 100%, $F$9) + CHOOSE(CONTROL!$C$27, 0.0021, 0)</f>
        <v>84.337999999999994</v>
      </c>
      <c r="F873" s="10">
        <f>84.3359 * CHOOSE(CONTROL!$C$9, $D$9, 100%, $F$9) + CHOOSE(CONTROL!$C$27, 0.0021, 0)</f>
        <v>84.337999999999994</v>
      </c>
      <c r="G873" s="10">
        <f>84.6073 * CHOOSE(CONTROL!$C$9, $D$9, 100%, $F$9) + CHOOSE(CONTROL!$C$27, 0.0021, 0)</f>
        <v>84.609399999999994</v>
      </c>
      <c r="H873" s="10">
        <f>84.4726 * CHOOSE(CONTROL!$C$9, $D$9, 100%, $F$9) + CHOOSE(CONTROL!$C$27, 0.0021, 0)</f>
        <v>84.474699999999999</v>
      </c>
      <c r="I873" s="10">
        <f>84.4726 * CHOOSE(CONTROL!$C$9, $D$9, 100%, $F$9) + CHOOSE(CONTROL!$C$27, 0.0021, 0)</f>
        <v>84.474699999999999</v>
      </c>
      <c r="J873" s="10">
        <f>84.4726 * CHOOSE(CONTROL!$C$9, $D$9, 100%, $F$9) + CHOOSE(CONTROL!$C$27, 0.0021, 0)</f>
        <v>84.474699999999999</v>
      </c>
      <c r="K873" s="10">
        <f>84.4726 * CHOOSE(CONTROL!$C$9, $D$9, 100%, $F$9) + CHOOSE(CONTROL!$C$27, 0.0021, 0)</f>
        <v>84.474699999999999</v>
      </c>
      <c r="L873" s="10"/>
    </row>
    <row r="874" spans="1:12" ht="15.75">
      <c r="A874" s="13">
        <v>67906</v>
      </c>
      <c r="B874" s="10">
        <f>85.0956 * CHOOSE(CONTROL!$C$9, $D$9, 100%, $F$9) + CHOOSE(CONTROL!$C$27, 0.0021, 0)</f>
        <v>85.097700000000003</v>
      </c>
      <c r="C874" s="10">
        <f>84.6634 * CHOOSE(CONTROL!$C$9, $D$9, 100%, $F$9) + CHOOSE(CONTROL!$C$27, 0.0021, 0)</f>
        <v>84.665499999999994</v>
      </c>
      <c r="D874" s="10">
        <f>84.6634 * CHOOSE(CONTROL!$C$9, $D$9, 100%, $F$9) + CHOOSE(CONTROL!$C$27, 0.0021, 0)</f>
        <v>84.665499999999994</v>
      </c>
      <c r="E874" s="10">
        <f>84.5267 * CHOOSE(CONTROL!$C$9, $D$9, 100%, $F$9) + CHOOSE(CONTROL!$C$27, 0.0021, 0)</f>
        <v>84.528800000000004</v>
      </c>
      <c r="F874" s="10">
        <f>84.5267 * CHOOSE(CONTROL!$C$9, $D$9, 100%, $F$9) + CHOOSE(CONTROL!$C$27, 0.0021, 0)</f>
        <v>84.528800000000004</v>
      </c>
      <c r="G874" s="10">
        <f>84.7981 * CHOOSE(CONTROL!$C$9, $D$9, 100%, $F$9) + CHOOSE(CONTROL!$C$27, 0.0021, 0)</f>
        <v>84.800200000000004</v>
      </c>
      <c r="H874" s="10">
        <f>84.6634 * CHOOSE(CONTROL!$C$9, $D$9, 100%, $F$9) + CHOOSE(CONTROL!$C$27, 0.0021, 0)</f>
        <v>84.665499999999994</v>
      </c>
      <c r="I874" s="10">
        <f>84.6634 * CHOOSE(CONTROL!$C$9, $D$9, 100%, $F$9) + CHOOSE(CONTROL!$C$27, 0.0021, 0)</f>
        <v>84.665499999999994</v>
      </c>
      <c r="J874" s="10">
        <f>84.6634 * CHOOSE(CONTROL!$C$9, $D$9, 100%, $F$9) + CHOOSE(CONTROL!$C$27, 0.0021, 0)</f>
        <v>84.665499999999994</v>
      </c>
      <c r="K874" s="10">
        <f>84.6634 * CHOOSE(CONTROL!$C$9, $D$9, 100%, $F$9) + CHOOSE(CONTROL!$C$27, 0.0021, 0)</f>
        <v>84.665499999999994</v>
      </c>
      <c r="L874" s="10"/>
    </row>
    <row r="875" spans="1:12" ht="15.75">
      <c r="A875" s="13">
        <v>67937</v>
      </c>
      <c r="B875" s="10">
        <f>83.4721 * CHOOSE(CONTROL!$C$9, $D$9, 100%, $F$9) + CHOOSE(CONTROL!$C$27, 0.0021, 0)</f>
        <v>83.474199999999996</v>
      </c>
      <c r="C875" s="10">
        <f>83.0398 * CHOOSE(CONTROL!$C$9, $D$9, 100%, $F$9) + CHOOSE(CONTROL!$C$27, 0.0021, 0)</f>
        <v>83.041899999999998</v>
      </c>
      <c r="D875" s="10">
        <f>83.0398 * CHOOSE(CONTROL!$C$9, $D$9, 100%, $F$9) + CHOOSE(CONTROL!$C$27, 0.0021, 0)</f>
        <v>83.041899999999998</v>
      </c>
      <c r="E875" s="10">
        <f>82.9032 * CHOOSE(CONTROL!$C$9, $D$9, 100%, $F$9) + CHOOSE(CONTROL!$C$27, 0.0021, 0)</f>
        <v>82.905299999999997</v>
      </c>
      <c r="F875" s="10">
        <f>82.9032 * CHOOSE(CONTROL!$C$9, $D$9, 100%, $F$9) + CHOOSE(CONTROL!$C$27, 0.0021, 0)</f>
        <v>82.905299999999997</v>
      </c>
      <c r="G875" s="10">
        <f>83.1745 * CHOOSE(CONTROL!$C$9, $D$9, 100%, $F$9) + CHOOSE(CONTROL!$C$27, 0.0021, 0)</f>
        <v>83.176599999999993</v>
      </c>
      <c r="H875" s="10">
        <f>83.0398 * CHOOSE(CONTROL!$C$9, $D$9, 100%, $F$9) + CHOOSE(CONTROL!$C$27, 0.0021, 0)</f>
        <v>83.041899999999998</v>
      </c>
      <c r="I875" s="10">
        <f>83.0398 * CHOOSE(CONTROL!$C$9, $D$9, 100%, $F$9) + CHOOSE(CONTROL!$C$27, 0.0021, 0)</f>
        <v>83.041899999999998</v>
      </c>
      <c r="J875" s="10">
        <f>83.0398 * CHOOSE(CONTROL!$C$9, $D$9, 100%, $F$9) + CHOOSE(CONTROL!$C$27, 0.0021, 0)</f>
        <v>83.041899999999998</v>
      </c>
      <c r="K875" s="10">
        <f>83.0398 * CHOOSE(CONTROL!$C$9, $D$9, 100%, $F$9) + CHOOSE(CONTROL!$C$27, 0.0021, 0)</f>
        <v>83.041899999999998</v>
      </c>
      <c r="L875" s="10"/>
    </row>
    <row r="876" spans="1:12" ht="15.75">
      <c r="A876" s="13">
        <v>67968</v>
      </c>
      <c r="B876" s="10">
        <f>82.229 * CHOOSE(CONTROL!$C$9, $D$9, 100%, $F$9) + CHOOSE(CONTROL!$C$27, 0.0021, 0)</f>
        <v>82.231099999999998</v>
      </c>
      <c r="C876" s="10">
        <f>81.7968 * CHOOSE(CONTROL!$C$9, $D$9, 100%, $F$9) + CHOOSE(CONTROL!$C$27, 0.0021, 0)</f>
        <v>81.798900000000003</v>
      </c>
      <c r="D876" s="10">
        <f>81.7968 * CHOOSE(CONTROL!$C$9, $D$9, 100%, $F$9) + CHOOSE(CONTROL!$C$27, 0.0021, 0)</f>
        <v>81.798900000000003</v>
      </c>
      <c r="E876" s="10">
        <f>81.6601 * CHOOSE(CONTROL!$C$9, $D$9, 100%, $F$9) + CHOOSE(CONTROL!$C$27, 0.0021, 0)</f>
        <v>81.662199999999999</v>
      </c>
      <c r="F876" s="10">
        <f>81.6601 * CHOOSE(CONTROL!$C$9, $D$9, 100%, $F$9) + CHOOSE(CONTROL!$C$27, 0.0021, 0)</f>
        <v>81.662199999999999</v>
      </c>
      <c r="G876" s="10">
        <f>81.9315 * CHOOSE(CONTROL!$C$9, $D$9, 100%, $F$9) + CHOOSE(CONTROL!$C$27, 0.0021, 0)</f>
        <v>81.933599999999998</v>
      </c>
      <c r="H876" s="10">
        <f>81.7968 * CHOOSE(CONTROL!$C$9, $D$9, 100%, $F$9) + CHOOSE(CONTROL!$C$27, 0.0021, 0)</f>
        <v>81.798900000000003</v>
      </c>
      <c r="I876" s="10">
        <f>81.7968 * CHOOSE(CONTROL!$C$9, $D$9, 100%, $F$9) + CHOOSE(CONTROL!$C$27, 0.0021, 0)</f>
        <v>81.798900000000003</v>
      </c>
      <c r="J876" s="10">
        <f>81.7968 * CHOOSE(CONTROL!$C$9, $D$9, 100%, $F$9) + CHOOSE(CONTROL!$C$27, 0.0021, 0)</f>
        <v>81.798900000000003</v>
      </c>
      <c r="K876" s="10">
        <f>81.7968 * CHOOSE(CONTROL!$C$9, $D$9, 100%, $F$9) + CHOOSE(CONTROL!$C$27, 0.0021, 0)</f>
        <v>81.798900000000003</v>
      </c>
      <c r="L876" s="10"/>
    </row>
    <row r="877" spans="1:12" ht="15.75">
      <c r="A877" s="13">
        <v>67996</v>
      </c>
      <c r="B877" s="10">
        <f>79.968 * CHOOSE(CONTROL!$C$9, $D$9, 100%, $F$9) + CHOOSE(CONTROL!$C$27, 0.0021, 0)</f>
        <v>79.970100000000002</v>
      </c>
      <c r="C877" s="10">
        <f>79.5357 * CHOOSE(CONTROL!$C$9, $D$9, 100%, $F$9) + CHOOSE(CONTROL!$C$27, 0.0021, 0)</f>
        <v>79.537800000000004</v>
      </c>
      <c r="D877" s="10">
        <f>79.5357 * CHOOSE(CONTROL!$C$9, $D$9, 100%, $F$9) + CHOOSE(CONTROL!$C$27, 0.0021, 0)</f>
        <v>79.537800000000004</v>
      </c>
      <c r="E877" s="10">
        <f>79.3991 * CHOOSE(CONTROL!$C$9, $D$9, 100%, $F$9) + CHOOSE(CONTROL!$C$27, 0.0021, 0)</f>
        <v>79.401200000000003</v>
      </c>
      <c r="F877" s="10">
        <f>79.3991 * CHOOSE(CONTROL!$C$9, $D$9, 100%, $F$9) + CHOOSE(CONTROL!$C$27, 0.0021, 0)</f>
        <v>79.401200000000003</v>
      </c>
      <c r="G877" s="10">
        <f>79.6704 * CHOOSE(CONTROL!$C$9, $D$9, 100%, $F$9) + CHOOSE(CONTROL!$C$27, 0.0021, 0)</f>
        <v>79.672499999999999</v>
      </c>
      <c r="H877" s="10">
        <f>79.5357 * CHOOSE(CONTROL!$C$9, $D$9, 100%, $F$9) + CHOOSE(CONTROL!$C$27, 0.0021, 0)</f>
        <v>79.537800000000004</v>
      </c>
      <c r="I877" s="10">
        <f>79.5357 * CHOOSE(CONTROL!$C$9, $D$9, 100%, $F$9) + CHOOSE(CONTROL!$C$27, 0.0021, 0)</f>
        <v>79.537800000000004</v>
      </c>
      <c r="J877" s="10">
        <f>79.5357 * CHOOSE(CONTROL!$C$9, $D$9, 100%, $F$9) + CHOOSE(CONTROL!$C$27, 0.0021, 0)</f>
        <v>79.537800000000004</v>
      </c>
      <c r="K877" s="10">
        <f>79.5357 * CHOOSE(CONTROL!$C$9, $D$9, 100%, $F$9) + CHOOSE(CONTROL!$C$27, 0.0021, 0)</f>
        <v>79.537800000000004</v>
      </c>
      <c r="L877" s="10"/>
    </row>
    <row r="878" spans="1:12" ht="15.75">
      <c r="A878" s="13">
        <v>68027</v>
      </c>
      <c r="B878" s="10">
        <f>79.0346 * CHOOSE(CONTROL!$C$9, $D$9, 100%, $F$9) + CHOOSE(CONTROL!$C$27, 0.0021, 0)</f>
        <v>79.036699999999996</v>
      </c>
      <c r="C878" s="10">
        <f>78.6024 * CHOOSE(CONTROL!$C$9, $D$9, 100%, $F$9) + CHOOSE(CONTROL!$C$27, 0.0021, 0)</f>
        <v>78.604500000000002</v>
      </c>
      <c r="D878" s="10">
        <f>78.6024 * CHOOSE(CONTROL!$C$9, $D$9, 100%, $F$9) + CHOOSE(CONTROL!$C$27, 0.0021, 0)</f>
        <v>78.604500000000002</v>
      </c>
      <c r="E878" s="10">
        <f>78.4657 * CHOOSE(CONTROL!$C$9, $D$9, 100%, $F$9) + CHOOSE(CONTROL!$C$27, 0.0021, 0)</f>
        <v>78.467799999999997</v>
      </c>
      <c r="F878" s="10">
        <f>78.4657 * CHOOSE(CONTROL!$C$9, $D$9, 100%, $F$9) + CHOOSE(CONTROL!$C$27, 0.0021, 0)</f>
        <v>78.467799999999997</v>
      </c>
      <c r="G878" s="10">
        <f>78.7371 * CHOOSE(CONTROL!$C$9, $D$9, 100%, $F$9) + CHOOSE(CONTROL!$C$27, 0.0021, 0)</f>
        <v>78.739199999999997</v>
      </c>
      <c r="H878" s="10">
        <f>78.6024 * CHOOSE(CONTROL!$C$9, $D$9, 100%, $F$9) + CHOOSE(CONTROL!$C$27, 0.0021, 0)</f>
        <v>78.604500000000002</v>
      </c>
      <c r="I878" s="10">
        <f>78.6024 * CHOOSE(CONTROL!$C$9, $D$9, 100%, $F$9) + CHOOSE(CONTROL!$C$27, 0.0021, 0)</f>
        <v>78.604500000000002</v>
      </c>
      <c r="J878" s="10">
        <f>78.6024 * CHOOSE(CONTROL!$C$9, $D$9, 100%, $F$9) + CHOOSE(CONTROL!$C$27, 0.0021, 0)</f>
        <v>78.604500000000002</v>
      </c>
      <c r="K878" s="10">
        <f>78.6024 * CHOOSE(CONTROL!$C$9, $D$9, 100%, $F$9) + CHOOSE(CONTROL!$C$27, 0.0021, 0)</f>
        <v>78.604500000000002</v>
      </c>
      <c r="L878" s="10"/>
    </row>
    <row r="879" spans="1:12" ht="15.75">
      <c r="A879" s="13">
        <v>68057</v>
      </c>
      <c r="B879" s="10">
        <f>77.9202 * CHOOSE(CONTROL!$C$9, $D$9, 100%, $F$9) + CHOOSE(CONTROL!$C$27, 0.0021, 0)</f>
        <v>77.922299999999993</v>
      </c>
      <c r="C879" s="10">
        <f>77.4879 * CHOOSE(CONTROL!$C$9, $D$9, 100%, $F$9) + CHOOSE(CONTROL!$C$27, 0.0021, 0)</f>
        <v>77.489999999999995</v>
      </c>
      <c r="D879" s="10">
        <f>77.4879 * CHOOSE(CONTROL!$C$9, $D$9, 100%, $F$9) + CHOOSE(CONTROL!$C$27, 0.0021, 0)</f>
        <v>77.489999999999995</v>
      </c>
      <c r="E879" s="10">
        <f>77.3513 * CHOOSE(CONTROL!$C$9, $D$9, 100%, $F$9) + CHOOSE(CONTROL!$C$27, 0.0021, 0)</f>
        <v>77.353399999999993</v>
      </c>
      <c r="F879" s="10">
        <f>77.3513 * CHOOSE(CONTROL!$C$9, $D$9, 100%, $F$9) + CHOOSE(CONTROL!$C$27, 0.0021, 0)</f>
        <v>77.353399999999993</v>
      </c>
      <c r="G879" s="10">
        <f>77.6226 * CHOOSE(CONTROL!$C$9, $D$9, 100%, $F$9) + CHOOSE(CONTROL!$C$27, 0.0021, 0)</f>
        <v>77.624700000000004</v>
      </c>
      <c r="H879" s="10">
        <f>77.4879 * CHOOSE(CONTROL!$C$9, $D$9, 100%, $F$9) + CHOOSE(CONTROL!$C$27, 0.0021, 0)</f>
        <v>77.489999999999995</v>
      </c>
      <c r="I879" s="10">
        <f>77.4879 * CHOOSE(CONTROL!$C$9, $D$9, 100%, $F$9) + CHOOSE(CONTROL!$C$27, 0.0021, 0)</f>
        <v>77.489999999999995</v>
      </c>
      <c r="J879" s="10">
        <f>77.4879 * CHOOSE(CONTROL!$C$9, $D$9, 100%, $F$9) + CHOOSE(CONTROL!$C$27, 0.0021, 0)</f>
        <v>77.489999999999995</v>
      </c>
      <c r="K879" s="10">
        <f>77.4879 * CHOOSE(CONTROL!$C$9, $D$9, 100%, $F$9) + CHOOSE(CONTROL!$C$27, 0.0021, 0)</f>
        <v>77.489999999999995</v>
      </c>
      <c r="L879" s="10"/>
    </row>
    <row r="880" spans="1:12" ht="15.75">
      <c r="A880" s="13">
        <v>68088</v>
      </c>
      <c r="B880" s="10">
        <f>79.5084 * CHOOSE(CONTROL!$C$9, $D$9, 100%, $F$9) + CHOOSE(CONTROL!$C$27, 0.0021, 0)</f>
        <v>79.510499999999993</v>
      </c>
      <c r="C880" s="10">
        <f>79.0761 * CHOOSE(CONTROL!$C$9, $D$9, 100%, $F$9) + CHOOSE(CONTROL!$C$27, 0.0021, 0)</f>
        <v>79.078199999999995</v>
      </c>
      <c r="D880" s="10">
        <f>79.0761 * CHOOSE(CONTROL!$C$9, $D$9, 100%, $F$9) + CHOOSE(CONTROL!$C$27, 0.0021, 0)</f>
        <v>79.078199999999995</v>
      </c>
      <c r="E880" s="10">
        <f>78.9395 * CHOOSE(CONTROL!$C$9, $D$9, 100%, $F$9) + CHOOSE(CONTROL!$C$27, 0.0021, 0)</f>
        <v>78.941599999999994</v>
      </c>
      <c r="F880" s="10">
        <f>78.9395 * CHOOSE(CONTROL!$C$9, $D$9, 100%, $F$9) + CHOOSE(CONTROL!$C$27, 0.0021, 0)</f>
        <v>78.941599999999994</v>
      </c>
      <c r="G880" s="10">
        <f>79.2109 * CHOOSE(CONTROL!$C$9, $D$9, 100%, $F$9) + CHOOSE(CONTROL!$C$27, 0.0021, 0)</f>
        <v>79.212999999999994</v>
      </c>
      <c r="H880" s="10">
        <f>79.0761 * CHOOSE(CONTROL!$C$9, $D$9, 100%, $F$9) + CHOOSE(CONTROL!$C$27, 0.0021, 0)</f>
        <v>79.078199999999995</v>
      </c>
      <c r="I880" s="10">
        <f>79.0761 * CHOOSE(CONTROL!$C$9, $D$9, 100%, $F$9) + CHOOSE(CONTROL!$C$27, 0.0021, 0)</f>
        <v>79.078199999999995</v>
      </c>
      <c r="J880" s="10">
        <f>79.0761 * CHOOSE(CONTROL!$C$9, $D$9, 100%, $F$9) + CHOOSE(CONTROL!$C$27, 0.0021, 0)</f>
        <v>79.078199999999995</v>
      </c>
      <c r="K880" s="10">
        <f>79.0761 * CHOOSE(CONTROL!$C$9, $D$9, 100%, $F$9) + CHOOSE(CONTROL!$C$27, 0.0021, 0)</f>
        <v>79.078199999999995</v>
      </c>
      <c r="L880" s="10"/>
    </row>
    <row r="881" spans="1:12" ht="15.75">
      <c r="A881" s="13">
        <v>68118</v>
      </c>
      <c r="B881" s="10">
        <f>80.4597 * CHOOSE(CONTROL!$C$9, $D$9, 100%, $F$9) + CHOOSE(CONTROL!$C$27, 0.0021, 0)</f>
        <v>80.461799999999997</v>
      </c>
      <c r="C881" s="10">
        <f>80.0274 * CHOOSE(CONTROL!$C$9, $D$9, 100%, $F$9) + CHOOSE(CONTROL!$C$27, 0.0021, 0)</f>
        <v>80.029499999999999</v>
      </c>
      <c r="D881" s="10">
        <f>80.0274 * CHOOSE(CONTROL!$C$9, $D$9, 100%, $F$9) + CHOOSE(CONTROL!$C$27, 0.0021, 0)</f>
        <v>80.029499999999999</v>
      </c>
      <c r="E881" s="10">
        <f>79.8908 * CHOOSE(CONTROL!$C$9, $D$9, 100%, $F$9) + CHOOSE(CONTROL!$C$27, 0.0021, 0)</f>
        <v>79.892899999999997</v>
      </c>
      <c r="F881" s="10">
        <f>79.8908 * CHOOSE(CONTROL!$C$9, $D$9, 100%, $F$9) + CHOOSE(CONTROL!$C$27, 0.0021, 0)</f>
        <v>79.892899999999997</v>
      </c>
      <c r="G881" s="10">
        <f>80.1621 * CHOOSE(CONTROL!$C$9, $D$9, 100%, $F$9) + CHOOSE(CONTROL!$C$27, 0.0021, 0)</f>
        <v>80.164199999999994</v>
      </c>
      <c r="H881" s="10">
        <f>80.0274 * CHOOSE(CONTROL!$C$9, $D$9, 100%, $F$9) + CHOOSE(CONTROL!$C$27, 0.0021, 0)</f>
        <v>80.029499999999999</v>
      </c>
      <c r="I881" s="10">
        <f>80.0274 * CHOOSE(CONTROL!$C$9, $D$9, 100%, $F$9) + CHOOSE(CONTROL!$C$27, 0.0021, 0)</f>
        <v>80.029499999999999</v>
      </c>
      <c r="J881" s="10">
        <f>80.0274 * CHOOSE(CONTROL!$C$9, $D$9, 100%, $F$9) + CHOOSE(CONTROL!$C$27, 0.0021, 0)</f>
        <v>80.029499999999999</v>
      </c>
      <c r="K881" s="10">
        <f>80.0274 * CHOOSE(CONTROL!$C$9, $D$9, 100%, $F$9) + CHOOSE(CONTROL!$C$27, 0.0021, 0)</f>
        <v>80.029499999999999</v>
      </c>
      <c r="L881" s="10"/>
    </row>
    <row r="882" spans="1:12" ht="15.75">
      <c r="A882" s="13">
        <v>68149</v>
      </c>
      <c r="B882" s="10">
        <f>82.0289 * CHOOSE(CONTROL!$C$9, $D$9, 100%, $F$9) + CHOOSE(CONTROL!$C$27, 0.0021, 0)</f>
        <v>82.030999999999992</v>
      </c>
      <c r="C882" s="10">
        <f>81.5967 * CHOOSE(CONTROL!$C$9, $D$9, 100%, $F$9) + CHOOSE(CONTROL!$C$27, 0.0021, 0)</f>
        <v>81.598799999999997</v>
      </c>
      <c r="D882" s="10">
        <f>81.5967 * CHOOSE(CONTROL!$C$9, $D$9, 100%, $F$9) + CHOOSE(CONTROL!$C$27, 0.0021, 0)</f>
        <v>81.598799999999997</v>
      </c>
      <c r="E882" s="10">
        <f>81.46 * CHOOSE(CONTROL!$C$9, $D$9, 100%, $F$9) + CHOOSE(CONTROL!$C$27, 0.0021, 0)</f>
        <v>81.462099999999992</v>
      </c>
      <c r="F882" s="10">
        <f>81.46 * CHOOSE(CONTROL!$C$9, $D$9, 100%, $F$9) + CHOOSE(CONTROL!$C$27, 0.0021, 0)</f>
        <v>81.462099999999992</v>
      </c>
      <c r="G882" s="10">
        <f>81.7314 * CHOOSE(CONTROL!$C$9, $D$9, 100%, $F$9) + CHOOSE(CONTROL!$C$27, 0.0021, 0)</f>
        <v>81.733499999999992</v>
      </c>
      <c r="H882" s="10">
        <f>81.5967 * CHOOSE(CONTROL!$C$9, $D$9, 100%, $F$9) + CHOOSE(CONTROL!$C$27, 0.0021, 0)</f>
        <v>81.598799999999997</v>
      </c>
      <c r="I882" s="10">
        <f>81.5967 * CHOOSE(CONTROL!$C$9, $D$9, 100%, $F$9) + CHOOSE(CONTROL!$C$27, 0.0021, 0)</f>
        <v>81.598799999999997</v>
      </c>
      <c r="J882" s="10">
        <f>81.5967 * CHOOSE(CONTROL!$C$9, $D$9, 100%, $F$9) + CHOOSE(CONTROL!$C$27, 0.0021, 0)</f>
        <v>81.598799999999997</v>
      </c>
      <c r="K882" s="10">
        <f>81.5967 * CHOOSE(CONTROL!$C$9, $D$9, 100%, $F$9) + CHOOSE(CONTROL!$C$27, 0.0021, 0)</f>
        <v>81.598799999999997</v>
      </c>
      <c r="L882" s="10"/>
    </row>
    <row r="883" spans="1:12" ht="15.75">
      <c r="A883" s="13">
        <v>68180</v>
      </c>
      <c r="B883" s="10">
        <f>82.5079 * CHOOSE(CONTROL!$C$9, $D$9, 100%, $F$9) + CHOOSE(CONTROL!$C$27, 0.0021, 0)</f>
        <v>82.51</v>
      </c>
      <c r="C883" s="10">
        <f>82.0757 * CHOOSE(CONTROL!$C$9, $D$9, 100%, $F$9) + CHOOSE(CONTROL!$C$27, 0.0021, 0)</f>
        <v>82.077799999999996</v>
      </c>
      <c r="D883" s="10">
        <f>82.0757 * CHOOSE(CONTROL!$C$9, $D$9, 100%, $F$9) + CHOOSE(CONTROL!$C$27, 0.0021, 0)</f>
        <v>82.077799999999996</v>
      </c>
      <c r="E883" s="10">
        <f>81.939 * CHOOSE(CONTROL!$C$9, $D$9, 100%, $F$9) + CHOOSE(CONTROL!$C$27, 0.0021, 0)</f>
        <v>81.941099999999992</v>
      </c>
      <c r="F883" s="10">
        <f>81.939 * CHOOSE(CONTROL!$C$9, $D$9, 100%, $F$9) + CHOOSE(CONTROL!$C$27, 0.0021, 0)</f>
        <v>81.941099999999992</v>
      </c>
      <c r="G883" s="10">
        <f>82.2104 * CHOOSE(CONTROL!$C$9, $D$9, 100%, $F$9) + CHOOSE(CONTROL!$C$27, 0.0021, 0)</f>
        <v>82.212500000000006</v>
      </c>
      <c r="H883" s="10">
        <f>82.0757 * CHOOSE(CONTROL!$C$9, $D$9, 100%, $F$9) + CHOOSE(CONTROL!$C$27, 0.0021, 0)</f>
        <v>82.077799999999996</v>
      </c>
      <c r="I883" s="10">
        <f>82.0757 * CHOOSE(CONTROL!$C$9, $D$9, 100%, $F$9) + CHOOSE(CONTROL!$C$27, 0.0021, 0)</f>
        <v>82.077799999999996</v>
      </c>
      <c r="J883" s="10">
        <f>82.0757 * CHOOSE(CONTROL!$C$9, $D$9, 100%, $F$9) + CHOOSE(CONTROL!$C$27, 0.0021, 0)</f>
        <v>82.077799999999996</v>
      </c>
      <c r="K883" s="10">
        <f>82.0757 * CHOOSE(CONTROL!$C$9, $D$9, 100%, $F$9) + CHOOSE(CONTROL!$C$27, 0.0021, 0)</f>
        <v>82.077799999999996</v>
      </c>
      <c r="L883" s="10"/>
    </row>
    <row r="884" spans="1:12" ht="15.75">
      <c r="A884" s="13">
        <v>68210</v>
      </c>
      <c r="B884" s="10">
        <f>84.1391 * CHOOSE(CONTROL!$C$9, $D$9, 100%, $F$9) + CHOOSE(CONTROL!$C$27, 0.0021, 0)</f>
        <v>84.141199999999998</v>
      </c>
      <c r="C884" s="10">
        <f>83.7068 * CHOOSE(CONTROL!$C$9, $D$9, 100%, $F$9) + CHOOSE(CONTROL!$C$27, 0.0021, 0)</f>
        <v>83.7089</v>
      </c>
      <c r="D884" s="10">
        <f>83.7068 * CHOOSE(CONTROL!$C$9, $D$9, 100%, $F$9) + CHOOSE(CONTROL!$C$27, 0.0021, 0)</f>
        <v>83.7089</v>
      </c>
      <c r="E884" s="10">
        <f>83.5702 * CHOOSE(CONTROL!$C$9, $D$9, 100%, $F$9) + CHOOSE(CONTROL!$C$27, 0.0021, 0)</f>
        <v>83.572299999999998</v>
      </c>
      <c r="F884" s="10">
        <f>83.5702 * CHOOSE(CONTROL!$C$9, $D$9, 100%, $F$9) + CHOOSE(CONTROL!$C$27, 0.0021, 0)</f>
        <v>83.572299999999998</v>
      </c>
      <c r="G884" s="10">
        <f>83.8416 * CHOOSE(CONTROL!$C$9, $D$9, 100%, $F$9) + CHOOSE(CONTROL!$C$27, 0.0021, 0)</f>
        <v>83.843699999999998</v>
      </c>
      <c r="H884" s="10">
        <f>83.7068 * CHOOSE(CONTROL!$C$9, $D$9, 100%, $F$9) + CHOOSE(CONTROL!$C$27, 0.0021, 0)</f>
        <v>83.7089</v>
      </c>
      <c r="I884" s="10">
        <f>83.7068 * CHOOSE(CONTROL!$C$9, $D$9, 100%, $F$9) + CHOOSE(CONTROL!$C$27, 0.0021, 0)</f>
        <v>83.7089</v>
      </c>
      <c r="J884" s="10">
        <f>83.7068 * CHOOSE(CONTROL!$C$9, $D$9, 100%, $F$9) + CHOOSE(CONTROL!$C$27, 0.0021, 0)</f>
        <v>83.7089</v>
      </c>
      <c r="K884" s="10">
        <f>83.7068 * CHOOSE(CONTROL!$C$9, $D$9, 100%, $F$9) + CHOOSE(CONTROL!$C$27, 0.0021, 0)</f>
        <v>83.7089</v>
      </c>
      <c r="L884" s="10"/>
    </row>
    <row r="885" spans="1:12" ht="15.75">
      <c r="A885" s="13">
        <v>68241</v>
      </c>
      <c r="B885" s="10">
        <f>86.2039 * CHOOSE(CONTROL!$C$9, $D$9, 100%, $F$9) + CHOOSE(CONTROL!$C$27, 0.0021, 0)</f>
        <v>86.206000000000003</v>
      </c>
      <c r="C885" s="10">
        <f>85.7716 * CHOOSE(CONTROL!$C$9, $D$9, 100%, $F$9) + CHOOSE(CONTROL!$C$27, 0.0021, 0)</f>
        <v>85.773700000000005</v>
      </c>
      <c r="D885" s="10">
        <f>85.7716 * CHOOSE(CONTROL!$C$9, $D$9, 100%, $F$9) + CHOOSE(CONTROL!$C$27, 0.0021, 0)</f>
        <v>85.773700000000005</v>
      </c>
      <c r="E885" s="10">
        <f>85.635 * CHOOSE(CONTROL!$C$9, $D$9, 100%, $F$9) + CHOOSE(CONTROL!$C$27, 0.0021, 0)</f>
        <v>85.637100000000004</v>
      </c>
      <c r="F885" s="10">
        <f>85.635 * CHOOSE(CONTROL!$C$9, $D$9, 100%, $F$9) + CHOOSE(CONTROL!$C$27, 0.0021, 0)</f>
        <v>85.637100000000004</v>
      </c>
      <c r="G885" s="10">
        <f>85.9064 * CHOOSE(CONTROL!$C$9, $D$9, 100%, $F$9) + CHOOSE(CONTROL!$C$27, 0.0021, 0)</f>
        <v>85.908500000000004</v>
      </c>
      <c r="H885" s="10">
        <f>85.7716 * CHOOSE(CONTROL!$C$9, $D$9, 100%, $F$9) + CHOOSE(CONTROL!$C$27, 0.0021, 0)</f>
        <v>85.773700000000005</v>
      </c>
      <c r="I885" s="10">
        <f>85.7716 * CHOOSE(CONTROL!$C$9, $D$9, 100%, $F$9) + CHOOSE(CONTROL!$C$27, 0.0021, 0)</f>
        <v>85.773700000000005</v>
      </c>
      <c r="J885" s="10">
        <f>85.7716 * CHOOSE(CONTROL!$C$9, $D$9, 100%, $F$9) + CHOOSE(CONTROL!$C$27, 0.0021, 0)</f>
        <v>85.773700000000005</v>
      </c>
      <c r="K885" s="10">
        <f>85.7716 * CHOOSE(CONTROL!$C$9, $D$9, 100%, $F$9) + CHOOSE(CONTROL!$C$27, 0.0021, 0)</f>
        <v>85.773700000000005</v>
      </c>
      <c r="L885" s="10"/>
    </row>
    <row r="886" spans="1:12" ht="15.75">
      <c r="A886" s="13">
        <v>68271</v>
      </c>
      <c r="B886" s="10">
        <f>86.3977 * CHOOSE(CONTROL!$C$9, $D$9, 100%, $F$9) + CHOOSE(CONTROL!$C$27, 0.0021, 0)</f>
        <v>86.399799999999999</v>
      </c>
      <c r="C886" s="10">
        <f>85.9655 * CHOOSE(CONTROL!$C$9, $D$9, 100%, $F$9) + CHOOSE(CONTROL!$C$27, 0.0021, 0)</f>
        <v>85.967600000000004</v>
      </c>
      <c r="D886" s="10">
        <f>85.9655 * CHOOSE(CONTROL!$C$9, $D$9, 100%, $F$9) + CHOOSE(CONTROL!$C$27, 0.0021, 0)</f>
        <v>85.967600000000004</v>
      </c>
      <c r="E886" s="10">
        <f>85.8288 * CHOOSE(CONTROL!$C$9, $D$9, 100%, $F$9) + CHOOSE(CONTROL!$C$27, 0.0021, 0)</f>
        <v>85.8309</v>
      </c>
      <c r="F886" s="10">
        <f>85.8288 * CHOOSE(CONTROL!$C$9, $D$9, 100%, $F$9) + CHOOSE(CONTROL!$C$27, 0.0021, 0)</f>
        <v>85.8309</v>
      </c>
      <c r="G886" s="10">
        <f>86.1002 * CHOOSE(CONTROL!$C$9, $D$9, 100%, $F$9) + CHOOSE(CONTROL!$C$27, 0.0021, 0)</f>
        <v>86.1023</v>
      </c>
      <c r="H886" s="10">
        <f>85.9655 * CHOOSE(CONTROL!$C$9, $D$9, 100%, $F$9) + CHOOSE(CONTROL!$C$27, 0.0021, 0)</f>
        <v>85.967600000000004</v>
      </c>
      <c r="I886" s="10">
        <f>85.9655 * CHOOSE(CONTROL!$C$9, $D$9, 100%, $F$9) + CHOOSE(CONTROL!$C$27, 0.0021, 0)</f>
        <v>85.967600000000004</v>
      </c>
      <c r="J886" s="10">
        <f>85.9655 * CHOOSE(CONTROL!$C$9, $D$9, 100%, $F$9) + CHOOSE(CONTROL!$C$27, 0.0021, 0)</f>
        <v>85.967600000000004</v>
      </c>
      <c r="K886" s="10">
        <f>85.9655 * CHOOSE(CONTROL!$C$9, $D$9, 100%, $F$9) + CHOOSE(CONTROL!$C$27, 0.0021, 0)</f>
        <v>85.967600000000004</v>
      </c>
      <c r="L886" s="10"/>
    </row>
    <row r="887" spans="1:12" ht="15.75">
      <c r="A887" s="13">
        <v>68302</v>
      </c>
      <c r="B887" s="10">
        <f>84.7486 * CHOOSE(CONTROL!$C$9, $D$9, 100%, $F$9) + CHOOSE(CONTROL!$C$27, 0.0021, 0)</f>
        <v>84.750699999999995</v>
      </c>
      <c r="C887" s="10">
        <f>84.3164 * CHOOSE(CONTROL!$C$9, $D$9, 100%, $F$9) + CHOOSE(CONTROL!$C$27, 0.0021, 0)</f>
        <v>84.3185</v>
      </c>
      <c r="D887" s="10">
        <f>84.3164 * CHOOSE(CONTROL!$C$9, $D$9, 100%, $F$9) + CHOOSE(CONTROL!$C$27, 0.0021, 0)</f>
        <v>84.3185</v>
      </c>
      <c r="E887" s="10">
        <f>84.1797 * CHOOSE(CONTROL!$C$9, $D$9, 100%, $F$9) + CHOOSE(CONTROL!$C$27, 0.0021, 0)</f>
        <v>84.181799999999996</v>
      </c>
      <c r="F887" s="10">
        <f>84.1797 * CHOOSE(CONTROL!$C$9, $D$9, 100%, $F$9) + CHOOSE(CONTROL!$C$27, 0.0021, 0)</f>
        <v>84.181799999999996</v>
      </c>
      <c r="G887" s="10">
        <f>84.4511 * CHOOSE(CONTROL!$C$9, $D$9, 100%, $F$9) + CHOOSE(CONTROL!$C$27, 0.0021, 0)</f>
        <v>84.453199999999995</v>
      </c>
      <c r="H887" s="10">
        <f>84.3164 * CHOOSE(CONTROL!$C$9, $D$9, 100%, $F$9) + CHOOSE(CONTROL!$C$27, 0.0021, 0)</f>
        <v>84.3185</v>
      </c>
      <c r="I887" s="10">
        <f>84.3164 * CHOOSE(CONTROL!$C$9, $D$9, 100%, $F$9) + CHOOSE(CONTROL!$C$27, 0.0021, 0)</f>
        <v>84.3185</v>
      </c>
      <c r="J887" s="10">
        <f>84.3164 * CHOOSE(CONTROL!$C$9, $D$9, 100%, $F$9) + CHOOSE(CONTROL!$C$27, 0.0021, 0)</f>
        <v>84.3185</v>
      </c>
      <c r="K887" s="10">
        <f>84.3164 * CHOOSE(CONTROL!$C$9, $D$9, 100%, $F$9) + CHOOSE(CONTROL!$C$27, 0.0021, 0)</f>
        <v>84.3185</v>
      </c>
      <c r="L887" s="10"/>
    </row>
    <row r="888" spans="1:12" ht="15.75">
      <c r="A888" s="13">
        <v>68333</v>
      </c>
      <c r="B888" s="10">
        <f>83.486 * CHOOSE(CONTROL!$C$9, $D$9, 100%, $F$9) + CHOOSE(CONTROL!$C$27, 0.0021, 0)</f>
        <v>83.488100000000003</v>
      </c>
      <c r="C888" s="10">
        <f>83.0538 * CHOOSE(CONTROL!$C$9, $D$9, 100%, $F$9) + CHOOSE(CONTROL!$C$27, 0.0021, 0)</f>
        <v>83.055899999999994</v>
      </c>
      <c r="D888" s="10">
        <f>83.0538 * CHOOSE(CONTROL!$C$9, $D$9, 100%, $F$9) + CHOOSE(CONTROL!$C$27, 0.0021, 0)</f>
        <v>83.055899999999994</v>
      </c>
      <c r="E888" s="10">
        <f>82.9171 * CHOOSE(CONTROL!$C$9, $D$9, 100%, $F$9) + CHOOSE(CONTROL!$C$27, 0.0021, 0)</f>
        <v>82.919200000000004</v>
      </c>
      <c r="F888" s="10">
        <f>82.9171 * CHOOSE(CONTROL!$C$9, $D$9, 100%, $F$9) + CHOOSE(CONTROL!$C$27, 0.0021, 0)</f>
        <v>82.919200000000004</v>
      </c>
      <c r="G888" s="10">
        <f>83.1885 * CHOOSE(CONTROL!$C$9, $D$9, 100%, $F$9) + CHOOSE(CONTROL!$C$27, 0.0021, 0)</f>
        <v>83.190600000000003</v>
      </c>
      <c r="H888" s="10">
        <f>83.0538 * CHOOSE(CONTROL!$C$9, $D$9, 100%, $F$9) + CHOOSE(CONTROL!$C$27, 0.0021, 0)</f>
        <v>83.055899999999994</v>
      </c>
      <c r="I888" s="10">
        <f>83.0538 * CHOOSE(CONTROL!$C$9, $D$9, 100%, $F$9) + CHOOSE(CONTROL!$C$27, 0.0021, 0)</f>
        <v>83.055899999999994</v>
      </c>
      <c r="J888" s="10">
        <f>83.0538 * CHOOSE(CONTROL!$C$9, $D$9, 100%, $F$9) + CHOOSE(CONTROL!$C$27, 0.0021, 0)</f>
        <v>83.055899999999994</v>
      </c>
      <c r="K888" s="10">
        <f>83.0538 * CHOOSE(CONTROL!$C$9, $D$9, 100%, $F$9) + CHOOSE(CONTROL!$C$27, 0.0021, 0)</f>
        <v>83.055899999999994</v>
      </c>
      <c r="L888" s="10"/>
    </row>
    <row r="889" spans="1:12" ht="15.75">
      <c r="A889" s="13">
        <v>68361</v>
      </c>
      <c r="B889" s="10">
        <f>81.1894 * CHOOSE(CONTROL!$C$9, $D$9, 100%, $F$9) + CHOOSE(CONTROL!$C$27, 0.0021, 0)</f>
        <v>81.191500000000005</v>
      </c>
      <c r="C889" s="10">
        <f>80.7572 * CHOOSE(CONTROL!$C$9, $D$9, 100%, $F$9) + CHOOSE(CONTROL!$C$27, 0.0021, 0)</f>
        <v>80.759299999999996</v>
      </c>
      <c r="D889" s="10">
        <f>80.7572 * CHOOSE(CONTROL!$C$9, $D$9, 100%, $F$9) + CHOOSE(CONTROL!$C$27, 0.0021, 0)</f>
        <v>80.759299999999996</v>
      </c>
      <c r="E889" s="10">
        <f>80.6205 * CHOOSE(CONTROL!$C$9, $D$9, 100%, $F$9) + CHOOSE(CONTROL!$C$27, 0.0021, 0)</f>
        <v>80.622600000000006</v>
      </c>
      <c r="F889" s="10">
        <f>80.6205 * CHOOSE(CONTROL!$C$9, $D$9, 100%, $F$9) + CHOOSE(CONTROL!$C$27, 0.0021, 0)</f>
        <v>80.622600000000006</v>
      </c>
      <c r="G889" s="10">
        <f>80.8919 * CHOOSE(CONTROL!$C$9, $D$9, 100%, $F$9) + CHOOSE(CONTROL!$C$27, 0.0021, 0)</f>
        <v>80.894000000000005</v>
      </c>
      <c r="H889" s="10">
        <f>80.7572 * CHOOSE(CONTROL!$C$9, $D$9, 100%, $F$9) + CHOOSE(CONTROL!$C$27, 0.0021, 0)</f>
        <v>80.759299999999996</v>
      </c>
      <c r="I889" s="10">
        <f>80.7572 * CHOOSE(CONTROL!$C$9, $D$9, 100%, $F$9) + CHOOSE(CONTROL!$C$27, 0.0021, 0)</f>
        <v>80.759299999999996</v>
      </c>
      <c r="J889" s="10">
        <f>80.7572 * CHOOSE(CONTROL!$C$9, $D$9, 100%, $F$9) + CHOOSE(CONTROL!$C$27, 0.0021, 0)</f>
        <v>80.759299999999996</v>
      </c>
      <c r="K889" s="10">
        <f>80.7572 * CHOOSE(CONTROL!$C$9, $D$9, 100%, $F$9) + CHOOSE(CONTROL!$C$27, 0.0021, 0)</f>
        <v>80.759299999999996</v>
      </c>
      <c r="L889" s="10"/>
    </row>
    <row r="890" spans="1:12" ht="15.75">
      <c r="A890" s="13">
        <v>68392</v>
      </c>
      <c r="B890" s="10">
        <f>80.2414 * CHOOSE(CONTROL!$C$9, $D$9, 100%, $F$9) + CHOOSE(CONTROL!$C$27, 0.0021, 0)</f>
        <v>80.243499999999997</v>
      </c>
      <c r="C890" s="10">
        <f>79.8091 * CHOOSE(CONTROL!$C$9, $D$9, 100%, $F$9) + CHOOSE(CONTROL!$C$27, 0.0021, 0)</f>
        <v>79.811199999999999</v>
      </c>
      <c r="D890" s="10">
        <f>79.8091 * CHOOSE(CONTROL!$C$9, $D$9, 100%, $F$9) + CHOOSE(CONTROL!$C$27, 0.0021, 0)</f>
        <v>79.811199999999999</v>
      </c>
      <c r="E890" s="10">
        <f>79.6725 * CHOOSE(CONTROL!$C$9, $D$9, 100%, $F$9) + CHOOSE(CONTROL!$C$27, 0.0021, 0)</f>
        <v>79.674599999999998</v>
      </c>
      <c r="F890" s="10">
        <f>79.6725 * CHOOSE(CONTROL!$C$9, $D$9, 100%, $F$9) + CHOOSE(CONTROL!$C$27, 0.0021, 0)</f>
        <v>79.674599999999998</v>
      </c>
      <c r="G890" s="10">
        <f>79.9438 * CHOOSE(CONTROL!$C$9, $D$9, 100%, $F$9) + CHOOSE(CONTROL!$C$27, 0.0021, 0)</f>
        <v>79.945899999999995</v>
      </c>
      <c r="H890" s="10">
        <f>79.8091 * CHOOSE(CONTROL!$C$9, $D$9, 100%, $F$9) + CHOOSE(CONTROL!$C$27, 0.0021, 0)</f>
        <v>79.811199999999999</v>
      </c>
      <c r="I890" s="10">
        <f>79.8091 * CHOOSE(CONTROL!$C$9, $D$9, 100%, $F$9) + CHOOSE(CONTROL!$C$27, 0.0021, 0)</f>
        <v>79.811199999999999</v>
      </c>
      <c r="J890" s="10">
        <f>79.8091 * CHOOSE(CONTROL!$C$9, $D$9, 100%, $F$9) + CHOOSE(CONTROL!$C$27, 0.0021, 0)</f>
        <v>79.811199999999999</v>
      </c>
      <c r="K890" s="10">
        <f>79.8091 * CHOOSE(CONTROL!$C$9, $D$9, 100%, $F$9) + CHOOSE(CONTROL!$C$27, 0.0021, 0)</f>
        <v>79.811199999999999</v>
      </c>
      <c r="L890" s="10"/>
    </row>
    <row r="891" spans="1:12" ht="15.75">
      <c r="A891" s="13">
        <v>68422</v>
      </c>
      <c r="B891" s="10">
        <f>79.1094 * CHOOSE(CONTROL!$C$9, $D$9, 100%, $F$9) + CHOOSE(CONTROL!$C$27, 0.0021, 0)</f>
        <v>79.111499999999992</v>
      </c>
      <c r="C891" s="10">
        <f>78.6772 * CHOOSE(CONTROL!$C$9, $D$9, 100%, $F$9) + CHOOSE(CONTROL!$C$27, 0.0021, 0)</f>
        <v>78.679299999999998</v>
      </c>
      <c r="D891" s="10">
        <f>78.6772 * CHOOSE(CONTROL!$C$9, $D$9, 100%, $F$9) + CHOOSE(CONTROL!$C$27, 0.0021, 0)</f>
        <v>78.679299999999998</v>
      </c>
      <c r="E891" s="10">
        <f>78.5405 * CHOOSE(CONTROL!$C$9, $D$9, 100%, $F$9) + CHOOSE(CONTROL!$C$27, 0.0021, 0)</f>
        <v>78.542599999999993</v>
      </c>
      <c r="F891" s="10">
        <f>78.5405 * CHOOSE(CONTROL!$C$9, $D$9, 100%, $F$9) + CHOOSE(CONTROL!$C$27, 0.0021, 0)</f>
        <v>78.542599999999993</v>
      </c>
      <c r="G891" s="10">
        <f>78.8119 * CHOOSE(CONTROL!$C$9, $D$9, 100%, $F$9) + CHOOSE(CONTROL!$C$27, 0.0021, 0)</f>
        <v>78.813999999999993</v>
      </c>
      <c r="H891" s="10">
        <f>78.6772 * CHOOSE(CONTROL!$C$9, $D$9, 100%, $F$9) + CHOOSE(CONTROL!$C$27, 0.0021, 0)</f>
        <v>78.679299999999998</v>
      </c>
      <c r="I891" s="10">
        <f>78.6772 * CHOOSE(CONTROL!$C$9, $D$9, 100%, $F$9) + CHOOSE(CONTROL!$C$27, 0.0021, 0)</f>
        <v>78.679299999999998</v>
      </c>
      <c r="J891" s="10">
        <f>78.6772 * CHOOSE(CONTROL!$C$9, $D$9, 100%, $F$9) + CHOOSE(CONTROL!$C$27, 0.0021, 0)</f>
        <v>78.679299999999998</v>
      </c>
      <c r="K891" s="10">
        <f>78.6772 * CHOOSE(CONTROL!$C$9, $D$9, 100%, $F$9) + CHOOSE(CONTROL!$C$27, 0.0021, 0)</f>
        <v>78.679299999999998</v>
      </c>
      <c r="L891" s="10"/>
    </row>
    <row r="892" spans="1:12" ht="15.75">
      <c r="A892" s="13">
        <v>68453</v>
      </c>
      <c r="B892" s="10">
        <f>80.7226 * CHOOSE(CONTROL!$C$9, $D$9, 100%, $F$9) + CHOOSE(CONTROL!$C$27, 0.0021, 0)</f>
        <v>80.724699999999999</v>
      </c>
      <c r="C892" s="10">
        <f>80.2904 * CHOOSE(CONTROL!$C$9, $D$9, 100%, $F$9) + CHOOSE(CONTROL!$C$27, 0.0021, 0)</f>
        <v>80.292500000000004</v>
      </c>
      <c r="D892" s="10">
        <f>80.2904 * CHOOSE(CONTROL!$C$9, $D$9, 100%, $F$9) + CHOOSE(CONTROL!$C$27, 0.0021, 0)</f>
        <v>80.292500000000004</v>
      </c>
      <c r="E892" s="10">
        <f>80.1537 * CHOOSE(CONTROL!$C$9, $D$9, 100%, $F$9) + CHOOSE(CONTROL!$C$27, 0.0021, 0)</f>
        <v>80.155799999999999</v>
      </c>
      <c r="F892" s="10">
        <f>80.1537 * CHOOSE(CONTROL!$C$9, $D$9, 100%, $F$9) + CHOOSE(CONTROL!$C$27, 0.0021, 0)</f>
        <v>80.155799999999999</v>
      </c>
      <c r="G892" s="10">
        <f>80.4251 * CHOOSE(CONTROL!$C$9, $D$9, 100%, $F$9) + CHOOSE(CONTROL!$C$27, 0.0021, 0)</f>
        <v>80.427199999999999</v>
      </c>
      <c r="H892" s="10">
        <f>80.2904 * CHOOSE(CONTROL!$C$9, $D$9, 100%, $F$9) + CHOOSE(CONTROL!$C$27, 0.0021, 0)</f>
        <v>80.292500000000004</v>
      </c>
      <c r="I892" s="10">
        <f>80.2904 * CHOOSE(CONTROL!$C$9, $D$9, 100%, $F$9) + CHOOSE(CONTROL!$C$27, 0.0021, 0)</f>
        <v>80.292500000000004</v>
      </c>
      <c r="J892" s="10">
        <f>80.2904 * CHOOSE(CONTROL!$C$9, $D$9, 100%, $F$9) + CHOOSE(CONTROL!$C$27, 0.0021, 0)</f>
        <v>80.292500000000004</v>
      </c>
      <c r="K892" s="10">
        <f>80.2904 * CHOOSE(CONTROL!$C$9, $D$9, 100%, $F$9) + CHOOSE(CONTROL!$C$27, 0.0021, 0)</f>
        <v>80.292500000000004</v>
      </c>
      <c r="L892" s="10"/>
    </row>
    <row r="893" spans="1:12" ht="15.75">
      <c r="A893" s="13">
        <v>68483</v>
      </c>
      <c r="B893" s="10">
        <f>81.6888 * CHOOSE(CONTROL!$C$9, $D$9, 100%, $F$9) + CHOOSE(CONTROL!$C$27, 0.0021, 0)</f>
        <v>81.690899999999999</v>
      </c>
      <c r="C893" s="10">
        <f>81.2566 * CHOOSE(CONTROL!$C$9, $D$9, 100%, $F$9) + CHOOSE(CONTROL!$C$27, 0.0021, 0)</f>
        <v>81.258700000000005</v>
      </c>
      <c r="D893" s="10">
        <f>81.2566 * CHOOSE(CONTROL!$C$9, $D$9, 100%, $F$9) + CHOOSE(CONTROL!$C$27, 0.0021, 0)</f>
        <v>81.258700000000005</v>
      </c>
      <c r="E893" s="10">
        <f>81.1199 * CHOOSE(CONTROL!$C$9, $D$9, 100%, $F$9) + CHOOSE(CONTROL!$C$27, 0.0021, 0)</f>
        <v>81.122</v>
      </c>
      <c r="F893" s="10">
        <f>81.1199 * CHOOSE(CONTROL!$C$9, $D$9, 100%, $F$9) + CHOOSE(CONTROL!$C$27, 0.0021, 0)</f>
        <v>81.122</v>
      </c>
      <c r="G893" s="10">
        <f>81.3913 * CHOOSE(CONTROL!$C$9, $D$9, 100%, $F$9) + CHOOSE(CONTROL!$C$27, 0.0021, 0)</f>
        <v>81.3934</v>
      </c>
      <c r="H893" s="10">
        <f>81.2566 * CHOOSE(CONTROL!$C$9, $D$9, 100%, $F$9) + CHOOSE(CONTROL!$C$27, 0.0021, 0)</f>
        <v>81.258700000000005</v>
      </c>
      <c r="I893" s="10">
        <f>81.2566 * CHOOSE(CONTROL!$C$9, $D$9, 100%, $F$9) + CHOOSE(CONTROL!$C$27, 0.0021, 0)</f>
        <v>81.258700000000005</v>
      </c>
      <c r="J893" s="10">
        <f>81.2566 * CHOOSE(CONTROL!$C$9, $D$9, 100%, $F$9) + CHOOSE(CONTROL!$C$27, 0.0021, 0)</f>
        <v>81.258700000000005</v>
      </c>
      <c r="K893" s="10">
        <f>81.2566 * CHOOSE(CONTROL!$C$9, $D$9, 100%, $F$9) + CHOOSE(CONTROL!$C$27, 0.0021, 0)</f>
        <v>81.258700000000005</v>
      </c>
      <c r="L893" s="10"/>
    </row>
    <row r="894" spans="1:12" ht="15.75">
      <c r="A894" s="13">
        <v>68514</v>
      </c>
      <c r="B894" s="10">
        <f>83.2828 * CHOOSE(CONTROL!$C$9, $D$9, 100%, $F$9) + CHOOSE(CONTROL!$C$27, 0.0021, 0)</f>
        <v>83.284899999999993</v>
      </c>
      <c r="C894" s="10">
        <f>82.8505 * CHOOSE(CONTROL!$C$9, $D$9, 100%, $F$9) + CHOOSE(CONTROL!$C$27, 0.0021, 0)</f>
        <v>82.852599999999995</v>
      </c>
      <c r="D894" s="10">
        <f>82.8505 * CHOOSE(CONTROL!$C$9, $D$9, 100%, $F$9) + CHOOSE(CONTROL!$C$27, 0.0021, 0)</f>
        <v>82.852599999999995</v>
      </c>
      <c r="E894" s="10">
        <f>82.7139 * CHOOSE(CONTROL!$C$9, $D$9, 100%, $F$9) + CHOOSE(CONTROL!$C$27, 0.0021, 0)</f>
        <v>82.715999999999994</v>
      </c>
      <c r="F894" s="10">
        <f>82.7139 * CHOOSE(CONTROL!$C$9, $D$9, 100%, $F$9) + CHOOSE(CONTROL!$C$27, 0.0021, 0)</f>
        <v>82.715999999999994</v>
      </c>
      <c r="G894" s="10">
        <f>82.9852 * CHOOSE(CONTROL!$C$9, $D$9, 100%, $F$9) + CHOOSE(CONTROL!$C$27, 0.0021, 0)</f>
        <v>82.987300000000005</v>
      </c>
      <c r="H894" s="10">
        <f>82.8505 * CHOOSE(CONTROL!$C$9, $D$9, 100%, $F$9) + CHOOSE(CONTROL!$C$27, 0.0021, 0)</f>
        <v>82.852599999999995</v>
      </c>
      <c r="I894" s="10">
        <f>82.8505 * CHOOSE(CONTROL!$C$9, $D$9, 100%, $F$9) + CHOOSE(CONTROL!$C$27, 0.0021, 0)</f>
        <v>82.852599999999995</v>
      </c>
      <c r="J894" s="10">
        <f>82.8505 * CHOOSE(CONTROL!$C$9, $D$9, 100%, $F$9) + CHOOSE(CONTROL!$C$27, 0.0021, 0)</f>
        <v>82.852599999999995</v>
      </c>
      <c r="K894" s="10">
        <f>82.8505 * CHOOSE(CONTROL!$C$9, $D$9, 100%, $F$9) + CHOOSE(CONTROL!$C$27, 0.0021, 0)</f>
        <v>82.852599999999995</v>
      </c>
      <c r="L894" s="10"/>
    </row>
    <row r="895" spans="1:12" ht="15.75">
      <c r="A895" s="13">
        <v>68545</v>
      </c>
      <c r="B895" s="10">
        <f>83.7693 * CHOOSE(CONTROL!$C$9, $D$9, 100%, $F$9) + CHOOSE(CONTROL!$C$27, 0.0021, 0)</f>
        <v>83.7714</v>
      </c>
      <c r="C895" s="10">
        <f>83.337 * CHOOSE(CONTROL!$C$9, $D$9, 100%, $F$9) + CHOOSE(CONTROL!$C$27, 0.0021, 0)</f>
        <v>83.339100000000002</v>
      </c>
      <c r="D895" s="10">
        <f>83.337 * CHOOSE(CONTROL!$C$9, $D$9, 100%, $F$9) + CHOOSE(CONTROL!$C$27, 0.0021, 0)</f>
        <v>83.339100000000002</v>
      </c>
      <c r="E895" s="10">
        <f>83.2004 * CHOOSE(CONTROL!$C$9, $D$9, 100%, $F$9) + CHOOSE(CONTROL!$C$27, 0.0021, 0)</f>
        <v>83.202500000000001</v>
      </c>
      <c r="F895" s="10">
        <f>83.2004 * CHOOSE(CONTROL!$C$9, $D$9, 100%, $F$9) + CHOOSE(CONTROL!$C$27, 0.0021, 0)</f>
        <v>83.202500000000001</v>
      </c>
      <c r="G895" s="10">
        <f>83.4718 * CHOOSE(CONTROL!$C$9, $D$9, 100%, $F$9) + CHOOSE(CONTROL!$C$27, 0.0021, 0)</f>
        <v>83.4739</v>
      </c>
      <c r="H895" s="10">
        <f>83.337 * CHOOSE(CONTROL!$C$9, $D$9, 100%, $F$9) + CHOOSE(CONTROL!$C$27, 0.0021, 0)</f>
        <v>83.339100000000002</v>
      </c>
      <c r="I895" s="10">
        <f>83.337 * CHOOSE(CONTROL!$C$9, $D$9, 100%, $F$9) + CHOOSE(CONTROL!$C$27, 0.0021, 0)</f>
        <v>83.339100000000002</v>
      </c>
      <c r="J895" s="10">
        <f>83.337 * CHOOSE(CONTROL!$C$9, $D$9, 100%, $F$9) + CHOOSE(CONTROL!$C$27, 0.0021, 0)</f>
        <v>83.339100000000002</v>
      </c>
      <c r="K895" s="10">
        <f>83.337 * CHOOSE(CONTROL!$C$9, $D$9, 100%, $F$9) + CHOOSE(CONTROL!$C$27, 0.0021, 0)</f>
        <v>83.339100000000002</v>
      </c>
      <c r="L895" s="10"/>
    </row>
    <row r="896" spans="1:12" ht="15.75">
      <c r="A896" s="13">
        <v>68575</v>
      </c>
      <c r="B896" s="10">
        <f>85.4261 * CHOOSE(CONTROL!$C$9, $D$9, 100%, $F$9) + CHOOSE(CONTROL!$C$27, 0.0021, 0)</f>
        <v>85.428200000000004</v>
      </c>
      <c r="C896" s="10">
        <f>84.9939 * CHOOSE(CONTROL!$C$9, $D$9, 100%, $F$9) + CHOOSE(CONTROL!$C$27, 0.0021, 0)</f>
        <v>84.995999999999995</v>
      </c>
      <c r="D896" s="10">
        <f>84.9939 * CHOOSE(CONTROL!$C$9, $D$9, 100%, $F$9) + CHOOSE(CONTROL!$C$27, 0.0021, 0)</f>
        <v>84.995999999999995</v>
      </c>
      <c r="E896" s="10">
        <f>84.8572 * CHOOSE(CONTROL!$C$9, $D$9, 100%, $F$9) + CHOOSE(CONTROL!$C$27, 0.0021, 0)</f>
        <v>84.859300000000005</v>
      </c>
      <c r="F896" s="10">
        <f>84.8572 * CHOOSE(CONTROL!$C$9, $D$9, 100%, $F$9) + CHOOSE(CONTROL!$C$27, 0.0021, 0)</f>
        <v>84.859300000000005</v>
      </c>
      <c r="G896" s="10">
        <f>85.1286 * CHOOSE(CONTROL!$C$9, $D$9, 100%, $F$9) + CHOOSE(CONTROL!$C$27, 0.0021, 0)</f>
        <v>85.130700000000004</v>
      </c>
      <c r="H896" s="10">
        <f>84.9939 * CHOOSE(CONTROL!$C$9, $D$9, 100%, $F$9) + CHOOSE(CONTROL!$C$27, 0.0021, 0)</f>
        <v>84.995999999999995</v>
      </c>
      <c r="I896" s="10">
        <f>84.9939 * CHOOSE(CONTROL!$C$9, $D$9, 100%, $F$9) + CHOOSE(CONTROL!$C$27, 0.0021, 0)</f>
        <v>84.995999999999995</v>
      </c>
      <c r="J896" s="10">
        <f>84.9939 * CHOOSE(CONTROL!$C$9, $D$9, 100%, $F$9) + CHOOSE(CONTROL!$C$27, 0.0021, 0)</f>
        <v>84.995999999999995</v>
      </c>
      <c r="K896" s="10">
        <f>84.9939 * CHOOSE(CONTROL!$C$9, $D$9, 100%, $F$9) + CHOOSE(CONTROL!$C$27, 0.0021, 0)</f>
        <v>84.995999999999995</v>
      </c>
      <c r="L896" s="10"/>
    </row>
    <row r="897" spans="1:12" ht="15.75">
      <c r="A897" s="13">
        <v>68606</v>
      </c>
      <c r="B897" s="10">
        <f>87.5234 * CHOOSE(CONTROL!$C$9, $D$9, 100%, $F$9) + CHOOSE(CONTROL!$C$27, 0.0021, 0)</f>
        <v>87.525499999999994</v>
      </c>
      <c r="C897" s="10">
        <f>87.0911 * CHOOSE(CONTROL!$C$9, $D$9, 100%, $F$9) + CHOOSE(CONTROL!$C$27, 0.0021, 0)</f>
        <v>87.093199999999996</v>
      </c>
      <c r="D897" s="10">
        <f>87.0911 * CHOOSE(CONTROL!$C$9, $D$9, 100%, $F$9) + CHOOSE(CONTROL!$C$27, 0.0021, 0)</f>
        <v>87.093199999999996</v>
      </c>
      <c r="E897" s="10">
        <f>86.9545 * CHOOSE(CONTROL!$C$9, $D$9, 100%, $F$9) + CHOOSE(CONTROL!$C$27, 0.0021, 0)</f>
        <v>86.956599999999995</v>
      </c>
      <c r="F897" s="10">
        <f>86.9545 * CHOOSE(CONTROL!$C$9, $D$9, 100%, $F$9) + CHOOSE(CONTROL!$C$27, 0.0021, 0)</f>
        <v>86.956599999999995</v>
      </c>
      <c r="G897" s="10">
        <f>87.2259 * CHOOSE(CONTROL!$C$9, $D$9, 100%, $F$9) + CHOOSE(CONTROL!$C$27, 0.0021, 0)</f>
        <v>87.227999999999994</v>
      </c>
      <c r="H897" s="10">
        <f>87.0911 * CHOOSE(CONTROL!$C$9, $D$9, 100%, $F$9) + CHOOSE(CONTROL!$C$27, 0.0021, 0)</f>
        <v>87.093199999999996</v>
      </c>
      <c r="I897" s="10">
        <f>87.0911 * CHOOSE(CONTROL!$C$9, $D$9, 100%, $F$9) + CHOOSE(CONTROL!$C$27, 0.0021, 0)</f>
        <v>87.093199999999996</v>
      </c>
      <c r="J897" s="10">
        <f>87.0911 * CHOOSE(CONTROL!$C$9, $D$9, 100%, $F$9) + CHOOSE(CONTROL!$C$27, 0.0021, 0)</f>
        <v>87.093199999999996</v>
      </c>
      <c r="K897" s="10">
        <f>87.0911 * CHOOSE(CONTROL!$C$9, $D$9, 100%, $F$9) + CHOOSE(CONTROL!$C$27, 0.0021, 0)</f>
        <v>87.093199999999996</v>
      </c>
      <c r="L897" s="10"/>
    </row>
    <row r="898" spans="1:12" ht="15.75">
      <c r="A898" s="13">
        <v>68636</v>
      </c>
      <c r="B898" s="10">
        <f>87.7203 * CHOOSE(CONTROL!$C$9, $D$9, 100%, $F$9) + CHOOSE(CONTROL!$C$27, 0.0021, 0)</f>
        <v>87.722399999999993</v>
      </c>
      <c r="C898" s="10">
        <f>87.288 * CHOOSE(CONTROL!$C$9, $D$9, 100%, $F$9) + CHOOSE(CONTROL!$C$27, 0.0021, 0)</f>
        <v>87.290099999999995</v>
      </c>
      <c r="D898" s="10">
        <f>87.288 * CHOOSE(CONTROL!$C$9, $D$9, 100%, $F$9) + CHOOSE(CONTROL!$C$27, 0.0021, 0)</f>
        <v>87.290099999999995</v>
      </c>
      <c r="E898" s="10">
        <f>87.1514 * CHOOSE(CONTROL!$C$9, $D$9, 100%, $F$9) + CHOOSE(CONTROL!$C$27, 0.0021, 0)</f>
        <v>87.153499999999994</v>
      </c>
      <c r="F898" s="10">
        <f>87.1514 * CHOOSE(CONTROL!$C$9, $D$9, 100%, $F$9) + CHOOSE(CONTROL!$C$27, 0.0021, 0)</f>
        <v>87.153499999999994</v>
      </c>
      <c r="G898" s="10">
        <f>87.4227 * CHOOSE(CONTROL!$C$9, $D$9, 100%, $F$9) + CHOOSE(CONTROL!$C$27, 0.0021, 0)</f>
        <v>87.424800000000005</v>
      </c>
      <c r="H898" s="10">
        <f>87.288 * CHOOSE(CONTROL!$C$9, $D$9, 100%, $F$9) + CHOOSE(CONTROL!$C$27, 0.0021, 0)</f>
        <v>87.290099999999995</v>
      </c>
      <c r="I898" s="10">
        <f>87.288 * CHOOSE(CONTROL!$C$9, $D$9, 100%, $F$9) + CHOOSE(CONTROL!$C$27, 0.0021, 0)</f>
        <v>87.290099999999995</v>
      </c>
      <c r="J898" s="10">
        <f>87.288 * CHOOSE(CONTROL!$C$9, $D$9, 100%, $F$9) + CHOOSE(CONTROL!$C$27, 0.0021, 0)</f>
        <v>87.290099999999995</v>
      </c>
      <c r="K898" s="10">
        <f>87.288 * CHOOSE(CONTROL!$C$9, $D$9, 100%, $F$9) + CHOOSE(CONTROL!$C$27, 0.0021, 0)</f>
        <v>87.290099999999995</v>
      </c>
      <c r="L898" s="10"/>
    </row>
    <row r="899" spans="1:12" ht="15.75">
      <c r="A899" s="13">
        <v>68667</v>
      </c>
      <c r="B899" s="10">
        <f>86.0452 * CHOOSE(CONTROL!$C$9, $D$9, 100%, $F$9) + CHOOSE(CONTROL!$C$27, 0.0021, 0)</f>
        <v>86.047299999999993</v>
      </c>
      <c r="C899" s="10">
        <f>85.613 * CHOOSE(CONTROL!$C$9, $D$9, 100%, $F$9) + CHOOSE(CONTROL!$C$27, 0.0021, 0)</f>
        <v>85.615099999999998</v>
      </c>
      <c r="D899" s="10">
        <f>85.613 * CHOOSE(CONTROL!$C$9, $D$9, 100%, $F$9) + CHOOSE(CONTROL!$C$27, 0.0021, 0)</f>
        <v>85.615099999999998</v>
      </c>
      <c r="E899" s="10">
        <f>85.4763 * CHOOSE(CONTROL!$C$9, $D$9, 100%, $F$9) + CHOOSE(CONTROL!$C$27, 0.0021, 0)</f>
        <v>85.478399999999993</v>
      </c>
      <c r="F899" s="10">
        <f>85.4763 * CHOOSE(CONTROL!$C$9, $D$9, 100%, $F$9) + CHOOSE(CONTROL!$C$27, 0.0021, 0)</f>
        <v>85.478399999999993</v>
      </c>
      <c r="G899" s="10">
        <f>85.7477 * CHOOSE(CONTROL!$C$9, $D$9, 100%, $F$9) + CHOOSE(CONTROL!$C$27, 0.0021, 0)</f>
        <v>85.749799999999993</v>
      </c>
      <c r="H899" s="10">
        <f>85.613 * CHOOSE(CONTROL!$C$9, $D$9, 100%, $F$9) + CHOOSE(CONTROL!$C$27, 0.0021, 0)</f>
        <v>85.615099999999998</v>
      </c>
      <c r="I899" s="10">
        <f>85.613 * CHOOSE(CONTROL!$C$9, $D$9, 100%, $F$9) + CHOOSE(CONTROL!$C$27, 0.0021, 0)</f>
        <v>85.615099999999998</v>
      </c>
      <c r="J899" s="10">
        <f>85.613 * CHOOSE(CONTROL!$C$9, $D$9, 100%, $F$9) + CHOOSE(CONTROL!$C$27, 0.0021, 0)</f>
        <v>85.615099999999998</v>
      </c>
      <c r="K899" s="10">
        <f>85.613 * CHOOSE(CONTROL!$C$9, $D$9, 100%, $F$9) + CHOOSE(CONTROL!$C$27, 0.0021, 0)</f>
        <v>85.615099999999998</v>
      </c>
      <c r="L899" s="10"/>
    </row>
    <row r="900" spans="1:12" ht="15.75">
      <c r="A900" s="13">
        <v>68698</v>
      </c>
      <c r="B900" s="10">
        <f>84.7628 * CHOOSE(CONTROL!$C$9, $D$9, 100%, $F$9) + CHOOSE(CONTROL!$C$27, 0.0021, 0)</f>
        <v>84.764899999999997</v>
      </c>
      <c r="C900" s="10">
        <f>84.3305 * CHOOSE(CONTROL!$C$9, $D$9, 100%, $F$9) + CHOOSE(CONTROL!$C$27, 0.0021, 0)</f>
        <v>84.332599999999999</v>
      </c>
      <c r="D900" s="10">
        <f>84.3305 * CHOOSE(CONTROL!$C$9, $D$9, 100%, $F$9) + CHOOSE(CONTROL!$C$27, 0.0021, 0)</f>
        <v>84.332599999999999</v>
      </c>
      <c r="E900" s="10">
        <f>84.1939 * CHOOSE(CONTROL!$C$9, $D$9, 100%, $F$9) + CHOOSE(CONTROL!$C$27, 0.0021, 0)</f>
        <v>84.195999999999998</v>
      </c>
      <c r="F900" s="10">
        <f>84.1939 * CHOOSE(CONTROL!$C$9, $D$9, 100%, $F$9) + CHOOSE(CONTROL!$C$27, 0.0021, 0)</f>
        <v>84.195999999999998</v>
      </c>
      <c r="G900" s="10">
        <f>84.4652 * CHOOSE(CONTROL!$C$9, $D$9, 100%, $F$9) + CHOOSE(CONTROL!$C$27, 0.0021, 0)</f>
        <v>84.467299999999994</v>
      </c>
      <c r="H900" s="10">
        <f>84.3305 * CHOOSE(CONTROL!$C$9, $D$9, 100%, $F$9) + CHOOSE(CONTROL!$C$27, 0.0021, 0)</f>
        <v>84.332599999999999</v>
      </c>
      <c r="I900" s="10">
        <f>84.3305 * CHOOSE(CONTROL!$C$9, $D$9, 100%, $F$9) + CHOOSE(CONTROL!$C$27, 0.0021, 0)</f>
        <v>84.332599999999999</v>
      </c>
      <c r="J900" s="10">
        <f>84.3305 * CHOOSE(CONTROL!$C$9, $D$9, 100%, $F$9) + CHOOSE(CONTROL!$C$27, 0.0021, 0)</f>
        <v>84.332599999999999</v>
      </c>
      <c r="K900" s="10">
        <f>84.3305 * CHOOSE(CONTROL!$C$9, $D$9, 100%, $F$9) + CHOOSE(CONTROL!$C$27, 0.0021, 0)</f>
        <v>84.332599999999999</v>
      </c>
      <c r="L900" s="10"/>
    </row>
    <row r="901" spans="1:12" ht="15.75">
      <c r="A901" s="13">
        <v>68727</v>
      </c>
      <c r="B901" s="10">
        <f>82.4301 * CHOOSE(CONTROL!$C$9, $D$9, 100%, $F$9) + CHOOSE(CONTROL!$C$27, 0.0021, 0)</f>
        <v>82.432199999999995</v>
      </c>
      <c r="C901" s="10">
        <f>81.9978 * CHOOSE(CONTROL!$C$9, $D$9, 100%, $F$9) + CHOOSE(CONTROL!$C$27, 0.0021, 0)</f>
        <v>81.999899999999997</v>
      </c>
      <c r="D901" s="10">
        <f>81.9978 * CHOOSE(CONTROL!$C$9, $D$9, 100%, $F$9) + CHOOSE(CONTROL!$C$27, 0.0021, 0)</f>
        <v>81.999899999999997</v>
      </c>
      <c r="E901" s="10">
        <f>81.8611 * CHOOSE(CONTROL!$C$9, $D$9, 100%, $F$9) + CHOOSE(CONTROL!$C$27, 0.0021, 0)</f>
        <v>81.863199999999992</v>
      </c>
      <c r="F901" s="10">
        <f>81.8611 * CHOOSE(CONTROL!$C$9, $D$9, 100%, $F$9) + CHOOSE(CONTROL!$C$27, 0.0021, 0)</f>
        <v>81.863199999999992</v>
      </c>
      <c r="G901" s="10">
        <f>82.1325 * CHOOSE(CONTROL!$C$9, $D$9, 100%, $F$9) + CHOOSE(CONTROL!$C$27, 0.0021, 0)</f>
        <v>82.134599999999992</v>
      </c>
      <c r="H901" s="10">
        <f>81.9978 * CHOOSE(CONTROL!$C$9, $D$9, 100%, $F$9) + CHOOSE(CONTROL!$C$27, 0.0021, 0)</f>
        <v>81.999899999999997</v>
      </c>
      <c r="I901" s="10">
        <f>81.9978 * CHOOSE(CONTROL!$C$9, $D$9, 100%, $F$9) + CHOOSE(CONTROL!$C$27, 0.0021, 0)</f>
        <v>81.999899999999997</v>
      </c>
      <c r="J901" s="10">
        <f>81.9978 * CHOOSE(CONTROL!$C$9, $D$9, 100%, $F$9) + CHOOSE(CONTROL!$C$27, 0.0021, 0)</f>
        <v>81.999899999999997</v>
      </c>
      <c r="K901" s="10">
        <f>81.9978 * CHOOSE(CONTROL!$C$9, $D$9, 100%, $F$9) + CHOOSE(CONTROL!$C$27, 0.0021, 0)</f>
        <v>81.999899999999997</v>
      </c>
      <c r="L901" s="10"/>
    </row>
    <row r="902" spans="1:12" ht="15.75">
      <c r="A902" s="13">
        <v>68758</v>
      </c>
      <c r="B902" s="10">
        <f>81.4671 * CHOOSE(CONTROL!$C$9, $D$9, 100%, $F$9) + CHOOSE(CONTROL!$C$27, 0.0021, 0)</f>
        <v>81.469200000000001</v>
      </c>
      <c r="C902" s="10">
        <f>81.0349 * CHOOSE(CONTROL!$C$9, $D$9, 100%, $F$9) + CHOOSE(CONTROL!$C$27, 0.0021, 0)</f>
        <v>81.036999999999992</v>
      </c>
      <c r="D902" s="10">
        <f>81.0349 * CHOOSE(CONTROL!$C$9, $D$9, 100%, $F$9) + CHOOSE(CONTROL!$C$27, 0.0021, 0)</f>
        <v>81.036999999999992</v>
      </c>
      <c r="E902" s="10">
        <f>80.8982 * CHOOSE(CONTROL!$C$9, $D$9, 100%, $F$9) + CHOOSE(CONTROL!$C$27, 0.0021, 0)</f>
        <v>80.900300000000001</v>
      </c>
      <c r="F902" s="10">
        <f>80.8982 * CHOOSE(CONTROL!$C$9, $D$9, 100%, $F$9) + CHOOSE(CONTROL!$C$27, 0.0021, 0)</f>
        <v>80.900300000000001</v>
      </c>
      <c r="G902" s="10">
        <f>81.1696 * CHOOSE(CONTROL!$C$9, $D$9, 100%, $F$9) + CHOOSE(CONTROL!$C$27, 0.0021, 0)</f>
        <v>81.171700000000001</v>
      </c>
      <c r="H902" s="10">
        <f>81.0349 * CHOOSE(CONTROL!$C$9, $D$9, 100%, $F$9) + CHOOSE(CONTROL!$C$27, 0.0021, 0)</f>
        <v>81.036999999999992</v>
      </c>
      <c r="I902" s="10">
        <f>81.0349 * CHOOSE(CONTROL!$C$9, $D$9, 100%, $F$9) + CHOOSE(CONTROL!$C$27, 0.0021, 0)</f>
        <v>81.036999999999992</v>
      </c>
      <c r="J902" s="10">
        <f>81.0349 * CHOOSE(CONTROL!$C$9, $D$9, 100%, $F$9) + CHOOSE(CONTROL!$C$27, 0.0021, 0)</f>
        <v>81.036999999999992</v>
      </c>
      <c r="K902" s="10">
        <f>81.0349 * CHOOSE(CONTROL!$C$9, $D$9, 100%, $F$9) + CHOOSE(CONTROL!$C$27, 0.0021, 0)</f>
        <v>81.036999999999992</v>
      </c>
      <c r="L902" s="10"/>
    </row>
    <row r="903" spans="1:12" ht="15.75">
      <c r="A903" s="13">
        <v>68788</v>
      </c>
      <c r="B903" s="10">
        <f>80.3173 * CHOOSE(CONTROL!$C$9, $D$9, 100%, $F$9) + CHOOSE(CONTROL!$C$27, 0.0021, 0)</f>
        <v>80.319400000000002</v>
      </c>
      <c r="C903" s="10">
        <f>79.8851 * CHOOSE(CONTROL!$C$9, $D$9, 100%, $F$9) + CHOOSE(CONTROL!$C$27, 0.0021, 0)</f>
        <v>79.887199999999993</v>
      </c>
      <c r="D903" s="10">
        <f>79.8851 * CHOOSE(CONTROL!$C$9, $D$9, 100%, $F$9) + CHOOSE(CONTROL!$C$27, 0.0021, 0)</f>
        <v>79.887199999999993</v>
      </c>
      <c r="E903" s="10">
        <f>79.7484 * CHOOSE(CONTROL!$C$9, $D$9, 100%, $F$9) + CHOOSE(CONTROL!$C$27, 0.0021, 0)</f>
        <v>79.750500000000002</v>
      </c>
      <c r="F903" s="10">
        <f>79.7484 * CHOOSE(CONTROL!$C$9, $D$9, 100%, $F$9) + CHOOSE(CONTROL!$C$27, 0.0021, 0)</f>
        <v>79.750500000000002</v>
      </c>
      <c r="G903" s="10">
        <f>80.0198 * CHOOSE(CONTROL!$C$9, $D$9, 100%, $F$9) + CHOOSE(CONTROL!$C$27, 0.0021, 0)</f>
        <v>80.021900000000002</v>
      </c>
      <c r="H903" s="10">
        <f>79.8851 * CHOOSE(CONTROL!$C$9, $D$9, 100%, $F$9) + CHOOSE(CONTROL!$C$27, 0.0021, 0)</f>
        <v>79.887199999999993</v>
      </c>
      <c r="I903" s="10">
        <f>79.8851 * CHOOSE(CONTROL!$C$9, $D$9, 100%, $F$9) + CHOOSE(CONTROL!$C$27, 0.0021, 0)</f>
        <v>79.887199999999993</v>
      </c>
      <c r="J903" s="10">
        <f>79.8851 * CHOOSE(CONTROL!$C$9, $D$9, 100%, $F$9) + CHOOSE(CONTROL!$C$27, 0.0021, 0)</f>
        <v>79.887199999999993</v>
      </c>
      <c r="K903" s="10">
        <f>79.8851 * CHOOSE(CONTROL!$C$9, $D$9, 100%, $F$9) + CHOOSE(CONTROL!$C$27, 0.0021, 0)</f>
        <v>79.887199999999993</v>
      </c>
      <c r="L903" s="10"/>
    </row>
    <row r="904" spans="1:12" ht="15.75">
      <c r="A904" s="13">
        <v>68819</v>
      </c>
      <c r="B904" s="10">
        <f>81.9559 * CHOOSE(CONTROL!$C$9, $D$9, 100%, $F$9) + CHOOSE(CONTROL!$C$27, 0.0021, 0)</f>
        <v>81.957999999999998</v>
      </c>
      <c r="C904" s="10">
        <f>81.5237 * CHOOSE(CONTROL!$C$9, $D$9, 100%, $F$9) + CHOOSE(CONTROL!$C$27, 0.0021, 0)</f>
        <v>81.525800000000004</v>
      </c>
      <c r="D904" s="10">
        <f>81.5237 * CHOOSE(CONTROL!$C$9, $D$9, 100%, $F$9) + CHOOSE(CONTROL!$C$27, 0.0021, 0)</f>
        <v>81.525800000000004</v>
      </c>
      <c r="E904" s="10">
        <f>81.387 * CHOOSE(CONTROL!$C$9, $D$9, 100%, $F$9) + CHOOSE(CONTROL!$C$27, 0.0021, 0)</f>
        <v>81.389099999999999</v>
      </c>
      <c r="F904" s="10">
        <f>81.387 * CHOOSE(CONTROL!$C$9, $D$9, 100%, $F$9) + CHOOSE(CONTROL!$C$27, 0.0021, 0)</f>
        <v>81.389099999999999</v>
      </c>
      <c r="G904" s="10">
        <f>81.6584 * CHOOSE(CONTROL!$C$9, $D$9, 100%, $F$9) + CHOOSE(CONTROL!$C$27, 0.0021, 0)</f>
        <v>81.660499999999999</v>
      </c>
      <c r="H904" s="10">
        <f>81.5237 * CHOOSE(CONTROL!$C$9, $D$9, 100%, $F$9) + CHOOSE(CONTROL!$C$27, 0.0021, 0)</f>
        <v>81.525800000000004</v>
      </c>
      <c r="I904" s="10">
        <f>81.5237 * CHOOSE(CONTROL!$C$9, $D$9, 100%, $F$9) + CHOOSE(CONTROL!$C$27, 0.0021, 0)</f>
        <v>81.525800000000004</v>
      </c>
      <c r="J904" s="10">
        <f>81.5237 * CHOOSE(CONTROL!$C$9, $D$9, 100%, $F$9) + CHOOSE(CONTROL!$C$27, 0.0021, 0)</f>
        <v>81.525800000000004</v>
      </c>
      <c r="K904" s="10">
        <f>81.5237 * CHOOSE(CONTROL!$C$9, $D$9, 100%, $F$9) + CHOOSE(CONTROL!$C$27, 0.0021, 0)</f>
        <v>81.525800000000004</v>
      </c>
      <c r="L904" s="10"/>
    </row>
    <row r="905" spans="1:12" ht="15.75">
      <c r="A905" s="13">
        <v>68849</v>
      </c>
      <c r="B905" s="10">
        <f>82.9373 * CHOOSE(CONTROL!$C$9, $D$9, 100%, $F$9) + CHOOSE(CONTROL!$C$27, 0.0021, 0)</f>
        <v>82.939399999999992</v>
      </c>
      <c r="C905" s="10">
        <f>82.5051 * CHOOSE(CONTROL!$C$9, $D$9, 100%, $F$9) + CHOOSE(CONTROL!$C$27, 0.0021, 0)</f>
        <v>82.507199999999997</v>
      </c>
      <c r="D905" s="10">
        <f>82.5051 * CHOOSE(CONTROL!$C$9, $D$9, 100%, $F$9) + CHOOSE(CONTROL!$C$27, 0.0021, 0)</f>
        <v>82.507199999999997</v>
      </c>
      <c r="E905" s="10">
        <f>82.3684 * CHOOSE(CONTROL!$C$9, $D$9, 100%, $F$9) + CHOOSE(CONTROL!$C$27, 0.0021, 0)</f>
        <v>82.370499999999993</v>
      </c>
      <c r="F905" s="10">
        <f>82.3684 * CHOOSE(CONTROL!$C$9, $D$9, 100%, $F$9) + CHOOSE(CONTROL!$C$27, 0.0021, 0)</f>
        <v>82.370499999999993</v>
      </c>
      <c r="G905" s="10">
        <f>82.6398 * CHOOSE(CONTROL!$C$9, $D$9, 100%, $F$9) + CHOOSE(CONTROL!$C$27, 0.0021, 0)</f>
        <v>82.641899999999993</v>
      </c>
      <c r="H905" s="10">
        <f>82.5051 * CHOOSE(CONTROL!$C$9, $D$9, 100%, $F$9) + CHOOSE(CONTROL!$C$27, 0.0021, 0)</f>
        <v>82.507199999999997</v>
      </c>
      <c r="I905" s="10">
        <f>82.5051 * CHOOSE(CONTROL!$C$9, $D$9, 100%, $F$9) + CHOOSE(CONTROL!$C$27, 0.0021, 0)</f>
        <v>82.507199999999997</v>
      </c>
      <c r="J905" s="10">
        <f>82.5051 * CHOOSE(CONTROL!$C$9, $D$9, 100%, $F$9) + CHOOSE(CONTROL!$C$27, 0.0021, 0)</f>
        <v>82.507199999999997</v>
      </c>
      <c r="K905" s="10">
        <f>82.5051 * CHOOSE(CONTROL!$C$9, $D$9, 100%, $F$9) + CHOOSE(CONTROL!$C$27, 0.0021, 0)</f>
        <v>82.507199999999997</v>
      </c>
      <c r="L905" s="10"/>
    </row>
    <row r="906" spans="1:12" ht="15.75">
      <c r="A906" s="13">
        <v>68880</v>
      </c>
      <c r="B906" s="10">
        <f>84.5563 * CHOOSE(CONTROL!$C$9, $D$9, 100%, $F$9) + CHOOSE(CONTROL!$C$27, 0.0021, 0)</f>
        <v>84.558399999999992</v>
      </c>
      <c r="C906" s="10">
        <f>84.1241 * CHOOSE(CONTROL!$C$9, $D$9, 100%, $F$9) + CHOOSE(CONTROL!$C$27, 0.0021, 0)</f>
        <v>84.126199999999997</v>
      </c>
      <c r="D906" s="10">
        <f>84.1241 * CHOOSE(CONTROL!$C$9, $D$9, 100%, $F$9) + CHOOSE(CONTROL!$C$27, 0.0021, 0)</f>
        <v>84.126199999999997</v>
      </c>
      <c r="E906" s="10">
        <f>83.9874 * CHOOSE(CONTROL!$C$9, $D$9, 100%, $F$9) + CHOOSE(CONTROL!$C$27, 0.0021, 0)</f>
        <v>83.989499999999992</v>
      </c>
      <c r="F906" s="10">
        <f>83.9874 * CHOOSE(CONTROL!$C$9, $D$9, 100%, $F$9) + CHOOSE(CONTROL!$C$27, 0.0021, 0)</f>
        <v>83.989499999999992</v>
      </c>
      <c r="G906" s="10">
        <f>84.2588 * CHOOSE(CONTROL!$C$9, $D$9, 100%, $F$9) + CHOOSE(CONTROL!$C$27, 0.0021, 0)</f>
        <v>84.260899999999992</v>
      </c>
      <c r="H906" s="10">
        <f>84.1241 * CHOOSE(CONTROL!$C$9, $D$9, 100%, $F$9) + CHOOSE(CONTROL!$C$27, 0.0021, 0)</f>
        <v>84.126199999999997</v>
      </c>
      <c r="I906" s="10">
        <f>84.1241 * CHOOSE(CONTROL!$C$9, $D$9, 100%, $F$9) + CHOOSE(CONTROL!$C$27, 0.0021, 0)</f>
        <v>84.126199999999997</v>
      </c>
      <c r="J906" s="10">
        <f>84.1241 * CHOOSE(CONTROL!$C$9, $D$9, 100%, $F$9) + CHOOSE(CONTROL!$C$27, 0.0021, 0)</f>
        <v>84.126199999999997</v>
      </c>
      <c r="K906" s="10">
        <f>84.1241 * CHOOSE(CONTROL!$C$9, $D$9, 100%, $F$9) + CHOOSE(CONTROL!$C$27, 0.0021, 0)</f>
        <v>84.126199999999997</v>
      </c>
      <c r="L906" s="10"/>
    </row>
    <row r="907" spans="1:12" ht="15.75">
      <c r="A907" s="13">
        <v>68911</v>
      </c>
      <c r="B907" s="10">
        <f>85.0505 * CHOOSE(CONTROL!$C$9, $D$9, 100%, $F$9) + CHOOSE(CONTROL!$C$27, 0.0021, 0)</f>
        <v>85.052599999999998</v>
      </c>
      <c r="C907" s="10">
        <f>84.6183 * CHOOSE(CONTROL!$C$9, $D$9, 100%, $F$9) + CHOOSE(CONTROL!$C$27, 0.0021, 0)</f>
        <v>84.620400000000004</v>
      </c>
      <c r="D907" s="10">
        <f>84.6183 * CHOOSE(CONTROL!$C$9, $D$9, 100%, $F$9) + CHOOSE(CONTROL!$C$27, 0.0021, 0)</f>
        <v>84.620400000000004</v>
      </c>
      <c r="E907" s="10">
        <f>84.4816 * CHOOSE(CONTROL!$C$9, $D$9, 100%, $F$9) + CHOOSE(CONTROL!$C$27, 0.0021, 0)</f>
        <v>84.483699999999999</v>
      </c>
      <c r="F907" s="10">
        <f>84.4816 * CHOOSE(CONTROL!$C$9, $D$9, 100%, $F$9) + CHOOSE(CONTROL!$C$27, 0.0021, 0)</f>
        <v>84.483699999999999</v>
      </c>
      <c r="G907" s="10">
        <f>84.753 * CHOOSE(CONTROL!$C$9, $D$9, 100%, $F$9) + CHOOSE(CONTROL!$C$27, 0.0021, 0)</f>
        <v>84.755099999999999</v>
      </c>
      <c r="H907" s="10">
        <f>84.6183 * CHOOSE(CONTROL!$C$9, $D$9, 100%, $F$9) + CHOOSE(CONTROL!$C$27, 0.0021, 0)</f>
        <v>84.620400000000004</v>
      </c>
      <c r="I907" s="10">
        <f>84.6183 * CHOOSE(CONTROL!$C$9, $D$9, 100%, $F$9) + CHOOSE(CONTROL!$C$27, 0.0021, 0)</f>
        <v>84.620400000000004</v>
      </c>
      <c r="J907" s="10">
        <f>84.6183 * CHOOSE(CONTROL!$C$9, $D$9, 100%, $F$9) + CHOOSE(CONTROL!$C$27, 0.0021, 0)</f>
        <v>84.620400000000004</v>
      </c>
      <c r="K907" s="10">
        <f>84.6183 * CHOOSE(CONTROL!$C$9, $D$9, 100%, $F$9) + CHOOSE(CONTROL!$C$27, 0.0021, 0)</f>
        <v>84.620400000000004</v>
      </c>
      <c r="L907" s="10"/>
    </row>
    <row r="908" spans="1:12" ht="15.75">
      <c r="A908" s="13">
        <v>68941</v>
      </c>
      <c r="B908" s="10">
        <f>86.7334 * CHOOSE(CONTROL!$C$9, $D$9, 100%, $F$9) + CHOOSE(CONTROL!$C$27, 0.0021, 0)</f>
        <v>86.735500000000002</v>
      </c>
      <c r="C908" s="10">
        <f>86.3011 * CHOOSE(CONTROL!$C$9, $D$9, 100%, $F$9) + CHOOSE(CONTROL!$C$27, 0.0021, 0)</f>
        <v>86.303200000000004</v>
      </c>
      <c r="D908" s="10">
        <f>86.3011 * CHOOSE(CONTROL!$C$9, $D$9, 100%, $F$9) + CHOOSE(CONTROL!$C$27, 0.0021, 0)</f>
        <v>86.303200000000004</v>
      </c>
      <c r="E908" s="10">
        <f>86.1645 * CHOOSE(CONTROL!$C$9, $D$9, 100%, $F$9) + CHOOSE(CONTROL!$C$27, 0.0021, 0)</f>
        <v>86.166600000000003</v>
      </c>
      <c r="F908" s="10">
        <f>86.1645 * CHOOSE(CONTROL!$C$9, $D$9, 100%, $F$9) + CHOOSE(CONTROL!$C$27, 0.0021, 0)</f>
        <v>86.166600000000003</v>
      </c>
      <c r="G908" s="10">
        <f>86.4359 * CHOOSE(CONTROL!$C$9, $D$9, 100%, $F$9) + CHOOSE(CONTROL!$C$27, 0.0021, 0)</f>
        <v>86.438000000000002</v>
      </c>
      <c r="H908" s="10">
        <f>86.3011 * CHOOSE(CONTROL!$C$9, $D$9, 100%, $F$9) + CHOOSE(CONTROL!$C$27, 0.0021, 0)</f>
        <v>86.303200000000004</v>
      </c>
      <c r="I908" s="10">
        <f>86.3011 * CHOOSE(CONTROL!$C$9, $D$9, 100%, $F$9) + CHOOSE(CONTROL!$C$27, 0.0021, 0)</f>
        <v>86.303200000000004</v>
      </c>
      <c r="J908" s="10">
        <f>86.3011 * CHOOSE(CONTROL!$C$9, $D$9, 100%, $F$9) + CHOOSE(CONTROL!$C$27, 0.0021, 0)</f>
        <v>86.303200000000004</v>
      </c>
      <c r="K908" s="10">
        <f>86.3011 * CHOOSE(CONTROL!$C$9, $D$9, 100%, $F$9) + CHOOSE(CONTROL!$C$27, 0.0021, 0)</f>
        <v>86.303200000000004</v>
      </c>
      <c r="L908" s="10"/>
    </row>
    <row r="909" spans="1:12" ht="15.75">
      <c r="A909" s="13">
        <v>68972</v>
      </c>
      <c r="B909" s="10">
        <f>88.8636 * CHOOSE(CONTROL!$C$9, $D$9, 100%, $F$9) + CHOOSE(CONTROL!$C$27, 0.0021, 0)</f>
        <v>88.865700000000004</v>
      </c>
      <c r="C909" s="10">
        <f>88.4314 * CHOOSE(CONTROL!$C$9, $D$9, 100%, $F$9) + CHOOSE(CONTROL!$C$27, 0.0021, 0)</f>
        <v>88.433499999999995</v>
      </c>
      <c r="D909" s="10">
        <f>88.4314 * CHOOSE(CONTROL!$C$9, $D$9, 100%, $F$9) + CHOOSE(CONTROL!$C$27, 0.0021, 0)</f>
        <v>88.433499999999995</v>
      </c>
      <c r="E909" s="10">
        <f>88.2947 * CHOOSE(CONTROL!$C$9, $D$9, 100%, $F$9) + CHOOSE(CONTROL!$C$27, 0.0021, 0)</f>
        <v>88.296800000000005</v>
      </c>
      <c r="F909" s="10">
        <f>88.2947 * CHOOSE(CONTROL!$C$9, $D$9, 100%, $F$9) + CHOOSE(CONTROL!$C$27, 0.0021, 0)</f>
        <v>88.296800000000005</v>
      </c>
      <c r="G909" s="10">
        <f>88.5661 * CHOOSE(CONTROL!$C$9, $D$9, 100%, $F$9) + CHOOSE(CONTROL!$C$27, 0.0021, 0)</f>
        <v>88.568200000000004</v>
      </c>
      <c r="H909" s="10">
        <f>88.4314 * CHOOSE(CONTROL!$C$9, $D$9, 100%, $F$9) + CHOOSE(CONTROL!$C$27, 0.0021, 0)</f>
        <v>88.433499999999995</v>
      </c>
      <c r="I909" s="10">
        <f>88.4314 * CHOOSE(CONTROL!$C$9, $D$9, 100%, $F$9) + CHOOSE(CONTROL!$C$27, 0.0021, 0)</f>
        <v>88.433499999999995</v>
      </c>
      <c r="J909" s="10">
        <f>88.4314 * CHOOSE(CONTROL!$C$9, $D$9, 100%, $F$9) + CHOOSE(CONTROL!$C$27, 0.0021, 0)</f>
        <v>88.433499999999995</v>
      </c>
      <c r="K909" s="10">
        <f>88.4314 * CHOOSE(CONTROL!$C$9, $D$9, 100%, $F$9) + CHOOSE(CONTROL!$C$27, 0.0021, 0)</f>
        <v>88.433499999999995</v>
      </c>
      <c r="L909" s="10"/>
    </row>
    <row r="910" spans="1:12" ht="15.75">
      <c r="A910" s="13">
        <v>69002</v>
      </c>
      <c r="B910" s="10">
        <f>89.0636 * CHOOSE(CONTROL!$C$9, $D$9, 100%, $F$9) + CHOOSE(CONTROL!$C$27, 0.0021, 0)</f>
        <v>89.065699999999993</v>
      </c>
      <c r="C910" s="10">
        <f>88.6314 * CHOOSE(CONTROL!$C$9, $D$9, 100%, $F$9) + CHOOSE(CONTROL!$C$27, 0.0021, 0)</f>
        <v>88.633499999999998</v>
      </c>
      <c r="D910" s="10">
        <f>88.6314 * CHOOSE(CONTROL!$C$9, $D$9, 100%, $F$9) + CHOOSE(CONTROL!$C$27, 0.0021, 0)</f>
        <v>88.633499999999998</v>
      </c>
      <c r="E910" s="10">
        <f>88.4947 * CHOOSE(CONTROL!$C$9, $D$9, 100%, $F$9) + CHOOSE(CONTROL!$C$27, 0.0021, 0)</f>
        <v>88.496799999999993</v>
      </c>
      <c r="F910" s="10">
        <f>88.4947 * CHOOSE(CONTROL!$C$9, $D$9, 100%, $F$9) + CHOOSE(CONTROL!$C$27, 0.0021, 0)</f>
        <v>88.496799999999993</v>
      </c>
      <c r="G910" s="10">
        <f>88.7661 * CHOOSE(CONTROL!$C$9, $D$9, 100%, $F$9) + CHOOSE(CONTROL!$C$27, 0.0021, 0)</f>
        <v>88.768199999999993</v>
      </c>
      <c r="H910" s="10">
        <f>88.6314 * CHOOSE(CONTROL!$C$9, $D$9, 100%, $F$9) + CHOOSE(CONTROL!$C$27, 0.0021, 0)</f>
        <v>88.633499999999998</v>
      </c>
      <c r="I910" s="10">
        <f>88.6314 * CHOOSE(CONTROL!$C$9, $D$9, 100%, $F$9) + CHOOSE(CONTROL!$C$27, 0.0021, 0)</f>
        <v>88.633499999999998</v>
      </c>
      <c r="J910" s="10">
        <f>88.6314 * CHOOSE(CONTROL!$C$9, $D$9, 100%, $F$9) + CHOOSE(CONTROL!$C$27, 0.0021, 0)</f>
        <v>88.633499999999998</v>
      </c>
      <c r="K910" s="10">
        <f>88.6314 * CHOOSE(CONTROL!$C$9, $D$9, 100%, $F$9) + CHOOSE(CONTROL!$C$27, 0.0021, 0)</f>
        <v>88.633499999999998</v>
      </c>
      <c r="L910" s="10"/>
    </row>
    <row r="911" spans="1:12" ht="15.75">
      <c r="A911" s="13">
        <v>69033</v>
      </c>
      <c r="B911" s="10">
        <f>87.3622 * CHOOSE(CONTROL!$C$9, $D$9, 100%, $F$9) + CHOOSE(CONTROL!$C$27, 0.0021, 0)</f>
        <v>87.3643</v>
      </c>
      <c r="C911" s="10">
        <f>86.93 * CHOOSE(CONTROL!$C$9, $D$9, 100%, $F$9) + CHOOSE(CONTROL!$C$27, 0.0021, 0)</f>
        <v>86.932100000000005</v>
      </c>
      <c r="D911" s="10">
        <f>86.93 * CHOOSE(CONTROL!$C$9, $D$9, 100%, $F$9) + CHOOSE(CONTROL!$C$27, 0.0021, 0)</f>
        <v>86.932100000000005</v>
      </c>
      <c r="E911" s="10">
        <f>86.7933 * CHOOSE(CONTROL!$C$9, $D$9, 100%, $F$9) + CHOOSE(CONTROL!$C$27, 0.0021, 0)</f>
        <v>86.795400000000001</v>
      </c>
      <c r="F911" s="10">
        <f>86.7933 * CHOOSE(CONTROL!$C$9, $D$9, 100%, $F$9) + CHOOSE(CONTROL!$C$27, 0.0021, 0)</f>
        <v>86.795400000000001</v>
      </c>
      <c r="G911" s="10">
        <f>87.0647 * CHOOSE(CONTROL!$C$9, $D$9, 100%, $F$9) + CHOOSE(CONTROL!$C$27, 0.0021, 0)</f>
        <v>87.066800000000001</v>
      </c>
      <c r="H911" s="10">
        <f>86.93 * CHOOSE(CONTROL!$C$9, $D$9, 100%, $F$9) + CHOOSE(CONTROL!$C$27, 0.0021, 0)</f>
        <v>86.932100000000005</v>
      </c>
      <c r="I911" s="10">
        <f>86.93 * CHOOSE(CONTROL!$C$9, $D$9, 100%, $F$9) + CHOOSE(CONTROL!$C$27, 0.0021, 0)</f>
        <v>86.932100000000005</v>
      </c>
      <c r="J911" s="10">
        <f>86.93 * CHOOSE(CONTROL!$C$9, $D$9, 100%, $F$9) + CHOOSE(CONTROL!$C$27, 0.0021, 0)</f>
        <v>86.932100000000005</v>
      </c>
      <c r="K911" s="10">
        <f>86.93 * CHOOSE(CONTROL!$C$9, $D$9, 100%, $F$9) + CHOOSE(CONTROL!$C$27, 0.0021, 0)</f>
        <v>86.932100000000005</v>
      </c>
      <c r="L911" s="10"/>
    </row>
    <row r="912" spans="1:12" ht="15.75">
      <c r="A912" s="13">
        <v>69064</v>
      </c>
      <c r="B912" s="10">
        <f>86.0596 * CHOOSE(CONTROL!$C$9, $D$9, 100%, $F$9) + CHOOSE(CONTROL!$C$27, 0.0021, 0)</f>
        <v>86.061700000000002</v>
      </c>
      <c r="C912" s="10">
        <f>85.6274 * CHOOSE(CONTROL!$C$9, $D$9, 100%, $F$9) + CHOOSE(CONTROL!$C$27, 0.0021, 0)</f>
        <v>85.629499999999993</v>
      </c>
      <c r="D912" s="10">
        <f>85.6274 * CHOOSE(CONTROL!$C$9, $D$9, 100%, $F$9) + CHOOSE(CONTROL!$C$27, 0.0021, 0)</f>
        <v>85.629499999999993</v>
      </c>
      <c r="E912" s="10">
        <f>85.4907 * CHOOSE(CONTROL!$C$9, $D$9, 100%, $F$9) + CHOOSE(CONTROL!$C$27, 0.0021, 0)</f>
        <v>85.492800000000003</v>
      </c>
      <c r="F912" s="10">
        <f>85.4907 * CHOOSE(CONTROL!$C$9, $D$9, 100%, $F$9) + CHOOSE(CONTROL!$C$27, 0.0021, 0)</f>
        <v>85.492800000000003</v>
      </c>
      <c r="G912" s="10">
        <f>85.7621 * CHOOSE(CONTROL!$C$9, $D$9, 100%, $F$9) + CHOOSE(CONTROL!$C$27, 0.0021, 0)</f>
        <v>85.764200000000002</v>
      </c>
      <c r="H912" s="10">
        <f>85.6274 * CHOOSE(CONTROL!$C$9, $D$9, 100%, $F$9) + CHOOSE(CONTROL!$C$27, 0.0021, 0)</f>
        <v>85.629499999999993</v>
      </c>
      <c r="I912" s="10">
        <f>85.6274 * CHOOSE(CONTROL!$C$9, $D$9, 100%, $F$9) + CHOOSE(CONTROL!$C$27, 0.0021, 0)</f>
        <v>85.629499999999993</v>
      </c>
      <c r="J912" s="10">
        <f>85.6274 * CHOOSE(CONTROL!$C$9, $D$9, 100%, $F$9) + CHOOSE(CONTROL!$C$27, 0.0021, 0)</f>
        <v>85.629499999999993</v>
      </c>
      <c r="K912" s="10">
        <f>85.6274 * CHOOSE(CONTROL!$C$9, $D$9, 100%, $F$9) + CHOOSE(CONTROL!$C$27, 0.0021, 0)</f>
        <v>85.629499999999993</v>
      </c>
      <c r="L912" s="10"/>
    </row>
    <row r="913" spans="1:12" ht="15.75">
      <c r="A913" s="13">
        <v>69092</v>
      </c>
      <c r="B913" s="10">
        <f>83.6902 * CHOOSE(CONTROL!$C$9, $D$9, 100%, $F$9) + CHOOSE(CONTROL!$C$27, 0.0021, 0)</f>
        <v>83.692300000000003</v>
      </c>
      <c r="C913" s="10">
        <f>83.258 * CHOOSE(CONTROL!$C$9, $D$9, 100%, $F$9) + CHOOSE(CONTROL!$C$27, 0.0021, 0)</f>
        <v>83.260099999999994</v>
      </c>
      <c r="D913" s="10">
        <f>83.258 * CHOOSE(CONTROL!$C$9, $D$9, 100%, $F$9) + CHOOSE(CONTROL!$C$27, 0.0021, 0)</f>
        <v>83.260099999999994</v>
      </c>
      <c r="E913" s="10">
        <f>83.1213 * CHOOSE(CONTROL!$C$9, $D$9, 100%, $F$9) + CHOOSE(CONTROL!$C$27, 0.0021, 0)</f>
        <v>83.123400000000004</v>
      </c>
      <c r="F913" s="10">
        <f>83.1213 * CHOOSE(CONTROL!$C$9, $D$9, 100%, $F$9) + CHOOSE(CONTROL!$C$27, 0.0021, 0)</f>
        <v>83.123400000000004</v>
      </c>
      <c r="G913" s="10">
        <f>83.3927 * CHOOSE(CONTROL!$C$9, $D$9, 100%, $F$9) + CHOOSE(CONTROL!$C$27, 0.0021, 0)</f>
        <v>83.394800000000004</v>
      </c>
      <c r="H913" s="10">
        <f>83.258 * CHOOSE(CONTROL!$C$9, $D$9, 100%, $F$9) + CHOOSE(CONTROL!$C$27, 0.0021, 0)</f>
        <v>83.260099999999994</v>
      </c>
      <c r="I913" s="10">
        <f>83.258 * CHOOSE(CONTROL!$C$9, $D$9, 100%, $F$9) + CHOOSE(CONTROL!$C$27, 0.0021, 0)</f>
        <v>83.260099999999994</v>
      </c>
      <c r="J913" s="10">
        <f>83.258 * CHOOSE(CONTROL!$C$9, $D$9, 100%, $F$9) + CHOOSE(CONTROL!$C$27, 0.0021, 0)</f>
        <v>83.260099999999994</v>
      </c>
      <c r="K913" s="10">
        <f>83.258 * CHOOSE(CONTROL!$C$9, $D$9, 100%, $F$9) + CHOOSE(CONTROL!$C$27, 0.0021, 0)</f>
        <v>83.260099999999994</v>
      </c>
      <c r="L913" s="10"/>
    </row>
    <row r="914" spans="1:12" ht="15.75">
      <c r="A914" s="13">
        <v>69123</v>
      </c>
      <c r="B914" s="10">
        <f>82.7121 * CHOOSE(CONTROL!$C$9, $D$9, 100%, $F$9) + CHOOSE(CONTROL!$C$27, 0.0021, 0)</f>
        <v>82.714200000000005</v>
      </c>
      <c r="C914" s="10">
        <f>82.2799 * CHOOSE(CONTROL!$C$9, $D$9, 100%, $F$9) + CHOOSE(CONTROL!$C$27, 0.0021, 0)</f>
        <v>82.281999999999996</v>
      </c>
      <c r="D914" s="10">
        <f>82.2799 * CHOOSE(CONTROL!$C$9, $D$9, 100%, $F$9) + CHOOSE(CONTROL!$C$27, 0.0021, 0)</f>
        <v>82.281999999999996</v>
      </c>
      <c r="E914" s="10">
        <f>82.1432 * CHOOSE(CONTROL!$C$9, $D$9, 100%, $F$9) + CHOOSE(CONTROL!$C$27, 0.0021, 0)</f>
        <v>82.145299999999992</v>
      </c>
      <c r="F914" s="10">
        <f>82.1432 * CHOOSE(CONTROL!$C$9, $D$9, 100%, $F$9) + CHOOSE(CONTROL!$C$27, 0.0021, 0)</f>
        <v>82.145299999999992</v>
      </c>
      <c r="G914" s="10">
        <f>82.4146 * CHOOSE(CONTROL!$C$9, $D$9, 100%, $F$9) + CHOOSE(CONTROL!$C$27, 0.0021, 0)</f>
        <v>82.416699999999992</v>
      </c>
      <c r="H914" s="10">
        <f>82.2799 * CHOOSE(CONTROL!$C$9, $D$9, 100%, $F$9) + CHOOSE(CONTROL!$C$27, 0.0021, 0)</f>
        <v>82.281999999999996</v>
      </c>
      <c r="I914" s="10">
        <f>82.2799 * CHOOSE(CONTROL!$C$9, $D$9, 100%, $F$9) + CHOOSE(CONTROL!$C$27, 0.0021, 0)</f>
        <v>82.281999999999996</v>
      </c>
      <c r="J914" s="10">
        <f>82.2799 * CHOOSE(CONTROL!$C$9, $D$9, 100%, $F$9) + CHOOSE(CONTROL!$C$27, 0.0021, 0)</f>
        <v>82.281999999999996</v>
      </c>
      <c r="K914" s="10">
        <f>82.2799 * CHOOSE(CONTROL!$C$9, $D$9, 100%, $F$9) + CHOOSE(CONTROL!$C$27, 0.0021, 0)</f>
        <v>82.281999999999996</v>
      </c>
      <c r="L914" s="10"/>
    </row>
    <row r="915" spans="1:12" ht="15.75">
      <c r="A915" s="13">
        <v>69153</v>
      </c>
      <c r="B915" s="10">
        <f>81.5443 * CHOOSE(CONTROL!$C$9, $D$9, 100%, $F$9) + CHOOSE(CONTROL!$C$27, 0.0021, 0)</f>
        <v>81.546400000000006</v>
      </c>
      <c r="C915" s="10">
        <f>81.112 * CHOOSE(CONTROL!$C$9, $D$9, 100%, $F$9) + CHOOSE(CONTROL!$C$27, 0.0021, 0)</f>
        <v>81.114099999999993</v>
      </c>
      <c r="D915" s="10">
        <f>81.112 * CHOOSE(CONTROL!$C$9, $D$9, 100%, $F$9) + CHOOSE(CONTROL!$C$27, 0.0021, 0)</f>
        <v>81.114099999999993</v>
      </c>
      <c r="E915" s="10">
        <f>80.9754 * CHOOSE(CONTROL!$C$9, $D$9, 100%, $F$9) + CHOOSE(CONTROL!$C$27, 0.0021, 0)</f>
        <v>80.977499999999992</v>
      </c>
      <c r="F915" s="10">
        <f>80.9754 * CHOOSE(CONTROL!$C$9, $D$9, 100%, $F$9) + CHOOSE(CONTROL!$C$27, 0.0021, 0)</f>
        <v>80.977499999999992</v>
      </c>
      <c r="G915" s="10">
        <f>81.2468 * CHOOSE(CONTROL!$C$9, $D$9, 100%, $F$9) + CHOOSE(CONTROL!$C$27, 0.0021, 0)</f>
        <v>81.248899999999992</v>
      </c>
      <c r="H915" s="10">
        <f>81.112 * CHOOSE(CONTROL!$C$9, $D$9, 100%, $F$9) + CHOOSE(CONTROL!$C$27, 0.0021, 0)</f>
        <v>81.114099999999993</v>
      </c>
      <c r="I915" s="10">
        <f>81.112 * CHOOSE(CONTROL!$C$9, $D$9, 100%, $F$9) + CHOOSE(CONTROL!$C$27, 0.0021, 0)</f>
        <v>81.114099999999993</v>
      </c>
      <c r="J915" s="10">
        <f>81.112 * CHOOSE(CONTROL!$C$9, $D$9, 100%, $F$9) + CHOOSE(CONTROL!$C$27, 0.0021, 0)</f>
        <v>81.114099999999993</v>
      </c>
      <c r="K915" s="10">
        <f>81.112 * CHOOSE(CONTROL!$C$9, $D$9, 100%, $F$9) + CHOOSE(CONTROL!$C$27, 0.0021, 0)</f>
        <v>81.114099999999993</v>
      </c>
      <c r="L915" s="10"/>
    </row>
    <row r="916" spans="1:12" ht="15.75">
      <c r="A916" s="13">
        <v>69184</v>
      </c>
      <c r="B916" s="10">
        <f>83.2086 * CHOOSE(CONTROL!$C$9, $D$9, 100%, $F$9) + CHOOSE(CONTROL!$C$27, 0.0021, 0)</f>
        <v>83.210700000000003</v>
      </c>
      <c r="C916" s="10">
        <f>82.7764 * CHOOSE(CONTROL!$C$9, $D$9, 100%, $F$9) + CHOOSE(CONTROL!$C$27, 0.0021, 0)</f>
        <v>82.778499999999994</v>
      </c>
      <c r="D916" s="10">
        <f>82.7764 * CHOOSE(CONTROL!$C$9, $D$9, 100%, $F$9) + CHOOSE(CONTROL!$C$27, 0.0021, 0)</f>
        <v>82.778499999999994</v>
      </c>
      <c r="E916" s="10">
        <f>82.6397 * CHOOSE(CONTROL!$C$9, $D$9, 100%, $F$9) + CHOOSE(CONTROL!$C$27, 0.0021, 0)</f>
        <v>82.641800000000003</v>
      </c>
      <c r="F916" s="10">
        <f>82.6397 * CHOOSE(CONTROL!$C$9, $D$9, 100%, $F$9) + CHOOSE(CONTROL!$C$27, 0.0021, 0)</f>
        <v>82.641800000000003</v>
      </c>
      <c r="G916" s="10">
        <f>82.9111 * CHOOSE(CONTROL!$C$9, $D$9, 100%, $F$9) + CHOOSE(CONTROL!$C$27, 0.0021, 0)</f>
        <v>82.913200000000003</v>
      </c>
      <c r="H916" s="10">
        <f>82.7764 * CHOOSE(CONTROL!$C$9, $D$9, 100%, $F$9) + CHOOSE(CONTROL!$C$27, 0.0021, 0)</f>
        <v>82.778499999999994</v>
      </c>
      <c r="I916" s="10">
        <f>82.7764 * CHOOSE(CONTROL!$C$9, $D$9, 100%, $F$9) + CHOOSE(CONTROL!$C$27, 0.0021, 0)</f>
        <v>82.778499999999994</v>
      </c>
      <c r="J916" s="10">
        <f>82.7764 * CHOOSE(CONTROL!$C$9, $D$9, 100%, $F$9) + CHOOSE(CONTROL!$C$27, 0.0021, 0)</f>
        <v>82.778499999999994</v>
      </c>
      <c r="K916" s="10">
        <f>82.7764 * CHOOSE(CONTROL!$C$9, $D$9, 100%, $F$9) + CHOOSE(CONTROL!$C$27, 0.0021, 0)</f>
        <v>82.778499999999994</v>
      </c>
      <c r="L916" s="10"/>
    </row>
    <row r="917" spans="1:12" ht="15.75">
      <c r="A917" s="13">
        <v>69214</v>
      </c>
      <c r="B917" s="10">
        <f>84.2055 * CHOOSE(CONTROL!$C$9, $D$9, 100%, $F$9) + CHOOSE(CONTROL!$C$27, 0.0021, 0)</f>
        <v>84.207599999999999</v>
      </c>
      <c r="C917" s="10">
        <f>83.7732 * CHOOSE(CONTROL!$C$9, $D$9, 100%, $F$9) + CHOOSE(CONTROL!$C$27, 0.0021, 0)</f>
        <v>83.775300000000001</v>
      </c>
      <c r="D917" s="10">
        <f>83.7732 * CHOOSE(CONTROL!$C$9, $D$9, 100%, $F$9) + CHOOSE(CONTROL!$C$27, 0.0021, 0)</f>
        <v>83.775300000000001</v>
      </c>
      <c r="E917" s="10">
        <f>83.6366 * CHOOSE(CONTROL!$C$9, $D$9, 100%, $F$9) + CHOOSE(CONTROL!$C$27, 0.0021, 0)</f>
        <v>83.6387</v>
      </c>
      <c r="F917" s="10">
        <f>83.6366 * CHOOSE(CONTROL!$C$9, $D$9, 100%, $F$9) + CHOOSE(CONTROL!$C$27, 0.0021, 0)</f>
        <v>83.6387</v>
      </c>
      <c r="G917" s="10">
        <f>83.9079 * CHOOSE(CONTROL!$C$9, $D$9, 100%, $F$9) + CHOOSE(CONTROL!$C$27, 0.0021, 0)</f>
        <v>83.91</v>
      </c>
      <c r="H917" s="10">
        <f>83.7732 * CHOOSE(CONTROL!$C$9, $D$9, 100%, $F$9) + CHOOSE(CONTROL!$C$27, 0.0021, 0)</f>
        <v>83.775300000000001</v>
      </c>
      <c r="I917" s="10">
        <f>83.7732 * CHOOSE(CONTROL!$C$9, $D$9, 100%, $F$9) + CHOOSE(CONTROL!$C$27, 0.0021, 0)</f>
        <v>83.775300000000001</v>
      </c>
      <c r="J917" s="10">
        <f>83.7732 * CHOOSE(CONTROL!$C$9, $D$9, 100%, $F$9) + CHOOSE(CONTROL!$C$27, 0.0021, 0)</f>
        <v>83.775300000000001</v>
      </c>
      <c r="K917" s="10">
        <f>83.7732 * CHOOSE(CONTROL!$C$9, $D$9, 100%, $F$9) + CHOOSE(CONTROL!$C$27, 0.0021, 0)</f>
        <v>83.775300000000001</v>
      </c>
      <c r="L917" s="10"/>
    </row>
    <row r="918" spans="1:12" ht="15.75">
      <c r="A918" s="13">
        <v>69245</v>
      </c>
      <c r="B918" s="10">
        <f>85.8499 * CHOOSE(CONTROL!$C$9, $D$9, 100%, $F$9) + CHOOSE(CONTROL!$C$27, 0.0021, 0)</f>
        <v>85.852000000000004</v>
      </c>
      <c r="C918" s="10">
        <f>85.4177 * CHOOSE(CONTROL!$C$9, $D$9, 100%, $F$9) + CHOOSE(CONTROL!$C$27, 0.0021, 0)</f>
        <v>85.419799999999995</v>
      </c>
      <c r="D918" s="10">
        <f>85.4177 * CHOOSE(CONTROL!$C$9, $D$9, 100%, $F$9) + CHOOSE(CONTROL!$C$27, 0.0021, 0)</f>
        <v>85.419799999999995</v>
      </c>
      <c r="E918" s="10">
        <f>85.281 * CHOOSE(CONTROL!$C$9, $D$9, 100%, $F$9) + CHOOSE(CONTROL!$C$27, 0.0021, 0)</f>
        <v>85.283100000000005</v>
      </c>
      <c r="F918" s="10">
        <f>85.281 * CHOOSE(CONTROL!$C$9, $D$9, 100%, $F$9) + CHOOSE(CONTROL!$C$27, 0.0021, 0)</f>
        <v>85.283100000000005</v>
      </c>
      <c r="G918" s="10">
        <f>85.5524 * CHOOSE(CONTROL!$C$9, $D$9, 100%, $F$9) + CHOOSE(CONTROL!$C$27, 0.0021, 0)</f>
        <v>85.554500000000004</v>
      </c>
      <c r="H918" s="10">
        <f>85.4177 * CHOOSE(CONTROL!$C$9, $D$9, 100%, $F$9) + CHOOSE(CONTROL!$C$27, 0.0021, 0)</f>
        <v>85.419799999999995</v>
      </c>
      <c r="I918" s="10">
        <f>85.4177 * CHOOSE(CONTROL!$C$9, $D$9, 100%, $F$9) + CHOOSE(CONTROL!$C$27, 0.0021, 0)</f>
        <v>85.419799999999995</v>
      </c>
      <c r="J918" s="10">
        <f>85.4177 * CHOOSE(CONTROL!$C$9, $D$9, 100%, $F$9) + CHOOSE(CONTROL!$C$27, 0.0021, 0)</f>
        <v>85.419799999999995</v>
      </c>
      <c r="K918" s="10">
        <f>85.4177 * CHOOSE(CONTROL!$C$9, $D$9, 100%, $F$9) + CHOOSE(CONTROL!$C$27, 0.0021, 0)</f>
        <v>85.419799999999995</v>
      </c>
      <c r="L918" s="10"/>
    </row>
    <row r="919" spans="1:12" ht="15.75">
      <c r="A919" s="13">
        <v>69276</v>
      </c>
      <c r="B919" s="10">
        <f>86.3519 * CHOOSE(CONTROL!$C$9, $D$9, 100%, $F$9) + CHOOSE(CONTROL!$C$27, 0.0021, 0)</f>
        <v>86.353999999999999</v>
      </c>
      <c r="C919" s="10">
        <f>85.9196 * CHOOSE(CONTROL!$C$9, $D$9, 100%, $F$9) + CHOOSE(CONTROL!$C$27, 0.0021, 0)</f>
        <v>85.921700000000001</v>
      </c>
      <c r="D919" s="10">
        <f>85.9196 * CHOOSE(CONTROL!$C$9, $D$9, 100%, $F$9) + CHOOSE(CONTROL!$C$27, 0.0021, 0)</f>
        <v>85.921700000000001</v>
      </c>
      <c r="E919" s="10">
        <f>85.783 * CHOOSE(CONTROL!$C$9, $D$9, 100%, $F$9) + CHOOSE(CONTROL!$C$27, 0.0021, 0)</f>
        <v>85.7851</v>
      </c>
      <c r="F919" s="10">
        <f>85.783 * CHOOSE(CONTROL!$C$9, $D$9, 100%, $F$9) + CHOOSE(CONTROL!$C$27, 0.0021, 0)</f>
        <v>85.7851</v>
      </c>
      <c r="G919" s="10">
        <f>86.0543 * CHOOSE(CONTROL!$C$9, $D$9, 100%, $F$9) + CHOOSE(CONTROL!$C$27, 0.0021, 0)</f>
        <v>86.056399999999996</v>
      </c>
      <c r="H919" s="10">
        <f>85.9196 * CHOOSE(CONTROL!$C$9, $D$9, 100%, $F$9) + CHOOSE(CONTROL!$C$27, 0.0021, 0)</f>
        <v>85.921700000000001</v>
      </c>
      <c r="I919" s="10">
        <f>85.9196 * CHOOSE(CONTROL!$C$9, $D$9, 100%, $F$9) + CHOOSE(CONTROL!$C$27, 0.0021, 0)</f>
        <v>85.921700000000001</v>
      </c>
      <c r="J919" s="10">
        <f>85.9196 * CHOOSE(CONTROL!$C$9, $D$9, 100%, $F$9) + CHOOSE(CONTROL!$C$27, 0.0021, 0)</f>
        <v>85.921700000000001</v>
      </c>
      <c r="K919" s="10">
        <f>85.9196 * CHOOSE(CONTROL!$C$9, $D$9, 100%, $F$9) + CHOOSE(CONTROL!$C$27, 0.0021, 0)</f>
        <v>85.921700000000001</v>
      </c>
      <c r="L919" s="10"/>
    </row>
    <row r="920" spans="1:12" ht="15.75">
      <c r="A920" s="13">
        <v>69306</v>
      </c>
      <c r="B920" s="10">
        <f>88.0612 * CHOOSE(CONTROL!$C$9, $D$9, 100%, $F$9) + CHOOSE(CONTROL!$C$27, 0.0021, 0)</f>
        <v>88.063299999999998</v>
      </c>
      <c r="C920" s="10">
        <f>87.629 * CHOOSE(CONTROL!$C$9, $D$9, 100%, $F$9) + CHOOSE(CONTROL!$C$27, 0.0021, 0)</f>
        <v>87.631100000000004</v>
      </c>
      <c r="D920" s="10">
        <f>87.629 * CHOOSE(CONTROL!$C$9, $D$9, 100%, $F$9) + CHOOSE(CONTROL!$C$27, 0.0021, 0)</f>
        <v>87.631100000000004</v>
      </c>
      <c r="E920" s="10">
        <f>87.4923 * CHOOSE(CONTROL!$C$9, $D$9, 100%, $F$9) + CHOOSE(CONTROL!$C$27, 0.0021, 0)</f>
        <v>87.494399999999999</v>
      </c>
      <c r="F920" s="10">
        <f>87.4923 * CHOOSE(CONTROL!$C$9, $D$9, 100%, $F$9) + CHOOSE(CONTROL!$C$27, 0.0021, 0)</f>
        <v>87.494399999999999</v>
      </c>
      <c r="G920" s="10">
        <f>87.7637 * CHOOSE(CONTROL!$C$9, $D$9, 100%, $F$9) + CHOOSE(CONTROL!$C$27, 0.0021, 0)</f>
        <v>87.765799999999999</v>
      </c>
      <c r="H920" s="10">
        <f>87.629 * CHOOSE(CONTROL!$C$9, $D$9, 100%, $F$9) + CHOOSE(CONTROL!$C$27, 0.0021, 0)</f>
        <v>87.631100000000004</v>
      </c>
      <c r="I920" s="10">
        <f>87.629 * CHOOSE(CONTROL!$C$9, $D$9, 100%, $F$9) + CHOOSE(CONTROL!$C$27, 0.0021, 0)</f>
        <v>87.631100000000004</v>
      </c>
      <c r="J920" s="10">
        <f>87.629 * CHOOSE(CONTROL!$C$9, $D$9, 100%, $F$9) + CHOOSE(CONTROL!$C$27, 0.0021, 0)</f>
        <v>87.631100000000004</v>
      </c>
      <c r="K920" s="10">
        <f>87.629 * CHOOSE(CONTROL!$C$9, $D$9, 100%, $F$9) + CHOOSE(CONTROL!$C$27, 0.0021, 0)</f>
        <v>87.631100000000004</v>
      </c>
      <c r="L920" s="10"/>
    </row>
    <row r="921" spans="1:12" ht="15.75">
      <c r="A921" s="13">
        <v>69337</v>
      </c>
      <c r="B921" s="10">
        <f>90.225 * CHOOSE(CONTROL!$C$9, $D$9, 100%, $F$9) + CHOOSE(CONTROL!$C$27, 0.0021, 0)</f>
        <v>90.227099999999993</v>
      </c>
      <c r="C921" s="10">
        <f>89.7927 * CHOOSE(CONTROL!$C$9, $D$9, 100%, $F$9) + CHOOSE(CONTROL!$C$27, 0.0021, 0)</f>
        <v>89.794799999999995</v>
      </c>
      <c r="D921" s="10">
        <f>89.7927 * CHOOSE(CONTROL!$C$9, $D$9, 100%, $F$9) + CHOOSE(CONTROL!$C$27, 0.0021, 0)</f>
        <v>89.794799999999995</v>
      </c>
      <c r="E921" s="10">
        <f>89.6561 * CHOOSE(CONTROL!$C$9, $D$9, 100%, $F$9) + CHOOSE(CONTROL!$C$27, 0.0021, 0)</f>
        <v>89.658199999999994</v>
      </c>
      <c r="F921" s="10">
        <f>89.6561 * CHOOSE(CONTROL!$C$9, $D$9, 100%, $F$9) + CHOOSE(CONTROL!$C$27, 0.0021, 0)</f>
        <v>89.658199999999994</v>
      </c>
      <c r="G921" s="10">
        <f>89.9274 * CHOOSE(CONTROL!$C$9, $D$9, 100%, $F$9) + CHOOSE(CONTROL!$C$27, 0.0021, 0)</f>
        <v>89.929500000000004</v>
      </c>
      <c r="H921" s="10">
        <f>89.7927 * CHOOSE(CONTROL!$C$9, $D$9, 100%, $F$9) + CHOOSE(CONTROL!$C$27, 0.0021, 0)</f>
        <v>89.794799999999995</v>
      </c>
      <c r="I921" s="10">
        <f>89.7927 * CHOOSE(CONTROL!$C$9, $D$9, 100%, $F$9) + CHOOSE(CONTROL!$C$27, 0.0021, 0)</f>
        <v>89.794799999999995</v>
      </c>
      <c r="J921" s="10">
        <f>89.7927 * CHOOSE(CONTROL!$C$9, $D$9, 100%, $F$9) + CHOOSE(CONTROL!$C$27, 0.0021, 0)</f>
        <v>89.794799999999995</v>
      </c>
      <c r="K921" s="10">
        <f>89.7927 * CHOOSE(CONTROL!$C$9, $D$9, 100%, $F$9) + CHOOSE(CONTROL!$C$27, 0.0021, 0)</f>
        <v>89.794799999999995</v>
      </c>
      <c r="L921" s="10"/>
    </row>
    <row r="922" spans="1:12" ht="15.75">
      <c r="A922" s="13">
        <v>69367</v>
      </c>
      <c r="B922" s="10">
        <f>90.4281 * CHOOSE(CONTROL!$C$9, $D$9, 100%, $F$9) + CHOOSE(CONTROL!$C$27, 0.0021, 0)</f>
        <v>90.430199999999999</v>
      </c>
      <c r="C922" s="10">
        <f>89.9958 * CHOOSE(CONTROL!$C$9, $D$9, 100%, $F$9) + CHOOSE(CONTROL!$C$27, 0.0021, 0)</f>
        <v>89.997900000000001</v>
      </c>
      <c r="D922" s="10">
        <f>89.9958 * CHOOSE(CONTROL!$C$9, $D$9, 100%, $F$9) + CHOOSE(CONTROL!$C$27, 0.0021, 0)</f>
        <v>89.997900000000001</v>
      </c>
      <c r="E922" s="10">
        <f>89.8592 * CHOOSE(CONTROL!$C$9, $D$9, 100%, $F$9) + CHOOSE(CONTROL!$C$27, 0.0021, 0)</f>
        <v>89.8613</v>
      </c>
      <c r="F922" s="10">
        <f>89.8592 * CHOOSE(CONTROL!$C$9, $D$9, 100%, $F$9) + CHOOSE(CONTROL!$C$27, 0.0021, 0)</f>
        <v>89.8613</v>
      </c>
      <c r="G922" s="10">
        <f>90.1306 * CHOOSE(CONTROL!$C$9, $D$9, 100%, $F$9) + CHOOSE(CONTROL!$C$27, 0.0021, 0)</f>
        <v>90.1327</v>
      </c>
      <c r="H922" s="10">
        <f>89.9958 * CHOOSE(CONTROL!$C$9, $D$9, 100%, $F$9) + CHOOSE(CONTROL!$C$27, 0.0021, 0)</f>
        <v>89.997900000000001</v>
      </c>
      <c r="I922" s="10">
        <f>89.9958 * CHOOSE(CONTROL!$C$9, $D$9, 100%, $F$9) + CHOOSE(CONTROL!$C$27, 0.0021, 0)</f>
        <v>89.997900000000001</v>
      </c>
      <c r="J922" s="10">
        <f>89.9958 * CHOOSE(CONTROL!$C$9, $D$9, 100%, $F$9) + CHOOSE(CONTROL!$C$27, 0.0021, 0)</f>
        <v>89.997900000000001</v>
      </c>
      <c r="K922" s="10">
        <f>89.9958 * CHOOSE(CONTROL!$C$9, $D$9, 100%, $F$9) + CHOOSE(CONTROL!$C$27, 0.0021, 0)</f>
        <v>89.997900000000001</v>
      </c>
      <c r="L922" s="10"/>
    </row>
    <row r="923" spans="1:12" ht="15.75">
      <c r="A923" s="13">
        <v>69398</v>
      </c>
      <c r="B923" s="10">
        <f>88.7 * CHOOSE(CONTROL!$C$9, $D$9, 100%, $F$9) + CHOOSE(CONTROL!$C$27, 0.0021, 0)</f>
        <v>88.702100000000002</v>
      </c>
      <c r="C923" s="10">
        <f>88.2677 * CHOOSE(CONTROL!$C$9, $D$9, 100%, $F$9) + CHOOSE(CONTROL!$C$27, 0.0021, 0)</f>
        <v>88.269800000000004</v>
      </c>
      <c r="D923" s="10">
        <f>88.2677 * CHOOSE(CONTROL!$C$9, $D$9, 100%, $F$9) + CHOOSE(CONTROL!$C$27, 0.0021, 0)</f>
        <v>88.269800000000004</v>
      </c>
      <c r="E923" s="10">
        <f>88.131 * CHOOSE(CONTROL!$C$9, $D$9, 100%, $F$9) + CHOOSE(CONTROL!$C$27, 0.0021, 0)</f>
        <v>88.133099999999999</v>
      </c>
      <c r="F923" s="10">
        <f>88.131 * CHOOSE(CONTROL!$C$9, $D$9, 100%, $F$9) + CHOOSE(CONTROL!$C$27, 0.0021, 0)</f>
        <v>88.133099999999999</v>
      </c>
      <c r="G923" s="10">
        <f>88.4024 * CHOOSE(CONTROL!$C$9, $D$9, 100%, $F$9) + CHOOSE(CONTROL!$C$27, 0.0021, 0)</f>
        <v>88.404499999999999</v>
      </c>
      <c r="H923" s="10">
        <f>88.2677 * CHOOSE(CONTROL!$C$9, $D$9, 100%, $F$9) + CHOOSE(CONTROL!$C$27, 0.0021, 0)</f>
        <v>88.269800000000004</v>
      </c>
      <c r="I923" s="10">
        <f>88.2677 * CHOOSE(CONTROL!$C$9, $D$9, 100%, $F$9) + CHOOSE(CONTROL!$C$27, 0.0021, 0)</f>
        <v>88.269800000000004</v>
      </c>
      <c r="J923" s="10">
        <f>88.2677 * CHOOSE(CONTROL!$C$9, $D$9, 100%, $F$9) + CHOOSE(CONTROL!$C$27, 0.0021, 0)</f>
        <v>88.269800000000004</v>
      </c>
      <c r="K923" s="10">
        <f>88.2677 * CHOOSE(CONTROL!$C$9, $D$9, 100%, $F$9) + CHOOSE(CONTROL!$C$27, 0.0021, 0)</f>
        <v>88.269800000000004</v>
      </c>
      <c r="L923" s="10"/>
    </row>
    <row r="924" spans="1:12" ht="15.75">
      <c r="A924" s="13">
        <v>69429</v>
      </c>
      <c r="B924" s="10">
        <f>87.3768 * CHOOSE(CONTROL!$C$9, $D$9, 100%, $F$9) + CHOOSE(CONTROL!$C$27, 0.0021, 0)</f>
        <v>87.378900000000002</v>
      </c>
      <c r="C924" s="10">
        <f>86.9446 * CHOOSE(CONTROL!$C$9, $D$9, 100%, $F$9) + CHOOSE(CONTROL!$C$27, 0.0021, 0)</f>
        <v>86.946699999999993</v>
      </c>
      <c r="D924" s="10">
        <f>86.9446 * CHOOSE(CONTROL!$C$9, $D$9, 100%, $F$9) + CHOOSE(CONTROL!$C$27, 0.0021, 0)</f>
        <v>86.946699999999993</v>
      </c>
      <c r="E924" s="10">
        <f>86.8079 * CHOOSE(CONTROL!$C$9, $D$9, 100%, $F$9) + CHOOSE(CONTROL!$C$27, 0.0021, 0)</f>
        <v>86.81</v>
      </c>
      <c r="F924" s="10">
        <f>86.8079 * CHOOSE(CONTROL!$C$9, $D$9, 100%, $F$9) + CHOOSE(CONTROL!$C$27, 0.0021, 0)</f>
        <v>86.81</v>
      </c>
      <c r="G924" s="10">
        <f>87.0793 * CHOOSE(CONTROL!$C$9, $D$9, 100%, $F$9) + CHOOSE(CONTROL!$C$27, 0.0021, 0)</f>
        <v>87.081400000000002</v>
      </c>
      <c r="H924" s="10">
        <f>86.9446 * CHOOSE(CONTROL!$C$9, $D$9, 100%, $F$9) + CHOOSE(CONTROL!$C$27, 0.0021, 0)</f>
        <v>86.946699999999993</v>
      </c>
      <c r="I924" s="10">
        <f>86.9446 * CHOOSE(CONTROL!$C$9, $D$9, 100%, $F$9) + CHOOSE(CONTROL!$C$27, 0.0021, 0)</f>
        <v>86.946699999999993</v>
      </c>
      <c r="J924" s="10">
        <f>86.9446 * CHOOSE(CONTROL!$C$9, $D$9, 100%, $F$9) + CHOOSE(CONTROL!$C$27, 0.0021, 0)</f>
        <v>86.946699999999993</v>
      </c>
      <c r="K924" s="10">
        <f>86.9446 * CHOOSE(CONTROL!$C$9, $D$9, 100%, $F$9) + CHOOSE(CONTROL!$C$27, 0.0021, 0)</f>
        <v>86.946699999999993</v>
      </c>
      <c r="L924" s="10"/>
    </row>
    <row r="925" spans="1:12" ht="15.75">
      <c r="A925" s="13">
        <v>69457</v>
      </c>
      <c r="B925" s="10">
        <f>84.9702 * CHOOSE(CONTROL!$C$9, $D$9, 100%, $F$9) + CHOOSE(CONTROL!$C$27, 0.0021, 0)</f>
        <v>84.972300000000004</v>
      </c>
      <c r="C925" s="10">
        <f>84.5379 * CHOOSE(CONTROL!$C$9, $D$9, 100%, $F$9) + CHOOSE(CONTROL!$C$27, 0.0021, 0)</f>
        <v>84.539999999999992</v>
      </c>
      <c r="D925" s="10">
        <f>84.5379 * CHOOSE(CONTROL!$C$9, $D$9, 100%, $F$9) + CHOOSE(CONTROL!$C$27, 0.0021, 0)</f>
        <v>84.539999999999992</v>
      </c>
      <c r="E925" s="10">
        <f>84.4013 * CHOOSE(CONTROL!$C$9, $D$9, 100%, $F$9) + CHOOSE(CONTROL!$C$27, 0.0021, 0)</f>
        <v>84.403400000000005</v>
      </c>
      <c r="F925" s="10">
        <f>84.4013 * CHOOSE(CONTROL!$C$9, $D$9, 100%, $F$9) + CHOOSE(CONTROL!$C$27, 0.0021, 0)</f>
        <v>84.403400000000005</v>
      </c>
      <c r="G925" s="10">
        <f>84.6727 * CHOOSE(CONTROL!$C$9, $D$9, 100%, $F$9) + CHOOSE(CONTROL!$C$27, 0.0021, 0)</f>
        <v>84.674800000000005</v>
      </c>
      <c r="H925" s="10">
        <f>84.5379 * CHOOSE(CONTROL!$C$9, $D$9, 100%, $F$9) + CHOOSE(CONTROL!$C$27, 0.0021, 0)</f>
        <v>84.539999999999992</v>
      </c>
      <c r="I925" s="10">
        <f>84.5379 * CHOOSE(CONTROL!$C$9, $D$9, 100%, $F$9) + CHOOSE(CONTROL!$C$27, 0.0021, 0)</f>
        <v>84.539999999999992</v>
      </c>
      <c r="J925" s="10">
        <f>84.5379 * CHOOSE(CONTROL!$C$9, $D$9, 100%, $F$9) + CHOOSE(CONTROL!$C$27, 0.0021, 0)</f>
        <v>84.539999999999992</v>
      </c>
      <c r="K925" s="10">
        <f>84.5379 * CHOOSE(CONTROL!$C$9, $D$9, 100%, $F$9) + CHOOSE(CONTROL!$C$27, 0.0021, 0)</f>
        <v>84.539999999999992</v>
      </c>
      <c r="L925" s="10"/>
    </row>
    <row r="926" spans="1:12" ht="15.75">
      <c r="A926" s="13">
        <v>69488</v>
      </c>
      <c r="B926" s="10">
        <f>83.9767 * CHOOSE(CONTROL!$C$9, $D$9, 100%, $F$9) + CHOOSE(CONTROL!$C$27, 0.0021, 0)</f>
        <v>83.978799999999993</v>
      </c>
      <c r="C926" s="10">
        <f>83.5445 * CHOOSE(CONTROL!$C$9, $D$9, 100%, $F$9) + CHOOSE(CONTROL!$C$27, 0.0021, 0)</f>
        <v>83.546599999999998</v>
      </c>
      <c r="D926" s="10">
        <f>83.5445 * CHOOSE(CONTROL!$C$9, $D$9, 100%, $F$9) + CHOOSE(CONTROL!$C$27, 0.0021, 0)</f>
        <v>83.546599999999998</v>
      </c>
      <c r="E926" s="10">
        <f>83.4078 * CHOOSE(CONTROL!$C$9, $D$9, 100%, $F$9) + CHOOSE(CONTROL!$C$27, 0.0021, 0)</f>
        <v>83.409899999999993</v>
      </c>
      <c r="F926" s="10">
        <f>83.4078 * CHOOSE(CONTROL!$C$9, $D$9, 100%, $F$9) + CHOOSE(CONTROL!$C$27, 0.0021, 0)</f>
        <v>83.409899999999993</v>
      </c>
      <c r="G926" s="10">
        <f>83.6792 * CHOOSE(CONTROL!$C$9, $D$9, 100%, $F$9) + CHOOSE(CONTROL!$C$27, 0.0021, 0)</f>
        <v>83.681299999999993</v>
      </c>
      <c r="H926" s="10">
        <f>83.5445 * CHOOSE(CONTROL!$C$9, $D$9, 100%, $F$9) + CHOOSE(CONTROL!$C$27, 0.0021, 0)</f>
        <v>83.546599999999998</v>
      </c>
      <c r="I926" s="10">
        <f>83.5445 * CHOOSE(CONTROL!$C$9, $D$9, 100%, $F$9) + CHOOSE(CONTROL!$C$27, 0.0021, 0)</f>
        <v>83.546599999999998</v>
      </c>
      <c r="J926" s="10">
        <f>83.5445 * CHOOSE(CONTROL!$C$9, $D$9, 100%, $F$9) + CHOOSE(CONTROL!$C$27, 0.0021, 0)</f>
        <v>83.546599999999998</v>
      </c>
      <c r="K926" s="10">
        <f>83.5445 * CHOOSE(CONTROL!$C$9, $D$9, 100%, $F$9) + CHOOSE(CONTROL!$C$27, 0.0021, 0)</f>
        <v>83.546599999999998</v>
      </c>
      <c r="L926" s="10"/>
    </row>
    <row r="927" spans="1:12" ht="15.75">
      <c r="A927" s="13">
        <v>69518</v>
      </c>
      <c r="B927" s="10">
        <f>82.7905 * CHOOSE(CONTROL!$C$9, $D$9, 100%, $F$9) + CHOOSE(CONTROL!$C$27, 0.0021, 0)</f>
        <v>82.792599999999993</v>
      </c>
      <c r="C927" s="10">
        <f>82.3583 * CHOOSE(CONTROL!$C$9, $D$9, 100%, $F$9) + CHOOSE(CONTROL!$C$27, 0.0021, 0)</f>
        <v>82.360399999999998</v>
      </c>
      <c r="D927" s="10">
        <f>82.3583 * CHOOSE(CONTROL!$C$9, $D$9, 100%, $F$9) + CHOOSE(CONTROL!$C$27, 0.0021, 0)</f>
        <v>82.360399999999998</v>
      </c>
      <c r="E927" s="10">
        <f>82.2216 * CHOOSE(CONTROL!$C$9, $D$9, 100%, $F$9) + CHOOSE(CONTROL!$C$27, 0.0021, 0)</f>
        <v>82.223699999999994</v>
      </c>
      <c r="F927" s="10">
        <f>82.2216 * CHOOSE(CONTROL!$C$9, $D$9, 100%, $F$9) + CHOOSE(CONTROL!$C$27, 0.0021, 0)</f>
        <v>82.223699999999994</v>
      </c>
      <c r="G927" s="10">
        <f>82.493 * CHOOSE(CONTROL!$C$9, $D$9, 100%, $F$9) + CHOOSE(CONTROL!$C$27, 0.0021, 0)</f>
        <v>82.495099999999994</v>
      </c>
      <c r="H927" s="10">
        <f>82.3583 * CHOOSE(CONTROL!$C$9, $D$9, 100%, $F$9) + CHOOSE(CONTROL!$C$27, 0.0021, 0)</f>
        <v>82.360399999999998</v>
      </c>
      <c r="I927" s="10">
        <f>82.3583 * CHOOSE(CONTROL!$C$9, $D$9, 100%, $F$9) + CHOOSE(CONTROL!$C$27, 0.0021, 0)</f>
        <v>82.360399999999998</v>
      </c>
      <c r="J927" s="10">
        <f>82.3583 * CHOOSE(CONTROL!$C$9, $D$9, 100%, $F$9) + CHOOSE(CONTROL!$C$27, 0.0021, 0)</f>
        <v>82.360399999999998</v>
      </c>
      <c r="K927" s="10">
        <f>82.3583 * CHOOSE(CONTROL!$C$9, $D$9, 100%, $F$9) + CHOOSE(CONTROL!$C$27, 0.0021, 0)</f>
        <v>82.360399999999998</v>
      </c>
      <c r="L927" s="10"/>
    </row>
    <row r="928" spans="1:12" ht="15.75">
      <c r="A928" s="13">
        <v>69549</v>
      </c>
      <c r="B928" s="10">
        <f>84.481 * CHOOSE(CONTROL!$C$9, $D$9, 100%, $F$9) + CHOOSE(CONTROL!$C$27, 0.0021, 0)</f>
        <v>84.483099999999993</v>
      </c>
      <c r="C928" s="10">
        <f>84.0488 * CHOOSE(CONTROL!$C$9, $D$9, 100%, $F$9) + CHOOSE(CONTROL!$C$27, 0.0021, 0)</f>
        <v>84.050899999999999</v>
      </c>
      <c r="D928" s="10">
        <f>84.0488 * CHOOSE(CONTROL!$C$9, $D$9, 100%, $F$9) + CHOOSE(CONTROL!$C$27, 0.0021, 0)</f>
        <v>84.050899999999999</v>
      </c>
      <c r="E928" s="10">
        <f>83.9121 * CHOOSE(CONTROL!$C$9, $D$9, 100%, $F$9) + CHOOSE(CONTROL!$C$27, 0.0021, 0)</f>
        <v>83.914199999999994</v>
      </c>
      <c r="F928" s="10">
        <f>83.9121 * CHOOSE(CONTROL!$C$9, $D$9, 100%, $F$9) + CHOOSE(CONTROL!$C$27, 0.0021, 0)</f>
        <v>83.914199999999994</v>
      </c>
      <c r="G928" s="10">
        <f>84.1835 * CHOOSE(CONTROL!$C$9, $D$9, 100%, $F$9) + CHOOSE(CONTROL!$C$27, 0.0021, 0)</f>
        <v>84.185599999999994</v>
      </c>
      <c r="H928" s="10">
        <f>84.0488 * CHOOSE(CONTROL!$C$9, $D$9, 100%, $F$9) + CHOOSE(CONTROL!$C$27, 0.0021, 0)</f>
        <v>84.050899999999999</v>
      </c>
      <c r="I928" s="10">
        <f>84.0488 * CHOOSE(CONTROL!$C$9, $D$9, 100%, $F$9) + CHOOSE(CONTROL!$C$27, 0.0021, 0)</f>
        <v>84.050899999999999</v>
      </c>
      <c r="J928" s="10">
        <f>84.0488 * CHOOSE(CONTROL!$C$9, $D$9, 100%, $F$9) + CHOOSE(CONTROL!$C$27, 0.0021, 0)</f>
        <v>84.050899999999999</v>
      </c>
      <c r="K928" s="10">
        <f>84.0488 * CHOOSE(CONTROL!$C$9, $D$9, 100%, $F$9) + CHOOSE(CONTROL!$C$27, 0.0021, 0)</f>
        <v>84.050899999999999</v>
      </c>
      <c r="L928" s="10"/>
    </row>
    <row r="929" spans="1:12" ht="15.75">
      <c r="A929" s="13">
        <v>69579</v>
      </c>
      <c r="B929" s="10">
        <f>85.4936 * CHOOSE(CONTROL!$C$9, $D$9, 100%, $F$9) + CHOOSE(CONTROL!$C$27, 0.0021, 0)</f>
        <v>85.495699999999999</v>
      </c>
      <c r="C929" s="10">
        <f>85.0613 * CHOOSE(CONTROL!$C$9, $D$9, 100%, $F$9) + CHOOSE(CONTROL!$C$27, 0.0021, 0)</f>
        <v>85.063400000000001</v>
      </c>
      <c r="D929" s="10">
        <f>85.0613 * CHOOSE(CONTROL!$C$9, $D$9, 100%, $F$9) + CHOOSE(CONTROL!$C$27, 0.0021, 0)</f>
        <v>85.063400000000001</v>
      </c>
      <c r="E929" s="10">
        <f>84.9246 * CHOOSE(CONTROL!$C$9, $D$9, 100%, $F$9) + CHOOSE(CONTROL!$C$27, 0.0021, 0)</f>
        <v>84.926699999999997</v>
      </c>
      <c r="F929" s="10">
        <f>84.9246 * CHOOSE(CONTROL!$C$9, $D$9, 100%, $F$9) + CHOOSE(CONTROL!$C$27, 0.0021, 0)</f>
        <v>84.926699999999997</v>
      </c>
      <c r="G929" s="10">
        <f>85.196 * CHOOSE(CONTROL!$C$9, $D$9, 100%, $F$9) + CHOOSE(CONTROL!$C$27, 0.0021, 0)</f>
        <v>85.198099999999997</v>
      </c>
      <c r="H929" s="10">
        <f>85.0613 * CHOOSE(CONTROL!$C$9, $D$9, 100%, $F$9) + CHOOSE(CONTROL!$C$27, 0.0021, 0)</f>
        <v>85.063400000000001</v>
      </c>
      <c r="I929" s="10">
        <f>85.0613 * CHOOSE(CONTROL!$C$9, $D$9, 100%, $F$9) + CHOOSE(CONTROL!$C$27, 0.0021, 0)</f>
        <v>85.063400000000001</v>
      </c>
      <c r="J929" s="10">
        <f>85.0613 * CHOOSE(CONTROL!$C$9, $D$9, 100%, $F$9) + CHOOSE(CONTROL!$C$27, 0.0021, 0)</f>
        <v>85.063400000000001</v>
      </c>
      <c r="K929" s="10">
        <f>85.0613 * CHOOSE(CONTROL!$C$9, $D$9, 100%, $F$9) + CHOOSE(CONTROL!$C$27, 0.0021, 0)</f>
        <v>85.063400000000001</v>
      </c>
      <c r="L929" s="10"/>
    </row>
    <row r="930" spans="1:12" ht="15.75">
      <c r="A930" s="13">
        <v>69610</v>
      </c>
      <c r="B930" s="10">
        <f>87.1639 * CHOOSE(CONTROL!$C$9, $D$9, 100%, $F$9) + CHOOSE(CONTROL!$C$27, 0.0021, 0)</f>
        <v>87.165999999999997</v>
      </c>
      <c r="C930" s="10">
        <f>86.7316 * CHOOSE(CONTROL!$C$9, $D$9, 100%, $F$9) + CHOOSE(CONTROL!$C$27, 0.0021, 0)</f>
        <v>86.733699999999999</v>
      </c>
      <c r="D930" s="10">
        <f>86.7316 * CHOOSE(CONTROL!$C$9, $D$9, 100%, $F$9) + CHOOSE(CONTROL!$C$27, 0.0021, 0)</f>
        <v>86.733699999999999</v>
      </c>
      <c r="E930" s="10">
        <f>86.595 * CHOOSE(CONTROL!$C$9, $D$9, 100%, $F$9) + CHOOSE(CONTROL!$C$27, 0.0021, 0)</f>
        <v>86.597099999999998</v>
      </c>
      <c r="F930" s="10">
        <f>86.595 * CHOOSE(CONTROL!$C$9, $D$9, 100%, $F$9) + CHOOSE(CONTROL!$C$27, 0.0021, 0)</f>
        <v>86.597099999999998</v>
      </c>
      <c r="G930" s="10">
        <f>86.8663 * CHOOSE(CONTROL!$C$9, $D$9, 100%, $F$9) + CHOOSE(CONTROL!$C$27, 0.0021, 0)</f>
        <v>86.868399999999994</v>
      </c>
      <c r="H930" s="10">
        <f>86.7316 * CHOOSE(CONTROL!$C$9, $D$9, 100%, $F$9) + CHOOSE(CONTROL!$C$27, 0.0021, 0)</f>
        <v>86.733699999999999</v>
      </c>
      <c r="I930" s="10">
        <f>86.7316 * CHOOSE(CONTROL!$C$9, $D$9, 100%, $F$9) + CHOOSE(CONTROL!$C$27, 0.0021, 0)</f>
        <v>86.733699999999999</v>
      </c>
      <c r="J930" s="10">
        <f>86.7316 * CHOOSE(CONTROL!$C$9, $D$9, 100%, $F$9) + CHOOSE(CONTROL!$C$27, 0.0021, 0)</f>
        <v>86.733699999999999</v>
      </c>
      <c r="K930" s="10">
        <f>86.7316 * CHOOSE(CONTROL!$C$9, $D$9, 100%, $F$9) + CHOOSE(CONTROL!$C$27, 0.0021, 0)</f>
        <v>86.733699999999999</v>
      </c>
      <c r="L930" s="10"/>
    </row>
    <row r="931" spans="1:12" ht="15.75">
      <c r="A931" s="13">
        <v>69641</v>
      </c>
      <c r="B931" s="10">
        <f>87.6737 * CHOOSE(CONTROL!$C$9, $D$9, 100%, $F$9) + CHOOSE(CONTROL!$C$27, 0.0021, 0)</f>
        <v>87.675799999999995</v>
      </c>
      <c r="C931" s="10">
        <f>87.2415 * CHOOSE(CONTROL!$C$9, $D$9, 100%, $F$9) + CHOOSE(CONTROL!$C$27, 0.0021, 0)</f>
        <v>87.243600000000001</v>
      </c>
      <c r="D931" s="10">
        <f>87.2415 * CHOOSE(CONTROL!$C$9, $D$9, 100%, $F$9) + CHOOSE(CONTROL!$C$27, 0.0021, 0)</f>
        <v>87.243600000000001</v>
      </c>
      <c r="E931" s="10">
        <f>87.1048 * CHOOSE(CONTROL!$C$9, $D$9, 100%, $F$9) + CHOOSE(CONTROL!$C$27, 0.0021, 0)</f>
        <v>87.106899999999996</v>
      </c>
      <c r="F931" s="10">
        <f>87.1048 * CHOOSE(CONTROL!$C$9, $D$9, 100%, $F$9) + CHOOSE(CONTROL!$C$27, 0.0021, 0)</f>
        <v>87.106899999999996</v>
      </c>
      <c r="G931" s="10">
        <f>87.3762 * CHOOSE(CONTROL!$C$9, $D$9, 100%, $F$9) + CHOOSE(CONTROL!$C$27, 0.0021, 0)</f>
        <v>87.378299999999996</v>
      </c>
      <c r="H931" s="10">
        <f>87.2415 * CHOOSE(CONTROL!$C$9, $D$9, 100%, $F$9) + CHOOSE(CONTROL!$C$27, 0.0021, 0)</f>
        <v>87.243600000000001</v>
      </c>
      <c r="I931" s="10">
        <f>87.2415 * CHOOSE(CONTROL!$C$9, $D$9, 100%, $F$9) + CHOOSE(CONTROL!$C$27, 0.0021, 0)</f>
        <v>87.243600000000001</v>
      </c>
      <c r="J931" s="10">
        <f>87.2415 * CHOOSE(CONTROL!$C$9, $D$9, 100%, $F$9) + CHOOSE(CONTROL!$C$27, 0.0021, 0)</f>
        <v>87.243600000000001</v>
      </c>
      <c r="K931" s="10">
        <f>87.2415 * CHOOSE(CONTROL!$C$9, $D$9, 100%, $F$9) + CHOOSE(CONTROL!$C$27, 0.0021, 0)</f>
        <v>87.243600000000001</v>
      </c>
      <c r="L931" s="10"/>
    </row>
    <row r="932" spans="1:12" ht="15.75">
      <c r="A932" s="13">
        <v>69671</v>
      </c>
      <c r="B932" s="10">
        <f>89.4099 * CHOOSE(CONTROL!$C$9, $D$9, 100%, $F$9) + CHOOSE(CONTROL!$C$27, 0.0021, 0)</f>
        <v>89.411999999999992</v>
      </c>
      <c r="C932" s="10">
        <f>88.9777 * CHOOSE(CONTROL!$C$9, $D$9, 100%, $F$9) + CHOOSE(CONTROL!$C$27, 0.0021, 0)</f>
        <v>88.979799999999997</v>
      </c>
      <c r="D932" s="10">
        <f>88.9777 * CHOOSE(CONTROL!$C$9, $D$9, 100%, $F$9) + CHOOSE(CONTROL!$C$27, 0.0021, 0)</f>
        <v>88.979799999999997</v>
      </c>
      <c r="E932" s="10">
        <f>88.841 * CHOOSE(CONTROL!$C$9, $D$9, 100%, $F$9) + CHOOSE(CONTROL!$C$27, 0.0021, 0)</f>
        <v>88.843099999999993</v>
      </c>
      <c r="F932" s="10">
        <f>88.841 * CHOOSE(CONTROL!$C$9, $D$9, 100%, $F$9) + CHOOSE(CONTROL!$C$27, 0.0021, 0)</f>
        <v>88.843099999999993</v>
      </c>
      <c r="G932" s="10">
        <f>89.1124 * CHOOSE(CONTROL!$C$9, $D$9, 100%, $F$9) + CHOOSE(CONTROL!$C$27, 0.0021, 0)</f>
        <v>89.114499999999992</v>
      </c>
      <c r="H932" s="10">
        <f>88.9777 * CHOOSE(CONTROL!$C$9, $D$9, 100%, $F$9) + CHOOSE(CONTROL!$C$27, 0.0021, 0)</f>
        <v>88.979799999999997</v>
      </c>
      <c r="I932" s="10">
        <f>88.9777 * CHOOSE(CONTROL!$C$9, $D$9, 100%, $F$9) + CHOOSE(CONTROL!$C$27, 0.0021, 0)</f>
        <v>88.979799999999997</v>
      </c>
      <c r="J932" s="10">
        <f>88.9777 * CHOOSE(CONTROL!$C$9, $D$9, 100%, $F$9) + CHOOSE(CONTROL!$C$27, 0.0021, 0)</f>
        <v>88.979799999999997</v>
      </c>
      <c r="K932" s="10">
        <f>88.9777 * CHOOSE(CONTROL!$C$9, $D$9, 100%, $F$9) + CHOOSE(CONTROL!$C$27, 0.0021, 0)</f>
        <v>88.979799999999997</v>
      </c>
      <c r="L932" s="10"/>
    </row>
    <row r="933" spans="1:12" ht="15.75">
      <c r="A933" s="13">
        <v>69702</v>
      </c>
      <c r="B933" s="10">
        <f>91.6077 * CHOOSE(CONTROL!$C$9, $D$9, 100%, $F$9) + CHOOSE(CONTROL!$C$27, 0.0021, 0)</f>
        <v>91.609799999999993</v>
      </c>
      <c r="C933" s="10">
        <f>91.1754 * CHOOSE(CONTROL!$C$9, $D$9, 100%, $F$9) + CHOOSE(CONTROL!$C$27, 0.0021, 0)</f>
        <v>91.177499999999995</v>
      </c>
      <c r="D933" s="10">
        <f>91.1754 * CHOOSE(CONTROL!$C$9, $D$9, 100%, $F$9) + CHOOSE(CONTROL!$C$27, 0.0021, 0)</f>
        <v>91.177499999999995</v>
      </c>
      <c r="E933" s="10">
        <f>91.0388 * CHOOSE(CONTROL!$C$9, $D$9, 100%, $F$9) + CHOOSE(CONTROL!$C$27, 0.0021, 0)</f>
        <v>91.040899999999993</v>
      </c>
      <c r="F933" s="10">
        <f>91.0388 * CHOOSE(CONTROL!$C$9, $D$9, 100%, $F$9) + CHOOSE(CONTROL!$C$27, 0.0021, 0)</f>
        <v>91.040899999999993</v>
      </c>
      <c r="G933" s="10">
        <f>91.3102 * CHOOSE(CONTROL!$C$9, $D$9, 100%, $F$9) + CHOOSE(CONTROL!$C$27, 0.0021, 0)</f>
        <v>91.312299999999993</v>
      </c>
      <c r="H933" s="10">
        <f>91.1754 * CHOOSE(CONTROL!$C$9, $D$9, 100%, $F$9) + CHOOSE(CONTROL!$C$27, 0.0021, 0)</f>
        <v>91.177499999999995</v>
      </c>
      <c r="I933" s="10">
        <f>91.1754 * CHOOSE(CONTROL!$C$9, $D$9, 100%, $F$9) + CHOOSE(CONTROL!$C$27, 0.0021, 0)</f>
        <v>91.177499999999995</v>
      </c>
      <c r="J933" s="10">
        <f>91.1754 * CHOOSE(CONTROL!$C$9, $D$9, 100%, $F$9) + CHOOSE(CONTROL!$C$27, 0.0021, 0)</f>
        <v>91.177499999999995</v>
      </c>
      <c r="K933" s="10">
        <f>91.1754 * CHOOSE(CONTROL!$C$9, $D$9, 100%, $F$9) + CHOOSE(CONTROL!$C$27, 0.0021, 0)</f>
        <v>91.177499999999995</v>
      </c>
      <c r="L933" s="10"/>
    </row>
    <row r="934" spans="1:12" ht="15.75">
      <c r="A934" s="13">
        <v>69732</v>
      </c>
      <c r="B934" s="10">
        <f>91.814 * CHOOSE(CONTROL!$C$9, $D$9, 100%, $F$9) + CHOOSE(CONTROL!$C$27, 0.0021, 0)</f>
        <v>91.816099999999992</v>
      </c>
      <c r="C934" s="10">
        <f>91.3818 * CHOOSE(CONTROL!$C$9, $D$9, 100%, $F$9) + CHOOSE(CONTROL!$C$27, 0.0021, 0)</f>
        <v>91.383899999999997</v>
      </c>
      <c r="D934" s="10">
        <f>91.3818 * CHOOSE(CONTROL!$C$9, $D$9, 100%, $F$9) + CHOOSE(CONTROL!$C$27, 0.0021, 0)</f>
        <v>91.383899999999997</v>
      </c>
      <c r="E934" s="10">
        <f>91.2451 * CHOOSE(CONTROL!$C$9, $D$9, 100%, $F$9) + CHOOSE(CONTROL!$C$27, 0.0021, 0)</f>
        <v>91.247199999999992</v>
      </c>
      <c r="F934" s="10">
        <f>91.2451 * CHOOSE(CONTROL!$C$9, $D$9, 100%, $F$9) + CHOOSE(CONTROL!$C$27, 0.0021, 0)</f>
        <v>91.247199999999992</v>
      </c>
      <c r="G934" s="10">
        <f>91.5165 * CHOOSE(CONTROL!$C$9, $D$9, 100%, $F$9) + CHOOSE(CONTROL!$C$27, 0.0021, 0)</f>
        <v>91.518599999999992</v>
      </c>
      <c r="H934" s="10">
        <f>91.3818 * CHOOSE(CONTROL!$C$9, $D$9, 100%, $F$9) + CHOOSE(CONTROL!$C$27, 0.0021, 0)</f>
        <v>91.383899999999997</v>
      </c>
      <c r="I934" s="10">
        <f>91.3818 * CHOOSE(CONTROL!$C$9, $D$9, 100%, $F$9) + CHOOSE(CONTROL!$C$27, 0.0021, 0)</f>
        <v>91.383899999999997</v>
      </c>
      <c r="J934" s="10">
        <f>91.3818 * CHOOSE(CONTROL!$C$9, $D$9, 100%, $F$9) + CHOOSE(CONTROL!$C$27, 0.0021, 0)</f>
        <v>91.383899999999997</v>
      </c>
      <c r="K934" s="10">
        <f>91.3818 * CHOOSE(CONTROL!$C$9, $D$9, 100%, $F$9) + CHOOSE(CONTROL!$C$27, 0.0021, 0)</f>
        <v>91.383899999999997</v>
      </c>
      <c r="L934" s="10"/>
    </row>
    <row r="935" spans="1:12" ht="15.75">
      <c r="A935" s="13">
        <v>69763</v>
      </c>
      <c r="B935" s="10">
        <f>90.0587 * CHOOSE(CONTROL!$C$9, $D$9, 100%, $F$9) + CHOOSE(CONTROL!$C$27, 0.0021, 0)</f>
        <v>90.0608</v>
      </c>
      <c r="C935" s="10">
        <f>89.6265 * CHOOSE(CONTROL!$C$9, $D$9, 100%, $F$9) + CHOOSE(CONTROL!$C$27, 0.0021, 0)</f>
        <v>89.628599999999992</v>
      </c>
      <c r="D935" s="10">
        <f>89.6265 * CHOOSE(CONTROL!$C$9, $D$9, 100%, $F$9) + CHOOSE(CONTROL!$C$27, 0.0021, 0)</f>
        <v>89.628599999999992</v>
      </c>
      <c r="E935" s="10">
        <f>89.4898 * CHOOSE(CONTROL!$C$9, $D$9, 100%, $F$9) + CHOOSE(CONTROL!$C$27, 0.0021, 0)</f>
        <v>89.491900000000001</v>
      </c>
      <c r="F935" s="10">
        <f>89.4898 * CHOOSE(CONTROL!$C$9, $D$9, 100%, $F$9) + CHOOSE(CONTROL!$C$27, 0.0021, 0)</f>
        <v>89.491900000000001</v>
      </c>
      <c r="G935" s="10">
        <f>89.7612 * CHOOSE(CONTROL!$C$9, $D$9, 100%, $F$9) + CHOOSE(CONTROL!$C$27, 0.0021, 0)</f>
        <v>89.763300000000001</v>
      </c>
      <c r="H935" s="10">
        <f>89.6265 * CHOOSE(CONTROL!$C$9, $D$9, 100%, $F$9) + CHOOSE(CONTROL!$C$27, 0.0021, 0)</f>
        <v>89.628599999999992</v>
      </c>
      <c r="I935" s="10">
        <f>89.6265 * CHOOSE(CONTROL!$C$9, $D$9, 100%, $F$9) + CHOOSE(CONTROL!$C$27, 0.0021, 0)</f>
        <v>89.628599999999992</v>
      </c>
      <c r="J935" s="10">
        <f>89.6265 * CHOOSE(CONTROL!$C$9, $D$9, 100%, $F$9) + CHOOSE(CONTROL!$C$27, 0.0021, 0)</f>
        <v>89.628599999999992</v>
      </c>
      <c r="K935" s="10">
        <f>89.6265 * CHOOSE(CONTROL!$C$9, $D$9, 100%, $F$9) + CHOOSE(CONTROL!$C$27, 0.0021, 0)</f>
        <v>89.628599999999992</v>
      </c>
      <c r="L935" s="10"/>
    </row>
    <row r="936" spans="1:12" ht="15.75">
      <c r="A936" s="13">
        <v>69794</v>
      </c>
      <c r="B936" s="10">
        <f>88.7148 * CHOOSE(CONTROL!$C$9, $D$9, 100%, $F$9) + CHOOSE(CONTROL!$C$27, 0.0021, 0)</f>
        <v>88.716899999999995</v>
      </c>
      <c r="C936" s="10">
        <f>88.2825 * CHOOSE(CONTROL!$C$9, $D$9, 100%, $F$9) + CHOOSE(CONTROL!$C$27, 0.0021, 0)</f>
        <v>88.284599999999998</v>
      </c>
      <c r="D936" s="10">
        <f>88.2825 * CHOOSE(CONTROL!$C$9, $D$9, 100%, $F$9) + CHOOSE(CONTROL!$C$27, 0.0021, 0)</f>
        <v>88.284599999999998</v>
      </c>
      <c r="E936" s="10">
        <f>88.1459 * CHOOSE(CONTROL!$C$9, $D$9, 100%, $F$9) + CHOOSE(CONTROL!$C$27, 0.0021, 0)</f>
        <v>88.147999999999996</v>
      </c>
      <c r="F936" s="10">
        <f>88.1459 * CHOOSE(CONTROL!$C$9, $D$9, 100%, $F$9) + CHOOSE(CONTROL!$C$27, 0.0021, 0)</f>
        <v>88.147999999999996</v>
      </c>
      <c r="G936" s="10">
        <f>88.4173 * CHOOSE(CONTROL!$C$9, $D$9, 100%, $F$9) + CHOOSE(CONTROL!$C$27, 0.0021, 0)</f>
        <v>88.419399999999996</v>
      </c>
      <c r="H936" s="10">
        <f>88.2825 * CHOOSE(CONTROL!$C$9, $D$9, 100%, $F$9) + CHOOSE(CONTROL!$C$27, 0.0021, 0)</f>
        <v>88.284599999999998</v>
      </c>
      <c r="I936" s="10">
        <f>88.2825 * CHOOSE(CONTROL!$C$9, $D$9, 100%, $F$9) + CHOOSE(CONTROL!$C$27, 0.0021, 0)</f>
        <v>88.284599999999998</v>
      </c>
      <c r="J936" s="10">
        <f>88.2825 * CHOOSE(CONTROL!$C$9, $D$9, 100%, $F$9) + CHOOSE(CONTROL!$C$27, 0.0021, 0)</f>
        <v>88.284599999999998</v>
      </c>
      <c r="K936" s="10">
        <f>88.2825 * CHOOSE(CONTROL!$C$9, $D$9, 100%, $F$9) + CHOOSE(CONTROL!$C$27, 0.0021, 0)</f>
        <v>88.284599999999998</v>
      </c>
      <c r="L936" s="10"/>
    </row>
    <row r="937" spans="1:12" ht="15.75">
      <c r="A937" s="13">
        <v>69822</v>
      </c>
      <c r="B937" s="10">
        <f>86.2703 * CHOOSE(CONTROL!$C$9, $D$9, 100%, $F$9) + CHOOSE(CONTROL!$C$27, 0.0021, 0)</f>
        <v>86.272400000000005</v>
      </c>
      <c r="C937" s="10">
        <f>85.838 * CHOOSE(CONTROL!$C$9, $D$9, 100%, $F$9) + CHOOSE(CONTROL!$C$27, 0.0021, 0)</f>
        <v>85.840099999999993</v>
      </c>
      <c r="D937" s="10">
        <f>85.838 * CHOOSE(CONTROL!$C$9, $D$9, 100%, $F$9) + CHOOSE(CONTROL!$C$27, 0.0021, 0)</f>
        <v>85.840099999999993</v>
      </c>
      <c r="E937" s="10">
        <f>85.7014 * CHOOSE(CONTROL!$C$9, $D$9, 100%, $F$9) + CHOOSE(CONTROL!$C$27, 0.0021, 0)</f>
        <v>85.703500000000005</v>
      </c>
      <c r="F937" s="10">
        <f>85.7014 * CHOOSE(CONTROL!$C$9, $D$9, 100%, $F$9) + CHOOSE(CONTROL!$C$27, 0.0021, 0)</f>
        <v>85.703500000000005</v>
      </c>
      <c r="G937" s="10">
        <f>85.9728 * CHOOSE(CONTROL!$C$9, $D$9, 100%, $F$9) + CHOOSE(CONTROL!$C$27, 0.0021, 0)</f>
        <v>85.974900000000005</v>
      </c>
      <c r="H937" s="10">
        <f>85.838 * CHOOSE(CONTROL!$C$9, $D$9, 100%, $F$9) + CHOOSE(CONTROL!$C$27, 0.0021, 0)</f>
        <v>85.840099999999993</v>
      </c>
      <c r="I937" s="10">
        <f>85.838 * CHOOSE(CONTROL!$C$9, $D$9, 100%, $F$9) + CHOOSE(CONTROL!$C$27, 0.0021, 0)</f>
        <v>85.840099999999993</v>
      </c>
      <c r="J937" s="10">
        <f>85.838 * CHOOSE(CONTROL!$C$9, $D$9, 100%, $F$9) + CHOOSE(CONTROL!$C$27, 0.0021, 0)</f>
        <v>85.840099999999993</v>
      </c>
      <c r="K937" s="10">
        <f>85.838 * CHOOSE(CONTROL!$C$9, $D$9, 100%, $F$9) + CHOOSE(CONTROL!$C$27, 0.0021, 0)</f>
        <v>85.840099999999993</v>
      </c>
      <c r="L937" s="10"/>
    </row>
    <row r="938" spans="1:12" ht="15.75">
      <c r="A938" s="13">
        <v>69853</v>
      </c>
      <c r="B938" s="10">
        <f>85.2612 * CHOOSE(CONTROL!$C$9, $D$9, 100%, $F$9) + CHOOSE(CONTROL!$C$27, 0.0021, 0)</f>
        <v>85.263300000000001</v>
      </c>
      <c r="C938" s="10">
        <f>84.829 * CHOOSE(CONTROL!$C$9, $D$9, 100%, $F$9) + CHOOSE(CONTROL!$C$27, 0.0021, 0)</f>
        <v>84.831099999999992</v>
      </c>
      <c r="D938" s="10">
        <f>84.829 * CHOOSE(CONTROL!$C$9, $D$9, 100%, $F$9) + CHOOSE(CONTROL!$C$27, 0.0021, 0)</f>
        <v>84.831099999999992</v>
      </c>
      <c r="E938" s="10">
        <f>84.6923 * CHOOSE(CONTROL!$C$9, $D$9, 100%, $F$9) + CHOOSE(CONTROL!$C$27, 0.0021, 0)</f>
        <v>84.694400000000002</v>
      </c>
      <c r="F938" s="10">
        <f>84.6923 * CHOOSE(CONTROL!$C$9, $D$9, 100%, $F$9) + CHOOSE(CONTROL!$C$27, 0.0021, 0)</f>
        <v>84.694400000000002</v>
      </c>
      <c r="G938" s="10">
        <f>84.9637 * CHOOSE(CONTROL!$C$9, $D$9, 100%, $F$9) + CHOOSE(CONTROL!$C$27, 0.0021, 0)</f>
        <v>84.965800000000002</v>
      </c>
      <c r="H938" s="10">
        <f>84.829 * CHOOSE(CONTROL!$C$9, $D$9, 100%, $F$9) + CHOOSE(CONTROL!$C$27, 0.0021, 0)</f>
        <v>84.831099999999992</v>
      </c>
      <c r="I938" s="10">
        <f>84.829 * CHOOSE(CONTROL!$C$9, $D$9, 100%, $F$9) + CHOOSE(CONTROL!$C$27, 0.0021, 0)</f>
        <v>84.831099999999992</v>
      </c>
      <c r="J938" s="10">
        <f>84.829 * CHOOSE(CONTROL!$C$9, $D$9, 100%, $F$9) + CHOOSE(CONTROL!$C$27, 0.0021, 0)</f>
        <v>84.831099999999992</v>
      </c>
      <c r="K938" s="10">
        <f>84.829 * CHOOSE(CONTROL!$C$9, $D$9, 100%, $F$9) + CHOOSE(CONTROL!$C$27, 0.0021, 0)</f>
        <v>84.831099999999992</v>
      </c>
      <c r="L938" s="10"/>
    </row>
    <row r="939" spans="1:12" ht="15.75">
      <c r="A939" s="13">
        <v>69883</v>
      </c>
      <c r="B939" s="10">
        <f>84.0563 * CHOOSE(CONTROL!$C$9, $D$9, 100%, $F$9) + CHOOSE(CONTROL!$C$27, 0.0021, 0)</f>
        <v>84.058399999999992</v>
      </c>
      <c r="C939" s="10">
        <f>83.6241 * CHOOSE(CONTROL!$C$9, $D$9, 100%, $F$9) + CHOOSE(CONTROL!$C$27, 0.0021, 0)</f>
        <v>83.626199999999997</v>
      </c>
      <c r="D939" s="10">
        <f>83.6241 * CHOOSE(CONTROL!$C$9, $D$9, 100%, $F$9) + CHOOSE(CONTROL!$C$27, 0.0021, 0)</f>
        <v>83.626199999999997</v>
      </c>
      <c r="E939" s="10">
        <f>83.4874 * CHOOSE(CONTROL!$C$9, $D$9, 100%, $F$9) + CHOOSE(CONTROL!$C$27, 0.0021, 0)</f>
        <v>83.489499999999992</v>
      </c>
      <c r="F939" s="10">
        <f>83.4874 * CHOOSE(CONTROL!$C$9, $D$9, 100%, $F$9) + CHOOSE(CONTROL!$C$27, 0.0021, 0)</f>
        <v>83.489499999999992</v>
      </c>
      <c r="G939" s="10">
        <f>83.7588 * CHOOSE(CONTROL!$C$9, $D$9, 100%, $F$9) + CHOOSE(CONTROL!$C$27, 0.0021, 0)</f>
        <v>83.760899999999992</v>
      </c>
      <c r="H939" s="10">
        <f>83.6241 * CHOOSE(CONTROL!$C$9, $D$9, 100%, $F$9) + CHOOSE(CONTROL!$C$27, 0.0021, 0)</f>
        <v>83.626199999999997</v>
      </c>
      <c r="I939" s="10">
        <f>83.6241 * CHOOSE(CONTROL!$C$9, $D$9, 100%, $F$9) + CHOOSE(CONTROL!$C$27, 0.0021, 0)</f>
        <v>83.626199999999997</v>
      </c>
      <c r="J939" s="10">
        <f>83.6241 * CHOOSE(CONTROL!$C$9, $D$9, 100%, $F$9) + CHOOSE(CONTROL!$C$27, 0.0021, 0)</f>
        <v>83.626199999999997</v>
      </c>
      <c r="K939" s="10">
        <f>83.6241 * CHOOSE(CONTROL!$C$9, $D$9, 100%, $F$9) + CHOOSE(CONTROL!$C$27, 0.0021, 0)</f>
        <v>83.626199999999997</v>
      </c>
      <c r="L939" s="10"/>
    </row>
    <row r="940" spans="1:12" ht="15.75">
      <c r="A940" s="13">
        <v>69914</v>
      </c>
      <c r="B940" s="10">
        <f>85.7734 * CHOOSE(CONTROL!$C$9, $D$9, 100%, $F$9) + CHOOSE(CONTROL!$C$27, 0.0021, 0)</f>
        <v>85.775499999999994</v>
      </c>
      <c r="C940" s="10">
        <f>85.3412 * CHOOSE(CONTROL!$C$9, $D$9, 100%, $F$9) + CHOOSE(CONTROL!$C$27, 0.0021, 0)</f>
        <v>85.343299999999999</v>
      </c>
      <c r="D940" s="10">
        <f>85.3412 * CHOOSE(CONTROL!$C$9, $D$9, 100%, $F$9) + CHOOSE(CONTROL!$C$27, 0.0021, 0)</f>
        <v>85.343299999999999</v>
      </c>
      <c r="E940" s="10">
        <f>85.2045 * CHOOSE(CONTROL!$C$9, $D$9, 100%, $F$9) + CHOOSE(CONTROL!$C$27, 0.0021, 0)</f>
        <v>85.206599999999995</v>
      </c>
      <c r="F940" s="10">
        <f>85.2045 * CHOOSE(CONTROL!$C$9, $D$9, 100%, $F$9) + CHOOSE(CONTROL!$C$27, 0.0021, 0)</f>
        <v>85.206599999999995</v>
      </c>
      <c r="G940" s="10">
        <f>85.4759 * CHOOSE(CONTROL!$C$9, $D$9, 100%, $F$9) + CHOOSE(CONTROL!$C$27, 0.0021, 0)</f>
        <v>85.477999999999994</v>
      </c>
      <c r="H940" s="10">
        <f>85.3412 * CHOOSE(CONTROL!$C$9, $D$9, 100%, $F$9) + CHOOSE(CONTROL!$C$27, 0.0021, 0)</f>
        <v>85.343299999999999</v>
      </c>
      <c r="I940" s="10">
        <f>85.3412 * CHOOSE(CONTROL!$C$9, $D$9, 100%, $F$9) + CHOOSE(CONTROL!$C$27, 0.0021, 0)</f>
        <v>85.343299999999999</v>
      </c>
      <c r="J940" s="10">
        <f>85.3412 * CHOOSE(CONTROL!$C$9, $D$9, 100%, $F$9) + CHOOSE(CONTROL!$C$27, 0.0021, 0)</f>
        <v>85.343299999999999</v>
      </c>
      <c r="K940" s="10">
        <f>85.3412 * CHOOSE(CONTROL!$C$9, $D$9, 100%, $F$9) + CHOOSE(CONTROL!$C$27, 0.0021, 0)</f>
        <v>85.343299999999999</v>
      </c>
      <c r="L940" s="10"/>
    </row>
    <row r="941" spans="1:12" ht="15.75">
      <c r="A941" s="13">
        <v>69944</v>
      </c>
      <c r="B941" s="10">
        <f>86.8019 * CHOOSE(CONTROL!$C$9, $D$9, 100%, $F$9) + CHOOSE(CONTROL!$C$27, 0.0021, 0)</f>
        <v>86.804000000000002</v>
      </c>
      <c r="C941" s="10">
        <f>86.3696 * CHOOSE(CONTROL!$C$9, $D$9, 100%, $F$9) + CHOOSE(CONTROL!$C$27, 0.0021, 0)</f>
        <v>86.371700000000004</v>
      </c>
      <c r="D941" s="10">
        <f>86.3696 * CHOOSE(CONTROL!$C$9, $D$9, 100%, $F$9) + CHOOSE(CONTROL!$C$27, 0.0021, 0)</f>
        <v>86.371700000000004</v>
      </c>
      <c r="E941" s="10">
        <f>86.233 * CHOOSE(CONTROL!$C$9, $D$9, 100%, $F$9) + CHOOSE(CONTROL!$C$27, 0.0021, 0)</f>
        <v>86.235100000000003</v>
      </c>
      <c r="F941" s="10">
        <f>86.233 * CHOOSE(CONTROL!$C$9, $D$9, 100%, $F$9) + CHOOSE(CONTROL!$C$27, 0.0021, 0)</f>
        <v>86.235100000000003</v>
      </c>
      <c r="G941" s="10">
        <f>86.5044 * CHOOSE(CONTROL!$C$9, $D$9, 100%, $F$9) + CHOOSE(CONTROL!$C$27, 0.0021, 0)</f>
        <v>86.506500000000003</v>
      </c>
      <c r="H941" s="10">
        <f>86.3696 * CHOOSE(CONTROL!$C$9, $D$9, 100%, $F$9) + CHOOSE(CONTROL!$C$27, 0.0021, 0)</f>
        <v>86.371700000000004</v>
      </c>
      <c r="I941" s="10">
        <f>86.3696 * CHOOSE(CONTROL!$C$9, $D$9, 100%, $F$9) + CHOOSE(CONTROL!$C$27, 0.0021, 0)</f>
        <v>86.371700000000004</v>
      </c>
      <c r="J941" s="10">
        <f>86.3696 * CHOOSE(CONTROL!$C$9, $D$9, 100%, $F$9) + CHOOSE(CONTROL!$C$27, 0.0021, 0)</f>
        <v>86.371700000000004</v>
      </c>
      <c r="K941" s="10">
        <f>86.3696 * CHOOSE(CONTROL!$C$9, $D$9, 100%, $F$9) + CHOOSE(CONTROL!$C$27, 0.0021, 0)</f>
        <v>86.371700000000004</v>
      </c>
      <c r="L941" s="10"/>
    </row>
    <row r="942" spans="1:12" ht="15.75">
      <c r="A942" s="13">
        <v>69975</v>
      </c>
      <c r="B942" s="10">
        <f>88.4985 * CHOOSE(CONTROL!$C$9, $D$9, 100%, $F$9) + CHOOSE(CONTROL!$C$27, 0.0021, 0)</f>
        <v>88.500600000000006</v>
      </c>
      <c r="C942" s="10">
        <f>88.0662 * CHOOSE(CONTROL!$C$9, $D$9, 100%, $F$9) + CHOOSE(CONTROL!$C$27, 0.0021, 0)</f>
        <v>88.068299999999994</v>
      </c>
      <c r="D942" s="10">
        <f>88.0662 * CHOOSE(CONTROL!$C$9, $D$9, 100%, $F$9) + CHOOSE(CONTROL!$C$27, 0.0021, 0)</f>
        <v>88.068299999999994</v>
      </c>
      <c r="E942" s="10">
        <f>87.9296 * CHOOSE(CONTROL!$C$9, $D$9, 100%, $F$9) + CHOOSE(CONTROL!$C$27, 0.0021, 0)</f>
        <v>87.931699999999992</v>
      </c>
      <c r="F942" s="10">
        <f>87.9296 * CHOOSE(CONTROL!$C$9, $D$9, 100%, $F$9) + CHOOSE(CONTROL!$C$27, 0.0021, 0)</f>
        <v>87.931699999999992</v>
      </c>
      <c r="G942" s="10">
        <f>88.2009 * CHOOSE(CONTROL!$C$9, $D$9, 100%, $F$9) + CHOOSE(CONTROL!$C$27, 0.0021, 0)</f>
        <v>88.203000000000003</v>
      </c>
      <c r="H942" s="10">
        <f>88.0662 * CHOOSE(CONTROL!$C$9, $D$9, 100%, $F$9) + CHOOSE(CONTROL!$C$27, 0.0021, 0)</f>
        <v>88.068299999999994</v>
      </c>
      <c r="I942" s="10">
        <f>88.0662 * CHOOSE(CONTROL!$C$9, $D$9, 100%, $F$9) + CHOOSE(CONTROL!$C$27, 0.0021, 0)</f>
        <v>88.068299999999994</v>
      </c>
      <c r="J942" s="10">
        <f>88.0662 * CHOOSE(CONTROL!$C$9, $D$9, 100%, $F$9) + CHOOSE(CONTROL!$C$27, 0.0021, 0)</f>
        <v>88.068299999999994</v>
      </c>
      <c r="K942" s="10">
        <f>88.0662 * CHOOSE(CONTROL!$C$9, $D$9, 100%, $F$9) + CHOOSE(CONTROL!$C$27, 0.0021, 0)</f>
        <v>88.068299999999994</v>
      </c>
      <c r="L942" s="10"/>
    </row>
    <row r="943" spans="1:12" ht="15.75">
      <c r="A943" s="13">
        <v>70006</v>
      </c>
      <c r="B943" s="10">
        <f>89.0163 * CHOOSE(CONTROL!$C$9, $D$9, 100%, $F$9) + CHOOSE(CONTROL!$C$27, 0.0021, 0)</f>
        <v>89.0184</v>
      </c>
      <c r="C943" s="10">
        <f>88.5841 * CHOOSE(CONTROL!$C$9, $D$9, 100%, $F$9) + CHOOSE(CONTROL!$C$27, 0.0021, 0)</f>
        <v>88.586200000000005</v>
      </c>
      <c r="D943" s="10">
        <f>88.5841 * CHOOSE(CONTROL!$C$9, $D$9, 100%, $F$9) + CHOOSE(CONTROL!$C$27, 0.0021, 0)</f>
        <v>88.586200000000005</v>
      </c>
      <c r="E943" s="10">
        <f>88.4474 * CHOOSE(CONTROL!$C$9, $D$9, 100%, $F$9) + CHOOSE(CONTROL!$C$27, 0.0021, 0)</f>
        <v>88.4495</v>
      </c>
      <c r="F943" s="10">
        <f>88.4474 * CHOOSE(CONTROL!$C$9, $D$9, 100%, $F$9) + CHOOSE(CONTROL!$C$27, 0.0021, 0)</f>
        <v>88.4495</v>
      </c>
      <c r="G943" s="10">
        <f>88.7188 * CHOOSE(CONTROL!$C$9, $D$9, 100%, $F$9) + CHOOSE(CONTROL!$C$27, 0.0021, 0)</f>
        <v>88.7209</v>
      </c>
      <c r="H943" s="10">
        <f>88.5841 * CHOOSE(CONTROL!$C$9, $D$9, 100%, $F$9) + CHOOSE(CONTROL!$C$27, 0.0021, 0)</f>
        <v>88.586200000000005</v>
      </c>
      <c r="I943" s="10">
        <f>88.5841 * CHOOSE(CONTROL!$C$9, $D$9, 100%, $F$9) + CHOOSE(CONTROL!$C$27, 0.0021, 0)</f>
        <v>88.586200000000005</v>
      </c>
      <c r="J943" s="10">
        <f>88.5841 * CHOOSE(CONTROL!$C$9, $D$9, 100%, $F$9) + CHOOSE(CONTROL!$C$27, 0.0021, 0)</f>
        <v>88.586200000000005</v>
      </c>
      <c r="K943" s="10">
        <f>88.5841 * CHOOSE(CONTROL!$C$9, $D$9, 100%, $F$9) + CHOOSE(CONTROL!$C$27, 0.0021, 0)</f>
        <v>88.586200000000005</v>
      </c>
      <c r="L943" s="10"/>
    </row>
    <row r="944" spans="1:12" ht="15.75">
      <c r="A944" s="13">
        <v>70036</v>
      </c>
      <c r="B944" s="10">
        <f>90.7798 * CHOOSE(CONTROL!$C$9, $D$9, 100%, $F$9) + CHOOSE(CONTROL!$C$27, 0.0021, 0)</f>
        <v>90.781899999999993</v>
      </c>
      <c r="C944" s="10">
        <f>90.3476 * CHOOSE(CONTROL!$C$9, $D$9, 100%, $F$9) + CHOOSE(CONTROL!$C$27, 0.0021, 0)</f>
        <v>90.349699999999999</v>
      </c>
      <c r="D944" s="10">
        <f>90.3476 * CHOOSE(CONTROL!$C$9, $D$9, 100%, $F$9) + CHOOSE(CONTROL!$C$27, 0.0021, 0)</f>
        <v>90.349699999999999</v>
      </c>
      <c r="E944" s="10">
        <f>90.2109 * CHOOSE(CONTROL!$C$9, $D$9, 100%, $F$9) + CHOOSE(CONTROL!$C$27, 0.0021, 0)</f>
        <v>90.212999999999994</v>
      </c>
      <c r="F944" s="10">
        <f>90.2109 * CHOOSE(CONTROL!$C$9, $D$9, 100%, $F$9) + CHOOSE(CONTROL!$C$27, 0.0021, 0)</f>
        <v>90.212999999999994</v>
      </c>
      <c r="G944" s="10">
        <f>90.4823 * CHOOSE(CONTROL!$C$9, $D$9, 100%, $F$9) + CHOOSE(CONTROL!$C$27, 0.0021, 0)</f>
        <v>90.484399999999994</v>
      </c>
      <c r="H944" s="10">
        <f>90.3476 * CHOOSE(CONTROL!$C$9, $D$9, 100%, $F$9) + CHOOSE(CONTROL!$C$27, 0.0021, 0)</f>
        <v>90.349699999999999</v>
      </c>
      <c r="I944" s="10">
        <f>90.3476 * CHOOSE(CONTROL!$C$9, $D$9, 100%, $F$9) + CHOOSE(CONTROL!$C$27, 0.0021, 0)</f>
        <v>90.349699999999999</v>
      </c>
      <c r="J944" s="10">
        <f>90.3476 * CHOOSE(CONTROL!$C$9, $D$9, 100%, $F$9) + CHOOSE(CONTROL!$C$27, 0.0021, 0)</f>
        <v>90.349699999999999</v>
      </c>
      <c r="K944" s="10">
        <f>90.3476 * CHOOSE(CONTROL!$C$9, $D$9, 100%, $F$9) + CHOOSE(CONTROL!$C$27, 0.0021, 0)</f>
        <v>90.349699999999999</v>
      </c>
      <c r="L944" s="10"/>
    </row>
    <row r="945" spans="1:12" ht="15.75">
      <c r="A945" s="13">
        <v>70067</v>
      </c>
      <c r="B945" s="10">
        <f>93.0122 * CHOOSE(CONTROL!$C$9, $D$9, 100%, $F$9) + CHOOSE(CONTROL!$C$27, 0.0021, 0)</f>
        <v>93.014300000000006</v>
      </c>
      <c r="C945" s="10">
        <f>92.5799 * CHOOSE(CONTROL!$C$9, $D$9, 100%, $F$9) + CHOOSE(CONTROL!$C$27, 0.0021, 0)</f>
        <v>92.581999999999994</v>
      </c>
      <c r="D945" s="10">
        <f>92.5799 * CHOOSE(CONTROL!$C$9, $D$9, 100%, $F$9) + CHOOSE(CONTROL!$C$27, 0.0021, 0)</f>
        <v>92.581999999999994</v>
      </c>
      <c r="E945" s="10">
        <f>92.4433 * CHOOSE(CONTROL!$C$9, $D$9, 100%, $F$9) + CHOOSE(CONTROL!$C$27, 0.0021, 0)</f>
        <v>92.445399999999992</v>
      </c>
      <c r="F945" s="10">
        <f>92.4433 * CHOOSE(CONTROL!$C$9, $D$9, 100%, $F$9) + CHOOSE(CONTROL!$C$27, 0.0021, 0)</f>
        <v>92.445399999999992</v>
      </c>
      <c r="G945" s="10">
        <f>92.7146 * CHOOSE(CONTROL!$C$9, $D$9, 100%, $F$9) + CHOOSE(CONTROL!$C$27, 0.0021, 0)</f>
        <v>92.716700000000003</v>
      </c>
      <c r="H945" s="10">
        <f>92.5799 * CHOOSE(CONTROL!$C$9, $D$9, 100%, $F$9) + CHOOSE(CONTROL!$C$27, 0.0021, 0)</f>
        <v>92.581999999999994</v>
      </c>
      <c r="I945" s="10">
        <f>92.5799 * CHOOSE(CONTROL!$C$9, $D$9, 100%, $F$9) + CHOOSE(CONTROL!$C$27, 0.0021, 0)</f>
        <v>92.581999999999994</v>
      </c>
      <c r="J945" s="10">
        <f>92.5799 * CHOOSE(CONTROL!$C$9, $D$9, 100%, $F$9) + CHOOSE(CONTROL!$C$27, 0.0021, 0)</f>
        <v>92.581999999999994</v>
      </c>
      <c r="K945" s="10">
        <f>92.5799 * CHOOSE(CONTROL!$C$9, $D$9, 100%, $F$9) + CHOOSE(CONTROL!$C$27, 0.0021, 0)</f>
        <v>92.581999999999994</v>
      </c>
      <c r="L945" s="10"/>
    </row>
    <row r="946" spans="1:12" ht="15.75">
      <c r="A946" s="13">
        <v>70097</v>
      </c>
      <c r="B946" s="10">
        <f>93.2217 * CHOOSE(CONTROL!$C$9, $D$9, 100%, $F$9) + CHOOSE(CONTROL!$C$27, 0.0021, 0)</f>
        <v>93.223799999999997</v>
      </c>
      <c r="C946" s="10">
        <f>92.7895 * CHOOSE(CONTROL!$C$9, $D$9, 100%, $F$9) + CHOOSE(CONTROL!$C$27, 0.0021, 0)</f>
        <v>92.791600000000003</v>
      </c>
      <c r="D946" s="10">
        <f>92.7895 * CHOOSE(CONTROL!$C$9, $D$9, 100%, $F$9) + CHOOSE(CONTROL!$C$27, 0.0021, 0)</f>
        <v>92.791600000000003</v>
      </c>
      <c r="E946" s="10">
        <f>92.6528 * CHOOSE(CONTROL!$C$9, $D$9, 100%, $F$9) + CHOOSE(CONTROL!$C$27, 0.0021, 0)</f>
        <v>92.654899999999998</v>
      </c>
      <c r="F946" s="10">
        <f>92.6528 * CHOOSE(CONTROL!$C$9, $D$9, 100%, $F$9) + CHOOSE(CONTROL!$C$27, 0.0021, 0)</f>
        <v>92.654899999999998</v>
      </c>
      <c r="G946" s="10">
        <f>92.9242 * CHOOSE(CONTROL!$C$9, $D$9, 100%, $F$9) + CHOOSE(CONTROL!$C$27, 0.0021, 0)</f>
        <v>92.926299999999998</v>
      </c>
      <c r="H946" s="10">
        <f>92.7895 * CHOOSE(CONTROL!$C$9, $D$9, 100%, $F$9) + CHOOSE(CONTROL!$C$27, 0.0021, 0)</f>
        <v>92.791600000000003</v>
      </c>
      <c r="I946" s="10">
        <f>92.7895 * CHOOSE(CONTROL!$C$9, $D$9, 100%, $F$9) + CHOOSE(CONTROL!$C$27, 0.0021, 0)</f>
        <v>92.791600000000003</v>
      </c>
      <c r="J946" s="10">
        <f>92.7895 * CHOOSE(CONTROL!$C$9, $D$9, 100%, $F$9) + CHOOSE(CONTROL!$C$27, 0.0021, 0)</f>
        <v>92.791600000000003</v>
      </c>
      <c r="K946" s="10">
        <f>92.7895 * CHOOSE(CONTROL!$C$9, $D$9, 100%, $F$9) + CHOOSE(CONTROL!$C$27, 0.0021, 0)</f>
        <v>92.791600000000003</v>
      </c>
      <c r="L946" s="10"/>
    </row>
    <row r="947" spans="1:12" ht="15.75">
      <c r="A947" s="13">
        <v>70128</v>
      </c>
      <c r="B947" s="10">
        <f>91.4388 * CHOOSE(CONTROL!$C$9, $D$9, 100%, $F$9) + CHOOSE(CONTROL!$C$27, 0.0021, 0)</f>
        <v>91.440899999999999</v>
      </c>
      <c r="C947" s="10">
        <f>91.0066 * CHOOSE(CONTROL!$C$9, $D$9, 100%, $F$9) + CHOOSE(CONTROL!$C$27, 0.0021, 0)</f>
        <v>91.008700000000005</v>
      </c>
      <c r="D947" s="10">
        <f>91.0066 * CHOOSE(CONTROL!$C$9, $D$9, 100%, $F$9) + CHOOSE(CONTROL!$C$27, 0.0021, 0)</f>
        <v>91.008700000000005</v>
      </c>
      <c r="E947" s="10">
        <f>90.8699 * CHOOSE(CONTROL!$C$9, $D$9, 100%, $F$9) + CHOOSE(CONTROL!$C$27, 0.0021, 0)</f>
        <v>90.872</v>
      </c>
      <c r="F947" s="10">
        <f>90.8699 * CHOOSE(CONTROL!$C$9, $D$9, 100%, $F$9) + CHOOSE(CONTROL!$C$27, 0.0021, 0)</f>
        <v>90.872</v>
      </c>
      <c r="G947" s="10">
        <f>91.1413 * CHOOSE(CONTROL!$C$9, $D$9, 100%, $F$9) + CHOOSE(CONTROL!$C$27, 0.0021, 0)</f>
        <v>91.1434</v>
      </c>
      <c r="H947" s="10">
        <f>91.0066 * CHOOSE(CONTROL!$C$9, $D$9, 100%, $F$9) + CHOOSE(CONTROL!$C$27, 0.0021, 0)</f>
        <v>91.008700000000005</v>
      </c>
      <c r="I947" s="10">
        <f>91.0066 * CHOOSE(CONTROL!$C$9, $D$9, 100%, $F$9) + CHOOSE(CONTROL!$C$27, 0.0021, 0)</f>
        <v>91.008700000000005</v>
      </c>
      <c r="J947" s="10">
        <f>91.0066 * CHOOSE(CONTROL!$C$9, $D$9, 100%, $F$9) + CHOOSE(CONTROL!$C$27, 0.0021, 0)</f>
        <v>91.008700000000005</v>
      </c>
      <c r="K947" s="10">
        <f>91.0066 * CHOOSE(CONTROL!$C$9, $D$9, 100%, $F$9) + CHOOSE(CONTROL!$C$27, 0.0021, 0)</f>
        <v>91.008700000000005</v>
      </c>
      <c r="L947" s="10"/>
    </row>
    <row r="948" spans="1:12" ht="15.75">
      <c r="A948" s="13">
        <v>70159</v>
      </c>
      <c r="B948" s="10">
        <f>90.0738 * CHOOSE(CONTROL!$C$9, $D$9, 100%, $F$9) + CHOOSE(CONTROL!$C$27, 0.0021, 0)</f>
        <v>90.075900000000004</v>
      </c>
      <c r="C948" s="10">
        <f>89.6415 * CHOOSE(CONTROL!$C$9, $D$9, 100%, $F$9) + CHOOSE(CONTROL!$C$27, 0.0021, 0)</f>
        <v>89.643599999999992</v>
      </c>
      <c r="D948" s="10">
        <f>89.6415 * CHOOSE(CONTROL!$C$9, $D$9, 100%, $F$9) + CHOOSE(CONTROL!$C$27, 0.0021, 0)</f>
        <v>89.643599999999992</v>
      </c>
      <c r="E948" s="10">
        <f>89.5049 * CHOOSE(CONTROL!$C$9, $D$9, 100%, $F$9) + CHOOSE(CONTROL!$C$27, 0.0021, 0)</f>
        <v>89.507000000000005</v>
      </c>
      <c r="F948" s="10">
        <f>89.5049 * CHOOSE(CONTROL!$C$9, $D$9, 100%, $F$9) + CHOOSE(CONTROL!$C$27, 0.0021, 0)</f>
        <v>89.507000000000005</v>
      </c>
      <c r="G948" s="10">
        <f>89.7762 * CHOOSE(CONTROL!$C$9, $D$9, 100%, $F$9) + CHOOSE(CONTROL!$C$27, 0.0021, 0)</f>
        <v>89.778300000000002</v>
      </c>
      <c r="H948" s="10">
        <f>89.6415 * CHOOSE(CONTROL!$C$9, $D$9, 100%, $F$9) + CHOOSE(CONTROL!$C$27, 0.0021, 0)</f>
        <v>89.643599999999992</v>
      </c>
      <c r="I948" s="10">
        <f>89.6415 * CHOOSE(CONTROL!$C$9, $D$9, 100%, $F$9) + CHOOSE(CONTROL!$C$27, 0.0021, 0)</f>
        <v>89.643599999999992</v>
      </c>
      <c r="J948" s="10">
        <f>89.6415 * CHOOSE(CONTROL!$C$9, $D$9, 100%, $F$9) + CHOOSE(CONTROL!$C$27, 0.0021, 0)</f>
        <v>89.643599999999992</v>
      </c>
      <c r="K948" s="10">
        <f>89.6415 * CHOOSE(CONTROL!$C$9, $D$9, 100%, $F$9) + CHOOSE(CONTROL!$C$27, 0.0021, 0)</f>
        <v>89.643599999999992</v>
      </c>
      <c r="L948" s="10"/>
    </row>
    <row r="949" spans="1:12" ht="15.75">
      <c r="A949" s="13">
        <v>70188</v>
      </c>
      <c r="B949" s="10">
        <f>87.5908 * CHOOSE(CONTROL!$C$9, $D$9, 100%, $F$9) + CHOOSE(CONTROL!$C$27, 0.0021, 0)</f>
        <v>87.5929</v>
      </c>
      <c r="C949" s="10">
        <f>87.1586 * CHOOSE(CONTROL!$C$9, $D$9, 100%, $F$9) + CHOOSE(CONTROL!$C$27, 0.0021, 0)</f>
        <v>87.160700000000006</v>
      </c>
      <c r="D949" s="10">
        <f>87.1586 * CHOOSE(CONTROL!$C$9, $D$9, 100%, $F$9) + CHOOSE(CONTROL!$C$27, 0.0021, 0)</f>
        <v>87.160700000000006</v>
      </c>
      <c r="E949" s="10">
        <f>87.0219 * CHOOSE(CONTROL!$C$9, $D$9, 100%, $F$9) + CHOOSE(CONTROL!$C$27, 0.0021, 0)</f>
        <v>87.024000000000001</v>
      </c>
      <c r="F949" s="10">
        <f>87.0219 * CHOOSE(CONTROL!$C$9, $D$9, 100%, $F$9) + CHOOSE(CONTROL!$C$27, 0.0021, 0)</f>
        <v>87.024000000000001</v>
      </c>
      <c r="G949" s="10">
        <f>87.2933 * CHOOSE(CONTROL!$C$9, $D$9, 100%, $F$9) + CHOOSE(CONTROL!$C$27, 0.0021, 0)</f>
        <v>87.295400000000001</v>
      </c>
      <c r="H949" s="10">
        <f>87.1586 * CHOOSE(CONTROL!$C$9, $D$9, 100%, $F$9) + CHOOSE(CONTROL!$C$27, 0.0021, 0)</f>
        <v>87.160700000000006</v>
      </c>
      <c r="I949" s="10">
        <f>87.1586 * CHOOSE(CONTROL!$C$9, $D$9, 100%, $F$9) + CHOOSE(CONTROL!$C$27, 0.0021, 0)</f>
        <v>87.160700000000006</v>
      </c>
      <c r="J949" s="10">
        <f>87.1586 * CHOOSE(CONTROL!$C$9, $D$9, 100%, $F$9) + CHOOSE(CONTROL!$C$27, 0.0021, 0)</f>
        <v>87.160700000000006</v>
      </c>
      <c r="K949" s="10">
        <f>87.1586 * CHOOSE(CONTROL!$C$9, $D$9, 100%, $F$9) + CHOOSE(CONTROL!$C$27, 0.0021, 0)</f>
        <v>87.160700000000006</v>
      </c>
      <c r="L949" s="10"/>
    </row>
    <row r="950" spans="1:12" ht="15.75">
      <c r="A950" s="13">
        <v>70219</v>
      </c>
      <c r="B950" s="10">
        <f>86.5659 * CHOOSE(CONTROL!$C$9, $D$9, 100%, $F$9) + CHOOSE(CONTROL!$C$27, 0.0021, 0)</f>
        <v>86.567999999999998</v>
      </c>
      <c r="C950" s="10">
        <f>86.1336 * CHOOSE(CONTROL!$C$9, $D$9, 100%, $F$9) + CHOOSE(CONTROL!$C$27, 0.0021, 0)</f>
        <v>86.1357</v>
      </c>
      <c r="D950" s="10">
        <f>86.1336 * CHOOSE(CONTROL!$C$9, $D$9, 100%, $F$9) + CHOOSE(CONTROL!$C$27, 0.0021, 0)</f>
        <v>86.1357</v>
      </c>
      <c r="E950" s="10">
        <f>85.997 * CHOOSE(CONTROL!$C$9, $D$9, 100%, $F$9) + CHOOSE(CONTROL!$C$27, 0.0021, 0)</f>
        <v>85.999099999999999</v>
      </c>
      <c r="F950" s="10">
        <f>85.997 * CHOOSE(CONTROL!$C$9, $D$9, 100%, $F$9) + CHOOSE(CONTROL!$C$27, 0.0021, 0)</f>
        <v>85.999099999999999</v>
      </c>
      <c r="G950" s="10">
        <f>86.2684 * CHOOSE(CONTROL!$C$9, $D$9, 100%, $F$9) + CHOOSE(CONTROL!$C$27, 0.0021, 0)</f>
        <v>86.270499999999998</v>
      </c>
      <c r="H950" s="10">
        <f>86.1336 * CHOOSE(CONTROL!$C$9, $D$9, 100%, $F$9) + CHOOSE(CONTROL!$C$27, 0.0021, 0)</f>
        <v>86.1357</v>
      </c>
      <c r="I950" s="10">
        <f>86.1336 * CHOOSE(CONTROL!$C$9, $D$9, 100%, $F$9) + CHOOSE(CONTROL!$C$27, 0.0021, 0)</f>
        <v>86.1357</v>
      </c>
      <c r="J950" s="10">
        <f>86.1336 * CHOOSE(CONTROL!$C$9, $D$9, 100%, $F$9) + CHOOSE(CONTROL!$C$27, 0.0021, 0)</f>
        <v>86.1357</v>
      </c>
      <c r="K950" s="10">
        <f>86.1336 * CHOOSE(CONTROL!$C$9, $D$9, 100%, $F$9) + CHOOSE(CONTROL!$C$27, 0.0021, 0)</f>
        <v>86.1357</v>
      </c>
      <c r="L950" s="10"/>
    </row>
    <row r="951" spans="1:12" ht="15.75">
      <c r="A951" s="13">
        <v>70249</v>
      </c>
      <c r="B951" s="10">
        <f>85.3421 * CHOOSE(CONTROL!$C$9, $D$9, 100%, $F$9) + CHOOSE(CONTROL!$C$27, 0.0021, 0)</f>
        <v>85.344200000000001</v>
      </c>
      <c r="C951" s="10">
        <f>84.9098 * CHOOSE(CONTROL!$C$9, $D$9, 100%, $F$9) + CHOOSE(CONTROL!$C$27, 0.0021, 0)</f>
        <v>84.911900000000003</v>
      </c>
      <c r="D951" s="10">
        <f>84.9098 * CHOOSE(CONTROL!$C$9, $D$9, 100%, $F$9) + CHOOSE(CONTROL!$C$27, 0.0021, 0)</f>
        <v>84.911900000000003</v>
      </c>
      <c r="E951" s="10">
        <f>84.7732 * CHOOSE(CONTROL!$C$9, $D$9, 100%, $F$9) + CHOOSE(CONTROL!$C$27, 0.0021, 0)</f>
        <v>84.775300000000001</v>
      </c>
      <c r="F951" s="10">
        <f>84.7732 * CHOOSE(CONTROL!$C$9, $D$9, 100%, $F$9) + CHOOSE(CONTROL!$C$27, 0.0021, 0)</f>
        <v>84.775300000000001</v>
      </c>
      <c r="G951" s="10">
        <f>85.0445 * CHOOSE(CONTROL!$C$9, $D$9, 100%, $F$9) + CHOOSE(CONTROL!$C$27, 0.0021, 0)</f>
        <v>85.046599999999998</v>
      </c>
      <c r="H951" s="10">
        <f>84.9098 * CHOOSE(CONTROL!$C$9, $D$9, 100%, $F$9) + CHOOSE(CONTROL!$C$27, 0.0021, 0)</f>
        <v>84.911900000000003</v>
      </c>
      <c r="I951" s="10">
        <f>84.9098 * CHOOSE(CONTROL!$C$9, $D$9, 100%, $F$9) + CHOOSE(CONTROL!$C$27, 0.0021, 0)</f>
        <v>84.911900000000003</v>
      </c>
      <c r="J951" s="10">
        <f>84.9098 * CHOOSE(CONTROL!$C$9, $D$9, 100%, $F$9) + CHOOSE(CONTROL!$C$27, 0.0021, 0)</f>
        <v>84.911900000000003</v>
      </c>
      <c r="K951" s="10">
        <f>84.9098 * CHOOSE(CONTROL!$C$9, $D$9, 100%, $F$9) + CHOOSE(CONTROL!$C$27, 0.0021, 0)</f>
        <v>84.911900000000003</v>
      </c>
      <c r="L951" s="10"/>
    </row>
    <row r="952" spans="1:12" ht="15.75">
      <c r="A952" s="13">
        <v>70280</v>
      </c>
      <c r="B952" s="10">
        <f>87.0862 * CHOOSE(CONTROL!$C$9, $D$9, 100%, $F$9) + CHOOSE(CONTROL!$C$27, 0.0021, 0)</f>
        <v>87.088300000000004</v>
      </c>
      <c r="C952" s="10">
        <f>86.6539 * CHOOSE(CONTROL!$C$9, $D$9, 100%, $F$9) + CHOOSE(CONTROL!$C$27, 0.0021, 0)</f>
        <v>86.655999999999992</v>
      </c>
      <c r="D952" s="10">
        <f>86.6539 * CHOOSE(CONTROL!$C$9, $D$9, 100%, $F$9) + CHOOSE(CONTROL!$C$27, 0.0021, 0)</f>
        <v>86.655999999999992</v>
      </c>
      <c r="E952" s="10">
        <f>86.5173 * CHOOSE(CONTROL!$C$9, $D$9, 100%, $F$9) + CHOOSE(CONTROL!$C$27, 0.0021, 0)</f>
        <v>86.519400000000005</v>
      </c>
      <c r="F952" s="10">
        <f>86.5173 * CHOOSE(CONTROL!$C$9, $D$9, 100%, $F$9) + CHOOSE(CONTROL!$C$27, 0.0021, 0)</f>
        <v>86.519400000000005</v>
      </c>
      <c r="G952" s="10">
        <f>86.7886 * CHOOSE(CONTROL!$C$9, $D$9, 100%, $F$9) + CHOOSE(CONTROL!$C$27, 0.0021, 0)</f>
        <v>86.790700000000001</v>
      </c>
      <c r="H952" s="10">
        <f>86.6539 * CHOOSE(CONTROL!$C$9, $D$9, 100%, $F$9) + CHOOSE(CONTROL!$C$27, 0.0021, 0)</f>
        <v>86.655999999999992</v>
      </c>
      <c r="I952" s="10">
        <f>86.6539 * CHOOSE(CONTROL!$C$9, $D$9, 100%, $F$9) + CHOOSE(CONTROL!$C$27, 0.0021, 0)</f>
        <v>86.655999999999992</v>
      </c>
      <c r="J952" s="10">
        <f>86.6539 * CHOOSE(CONTROL!$C$9, $D$9, 100%, $F$9) + CHOOSE(CONTROL!$C$27, 0.0021, 0)</f>
        <v>86.655999999999992</v>
      </c>
      <c r="K952" s="10">
        <f>86.6539 * CHOOSE(CONTROL!$C$9, $D$9, 100%, $F$9) + CHOOSE(CONTROL!$C$27, 0.0021, 0)</f>
        <v>86.655999999999992</v>
      </c>
      <c r="L952" s="10"/>
    </row>
    <row r="953" spans="1:12" ht="15.75">
      <c r="A953" s="13">
        <v>70310</v>
      </c>
      <c r="B953" s="10">
        <f>88.1308 * CHOOSE(CONTROL!$C$9, $D$9, 100%, $F$9) + CHOOSE(CONTROL!$C$27, 0.0021, 0)</f>
        <v>88.132899999999992</v>
      </c>
      <c r="C953" s="10">
        <f>87.6985 * CHOOSE(CONTROL!$C$9, $D$9, 100%, $F$9) + CHOOSE(CONTROL!$C$27, 0.0021, 0)</f>
        <v>87.700599999999994</v>
      </c>
      <c r="D953" s="10">
        <f>87.6985 * CHOOSE(CONTROL!$C$9, $D$9, 100%, $F$9) + CHOOSE(CONTROL!$C$27, 0.0021, 0)</f>
        <v>87.700599999999994</v>
      </c>
      <c r="E953" s="10">
        <f>87.5619 * CHOOSE(CONTROL!$C$9, $D$9, 100%, $F$9) + CHOOSE(CONTROL!$C$27, 0.0021, 0)</f>
        <v>87.563999999999993</v>
      </c>
      <c r="F953" s="10">
        <f>87.5619 * CHOOSE(CONTROL!$C$9, $D$9, 100%, $F$9) + CHOOSE(CONTROL!$C$27, 0.0021, 0)</f>
        <v>87.563999999999993</v>
      </c>
      <c r="G953" s="10">
        <f>87.8333 * CHOOSE(CONTROL!$C$9, $D$9, 100%, $F$9) + CHOOSE(CONTROL!$C$27, 0.0021, 0)</f>
        <v>87.835399999999993</v>
      </c>
      <c r="H953" s="10">
        <f>87.6985 * CHOOSE(CONTROL!$C$9, $D$9, 100%, $F$9) + CHOOSE(CONTROL!$C$27, 0.0021, 0)</f>
        <v>87.700599999999994</v>
      </c>
      <c r="I953" s="10">
        <f>87.6985 * CHOOSE(CONTROL!$C$9, $D$9, 100%, $F$9) + CHOOSE(CONTROL!$C$27, 0.0021, 0)</f>
        <v>87.700599999999994</v>
      </c>
      <c r="J953" s="10">
        <f>87.6985 * CHOOSE(CONTROL!$C$9, $D$9, 100%, $F$9) + CHOOSE(CONTROL!$C$27, 0.0021, 0)</f>
        <v>87.700599999999994</v>
      </c>
      <c r="K953" s="10">
        <f>87.6985 * CHOOSE(CONTROL!$C$9, $D$9, 100%, $F$9) + CHOOSE(CONTROL!$C$27, 0.0021, 0)</f>
        <v>87.700599999999994</v>
      </c>
      <c r="L953" s="10"/>
    </row>
    <row r="954" spans="1:12" ht="15.75">
      <c r="A954" s="13">
        <v>70341</v>
      </c>
      <c r="B954" s="10">
        <f>89.8541 * CHOOSE(CONTROL!$C$9, $D$9, 100%, $F$9) + CHOOSE(CONTROL!$C$27, 0.0021, 0)</f>
        <v>89.856200000000001</v>
      </c>
      <c r="C954" s="10">
        <f>89.4218 * CHOOSE(CONTROL!$C$9, $D$9, 100%, $F$9) + CHOOSE(CONTROL!$C$27, 0.0021, 0)</f>
        <v>89.423900000000003</v>
      </c>
      <c r="D954" s="10">
        <f>89.4218 * CHOOSE(CONTROL!$C$9, $D$9, 100%, $F$9) + CHOOSE(CONTROL!$C$27, 0.0021, 0)</f>
        <v>89.423900000000003</v>
      </c>
      <c r="E954" s="10">
        <f>89.2851 * CHOOSE(CONTROL!$C$9, $D$9, 100%, $F$9) + CHOOSE(CONTROL!$C$27, 0.0021, 0)</f>
        <v>89.287199999999999</v>
      </c>
      <c r="F954" s="10">
        <f>89.2851 * CHOOSE(CONTROL!$C$9, $D$9, 100%, $F$9) + CHOOSE(CONTROL!$C$27, 0.0021, 0)</f>
        <v>89.287199999999999</v>
      </c>
      <c r="G954" s="10">
        <f>89.5565 * CHOOSE(CONTROL!$C$9, $D$9, 100%, $F$9) + CHOOSE(CONTROL!$C$27, 0.0021, 0)</f>
        <v>89.558599999999998</v>
      </c>
      <c r="H954" s="10">
        <f>89.4218 * CHOOSE(CONTROL!$C$9, $D$9, 100%, $F$9) + CHOOSE(CONTROL!$C$27, 0.0021, 0)</f>
        <v>89.423900000000003</v>
      </c>
      <c r="I954" s="10">
        <f>89.4218 * CHOOSE(CONTROL!$C$9, $D$9, 100%, $F$9) + CHOOSE(CONTROL!$C$27, 0.0021, 0)</f>
        <v>89.423900000000003</v>
      </c>
      <c r="J954" s="10">
        <f>89.4218 * CHOOSE(CONTROL!$C$9, $D$9, 100%, $F$9) + CHOOSE(CONTROL!$C$27, 0.0021, 0)</f>
        <v>89.423900000000003</v>
      </c>
      <c r="K954" s="10">
        <f>89.4218 * CHOOSE(CONTROL!$C$9, $D$9, 100%, $F$9) + CHOOSE(CONTROL!$C$27, 0.0021, 0)</f>
        <v>89.423900000000003</v>
      </c>
      <c r="L954" s="10"/>
    </row>
    <row r="955" spans="1:12" ht="15.75">
      <c r="A955" s="13">
        <v>70372</v>
      </c>
      <c r="B955" s="10">
        <f>90.38 * CHOOSE(CONTROL!$C$9, $D$9, 100%, $F$9) + CHOOSE(CONTROL!$C$27, 0.0021, 0)</f>
        <v>90.382099999999994</v>
      </c>
      <c r="C955" s="10">
        <f>89.9478 * CHOOSE(CONTROL!$C$9, $D$9, 100%, $F$9) + CHOOSE(CONTROL!$C$27, 0.0021, 0)</f>
        <v>89.9499</v>
      </c>
      <c r="D955" s="10">
        <f>89.9478 * CHOOSE(CONTROL!$C$9, $D$9, 100%, $F$9) + CHOOSE(CONTROL!$C$27, 0.0021, 0)</f>
        <v>89.9499</v>
      </c>
      <c r="E955" s="10">
        <f>89.8111 * CHOOSE(CONTROL!$C$9, $D$9, 100%, $F$9) + CHOOSE(CONTROL!$C$27, 0.0021, 0)</f>
        <v>89.813199999999995</v>
      </c>
      <c r="F955" s="10">
        <f>89.8111 * CHOOSE(CONTROL!$C$9, $D$9, 100%, $F$9) + CHOOSE(CONTROL!$C$27, 0.0021, 0)</f>
        <v>89.813199999999995</v>
      </c>
      <c r="G955" s="10">
        <f>90.0825 * CHOOSE(CONTROL!$C$9, $D$9, 100%, $F$9) + CHOOSE(CONTROL!$C$27, 0.0021, 0)</f>
        <v>90.084599999999995</v>
      </c>
      <c r="H955" s="10">
        <f>89.9478 * CHOOSE(CONTROL!$C$9, $D$9, 100%, $F$9) + CHOOSE(CONTROL!$C$27, 0.0021, 0)</f>
        <v>89.9499</v>
      </c>
      <c r="I955" s="10">
        <f>89.9478 * CHOOSE(CONTROL!$C$9, $D$9, 100%, $F$9) + CHOOSE(CONTROL!$C$27, 0.0021, 0)</f>
        <v>89.9499</v>
      </c>
      <c r="J955" s="10">
        <f>89.9478 * CHOOSE(CONTROL!$C$9, $D$9, 100%, $F$9) + CHOOSE(CONTROL!$C$27, 0.0021, 0)</f>
        <v>89.9499</v>
      </c>
      <c r="K955" s="10">
        <f>89.9478 * CHOOSE(CONTROL!$C$9, $D$9, 100%, $F$9) + CHOOSE(CONTROL!$C$27, 0.0021, 0)</f>
        <v>89.9499</v>
      </c>
      <c r="L955" s="10"/>
    </row>
    <row r="956" spans="1:12" ht="15.75">
      <c r="A956" s="13">
        <v>70402</v>
      </c>
      <c r="B956" s="10">
        <f>92.1713 * CHOOSE(CONTROL!$C$9, $D$9, 100%, $F$9) + CHOOSE(CONTROL!$C$27, 0.0021, 0)</f>
        <v>92.173400000000001</v>
      </c>
      <c r="C956" s="10">
        <f>91.7391 * CHOOSE(CONTROL!$C$9, $D$9, 100%, $F$9) + CHOOSE(CONTROL!$C$27, 0.0021, 0)</f>
        <v>91.741199999999992</v>
      </c>
      <c r="D956" s="10">
        <f>91.7391 * CHOOSE(CONTROL!$C$9, $D$9, 100%, $F$9) + CHOOSE(CONTROL!$C$27, 0.0021, 0)</f>
        <v>91.741199999999992</v>
      </c>
      <c r="E956" s="10">
        <f>91.6024 * CHOOSE(CONTROL!$C$9, $D$9, 100%, $F$9) + CHOOSE(CONTROL!$C$27, 0.0021, 0)</f>
        <v>91.604500000000002</v>
      </c>
      <c r="F956" s="10">
        <f>91.6024 * CHOOSE(CONTROL!$C$9, $D$9, 100%, $F$9) + CHOOSE(CONTROL!$C$27, 0.0021, 0)</f>
        <v>91.604500000000002</v>
      </c>
      <c r="G956" s="10">
        <f>91.8738 * CHOOSE(CONTROL!$C$9, $D$9, 100%, $F$9) + CHOOSE(CONTROL!$C$27, 0.0021, 0)</f>
        <v>91.875900000000001</v>
      </c>
      <c r="H956" s="10">
        <f>91.7391 * CHOOSE(CONTROL!$C$9, $D$9, 100%, $F$9) + CHOOSE(CONTROL!$C$27, 0.0021, 0)</f>
        <v>91.741199999999992</v>
      </c>
      <c r="I956" s="10">
        <f>91.7391 * CHOOSE(CONTROL!$C$9, $D$9, 100%, $F$9) + CHOOSE(CONTROL!$C$27, 0.0021, 0)</f>
        <v>91.741199999999992</v>
      </c>
      <c r="J956" s="10">
        <f>91.7391 * CHOOSE(CONTROL!$C$9, $D$9, 100%, $F$9) + CHOOSE(CONTROL!$C$27, 0.0021, 0)</f>
        <v>91.741199999999992</v>
      </c>
      <c r="K956" s="10">
        <f>91.7391 * CHOOSE(CONTROL!$C$9, $D$9, 100%, $F$9) + CHOOSE(CONTROL!$C$27, 0.0021, 0)</f>
        <v>91.741199999999992</v>
      </c>
      <c r="L956" s="10"/>
    </row>
    <row r="957" spans="1:12" ht="15.75">
      <c r="A957" s="13">
        <v>70433</v>
      </c>
      <c r="B957" s="10">
        <f>94.4387 * CHOOSE(CONTROL!$C$9, $D$9, 100%, $F$9) + CHOOSE(CONTROL!$C$27, 0.0021, 0)</f>
        <v>94.440799999999996</v>
      </c>
      <c r="C957" s="10">
        <f>94.0065 * CHOOSE(CONTROL!$C$9, $D$9, 100%, $F$9) + CHOOSE(CONTROL!$C$27, 0.0021, 0)</f>
        <v>94.008600000000001</v>
      </c>
      <c r="D957" s="10">
        <f>94.0065 * CHOOSE(CONTROL!$C$9, $D$9, 100%, $F$9) + CHOOSE(CONTROL!$C$27, 0.0021, 0)</f>
        <v>94.008600000000001</v>
      </c>
      <c r="E957" s="10">
        <f>93.8698 * CHOOSE(CONTROL!$C$9, $D$9, 100%, $F$9) + CHOOSE(CONTROL!$C$27, 0.0021, 0)</f>
        <v>93.871899999999997</v>
      </c>
      <c r="F957" s="10">
        <f>93.8698 * CHOOSE(CONTROL!$C$9, $D$9, 100%, $F$9) + CHOOSE(CONTROL!$C$27, 0.0021, 0)</f>
        <v>93.871899999999997</v>
      </c>
      <c r="G957" s="10">
        <f>94.1412 * CHOOSE(CONTROL!$C$9, $D$9, 100%, $F$9) + CHOOSE(CONTROL!$C$27, 0.0021, 0)</f>
        <v>94.143299999999996</v>
      </c>
      <c r="H957" s="10">
        <f>94.0065 * CHOOSE(CONTROL!$C$9, $D$9, 100%, $F$9) + CHOOSE(CONTROL!$C$27, 0.0021, 0)</f>
        <v>94.008600000000001</v>
      </c>
      <c r="I957" s="10">
        <f>94.0065 * CHOOSE(CONTROL!$C$9, $D$9, 100%, $F$9) + CHOOSE(CONTROL!$C$27, 0.0021, 0)</f>
        <v>94.008600000000001</v>
      </c>
      <c r="J957" s="10">
        <f>94.0065 * CHOOSE(CONTROL!$C$9, $D$9, 100%, $F$9) + CHOOSE(CONTROL!$C$27, 0.0021, 0)</f>
        <v>94.008600000000001</v>
      </c>
      <c r="K957" s="10">
        <f>94.0065 * CHOOSE(CONTROL!$C$9, $D$9, 100%, $F$9) + CHOOSE(CONTROL!$C$27, 0.0021, 0)</f>
        <v>94.008600000000001</v>
      </c>
      <c r="L957" s="10"/>
    </row>
    <row r="958" spans="1:12" ht="15.75">
      <c r="A958" s="13">
        <v>70463</v>
      </c>
      <c r="B958" s="10">
        <f>94.6516 * CHOOSE(CONTROL!$C$9, $D$9, 100%, $F$9) + CHOOSE(CONTROL!$C$27, 0.0021, 0)</f>
        <v>94.653700000000001</v>
      </c>
      <c r="C958" s="10">
        <f>94.2193 * CHOOSE(CONTROL!$C$9, $D$9, 100%, $F$9) + CHOOSE(CONTROL!$C$27, 0.0021, 0)</f>
        <v>94.221400000000003</v>
      </c>
      <c r="D958" s="10">
        <f>94.2193 * CHOOSE(CONTROL!$C$9, $D$9, 100%, $F$9) + CHOOSE(CONTROL!$C$27, 0.0021, 0)</f>
        <v>94.221400000000003</v>
      </c>
      <c r="E958" s="10">
        <f>94.0827 * CHOOSE(CONTROL!$C$9, $D$9, 100%, $F$9) + CHOOSE(CONTROL!$C$27, 0.0021, 0)</f>
        <v>94.084800000000001</v>
      </c>
      <c r="F958" s="10">
        <f>94.0827 * CHOOSE(CONTROL!$C$9, $D$9, 100%, $F$9) + CHOOSE(CONTROL!$C$27, 0.0021, 0)</f>
        <v>94.084800000000001</v>
      </c>
      <c r="G958" s="10">
        <f>94.3541 * CHOOSE(CONTROL!$C$9, $D$9, 100%, $F$9) + CHOOSE(CONTROL!$C$27, 0.0021, 0)</f>
        <v>94.356200000000001</v>
      </c>
      <c r="H958" s="10">
        <f>94.2193 * CHOOSE(CONTROL!$C$9, $D$9, 100%, $F$9) + CHOOSE(CONTROL!$C$27, 0.0021, 0)</f>
        <v>94.221400000000003</v>
      </c>
      <c r="I958" s="10">
        <f>94.2193 * CHOOSE(CONTROL!$C$9, $D$9, 100%, $F$9) + CHOOSE(CONTROL!$C$27, 0.0021, 0)</f>
        <v>94.221400000000003</v>
      </c>
      <c r="J958" s="10">
        <f>94.2193 * CHOOSE(CONTROL!$C$9, $D$9, 100%, $F$9) + CHOOSE(CONTROL!$C$27, 0.0021, 0)</f>
        <v>94.221400000000003</v>
      </c>
      <c r="K958" s="10">
        <f>94.2193 * CHOOSE(CONTROL!$C$9, $D$9, 100%, $F$9) + CHOOSE(CONTROL!$C$27, 0.0021, 0)</f>
        <v>94.221400000000003</v>
      </c>
      <c r="L958" s="10"/>
    </row>
    <row r="959" spans="1:12" ht="15.75">
      <c r="A959" s="13">
        <v>70494</v>
      </c>
      <c r="B959" s="10">
        <f>92.8406 * CHOOSE(CONTROL!$C$9, $D$9, 100%, $F$9) + CHOOSE(CONTROL!$C$27, 0.0021, 0)</f>
        <v>92.842699999999994</v>
      </c>
      <c r="C959" s="10">
        <f>92.4084 * CHOOSE(CONTROL!$C$9, $D$9, 100%, $F$9) + CHOOSE(CONTROL!$C$27, 0.0021, 0)</f>
        <v>92.410499999999999</v>
      </c>
      <c r="D959" s="10">
        <f>92.4084 * CHOOSE(CONTROL!$C$9, $D$9, 100%, $F$9) + CHOOSE(CONTROL!$C$27, 0.0021, 0)</f>
        <v>92.410499999999999</v>
      </c>
      <c r="E959" s="10">
        <f>92.2717 * CHOOSE(CONTROL!$C$9, $D$9, 100%, $F$9) + CHOOSE(CONTROL!$C$27, 0.0021, 0)</f>
        <v>92.273799999999994</v>
      </c>
      <c r="F959" s="10">
        <f>92.2717 * CHOOSE(CONTROL!$C$9, $D$9, 100%, $F$9) + CHOOSE(CONTROL!$C$27, 0.0021, 0)</f>
        <v>92.273799999999994</v>
      </c>
      <c r="G959" s="10">
        <f>92.5431 * CHOOSE(CONTROL!$C$9, $D$9, 100%, $F$9) + CHOOSE(CONTROL!$C$27, 0.0021, 0)</f>
        <v>92.545199999999994</v>
      </c>
      <c r="H959" s="10">
        <f>92.4084 * CHOOSE(CONTROL!$C$9, $D$9, 100%, $F$9) + CHOOSE(CONTROL!$C$27, 0.0021, 0)</f>
        <v>92.410499999999999</v>
      </c>
      <c r="I959" s="10">
        <f>92.4084 * CHOOSE(CONTROL!$C$9, $D$9, 100%, $F$9) + CHOOSE(CONTROL!$C$27, 0.0021, 0)</f>
        <v>92.410499999999999</v>
      </c>
      <c r="J959" s="10">
        <f>92.4084 * CHOOSE(CONTROL!$C$9, $D$9, 100%, $F$9) + CHOOSE(CONTROL!$C$27, 0.0021, 0)</f>
        <v>92.410499999999999</v>
      </c>
      <c r="K959" s="10">
        <f>92.4084 * CHOOSE(CONTROL!$C$9, $D$9, 100%, $F$9) + CHOOSE(CONTROL!$C$27, 0.0021, 0)</f>
        <v>92.410499999999999</v>
      </c>
      <c r="L959" s="10"/>
    </row>
    <row r="960" spans="1:12" ht="15.75">
      <c r="A960" s="13">
        <v>70525</v>
      </c>
      <c r="B960" s="10">
        <f>91.4541 * CHOOSE(CONTROL!$C$9, $D$9, 100%, $F$9) + CHOOSE(CONTROL!$C$27, 0.0021, 0)</f>
        <v>91.456199999999995</v>
      </c>
      <c r="C960" s="10">
        <f>91.0219 * CHOOSE(CONTROL!$C$9, $D$9, 100%, $F$9) + CHOOSE(CONTROL!$C$27, 0.0021, 0)</f>
        <v>91.024000000000001</v>
      </c>
      <c r="D960" s="10">
        <f>91.0219 * CHOOSE(CONTROL!$C$9, $D$9, 100%, $F$9) + CHOOSE(CONTROL!$C$27, 0.0021, 0)</f>
        <v>91.024000000000001</v>
      </c>
      <c r="E960" s="10">
        <f>90.8852 * CHOOSE(CONTROL!$C$9, $D$9, 100%, $F$9) + CHOOSE(CONTROL!$C$27, 0.0021, 0)</f>
        <v>90.887299999999996</v>
      </c>
      <c r="F960" s="10">
        <f>90.8852 * CHOOSE(CONTROL!$C$9, $D$9, 100%, $F$9) + CHOOSE(CONTROL!$C$27, 0.0021, 0)</f>
        <v>90.887299999999996</v>
      </c>
      <c r="G960" s="10">
        <f>91.1566 * CHOOSE(CONTROL!$C$9, $D$9, 100%, $F$9) + CHOOSE(CONTROL!$C$27, 0.0021, 0)</f>
        <v>91.158699999999996</v>
      </c>
      <c r="H960" s="10">
        <f>91.0219 * CHOOSE(CONTROL!$C$9, $D$9, 100%, $F$9) + CHOOSE(CONTROL!$C$27, 0.0021, 0)</f>
        <v>91.024000000000001</v>
      </c>
      <c r="I960" s="10">
        <f>91.0219 * CHOOSE(CONTROL!$C$9, $D$9, 100%, $F$9) + CHOOSE(CONTROL!$C$27, 0.0021, 0)</f>
        <v>91.024000000000001</v>
      </c>
      <c r="J960" s="10">
        <f>91.0219 * CHOOSE(CONTROL!$C$9, $D$9, 100%, $F$9) + CHOOSE(CONTROL!$C$27, 0.0021, 0)</f>
        <v>91.024000000000001</v>
      </c>
      <c r="K960" s="10">
        <f>91.0219 * CHOOSE(CONTROL!$C$9, $D$9, 100%, $F$9) + CHOOSE(CONTROL!$C$27, 0.0021, 0)</f>
        <v>91.024000000000001</v>
      </c>
      <c r="L960" s="10"/>
    </row>
    <row r="961" spans="1:12" ht="15.75">
      <c r="A961" s="13">
        <v>70553</v>
      </c>
      <c r="B961" s="10">
        <f>88.9321 * CHOOSE(CONTROL!$C$9, $D$9, 100%, $F$9) + CHOOSE(CONTROL!$C$27, 0.0021, 0)</f>
        <v>88.934200000000004</v>
      </c>
      <c r="C961" s="10">
        <f>88.4999 * CHOOSE(CONTROL!$C$9, $D$9, 100%, $F$9) + CHOOSE(CONTROL!$C$27, 0.0021, 0)</f>
        <v>88.501999999999995</v>
      </c>
      <c r="D961" s="10">
        <f>88.4999 * CHOOSE(CONTROL!$C$9, $D$9, 100%, $F$9) + CHOOSE(CONTROL!$C$27, 0.0021, 0)</f>
        <v>88.501999999999995</v>
      </c>
      <c r="E961" s="10">
        <f>88.3632 * CHOOSE(CONTROL!$C$9, $D$9, 100%, $F$9) + CHOOSE(CONTROL!$C$27, 0.0021, 0)</f>
        <v>88.365300000000005</v>
      </c>
      <c r="F961" s="10">
        <f>88.3632 * CHOOSE(CONTROL!$C$9, $D$9, 100%, $F$9) + CHOOSE(CONTROL!$C$27, 0.0021, 0)</f>
        <v>88.365300000000005</v>
      </c>
      <c r="G961" s="10">
        <f>88.6346 * CHOOSE(CONTROL!$C$9, $D$9, 100%, $F$9) + CHOOSE(CONTROL!$C$27, 0.0021, 0)</f>
        <v>88.636700000000005</v>
      </c>
      <c r="H961" s="10">
        <f>88.4999 * CHOOSE(CONTROL!$C$9, $D$9, 100%, $F$9) + CHOOSE(CONTROL!$C$27, 0.0021, 0)</f>
        <v>88.501999999999995</v>
      </c>
      <c r="I961" s="10">
        <f>88.4999 * CHOOSE(CONTROL!$C$9, $D$9, 100%, $F$9) + CHOOSE(CONTROL!$C$27, 0.0021, 0)</f>
        <v>88.501999999999995</v>
      </c>
      <c r="J961" s="10">
        <f>88.4999 * CHOOSE(CONTROL!$C$9, $D$9, 100%, $F$9) + CHOOSE(CONTROL!$C$27, 0.0021, 0)</f>
        <v>88.501999999999995</v>
      </c>
      <c r="K961" s="10">
        <f>88.4999 * CHOOSE(CONTROL!$C$9, $D$9, 100%, $F$9) + CHOOSE(CONTROL!$C$27, 0.0021, 0)</f>
        <v>88.501999999999995</v>
      </c>
      <c r="L961" s="10"/>
    </row>
    <row r="962" spans="1:12" ht="15.75">
      <c r="A962" s="13">
        <v>70584</v>
      </c>
      <c r="B962" s="10">
        <f>87.8911 * CHOOSE(CONTROL!$C$9, $D$9, 100%, $F$9) + CHOOSE(CONTROL!$C$27, 0.0021, 0)</f>
        <v>87.893199999999993</v>
      </c>
      <c r="C962" s="10">
        <f>87.4588 * CHOOSE(CONTROL!$C$9, $D$9, 100%, $F$9) + CHOOSE(CONTROL!$C$27, 0.0021, 0)</f>
        <v>87.460899999999995</v>
      </c>
      <c r="D962" s="10">
        <f>87.4588 * CHOOSE(CONTROL!$C$9, $D$9, 100%, $F$9) + CHOOSE(CONTROL!$C$27, 0.0021, 0)</f>
        <v>87.460899999999995</v>
      </c>
      <c r="E962" s="10">
        <f>87.3222 * CHOOSE(CONTROL!$C$9, $D$9, 100%, $F$9) + CHOOSE(CONTROL!$C$27, 0.0021, 0)</f>
        <v>87.324299999999994</v>
      </c>
      <c r="F962" s="10">
        <f>87.3222 * CHOOSE(CONTROL!$C$9, $D$9, 100%, $F$9) + CHOOSE(CONTROL!$C$27, 0.0021, 0)</f>
        <v>87.324299999999994</v>
      </c>
      <c r="G962" s="10">
        <f>87.5936 * CHOOSE(CONTROL!$C$9, $D$9, 100%, $F$9) + CHOOSE(CONTROL!$C$27, 0.0021, 0)</f>
        <v>87.595699999999994</v>
      </c>
      <c r="H962" s="10">
        <f>87.4588 * CHOOSE(CONTROL!$C$9, $D$9, 100%, $F$9) + CHOOSE(CONTROL!$C$27, 0.0021, 0)</f>
        <v>87.460899999999995</v>
      </c>
      <c r="I962" s="10">
        <f>87.4588 * CHOOSE(CONTROL!$C$9, $D$9, 100%, $F$9) + CHOOSE(CONTROL!$C$27, 0.0021, 0)</f>
        <v>87.460899999999995</v>
      </c>
      <c r="J962" s="10">
        <f>87.4588 * CHOOSE(CONTROL!$C$9, $D$9, 100%, $F$9) + CHOOSE(CONTROL!$C$27, 0.0021, 0)</f>
        <v>87.460899999999995</v>
      </c>
      <c r="K962" s="10">
        <f>87.4588 * CHOOSE(CONTROL!$C$9, $D$9, 100%, $F$9) + CHOOSE(CONTROL!$C$27, 0.0021, 0)</f>
        <v>87.460899999999995</v>
      </c>
      <c r="L962" s="10"/>
    </row>
    <row r="963" spans="1:12" ht="15.75">
      <c r="A963" s="13">
        <v>70614</v>
      </c>
      <c r="B963" s="10">
        <f>86.648 * CHOOSE(CONTROL!$C$9, $D$9, 100%, $F$9) + CHOOSE(CONTROL!$C$27, 0.0021, 0)</f>
        <v>86.650099999999995</v>
      </c>
      <c r="C963" s="10">
        <f>86.2158 * CHOOSE(CONTROL!$C$9, $D$9, 100%, $F$9) + CHOOSE(CONTROL!$C$27, 0.0021, 0)</f>
        <v>86.2179</v>
      </c>
      <c r="D963" s="10">
        <f>86.2158 * CHOOSE(CONTROL!$C$9, $D$9, 100%, $F$9) + CHOOSE(CONTROL!$C$27, 0.0021, 0)</f>
        <v>86.2179</v>
      </c>
      <c r="E963" s="10">
        <f>86.0791 * CHOOSE(CONTROL!$C$9, $D$9, 100%, $F$9) + CHOOSE(CONTROL!$C$27, 0.0021, 0)</f>
        <v>86.081199999999995</v>
      </c>
      <c r="F963" s="10">
        <f>86.0791 * CHOOSE(CONTROL!$C$9, $D$9, 100%, $F$9) + CHOOSE(CONTROL!$C$27, 0.0021, 0)</f>
        <v>86.081199999999995</v>
      </c>
      <c r="G963" s="10">
        <f>86.3505 * CHOOSE(CONTROL!$C$9, $D$9, 100%, $F$9) + CHOOSE(CONTROL!$C$27, 0.0021, 0)</f>
        <v>86.352599999999995</v>
      </c>
      <c r="H963" s="10">
        <f>86.2158 * CHOOSE(CONTROL!$C$9, $D$9, 100%, $F$9) + CHOOSE(CONTROL!$C$27, 0.0021, 0)</f>
        <v>86.2179</v>
      </c>
      <c r="I963" s="10">
        <f>86.2158 * CHOOSE(CONTROL!$C$9, $D$9, 100%, $F$9) + CHOOSE(CONTROL!$C$27, 0.0021, 0)</f>
        <v>86.2179</v>
      </c>
      <c r="J963" s="10">
        <f>86.2158 * CHOOSE(CONTROL!$C$9, $D$9, 100%, $F$9) + CHOOSE(CONTROL!$C$27, 0.0021, 0)</f>
        <v>86.2179</v>
      </c>
      <c r="K963" s="10">
        <f>86.2158 * CHOOSE(CONTROL!$C$9, $D$9, 100%, $F$9) + CHOOSE(CONTROL!$C$27, 0.0021, 0)</f>
        <v>86.2179</v>
      </c>
      <c r="L963" s="10"/>
    </row>
    <row r="964" spans="1:12" ht="15.75">
      <c r="A964" s="13">
        <v>70645</v>
      </c>
      <c r="B964" s="10">
        <f>88.4195 * CHOOSE(CONTROL!$C$9, $D$9, 100%, $F$9) + CHOOSE(CONTROL!$C$27, 0.0021, 0)</f>
        <v>88.421599999999998</v>
      </c>
      <c r="C964" s="10">
        <f>87.9873 * CHOOSE(CONTROL!$C$9, $D$9, 100%, $F$9) + CHOOSE(CONTROL!$C$27, 0.0021, 0)</f>
        <v>87.989400000000003</v>
      </c>
      <c r="D964" s="10">
        <f>87.9873 * CHOOSE(CONTROL!$C$9, $D$9, 100%, $F$9) + CHOOSE(CONTROL!$C$27, 0.0021, 0)</f>
        <v>87.989400000000003</v>
      </c>
      <c r="E964" s="10">
        <f>87.8506 * CHOOSE(CONTROL!$C$9, $D$9, 100%, $F$9) + CHOOSE(CONTROL!$C$27, 0.0021, 0)</f>
        <v>87.852699999999999</v>
      </c>
      <c r="F964" s="10">
        <f>87.8506 * CHOOSE(CONTROL!$C$9, $D$9, 100%, $F$9) + CHOOSE(CONTROL!$C$27, 0.0021, 0)</f>
        <v>87.852699999999999</v>
      </c>
      <c r="G964" s="10">
        <f>88.122 * CHOOSE(CONTROL!$C$9, $D$9, 100%, $F$9) + CHOOSE(CONTROL!$C$27, 0.0021, 0)</f>
        <v>88.124099999999999</v>
      </c>
      <c r="H964" s="10">
        <f>87.9873 * CHOOSE(CONTROL!$C$9, $D$9, 100%, $F$9) + CHOOSE(CONTROL!$C$27, 0.0021, 0)</f>
        <v>87.989400000000003</v>
      </c>
      <c r="I964" s="10">
        <f>87.9873 * CHOOSE(CONTROL!$C$9, $D$9, 100%, $F$9) + CHOOSE(CONTROL!$C$27, 0.0021, 0)</f>
        <v>87.989400000000003</v>
      </c>
      <c r="J964" s="10">
        <f>87.9873 * CHOOSE(CONTROL!$C$9, $D$9, 100%, $F$9) + CHOOSE(CONTROL!$C$27, 0.0021, 0)</f>
        <v>87.989400000000003</v>
      </c>
      <c r="K964" s="10">
        <f>87.9873 * CHOOSE(CONTROL!$C$9, $D$9, 100%, $F$9) + CHOOSE(CONTROL!$C$27, 0.0021, 0)</f>
        <v>87.989400000000003</v>
      </c>
      <c r="L964" s="10"/>
    </row>
    <row r="965" spans="1:12" ht="15.75">
      <c r="A965" s="13">
        <v>70675</v>
      </c>
      <c r="B965" s="10">
        <f>89.4806 * CHOOSE(CONTROL!$C$9, $D$9, 100%, $F$9) + CHOOSE(CONTROL!$C$27, 0.0021, 0)</f>
        <v>89.482699999999994</v>
      </c>
      <c r="C965" s="10">
        <f>89.0483 * CHOOSE(CONTROL!$C$9, $D$9, 100%, $F$9) + CHOOSE(CONTROL!$C$27, 0.0021, 0)</f>
        <v>89.050399999999996</v>
      </c>
      <c r="D965" s="10">
        <f>89.0483 * CHOOSE(CONTROL!$C$9, $D$9, 100%, $F$9) + CHOOSE(CONTROL!$C$27, 0.0021, 0)</f>
        <v>89.050399999999996</v>
      </c>
      <c r="E965" s="10">
        <f>88.9117 * CHOOSE(CONTROL!$C$9, $D$9, 100%, $F$9) + CHOOSE(CONTROL!$C$27, 0.0021, 0)</f>
        <v>88.913799999999995</v>
      </c>
      <c r="F965" s="10">
        <f>88.9117 * CHOOSE(CONTROL!$C$9, $D$9, 100%, $F$9) + CHOOSE(CONTROL!$C$27, 0.0021, 0)</f>
        <v>88.913799999999995</v>
      </c>
      <c r="G965" s="10">
        <f>89.1831 * CHOOSE(CONTROL!$C$9, $D$9, 100%, $F$9) + CHOOSE(CONTROL!$C$27, 0.0021, 0)</f>
        <v>89.185199999999995</v>
      </c>
      <c r="H965" s="10">
        <f>89.0483 * CHOOSE(CONTROL!$C$9, $D$9, 100%, $F$9) + CHOOSE(CONTROL!$C$27, 0.0021, 0)</f>
        <v>89.050399999999996</v>
      </c>
      <c r="I965" s="10">
        <f>89.0483 * CHOOSE(CONTROL!$C$9, $D$9, 100%, $F$9) + CHOOSE(CONTROL!$C$27, 0.0021, 0)</f>
        <v>89.050399999999996</v>
      </c>
      <c r="J965" s="10">
        <f>89.0483 * CHOOSE(CONTROL!$C$9, $D$9, 100%, $F$9) + CHOOSE(CONTROL!$C$27, 0.0021, 0)</f>
        <v>89.050399999999996</v>
      </c>
      <c r="K965" s="10">
        <f>89.0483 * CHOOSE(CONTROL!$C$9, $D$9, 100%, $F$9) + CHOOSE(CONTROL!$C$27, 0.0021, 0)</f>
        <v>89.050399999999996</v>
      </c>
      <c r="L965" s="10"/>
    </row>
    <row r="966" spans="1:12" ht="15.75">
      <c r="A966" s="13">
        <v>70706</v>
      </c>
      <c r="B966" s="10">
        <f>91.231 * CHOOSE(CONTROL!$C$9, $D$9, 100%, $F$9) + CHOOSE(CONTROL!$C$27, 0.0021, 0)</f>
        <v>91.233099999999993</v>
      </c>
      <c r="C966" s="10">
        <f>90.7987 * CHOOSE(CONTROL!$C$9, $D$9, 100%, $F$9) + CHOOSE(CONTROL!$C$27, 0.0021, 0)</f>
        <v>90.800799999999995</v>
      </c>
      <c r="D966" s="10">
        <f>90.7987 * CHOOSE(CONTROL!$C$9, $D$9, 100%, $F$9) + CHOOSE(CONTROL!$C$27, 0.0021, 0)</f>
        <v>90.800799999999995</v>
      </c>
      <c r="E966" s="10">
        <f>90.662 * CHOOSE(CONTROL!$C$9, $D$9, 100%, $F$9) + CHOOSE(CONTROL!$C$27, 0.0021, 0)</f>
        <v>90.664100000000005</v>
      </c>
      <c r="F966" s="10">
        <f>90.662 * CHOOSE(CONTROL!$C$9, $D$9, 100%, $F$9) + CHOOSE(CONTROL!$C$27, 0.0021, 0)</f>
        <v>90.664100000000005</v>
      </c>
      <c r="G966" s="10">
        <f>90.9334 * CHOOSE(CONTROL!$C$9, $D$9, 100%, $F$9) + CHOOSE(CONTROL!$C$27, 0.0021, 0)</f>
        <v>90.935500000000005</v>
      </c>
      <c r="H966" s="10">
        <f>90.7987 * CHOOSE(CONTROL!$C$9, $D$9, 100%, $F$9) + CHOOSE(CONTROL!$C$27, 0.0021, 0)</f>
        <v>90.800799999999995</v>
      </c>
      <c r="I966" s="10">
        <f>90.7987 * CHOOSE(CONTROL!$C$9, $D$9, 100%, $F$9) + CHOOSE(CONTROL!$C$27, 0.0021, 0)</f>
        <v>90.800799999999995</v>
      </c>
      <c r="J966" s="10">
        <f>90.7987 * CHOOSE(CONTROL!$C$9, $D$9, 100%, $F$9) + CHOOSE(CONTROL!$C$27, 0.0021, 0)</f>
        <v>90.800799999999995</v>
      </c>
      <c r="K966" s="10">
        <f>90.7987 * CHOOSE(CONTROL!$C$9, $D$9, 100%, $F$9) + CHOOSE(CONTROL!$C$27, 0.0021, 0)</f>
        <v>90.800799999999995</v>
      </c>
      <c r="L966" s="10"/>
    </row>
    <row r="967" spans="1:12" ht="15.75">
      <c r="A967" s="13">
        <v>70737</v>
      </c>
      <c r="B967" s="10">
        <f>91.7652 * CHOOSE(CONTROL!$C$9, $D$9, 100%, $F$9) + CHOOSE(CONTROL!$C$27, 0.0021, 0)</f>
        <v>91.767299999999992</v>
      </c>
      <c r="C967" s="10">
        <f>91.333 * CHOOSE(CONTROL!$C$9, $D$9, 100%, $F$9) + CHOOSE(CONTROL!$C$27, 0.0021, 0)</f>
        <v>91.335099999999997</v>
      </c>
      <c r="D967" s="10">
        <f>91.333 * CHOOSE(CONTROL!$C$9, $D$9, 100%, $F$9) + CHOOSE(CONTROL!$C$27, 0.0021, 0)</f>
        <v>91.335099999999997</v>
      </c>
      <c r="E967" s="10">
        <f>91.1963 * CHOOSE(CONTROL!$C$9, $D$9, 100%, $F$9) + CHOOSE(CONTROL!$C$27, 0.0021, 0)</f>
        <v>91.198399999999992</v>
      </c>
      <c r="F967" s="10">
        <f>91.1963 * CHOOSE(CONTROL!$C$9, $D$9, 100%, $F$9) + CHOOSE(CONTROL!$C$27, 0.0021, 0)</f>
        <v>91.198399999999992</v>
      </c>
      <c r="G967" s="10">
        <f>91.4677 * CHOOSE(CONTROL!$C$9, $D$9, 100%, $F$9) + CHOOSE(CONTROL!$C$27, 0.0021, 0)</f>
        <v>91.469799999999992</v>
      </c>
      <c r="H967" s="10">
        <f>91.333 * CHOOSE(CONTROL!$C$9, $D$9, 100%, $F$9) + CHOOSE(CONTROL!$C$27, 0.0021, 0)</f>
        <v>91.335099999999997</v>
      </c>
      <c r="I967" s="10">
        <f>91.333 * CHOOSE(CONTROL!$C$9, $D$9, 100%, $F$9) + CHOOSE(CONTROL!$C$27, 0.0021, 0)</f>
        <v>91.335099999999997</v>
      </c>
      <c r="J967" s="10">
        <f>91.333 * CHOOSE(CONTROL!$C$9, $D$9, 100%, $F$9) + CHOOSE(CONTROL!$C$27, 0.0021, 0)</f>
        <v>91.335099999999997</v>
      </c>
      <c r="K967" s="10">
        <f>91.333 * CHOOSE(CONTROL!$C$9, $D$9, 100%, $F$9) + CHOOSE(CONTROL!$C$27, 0.0021, 0)</f>
        <v>91.335099999999997</v>
      </c>
      <c r="L967" s="10"/>
    </row>
    <row r="968" spans="1:12" ht="15.75">
      <c r="A968" s="13">
        <v>70767</v>
      </c>
      <c r="B968" s="10">
        <f>93.5846 * CHOOSE(CONTROL!$C$9, $D$9, 100%, $F$9) + CHOOSE(CONTROL!$C$27, 0.0021, 0)</f>
        <v>93.586699999999993</v>
      </c>
      <c r="C968" s="10">
        <f>93.1524 * CHOOSE(CONTROL!$C$9, $D$9, 100%, $F$9) + CHOOSE(CONTROL!$C$27, 0.0021, 0)</f>
        <v>93.154499999999999</v>
      </c>
      <c r="D968" s="10">
        <f>93.1524 * CHOOSE(CONTROL!$C$9, $D$9, 100%, $F$9) + CHOOSE(CONTROL!$C$27, 0.0021, 0)</f>
        <v>93.154499999999999</v>
      </c>
      <c r="E968" s="10">
        <f>93.0157 * CHOOSE(CONTROL!$C$9, $D$9, 100%, $F$9) + CHOOSE(CONTROL!$C$27, 0.0021, 0)</f>
        <v>93.017799999999994</v>
      </c>
      <c r="F968" s="10">
        <f>93.0157 * CHOOSE(CONTROL!$C$9, $D$9, 100%, $F$9) + CHOOSE(CONTROL!$C$27, 0.0021, 0)</f>
        <v>93.017799999999994</v>
      </c>
      <c r="G968" s="10">
        <f>93.2871 * CHOOSE(CONTROL!$C$9, $D$9, 100%, $F$9) + CHOOSE(CONTROL!$C$27, 0.0021, 0)</f>
        <v>93.289199999999994</v>
      </c>
      <c r="H968" s="10">
        <f>93.1524 * CHOOSE(CONTROL!$C$9, $D$9, 100%, $F$9) + CHOOSE(CONTROL!$C$27, 0.0021, 0)</f>
        <v>93.154499999999999</v>
      </c>
      <c r="I968" s="10">
        <f>93.1524 * CHOOSE(CONTROL!$C$9, $D$9, 100%, $F$9) + CHOOSE(CONTROL!$C$27, 0.0021, 0)</f>
        <v>93.154499999999999</v>
      </c>
      <c r="J968" s="10">
        <f>93.1524 * CHOOSE(CONTROL!$C$9, $D$9, 100%, $F$9) + CHOOSE(CONTROL!$C$27, 0.0021, 0)</f>
        <v>93.154499999999999</v>
      </c>
      <c r="K968" s="10">
        <f>93.1524 * CHOOSE(CONTROL!$C$9, $D$9, 100%, $F$9) + CHOOSE(CONTROL!$C$27, 0.0021, 0)</f>
        <v>93.154499999999999</v>
      </c>
      <c r="L968" s="10"/>
    </row>
    <row r="969" spans="1:12" ht="15.75">
      <c r="A969" s="13">
        <v>70798</v>
      </c>
      <c r="B969" s="10">
        <f>95.8877 * CHOOSE(CONTROL!$C$9, $D$9, 100%, $F$9) + CHOOSE(CONTROL!$C$27, 0.0021, 0)</f>
        <v>95.889799999999994</v>
      </c>
      <c r="C969" s="10">
        <f>95.4555 * CHOOSE(CONTROL!$C$9, $D$9, 100%, $F$9) + CHOOSE(CONTROL!$C$27, 0.0021, 0)</f>
        <v>95.457599999999999</v>
      </c>
      <c r="D969" s="10">
        <f>95.4555 * CHOOSE(CONTROL!$C$9, $D$9, 100%, $F$9) + CHOOSE(CONTROL!$C$27, 0.0021, 0)</f>
        <v>95.457599999999999</v>
      </c>
      <c r="E969" s="10">
        <f>95.3188 * CHOOSE(CONTROL!$C$9, $D$9, 100%, $F$9) + CHOOSE(CONTROL!$C$27, 0.0021, 0)</f>
        <v>95.320899999999995</v>
      </c>
      <c r="F969" s="10">
        <f>95.3188 * CHOOSE(CONTROL!$C$9, $D$9, 100%, $F$9) + CHOOSE(CONTROL!$C$27, 0.0021, 0)</f>
        <v>95.320899999999995</v>
      </c>
      <c r="G969" s="10">
        <f>95.5902 * CHOOSE(CONTROL!$C$9, $D$9, 100%, $F$9) + CHOOSE(CONTROL!$C$27, 0.0021, 0)</f>
        <v>95.592299999999994</v>
      </c>
      <c r="H969" s="10">
        <f>95.4555 * CHOOSE(CONTROL!$C$9, $D$9, 100%, $F$9) + CHOOSE(CONTROL!$C$27, 0.0021, 0)</f>
        <v>95.457599999999999</v>
      </c>
      <c r="I969" s="10">
        <f>95.4555 * CHOOSE(CONTROL!$C$9, $D$9, 100%, $F$9) + CHOOSE(CONTROL!$C$27, 0.0021, 0)</f>
        <v>95.457599999999999</v>
      </c>
      <c r="J969" s="10">
        <f>95.4555 * CHOOSE(CONTROL!$C$9, $D$9, 100%, $F$9) + CHOOSE(CONTROL!$C$27, 0.0021, 0)</f>
        <v>95.457599999999999</v>
      </c>
      <c r="K969" s="10">
        <f>95.4555 * CHOOSE(CONTROL!$C$9, $D$9, 100%, $F$9) + CHOOSE(CONTROL!$C$27, 0.0021, 0)</f>
        <v>95.457599999999999</v>
      </c>
      <c r="L969" s="10"/>
    </row>
    <row r="970" spans="1:12" ht="15.75">
      <c r="A970" s="13">
        <v>70828</v>
      </c>
      <c r="B970" s="10">
        <f>96.1039 * CHOOSE(CONTROL!$C$9, $D$9, 100%, $F$9) + CHOOSE(CONTROL!$C$27, 0.0021, 0)</f>
        <v>96.105999999999995</v>
      </c>
      <c r="C970" s="10">
        <f>95.6717 * CHOOSE(CONTROL!$C$9, $D$9, 100%, $F$9) + CHOOSE(CONTROL!$C$27, 0.0021, 0)</f>
        <v>95.6738</v>
      </c>
      <c r="D970" s="10">
        <f>95.6717 * CHOOSE(CONTROL!$C$9, $D$9, 100%, $F$9) + CHOOSE(CONTROL!$C$27, 0.0021, 0)</f>
        <v>95.6738</v>
      </c>
      <c r="E970" s="10">
        <f>95.535 * CHOOSE(CONTROL!$C$9, $D$9, 100%, $F$9) + CHOOSE(CONTROL!$C$27, 0.0021, 0)</f>
        <v>95.537099999999995</v>
      </c>
      <c r="F970" s="10">
        <f>95.535 * CHOOSE(CONTROL!$C$9, $D$9, 100%, $F$9) + CHOOSE(CONTROL!$C$27, 0.0021, 0)</f>
        <v>95.537099999999995</v>
      </c>
      <c r="G970" s="10">
        <f>95.8064 * CHOOSE(CONTROL!$C$9, $D$9, 100%, $F$9) + CHOOSE(CONTROL!$C$27, 0.0021, 0)</f>
        <v>95.808499999999995</v>
      </c>
      <c r="H970" s="10">
        <f>95.6717 * CHOOSE(CONTROL!$C$9, $D$9, 100%, $F$9) + CHOOSE(CONTROL!$C$27, 0.0021, 0)</f>
        <v>95.6738</v>
      </c>
      <c r="I970" s="10">
        <f>95.6717 * CHOOSE(CONTROL!$C$9, $D$9, 100%, $F$9) + CHOOSE(CONTROL!$C$27, 0.0021, 0)</f>
        <v>95.6738</v>
      </c>
      <c r="J970" s="10">
        <f>95.6717 * CHOOSE(CONTROL!$C$9, $D$9, 100%, $F$9) + CHOOSE(CONTROL!$C$27, 0.0021, 0)</f>
        <v>95.6738</v>
      </c>
      <c r="K970" s="10">
        <f>95.6717 * CHOOSE(CONTROL!$C$9, $D$9, 100%, $F$9) + CHOOSE(CONTROL!$C$27, 0.0021, 0)</f>
        <v>95.6738</v>
      </c>
      <c r="L970" s="10"/>
    </row>
    <row r="971" spans="1:12" ht="15.75">
      <c r="A971" s="13">
        <v>70859</v>
      </c>
      <c r="B971" s="10">
        <f>94.2645 * CHOOSE(CONTROL!$C$9, $D$9, 100%, $F$9) + CHOOSE(CONTROL!$C$27, 0.0021, 0)</f>
        <v>94.266599999999997</v>
      </c>
      <c r="C971" s="10">
        <f>93.8323 * CHOOSE(CONTROL!$C$9, $D$9, 100%, $F$9) + CHOOSE(CONTROL!$C$27, 0.0021, 0)</f>
        <v>93.834400000000002</v>
      </c>
      <c r="D971" s="10">
        <f>93.8323 * CHOOSE(CONTROL!$C$9, $D$9, 100%, $F$9) + CHOOSE(CONTROL!$C$27, 0.0021, 0)</f>
        <v>93.834400000000002</v>
      </c>
      <c r="E971" s="10">
        <f>93.6956 * CHOOSE(CONTROL!$C$9, $D$9, 100%, $F$9) + CHOOSE(CONTROL!$C$27, 0.0021, 0)</f>
        <v>93.697699999999998</v>
      </c>
      <c r="F971" s="10">
        <f>93.6956 * CHOOSE(CONTROL!$C$9, $D$9, 100%, $F$9) + CHOOSE(CONTROL!$C$27, 0.0021, 0)</f>
        <v>93.697699999999998</v>
      </c>
      <c r="G971" s="10">
        <f>93.967 * CHOOSE(CONTROL!$C$9, $D$9, 100%, $F$9) + CHOOSE(CONTROL!$C$27, 0.0021, 0)</f>
        <v>93.969099999999997</v>
      </c>
      <c r="H971" s="10">
        <f>93.8323 * CHOOSE(CONTROL!$C$9, $D$9, 100%, $F$9) + CHOOSE(CONTROL!$C$27, 0.0021, 0)</f>
        <v>93.834400000000002</v>
      </c>
      <c r="I971" s="10">
        <f>93.8323 * CHOOSE(CONTROL!$C$9, $D$9, 100%, $F$9) + CHOOSE(CONTROL!$C$27, 0.0021, 0)</f>
        <v>93.834400000000002</v>
      </c>
      <c r="J971" s="10">
        <f>93.8323 * CHOOSE(CONTROL!$C$9, $D$9, 100%, $F$9) + CHOOSE(CONTROL!$C$27, 0.0021, 0)</f>
        <v>93.834400000000002</v>
      </c>
      <c r="K971" s="10">
        <f>93.8323 * CHOOSE(CONTROL!$C$9, $D$9, 100%, $F$9) + CHOOSE(CONTROL!$C$27, 0.0021, 0)</f>
        <v>93.834400000000002</v>
      </c>
      <c r="L971" s="10"/>
    </row>
    <row r="972" spans="1:12" ht="15.75">
      <c r="A972" s="13">
        <v>70890</v>
      </c>
      <c r="B972" s="10">
        <f>92.8562 * CHOOSE(CONTROL!$C$9, $D$9, 100%, $F$9) + CHOOSE(CONTROL!$C$27, 0.0021, 0)</f>
        <v>92.8583</v>
      </c>
      <c r="C972" s="10">
        <f>92.4239 * CHOOSE(CONTROL!$C$9, $D$9, 100%, $F$9) + CHOOSE(CONTROL!$C$27, 0.0021, 0)</f>
        <v>92.426000000000002</v>
      </c>
      <c r="D972" s="10">
        <f>92.4239 * CHOOSE(CONTROL!$C$9, $D$9, 100%, $F$9) + CHOOSE(CONTROL!$C$27, 0.0021, 0)</f>
        <v>92.426000000000002</v>
      </c>
      <c r="E972" s="10">
        <f>92.2873 * CHOOSE(CONTROL!$C$9, $D$9, 100%, $F$9) + CHOOSE(CONTROL!$C$27, 0.0021, 0)</f>
        <v>92.289400000000001</v>
      </c>
      <c r="F972" s="10">
        <f>92.2873 * CHOOSE(CONTROL!$C$9, $D$9, 100%, $F$9) + CHOOSE(CONTROL!$C$27, 0.0021, 0)</f>
        <v>92.289400000000001</v>
      </c>
      <c r="G972" s="10">
        <f>92.5587 * CHOOSE(CONTROL!$C$9, $D$9, 100%, $F$9) + CHOOSE(CONTROL!$C$27, 0.0021, 0)</f>
        <v>92.5608</v>
      </c>
      <c r="H972" s="10">
        <f>92.4239 * CHOOSE(CONTROL!$C$9, $D$9, 100%, $F$9) + CHOOSE(CONTROL!$C$27, 0.0021, 0)</f>
        <v>92.426000000000002</v>
      </c>
      <c r="I972" s="10">
        <f>92.4239 * CHOOSE(CONTROL!$C$9, $D$9, 100%, $F$9) + CHOOSE(CONTROL!$C$27, 0.0021, 0)</f>
        <v>92.426000000000002</v>
      </c>
      <c r="J972" s="10">
        <f>92.4239 * CHOOSE(CONTROL!$C$9, $D$9, 100%, $F$9) + CHOOSE(CONTROL!$C$27, 0.0021, 0)</f>
        <v>92.426000000000002</v>
      </c>
      <c r="K972" s="10">
        <f>92.4239 * CHOOSE(CONTROL!$C$9, $D$9, 100%, $F$9) + CHOOSE(CONTROL!$C$27, 0.0021, 0)</f>
        <v>92.426000000000002</v>
      </c>
      <c r="L972" s="10"/>
    </row>
    <row r="973" spans="1:12" ht="15.75">
      <c r="A973" s="13">
        <v>70918</v>
      </c>
      <c r="B973" s="10">
        <f>90.2946 * CHOOSE(CONTROL!$C$9, $D$9, 100%, $F$9) + CHOOSE(CONTROL!$C$27, 0.0021, 0)</f>
        <v>90.296700000000001</v>
      </c>
      <c r="C973" s="10">
        <f>89.8623 * CHOOSE(CONTROL!$C$9, $D$9, 100%, $F$9) + CHOOSE(CONTROL!$C$27, 0.0021, 0)</f>
        <v>89.864400000000003</v>
      </c>
      <c r="D973" s="10">
        <f>89.8623 * CHOOSE(CONTROL!$C$9, $D$9, 100%, $F$9) + CHOOSE(CONTROL!$C$27, 0.0021, 0)</f>
        <v>89.864400000000003</v>
      </c>
      <c r="E973" s="10">
        <f>89.7256 * CHOOSE(CONTROL!$C$9, $D$9, 100%, $F$9) + CHOOSE(CONTROL!$C$27, 0.0021, 0)</f>
        <v>89.727699999999999</v>
      </c>
      <c r="F973" s="10">
        <f>89.7256 * CHOOSE(CONTROL!$C$9, $D$9, 100%, $F$9) + CHOOSE(CONTROL!$C$27, 0.0021, 0)</f>
        <v>89.727699999999999</v>
      </c>
      <c r="G973" s="10">
        <f>89.997 * CHOOSE(CONTROL!$C$9, $D$9, 100%, $F$9) + CHOOSE(CONTROL!$C$27, 0.0021, 0)</f>
        <v>89.999099999999999</v>
      </c>
      <c r="H973" s="10">
        <f>89.8623 * CHOOSE(CONTROL!$C$9, $D$9, 100%, $F$9) + CHOOSE(CONTROL!$C$27, 0.0021, 0)</f>
        <v>89.864400000000003</v>
      </c>
      <c r="I973" s="10">
        <f>89.8623 * CHOOSE(CONTROL!$C$9, $D$9, 100%, $F$9) + CHOOSE(CONTROL!$C$27, 0.0021, 0)</f>
        <v>89.864400000000003</v>
      </c>
      <c r="J973" s="10">
        <f>89.8623 * CHOOSE(CONTROL!$C$9, $D$9, 100%, $F$9) + CHOOSE(CONTROL!$C$27, 0.0021, 0)</f>
        <v>89.864400000000003</v>
      </c>
      <c r="K973" s="10">
        <f>89.8623 * CHOOSE(CONTROL!$C$9, $D$9, 100%, $F$9) + CHOOSE(CONTROL!$C$27, 0.0021, 0)</f>
        <v>89.864400000000003</v>
      </c>
      <c r="L973" s="10"/>
    </row>
    <row r="974" spans="1:12" ht="15.75">
      <c r="A974" s="13">
        <v>70949</v>
      </c>
      <c r="B974" s="10">
        <f>89.2371 * CHOOSE(CONTROL!$C$9, $D$9, 100%, $F$9) + CHOOSE(CONTROL!$C$27, 0.0021, 0)</f>
        <v>89.239199999999997</v>
      </c>
      <c r="C974" s="10">
        <f>88.8049 * CHOOSE(CONTROL!$C$9, $D$9, 100%, $F$9) + CHOOSE(CONTROL!$C$27, 0.0021, 0)</f>
        <v>88.807000000000002</v>
      </c>
      <c r="D974" s="10">
        <f>88.8049 * CHOOSE(CONTROL!$C$9, $D$9, 100%, $F$9) + CHOOSE(CONTROL!$C$27, 0.0021, 0)</f>
        <v>88.807000000000002</v>
      </c>
      <c r="E974" s="10">
        <f>88.6682 * CHOOSE(CONTROL!$C$9, $D$9, 100%, $F$9) + CHOOSE(CONTROL!$C$27, 0.0021, 0)</f>
        <v>88.670299999999997</v>
      </c>
      <c r="F974" s="10">
        <f>88.6682 * CHOOSE(CONTROL!$C$9, $D$9, 100%, $F$9) + CHOOSE(CONTROL!$C$27, 0.0021, 0)</f>
        <v>88.670299999999997</v>
      </c>
      <c r="G974" s="10">
        <f>88.9396 * CHOOSE(CONTROL!$C$9, $D$9, 100%, $F$9) + CHOOSE(CONTROL!$C$27, 0.0021, 0)</f>
        <v>88.941699999999997</v>
      </c>
      <c r="H974" s="10">
        <f>88.8049 * CHOOSE(CONTROL!$C$9, $D$9, 100%, $F$9) + CHOOSE(CONTROL!$C$27, 0.0021, 0)</f>
        <v>88.807000000000002</v>
      </c>
      <c r="I974" s="10">
        <f>88.8049 * CHOOSE(CONTROL!$C$9, $D$9, 100%, $F$9) + CHOOSE(CONTROL!$C$27, 0.0021, 0)</f>
        <v>88.807000000000002</v>
      </c>
      <c r="J974" s="10">
        <f>88.8049 * CHOOSE(CONTROL!$C$9, $D$9, 100%, $F$9) + CHOOSE(CONTROL!$C$27, 0.0021, 0)</f>
        <v>88.807000000000002</v>
      </c>
      <c r="K974" s="10">
        <f>88.8049 * CHOOSE(CONTROL!$C$9, $D$9, 100%, $F$9) + CHOOSE(CONTROL!$C$27, 0.0021, 0)</f>
        <v>88.807000000000002</v>
      </c>
      <c r="L974" s="10"/>
    </row>
    <row r="975" spans="1:12" ht="15.75">
      <c r="A975" s="13">
        <v>70979</v>
      </c>
      <c r="B975" s="10">
        <f>87.9745 * CHOOSE(CONTROL!$C$9, $D$9, 100%, $F$9) + CHOOSE(CONTROL!$C$27, 0.0021, 0)</f>
        <v>87.976600000000005</v>
      </c>
      <c r="C975" s="10">
        <f>87.5423 * CHOOSE(CONTROL!$C$9, $D$9, 100%, $F$9) + CHOOSE(CONTROL!$C$27, 0.0021, 0)</f>
        <v>87.544399999999996</v>
      </c>
      <c r="D975" s="10">
        <f>87.5423 * CHOOSE(CONTROL!$C$9, $D$9, 100%, $F$9) + CHOOSE(CONTROL!$C$27, 0.0021, 0)</f>
        <v>87.544399999999996</v>
      </c>
      <c r="E975" s="10">
        <f>87.4056 * CHOOSE(CONTROL!$C$9, $D$9, 100%, $F$9) + CHOOSE(CONTROL!$C$27, 0.0021, 0)</f>
        <v>87.407700000000006</v>
      </c>
      <c r="F975" s="10">
        <f>87.4056 * CHOOSE(CONTROL!$C$9, $D$9, 100%, $F$9) + CHOOSE(CONTROL!$C$27, 0.0021, 0)</f>
        <v>87.407700000000006</v>
      </c>
      <c r="G975" s="10">
        <f>87.677 * CHOOSE(CONTROL!$C$9, $D$9, 100%, $F$9) + CHOOSE(CONTROL!$C$27, 0.0021, 0)</f>
        <v>87.679100000000005</v>
      </c>
      <c r="H975" s="10">
        <f>87.5423 * CHOOSE(CONTROL!$C$9, $D$9, 100%, $F$9) + CHOOSE(CONTROL!$C$27, 0.0021, 0)</f>
        <v>87.544399999999996</v>
      </c>
      <c r="I975" s="10">
        <f>87.5423 * CHOOSE(CONTROL!$C$9, $D$9, 100%, $F$9) + CHOOSE(CONTROL!$C$27, 0.0021, 0)</f>
        <v>87.544399999999996</v>
      </c>
      <c r="J975" s="10">
        <f>87.5423 * CHOOSE(CONTROL!$C$9, $D$9, 100%, $F$9) + CHOOSE(CONTROL!$C$27, 0.0021, 0)</f>
        <v>87.544399999999996</v>
      </c>
      <c r="K975" s="10">
        <f>87.5423 * CHOOSE(CONTROL!$C$9, $D$9, 100%, $F$9) + CHOOSE(CONTROL!$C$27, 0.0021, 0)</f>
        <v>87.544399999999996</v>
      </c>
      <c r="L975" s="10"/>
    </row>
    <row r="976" spans="1:12" ht="15.75">
      <c r="A976" s="13">
        <v>71010</v>
      </c>
      <c r="B976" s="10">
        <f>89.7739 * CHOOSE(CONTROL!$C$9, $D$9, 100%, $F$9) + CHOOSE(CONTROL!$C$27, 0.0021, 0)</f>
        <v>89.775999999999996</v>
      </c>
      <c r="C976" s="10">
        <f>89.3416 * CHOOSE(CONTROL!$C$9, $D$9, 100%, $F$9) + CHOOSE(CONTROL!$C$27, 0.0021, 0)</f>
        <v>89.343699999999998</v>
      </c>
      <c r="D976" s="10">
        <f>89.3416 * CHOOSE(CONTROL!$C$9, $D$9, 100%, $F$9) + CHOOSE(CONTROL!$C$27, 0.0021, 0)</f>
        <v>89.343699999999998</v>
      </c>
      <c r="E976" s="10">
        <f>89.205 * CHOOSE(CONTROL!$C$9, $D$9, 100%, $F$9) + CHOOSE(CONTROL!$C$27, 0.0021, 0)</f>
        <v>89.207099999999997</v>
      </c>
      <c r="F976" s="10">
        <f>89.205 * CHOOSE(CONTROL!$C$9, $D$9, 100%, $F$9) + CHOOSE(CONTROL!$C$27, 0.0021, 0)</f>
        <v>89.207099999999997</v>
      </c>
      <c r="G976" s="10">
        <f>89.4763 * CHOOSE(CONTROL!$C$9, $D$9, 100%, $F$9) + CHOOSE(CONTROL!$C$27, 0.0021, 0)</f>
        <v>89.478399999999993</v>
      </c>
      <c r="H976" s="10">
        <f>89.3416 * CHOOSE(CONTROL!$C$9, $D$9, 100%, $F$9) + CHOOSE(CONTROL!$C$27, 0.0021, 0)</f>
        <v>89.343699999999998</v>
      </c>
      <c r="I976" s="10">
        <f>89.3416 * CHOOSE(CONTROL!$C$9, $D$9, 100%, $F$9) + CHOOSE(CONTROL!$C$27, 0.0021, 0)</f>
        <v>89.343699999999998</v>
      </c>
      <c r="J976" s="10">
        <f>89.3416 * CHOOSE(CONTROL!$C$9, $D$9, 100%, $F$9) + CHOOSE(CONTROL!$C$27, 0.0021, 0)</f>
        <v>89.343699999999998</v>
      </c>
      <c r="K976" s="10">
        <f>89.3416 * CHOOSE(CONTROL!$C$9, $D$9, 100%, $F$9) + CHOOSE(CONTROL!$C$27, 0.0021, 0)</f>
        <v>89.343699999999998</v>
      </c>
      <c r="L976" s="10"/>
    </row>
    <row r="977" spans="1:12" ht="15.75">
      <c r="A977" s="13">
        <v>71040</v>
      </c>
      <c r="B977" s="10">
        <f>90.8516 * CHOOSE(CONTROL!$C$9, $D$9, 100%, $F$9) + CHOOSE(CONTROL!$C$27, 0.0021, 0)</f>
        <v>90.853700000000003</v>
      </c>
      <c r="C977" s="10">
        <f>90.4194 * CHOOSE(CONTROL!$C$9, $D$9, 100%, $F$9) + CHOOSE(CONTROL!$C$27, 0.0021, 0)</f>
        <v>90.421499999999995</v>
      </c>
      <c r="D977" s="10">
        <f>90.4194 * CHOOSE(CONTROL!$C$9, $D$9, 100%, $F$9) + CHOOSE(CONTROL!$C$27, 0.0021, 0)</f>
        <v>90.421499999999995</v>
      </c>
      <c r="E977" s="10">
        <f>90.2827 * CHOOSE(CONTROL!$C$9, $D$9, 100%, $F$9) + CHOOSE(CONTROL!$C$27, 0.0021, 0)</f>
        <v>90.284800000000004</v>
      </c>
      <c r="F977" s="10">
        <f>90.2827 * CHOOSE(CONTROL!$C$9, $D$9, 100%, $F$9) + CHOOSE(CONTROL!$C$27, 0.0021, 0)</f>
        <v>90.284800000000004</v>
      </c>
      <c r="G977" s="10">
        <f>90.5541 * CHOOSE(CONTROL!$C$9, $D$9, 100%, $F$9) + CHOOSE(CONTROL!$C$27, 0.0021, 0)</f>
        <v>90.556200000000004</v>
      </c>
      <c r="H977" s="10">
        <f>90.4194 * CHOOSE(CONTROL!$C$9, $D$9, 100%, $F$9) + CHOOSE(CONTROL!$C$27, 0.0021, 0)</f>
        <v>90.421499999999995</v>
      </c>
      <c r="I977" s="10">
        <f>90.4194 * CHOOSE(CONTROL!$C$9, $D$9, 100%, $F$9) + CHOOSE(CONTROL!$C$27, 0.0021, 0)</f>
        <v>90.421499999999995</v>
      </c>
      <c r="J977" s="10">
        <f>90.4194 * CHOOSE(CONTROL!$C$9, $D$9, 100%, $F$9) + CHOOSE(CONTROL!$C$27, 0.0021, 0)</f>
        <v>90.421499999999995</v>
      </c>
      <c r="K977" s="10">
        <f>90.4194 * CHOOSE(CONTROL!$C$9, $D$9, 100%, $F$9) + CHOOSE(CONTROL!$C$27, 0.0021, 0)</f>
        <v>90.421499999999995</v>
      </c>
      <c r="L977" s="10"/>
    </row>
    <row r="978" spans="1:12" ht="15.75">
      <c r="A978" s="13">
        <v>71071</v>
      </c>
      <c r="B978" s="10">
        <f>92.6295 * CHOOSE(CONTROL!$C$9, $D$9, 100%, $F$9) + CHOOSE(CONTROL!$C$27, 0.0021, 0)</f>
        <v>92.631599999999992</v>
      </c>
      <c r="C978" s="10">
        <f>92.1973 * CHOOSE(CONTROL!$C$9, $D$9, 100%, $F$9) + CHOOSE(CONTROL!$C$27, 0.0021, 0)</f>
        <v>92.199399999999997</v>
      </c>
      <c r="D978" s="10">
        <f>92.1973 * CHOOSE(CONTROL!$C$9, $D$9, 100%, $F$9) + CHOOSE(CONTROL!$C$27, 0.0021, 0)</f>
        <v>92.199399999999997</v>
      </c>
      <c r="E978" s="10">
        <f>92.0606 * CHOOSE(CONTROL!$C$9, $D$9, 100%, $F$9) + CHOOSE(CONTROL!$C$27, 0.0021, 0)</f>
        <v>92.062699999999992</v>
      </c>
      <c r="F978" s="10">
        <f>92.0606 * CHOOSE(CONTROL!$C$9, $D$9, 100%, $F$9) + CHOOSE(CONTROL!$C$27, 0.0021, 0)</f>
        <v>92.062699999999992</v>
      </c>
      <c r="G978" s="10">
        <f>92.332 * CHOOSE(CONTROL!$C$9, $D$9, 100%, $F$9) + CHOOSE(CONTROL!$C$27, 0.0021, 0)</f>
        <v>92.334099999999992</v>
      </c>
      <c r="H978" s="10">
        <f>92.1973 * CHOOSE(CONTROL!$C$9, $D$9, 100%, $F$9) + CHOOSE(CONTROL!$C$27, 0.0021, 0)</f>
        <v>92.199399999999997</v>
      </c>
      <c r="I978" s="10">
        <f>92.1973 * CHOOSE(CONTROL!$C$9, $D$9, 100%, $F$9) + CHOOSE(CONTROL!$C$27, 0.0021, 0)</f>
        <v>92.199399999999997</v>
      </c>
      <c r="J978" s="10">
        <f>92.1973 * CHOOSE(CONTROL!$C$9, $D$9, 100%, $F$9) + CHOOSE(CONTROL!$C$27, 0.0021, 0)</f>
        <v>92.199399999999997</v>
      </c>
      <c r="K978" s="10">
        <f>92.1973 * CHOOSE(CONTROL!$C$9, $D$9, 100%, $F$9) + CHOOSE(CONTROL!$C$27, 0.0021, 0)</f>
        <v>92.199399999999997</v>
      </c>
      <c r="L978" s="10"/>
    </row>
    <row r="979" spans="1:12" ht="15.75">
      <c r="A979" s="13">
        <v>71102</v>
      </c>
      <c r="B979" s="10">
        <f>93.1722 * CHOOSE(CONTROL!$C$9, $D$9, 100%, $F$9) + CHOOSE(CONTROL!$C$27, 0.0021, 0)</f>
        <v>93.174300000000002</v>
      </c>
      <c r="C979" s="10">
        <f>92.7399 * CHOOSE(CONTROL!$C$9, $D$9, 100%, $F$9) + CHOOSE(CONTROL!$C$27, 0.0021, 0)</f>
        <v>92.742000000000004</v>
      </c>
      <c r="D979" s="10">
        <f>92.7399 * CHOOSE(CONTROL!$C$9, $D$9, 100%, $F$9) + CHOOSE(CONTROL!$C$27, 0.0021, 0)</f>
        <v>92.742000000000004</v>
      </c>
      <c r="E979" s="10">
        <f>92.6033 * CHOOSE(CONTROL!$C$9, $D$9, 100%, $F$9) + CHOOSE(CONTROL!$C$27, 0.0021, 0)</f>
        <v>92.605400000000003</v>
      </c>
      <c r="F979" s="10">
        <f>92.6033 * CHOOSE(CONTROL!$C$9, $D$9, 100%, $F$9) + CHOOSE(CONTROL!$C$27, 0.0021, 0)</f>
        <v>92.605400000000003</v>
      </c>
      <c r="G979" s="10">
        <f>92.8746 * CHOOSE(CONTROL!$C$9, $D$9, 100%, $F$9) + CHOOSE(CONTROL!$C$27, 0.0021, 0)</f>
        <v>92.8767</v>
      </c>
      <c r="H979" s="10">
        <f>92.7399 * CHOOSE(CONTROL!$C$9, $D$9, 100%, $F$9) + CHOOSE(CONTROL!$C$27, 0.0021, 0)</f>
        <v>92.742000000000004</v>
      </c>
      <c r="I979" s="10">
        <f>92.7399 * CHOOSE(CONTROL!$C$9, $D$9, 100%, $F$9) + CHOOSE(CONTROL!$C$27, 0.0021, 0)</f>
        <v>92.742000000000004</v>
      </c>
      <c r="J979" s="10">
        <f>92.7399 * CHOOSE(CONTROL!$C$9, $D$9, 100%, $F$9) + CHOOSE(CONTROL!$C$27, 0.0021, 0)</f>
        <v>92.742000000000004</v>
      </c>
      <c r="K979" s="10">
        <f>92.7399 * CHOOSE(CONTROL!$C$9, $D$9, 100%, $F$9) + CHOOSE(CONTROL!$C$27, 0.0021, 0)</f>
        <v>92.742000000000004</v>
      </c>
      <c r="L979" s="10"/>
    </row>
    <row r="980" spans="1:12" ht="15.75">
      <c r="A980" s="13">
        <v>71132</v>
      </c>
      <c r="B980" s="10">
        <f>95.0202 * CHOOSE(CONTROL!$C$9, $D$9, 100%, $F$9) + CHOOSE(CONTROL!$C$27, 0.0021, 0)</f>
        <v>95.022300000000001</v>
      </c>
      <c r="C980" s="10">
        <f>94.588 * CHOOSE(CONTROL!$C$9, $D$9, 100%, $F$9) + CHOOSE(CONTROL!$C$27, 0.0021, 0)</f>
        <v>94.590099999999993</v>
      </c>
      <c r="D980" s="10">
        <f>94.588 * CHOOSE(CONTROL!$C$9, $D$9, 100%, $F$9) + CHOOSE(CONTROL!$C$27, 0.0021, 0)</f>
        <v>94.590099999999993</v>
      </c>
      <c r="E980" s="10">
        <f>94.4513 * CHOOSE(CONTROL!$C$9, $D$9, 100%, $F$9) + CHOOSE(CONTROL!$C$27, 0.0021, 0)</f>
        <v>94.453400000000002</v>
      </c>
      <c r="F980" s="10">
        <f>94.4513 * CHOOSE(CONTROL!$C$9, $D$9, 100%, $F$9) + CHOOSE(CONTROL!$C$27, 0.0021, 0)</f>
        <v>94.453400000000002</v>
      </c>
      <c r="G980" s="10">
        <f>94.7227 * CHOOSE(CONTROL!$C$9, $D$9, 100%, $F$9) + CHOOSE(CONTROL!$C$27, 0.0021, 0)</f>
        <v>94.724800000000002</v>
      </c>
      <c r="H980" s="10">
        <f>94.588 * CHOOSE(CONTROL!$C$9, $D$9, 100%, $F$9) + CHOOSE(CONTROL!$C$27, 0.0021, 0)</f>
        <v>94.590099999999993</v>
      </c>
      <c r="I980" s="10">
        <f>94.588 * CHOOSE(CONTROL!$C$9, $D$9, 100%, $F$9) + CHOOSE(CONTROL!$C$27, 0.0021, 0)</f>
        <v>94.590099999999993</v>
      </c>
      <c r="J980" s="10">
        <f>94.588 * CHOOSE(CONTROL!$C$9, $D$9, 100%, $F$9) + CHOOSE(CONTROL!$C$27, 0.0021, 0)</f>
        <v>94.590099999999993</v>
      </c>
      <c r="K980" s="10">
        <f>94.588 * CHOOSE(CONTROL!$C$9, $D$9, 100%, $F$9) + CHOOSE(CONTROL!$C$27, 0.0021, 0)</f>
        <v>94.590099999999993</v>
      </c>
      <c r="L980" s="10"/>
    </row>
    <row r="981" spans="1:12" ht="15.75">
      <c r="A981" s="13">
        <v>71163</v>
      </c>
      <c r="B981" s="10">
        <f>97.3595 * CHOOSE(CONTROL!$C$9, $D$9, 100%, $F$9) + CHOOSE(CONTROL!$C$27, 0.0021, 0)</f>
        <v>97.361599999999996</v>
      </c>
      <c r="C981" s="10">
        <f>96.9273 * CHOOSE(CONTROL!$C$9, $D$9, 100%, $F$9) + CHOOSE(CONTROL!$C$27, 0.0021, 0)</f>
        <v>96.929400000000001</v>
      </c>
      <c r="D981" s="10">
        <f>96.9273 * CHOOSE(CONTROL!$C$9, $D$9, 100%, $F$9) + CHOOSE(CONTROL!$C$27, 0.0021, 0)</f>
        <v>96.929400000000001</v>
      </c>
      <c r="E981" s="10">
        <f>96.7906 * CHOOSE(CONTROL!$C$9, $D$9, 100%, $F$9) + CHOOSE(CONTROL!$C$27, 0.0021, 0)</f>
        <v>96.792699999999996</v>
      </c>
      <c r="F981" s="10">
        <f>96.7906 * CHOOSE(CONTROL!$C$9, $D$9, 100%, $F$9) + CHOOSE(CONTROL!$C$27, 0.0021, 0)</f>
        <v>96.792699999999996</v>
      </c>
      <c r="G981" s="10">
        <f>97.062 * CHOOSE(CONTROL!$C$9, $D$9, 100%, $F$9) + CHOOSE(CONTROL!$C$27, 0.0021, 0)</f>
        <v>97.064099999999996</v>
      </c>
      <c r="H981" s="10">
        <f>96.9273 * CHOOSE(CONTROL!$C$9, $D$9, 100%, $F$9) + CHOOSE(CONTROL!$C$27, 0.0021, 0)</f>
        <v>96.929400000000001</v>
      </c>
      <c r="I981" s="10">
        <f>96.9273 * CHOOSE(CONTROL!$C$9, $D$9, 100%, $F$9) + CHOOSE(CONTROL!$C$27, 0.0021, 0)</f>
        <v>96.929400000000001</v>
      </c>
      <c r="J981" s="10">
        <f>96.9273 * CHOOSE(CONTROL!$C$9, $D$9, 100%, $F$9) + CHOOSE(CONTROL!$C$27, 0.0021, 0)</f>
        <v>96.929400000000001</v>
      </c>
      <c r="K981" s="10">
        <f>96.9273 * CHOOSE(CONTROL!$C$9, $D$9, 100%, $F$9) + CHOOSE(CONTROL!$C$27, 0.0021, 0)</f>
        <v>96.929400000000001</v>
      </c>
      <c r="L981" s="10"/>
    </row>
    <row r="982" spans="1:12" ht="15.75">
      <c r="A982" s="13">
        <v>71193</v>
      </c>
      <c r="B982" s="10">
        <f>97.5791 * CHOOSE(CONTROL!$C$9, $D$9, 100%, $F$9) + CHOOSE(CONTROL!$C$27, 0.0021, 0)</f>
        <v>97.581199999999995</v>
      </c>
      <c r="C982" s="10">
        <f>97.1469 * CHOOSE(CONTROL!$C$9, $D$9, 100%, $F$9) + CHOOSE(CONTROL!$C$27, 0.0021, 0)</f>
        <v>97.149000000000001</v>
      </c>
      <c r="D982" s="10">
        <f>97.1469 * CHOOSE(CONTROL!$C$9, $D$9, 100%, $F$9) + CHOOSE(CONTROL!$C$27, 0.0021, 0)</f>
        <v>97.149000000000001</v>
      </c>
      <c r="E982" s="10">
        <f>97.0102 * CHOOSE(CONTROL!$C$9, $D$9, 100%, $F$9) + CHOOSE(CONTROL!$C$27, 0.0021, 0)</f>
        <v>97.012299999999996</v>
      </c>
      <c r="F982" s="10">
        <f>97.0102 * CHOOSE(CONTROL!$C$9, $D$9, 100%, $F$9) + CHOOSE(CONTROL!$C$27, 0.0021, 0)</f>
        <v>97.012299999999996</v>
      </c>
      <c r="G982" s="10">
        <f>97.2816 * CHOOSE(CONTROL!$C$9, $D$9, 100%, $F$9) + CHOOSE(CONTROL!$C$27, 0.0021, 0)</f>
        <v>97.283699999999996</v>
      </c>
      <c r="H982" s="10">
        <f>97.1469 * CHOOSE(CONTROL!$C$9, $D$9, 100%, $F$9) + CHOOSE(CONTROL!$C$27, 0.0021, 0)</f>
        <v>97.149000000000001</v>
      </c>
      <c r="I982" s="10">
        <f>97.1469 * CHOOSE(CONTROL!$C$9, $D$9, 100%, $F$9) + CHOOSE(CONTROL!$C$27, 0.0021, 0)</f>
        <v>97.149000000000001</v>
      </c>
      <c r="J982" s="10">
        <f>97.1469 * CHOOSE(CONTROL!$C$9, $D$9, 100%, $F$9) + CHOOSE(CONTROL!$C$27, 0.0021, 0)</f>
        <v>97.149000000000001</v>
      </c>
      <c r="K982" s="10">
        <f>97.1469 * CHOOSE(CONTROL!$C$9, $D$9, 100%, $F$9) + CHOOSE(CONTROL!$C$27, 0.0021, 0)</f>
        <v>97.149000000000001</v>
      </c>
      <c r="L982" s="10"/>
    </row>
    <row r="983" spans="1:12" ht="15.75">
      <c r="A983" s="13">
        <v>71224</v>
      </c>
      <c r="B983" s="10">
        <f>95.7108 * CHOOSE(CONTROL!$C$9, $D$9, 100%, $F$9) + CHOOSE(CONTROL!$C$27, 0.0021, 0)</f>
        <v>95.712900000000005</v>
      </c>
      <c r="C983" s="10">
        <f>95.2785 * CHOOSE(CONTROL!$C$9, $D$9, 100%, $F$9) + CHOOSE(CONTROL!$C$27, 0.0021, 0)</f>
        <v>95.280599999999993</v>
      </c>
      <c r="D983" s="10">
        <f>95.2785 * CHOOSE(CONTROL!$C$9, $D$9, 100%, $F$9) + CHOOSE(CONTROL!$C$27, 0.0021, 0)</f>
        <v>95.280599999999993</v>
      </c>
      <c r="E983" s="10">
        <f>95.1419 * CHOOSE(CONTROL!$C$9, $D$9, 100%, $F$9) + CHOOSE(CONTROL!$C$27, 0.0021, 0)</f>
        <v>95.144000000000005</v>
      </c>
      <c r="F983" s="10">
        <f>95.1419 * CHOOSE(CONTROL!$C$9, $D$9, 100%, $F$9) + CHOOSE(CONTROL!$C$27, 0.0021, 0)</f>
        <v>95.144000000000005</v>
      </c>
      <c r="G983" s="10">
        <f>95.4132 * CHOOSE(CONTROL!$C$9, $D$9, 100%, $F$9) + CHOOSE(CONTROL!$C$27, 0.0021, 0)</f>
        <v>95.415300000000002</v>
      </c>
      <c r="H983" s="10">
        <f>95.2785 * CHOOSE(CONTROL!$C$9, $D$9, 100%, $F$9) + CHOOSE(CONTROL!$C$27, 0.0021, 0)</f>
        <v>95.280599999999993</v>
      </c>
      <c r="I983" s="10">
        <f>95.2785 * CHOOSE(CONTROL!$C$9, $D$9, 100%, $F$9) + CHOOSE(CONTROL!$C$27, 0.0021, 0)</f>
        <v>95.280599999999993</v>
      </c>
      <c r="J983" s="10">
        <f>95.2785 * CHOOSE(CONTROL!$C$9, $D$9, 100%, $F$9) + CHOOSE(CONTROL!$C$27, 0.0021, 0)</f>
        <v>95.280599999999993</v>
      </c>
      <c r="K983" s="10">
        <f>95.2785 * CHOOSE(CONTROL!$C$9, $D$9, 100%, $F$9) + CHOOSE(CONTROL!$C$27, 0.0021, 0)</f>
        <v>95.280599999999993</v>
      </c>
      <c r="L983" s="10"/>
    </row>
    <row r="984" spans="1:12" ht="15.75">
      <c r="A984" s="13">
        <v>71255</v>
      </c>
      <c r="B984" s="10">
        <f>94.2803 * CHOOSE(CONTROL!$C$9, $D$9, 100%, $F$9) + CHOOSE(CONTROL!$C$27, 0.0021, 0)</f>
        <v>94.282399999999996</v>
      </c>
      <c r="C984" s="10">
        <f>93.8481 * CHOOSE(CONTROL!$C$9, $D$9, 100%, $F$9) + CHOOSE(CONTROL!$C$27, 0.0021, 0)</f>
        <v>93.850200000000001</v>
      </c>
      <c r="D984" s="10">
        <f>93.8481 * CHOOSE(CONTROL!$C$9, $D$9, 100%, $F$9) + CHOOSE(CONTROL!$C$27, 0.0021, 0)</f>
        <v>93.850200000000001</v>
      </c>
      <c r="E984" s="10">
        <f>93.7114 * CHOOSE(CONTROL!$C$9, $D$9, 100%, $F$9) + CHOOSE(CONTROL!$C$27, 0.0021, 0)</f>
        <v>93.713499999999996</v>
      </c>
      <c r="F984" s="10">
        <f>93.7114 * CHOOSE(CONTROL!$C$9, $D$9, 100%, $F$9) + CHOOSE(CONTROL!$C$27, 0.0021, 0)</f>
        <v>93.713499999999996</v>
      </c>
      <c r="G984" s="10">
        <f>93.9828 * CHOOSE(CONTROL!$C$9, $D$9, 100%, $F$9) + CHOOSE(CONTROL!$C$27, 0.0021, 0)</f>
        <v>93.984899999999996</v>
      </c>
      <c r="H984" s="10">
        <f>93.8481 * CHOOSE(CONTROL!$C$9, $D$9, 100%, $F$9) + CHOOSE(CONTROL!$C$27, 0.0021, 0)</f>
        <v>93.850200000000001</v>
      </c>
      <c r="I984" s="10">
        <f>93.8481 * CHOOSE(CONTROL!$C$9, $D$9, 100%, $F$9) + CHOOSE(CONTROL!$C$27, 0.0021, 0)</f>
        <v>93.850200000000001</v>
      </c>
      <c r="J984" s="10">
        <f>93.8481 * CHOOSE(CONTROL!$C$9, $D$9, 100%, $F$9) + CHOOSE(CONTROL!$C$27, 0.0021, 0)</f>
        <v>93.850200000000001</v>
      </c>
      <c r="K984" s="10">
        <f>93.8481 * CHOOSE(CONTROL!$C$9, $D$9, 100%, $F$9) + CHOOSE(CONTROL!$C$27, 0.0021, 0)</f>
        <v>93.850200000000001</v>
      </c>
      <c r="L984" s="10"/>
    </row>
    <row r="985" spans="1:12" ht="15.75">
      <c r="A985" s="13">
        <v>71283</v>
      </c>
      <c r="B985" s="10">
        <f>91.6784 * CHOOSE(CONTROL!$C$9, $D$9, 100%, $F$9) + CHOOSE(CONTROL!$C$27, 0.0021, 0)</f>
        <v>91.680499999999995</v>
      </c>
      <c r="C985" s="10">
        <f>91.2461 * CHOOSE(CONTROL!$C$9, $D$9, 100%, $F$9) + CHOOSE(CONTROL!$C$27, 0.0021, 0)</f>
        <v>91.248199999999997</v>
      </c>
      <c r="D985" s="10">
        <f>91.2461 * CHOOSE(CONTROL!$C$9, $D$9, 100%, $F$9) + CHOOSE(CONTROL!$C$27, 0.0021, 0)</f>
        <v>91.248199999999997</v>
      </c>
      <c r="E985" s="10">
        <f>91.1095 * CHOOSE(CONTROL!$C$9, $D$9, 100%, $F$9) + CHOOSE(CONTROL!$C$27, 0.0021, 0)</f>
        <v>91.111599999999996</v>
      </c>
      <c r="F985" s="10">
        <f>91.1095 * CHOOSE(CONTROL!$C$9, $D$9, 100%, $F$9) + CHOOSE(CONTROL!$C$27, 0.0021, 0)</f>
        <v>91.111599999999996</v>
      </c>
      <c r="G985" s="10">
        <f>91.3809 * CHOOSE(CONTROL!$C$9, $D$9, 100%, $F$9) + CHOOSE(CONTROL!$C$27, 0.0021, 0)</f>
        <v>91.382999999999996</v>
      </c>
      <c r="H985" s="10">
        <f>91.2461 * CHOOSE(CONTROL!$C$9, $D$9, 100%, $F$9) + CHOOSE(CONTROL!$C$27, 0.0021, 0)</f>
        <v>91.248199999999997</v>
      </c>
      <c r="I985" s="10">
        <f>91.2461 * CHOOSE(CONTROL!$C$9, $D$9, 100%, $F$9) + CHOOSE(CONTROL!$C$27, 0.0021, 0)</f>
        <v>91.248199999999997</v>
      </c>
      <c r="J985" s="10">
        <f>91.2461 * CHOOSE(CONTROL!$C$9, $D$9, 100%, $F$9) + CHOOSE(CONTROL!$C$27, 0.0021, 0)</f>
        <v>91.248199999999997</v>
      </c>
      <c r="K985" s="10">
        <f>91.2461 * CHOOSE(CONTROL!$C$9, $D$9, 100%, $F$9) + CHOOSE(CONTROL!$C$27, 0.0021, 0)</f>
        <v>91.248199999999997</v>
      </c>
      <c r="L985" s="10"/>
    </row>
    <row r="986" spans="1:12" ht="15.75">
      <c r="A986" s="13">
        <v>71314</v>
      </c>
      <c r="B986" s="10">
        <f>90.6043 * CHOOSE(CONTROL!$C$9, $D$9, 100%, $F$9) + CHOOSE(CONTROL!$C$27, 0.0021, 0)</f>
        <v>90.606399999999994</v>
      </c>
      <c r="C986" s="10">
        <f>90.1721 * CHOOSE(CONTROL!$C$9, $D$9, 100%, $F$9) + CHOOSE(CONTROL!$C$27, 0.0021, 0)</f>
        <v>90.174199999999999</v>
      </c>
      <c r="D986" s="10">
        <f>90.1721 * CHOOSE(CONTROL!$C$9, $D$9, 100%, $F$9) + CHOOSE(CONTROL!$C$27, 0.0021, 0)</f>
        <v>90.174199999999999</v>
      </c>
      <c r="E986" s="10">
        <f>90.0354 * CHOOSE(CONTROL!$C$9, $D$9, 100%, $F$9) + CHOOSE(CONTROL!$C$27, 0.0021, 0)</f>
        <v>90.037499999999994</v>
      </c>
      <c r="F986" s="10">
        <f>90.0354 * CHOOSE(CONTROL!$C$9, $D$9, 100%, $F$9) + CHOOSE(CONTROL!$C$27, 0.0021, 0)</f>
        <v>90.037499999999994</v>
      </c>
      <c r="G986" s="10">
        <f>90.3068 * CHOOSE(CONTROL!$C$9, $D$9, 100%, $F$9) + CHOOSE(CONTROL!$C$27, 0.0021, 0)</f>
        <v>90.308899999999994</v>
      </c>
      <c r="H986" s="10">
        <f>90.1721 * CHOOSE(CONTROL!$C$9, $D$9, 100%, $F$9) + CHOOSE(CONTROL!$C$27, 0.0021, 0)</f>
        <v>90.174199999999999</v>
      </c>
      <c r="I986" s="10">
        <f>90.1721 * CHOOSE(CONTROL!$C$9, $D$9, 100%, $F$9) + CHOOSE(CONTROL!$C$27, 0.0021, 0)</f>
        <v>90.174199999999999</v>
      </c>
      <c r="J986" s="10">
        <f>90.1721 * CHOOSE(CONTROL!$C$9, $D$9, 100%, $F$9) + CHOOSE(CONTROL!$C$27, 0.0021, 0)</f>
        <v>90.174199999999999</v>
      </c>
      <c r="K986" s="10">
        <f>90.1721 * CHOOSE(CONTROL!$C$9, $D$9, 100%, $F$9) + CHOOSE(CONTROL!$C$27, 0.0021, 0)</f>
        <v>90.174199999999999</v>
      </c>
      <c r="L986" s="10"/>
    </row>
    <row r="987" spans="1:12" ht="15.75">
      <c r="A987" s="13">
        <v>71344</v>
      </c>
      <c r="B987" s="10">
        <f>89.3219 * CHOOSE(CONTROL!$C$9, $D$9, 100%, $F$9) + CHOOSE(CONTROL!$C$27, 0.0021, 0)</f>
        <v>89.323999999999998</v>
      </c>
      <c r="C987" s="10">
        <f>88.8896 * CHOOSE(CONTROL!$C$9, $D$9, 100%, $F$9) + CHOOSE(CONTROL!$C$27, 0.0021, 0)</f>
        <v>88.8917</v>
      </c>
      <c r="D987" s="10">
        <f>88.8896 * CHOOSE(CONTROL!$C$9, $D$9, 100%, $F$9) + CHOOSE(CONTROL!$C$27, 0.0021, 0)</f>
        <v>88.8917</v>
      </c>
      <c r="E987" s="10">
        <f>88.753 * CHOOSE(CONTROL!$C$9, $D$9, 100%, $F$9) + CHOOSE(CONTROL!$C$27, 0.0021, 0)</f>
        <v>88.755099999999999</v>
      </c>
      <c r="F987" s="10">
        <f>88.753 * CHOOSE(CONTROL!$C$9, $D$9, 100%, $F$9) + CHOOSE(CONTROL!$C$27, 0.0021, 0)</f>
        <v>88.755099999999999</v>
      </c>
      <c r="G987" s="10">
        <f>89.0243 * CHOOSE(CONTROL!$C$9, $D$9, 100%, $F$9) + CHOOSE(CONTROL!$C$27, 0.0021, 0)</f>
        <v>89.026399999999995</v>
      </c>
      <c r="H987" s="10">
        <f>88.8896 * CHOOSE(CONTROL!$C$9, $D$9, 100%, $F$9) + CHOOSE(CONTROL!$C$27, 0.0021, 0)</f>
        <v>88.8917</v>
      </c>
      <c r="I987" s="10">
        <f>88.8896 * CHOOSE(CONTROL!$C$9, $D$9, 100%, $F$9) + CHOOSE(CONTROL!$C$27, 0.0021, 0)</f>
        <v>88.8917</v>
      </c>
      <c r="J987" s="10">
        <f>88.8896 * CHOOSE(CONTROL!$C$9, $D$9, 100%, $F$9) + CHOOSE(CONTROL!$C$27, 0.0021, 0)</f>
        <v>88.8917</v>
      </c>
      <c r="K987" s="10">
        <f>88.8896 * CHOOSE(CONTROL!$C$9, $D$9, 100%, $F$9) + CHOOSE(CONTROL!$C$27, 0.0021, 0)</f>
        <v>88.8917</v>
      </c>
      <c r="L987" s="10"/>
    </row>
    <row r="988" spans="1:12" ht="15.75">
      <c r="A988" s="13">
        <v>71375</v>
      </c>
      <c r="B988" s="10">
        <f>91.1495 * CHOOSE(CONTROL!$C$9, $D$9, 100%, $F$9) + CHOOSE(CONTROL!$C$27, 0.0021, 0)</f>
        <v>91.151600000000002</v>
      </c>
      <c r="C988" s="10">
        <f>90.7173 * CHOOSE(CONTROL!$C$9, $D$9, 100%, $F$9) + CHOOSE(CONTROL!$C$27, 0.0021, 0)</f>
        <v>90.719399999999993</v>
      </c>
      <c r="D988" s="10">
        <f>90.7173 * CHOOSE(CONTROL!$C$9, $D$9, 100%, $F$9) + CHOOSE(CONTROL!$C$27, 0.0021, 0)</f>
        <v>90.719399999999993</v>
      </c>
      <c r="E988" s="10">
        <f>90.5806 * CHOOSE(CONTROL!$C$9, $D$9, 100%, $F$9) + CHOOSE(CONTROL!$C$27, 0.0021, 0)</f>
        <v>90.582700000000003</v>
      </c>
      <c r="F988" s="10">
        <f>90.5806 * CHOOSE(CONTROL!$C$9, $D$9, 100%, $F$9) + CHOOSE(CONTROL!$C$27, 0.0021, 0)</f>
        <v>90.582700000000003</v>
      </c>
      <c r="G988" s="10">
        <f>90.852 * CHOOSE(CONTROL!$C$9, $D$9, 100%, $F$9) + CHOOSE(CONTROL!$C$27, 0.0021, 0)</f>
        <v>90.854100000000003</v>
      </c>
      <c r="H988" s="10">
        <f>90.7173 * CHOOSE(CONTROL!$C$9, $D$9, 100%, $F$9) + CHOOSE(CONTROL!$C$27, 0.0021, 0)</f>
        <v>90.719399999999993</v>
      </c>
      <c r="I988" s="10">
        <f>90.7173 * CHOOSE(CONTROL!$C$9, $D$9, 100%, $F$9) + CHOOSE(CONTROL!$C$27, 0.0021, 0)</f>
        <v>90.719399999999993</v>
      </c>
      <c r="J988" s="10">
        <f>90.7173 * CHOOSE(CONTROL!$C$9, $D$9, 100%, $F$9) + CHOOSE(CONTROL!$C$27, 0.0021, 0)</f>
        <v>90.719399999999993</v>
      </c>
      <c r="K988" s="10">
        <f>90.7173 * CHOOSE(CONTROL!$C$9, $D$9, 100%, $F$9) + CHOOSE(CONTROL!$C$27, 0.0021, 0)</f>
        <v>90.719399999999993</v>
      </c>
      <c r="L988" s="10"/>
    </row>
    <row r="989" spans="1:12" ht="15.75">
      <c r="A989" s="13">
        <v>71405</v>
      </c>
      <c r="B989" s="10">
        <f>92.2442 * CHOOSE(CONTROL!$C$9, $D$9, 100%, $F$9) + CHOOSE(CONTROL!$C$27, 0.0021, 0)</f>
        <v>92.246300000000005</v>
      </c>
      <c r="C989" s="10">
        <f>91.812 * CHOOSE(CONTROL!$C$9, $D$9, 100%, $F$9) + CHOOSE(CONTROL!$C$27, 0.0021, 0)</f>
        <v>91.814099999999996</v>
      </c>
      <c r="D989" s="10">
        <f>91.812 * CHOOSE(CONTROL!$C$9, $D$9, 100%, $F$9) + CHOOSE(CONTROL!$C$27, 0.0021, 0)</f>
        <v>91.814099999999996</v>
      </c>
      <c r="E989" s="10">
        <f>91.6753 * CHOOSE(CONTROL!$C$9, $D$9, 100%, $F$9) + CHOOSE(CONTROL!$C$27, 0.0021, 0)</f>
        <v>91.677399999999992</v>
      </c>
      <c r="F989" s="10">
        <f>91.6753 * CHOOSE(CONTROL!$C$9, $D$9, 100%, $F$9) + CHOOSE(CONTROL!$C$27, 0.0021, 0)</f>
        <v>91.677399999999992</v>
      </c>
      <c r="G989" s="10">
        <f>91.9467 * CHOOSE(CONTROL!$C$9, $D$9, 100%, $F$9) + CHOOSE(CONTROL!$C$27, 0.0021, 0)</f>
        <v>91.948800000000006</v>
      </c>
      <c r="H989" s="10">
        <f>91.812 * CHOOSE(CONTROL!$C$9, $D$9, 100%, $F$9) + CHOOSE(CONTROL!$C$27, 0.0021, 0)</f>
        <v>91.814099999999996</v>
      </c>
      <c r="I989" s="10">
        <f>91.812 * CHOOSE(CONTROL!$C$9, $D$9, 100%, $F$9) + CHOOSE(CONTROL!$C$27, 0.0021, 0)</f>
        <v>91.814099999999996</v>
      </c>
      <c r="J989" s="10">
        <f>91.812 * CHOOSE(CONTROL!$C$9, $D$9, 100%, $F$9) + CHOOSE(CONTROL!$C$27, 0.0021, 0)</f>
        <v>91.814099999999996</v>
      </c>
      <c r="K989" s="10">
        <f>91.812 * CHOOSE(CONTROL!$C$9, $D$9, 100%, $F$9) + CHOOSE(CONTROL!$C$27, 0.0021, 0)</f>
        <v>91.814099999999996</v>
      </c>
      <c r="L989" s="10"/>
    </row>
    <row r="990" spans="1:12" ht="15.75">
      <c r="A990" s="13">
        <v>71436</v>
      </c>
      <c r="B990" s="10">
        <f>94.0501 * CHOOSE(CONTROL!$C$9, $D$9, 100%, $F$9) + CHOOSE(CONTROL!$C$27, 0.0021, 0)</f>
        <v>94.052199999999999</v>
      </c>
      <c r="C990" s="10">
        <f>93.6178 * CHOOSE(CONTROL!$C$9, $D$9, 100%, $F$9) + CHOOSE(CONTROL!$C$27, 0.0021, 0)</f>
        <v>93.619900000000001</v>
      </c>
      <c r="D990" s="10">
        <f>93.6178 * CHOOSE(CONTROL!$C$9, $D$9, 100%, $F$9) + CHOOSE(CONTROL!$C$27, 0.0021, 0)</f>
        <v>93.619900000000001</v>
      </c>
      <c r="E990" s="10">
        <f>93.4811 * CHOOSE(CONTROL!$C$9, $D$9, 100%, $F$9) + CHOOSE(CONTROL!$C$27, 0.0021, 0)</f>
        <v>93.483199999999997</v>
      </c>
      <c r="F990" s="10">
        <f>93.4811 * CHOOSE(CONTROL!$C$9, $D$9, 100%, $F$9) + CHOOSE(CONTROL!$C$27, 0.0021, 0)</f>
        <v>93.483199999999997</v>
      </c>
      <c r="G990" s="10">
        <f>93.7525 * CHOOSE(CONTROL!$C$9, $D$9, 100%, $F$9) + CHOOSE(CONTROL!$C$27, 0.0021, 0)</f>
        <v>93.754599999999996</v>
      </c>
      <c r="H990" s="10">
        <f>93.6178 * CHOOSE(CONTROL!$C$9, $D$9, 100%, $F$9) + CHOOSE(CONTROL!$C$27, 0.0021, 0)</f>
        <v>93.619900000000001</v>
      </c>
      <c r="I990" s="10">
        <f>93.6178 * CHOOSE(CONTROL!$C$9, $D$9, 100%, $F$9) + CHOOSE(CONTROL!$C$27, 0.0021, 0)</f>
        <v>93.619900000000001</v>
      </c>
      <c r="J990" s="10">
        <f>93.6178 * CHOOSE(CONTROL!$C$9, $D$9, 100%, $F$9) + CHOOSE(CONTROL!$C$27, 0.0021, 0)</f>
        <v>93.619900000000001</v>
      </c>
      <c r="K990" s="10">
        <f>93.6178 * CHOOSE(CONTROL!$C$9, $D$9, 100%, $F$9) + CHOOSE(CONTROL!$C$27, 0.0021, 0)</f>
        <v>93.619900000000001</v>
      </c>
      <c r="L990" s="10"/>
    </row>
    <row r="991" spans="1:12" ht="15.75">
      <c r="A991" s="13">
        <v>71467</v>
      </c>
      <c r="B991" s="10">
        <f>94.6013 * CHOOSE(CONTROL!$C$9, $D$9, 100%, $F$9) + CHOOSE(CONTROL!$C$27, 0.0021, 0)</f>
        <v>94.603399999999993</v>
      </c>
      <c r="C991" s="10">
        <f>94.169 * CHOOSE(CONTROL!$C$9, $D$9, 100%, $F$9) + CHOOSE(CONTROL!$C$27, 0.0021, 0)</f>
        <v>94.171099999999996</v>
      </c>
      <c r="D991" s="10">
        <f>94.169 * CHOOSE(CONTROL!$C$9, $D$9, 100%, $F$9) + CHOOSE(CONTROL!$C$27, 0.0021, 0)</f>
        <v>94.171099999999996</v>
      </c>
      <c r="E991" s="10">
        <f>94.0323 * CHOOSE(CONTROL!$C$9, $D$9, 100%, $F$9) + CHOOSE(CONTROL!$C$27, 0.0021, 0)</f>
        <v>94.034400000000005</v>
      </c>
      <c r="F991" s="10">
        <f>94.0323 * CHOOSE(CONTROL!$C$9, $D$9, 100%, $F$9) + CHOOSE(CONTROL!$C$27, 0.0021, 0)</f>
        <v>94.034400000000005</v>
      </c>
      <c r="G991" s="10">
        <f>94.3037 * CHOOSE(CONTROL!$C$9, $D$9, 100%, $F$9) + CHOOSE(CONTROL!$C$27, 0.0021, 0)</f>
        <v>94.305800000000005</v>
      </c>
      <c r="H991" s="10">
        <f>94.169 * CHOOSE(CONTROL!$C$9, $D$9, 100%, $F$9) + CHOOSE(CONTROL!$C$27, 0.0021, 0)</f>
        <v>94.171099999999996</v>
      </c>
      <c r="I991" s="10">
        <f>94.169 * CHOOSE(CONTROL!$C$9, $D$9, 100%, $F$9) + CHOOSE(CONTROL!$C$27, 0.0021, 0)</f>
        <v>94.171099999999996</v>
      </c>
      <c r="J991" s="10">
        <f>94.169 * CHOOSE(CONTROL!$C$9, $D$9, 100%, $F$9) + CHOOSE(CONTROL!$C$27, 0.0021, 0)</f>
        <v>94.171099999999996</v>
      </c>
      <c r="K991" s="10">
        <f>94.169 * CHOOSE(CONTROL!$C$9, $D$9, 100%, $F$9) + CHOOSE(CONTROL!$C$27, 0.0021, 0)</f>
        <v>94.171099999999996</v>
      </c>
      <c r="L991" s="10"/>
    </row>
    <row r="992" spans="1:12" ht="15.75">
      <c r="A992" s="13">
        <v>71497</v>
      </c>
      <c r="B992" s="10">
        <f>96.4784 * CHOOSE(CONTROL!$C$9, $D$9, 100%, $F$9) + CHOOSE(CONTROL!$C$27, 0.0021, 0)</f>
        <v>96.480499999999992</v>
      </c>
      <c r="C992" s="10">
        <f>96.0461 * CHOOSE(CONTROL!$C$9, $D$9, 100%, $F$9) + CHOOSE(CONTROL!$C$27, 0.0021, 0)</f>
        <v>96.048199999999994</v>
      </c>
      <c r="D992" s="10">
        <f>96.0461 * CHOOSE(CONTROL!$C$9, $D$9, 100%, $F$9) + CHOOSE(CONTROL!$C$27, 0.0021, 0)</f>
        <v>96.048199999999994</v>
      </c>
      <c r="E992" s="10">
        <f>95.9094 * CHOOSE(CONTROL!$C$9, $D$9, 100%, $F$9) + CHOOSE(CONTROL!$C$27, 0.0021, 0)</f>
        <v>95.911500000000004</v>
      </c>
      <c r="F992" s="10">
        <f>95.9094 * CHOOSE(CONTROL!$C$9, $D$9, 100%, $F$9) + CHOOSE(CONTROL!$C$27, 0.0021, 0)</f>
        <v>95.911500000000004</v>
      </c>
      <c r="G992" s="10">
        <f>96.1808 * CHOOSE(CONTROL!$C$9, $D$9, 100%, $F$9) + CHOOSE(CONTROL!$C$27, 0.0021, 0)</f>
        <v>96.182900000000004</v>
      </c>
      <c r="H992" s="10">
        <f>96.0461 * CHOOSE(CONTROL!$C$9, $D$9, 100%, $F$9) + CHOOSE(CONTROL!$C$27, 0.0021, 0)</f>
        <v>96.048199999999994</v>
      </c>
      <c r="I992" s="10">
        <f>96.0461 * CHOOSE(CONTROL!$C$9, $D$9, 100%, $F$9) + CHOOSE(CONTROL!$C$27, 0.0021, 0)</f>
        <v>96.048199999999994</v>
      </c>
      <c r="J992" s="10">
        <f>96.0461 * CHOOSE(CONTROL!$C$9, $D$9, 100%, $F$9) + CHOOSE(CONTROL!$C$27, 0.0021, 0)</f>
        <v>96.048199999999994</v>
      </c>
      <c r="K992" s="10">
        <f>96.0461 * CHOOSE(CONTROL!$C$9, $D$9, 100%, $F$9) + CHOOSE(CONTROL!$C$27, 0.0021, 0)</f>
        <v>96.048199999999994</v>
      </c>
      <c r="L992" s="10"/>
    </row>
    <row r="993" spans="1:12" ht="15.75">
      <c r="A993" s="13">
        <v>71528</v>
      </c>
      <c r="B993" s="10">
        <f>98.8544 * CHOOSE(CONTROL!$C$9, $D$9, 100%, $F$9) + CHOOSE(CONTROL!$C$27, 0.0021, 0)</f>
        <v>98.856499999999997</v>
      </c>
      <c r="C993" s="10">
        <f>98.4222 * CHOOSE(CONTROL!$C$9, $D$9, 100%, $F$9) + CHOOSE(CONTROL!$C$27, 0.0021, 0)</f>
        <v>98.424300000000002</v>
      </c>
      <c r="D993" s="10">
        <f>98.4222 * CHOOSE(CONTROL!$C$9, $D$9, 100%, $F$9) + CHOOSE(CONTROL!$C$27, 0.0021, 0)</f>
        <v>98.424300000000002</v>
      </c>
      <c r="E993" s="10">
        <f>98.2855 * CHOOSE(CONTROL!$C$9, $D$9, 100%, $F$9) + CHOOSE(CONTROL!$C$27, 0.0021, 0)</f>
        <v>98.287599999999998</v>
      </c>
      <c r="F993" s="10">
        <f>98.2855 * CHOOSE(CONTROL!$C$9, $D$9, 100%, $F$9) + CHOOSE(CONTROL!$C$27, 0.0021, 0)</f>
        <v>98.287599999999998</v>
      </c>
      <c r="G993" s="10">
        <f>98.5569 * CHOOSE(CONTROL!$C$9, $D$9, 100%, $F$9) + CHOOSE(CONTROL!$C$27, 0.0021, 0)</f>
        <v>98.558999999999997</v>
      </c>
      <c r="H993" s="10">
        <f>98.4222 * CHOOSE(CONTROL!$C$9, $D$9, 100%, $F$9) + CHOOSE(CONTROL!$C$27, 0.0021, 0)</f>
        <v>98.424300000000002</v>
      </c>
      <c r="I993" s="10">
        <f>98.4222 * CHOOSE(CONTROL!$C$9, $D$9, 100%, $F$9) + CHOOSE(CONTROL!$C$27, 0.0021, 0)</f>
        <v>98.424300000000002</v>
      </c>
      <c r="J993" s="10">
        <f>98.4222 * CHOOSE(CONTROL!$C$9, $D$9, 100%, $F$9) + CHOOSE(CONTROL!$C$27, 0.0021, 0)</f>
        <v>98.424300000000002</v>
      </c>
      <c r="K993" s="10">
        <f>98.4222 * CHOOSE(CONTROL!$C$9, $D$9, 100%, $F$9) + CHOOSE(CONTROL!$C$27, 0.0021, 0)</f>
        <v>98.424300000000002</v>
      </c>
      <c r="L993" s="10"/>
    </row>
    <row r="994" spans="1:12" ht="15.75">
      <c r="A994" s="13">
        <v>71558</v>
      </c>
      <c r="B994" s="10">
        <f>99.0775 * CHOOSE(CONTROL!$C$9, $D$9, 100%, $F$9) + CHOOSE(CONTROL!$C$27, 0.0021, 0)</f>
        <v>99.079599999999999</v>
      </c>
      <c r="C994" s="10">
        <f>98.6452 * CHOOSE(CONTROL!$C$9, $D$9, 100%, $F$9) + CHOOSE(CONTROL!$C$27, 0.0021, 0)</f>
        <v>98.647300000000001</v>
      </c>
      <c r="D994" s="10">
        <f>98.6452 * CHOOSE(CONTROL!$C$9, $D$9, 100%, $F$9) + CHOOSE(CONTROL!$C$27, 0.0021, 0)</f>
        <v>98.647300000000001</v>
      </c>
      <c r="E994" s="10">
        <f>98.5086 * CHOOSE(CONTROL!$C$9, $D$9, 100%, $F$9) + CHOOSE(CONTROL!$C$27, 0.0021, 0)</f>
        <v>98.5107</v>
      </c>
      <c r="F994" s="10">
        <f>98.5086 * CHOOSE(CONTROL!$C$9, $D$9, 100%, $F$9) + CHOOSE(CONTROL!$C$27, 0.0021, 0)</f>
        <v>98.5107</v>
      </c>
      <c r="G994" s="10">
        <f>98.78 * CHOOSE(CONTROL!$C$9, $D$9, 100%, $F$9) + CHOOSE(CONTROL!$C$27, 0.0021, 0)</f>
        <v>98.7821</v>
      </c>
      <c r="H994" s="10">
        <f>98.6452 * CHOOSE(CONTROL!$C$9, $D$9, 100%, $F$9) + CHOOSE(CONTROL!$C$27, 0.0021, 0)</f>
        <v>98.647300000000001</v>
      </c>
      <c r="I994" s="10">
        <f>98.6452 * CHOOSE(CONTROL!$C$9, $D$9, 100%, $F$9) + CHOOSE(CONTROL!$C$27, 0.0021, 0)</f>
        <v>98.647300000000001</v>
      </c>
      <c r="J994" s="10">
        <f>98.6452 * CHOOSE(CONTROL!$C$9, $D$9, 100%, $F$9) + CHOOSE(CONTROL!$C$27, 0.0021, 0)</f>
        <v>98.647300000000001</v>
      </c>
      <c r="K994" s="10">
        <f>98.6452 * CHOOSE(CONTROL!$C$9, $D$9, 100%, $F$9) + CHOOSE(CONTROL!$C$27, 0.0021, 0)</f>
        <v>98.647300000000001</v>
      </c>
      <c r="L994" s="10"/>
    </row>
    <row r="995" spans="1:12" ht="15.75">
      <c r="A995" s="13">
        <v>71589</v>
      </c>
      <c r="B995" s="10">
        <f>97.1798 * CHOOSE(CONTROL!$C$9, $D$9, 100%, $F$9) + CHOOSE(CONTROL!$C$27, 0.0021, 0)</f>
        <v>97.181899999999999</v>
      </c>
      <c r="C995" s="10">
        <f>96.7475 * CHOOSE(CONTROL!$C$9, $D$9, 100%, $F$9) + CHOOSE(CONTROL!$C$27, 0.0021, 0)</f>
        <v>96.749600000000001</v>
      </c>
      <c r="D995" s="10">
        <f>96.7475 * CHOOSE(CONTROL!$C$9, $D$9, 100%, $F$9) + CHOOSE(CONTROL!$C$27, 0.0021, 0)</f>
        <v>96.749600000000001</v>
      </c>
      <c r="E995" s="10">
        <f>96.6109 * CHOOSE(CONTROL!$C$9, $D$9, 100%, $F$9) + CHOOSE(CONTROL!$C$27, 0.0021, 0)</f>
        <v>96.613</v>
      </c>
      <c r="F995" s="10">
        <f>96.6109 * CHOOSE(CONTROL!$C$9, $D$9, 100%, $F$9) + CHOOSE(CONTROL!$C$27, 0.0021, 0)</f>
        <v>96.613</v>
      </c>
      <c r="G995" s="10">
        <f>96.8822 * CHOOSE(CONTROL!$C$9, $D$9, 100%, $F$9) + CHOOSE(CONTROL!$C$27, 0.0021, 0)</f>
        <v>96.884299999999996</v>
      </c>
      <c r="H995" s="10">
        <f>96.7475 * CHOOSE(CONTROL!$C$9, $D$9, 100%, $F$9) + CHOOSE(CONTROL!$C$27, 0.0021, 0)</f>
        <v>96.749600000000001</v>
      </c>
      <c r="I995" s="10">
        <f>96.7475 * CHOOSE(CONTROL!$C$9, $D$9, 100%, $F$9) + CHOOSE(CONTROL!$C$27, 0.0021, 0)</f>
        <v>96.749600000000001</v>
      </c>
      <c r="J995" s="10">
        <f>96.7475 * CHOOSE(CONTROL!$C$9, $D$9, 100%, $F$9) + CHOOSE(CONTROL!$C$27, 0.0021, 0)</f>
        <v>96.749600000000001</v>
      </c>
      <c r="K995" s="10">
        <f>96.7475 * CHOOSE(CONTROL!$C$9, $D$9, 100%, $F$9) + CHOOSE(CONTROL!$C$27, 0.0021, 0)</f>
        <v>96.749600000000001</v>
      </c>
      <c r="L995" s="10"/>
    </row>
    <row r="996" spans="1:12" ht="15.75">
      <c r="A996" s="13">
        <v>71620</v>
      </c>
      <c r="B996" s="10">
        <f>95.7268 * CHOOSE(CONTROL!$C$9, $D$9, 100%, $F$9) + CHOOSE(CONTROL!$C$27, 0.0021, 0)</f>
        <v>95.728899999999996</v>
      </c>
      <c r="C996" s="10">
        <f>95.2946 * CHOOSE(CONTROL!$C$9, $D$9, 100%, $F$9) + CHOOSE(CONTROL!$C$27, 0.0021, 0)</f>
        <v>95.296700000000001</v>
      </c>
      <c r="D996" s="10">
        <f>95.2946 * CHOOSE(CONTROL!$C$9, $D$9, 100%, $F$9) + CHOOSE(CONTROL!$C$27, 0.0021, 0)</f>
        <v>95.296700000000001</v>
      </c>
      <c r="E996" s="10">
        <f>95.1579 * CHOOSE(CONTROL!$C$9, $D$9, 100%, $F$9) + CHOOSE(CONTROL!$C$27, 0.0021, 0)</f>
        <v>95.16</v>
      </c>
      <c r="F996" s="10">
        <f>95.1579 * CHOOSE(CONTROL!$C$9, $D$9, 100%, $F$9) + CHOOSE(CONTROL!$C$27, 0.0021, 0)</f>
        <v>95.16</v>
      </c>
      <c r="G996" s="10">
        <f>95.4293 * CHOOSE(CONTROL!$C$9, $D$9, 100%, $F$9) + CHOOSE(CONTROL!$C$27, 0.0021, 0)</f>
        <v>95.431399999999996</v>
      </c>
      <c r="H996" s="10">
        <f>95.2946 * CHOOSE(CONTROL!$C$9, $D$9, 100%, $F$9) + CHOOSE(CONTROL!$C$27, 0.0021, 0)</f>
        <v>95.296700000000001</v>
      </c>
      <c r="I996" s="10">
        <f>95.2946 * CHOOSE(CONTROL!$C$9, $D$9, 100%, $F$9) + CHOOSE(CONTROL!$C$27, 0.0021, 0)</f>
        <v>95.296700000000001</v>
      </c>
      <c r="J996" s="10">
        <f>95.2946 * CHOOSE(CONTROL!$C$9, $D$9, 100%, $F$9) + CHOOSE(CONTROL!$C$27, 0.0021, 0)</f>
        <v>95.296700000000001</v>
      </c>
      <c r="K996" s="10">
        <f>95.2946 * CHOOSE(CONTROL!$C$9, $D$9, 100%, $F$9) + CHOOSE(CONTROL!$C$27, 0.0021, 0)</f>
        <v>95.296700000000001</v>
      </c>
      <c r="L996" s="10"/>
    </row>
    <row r="997" spans="1:12" ht="15.75">
      <c r="A997" s="13">
        <v>71649</v>
      </c>
      <c r="B997" s="10">
        <f>93.084 * CHOOSE(CONTROL!$C$9, $D$9, 100%, $F$9) + CHOOSE(CONTROL!$C$27, 0.0021, 0)</f>
        <v>93.086100000000002</v>
      </c>
      <c r="C997" s="10">
        <f>92.6517 * CHOOSE(CONTROL!$C$9, $D$9, 100%, $F$9) + CHOOSE(CONTROL!$C$27, 0.0021, 0)</f>
        <v>92.653800000000004</v>
      </c>
      <c r="D997" s="10">
        <f>92.6517 * CHOOSE(CONTROL!$C$9, $D$9, 100%, $F$9) + CHOOSE(CONTROL!$C$27, 0.0021, 0)</f>
        <v>92.653800000000004</v>
      </c>
      <c r="E997" s="10">
        <f>92.5151 * CHOOSE(CONTROL!$C$9, $D$9, 100%, $F$9) + CHOOSE(CONTROL!$C$27, 0.0021, 0)</f>
        <v>92.517200000000003</v>
      </c>
      <c r="F997" s="10">
        <f>92.5151 * CHOOSE(CONTROL!$C$9, $D$9, 100%, $F$9) + CHOOSE(CONTROL!$C$27, 0.0021, 0)</f>
        <v>92.517200000000003</v>
      </c>
      <c r="G997" s="10">
        <f>92.7864 * CHOOSE(CONTROL!$C$9, $D$9, 100%, $F$9) + CHOOSE(CONTROL!$C$27, 0.0021, 0)</f>
        <v>92.788499999999999</v>
      </c>
      <c r="H997" s="10">
        <f>92.6517 * CHOOSE(CONTROL!$C$9, $D$9, 100%, $F$9) + CHOOSE(CONTROL!$C$27, 0.0021, 0)</f>
        <v>92.653800000000004</v>
      </c>
      <c r="I997" s="10">
        <f>92.6517 * CHOOSE(CONTROL!$C$9, $D$9, 100%, $F$9) + CHOOSE(CONTROL!$C$27, 0.0021, 0)</f>
        <v>92.653800000000004</v>
      </c>
      <c r="J997" s="10">
        <f>92.6517 * CHOOSE(CONTROL!$C$9, $D$9, 100%, $F$9) + CHOOSE(CONTROL!$C$27, 0.0021, 0)</f>
        <v>92.653800000000004</v>
      </c>
      <c r="K997" s="10">
        <f>92.6517 * CHOOSE(CONTROL!$C$9, $D$9, 100%, $F$9) + CHOOSE(CONTROL!$C$27, 0.0021, 0)</f>
        <v>92.653800000000004</v>
      </c>
      <c r="L997" s="10"/>
    </row>
    <row r="998" spans="1:12" ht="15.75">
      <c r="A998" s="13">
        <v>71680</v>
      </c>
      <c r="B998" s="10">
        <f>91.993 * CHOOSE(CONTROL!$C$9, $D$9, 100%, $F$9) + CHOOSE(CONTROL!$C$27, 0.0021, 0)</f>
        <v>91.995099999999994</v>
      </c>
      <c r="C998" s="10">
        <f>91.5608 * CHOOSE(CONTROL!$C$9, $D$9, 100%, $F$9) + CHOOSE(CONTROL!$C$27, 0.0021, 0)</f>
        <v>91.562899999999999</v>
      </c>
      <c r="D998" s="10">
        <f>91.5608 * CHOOSE(CONTROL!$C$9, $D$9, 100%, $F$9) + CHOOSE(CONTROL!$C$27, 0.0021, 0)</f>
        <v>91.562899999999999</v>
      </c>
      <c r="E998" s="10">
        <f>91.4241 * CHOOSE(CONTROL!$C$9, $D$9, 100%, $F$9) + CHOOSE(CONTROL!$C$27, 0.0021, 0)</f>
        <v>91.426199999999994</v>
      </c>
      <c r="F998" s="10">
        <f>91.4241 * CHOOSE(CONTROL!$C$9, $D$9, 100%, $F$9) + CHOOSE(CONTROL!$C$27, 0.0021, 0)</f>
        <v>91.426199999999994</v>
      </c>
      <c r="G998" s="10">
        <f>91.6955 * CHOOSE(CONTROL!$C$9, $D$9, 100%, $F$9) + CHOOSE(CONTROL!$C$27, 0.0021, 0)</f>
        <v>91.697599999999994</v>
      </c>
      <c r="H998" s="10">
        <f>91.5608 * CHOOSE(CONTROL!$C$9, $D$9, 100%, $F$9) + CHOOSE(CONTROL!$C$27, 0.0021, 0)</f>
        <v>91.562899999999999</v>
      </c>
      <c r="I998" s="10">
        <f>91.5608 * CHOOSE(CONTROL!$C$9, $D$9, 100%, $F$9) + CHOOSE(CONTROL!$C$27, 0.0021, 0)</f>
        <v>91.562899999999999</v>
      </c>
      <c r="J998" s="10">
        <f>91.5608 * CHOOSE(CONTROL!$C$9, $D$9, 100%, $F$9) + CHOOSE(CONTROL!$C$27, 0.0021, 0)</f>
        <v>91.562899999999999</v>
      </c>
      <c r="K998" s="10">
        <f>91.5608 * CHOOSE(CONTROL!$C$9, $D$9, 100%, $F$9) + CHOOSE(CONTROL!$C$27, 0.0021, 0)</f>
        <v>91.562899999999999</v>
      </c>
      <c r="L998" s="10"/>
    </row>
    <row r="999" spans="1:12" ht="15.75">
      <c r="A999" s="13">
        <v>71710</v>
      </c>
      <c r="B999" s="10">
        <f>90.6904 * CHOOSE(CONTROL!$C$9, $D$9, 100%, $F$9) + CHOOSE(CONTROL!$C$27, 0.0021, 0)</f>
        <v>90.692499999999995</v>
      </c>
      <c r="C999" s="10">
        <f>90.2581 * CHOOSE(CONTROL!$C$9, $D$9, 100%, $F$9) + CHOOSE(CONTROL!$C$27, 0.0021, 0)</f>
        <v>90.260199999999998</v>
      </c>
      <c r="D999" s="10">
        <f>90.2581 * CHOOSE(CONTROL!$C$9, $D$9, 100%, $F$9) + CHOOSE(CONTROL!$C$27, 0.0021, 0)</f>
        <v>90.260199999999998</v>
      </c>
      <c r="E999" s="10">
        <f>90.1215 * CHOOSE(CONTROL!$C$9, $D$9, 100%, $F$9) + CHOOSE(CONTROL!$C$27, 0.0021, 0)</f>
        <v>90.123599999999996</v>
      </c>
      <c r="F999" s="10">
        <f>90.1215 * CHOOSE(CONTROL!$C$9, $D$9, 100%, $F$9) + CHOOSE(CONTROL!$C$27, 0.0021, 0)</f>
        <v>90.123599999999996</v>
      </c>
      <c r="G999" s="10">
        <f>90.3929 * CHOOSE(CONTROL!$C$9, $D$9, 100%, $F$9) + CHOOSE(CONTROL!$C$27, 0.0021, 0)</f>
        <v>90.394999999999996</v>
      </c>
      <c r="H999" s="10">
        <f>90.2581 * CHOOSE(CONTROL!$C$9, $D$9, 100%, $F$9) + CHOOSE(CONTROL!$C$27, 0.0021, 0)</f>
        <v>90.260199999999998</v>
      </c>
      <c r="I999" s="10">
        <f>90.2581 * CHOOSE(CONTROL!$C$9, $D$9, 100%, $F$9) + CHOOSE(CONTROL!$C$27, 0.0021, 0)</f>
        <v>90.260199999999998</v>
      </c>
      <c r="J999" s="10">
        <f>90.2581 * CHOOSE(CONTROL!$C$9, $D$9, 100%, $F$9) + CHOOSE(CONTROL!$C$27, 0.0021, 0)</f>
        <v>90.260199999999998</v>
      </c>
      <c r="K999" s="10">
        <f>90.2581 * CHOOSE(CONTROL!$C$9, $D$9, 100%, $F$9) + CHOOSE(CONTROL!$C$27, 0.0021, 0)</f>
        <v>90.260199999999998</v>
      </c>
      <c r="L999" s="10"/>
    </row>
    <row r="1000" spans="1:12" ht="15.75">
      <c r="A1000" s="13">
        <v>71741</v>
      </c>
      <c r="B1000" s="10">
        <f>92.5468 * CHOOSE(CONTROL!$C$9, $D$9, 100%, $F$9) + CHOOSE(CONTROL!$C$27, 0.0021, 0)</f>
        <v>92.548900000000003</v>
      </c>
      <c r="C1000" s="10">
        <f>92.1145 * CHOOSE(CONTROL!$C$9, $D$9, 100%, $F$9) + CHOOSE(CONTROL!$C$27, 0.0021, 0)</f>
        <v>92.116600000000005</v>
      </c>
      <c r="D1000" s="10">
        <f>92.1145 * CHOOSE(CONTROL!$C$9, $D$9, 100%, $F$9) + CHOOSE(CONTROL!$C$27, 0.0021, 0)</f>
        <v>92.116600000000005</v>
      </c>
      <c r="E1000" s="10">
        <f>91.9779 * CHOOSE(CONTROL!$C$9, $D$9, 100%, $F$9) + CHOOSE(CONTROL!$C$27, 0.0021, 0)</f>
        <v>91.98</v>
      </c>
      <c r="F1000" s="10">
        <f>91.9779 * CHOOSE(CONTROL!$C$9, $D$9, 100%, $F$9) + CHOOSE(CONTROL!$C$27, 0.0021, 0)</f>
        <v>91.98</v>
      </c>
      <c r="G1000" s="10">
        <f>92.2493 * CHOOSE(CONTROL!$C$9, $D$9, 100%, $F$9) + CHOOSE(CONTROL!$C$27, 0.0021, 0)</f>
        <v>92.251400000000004</v>
      </c>
      <c r="H1000" s="10">
        <f>92.1145 * CHOOSE(CONTROL!$C$9, $D$9, 100%, $F$9) + CHOOSE(CONTROL!$C$27, 0.0021, 0)</f>
        <v>92.116600000000005</v>
      </c>
      <c r="I1000" s="10">
        <f>92.1145 * CHOOSE(CONTROL!$C$9, $D$9, 100%, $F$9) + CHOOSE(CONTROL!$C$27, 0.0021, 0)</f>
        <v>92.116600000000005</v>
      </c>
      <c r="J1000" s="10">
        <f>92.1145 * CHOOSE(CONTROL!$C$9, $D$9, 100%, $F$9) + CHOOSE(CONTROL!$C$27, 0.0021, 0)</f>
        <v>92.116600000000005</v>
      </c>
      <c r="K1000" s="10">
        <f>92.1145 * CHOOSE(CONTROL!$C$9, $D$9, 100%, $F$9) + CHOOSE(CONTROL!$C$27, 0.0021, 0)</f>
        <v>92.116600000000005</v>
      </c>
      <c r="L1000" s="10"/>
    </row>
    <row r="1001" spans="1:12" ht="15.75">
      <c r="A1001" s="13">
        <v>71771</v>
      </c>
      <c r="B1001" s="10">
        <f>93.6587 * CHOOSE(CONTROL!$C$9, $D$9, 100%, $F$9) + CHOOSE(CONTROL!$C$27, 0.0021, 0)</f>
        <v>93.660799999999995</v>
      </c>
      <c r="C1001" s="10">
        <f>93.2264 * CHOOSE(CONTROL!$C$9, $D$9, 100%, $F$9) + CHOOSE(CONTROL!$C$27, 0.0021, 0)</f>
        <v>93.228499999999997</v>
      </c>
      <c r="D1001" s="10">
        <f>93.2264 * CHOOSE(CONTROL!$C$9, $D$9, 100%, $F$9) + CHOOSE(CONTROL!$C$27, 0.0021, 0)</f>
        <v>93.228499999999997</v>
      </c>
      <c r="E1001" s="10">
        <f>93.0898 * CHOOSE(CONTROL!$C$9, $D$9, 100%, $F$9) + CHOOSE(CONTROL!$C$27, 0.0021, 0)</f>
        <v>93.091899999999995</v>
      </c>
      <c r="F1001" s="10">
        <f>93.0898 * CHOOSE(CONTROL!$C$9, $D$9, 100%, $F$9) + CHOOSE(CONTROL!$C$27, 0.0021, 0)</f>
        <v>93.091899999999995</v>
      </c>
      <c r="G1001" s="10">
        <f>93.3612 * CHOOSE(CONTROL!$C$9, $D$9, 100%, $F$9) + CHOOSE(CONTROL!$C$27, 0.0021, 0)</f>
        <v>93.363299999999995</v>
      </c>
      <c r="H1001" s="10">
        <f>93.2264 * CHOOSE(CONTROL!$C$9, $D$9, 100%, $F$9) + CHOOSE(CONTROL!$C$27, 0.0021, 0)</f>
        <v>93.228499999999997</v>
      </c>
      <c r="I1001" s="10">
        <f>93.2264 * CHOOSE(CONTROL!$C$9, $D$9, 100%, $F$9) + CHOOSE(CONTROL!$C$27, 0.0021, 0)</f>
        <v>93.228499999999997</v>
      </c>
      <c r="J1001" s="10">
        <f>93.2264 * CHOOSE(CONTROL!$C$9, $D$9, 100%, $F$9) + CHOOSE(CONTROL!$C$27, 0.0021, 0)</f>
        <v>93.228499999999997</v>
      </c>
      <c r="K1001" s="10">
        <f>93.2264 * CHOOSE(CONTROL!$C$9, $D$9, 100%, $F$9) + CHOOSE(CONTROL!$C$27, 0.0021, 0)</f>
        <v>93.228499999999997</v>
      </c>
      <c r="L1001" s="10"/>
    </row>
    <row r="1002" spans="1:12" ht="15.75">
      <c r="A1002" s="13">
        <v>71802</v>
      </c>
      <c r="B1002" s="10">
        <f>95.4929 * CHOOSE(CONTROL!$C$9, $D$9, 100%, $F$9) + CHOOSE(CONTROL!$C$27, 0.0021, 0)</f>
        <v>95.495000000000005</v>
      </c>
      <c r="C1002" s="10">
        <f>95.0607 * CHOOSE(CONTROL!$C$9, $D$9, 100%, $F$9) + CHOOSE(CONTROL!$C$27, 0.0021, 0)</f>
        <v>95.062799999999996</v>
      </c>
      <c r="D1002" s="10">
        <f>95.0607 * CHOOSE(CONTROL!$C$9, $D$9, 100%, $F$9) + CHOOSE(CONTROL!$C$27, 0.0021, 0)</f>
        <v>95.062799999999996</v>
      </c>
      <c r="E1002" s="10">
        <f>94.924 * CHOOSE(CONTROL!$C$9, $D$9, 100%, $F$9) + CHOOSE(CONTROL!$C$27, 0.0021, 0)</f>
        <v>94.926100000000005</v>
      </c>
      <c r="F1002" s="10">
        <f>94.924 * CHOOSE(CONTROL!$C$9, $D$9, 100%, $F$9) + CHOOSE(CONTROL!$C$27, 0.0021, 0)</f>
        <v>94.926100000000005</v>
      </c>
      <c r="G1002" s="10">
        <f>95.1954 * CHOOSE(CONTROL!$C$9, $D$9, 100%, $F$9) + CHOOSE(CONTROL!$C$27, 0.0021, 0)</f>
        <v>95.197500000000005</v>
      </c>
      <c r="H1002" s="10">
        <f>95.0607 * CHOOSE(CONTROL!$C$9, $D$9, 100%, $F$9) + CHOOSE(CONTROL!$C$27, 0.0021, 0)</f>
        <v>95.062799999999996</v>
      </c>
      <c r="I1002" s="10">
        <f>95.0607 * CHOOSE(CONTROL!$C$9, $D$9, 100%, $F$9) + CHOOSE(CONTROL!$C$27, 0.0021, 0)</f>
        <v>95.062799999999996</v>
      </c>
      <c r="J1002" s="10">
        <f>95.0607 * CHOOSE(CONTROL!$C$9, $D$9, 100%, $F$9) + CHOOSE(CONTROL!$C$27, 0.0021, 0)</f>
        <v>95.062799999999996</v>
      </c>
      <c r="K1002" s="10">
        <f>95.0607 * CHOOSE(CONTROL!$C$9, $D$9, 100%, $F$9) + CHOOSE(CONTROL!$C$27, 0.0021, 0)</f>
        <v>95.062799999999996</v>
      </c>
      <c r="L1002" s="10"/>
    </row>
    <row r="1003" spans="1:12" ht="15.75">
      <c r="A1003" s="13">
        <v>71833</v>
      </c>
      <c r="B1003" s="10">
        <f>96.0528 * CHOOSE(CONTROL!$C$9, $D$9, 100%, $F$9) + CHOOSE(CONTROL!$C$27, 0.0021, 0)</f>
        <v>96.054900000000004</v>
      </c>
      <c r="C1003" s="10">
        <f>95.6206 * CHOOSE(CONTROL!$C$9, $D$9, 100%, $F$9) + CHOOSE(CONTROL!$C$27, 0.0021, 0)</f>
        <v>95.622699999999995</v>
      </c>
      <c r="D1003" s="10">
        <f>95.6206 * CHOOSE(CONTROL!$C$9, $D$9, 100%, $F$9) + CHOOSE(CONTROL!$C$27, 0.0021, 0)</f>
        <v>95.622699999999995</v>
      </c>
      <c r="E1003" s="10">
        <f>95.4839 * CHOOSE(CONTROL!$C$9, $D$9, 100%, $F$9) + CHOOSE(CONTROL!$C$27, 0.0021, 0)</f>
        <v>95.486000000000004</v>
      </c>
      <c r="F1003" s="10">
        <f>95.4839 * CHOOSE(CONTROL!$C$9, $D$9, 100%, $F$9) + CHOOSE(CONTROL!$C$27, 0.0021, 0)</f>
        <v>95.486000000000004</v>
      </c>
      <c r="G1003" s="10">
        <f>95.7553 * CHOOSE(CONTROL!$C$9, $D$9, 100%, $F$9) + CHOOSE(CONTROL!$C$27, 0.0021, 0)</f>
        <v>95.757400000000004</v>
      </c>
      <c r="H1003" s="10">
        <f>95.6206 * CHOOSE(CONTROL!$C$9, $D$9, 100%, $F$9) + CHOOSE(CONTROL!$C$27, 0.0021, 0)</f>
        <v>95.622699999999995</v>
      </c>
      <c r="I1003" s="10">
        <f>95.6206 * CHOOSE(CONTROL!$C$9, $D$9, 100%, $F$9) + CHOOSE(CONTROL!$C$27, 0.0021, 0)</f>
        <v>95.622699999999995</v>
      </c>
      <c r="J1003" s="10">
        <f>95.6206 * CHOOSE(CONTROL!$C$9, $D$9, 100%, $F$9) + CHOOSE(CONTROL!$C$27, 0.0021, 0)</f>
        <v>95.622699999999995</v>
      </c>
      <c r="K1003" s="10">
        <f>95.6206 * CHOOSE(CONTROL!$C$9, $D$9, 100%, $F$9) + CHOOSE(CONTROL!$C$27, 0.0021, 0)</f>
        <v>95.622699999999995</v>
      </c>
      <c r="L1003" s="10"/>
    </row>
    <row r="1004" spans="1:12" ht="15.75">
      <c r="A1004" s="13">
        <v>71863</v>
      </c>
      <c r="B1004" s="10">
        <f>97.9594 * CHOOSE(CONTROL!$C$9, $D$9, 100%, $F$9) + CHOOSE(CONTROL!$C$27, 0.0021, 0)</f>
        <v>97.961500000000001</v>
      </c>
      <c r="C1004" s="10">
        <f>97.5272 * CHOOSE(CONTROL!$C$9, $D$9, 100%, $F$9) + CHOOSE(CONTROL!$C$27, 0.0021, 0)</f>
        <v>97.529299999999992</v>
      </c>
      <c r="D1004" s="10">
        <f>97.5272 * CHOOSE(CONTROL!$C$9, $D$9, 100%, $F$9) + CHOOSE(CONTROL!$C$27, 0.0021, 0)</f>
        <v>97.529299999999992</v>
      </c>
      <c r="E1004" s="10">
        <f>97.3905 * CHOOSE(CONTROL!$C$9, $D$9, 100%, $F$9) + CHOOSE(CONTROL!$C$27, 0.0021, 0)</f>
        <v>97.392600000000002</v>
      </c>
      <c r="F1004" s="10">
        <f>97.3905 * CHOOSE(CONTROL!$C$9, $D$9, 100%, $F$9) + CHOOSE(CONTROL!$C$27, 0.0021, 0)</f>
        <v>97.392600000000002</v>
      </c>
      <c r="G1004" s="10">
        <f>97.6619 * CHOOSE(CONTROL!$C$9, $D$9, 100%, $F$9) + CHOOSE(CONTROL!$C$27, 0.0021, 0)</f>
        <v>97.664000000000001</v>
      </c>
      <c r="H1004" s="10">
        <f>97.5272 * CHOOSE(CONTROL!$C$9, $D$9, 100%, $F$9) + CHOOSE(CONTROL!$C$27, 0.0021, 0)</f>
        <v>97.529299999999992</v>
      </c>
      <c r="I1004" s="10">
        <f>97.5272 * CHOOSE(CONTROL!$C$9, $D$9, 100%, $F$9) + CHOOSE(CONTROL!$C$27, 0.0021, 0)</f>
        <v>97.529299999999992</v>
      </c>
      <c r="J1004" s="10">
        <f>97.5272 * CHOOSE(CONTROL!$C$9, $D$9, 100%, $F$9) + CHOOSE(CONTROL!$C$27, 0.0021, 0)</f>
        <v>97.529299999999992</v>
      </c>
      <c r="K1004" s="10">
        <f>97.5272 * CHOOSE(CONTROL!$C$9, $D$9, 100%, $F$9) + CHOOSE(CONTROL!$C$27, 0.0021, 0)</f>
        <v>97.529299999999992</v>
      </c>
      <c r="L1004" s="10"/>
    </row>
    <row r="1005" spans="1:12" ht="15.75">
      <c r="A1005" s="13">
        <v>71894</v>
      </c>
      <c r="B1005" s="10">
        <f>100.3729 * CHOOSE(CONTROL!$C$9, $D$9, 100%, $F$9) + CHOOSE(CONTROL!$C$27, 0.0021, 0)</f>
        <v>100.375</v>
      </c>
      <c r="C1005" s="10">
        <f>99.9406 * CHOOSE(CONTROL!$C$9, $D$9, 100%, $F$9) + CHOOSE(CONTROL!$C$27, 0.0021, 0)</f>
        <v>99.942700000000002</v>
      </c>
      <c r="D1005" s="10">
        <f>99.9406 * CHOOSE(CONTROL!$C$9, $D$9, 100%, $F$9) + CHOOSE(CONTROL!$C$27, 0.0021, 0)</f>
        <v>99.942700000000002</v>
      </c>
      <c r="E1005" s="10">
        <f>99.804 * CHOOSE(CONTROL!$C$9, $D$9, 100%, $F$9) + CHOOSE(CONTROL!$C$27, 0.0021, 0)</f>
        <v>99.806100000000001</v>
      </c>
      <c r="F1005" s="10">
        <f>99.804 * CHOOSE(CONTROL!$C$9, $D$9, 100%, $F$9) + CHOOSE(CONTROL!$C$27, 0.0021, 0)</f>
        <v>99.806100000000001</v>
      </c>
      <c r="G1005" s="10">
        <f>100.0753 * CHOOSE(CONTROL!$C$9, $D$9, 100%, $F$9) + CHOOSE(CONTROL!$C$27, 0.0021, 0)</f>
        <v>100.0774</v>
      </c>
      <c r="H1005" s="10">
        <f>99.9406 * CHOOSE(CONTROL!$C$9, $D$9, 100%, $F$9) + CHOOSE(CONTROL!$C$27, 0.0021, 0)</f>
        <v>99.942700000000002</v>
      </c>
      <c r="I1005" s="10">
        <f>99.9406 * CHOOSE(CONTROL!$C$9, $D$9, 100%, $F$9) + CHOOSE(CONTROL!$C$27, 0.0021, 0)</f>
        <v>99.942700000000002</v>
      </c>
      <c r="J1005" s="10">
        <f>99.9406 * CHOOSE(CONTROL!$C$9, $D$9, 100%, $F$9) + CHOOSE(CONTROL!$C$27, 0.0021, 0)</f>
        <v>99.942700000000002</v>
      </c>
      <c r="K1005" s="10">
        <f>99.9406 * CHOOSE(CONTROL!$C$9, $D$9, 100%, $F$9) + CHOOSE(CONTROL!$C$27, 0.0021, 0)</f>
        <v>99.942700000000002</v>
      </c>
      <c r="L1005" s="10"/>
    </row>
    <row r="1006" spans="1:12" ht="15.75">
      <c r="A1006" s="13">
        <v>71924</v>
      </c>
      <c r="B1006" s="10">
        <f>100.5994 * CHOOSE(CONTROL!$C$9, $D$9, 100%, $F$9) + CHOOSE(CONTROL!$C$27, 0.0021, 0)</f>
        <v>100.6015</v>
      </c>
      <c r="C1006" s="10">
        <f>100.1672 * CHOOSE(CONTROL!$C$9, $D$9, 100%, $F$9) + CHOOSE(CONTROL!$C$27, 0.0021, 0)</f>
        <v>100.16929999999999</v>
      </c>
      <c r="D1006" s="10">
        <f>100.1672 * CHOOSE(CONTROL!$C$9, $D$9, 100%, $F$9) + CHOOSE(CONTROL!$C$27, 0.0021, 0)</f>
        <v>100.16929999999999</v>
      </c>
      <c r="E1006" s="10">
        <f>100.0305 * CHOOSE(CONTROL!$C$9, $D$9, 100%, $F$9) + CHOOSE(CONTROL!$C$27, 0.0021, 0)</f>
        <v>100.0326</v>
      </c>
      <c r="F1006" s="10">
        <f>100.0305 * CHOOSE(CONTROL!$C$9, $D$9, 100%, $F$9) + CHOOSE(CONTROL!$C$27, 0.0021, 0)</f>
        <v>100.0326</v>
      </c>
      <c r="G1006" s="10">
        <f>100.3019 * CHOOSE(CONTROL!$C$9, $D$9, 100%, $F$9) + CHOOSE(CONTROL!$C$27, 0.0021, 0)</f>
        <v>100.304</v>
      </c>
      <c r="H1006" s="10">
        <f>100.1672 * CHOOSE(CONTROL!$C$9, $D$9, 100%, $F$9) + CHOOSE(CONTROL!$C$27, 0.0021, 0)</f>
        <v>100.16929999999999</v>
      </c>
      <c r="I1006" s="10">
        <f>100.1672 * CHOOSE(CONTROL!$C$9, $D$9, 100%, $F$9) + CHOOSE(CONTROL!$C$27, 0.0021, 0)</f>
        <v>100.16929999999999</v>
      </c>
      <c r="J1006" s="10">
        <f>100.1672 * CHOOSE(CONTROL!$C$9, $D$9, 100%, $F$9) + CHOOSE(CONTROL!$C$27, 0.0021, 0)</f>
        <v>100.16929999999999</v>
      </c>
      <c r="K1006" s="10">
        <f>100.1672 * CHOOSE(CONTROL!$C$9, $D$9, 100%, $F$9) + CHOOSE(CONTROL!$C$27, 0.0021, 0)</f>
        <v>100.16929999999999</v>
      </c>
      <c r="L1006" s="10"/>
    </row>
    <row r="1007" spans="1:12" ht="15.75">
      <c r="A1007" s="13">
        <v>71955</v>
      </c>
      <c r="B1007" s="10">
        <f>98.6719 * CHOOSE(CONTROL!$C$9, $D$9, 100%, $F$9) + CHOOSE(CONTROL!$C$27, 0.0021, 0)</f>
        <v>98.673999999999992</v>
      </c>
      <c r="C1007" s="10">
        <f>98.2396 * CHOOSE(CONTROL!$C$9, $D$9, 100%, $F$9) + CHOOSE(CONTROL!$C$27, 0.0021, 0)</f>
        <v>98.241699999999994</v>
      </c>
      <c r="D1007" s="10">
        <f>98.2396 * CHOOSE(CONTROL!$C$9, $D$9, 100%, $F$9) + CHOOSE(CONTROL!$C$27, 0.0021, 0)</f>
        <v>98.241699999999994</v>
      </c>
      <c r="E1007" s="10">
        <f>98.103 * CHOOSE(CONTROL!$C$9, $D$9, 100%, $F$9) + CHOOSE(CONTROL!$C$27, 0.0021, 0)</f>
        <v>98.105099999999993</v>
      </c>
      <c r="F1007" s="10">
        <f>98.103 * CHOOSE(CONTROL!$C$9, $D$9, 100%, $F$9) + CHOOSE(CONTROL!$C$27, 0.0021, 0)</f>
        <v>98.105099999999993</v>
      </c>
      <c r="G1007" s="10">
        <f>98.3743 * CHOOSE(CONTROL!$C$9, $D$9, 100%, $F$9) + CHOOSE(CONTROL!$C$27, 0.0021, 0)</f>
        <v>98.376400000000004</v>
      </c>
      <c r="H1007" s="10">
        <f>98.2396 * CHOOSE(CONTROL!$C$9, $D$9, 100%, $F$9) + CHOOSE(CONTROL!$C$27, 0.0021, 0)</f>
        <v>98.241699999999994</v>
      </c>
      <c r="I1007" s="10">
        <f>98.2396 * CHOOSE(CONTROL!$C$9, $D$9, 100%, $F$9) + CHOOSE(CONTROL!$C$27, 0.0021, 0)</f>
        <v>98.241699999999994</v>
      </c>
      <c r="J1007" s="10">
        <f>98.2396 * CHOOSE(CONTROL!$C$9, $D$9, 100%, $F$9) + CHOOSE(CONTROL!$C$27, 0.0021, 0)</f>
        <v>98.241699999999994</v>
      </c>
      <c r="K1007" s="10">
        <f>98.2396 * CHOOSE(CONTROL!$C$9, $D$9, 100%, $F$9) + CHOOSE(CONTROL!$C$27, 0.0021, 0)</f>
        <v>98.241699999999994</v>
      </c>
      <c r="L1007" s="10"/>
    </row>
    <row r="1008" spans="1:12" ht="15.75">
      <c r="A1008" s="13">
        <v>71986</v>
      </c>
      <c r="B1008" s="10">
        <f>97.1961 * CHOOSE(CONTROL!$C$9, $D$9, 100%, $F$9) + CHOOSE(CONTROL!$C$27, 0.0021, 0)</f>
        <v>97.1982</v>
      </c>
      <c r="C1008" s="10">
        <f>96.7638 * CHOOSE(CONTROL!$C$9, $D$9, 100%, $F$9) + CHOOSE(CONTROL!$C$27, 0.0021, 0)</f>
        <v>96.765900000000002</v>
      </c>
      <c r="D1008" s="10">
        <f>96.7638 * CHOOSE(CONTROL!$C$9, $D$9, 100%, $F$9) + CHOOSE(CONTROL!$C$27, 0.0021, 0)</f>
        <v>96.765900000000002</v>
      </c>
      <c r="E1008" s="10">
        <f>96.6271 * CHOOSE(CONTROL!$C$9, $D$9, 100%, $F$9) + CHOOSE(CONTROL!$C$27, 0.0021, 0)</f>
        <v>96.629199999999997</v>
      </c>
      <c r="F1008" s="10">
        <f>96.6271 * CHOOSE(CONTROL!$C$9, $D$9, 100%, $F$9) + CHOOSE(CONTROL!$C$27, 0.0021, 0)</f>
        <v>96.629199999999997</v>
      </c>
      <c r="G1008" s="10">
        <f>96.8985 * CHOOSE(CONTROL!$C$9, $D$9, 100%, $F$9) + CHOOSE(CONTROL!$C$27, 0.0021, 0)</f>
        <v>96.900599999999997</v>
      </c>
      <c r="H1008" s="10">
        <f>96.7638 * CHOOSE(CONTROL!$C$9, $D$9, 100%, $F$9) + CHOOSE(CONTROL!$C$27, 0.0021, 0)</f>
        <v>96.765900000000002</v>
      </c>
      <c r="I1008" s="10">
        <f>96.7638 * CHOOSE(CONTROL!$C$9, $D$9, 100%, $F$9) + CHOOSE(CONTROL!$C$27, 0.0021, 0)</f>
        <v>96.765900000000002</v>
      </c>
      <c r="J1008" s="10">
        <f>96.7638 * CHOOSE(CONTROL!$C$9, $D$9, 100%, $F$9) + CHOOSE(CONTROL!$C$27, 0.0021, 0)</f>
        <v>96.765900000000002</v>
      </c>
      <c r="K1008" s="10">
        <f>96.7638 * CHOOSE(CONTROL!$C$9, $D$9, 100%, $F$9) + CHOOSE(CONTROL!$C$27, 0.0021, 0)</f>
        <v>96.765900000000002</v>
      </c>
      <c r="L1008" s="10"/>
    </row>
    <row r="1009" spans="1:12" ht="15.75">
      <c r="A1009" s="13">
        <v>72014</v>
      </c>
      <c r="B1009" s="10">
        <f>94.5117 * CHOOSE(CONTROL!$C$9, $D$9, 100%, $F$9) + CHOOSE(CONTROL!$C$27, 0.0021, 0)</f>
        <v>94.513800000000003</v>
      </c>
      <c r="C1009" s="10">
        <f>94.0794 * CHOOSE(CONTROL!$C$9, $D$9, 100%, $F$9) + CHOOSE(CONTROL!$C$27, 0.0021, 0)</f>
        <v>94.081500000000005</v>
      </c>
      <c r="D1009" s="10">
        <f>94.0794 * CHOOSE(CONTROL!$C$9, $D$9, 100%, $F$9) + CHOOSE(CONTROL!$C$27, 0.0021, 0)</f>
        <v>94.081500000000005</v>
      </c>
      <c r="E1009" s="10">
        <f>93.9428 * CHOOSE(CONTROL!$C$9, $D$9, 100%, $F$9) + CHOOSE(CONTROL!$C$27, 0.0021, 0)</f>
        <v>93.944900000000004</v>
      </c>
      <c r="F1009" s="10">
        <f>93.9428 * CHOOSE(CONTROL!$C$9, $D$9, 100%, $F$9) + CHOOSE(CONTROL!$C$27, 0.0021, 0)</f>
        <v>93.944900000000004</v>
      </c>
      <c r="G1009" s="10">
        <f>94.2141 * CHOOSE(CONTROL!$C$9, $D$9, 100%, $F$9) + CHOOSE(CONTROL!$C$27, 0.0021, 0)</f>
        <v>94.216200000000001</v>
      </c>
      <c r="H1009" s="10">
        <f>94.0794 * CHOOSE(CONTROL!$C$9, $D$9, 100%, $F$9) + CHOOSE(CONTROL!$C$27, 0.0021, 0)</f>
        <v>94.081500000000005</v>
      </c>
      <c r="I1009" s="10">
        <f>94.0794 * CHOOSE(CONTROL!$C$9, $D$9, 100%, $F$9) + CHOOSE(CONTROL!$C$27, 0.0021, 0)</f>
        <v>94.081500000000005</v>
      </c>
      <c r="J1009" s="10">
        <f>94.0794 * CHOOSE(CONTROL!$C$9, $D$9, 100%, $F$9) + CHOOSE(CONTROL!$C$27, 0.0021, 0)</f>
        <v>94.081500000000005</v>
      </c>
      <c r="K1009" s="10">
        <f>94.0794 * CHOOSE(CONTROL!$C$9, $D$9, 100%, $F$9) + CHOOSE(CONTROL!$C$27, 0.0021, 0)</f>
        <v>94.081500000000005</v>
      </c>
      <c r="L1009" s="10"/>
    </row>
    <row r="1010" spans="1:12" ht="15.75">
      <c r="A1010" s="13">
        <v>72045</v>
      </c>
      <c r="B1010" s="10">
        <f>93.4036 * CHOOSE(CONTROL!$C$9, $D$9, 100%, $F$9) + CHOOSE(CONTROL!$C$27, 0.0021, 0)</f>
        <v>93.405699999999996</v>
      </c>
      <c r="C1010" s="10">
        <f>92.9713 * CHOOSE(CONTROL!$C$9, $D$9, 100%, $F$9) + CHOOSE(CONTROL!$C$27, 0.0021, 0)</f>
        <v>92.973399999999998</v>
      </c>
      <c r="D1010" s="10">
        <f>92.9713 * CHOOSE(CONTROL!$C$9, $D$9, 100%, $F$9) + CHOOSE(CONTROL!$C$27, 0.0021, 0)</f>
        <v>92.973399999999998</v>
      </c>
      <c r="E1010" s="10">
        <f>92.8346 * CHOOSE(CONTROL!$C$9, $D$9, 100%, $F$9) + CHOOSE(CONTROL!$C$27, 0.0021, 0)</f>
        <v>92.836699999999993</v>
      </c>
      <c r="F1010" s="10">
        <f>92.8346 * CHOOSE(CONTROL!$C$9, $D$9, 100%, $F$9) + CHOOSE(CONTROL!$C$27, 0.0021, 0)</f>
        <v>92.836699999999993</v>
      </c>
      <c r="G1010" s="10">
        <f>93.106 * CHOOSE(CONTROL!$C$9, $D$9, 100%, $F$9) + CHOOSE(CONTROL!$C$27, 0.0021, 0)</f>
        <v>93.108099999999993</v>
      </c>
      <c r="H1010" s="10">
        <f>92.9713 * CHOOSE(CONTROL!$C$9, $D$9, 100%, $F$9) + CHOOSE(CONTROL!$C$27, 0.0021, 0)</f>
        <v>92.973399999999998</v>
      </c>
      <c r="I1010" s="10">
        <f>92.9713 * CHOOSE(CONTROL!$C$9, $D$9, 100%, $F$9) + CHOOSE(CONTROL!$C$27, 0.0021, 0)</f>
        <v>92.973399999999998</v>
      </c>
      <c r="J1010" s="10">
        <f>92.9713 * CHOOSE(CONTROL!$C$9, $D$9, 100%, $F$9) + CHOOSE(CONTROL!$C$27, 0.0021, 0)</f>
        <v>92.973399999999998</v>
      </c>
      <c r="K1010" s="10">
        <f>92.9713 * CHOOSE(CONTROL!$C$9, $D$9, 100%, $F$9) + CHOOSE(CONTROL!$C$27, 0.0021, 0)</f>
        <v>92.973399999999998</v>
      </c>
      <c r="L1010" s="10"/>
    </row>
    <row r="1011" spans="1:12" ht="15.75">
      <c r="A1011" s="13">
        <v>72075</v>
      </c>
      <c r="B1011" s="10">
        <f>92.0804 * CHOOSE(CONTROL!$C$9, $D$9, 100%, $F$9) + CHOOSE(CONTROL!$C$27, 0.0021, 0)</f>
        <v>92.082499999999996</v>
      </c>
      <c r="C1011" s="10">
        <f>91.6482 * CHOOSE(CONTROL!$C$9, $D$9, 100%, $F$9) + CHOOSE(CONTROL!$C$27, 0.0021, 0)</f>
        <v>91.650300000000001</v>
      </c>
      <c r="D1011" s="10">
        <f>91.6482 * CHOOSE(CONTROL!$C$9, $D$9, 100%, $F$9) + CHOOSE(CONTROL!$C$27, 0.0021, 0)</f>
        <v>91.650300000000001</v>
      </c>
      <c r="E1011" s="10">
        <f>91.5115 * CHOOSE(CONTROL!$C$9, $D$9, 100%, $F$9) + CHOOSE(CONTROL!$C$27, 0.0021, 0)</f>
        <v>91.513599999999997</v>
      </c>
      <c r="F1011" s="10">
        <f>91.5115 * CHOOSE(CONTROL!$C$9, $D$9, 100%, $F$9) + CHOOSE(CONTROL!$C$27, 0.0021, 0)</f>
        <v>91.513599999999997</v>
      </c>
      <c r="G1011" s="10">
        <f>91.7829 * CHOOSE(CONTROL!$C$9, $D$9, 100%, $F$9) + CHOOSE(CONTROL!$C$27, 0.0021, 0)</f>
        <v>91.784999999999997</v>
      </c>
      <c r="H1011" s="10">
        <f>91.6482 * CHOOSE(CONTROL!$C$9, $D$9, 100%, $F$9) + CHOOSE(CONTROL!$C$27, 0.0021, 0)</f>
        <v>91.650300000000001</v>
      </c>
      <c r="I1011" s="10">
        <f>91.6482 * CHOOSE(CONTROL!$C$9, $D$9, 100%, $F$9) + CHOOSE(CONTROL!$C$27, 0.0021, 0)</f>
        <v>91.650300000000001</v>
      </c>
      <c r="J1011" s="10">
        <f>91.6482 * CHOOSE(CONTROL!$C$9, $D$9, 100%, $F$9) + CHOOSE(CONTROL!$C$27, 0.0021, 0)</f>
        <v>91.650300000000001</v>
      </c>
      <c r="K1011" s="10">
        <f>91.6482 * CHOOSE(CONTROL!$C$9, $D$9, 100%, $F$9) + CHOOSE(CONTROL!$C$27, 0.0021, 0)</f>
        <v>91.650300000000001</v>
      </c>
      <c r="L1011" s="10"/>
    </row>
    <row r="1012" spans="1:12" ht="15.75">
      <c r="A1012" s="13">
        <v>72106</v>
      </c>
      <c r="B1012" s="10">
        <f>93.966 * CHOOSE(CONTROL!$C$9, $D$9, 100%, $F$9) + CHOOSE(CONTROL!$C$27, 0.0021, 0)</f>
        <v>93.968099999999993</v>
      </c>
      <c r="C1012" s="10">
        <f>93.5338 * CHOOSE(CONTROL!$C$9, $D$9, 100%, $F$9) + CHOOSE(CONTROL!$C$27, 0.0021, 0)</f>
        <v>93.535899999999998</v>
      </c>
      <c r="D1012" s="10">
        <f>93.5338 * CHOOSE(CONTROL!$C$9, $D$9, 100%, $F$9) + CHOOSE(CONTROL!$C$27, 0.0021, 0)</f>
        <v>93.535899999999998</v>
      </c>
      <c r="E1012" s="10">
        <f>93.3971 * CHOOSE(CONTROL!$C$9, $D$9, 100%, $F$9) + CHOOSE(CONTROL!$C$27, 0.0021, 0)</f>
        <v>93.399199999999993</v>
      </c>
      <c r="F1012" s="10">
        <f>93.3971 * CHOOSE(CONTROL!$C$9, $D$9, 100%, $F$9) + CHOOSE(CONTROL!$C$27, 0.0021, 0)</f>
        <v>93.399199999999993</v>
      </c>
      <c r="G1012" s="10">
        <f>93.6685 * CHOOSE(CONTROL!$C$9, $D$9, 100%, $F$9) + CHOOSE(CONTROL!$C$27, 0.0021, 0)</f>
        <v>93.670599999999993</v>
      </c>
      <c r="H1012" s="10">
        <f>93.5338 * CHOOSE(CONTROL!$C$9, $D$9, 100%, $F$9) + CHOOSE(CONTROL!$C$27, 0.0021, 0)</f>
        <v>93.535899999999998</v>
      </c>
      <c r="I1012" s="10">
        <f>93.5338 * CHOOSE(CONTROL!$C$9, $D$9, 100%, $F$9) + CHOOSE(CONTROL!$C$27, 0.0021, 0)</f>
        <v>93.535899999999998</v>
      </c>
      <c r="J1012" s="10">
        <f>93.5338 * CHOOSE(CONTROL!$C$9, $D$9, 100%, $F$9) + CHOOSE(CONTROL!$C$27, 0.0021, 0)</f>
        <v>93.535899999999998</v>
      </c>
      <c r="K1012" s="10">
        <f>93.5338 * CHOOSE(CONTROL!$C$9, $D$9, 100%, $F$9) + CHOOSE(CONTROL!$C$27, 0.0021, 0)</f>
        <v>93.535899999999998</v>
      </c>
      <c r="L1012" s="10"/>
    </row>
    <row r="1013" spans="1:12" ht="15.75">
      <c r="A1013" s="13">
        <v>72136</v>
      </c>
      <c r="B1013" s="10">
        <f>95.0954 * CHOOSE(CONTROL!$C$9, $D$9, 100%, $F$9) + CHOOSE(CONTROL!$C$27, 0.0021, 0)</f>
        <v>95.097499999999997</v>
      </c>
      <c r="C1013" s="10">
        <f>94.6632 * CHOOSE(CONTROL!$C$9, $D$9, 100%, $F$9) + CHOOSE(CONTROL!$C$27, 0.0021, 0)</f>
        <v>94.665300000000002</v>
      </c>
      <c r="D1013" s="10">
        <f>94.6632 * CHOOSE(CONTROL!$C$9, $D$9, 100%, $F$9) + CHOOSE(CONTROL!$C$27, 0.0021, 0)</f>
        <v>94.665300000000002</v>
      </c>
      <c r="E1013" s="10">
        <f>94.5265 * CHOOSE(CONTROL!$C$9, $D$9, 100%, $F$9) + CHOOSE(CONTROL!$C$27, 0.0021, 0)</f>
        <v>94.528599999999997</v>
      </c>
      <c r="F1013" s="10">
        <f>94.5265 * CHOOSE(CONTROL!$C$9, $D$9, 100%, $F$9) + CHOOSE(CONTROL!$C$27, 0.0021, 0)</f>
        <v>94.528599999999997</v>
      </c>
      <c r="G1013" s="10">
        <f>94.7979 * CHOOSE(CONTROL!$C$9, $D$9, 100%, $F$9) + CHOOSE(CONTROL!$C$27, 0.0021, 0)</f>
        <v>94.8</v>
      </c>
      <c r="H1013" s="10">
        <f>94.6632 * CHOOSE(CONTROL!$C$9, $D$9, 100%, $F$9) + CHOOSE(CONTROL!$C$27, 0.0021, 0)</f>
        <v>94.665300000000002</v>
      </c>
      <c r="I1013" s="10">
        <f>94.6632 * CHOOSE(CONTROL!$C$9, $D$9, 100%, $F$9) + CHOOSE(CONTROL!$C$27, 0.0021, 0)</f>
        <v>94.665300000000002</v>
      </c>
      <c r="J1013" s="10">
        <f>94.6632 * CHOOSE(CONTROL!$C$9, $D$9, 100%, $F$9) + CHOOSE(CONTROL!$C$27, 0.0021, 0)</f>
        <v>94.665300000000002</v>
      </c>
      <c r="K1013" s="10">
        <f>94.6632 * CHOOSE(CONTROL!$C$9, $D$9, 100%, $F$9) + CHOOSE(CONTROL!$C$27, 0.0021, 0)</f>
        <v>94.665300000000002</v>
      </c>
      <c r="L1013" s="10"/>
    </row>
    <row r="1014" spans="1:12" ht="15.75">
      <c r="A1014" s="13">
        <v>72167</v>
      </c>
      <c r="B1014" s="10">
        <f>96.9585 * CHOOSE(CONTROL!$C$9, $D$9, 100%, $F$9) + CHOOSE(CONTROL!$C$27, 0.0021, 0)</f>
        <v>96.960599999999999</v>
      </c>
      <c r="C1014" s="10">
        <f>96.5263 * CHOOSE(CONTROL!$C$9, $D$9, 100%, $F$9) + CHOOSE(CONTROL!$C$27, 0.0021, 0)</f>
        <v>96.528400000000005</v>
      </c>
      <c r="D1014" s="10">
        <f>96.5263 * CHOOSE(CONTROL!$C$9, $D$9, 100%, $F$9) + CHOOSE(CONTROL!$C$27, 0.0021, 0)</f>
        <v>96.528400000000005</v>
      </c>
      <c r="E1014" s="10">
        <f>96.3896 * CHOOSE(CONTROL!$C$9, $D$9, 100%, $F$9) + CHOOSE(CONTROL!$C$27, 0.0021, 0)</f>
        <v>96.3917</v>
      </c>
      <c r="F1014" s="10">
        <f>96.3896 * CHOOSE(CONTROL!$C$9, $D$9, 100%, $F$9) + CHOOSE(CONTROL!$C$27, 0.0021, 0)</f>
        <v>96.3917</v>
      </c>
      <c r="G1014" s="10">
        <f>96.661 * CHOOSE(CONTROL!$C$9, $D$9, 100%, $F$9) + CHOOSE(CONTROL!$C$27, 0.0021, 0)</f>
        <v>96.6631</v>
      </c>
      <c r="H1014" s="10">
        <f>96.5263 * CHOOSE(CONTROL!$C$9, $D$9, 100%, $F$9) + CHOOSE(CONTROL!$C$27, 0.0021, 0)</f>
        <v>96.528400000000005</v>
      </c>
      <c r="I1014" s="10">
        <f>96.5263 * CHOOSE(CONTROL!$C$9, $D$9, 100%, $F$9) + CHOOSE(CONTROL!$C$27, 0.0021, 0)</f>
        <v>96.528400000000005</v>
      </c>
      <c r="J1014" s="10">
        <f>96.5263 * CHOOSE(CONTROL!$C$9, $D$9, 100%, $F$9) + CHOOSE(CONTROL!$C$27, 0.0021, 0)</f>
        <v>96.528400000000005</v>
      </c>
      <c r="K1014" s="10">
        <f>96.5263 * CHOOSE(CONTROL!$C$9, $D$9, 100%, $F$9) + CHOOSE(CONTROL!$C$27, 0.0021, 0)</f>
        <v>96.528400000000005</v>
      </c>
      <c r="L1014" s="10"/>
    </row>
    <row r="1015" spans="1:12" ht="15.75">
      <c r="A1015" s="13">
        <v>72198</v>
      </c>
      <c r="B1015" s="10">
        <f>97.5272 * CHOOSE(CONTROL!$C$9, $D$9, 100%, $F$9) + CHOOSE(CONTROL!$C$27, 0.0021, 0)</f>
        <v>97.529299999999992</v>
      </c>
      <c r="C1015" s="10">
        <f>97.0949 * CHOOSE(CONTROL!$C$9, $D$9, 100%, $F$9) + CHOOSE(CONTROL!$C$27, 0.0021, 0)</f>
        <v>97.096999999999994</v>
      </c>
      <c r="D1015" s="10">
        <f>97.0949 * CHOOSE(CONTROL!$C$9, $D$9, 100%, $F$9) + CHOOSE(CONTROL!$C$27, 0.0021, 0)</f>
        <v>97.096999999999994</v>
      </c>
      <c r="E1015" s="10">
        <f>96.9583 * CHOOSE(CONTROL!$C$9, $D$9, 100%, $F$9) + CHOOSE(CONTROL!$C$27, 0.0021, 0)</f>
        <v>96.960399999999993</v>
      </c>
      <c r="F1015" s="10">
        <f>96.9583 * CHOOSE(CONTROL!$C$9, $D$9, 100%, $F$9) + CHOOSE(CONTROL!$C$27, 0.0021, 0)</f>
        <v>96.960399999999993</v>
      </c>
      <c r="G1015" s="10">
        <f>97.2296 * CHOOSE(CONTROL!$C$9, $D$9, 100%, $F$9) + CHOOSE(CONTROL!$C$27, 0.0021, 0)</f>
        <v>97.231700000000004</v>
      </c>
      <c r="H1015" s="10">
        <f>97.0949 * CHOOSE(CONTROL!$C$9, $D$9, 100%, $F$9) + CHOOSE(CONTROL!$C$27, 0.0021, 0)</f>
        <v>97.096999999999994</v>
      </c>
      <c r="I1015" s="10">
        <f>97.0949 * CHOOSE(CONTROL!$C$9, $D$9, 100%, $F$9) + CHOOSE(CONTROL!$C$27, 0.0021, 0)</f>
        <v>97.096999999999994</v>
      </c>
      <c r="J1015" s="10">
        <f>97.0949 * CHOOSE(CONTROL!$C$9, $D$9, 100%, $F$9) + CHOOSE(CONTROL!$C$27, 0.0021, 0)</f>
        <v>97.096999999999994</v>
      </c>
      <c r="K1015" s="10">
        <f>97.0949 * CHOOSE(CONTROL!$C$9, $D$9, 100%, $F$9) + CHOOSE(CONTROL!$C$27, 0.0021, 0)</f>
        <v>97.096999999999994</v>
      </c>
      <c r="L1015" s="10"/>
    </row>
    <row r="1016" spans="1:12" ht="15.75">
      <c r="A1016" s="13">
        <v>72228</v>
      </c>
      <c r="B1016" s="10">
        <f>99.4638 * CHOOSE(CONTROL!$C$9, $D$9, 100%, $F$9) + CHOOSE(CONTROL!$C$27, 0.0021, 0)</f>
        <v>99.465900000000005</v>
      </c>
      <c r="C1016" s="10">
        <f>99.0315 * CHOOSE(CONTROL!$C$9, $D$9, 100%, $F$9) + CHOOSE(CONTROL!$C$27, 0.0021, 0)</f>
        <v>99.033599999999993</v>
      </c>
      <c r="D1016" s="10">
        <f>99.0315 * CHOOSE(CONTROL!$C$9, $D$9, 100%, $F$9) + CHOOSE(CONTROL!$C$27, 0.0021, 0)</f>
        <v>99.033599999999993</v>
      </c>
      <c r="E1016" s="10">
        <f>98.8949 * CHOOSE(CONTROL!$C$9, $D$9, 100%, $F$9) + CHOOSE(CONTROL!$C$27, 0.0021, 0)</f>
        <v>98.897000000000006</v>
      </c>
      <c r="F1016" s="10">
        <f>98.8949 * CHOOSE(CONTROL!$C$9, $D$9, 100%, $F$9) + CHOOSE(CONTROL!$C$27, 0.0021, 0)</f>
        <v>98.897000000000006</v>
      </c>
      <c r="G1016" s="10">
        <f>99.1662 * CHOOSE(CONTROL!$C$9, $D$9, 100%, $F$9) + CHOOSE(CONTROL!$C$27, 0.0021, 0)</f>
        <v>99.168300000000002</v>
      </c>
      <c r="H1016" s="10">
        <f>99.0315 * CHOOSE(CONTROL!$C$9, $D$9, 100%, $F$9) + CHOOSE(CONTROL!$C$27, 0.0021, 0)</f>
        <v>99.033599999999993</v>
      </c>
      <c r="I1016" s="10">
        <f>99.0315 * CHOOSE(CONTROL!$C$9, $D$9, 100%, $F$9) + CHOOSE(CONTROL!$C$27, 0.0021, 0)</f>
        <v>99.033599999999993</v>
      </c>
      <c r="J1016" s="10">
        <f>99.0315 * CHOOSE(CONTROL!$C$9, $D$9, 100%, $F$9) + CHOOSE(CONTROL!$C$27, 0.0021, 0)</f>
        <v>99.033599999999993</v>
      </c>
      <c r="K1016" s="10">
        <f>99.0315 * CHOOSE(CONTROL!$C$9, $D$9, 100%, $F$9) + CHOOSE(CONTROL!$C$27, 0.0021, 0)</f>
        <v>99.033599999999993</v>
      </c>
      <c r="L1016" s="10"/>
    </row>
    <row r="1017" spans="1:12" ht="15.75">
      <c r="A1017" s="13">
        <v>72259</v>
      </c>
      <c r="B1017" s="10">
        <f>101.9152 * CHOOSE(CONTROL!$C$9, $D$9, 100%, $F$9) + CHOOSE(CONTROL!$C$27, 0.0021, 0)</f>
        <v>101.9173</v>
      </c>
      <c r="C1017" s="10">
        <f>101.4829 * CHOOSE(CONTROL!$C$9, $D$9, 100%, $F$9) + CHOOSE(CONTROL!$C$27, 0.0021, 0)</f>
        <v>101.485</v>
      </c>
      <c r="D1017" s="10">
        <f>101.4829 * CHOOSE(CONTROL!$C$9, $D$9, 100%, $F$9) + CHOOSE(CONTROL!$C$27, 0.0021, 0)</f>
        <v>101.485</v>
      </c>
      <c r="E1017" s="10">
        <f>101.3463 * CHOOSE(CONTROL!$C$9, $D$9, 100%, $F$9) + CHOOSE(CONTROL!$C$27, 0.0021, 0)</f>
        <v>101.3484</v>
      </c>
      <c r="F1017" s="10">
        <f>101.3463 * CHOOSE(CONTROL!$C$9, $D$9, 100%, $F$9) + CHOOSE(CONTROL!$C$27, 0.0021, 0)</f>
        <v>101.3484</v>
      </c>
      <c r="G1017" s="10">
        <f>101.6176 * CHOOSE(CONTROL!$C$9, $D$9, 100%, $F$9) + CHOOSE(CONTROL!$C$27, 0.0021, 0)</f>
        <v>101.61969999999999</v>
      </c>
      <c r="H1017" s="10">
        <f>101.4829 * CHOOSE(CONTROL!$C$9, $D$9, 100%, $F$9) + CHOOSE(CONTROL!$C$27, 0.0021, 0)</f>
        <v>101.485</v>
      </c>
      <c r="I1017" s="10">
        <f>101.4829 * CHOOSE(CONTROL!$C$9, $D$9, 100%, $F$9) + CHOOSE(CONTROL!$C$27, 0.0021, 0)</f>
        <v>101.485</v>
      </c>
      <c r="J1017" s="10">
        <f>101.4829 * CHOOSE(CONTROL!$C$9, $D$9, 100%, $F$9) + CHOOSE(CONTROL!$C$27, 0.0021, 0)</f>
        <v>101.485</v>
      </c>
      <c r="K1017" s="10">
        <f>101.4829 * CHOOSE(CONTROL!$C$9, $D$9, 100%, $F$9) + CHOOSE(CONTROL!$C$27, 0.0021, 0)</f>
        <v>101.485</v>
      </c>
      <c r="L1017" s="10"/>
    </row>
    <row r="1018" spans="1:12" ht="15.75">
      <c r="A1018" s="13">
        <v>72289</v>
      </c>
      <c r="B1018" s="10">
        <f>102.1453 * CHOOSE(CONTROL!$C$9, $D$9, 100%, $F$9) + CHOOSE(CONTROL!$C$27, 0.0021, 0)</f>
        <v>102.1474</v>
      </c>
      <c r="C1018" s="10">
        <f>101.7131 * CHOOSE(CONTROL!$C$9, $D$9, 100%, $F$9) + CHOOSE(CONTROL!$C$27, 0.0021, 0)</f>
        <v>101.7152</v>
      </c>
      <c r="D1018" s="10">
        <f>101.7131 * CHOOSE(CONTROL!$C$9, $D$9, 100%, $F$9) + CHOOSE(CONTROL!$C$27, 0.0021, 0)</f>
        <v>101.7152</v>
      </c>
      <c r="E1018" s="10">
        <f>101.5764 * CHOOSE(CONTROL!$C$9, $D$9, 100%, $F$9) + CHOOSE(CONTROL!$C$27, 0.0021, 0)</f>
        <v>101.57850000000001</v>
      </c>
      <c r="F1018" s="10">
        <f>101.5764 * CHOOSE(CONTROL!$C$9, $D$9, 100%, $F$9) + CHOOSE(CONTROL!$C$27, 0.0021, 0)</f>
        <v>101.57850000000001</v>
      </c>
      <c r="G1018" s="10">
        <f>101.8478 * CHOOSE(CONTROL!$C$9, $D$9, 100%, $F$9) + CHOOSE(CONTROL!$C$27, 0.0021, 0)</f>
        <v>101.84990000000001</v>
      </c>
      <c r="H1018" s="10">
        <f>101.7131 * CHOOSE(CONTROL!$C$9, $D$9, 100%, $F$9) + CHOOSE(CONTROL!$C$27, 0.0021, 0)</f>
        <v>101.7152</v>
      </c>
      <c r="I1018" s="10">
        <f>101.7131 * CHOOSE(CONTROL!$C$9, $D$9, 100%, $F$9) + CHOOSE(CONTROL!$C$27, 0.0021, 0)</f>
        <v>101.7152</v>
      </c>
      <c r="J1018" s="10">
        <f>101.7131 * CHOOSE(CONTROL!$C$9, $D$9, 100%, $F$9) + CHOOSE(CONTROL!$C$27, 0.0021, 0)</f>
        <v>101.7152</v>
      </c>
      <c r="K1018" s="10">
        <f>101.7131 * CHOOSE(CONTROL!$C$9, $D$9, 100%, $F$9) + CHOOSE(CONTROL!$C$27, 0.0021, 0)</f>
        <v>101.7152</v>
      </c>
      <c r="L1018" s="10"/>
    </row>
    <row r="1019" spans="1:12" ht="15.75">
      <c r="A1019" s="13">
        <v>72320</v>
      </c>
      <c r="B1019" s="10">
        <f>100.1874 * CHOOSE(CONTROL!$C$9, $D$9, 100%, $F$9) + CHOOSE(CONTROL!$C$27, 0.0021, 0)</f>
        <v>100.1895</v>
      </c>
      <c r="C1019" s="10">
        <f>99.7552 * CHOOSE(CONTROL!$C$9, $D$9, 100%, $F$9) + CHOOSE(CONTROL!$C$27, 0.0021, 0)</f>
        <v>99.757300000000001</v>
      </c>
      <c r="D1019" s="10">
        <f>99.7552 * CHOOSE(CONTROL!$C$9, $D$9, 100%, $F$9) + CHOOSE(CONTROL!$C$27, 0.0021, 0)</f>
        <v>99.757300000000001</v>
      </c>
      <c r="E1019" s="10">
        <f>99.6185 * CHOOSE(CONTROL!$C$9, $D$9, 100%, $F$9) + CHOOSE(CONTROL!$C$27, 0.0021, 0)</f>
        <v>99.620599999999996</v>
      </c>
      <c r="F1019" s="10">
        <f>99.6185 * CHOOSE(CONTROL!$C$9, $D$9, 100%, $F$9) + CHOOSE(CONTROL!$C$27, 0.0021, 0)</f>
        <v>99.620599999999996</v>
      </c>
      <c r="G1019" s="10">
        <f>99.8899 * CHOOSE(CONTROL!$C$9, $D$9, 100%, $F$9) + CHOOSE(CONTROL!$C$27, 0.0021, 0)</f>
        <v>99.891999999999996</v>
      </c>
      <c r="H1019" s="10">
        <f>99.7552 * CHOOSE(CONTROL!$C$9, $D$9, 100%, $F$9) + CHOOSE(CONTROL!$C$27, 0.0021, 0)</f>
        <v>99.757300000000001</v>
      </c>
      <c r="I1019" s="10">
        <f>99.7552 * CHOOSE(CONTROL!$C$9, $D$9, 100%, $F$9) + CHOOSE(CONTROL!$C$27, 0.0021, 0)</f>
        <v>99.757300000000001</v>
      </c>
      <c r="J1019" s="10">
        <f>99.7552 * CHOOSE(CONTROL!$C$9, $D$9, 100%, $F$9) + CHOOSE(CONTROL!$C$27, 0.0021, 0)</f>
        <v>99.757300000000001</v>
      </c>
      <c r="K1019" s="10">
        <f>99.7552 * CHOOSE(CONTROL!$C$9, $D$9, 100%, $F$9) + CHOOSE(CONTROL!$C$27, 0.0021, 0)</f>
        <v>99.757300000000001</v>
      </c>
      <c r="L1019" s="10"/>
    </row>
    <row r="1020" spans="1:12" ht="15.75">
      <c r="A1020" s="13">
        <v>72351</v>
      </c>
      <c r="B1020" s="10">
        <f>98.6884 * CHOOSE(CONTROL!$C$9, $D$9, 100%, $F$9) + CHOOSE(CONTROL!$C$27, 0.0021, 0)</f>
        <v>98.6905</v>
      </c>
      <c r="C1020" s="10">
        <f>98.2562 * CHOOSE(CONTROL!$C$9, $D$9, 100%, $F$9) + CHOOSE(CONTROL!$C$27, 0.0021, 0)</f>
        <v>98.258300000000006</v>
      </c>
      <c r="D1020" s="10">
        <f>98.2562 * CHOOSE(CONTROL!$C$9, $D$9, 100%, $F$9) + CHOOSE(CONTROL!$C$27, 0.0021, 0)</f>
        <v>98.258300000000006</v>
      </c>
      <c r="E1020" s="10">
        <f>98.1195 * CHOOSE(CONTROL!$C$9, $D$9, 100%, $F$9) + CHOOSE(CONTROL!$C$27, 0.0021, 0)</f>
        <v>98.121600000000001</v>
      </c>
      <c r="F1020" s="10">
        <f>98.1195 * CHOOSE(CONTROL!$C$9, $D$9, 100%, $F$9) + CHOOSE(CONTROL!$C$27, 0.0021, 0)</f>
        <v>98.121600000000001</v>
      </c>
      <c r="G1020" s="10">
        <f>98.3909 * CHOOSE(CONTROL!$C$9, $D$9, 100%, $F$9) + CHOOSE(CONTROL!$C$27, 0.0021, 0)</f>
        <v>98.393000000000001</v>
      </c>
      <c r="H1020" s="10">
        <f>98.2562 * CHOOSE(CONTROL!$C$9, $D$9, 100%, $F$9) + CHOOSE(CONTROL!$C$27, 0.0021, 0)</f>
        <v>98.258300000000006</v>
      </c>
      <c r="I1020" s="10">
        <f>98.2562 * CHOOSE(CONTROL!$C$9, $D$9, 100%, $F$9) + CHOOSE(CONTROL!$C$27, 0.0021, 0)</f>
        <v>98.258300000000006</v>
      </c>
      <c r="J1020" s="10">
        <f>98.2562 * CHOOSE(CONTROL!$C$9, $D$9, 100%, $F$9) + CHOOSE(CONTROL!$C$27, 0.0021, 0)</f>
        <v>98.258300000000006</v>
      </c>
      <c r="K1020" s="10">
        <f>98.2562 * CHOOSE(CONTROL!$C$9, $D$9, 100%, $F$9) + CHOOSE(CONTROL!$C$27, 0.0021, 0)</f>
        <v>98.258300000000006</v>
      </c>
      <c r="L1020" s="10"/>
    </row>
    <row r="1021" spans="1:12" ht="15.75">
      <c r="A1021" s="13">
        <v>72379</v>
      </c>
      <c r="B1021" s="10">
        <f>95.9618 * CHOOSE(CONTROL!$C$9, $D$9, 100%, $F$9) + CHOOSE(CONTROL!$C$27, 0.0021, 0)</f>
        <v>95.963899999999995</v>
      </c>
      <c r="C1021" s="10">
        <f>95.5296 * CHOOSE(CONTROL!$C$9, $D$9, 100%, $F$9) + CHOOSE(CONTROL!$C$27, 0.0021, 0)</f>
        <v>95.531700000000001</v>
      </c>
      <c r="D1021" s="10">
        <f>95.5296 * CHOOSE(CONTROL!$C$9, $D$9, 100%, $F$9) + CHOOSE(CONTROL!$C$27, 0.0021, 0)</f>
        <v>95.531700000000001</v>
      </c>
      <c r="E1021" s="10">
        <f>95.3929 * CHOOSE(CONTROL!$C$9, $D$9, 100%, $F$9) + CHOOSE(CONTROL!$C$27, 0.0021, 0)</f>
        <v>95.394999999999996</v>
      </c>
      <c r="F1021" s="10">
        <f>95.3929 * CHOOSE(CONTROL!$C$9, $D$9, 100%, $F$9) + CHOOSE(CONTROL!$C$27, 0.0021, 0)</f>
        <v>95.394999999999996</v>
      </c>
      <c r="G1021" s="10">
        <f>95.6643 * CHOOSE(CONTROL!$C$9, $D$9, 100%, $F$9) + CHOOSE(CONTROL!$C$27, 0.0021, 0)</f>
        <v>95.666399999999996</v>
      </c>
      <c r="H1021" s="10">
        <f>95.5296 * CHOOSE(CONTROL!$C$9, $D$9, 100%, $F$9) + CHOOSE(CONTROL!$C$27, 0.0021, 0)</f>
        <v>95.531700000000001</v>
      </c>
      <c r="I1021" s="10">
        <f>95.5296 * CHOOSE(CONTROL!$C$9, $D$9, 100%, $F$9) + CHOOSE(CONTROL!$C$27, 0.0021, 0)</f>
        <v>95.531700000000001</v>
      </c>
      <c r="J1021" s="10">
        <f>95.5296 * CHOOSE(CONTROL!$C$9, $D$9, 100%, $F$9) + CHOOSE(CONTROL!$C$27, 0.0021, 0)</f>
        <v>95.531700000000001</v>
      </c>
      <c r="K1021" s="10">
        <f>95.5296 * CHOOSE(CONTROL!$C$9, $D$9, 100%, $F$9) + CHOOSE(CONTROL!$C$27, 0.0021, 0)</f>
        <v>95.531700000000001</v>
      </c>
      <c r="L1021" s="10"/>
    </row>
    <row r="1022" spans="1:12" ht="15.75">
      <c r="A1022" s="13">
        <v>72410</v>
      </c>
      <c r="B1022" s="10">
        <f>94.8363 * CHOOSE(CONTROL!$C$9, $D$9, 100%, $F$9) + CHOOSE(CONTROL!$C$27, 0.0021, 0)</f>
        <v>94.838399999999993</v>
      </c>
      <c r="C1022" s="10">
        <f>94.404 * CHOOSE(CONTROL!$C$9, $D$9, 100%, $F$9) + CHOOSE(CONTROL!$C$27, 0.0021, 0)</f>
        <v>94.406099999999995</v>
      </c>
      <c r="D1022" s="10">
        <f>94.404 * CHOOSE(CONTROL!$C$9, $D$9, 100%, $F$9) + CHOOSE(CONTROL!$C$27, 0.0021, 0)</f>
        <v>94.406099999999995</v>
      </c>
      <c r="E1022" s="10">
        <f>94.2674 * CHOOSE(CONTROL!$C$9, $D$9, 100%, $F$9) + CHOOSE(CONTROL!$C$27, 0.0021, 0)</f>
        <v>94.269499999999994</v>
      </c>
      <c r="F1022" s="10">
        <f>94.2674 * CHOOSE(CONTROL!$C$9, $D$9, 100%, $F$9) + CHOOSE(CONTROL!$C$27, 0.0021, 0)</f>
        <v>94.269499999999994</v>
      </c>
      <c r="G1022" s="10">
        <f>94.5387 * CHOOSE(CONTROL!$C$9, $D$9, 100%, $F$9) + CHOOSE(CONTROL!$C$27, 0.0021, 0)</f>
        <v>94.540800000000004</v>
      </c>
      <c r="H1022" s="10">
        <f>94.404 * CHOOSE(CONTROL!$C$9, $D$9, 100%, $F$9) + CHOOSE(CONTROL!$C$27, 0.0021, 0)</f>
        <v>94.406099999999995</v>
      </c>
      <c r="I1022" s="10">
        <f>94.404 * CHOOSE(CONTROL!$C$9, $D$9, 100%, $F$9) + CHOOSE(CONTROL!$C$27, 0.0021, 0)</f>
        <v>94.406099999999995</v>
      </c>
      <c r="J1022" s="10">
        <f>94.404 * CHOOSE(CONTROL!$C$9, $D$9, 100%, $F$9) + CHOOSE(CONTROL!$C$27, 0.0021, 0)</f>
        <v>94.406099999999995</v>
      </c>
      <c r="K1022" s="10">
        <f>94.404 * CHOOSE(CONTROL!$C$9, $D$9, 100%, $F$9) + CHOOSE(CONTROL!$C$27, 0.0021, 0)</f>
        <v>94.406099999999995</v>
      </c>
      <c r="L1022" s="10"/>
    </row>
    <row r="1023" spans="1:12" ht="15.75">
      <c r="A1023" s="13">
        <v>72440</v>
      </c>
      <c r="B1023" s="10">
        <f>93.4924 * CHOOSE(CONTROL!$C$9, $D$9, 100%, $F$9) + CHOOSE(CONTROL!$C$27, 0.0021, 0)</f>
        <v>93.494500000000002</v>
      </c>
      <c r="C1023" s="10">
        <f>93.0601 * CHOOSE(CONTROL!$C$9, $D$9, 100%, $F$9) + CHOOSE(CONTROL!$C$27, 0.0021, 0)</f>
        <v>93.062200000000004</v>
      </c>
      <c r="D1023" s="10">
        <f>93.0601 * CHOOSE(CONTROL!$C$9, $D$9, 100%, $F$9) + CHOOSE(CONTROL!$C$27, 0.0021, 0)</f>
        <v>93.062200000000004</v>
      </c>
      <c r="E1023" s="10">
        <f>92.9234 * CHOOSE(CONTROL!$C$9, $D$9, 100%, $F$9) + CHOOSE(CONTROL!$C$27, 0.0021, 0)</f>
        <v>92.9255</v>
      </c>
      <c r="F1023" s="10">
        <f>92.9234 * CHOOSE(CONTROL!$C$9, $D$9, 100%, $F$9) + CHOOSE(CONTROL!$C$27, 0.0021, 0)</f>
        <v>92.9255</v>
      </c>
      <c r="G1023" s="10">
        <f>93.1948 * CHOOSE(CONTROL!$C$9, $D$9, 100%, $F$9) + CHOOSE(CONTROL!$C$27, 0.0021, 0)</f>
        <v>93.196899999999999</v>
      </c>
      <c r="H1023" s="10">
        <f>93.0601 * CHOOSE(CONTROL!$C$9, $D$9, 100%, $F$9) + CHOOSE(CONTROL!$C$27, 0.0021, 0)</f>
        <v>93.062200000000004</v>
      </c>
      <c r="I1023" s="10">
        <f>93.0601 * CHOOSE(CONTROL!$C$9, $D$9, 100%, $F$9) + CHOOSE(CONTROL!$C$27, 0.0021, 0)</f>
        <v>93.062200000000004</v>
      </c>
      <c r="J1023" s="10">
        <f>93.0601 * CHOOSE(CONTROL!$C$9, $D$9, 100%, $F$9) + CHOOSE(CONTROL!$C$27, 0.0021, 0)</f>
        <v>93.062200000000004</v>
      </c>
      <c r="K1023" s="10">
        <f>93.0601 * CHOOSE(CONTROL!$C$9, $D$9, 100%, $F$9) + CHOOSE(CONTROL!$C$27, 0.0021, 0)</f>
        <v>93.062200000000004</v>
      </c>
      <c r="L1023" s="10"/>
    </row>
    <row r="1024" spans="1:12" ht="15.75">
      <c r="A1024" s="13">
        <v>72471</v>
      </c>
      <c r="B1024" s="10">
        <f>95.4076 * CHOOSE(CONTROL!$C$9, $D$9, 100%, $F$9) + CHOOSE(CONTROL!$C$27, 0.0021, 0)</f>
        <v>95.409700000000001</v>
      </c>
      <c r="C1024" s="10">
        <f>94.9753 * CHOOSE(CONTROL!$C$9, $D$9, 100%, $F$9) + CHOOSE(CONTROL!$C$27, 0.0021, 0)</f>
        <v>94.977400000000003</v>
      </c>
      <c r="D1024" s="10">
        <f>94.9753 * CHOOSE(CONTROL!$C$9, $D$9, 100%, $F$9) + CHOOSE(CONTROL!$C$27, 0.0021, 0)</f>
        <v>94.977400000000003</v>
      </c>
      <c r="E1024" s="10">
        <f>94.8387 * CHOOSE(CONTROL!$C$9, $D$9, 100%, $F$9) + CHOOSE(CONTROL!$C$27, 0.0021, 0)</f>
        <v>94.840800000000002</v>
      </c>
      <c r="F1024" s="10">
        <f>94.8387 * CHOOSE(CONTROL!$C$9, $D$9, 100%, $F$9) + CHOOSE(CONTROL!$C$27, 0.0021, 0)</f>
        <v>94.840800000000002</v>
      </c>
      <c r="G1024" s="10">
        <f>95.1101 * CHOOSE(CONTROL!$C$9, $D$9, 100%, $F$9) + CHOOSE(CONTROL!$C$27, 0.0021, 0)</f>
        <v>95.112200000000001</v>
      </c>
      <c r="H1024" s="10">
        <f>94.9753 * CHOOSE(CONTROL!$C$9, $D$9, 100%, $F$9) + CHOOSE(CONTROL!$C$27, 0.0021, 0)</f>
        <v>94.977400000000003</v>
      </c>
      <c r="I1024" s="10">
        <f>94.9753 * CHOOSE(CONTROL!$C$9, $D$9, 100%, $F$9) + CHOOSE(CONTROL!$C$27, 0.0021, 0)</f>
        <v>94.977400000000003</v>
      </c>
      <c r="J1024" s="10">
        <f>94.9753 * CHOOSE(CONTROL!$C$9, $D$9, 100%, $F$9) + CHOOSE(CONTROL!$C$27, 0.0021, 0)</f>
        <v>94.977400000000003</v>
      </c>
      <c r="K1024" s="10">
        <f>94.9753 * CHOOSE(CONTROL!$C$9, $D$9, 100%, $F$9) + CHOOSE(CONTROL!$C$27, 0.0021, 0)</f>
        <v>94.977400000000003</v>
      </c>
      <c r="L1024" s="10"/>
    </row>
    <row r="1025" spans="1:12" ht="15.75">
      <c r="A1025" s="13">
        <v>72501</v>
      </c>
      <c r="B1025" s="10">
        <f>96.5547 * CHOOSE(CONTROL!$C$9, $D$9, 100%, $F$9) + CHOOSE(CONTROL!$C$27, 0.0021, 0)</f>
        <v>96.556799999999996</v>
      </c>
      <c r="C1025" s="10">
        <f>96.1225 * CHOOSE(CONTROL!$C$9, $D$9, 100%, $F$9) + CHOOSE(CONTROL!$C$27, 0.0021, 0)</f>
        <v>96.124600000000001</v>
      </c>
      <c r="D1025" s="10">
        <f>96.1225 * CHOOSE(CONTROL!$C$9, $D$9, 100%, $F$9) + CHOOSE(CONTROL!$C$27, 0.0021, 0)</f>
        <v>96.124600000000001</v>
      </c>
      <c r="E1025" s="10">
        <f>95.9858 * CHOOSE(CONTROL!$C$9, $D$9, 100%, $F$9) + CHOOSE(CONTROL!$C$27, 0.0021, 0)</f>
        <v>95.987899999999996</v>
      </c>
      <c r="F1025" s="10">
        <f>95.9858 * CHOOSE(CONTROL!$C$9, $D$9, 100%, $F$9) + CHOOSE(CONTROL!$C$27, 0.0021, 0)</f>
        <v>95.987899999999996</v>
      </c>
      <c r="G1025" s="10">
        <f>96.2572 * CHOOSE(CONTROL!$C$9, $D$9, 100%, $F$9) + CHOOSE(CONTROL!$C$27, 0.0021, 0)</f>
        <v>96.259299999999996</v>
      </c>
      <c r="H1025" s="10">
        <f>96.1225 * CHOOSE(CONTROL!$C$9, $D$9, 100%, $F$9) + CHOOSE(CONTROL!$C$27, 0.0021, 0)</f>
        <v>96.124600000000001</v>
      </c>
      <c r="I1025" s="10">
        <f>96.1225 * CHOOSE(CONTROL!$C$9, $D$9, 100%, $F$9) + CHOOSE(CONTROL!$C$27, 0.0021, 0)</f>
        <v>96.124600000000001</v>
      </c>
      <c r="J1025" s="10">
        <f>96.1225 * CHOOSE(CONTROL!$C$9, $D$9, 100%, $F$9) + CHOOSE(CONTROL!$C$27, 0.0021, 0)</f>
        <v>96.124600000000001</v>
      </c>
      <c r="K1025" s="10">
        <f>96.1225 * CHOOSE(CONTROL!$C$9, $D$9, 100%, $F$9) + CHOOSE(CONTROL!$C$27, 0.0021, 0)</f>
        <v>96.124600000000001</v>
      </c>
      <c r="L1025" s="10"/>
    </row>
    <row r="1026" spans="1:12" ht="15.75">
      <c r="A1026" s="13">
        <v>72532</v>
      </c>
      <c r="B1026" s="10">
        <f>98.4471 * CHOOSE(CONTROL!$C$9, $D$9, 100%, $F$9) + CHOOSE(CONTROL!$C$27, 0.0021, 0)</f>
        <v>98.449200000000005</v>
      </c>
      <c r="C1026" s="10">
        <f>98.0149 * CHOOSE(CONTROL!$C$9, $D$9, 100%, $F$9) + CHOOSE(CONTROL!$C$27, 0.0021, 0)</f>
        <v>98.016999999999996</v>
      </c>
      <c r="D1026" s="10">
        <f>98.0149 * CHOOSE(CONTROL!$C$9, $D$9, 100%, $F$9) + CHOOSE(CONTROL!$C$27, 0.0021, 0)</f>
        <v>98.016999999999996</v>
      </c>
      <c r="E1026" s="10">
        <f>97.8782 * CHOOSE(CONTROL!$C$9, $D$9, 100%, $F$9) + CHOOSE(CONTROL!$C$27, 0.0021, 0)</f>
        <v>97.880300000000005</v>
      </c>
      <c r="F1026" s="10">
        <f>97.8782 * CHOOSE(CONTROL!$C$9, $D$9, 100%, $F$9) + CHOOSE(CONTROL!$C$27, 0.0021, 0)</f>
        <v>97.880300000000005</v>
      </c>
      <c r="G1026" s="10">
        <f>98.1496 * CHOOSE(CONTROL!$C$9, $D$9, 100%, $F$9) + CHOOSE(CONTROL!$C$27, 0.0021, 0)</f>
        <v>98.151700000000005</v>
      </c>
      <c r="H1026" s="10">
        <f>98.0149 * CHOOSE(CONTROL!$C$9, $D$9, 100%, $F$9) + CHOOSE(CONTROL!$C$27, 0.0021, 0)</f>
        <v>98.016999999999996</v>
      </c>
      <c r="I1026" s="10">
        <f>98.0149 * CHOOSE(CONTROL!$C$9, $D$9, 100%, $F$9) + CHOOSE(CONTROL!$C$27, 0.0021, 0)</f>
        <v>98.016999999999996</v>
      </c>
      <c r="J1026" s="10">
        <f>98.0149 * CHOOSE(CONTROL!$C$9, $D$9, 100%, $F$9) + CHOOSE(CONTROL!$C$27, 0.0021, 0)</f>
        <v>98.016999999999996</v>
      </c>
      <c r="K1026" s="10">
        <f>98.0149 * CHOOSE(CONTROL!$C$9, $D$9, 100%, $F$9) + CHOOSE(CONTROL!$C$27, 0.0021, 0)</f>
        <v>98.016999999999996</v>
      </c>
      <c r="L1026" s="10"/>
    </row>
    <row r="1027" spans="1:12" ht="15.75">
      <c r="A1027" s="13">
        <v>72563</v>
      </c>
      <c r="B1027" s="10">
        <f>99.0247 * CHOOSE(CONTROL!$C$9, $D$9, 100%, $F$9) + CHOOSE(CONTROL!$C$27, 0.0021, 0)</f>
        <v>99.026799999999994</v>
      </c>
      <c r="C1027" s="10">
        <f>98.5925 * CHOOSE(CONTROL!$C$9, $D$9, 100%, $F$9) + CHOOSE(CONTROL!$C$27, 0.0021, 0)</f>
        <v>98.5946</v>
      </c>
      <c r="D1027" s="10">
        <f>98.5925 * CHOOSE(CONTROL!$C$9, $D$9, 100%, $F$9) + CHOOSE(CONTROL!$C$27, 0.0021, 0)</f>
        <v>98.5946</v>
      </c>
      <c r="E1027" s="10">
        <f>98.4558 * CHOOSE(CONTROL!$C$9, $D$9, 100%, $F$9) + CHOOSE(CONTROL!$C$27, 0.0021, 0)</f>
        <v>98.457899999999995</v>
      </c>
      <c r="F1027" s="10">
        <f>98.4558 * CHOOSE(CONTROL!$C$9, $D$9, 100%, $F$9) + CHOOSE(CONTROL!$C$27, 0.0021, 0)</f>
        <v>98.457899999999995</v>
      </c>
      <c r="G1027" s="10">
        <f>98.7272 * CHOOSE(CONTROL!$C$9, $D$9, 100%, $F$9) + CHOOSE(CONTROL!$C$27, 0.0021, 0)</f>
        <v>98.729299999999995</v>
      </c>
      <c r="H1027" s="10">
        <f>98.5925 * CHOOSE(CONTROL!$C$9, $D$9, 100%, $F$9) + CHOOSE(CONTROL!$C$27, 0.0021, 0)</f>
        <v>98.5946</v>
      </c>
      <c r="I1027" s="10">
        <f>98.5925 * CHOOSE(CONTROL!$C$9, $D$9, 100%, $F$9) + CHOOSE(CONTROL!$C$27, 0.0021, 0)</f>
        <v>98.5946</v>
      </c>
      <c r="J1027" s="10">
        <f>98.5925 * CHOOSE(CONTROL!$C$9, $D$9, 100%, $F$9) + CHOOSE(CONTROL!$C$27, 0.0021, 0)</f>
        <v>98.5946</v>
      </c>
      <c r="K1027" s="10">
        <f>98.5925 * CHOOSE(CONTROL!$C$9, $D$9, 100%, $F$9) + CHOOSE(CONTROL!$C$27, 0.0021, 0)</f>
        <v>98.5946</v>
      </c>
      <c r="L1027" s="10"/>
    </row>
    <row r="1028" spans="1:12" ht="15.75">
      <c r="A1028" s="13">
        <v>72593</v>
      </c>
      <c r="B1028" s="10">
        <f>100.9918 * CHOOSE(CONTROL!$C$9, $D$9, 100%, $F$9) + CHOOSE(CONTROL!$C$27, 0.0021, 0)</f>
        <v>100.9939</v>
      </c>
      <c r="C1028" s="10">
        <f>100.5595 * CHOOSE(CONTROL!$C$9, $D$9, 100%, $F$9) + CHOOSE(CONTROL!$C$27, 0.0021, 0)</f>
        <v>100.5616</v>
      </c>
      <c r="D1028" s="10">
        <f>100.5595 * CHOOSE(CONTROL!$C$9, $D$9, 100%, $F$9) + CHOOSE(CONTROL!$C$27, 0.0021, 0)</f>
        <v>100.5616</v>
      </c>
      <c r="E1028" s="10">
        <f>100.4229 * CHOOSE(CONTROL!$C$9, $D$9, 100%, $F$9) + CHOOSE(CONTROL!$C$27, 0.0021, 0)</f>
        <v>100.425</v>
      </c>
      <c r="F1028" s="10">
        <f>100.4229 * CHOOSE(CONTROL!$C$9, $D$9, 100%, $F$9) + CHOOSE(CONTROL!$C$27, 0.0021, 0)</f>
        <v>100.425</v>
      </c>
      <c r="G1028" s="10">
        <f>100.6943 * CHOOSE(CONTROL!$C$9, $D$9, 100%, $F$9) + CHOOSE(CONTROL!$C$27, 0.0021, 0)</f>
        <v>100.6964</v>
      </c>
      <c r="H1028" s="10">
        <f>100.5595 * CHOOSE(CONTROL!$C$9, $D$9, 100%, $F$9) + CHOOSE(CONTROL!$C$27, 0.0021, 0)</f>
        <v>100.5616</v>
      </c>
      <c r="I1028" s="10">
        <f>100.5595 * CHOOSE(CONTROL!$C$9, $D$9, 100%, $F$9) + CHOOSE(CONTROL!$C$27, 0.0021, 0)</f>
        <v>100.5616</v>
      </c>
      <c r="J1028" s="10">
        <f>100.5595 * CHOOSE(CONTROL!$C$9, $D$9, 100%, $F$9) + CHOOSE(CONTROL!$C$27, 0.0021, 0)</f>
        <v>100.5616</v>
      </c>
      <c r="K1028" s="10">
        <f>100.5595 * CHOOSE(CONTROL!$C$9, $D$9, 100%, $F$9) + CHOOSE(CONTROL!$C$27, 0.0021, 0)</f>
        <v>100.5616</v>
      </c>
      <c r="L1028" s="10"/>
    </row>
    <row r="1029" spans="1:12" ht="15.75">
      <c r="A1029" s="13">
        <v>72624</v>
      </c>
      <c r="B1029" s="10">
        <f>103.4817 * CHOOSE(CONTROL!$C$9, $D$9, 100%, $F$9) + CHOOSE(CONTROL!$C$27, 0.0021, 0)</f>
        <v>103.4838</v>
      </c>
      <c r="C1029" s="10">
        <f>103.0495 * CHOOSE(CONTROL!$C$9, $D$9, 100%, $F$9) + CHOOSE(CONTROL!$C$27, 0.0021, 0)</f>
        <v>103.05159999999999</v>
      </c>
      <c r="D1029" s="10">
        <f>103.0495 * CHOOSE(CONTROL!$C$9, $D$9, 100%, $F$9) + CHOOSE(CONTROL!$C$27, 0.0021, 0)</f>
        <v>103.05159999999999</v>
      </c>
      <c r="E1029" s="10">
        <f>102.9128 * CHOOSE(CONTROL!$C$9, $D$9, 100%, $F$9) + CHOOSE(CONTROL!$C$27, 0.0021, 0)</f>
        <v>102.9149</v>
      </c>
      <c r="F1029" s="10">
        <f>102.9128 * CHOOSE(CONTROL!$C$9, $D$9, 100%, $F$9) + CHOOSE(CONTROL!$C$27, 0.0021, 0)</f>
        <v>102.9149</v>
      </c>
      <c r="G1029" s="10">
        <f>103.1842 * CHOOSE(CONTROL!$C$9, $D$9, 100%, $F$9) + CHOOSE(CONTROL!$C$27, 0.0021, 0)</f>
        <v>103.1863</v>
      </c>
      <c r="H1029" s="10">
        <f>103.0495 * CHOOSE(CONTROL!$C$9, $D$9, 100%, $F$9) + CHOOSE(CONTROL!$C$27, 0.0021, 0)</f>
        <v>103.05159999999999</v>
      </c>
      <c r="I1029" s="10">
        <f>103.0495 * CHOOSE(CONTROL!$C$9, $D$9, 100%, $F$9) + CHOOSE(CONTROL!$C$27, 0.0021, 0)</f>
        <v>103.05159999999999</v>
      </c>
      <c r="J1029" s="10">
        <f>103.0495 * CHOOSE(CONTROL!$C$9, $D$9, 100%, $F$9) + CHOOSE(CONTROL!$C$27, 0.0021, 0)</f>
        <v>103.05159999999999</v>
      </c>
      <c r="K1029" s="10">
        <f>103.0495 * CHOOSE(CONTROL!$C$9, $D$9, 100%, $F$9) + CHOOSE(CONTROL!$C$27, 0.0021, 0)</f>
        <v>103.05159999999999</v>
      </c>
      <c r="L1029" s="10"/>
    </row>
    <row r="1030" spans="1:12" ht="15.75">
      <c r="A1030" s="13">
        <v>72654</v>
      </c>
      <c r="B1030" s="10">
        <f>103.7155 * CHOOSE(CONTROL!$C$9, $D$9, 100%, $F$9) + CHOOSE(CONTROL!$C$27, 0.0021, 0)</f>
        <v>103.7176</v>
      </c>
      <c r="C1030" s="10">
        <f>103.2832 * CHOOSE(CONTROL!$C$9, $D$9, 100%, $F$9) + CHOOSE(CONTROL!$C$27, 0.0021, 0)</f>
        <v>103.28529999999999</v>
      </c>
      <c r="D1030" s="10">
        <f>103.2832 * CHOOSE(CONTROL!$C$9, $D$9, 100%, $F$9) + CHOOSE(CONTROL!$C$27, 0.0021, 0)</f>
        <v>103.28529999999999</v>
      </c>
      <c r="E1030" s="10">
        <f>103.1466 * CHOOSE(CONTROL!$C$9, $D$9, 100%, $F$9) + CHOOSE(CONTROL!$C$27, 0.0021, 0)</f>
        <v>103.14870000000001</v>
      </c>
      <c r="F1030" s="10">
        <f>103.1466 * CHOOSE(CONTROL!$C$9, $D$9, 100%, $F$9) + CHOOSE(CONTROL!$C$27, 0.0021, 0)</f>
        <v>103.14870000000001</v>
      </c>
      <c r="G1030" s="10">
        <f>103.418 * CHOOSE(CONTROL!$C$9, $D$9, 100%, $F$9) + CHOOSE(CONTROL!$C$27, 0.0021, 0)</f>
        <v>103.42010000000001</v>
      </c>
      <c r="H1030" s="10">
        <f>103.2832 * CHOOSE(CONTROL!$C$9, $D$9, 100%, $F$9) + CHOOSE(CONTROL!$C$27, 0.0021, 0)</f>
        <v>103.28529999999999</v>
      </c>
      <c r="I1030" s="10">
        <f>103.2832 * CHOOSE(CONTROL!$C$9, $D$9, 100%, $F$9) + CHOOSE(CONTROL!$C$27, 0.0021, 0)</f>
        <v>103.28529999999999</v>
      </c>
      <c r="J1030" s="10">
        <f>103.2832 * CHOOSE(CONTROL!$C$9, $D$9, 100%, $F$9) + CHOOSE(CONTROL!$C$27, 0.0021, 0)</f>
        <v>103.28529999999999</v>
      </c>
      <c r="K1030" s="10">
        <f>103.2832 * CHOOSE(CONTROL!$C$9, $D$9, 100%, $F$9) + CHOOSE(CONTROL!$C$27, 0.0021, 0)</f>
        <v>103.28529999999999</v>
      </c>
      <c r="L1030" s="10"/>
    </row>
    <row r="1031" spans="1:12" ht="15.75">
      <c r="A1031" s="13">
        <v>72685</v>
      </c>
      <c r="B1031" s="10">
        <f>101.7268 * CHOOSE(CONTROL!$C$9, $D$9, 100%, $F$9) + CHOOSE(CONTROL!$C$27, 0.0021, 0)</f>
        <v>101.7289</v>
      </c>
      <c r="C1031" s="10">
        <f>101.2946 * CHOOSE(CONTROL!$C$9, $D$9, 100%, $F$9) + CHOOSE(CONTROL!$C$27, 0.0021, 0)</f>
        <v>101.2967</v>
      </c>
      <c r="D1031" s="10">
        <f>101.2946 * CHOOSE(CONTROL!$C$9, $D$9, 100%, $F$9) + CHOOSE(CONTROL!$C$27, 0.0021, 0)</f>
        <v>101.2967</v>
      </c>
      <c r="E1031" s="10">
        <f>101.1579 * CHOOSE(CONTROL!$C$9, $D$9, 100%, $F$9) + CHOOSE(CONTROL!$C$27, 0.0021, 0)</f>
        <v>101.16</v>
      </c>
      <c r="F1031" s="10">
        <f>101.1579 * CHOOSE(CONTROL!$C$9, $D$9, 100%, $F$9) + CHOOSE(CONTROL!$C$27, 0.0021, 0)</f>
        <v>101.16</v>
      </c>
      <c r="G1031" s="10">
        <f>101.4293 * CHOOSE(CONTROL!$C$9, $D$9, 100%, $F$9) + CHOOSE(CONTROL!$C$27, 0.0021, 0)</f>
        <v>101.4314</v>
      </c>
      <c r="H1031" s="10">
        <f>101.2946 * CHOOSE(CONTROL!$C$9, $D$9, 100%, $F$9) + CHOOSE(CONTROL!$C$27, 0.0021, 0)</f>
        <v>101.2967</v>
      </c>
      <c r="I1031" s="10">
        <f>101.2946 * CHOOSE(CONTROL!$C$9, $D$9, 100%, $F$9) + CHOOSE(CONTROL!$C$27, 0.0021, 0)</f>
        <v>101.2967</v>
      </c>
      <c r="J1031" s="10">
        <f>101.2946 * CHOOSE(CONTROL!$C$9, $D$9, 100%, $F$9) + CHOOSE(CONTROL!$C$27, 0.0021, 0)</f>
        <v>101.2967</v>
      </c>
      <c r="K1031" s="10">
        <f>101.2946 * CHOOSE(CONTROL!$C$9, $D$9, 100%, $F$9) + CHOOSE(CONTROL!$C$27, 0.0021, 0)</f>
        <v>101.2967</v>
      </c>
      <c r="L1031" s="10"/>
    </row>
    <row r="1032" spans="1:12" ht="15.75">
      <c r="A1032" s="13">
        <v>72716</v>
      </c>
      <c r="B1032" s="10">
        <f>100.2042 * CHOOSE(CONTROL!$C$9, $D$9, 100%, $F$9) + CHOOSE(CONTROL!$C$27, 0.0021, 0)</f>
        <v>100.2063</v>
      </c>
      <c r="C1032" s="10">
        <f>99.772 * CHOOSE(CONTROL!$C$9, $D$9, 100%, $F$9) + CHOOSE(CONTROL!$C$27, 0.0021, 0)</f>
        <v>99.774100000000004</v>
      </c>
      <c r="D1032" s="10">
        <f>99.772 * CHOOSE(CONTROL!$C$9, $D$9, 100%, $F$9) + CHOOSE(CONTROL!$C$27, 0.0021, 0)</f>
        <v>99.774100000000004</v>
      </c>
      <c r="E1032" s="10">
        <f>99.6353 * CHOOSE(CONTROL!$C$9, $D$9, 100%, $F$9) + CHOOSE(CONTROL!$C$27, 0.0021, 0)</f>
        <v>99.6374</v>
      </c>
      <c r="F1032" s="10">
        <f>99.6353 * CHOOSE(CONTROL!$C$9, $D$9, 100%, $F$9) + CHOOSE(CONTROL!$C$27, 0.0021, 0)</f>
        <v>99.6374</v>
      </c>
      <c r="G1032" s="10">
        <f>99.9067 * CHOOSE(CONTROL!$C$9, $D$9, 100%, $F$9) + CHOOSE(CONTROL!$C$27, 0.0021, 0)</f>
        <v>99.908799999999999</v>
      </c>
      <c r="H1032" s="10">
        <f>99.772 * CHOOSE(CONTROL!$C$9, $D$9, 100%, $F$9) + CHOOSE(CONTROL!$C$27, 0.0021, 0)</f>
        <v>99.774100000000004</v>
      </c>
      <c r="I1032" s="10">
        <f>99.772 * CHOOSE(CONTROL!$C$9, $D$9, 100%, $F$9) + CHOOSE(CONTROL!$C$27, 0.0021, 0)</f>
        <v>99.774100000000004</v>
      </c>
      <c r="J1032" s="10">
        <f>99.772 * CHOOSE(CONTROL!$C$9, $D$9, 100%, $F$9) + CHOOSE(CONTROL!$C$27, 0.0021, 0)</f>
        <v>99.774100000000004</v>
      </c>
      <c r="K1032" s="10">
        <f>99.772 * CHOOSE(CONTROL!$C$9, $D$9, 100%, $F$9) + CHOOSE(CONTROL!$C$27, 0.0021, 0)</f>
        <v>99.774100000000004</v>
      </c>
      <c r="L1032" s="10"/>
    </row>
    <row r="1033" spans="1:12" ht="15.75">
      <c r="A1033" s="13">
        <v>72744</v>
      </c>
      <c r="B1033" s="10">
        <f>97.4347 * CHOOSE(CONTROL!$C$9, $D$9, 100%, $F$9) + CHOOSE(CONTROL!$C$27, 0.0021, 0)</f>
        <v>97.436800000000005</v>
      </c>
      <c r="C1033" s="10">
        <f>97.0025 * CHOOSE(CONTROL!$C$9, $D$9, 100%, $F$9) + CHOOSE(CONTROL!$C$27, 0.0021, 0)</f>
        <v>97.004599999999996</v>
      </c>
      <c r="D1033" s="10">
        <f>97.0025 * CHOOSE(CONTROL!$C$9, $D$9, 100%, $F$9) + CHOOSE(CONTROL!$C$27, 0.0021, 0)</f>
        <v>97.004599999999996</v>
      </c>
      <c r="E1033" s="10">
        <f>96.8658 * CHOOSE(CONTROL!$C$9, $D$9, 100%, $F$9) + CHOOSE(CONTROL!$C$27, 0.0021, 0)</f>
        <v>96.867899999999992</v>
      </c>
      <c r="F1033" s="10">
        <f>96.8658 * CHOOSE(CONTROL!$C$9, $D$9, 100%, $F$9) + CHOOSE(CONTROL!$C$27, 0.0021, 0)</f>
        <v>96.867899999999992</v>
      </c>
      <c r="G1033" s="10">
        <f>97.1372 * CHOOSE(CONTROL!$C$9, $D$9, 100%, $F$9) + CHOOSE(CONTROL!$C$27, 0.0021, 0)</f>
        <v>97.139300000000006</v>
      </c>
      <c r="H1033" s="10">
        <f>97.0025 * CHOOSE(CONTROL!$C$9, $D$9, 100%, $F$9) + CHOOSE(CONTROL!$C$27, 0.0021, 0)</f>
        <v>97.004599999999996</v>
      </c>
      <c r="I1033" s="10">
        <f>97.0025 * CHOOSE(CONTROL!$C$9, $D$9, 100%, $F$9) + CHOOSE(CONTROL!$C$27, 0.0021, 0)</f>
        <v>97.004599999999996</v>
      </c>
      <c r="J1033" s="10">
        <f>97.0025 * CHOOSE(CONTROL!$C$9, $D$9, 100%, $F$9) + CHOOSE(CONTROL!$C$27, 0.0021, 0)</f>
        <v>97.004599999999996</v>
      </c>
      <c r="K1033" s="10">
        <f>97.0025 * CHOOSE(CONTROL!$C$9, $D$9, 100%, $F$9) + CHOOSE(CONTROL!$C$27, 0.0021, 0)</f>
        <v>97.004599999999996</v>
      </c>
      <c r="L1033" s="10"/>
    </row>
    <row r="1034" spans="1:12" ht="15.75">
      <c r="A1034" s="13">
        <v>72775</v>
      </c>
      <c r="B1034" s="10">
        <f>96.2915 * CHOOSE(CONTROL!$C$9, $D$9, 100%, $F$9) + CHOOSE(CONTROL!$C$27, 0.0021, 0)</f>
        <v>96.293599999999998</v>
      </c>
      <c r="C1034" s="10">
        <f>95.8593 * CHOOSE(CONTROL!$C$9, $D$9, 100%, $F$9) + CHOOSE(CONTROL!$C$27, 0.0021, 0)</f>
        <v>95.861400000000003</v>
      </c>
      <c r="D1034" s="10">
        <f>95.8593 * CHOOSE(CONTROL!$C$9, $D$9, 100%, $F$9) + CHOOSE(CONTROL!$C$27, 0.0021, 0)</f>
        <v>95.861400000000003</v>
      </c>
      <c r="E1034" s="10">
        <f>95.7226 * CHOOSE(CONTROL!$C$9, $D$9, 100%, $F$9) + CHOOSE(CONTROL!$C$27, 0.0021, 0)</f>
        <v>95.724699999999999</v>
      </c>
      <c r="F1034" s="10">
        <f>95.7226 * CHOOSE(CONTROL!$C$9, $D$9, 100%, $F$9) + CHOOSE(CONTROL!$C$27, 0.0021, 0)</f>
        <v>95.724699999999999</v>
      </c>
      <c r="G1034" s="10">
        <f>95.994 * CHOOSE(CONTROL!$C$9, $D$9, 100%, $F$9) + CHOOSE(CONTROL!$C$27, 0.0021, 0)</f>
        <v>95.996099999999998</v>
      </c>
      <c r="H1034" s="10">
        <f>95.8593 * CHOOSE(CONTROL!$C$9, $D$9, 100%, $F$9) + CHOOSE(CONTROL!$C$27, 0.0021, 0)</f>
        <v>95.861400000000003</v>
      </c>
      <c r="I1034" s="10">
        <f>95.8593 * CHOOSE(CONTROL!$C$9, $D$9, 100%, $F$9) + CHOOSE(CONTROL!$C$27, 0.0021, 0)</f>
        <v>95.861400000000003</v>
      </c>
      <c r="J1034" s="10">
        <f>95.8593 * CHOOSE(CONTROL!$C$9, $D$9, 100%, $F$9) + CHOOSE(CONTROL!$C$27, 0.0021, 0)</f>
        <v>95.861400000000003</v>
      </c>
      <c r="K1034" s="10">
        <f>95.8593 * CHOOSE(CONTROL!$C$9, $D$9, 100%, $F$9) + CHOOSE(CONTROL!$C$27, 0.0021, 0)</f>
        <v>95.861400000000003</v>
      </c>
      <c r="L1034" s="10"/>
    </row>
    <row r="1035" spans="1:12" ht="15.75">
      <c r="A1035" s="13">
        <v>72805</v>
      </c>
      <c r="B1035" s="10">
        <f>94.9265 * CHOOSE(CONTROL!$C$9, $D$9, 100%, $F$9) + CHOOSE(CONTROL!$C$27, 0.0021, 0)</f>
        <v>94.928600000000003</v>
      </c>
      <c r="C1035" s="10">
        <f>94.4942 * CHOOSE(CONTROL!$C$9, $D$9, 100%, $F$9) + CHOOSE(CONTROL!$C$27, 0.0021, 0)</f>
        <v>94.496300000000005</v>
      </c>
      <c r="D1035" s="10">
        <f>94.4942 * CHOOSE(CONTROL!$C$9, $D$9, 100%, $F$9) + CHOOSE(CONTROL!$C$27, 0.0021, 0)</f>
        <v>94.496300000000005</v>
      </c>
      <c r="E1035" s="10">
        <f>94.3576 * CHOOSE(CONTROL!$C$9, $D$9, 100%, $F$9) + CHOOSE(CONTROL!$C$27, 0.0021, 0)</f>
        <v>94.359700000000004</v>
      </c>
      <c r="F1035" s="10">
        <f>94.3576 * CHOOSE(CONTROL!$C$9, $D$9, 100%, $F$9) + CHOOSE(CONTROL!$C$27, 0.0021, 0)</f>
        <v>94.359700000000004</v>
      </c>
      <c r="G1035" s="10">
        <f>94.6289 * CHOOSE(CONTROL!$C$9, $D$9, 100%, $F$9) + CHOOSE(CONTROL!$C$27, 0.0021, 0)</f>
        <v>94.631</v>
      </c>
      <c r="H1035" s="10">
        <f>94.4942 * CHOOSE(CONTROL!$C$9, $D$9, 100%, $F$9) + CHOOSE(CONTROL!$C$27, 0.0021, 0)</f>
        <v>94.496300000000005</v>
      </c>
      <c r="I1035" s="10">
        <f>94.4942 * CHOOSE(CONTROL!$C$9, $D$9, 100%, $F$9) + CHOOSE(CONTROL!$C$27, 0.0021, 0)</f>
        <v>94.496300000000005</v>
      </c>
      <c r="J1035" s="10">
        <f>94.4942 * CHOOSE(CONTROL!$C$9, $D$9, 100%, $F$9) + CHOOSE(CONTROL!$C$27, 0.0021, 0)</f>
        <v>94.496300000000005</v>
      </c>
      <c r="K1035" s="10">
        <f>94.4942 * CHOOSE(CONTROL!$C$9, $D$9, 100%, $F$9) + CHOOSE(CONTROL!$C$27, 0.0021, 0)</f>
        <v>94.496300000000005</v>
      </c>
      <c r="L1035" s="10"/>
    </row>
    <row r="1036" spans="1:12" ht="15.75">
      <c r="A1036" s="13">
        <v>72836</v>
      </c>
      <c r="B1036" s="10">
        <f>96.8718 * CHOOSE(CONTROL!$C$9, $D$9, 100%, $F$9) + CHOOSE(CONTROL!$C$27, 0.0021, 0)</f>
        <v>96.873899999999992</v>
      </c>
      <c r="C1036" s="10">
        <f>96.4396 * CHOOSE(CONTROL!$C$9, $D$9, 100%, $F$9) + CHOOSE(CONTROL!$C$27, 0.0021, 0)</f>
        <v>96.441699999999997</v>
      </c>
      <c r="D1036" s="10">
        <f>96.4396 * CHOOSE(CONTROL!$C$9, $D$9, 100%, $F$9) + CHOOSE(CONTROL!$C$27, 0.0021, 0)</f>
        <v>96.441699999999997</v>
      </c>
      <c r="E1036" s="10">
        <f>96.3029 * CHOOSE(CONTROL!$C$9, $D$9, 100%, $F$9) + CHOOSE(CONTROL!$C$27, 0.0021, 0)</f>
        <v>96.304999999999993</v>
      </c>
      <c r="F1036" s="10">
        <f>96.3029 * CHOOSE(CONTROL!$C$9, $D$9, 100%, $F$9) + CHOOSE(CONTROL!$C$27, 0.0021, 0)</f>
        <v>96.304999999999993</v>
      </c>
      <c r="G1036" s="10">
        <f>96.5743 * CHOOSE(CONTROL!$C$9, $D$9, 100%, $F$9) + CHOOSE(CONTROL!$C$27, 0.0021, 0)</f>
        <v>96.576399999999992</v>
      </c>
      <c r="H1036" s="10">
        <f>96.4396 * CHOOSE(CONTROL!$C$9, $D$9, 100%, $F$9) + CHOOSE(CONTROL!$C$27, 0.0021, 0)</f>
        <v>96.441699999999997</v>
      </c>
      <c r="I1036" s="10">
        <f>96.4396 * CHOOSE(CONTROL!$C$9, $D$9, 100%, $F$9) + CHOOSE(CONTROL!$C$27, 0.0021, 0)</f>
        <v>96.441699999999997</v>
      </c>
      <c r="J1036" s="10">
        <f>96.4396 * CHOOSE(CONTROL!$C$9, $D$9, 100%, $F$9) + CHOOSE(CONTROL!$C$27, 0.0021, 0)</f>
        <v>96.441699999999997</v>
      </c>
      <c r="K1036" s="10">
        <f>96.4396 * CHOOSE(CONTROL!$C$9, $D$9, 100%, $F$9) + CHOOSE(CONTROL!$C$27, 0.0021, 0)</f>
        <v>96.441699999999997</v>
      </c>
      <c r="L1036" s="10"/>
    </row>
    <row r="1037" spans="1:12" ht="15.75">
      <c r="A1037" s="13">
        <v>72866</v>
      </c>
      <c r="B1037" s="10">
        <f>98.037 * CHOOSE(CONTROL!$C$9, $D$9, 100%, $F$9) + CHOOSE(CONTROL!$C$27, 0.0021, 0)</f>
        <v>98.039100000000005</v>
      </c>
      <c r="C1037" s="10">
        <f>97.6048 * CHOOSE(CONTROL!$C$9, $D$9, 100%, $F$9) + CHOOSE(CONTROL!$C$27, 0.0021, 0)</f>
        <v>97.606899999999996</v>
      </c>
      <c r="D1037" s="10">
        <f>97.6048 * CHOOSE(CONTROL!$C$9, $D$9, 100%, $F$9) + CHOOSE(CONTROL!$C$27, 0.0021, 0)</f>
        <v>97.606899999999996</v>
      </c>
      <c r="E1037" s="10">
        <f>97.4681 * CHOOSE(CONTROL!$C$9, $D$9, 100%, $F$9) + CHOOSE(CONTROL!$C$27, 0.0021, 0)</f>
        <v>97.470200000000006</v>
      </c>
      <c r="F1037" s="10">
        <f>97.4681 * CHOOSE(CONTROL!$C$9, $D$9, 100%, $F$9) + CHOOSE(CONTROL!$C$27, 0.0021, 0)</f>
        <v>97.470200000000006</v>
      </c>
      <c r="G1037" s="10">
        <f>97.7395 * CHOOSE(CONTROL!$C$9, $D$9, 100%, $F$9) + CHOOSE(CONTROL!$C$27, 0.0021, 0)</f>
        <v>97.741600000000005</v>
      </c>
      <c r="H1037" s="10">
        <f>97.6048 * CHOOSE(CONTROL!$C$9, $D$9, 100%, $F$9) + CHOOSE(CONTROL!$C$27, 0.0021, 0)</f>
        <v>97.606899999999996</v>
      </c>
      <c r="I1037" s="10">
        <f>97.6048 * CHOOSE(CONTROL!$C$9, $D$9, 100%, $F$9) + CHOOSE(CONTROL!$C$27, 0.0021, 0)</f>
        <v>97.606899999999996</v>
      </c>
      <c r="J1037" s="10">
        <f>97.6048 * CHOOSE(CONTROL!$C$9, $D$9, 100%, $F$9) + CHOOSE(CONTROL!$C$27, 0.0021, 0)</f>
        <v>97.606899999999996</v>
      </c>
      <c r="K1037" s="10">
        <f>97.6048 * CHOOSE(CONTROL!$C$9, $D$9, 100%, $F$9) + CHOOSE(CONTROL!$C$27, 0.0021, 0)</f>
        <v>97.606899999999996</v>
      </c>
      <c r="L1037" s="10"/>
    </row>
    <row r="1038" spans="1:12" ht="15.75">
      <c r="A1038" s="13">
        <v>72897</v>
      </c>
      <c r="B1038" s="10">
        <f>99.9592 * CHOOSE(CONTROL!$C$9, $D$9, 100%, $F$9) + CHOOSE(CONTROL!$C$27, 0.0021, 0)</f>
        <v>99.961299999999994</v>
      </c>
      <c r="C1038" s="10">
        <f>99.5269 * CHOOSE(CONTROL!$C$9, $D$9, 100%, $F$9) + CHOOSE(CONTROL!$C$27, 0.0021, 0)</f>
        <v>99.528999999999996</v>
      </c>
      <c r="D1038" s="10">
        <f>99.5269 * CHOOSE(CONTROL!$C$9, $D$9, 100%, $F$9) + CHOOSE(CONTROL!$C$27, 0.0021, 0)</f>
        <v>99.528999999999996</v>
      </c>
      <c r="E1038" s="10">
        <f>99.3902 * CHOOSE(CONTROL!$C$9, $D$9, 100%, $F$9) + CHOOSE(CONTROL!$C$27, 0.0021, 0)</f>
        <v>99.392299999999992</v>
      </c>
      <c r="F1038" s="10">
        <f>99.3902 * CHOOSE(CONTROL!$C$9, $D$9, 100%, $F$9) + CHOOSE(CONTROL!$C$27, 0.0021, 0)</f>
        <v>99.392299999999992</v>
      </c>
      <c r="G1038" s="10">
        <f>99.6616 * CHOOSE(CONTROL!$C$9, $D$9, 100%, $F$9) + CHOOSE(CONTROL!$C$27, 0.0021, 0)</f>
        <v>99.663700000000006</v>
      </c>
      <c r="H1038" s="10">
        <f>99.5269 * CHOOSE(CONTROL!$C$9, $D$9, 100%, $F$9) + CHOOSE(CONTROL!$C$27, 0.0021, 0)</f>
        <v>99.528999999999996</v>
      </c>
      <c r="I1038" s="10">
        <f>99.5269 * CHOOSE(CONTROL!$C$9, $D$9, 100%, $F$9) + CHOOSE(CONTROL!$C$27, 0.0021, 0)</f>
        <v>99.528999999999996</v>
      </c>
      <c r="J1038" s="10">
        <f>99.5269 * CHOOSE(CONTROL!$C$9, $D$9, 100%, $F$9) + CHOOSE(CONTROL!$C$27, 0.0021, 0)</f>
        <v>99.528999999999996</v>
      </c>
      <c r="K1038" s="10">
        <f>99.5269 * CHOOSE(CONTROL!$C$9, $D$9, 100%, $F$9) + CHOOSE(CONTROL!$C$27, 0.0021, 0)</f>
        <v>99.528999999999996</v>
      </c>
      <c r="L1038" s="10"/>
    </row>
    <row r="1039" spans="1:12" ht="15.75">
      <c r="A1039" s="13">
        <v>72928</v>
      </c>
      <c r="B1039" s="10">
        <f>100.5458 * CHOOSE(CONTROL!$C$9, $D$9, 100%, $F$9) + CHOOSE(CONTROL!$C$27, 0.0021, 0)</f>
        <v>100.5479</v>
      </c>
      <c r="C1039" s="10">
        <f>100.1136 * CHOOSE(CONTROL!$C$9, $D$9, 100%, $F$9) + CHOOSE(CONTROL!$C$27, 0.0021, 0)</f>
        <v>100.1157</v>
      </c>
      <c r="D1039" s="10">
        <f>100.1136 * CHOOSE(CONTROL!$C$9, $D$9, 100%, $F$9) + CHOOSE(CONTROL!$C$27, 0.0021, 0)</f>
        <v>100.1157</v>
      </c>
      <c r="E1039" s="10">
        <f>99.9769 * CHOOSE(CONTROL!$C$9, $D$9, 100%, $F$9) + CHOOSE(CONTROL!$C$27, 0.0021, 0)</f>
        <v>99.978999999999999</v>
      </c>
      <c r="F1039" s="10">
        <f>99.9769 * CHOOSE(CONTROL!$C$9, $D$9, 100%, $F$9) + CHOOSE(CONTROL!$C$27, 0.0021, 0)</f>
        <v>99.978999999999999</v>
      </c>
      <c r="G1039" s="10">
        <f>100.2483 * CHOOSE(CONTROL!$C$9, $D$9, 100%, $F$9) + CHOOSE(CONTROL!$C$27, 0.0021, 0)</f>
        <v>100.2504</v>
      </c>
      <c r="H1039" s="10">
        <f>100.1136 * CHOOSE(CONTROL!$C$9, $D$9, 100%, $F$9) + CHOOSE(CONTROL!$C$27, 0.0021, 0)</f>
        <v>100.1157</v>
      </c>
      <c r="I1039" s="10">
        <f>100.1136 * CHOOSE(CONTROL!$C$9, $D$9, 100%, $F$9) + CHOOSE(CONTROL!$C$27, 0.0021, 0)</f>
        <v>100.1157</v>
      </c>
      <c r="J1039" s="10">
        <f>100.1136 * CHOOSE(CONTROL!$C$9, $D$9, 100%, $F$9) + CHOOSE(CONTROL!$C$27, 0.0021, 0)</f>
        <v>100.1157</v>
      </c>
      <c r="K1039" s="10">
        <f>100.1136 * CHOOSE(CONTROL!$C$9, $D$9, 100%, $F$9) + CHOOSE(CONTROL!$C$27, 0.0021, 0)</f>
        <v>100.1157</v>
      </c>
      <c r="L1039" s="10"/>
    </row>
    <row r="1040" spans="1:12" ht="15.75">
      <c r="A1040" s="13">
        <v>72958</v>
      </c>
      <c r="B1040" s="10">
        <f>102.5438 * CHOOSE(CONTROL!$C$9, $D$9, 100%, $F$9) + CHOOSE(CONTROL!$C$27, 0.0021, 0)</f>
        <v>102.5459</v>
      </c>
      <c r="C1040" s="10">
        <f>102.1116 * CHOOSE(CONTROL!$C$9, $D$9, 100%, $F$9) + CHOOSE(CONTROL!$C$27, 0.0021, 0)</f>
        <v>102.11369999999999</v>
      </c>
      <c r="D1040" s="10">
        <f>102.1116 * CHOOSE(CONTROL!$C$9, $D$9, 100%, $F$9) + CHOOSE(CONTROL!$C$27, 0.0021, 0)</f>
        <v>102.11369999999999</v>
      </c>
      <c r="E1040" s="10">
        <f>101.9749 * CHOOSE(CONTROL!$C$9, $D$9, 100%, $F$9) + CHOOSE(CONTROL!$C$27, 0.0021, 0)</f>
        <v>101.977</v>
      </c>
      <c r="F1040" s="10">
        <f>101.9749 * CHOOSE(CONTROL!$C$9, $D$9, 100%, $F$9) + CHOOSE(CONTROL!$C$27, 0.0021, 0)</f>
        <v>101.977</v>
      </c>
      <c r="G1040" s="10">
        <f>102.2463 * CHOOSE(CONTROL!$C$9, $D$9, 100%, $F$9) + CHOOSE(CONTROL!$C$27, 0.0021, 0)</f>
        <v>102.2484</v>
      </c>
      <c r="H1040" s="10">
        <f>102.1116 * CHOOSE(CONTROL!$C$9, $D$9, 100%, $F$9) + CHOOSE(CONTROL!$C$27, 0.0021, 0)</f>
        <v>102.11369999999999</v>
      </c>
      <c r="I1040" s="10">
        <f>102.1116 * CHOOSE(CONTROL!$C$9, $D$9, 100%, $F$9) + CHOOSE(CONTROL!$C$27, 0.0021, 0)</f>
        <v>102.11369999999999</v>
      </c>
      <c r="J1040" s="10">
        <f>102.1116 * CHOOSE(CONTROL!$C$9, $D$9, 100%, $F$9) + CHOOSE(CONTROL!$C$27, 0.0021, 0)</f>
        <v>102.11369999999999</v>
      </c>
      <c r="K1040" s="10">
        <f>102.1116 * CHOOSE(CONTROL!$C$9, $D$9, 100%, $F$9) + CHOOSE(CONTROL!$C$27, 0.0021, 0)</f>
        <v>102.11369999999999</v>
      </c>
      <c r="L1040" s="10"/>
    </row>
    <row r="1041" spans="1:12" ht="15.75">
      <c r="A1041" s="13">
        <v>72989</v>
      </c>
      <c r="B1041" s="10">
        <f>105.0729 * CHOOSE(CONTROL!$C$9, $D$9, 100%, $F$9) + CHOOSE(CONTROL!$C$27, 0.0021, 0)</f>
        <v>105.075</v>
      </c>
      <c r="C1041" s="10">
        <f>104.6407 * CHOOSE(CONTROL!$C$9, $D$9, 100%, $F$9) + CHOOSE(CONTROL!$C$27, 0.0021, 0)</f>
        <v>104.64279999999999</v>
      </c>
      <c r="D1041" s="10">
        <f>104.6407 * CHOOSE(CONTROL!$C$9, $D$9, 100%, $F$9) + CHOOSE(CONTROL!$C$27, 0.0021, 0)</f>
        <v>104.64279999999999</v>
      </c>
      <c r="E1041" s="10">
        <f>104.504 * CHOOSE(CONTROL!$C$9, $D$9, 100%, $F$9) + CHOOSE(CONTROL!$C$27, 0.0021, 0)</f>
        <v>104.5061</v>
      </c>
      <c r="F1041" s="10">
        <f>104.504 * CHOOSE(CONTROL!$C$9, $D$9, 100%, $F$9) + CHOOSE(CONTROL!$C$27, 0.0021, 0)</f>
        <v>104.5061</v>
      </c>
      <c r="G1041" s="10">
        <f>104.7754 * CHOOSE(CONTROL!$C$9, $D$9, 100%, $F$9) + CHOOSE(CONTROL!$C$27, 0.0021, 0)</f>
        <v>104.7775</v>
      </c>
      <c r="H1041" s="10">
        <f>104.6407 * CHOOSE(CONTROL!$C$9, $D$9, 100%, $F$9) + CHOOSE(CONTROL!$C$27, 0.0021, 0)</f>
        <v>104.64279999999999</v>
      </c>
      <c r="I1041" s="10">
        <f>104.6407 * CHOOSE(CONTROL!$C$9, $D$9, 100%, $F$9) + CHOOSE(CONTROL!$C$27, 0.0021, 0)</f>
        <v>104.64279999999999</v>
      </c>
      <c r="J1041" s="10">
        <f>104.6407 * CHOOSE(CONTROL!$C$9, $D$9, 100%, $F$9) + CHOOSE(CONTROL!$C$27, 0.0021, 0)</f>
        <v>104.64279999999999</v>
      </c>
      <c r="K1041" s="10">
        <f>104.6407 * CHOOSE(CONTROL!$C$9, $D$9, 100%, $F$9) + CHOOSE(CONTROL!$C$27, 0.0021, 0)</f>
        <v>104.64279999999999</v>
      </c>
      <c r="L1041" s="10"/>
    </row>
    <row r="1042" spans="1:12" ht="15.75">
      <c r="A1042" s="13">
        <v>73019</v>
      </c>
      <c r="B1042" s="10">
        <f>105.3104 * CHOOSE(CONTROL!$C$9, $D$9, 100%, $F$9) + CHOOSE(CONTROL!$C$27, 0.0021, 0)</f>
        <v>105.3125</v>
      </c>
      <c r="C1042" s="10">
        <f>104.8781 * CHOOSE(CONTROL!$C$9, $D$9, 100%, $F$9) + CHOOSE(CONTROL!$C$27, 0.0021, 0)</f>
        <v>104.8802</v>
      </c>
      <c r="D1042" s="10">
        <f>104.8781 * CHOOSE(CONTROL!$C$9, $D$9, 100%, $F$9) + CHOOSE(CONTROL!$C$27, 0.0021, 0)</f>
        <v>104.8802</v>
      </c>
      <c r="E1042" s="10">
        <f>104.7415 * CHOOSE(CONTROL!$C$9, $D$9, 100%, $F$9) + CHOOSE(CONTROL!$C$27, 0.0021, 0)</f>
        <v>104.7436</v>
      </c>
      <c r="F1042" s="10">
        <f>104.7415 * CHOOSE(CONTROL!$C$9, $D$9, 100%, $F$9) + CHOOSE(CONTROL!$C$27, 0.0021, 0)</f>
        <v>104.7436</v>
      </c>
      <c r="G1042" s="10">
        <f>105.0128 * CHOOSE(CONTROL!$C$9, $D$9, 100%, $F$9) + CHOOSE(CONTROL!$C$27, 0.0021, 0)</f>
        <v>105.0149</v>
      </c>
      <c r="H1042" s="10">
        <f>104.8781 * CHOOSE(CONTROL!$C$9, $D$9, 100%, $F$9) + CHOOSE(CONTROL!$C$27, 0.0021, 0)</f>
        <v>104.8802</v>
      </c>
      <c r="I1042" s="10">
        <f>104.8781 * CHOOSE(CONTROL!$C$9, $D$9, 100%, $F$9) + CHOOSE(CONTROL!$C$27, 0.0021, 0)</f>
        <v>104.8802</v>
      </c>
      <c r="J1042" s="10">
        <f>104.8781 * CHOOSE(CONTROL!$C$9, $D$9, 100%, $F$9) + CHOOSE(CONTROL!$C$27, 0.0021, 0)</f>
        <v>104.8802</v>
      </c>
      <c r="K1042" s="10">
        <f>104.8781 * CHOOSE(CONTROL!$C$9, $D$9, 100%, $F$9) + CHOOSE(CONTROL!$C$27, 0.0021, 0)</f>
        <v>104.8802</v>
      </c>
      <c r="L1042" s="10"/>
    </row>
    <row r="1043" spans="1:12" ht="15.75">
      <c r="A1043" s="13">
        <v>73050</v>
      </c>
      <c r="B1043" s="10">
        <f>103.2904 * CHOOSE(CONTROL!$C$9, $D$9, 100%, $F$9) + CHOOSE(CONTROL!$C$27, 0.0021, 0)</f>
        <v>103.2925</v>
      </c>
      <c r="C1043" s="10">
        <f>102.8582 * CHOOSE(CONTROL!$C$9, $D$9, 100%, $F$9) + CHOOSE(CONTROL!$C$27, 0.0021, 0)</f>
        <v>102.8603</v>
      </c>
      <c r="D1043" s="10">
        <f>102.8582 * CHOOSE(CONTROL!$C$9, $D$9, 100%, $F$9) + CHOOSE(CONTROL!$C$27, 0.0021, 0)</f>
        <v>102.8603</v>
      </c>
      <c r="E1043" s="10">
        <f>102.7215 * CHOOSE(CONTROL!$C$9, $D$9, 100%, $F$9) + CHOOSE(CONTROL!$C$27, 0.0021, 0)</f>
        <v>102.7236</v>
      </c>
      <c r="F1043" s="10">
        <f>102.7215 * CHOOSE(CONTROL!$C$9, $D$9, 100%, $F$9) + CHOOSE(CONTROL!$C$27, 0.0021, 0)</f>
        <v>102.7236</v>
      </c>
      <c r="G1043" s="10">
        <f>102.9929 * CHOOSE(CONTROL!$C$9, $D$9, 100%, $F$9) + CHOOSE(CONTROL!$C$27, 0.0021, 0)</f>
        <v>102.995</v>
      </c>
      <c r="H1043" s="10">
        <f>102.8582 * CHOOSE(CONTROL!$C$9, $D$9, 100%, $F$9) + CHOOSE(CONTROL!$C$27, 0.0021, 0)</f>
        <v>102.8603</v>
      </c>
      <c r="I1043" s="10">
        <f>102.8582 * CHOOSE(CONTROL!$C$9, $D$9, 100%, $F$9) + CHOOSE(CONTROL!$C$27, 0.0021, 0)</f>
        <v>102.8603</v>
      </c>
      <c r="J1043" s="10">
        <f>102.8582 * CHOOSE(CONTROL!$C$9, $D$9, 100%, $F$9) + CHOOSE(CONTROL!$C$27, 0.0021, 0)</f>
        <v>102.8603</v>
      </c>
      <c r="K1043" s="10">
        <f>102.8582 * CHOOSE(CONTROL!$C$9, $D$9, 100%, $F$9) + CHOOSE(CONTROL!$C$27, 0.0021, 0)</f>
        <v>102.8603</v>
      </c>
      <c r="L1043" s="10"/>
    </row>
    <row r="1044" spans="1:12" ht="15.75">
      <c r="A1044" s="13">
        <v>73081</v>
      </c>
      <c r="B1044" s="10">
        <f>101.7439 * CHOOSE(CONTROL!$C$9, $D$9, 100%, $F$9) + CHOOSE(CONTROL!$C$27, 0.0021, 0)</f>
        <v>101.746</v>
      </c>
      <c r="C1044" s="10">
        <f>101.3116 * CHOOSE(CONTROL!$C$9, $D$9, 100%, $F$9) + CHOOSE(CONTROL!$C$27, 0.0021, 0)</f>
        <v>101.3137</v>
      </c>
      <c r="D1044" s="10">
        <f>101.3116 * CHOOSE(CONTROL!$C$9, $D$9, 100%, $F$9) + CHOOSE(CONTROL!$C$27, 0.0021, 0)</f>
        <v>101.3137</v>
      </c>
      <c r="E1044" s="10">
        <f>101.175 * CHOOSE(CONTROL!$C$9, $D$9, 100%, $F$9) + CHOOSE(CONTROL!$C$27, 0.0021, 0)</f>
        <v>101.1771</v>
      </c>
      <c r="F1044" s="10">
        <f>101.175 * CHOOSE(CONTROL!$C$9, $D$9, 100%, $F$9) + CHOOSE(CONTROL!$C$27, 0.0021, 0)</f>
        <v>101.1771</v>
      </c>
      <c r="G1044" s="10">
        <f>101.4464 * CHOOSE(CONTROL!$C$9, $D$9, 100%, $F$9) + CHOOSE(CONTROL!$C$27, 0.0021, 0)</f>
        <v>101.4485</v>
      </c>
      <c r="H1044" s="10">
        <f>101.3116 * CHOOSE(CONTROL!$C$9, $D$9, 100%, $F$9) + CHOOSE(CONTROL!$C$27, 0.0021, 0)</f>
        <v>101.3137</v>
      </c>
      <c r="I1044" s="10">
        <f>101.3116 * CHOOSE(CONTROL!$C$9, $D$9, 100%, $F$9) + CHOOSE(CONTROL!$C$27, 0.0021, 0)</f>
        <v>101.3137</v>
      </c>
      <c r="J1044" s="10">
        <f>101.3116 * CHOOSE(CONTROL!$C$9, $D$9, 100%, $F$9) + CHOOSE(CONTROL!$C$27, 0.0021, 0)</f>
        <v>101.3137</v>
      </c>
      <c r="K1044" s="10">
        <f>101.3116 * CHOOSE(CONTROL!$C$9, $D$9, 100%, $F$9) + CHOOSE(CONTROL!$C$27, 0.0021, 0)</f>
        <v>101.3137</v>
      </c>
      <c r="L1044" s="10"/>
    </row>
    <row r="1045" spans="1:12" ht="15.75">
      <c r="A1045" s="13">
        <v>73109</v>
      </c>
      <c r="B1045" s="10">
        <f>98.9309 * CHOOSE(CONTROL!$C$9, $D$9, 100%, $F$9) + CHOOSE(CONTROL!$C$27, 0.0021, 0)</f>
        <v>98.932999999999993</v>
      </c>
      <c r="C1045" s="10">
        <f>98.4986 * CHOOSE(CONTROL!$C$9, $D$9, 100%, $F$9) + CHOOSE(CONTROL!$C$27, 0.0021, 0)</f>
        <v>98.500699999999995</v>
      </c>
      <c r="D1045" s="10">
        <f>98.4986 * CHOOSE(CONTROL!$C$9, $D$9, 100%, $F$9) + CHOOSE(CONTROL!$C$27, 0.0021, 0)</f>
        <v>98.500699999999995</v>
      </c>
      <c r="E1045" s="10">
        <f>98.3619 * CHOOSE(CONTROL!$C$9, $D$9, 100%, $F$9) + CHOOSE(CONTROL!$C$27, 0.0021, 0)</f>
        <v>98.364000000000004</v>
      </c>
      <c r="F1045" s="10">
        <f>98.3619 * CHOOSE(CONTROL!$C$9, $D$9, 100%, $F$9) + CHOOSE(CONTROL!$C$27, 0.0021, 0)</f>
        <v>98.364000000000004</v>
      </c>
      <c r="G1045" s="10">
        <f>98.6333 * CHOOSE(CONTROL!$C$9, $D$9, 100%, $F$9) + CHOOSE(CONTROL!$C$27, 0.0021, 0)</f>
        <v>98.635400000000004</v>
      </c>
      <c r="H1045" s="10">
        <f>98.4986 * CHOOSE(CONTROL!$C$9, $D$9, 100%, $F$9) + CHOOSE(CONTROL!$C$27, 0.0021, 0)</f>
        <v>98.500699999999995</v>
      </c>
      <c r="I1045" s="10">
        <f>98.4986 * CHOOSE(CONTROL!$C$9, $D$9, 100%, $F$9) + CHOOSE(CONTROL!$C$27, 0.0021, 0)</f>
        <v>98.500699999999995</v>
      </c>
      <c r="J1045" s="10">
        <f>98.4986 * CHOOSE(CONTROL!$C$9, $D$9, 100%, $F$9) + CHOOSE(CONTROL!$C$27, 0.0021, 0)</f>
        <v>98.500699999999995</v>
      </c>
      <c r="K1045" s="10">
        <f>98.4986 * CHOOSE(CONTROL!$C$9, $D$9, 100%, $F$9) + CHOOSE(CONTROL!$C$27, 0.0021, 0)</f>
        <v>98.500699999999995</v>
      </c>
      <c r="L1045" s="10"/>
    </row>
    <row r="1046" spans="1:12" ht="15.75">
      <c r="A1046" s="13">
        <v>73140</v>
      </c>
      <c r="B1046" s="10">
        <f>97.7696 * CHOOSE(CONTROL!$C$9, $D$9, 100%, $F$9) + CHOOSE(CONTROL!$C$27, 0.0021, 0)</f>
        <v>97.771699999999996</v>
      </c>
      <c r="C1046" s="10">
        <f>97.3374 * CHOOSE(CONTROL!$C$9, $D$9, 100%, $F$9) + CHOOSE(CONTROL!$C$27, 0.0021, 0)</f>
        <v>97.339500000000001</v>
      </c>
      <c r="D1046" s="10">
        <f>97.3374 * CHOOSE(CONTROL!$C$9, $D$9, 100%, $F$9) + CHOOSE(CONTROL!$C$27, 0.0021, 0)</f>
        <v>97.339500000000001</v>
      </c>
      <c r="E1046" s="10">
        <f>97.2007 * CHOOSE(CONTROL!$C$9, $D$9, 100%, $F$9) + CHOOSE(CONTROL!$C$27, 0.0021, 0)</f>
        <v>97.202799999999996</v>
      </c>
      <c r="F1046" s="10">
        <f>97.2007 * CHOOSE(CONTROL!$C$9, $D$9, 100%, $F$9) + CHOOSE(CONTROL!$C$27, 0.0021, 0)</f>
        <v>97.202799999999996</v>
      </c>
      <c r="G1046" s="10">
        <f>97.4721 * CHOOSE(CONTROL!$C$9, $D$9, 100%, $F$9) + CHOOSE(CONTROL!$C$27, 0.0021, 0)</f>
        <v>97.474199999999996</v>
      </c>
      <c r="H1046" s="10">
        <f>97.3374 * CHOOSE(CONTROL!$C$9, $D$9, 100%, $F$9) + CHOOSE(CONTROL!$C$27, 0.0021, 0)</f>
        <v>97.339500000000001</v>
      </c>
      <c r="I1046" s="10">
        <f>97.3374 * CHOOSE(CONTROL!$C$9, $D$9, 100%, $F$9) + CHOOSE(CONTROL!$C$27, 0.0021, 0)</f>
        <v>97.339500000000001</v>
      </c>
      <c r="J1046" s="10">
        <f>97.3374 * CHOOSE(CONTROL!$C$9, $D$9, 100%, $F$9) + CHOOSE(CONTROL!$C$27, 0.0021, 0)</f>
        <v>97.339500000000001</v>
      </c>
      <c r="K1046" s="10">
        <f>97.3374 * CHOOSE(CONTROL!$C$9, $D$9, 100%, $F$9) + CHOOSE(CONTROL!$C$27, 0.0021, 0)</f>
        <v>97.339500000000001</v>
      </c>
      <c r="L1046" s="10"/>
    </row>
    <row r="1047" spans="1:12" ht="15.75">
      <c r="A1047" s="13">
        <v>73170</v>
      </c>
      <c r="B1047" s="10">
        <f>96.3831 * CHOOSE(CONTROL!$C$9, $D$9, 100%, $F$9) + CHOOSE(CONTROL!$C$27, 0.0021, 0)</f>
        <v>96.385199999999998</v>
      </c>
      <c r="C1047" s="10">
        <f>95.9509 * CHOOSE(CONTROL!$C$9, $D$9, 100%, $F$9) + CHOOSE(CONTROL!$C$27, 0.0021, 0)</f>
        <v>95.953000000000003</v>
      </c>
      <c r="D1047" s="10">
        <f>95.9509 * CHOOSE(CONTROL!$C$9, $D$9, 100%, $F$9) + CHOOSE(CONTROL!$C$27, 0.0021, 0)</f>
        <v>95.953000000000003</v>
      </c>
      <c r="E1047" s="10">
        <f>95.8142 * CHOOSE(CONTROL!$C$9, $D$9, 100%, $F$9) + CHOOSE(CONTROL!$C$27, 0.0021, 0)</f>
        <v>95.816299999999998</v>
      </c>
      <c r="F1047" s="10">
        <f>95.8142 * CHOOSE(CONTROL!$C$9, $D$9, 100%, $F$9) + CHOOSE(CONTROL!$C$27, 0.0021, 0)</f>
        <v>95.816299999999998</v>
      </c>
      <c r="G1047" s="10">
        <f>96.0856 * CHOOSE(CONTROL!$C$9, $D$9, 100%, $F$9) + CHOOSE(CONTROL!$C$27, 0.0021, 0)</f>
        <v>96.087699999999998</v>
      </c>
      <c r="H1047" s="10">
        <f>95.9509 * CHOOSE(CONTROL!$C$9, $D$9, 100%, $F$9) + CHOOSE(CONTROL!$C$27, 0.0021, 0)</f>
        <v>95.953000000000003</v>
      </c>
      <c r="I1047" s="10">
        <f>95.9509 * CHOOSE(CONTROL!$C$9, $D$9, 100%, $F$9) + CHOOSE(CONTROL!$C$27, 0.0021, 0)</f>
        <v>95.953000000000003</v>
      </c>
      <c r="J1047" s="10">
        <f>95.9509 * CHOOSE(CONTROL!$C$9, $D$9, 100%, $F$9) + CHOOSE(CONTROL!$C$27, 0.0021, 0)</f>
        <v>95.953000000000003</v>
      </c>
      <c r="K1047" s="10">
        <f>95.9509 * CHOOSE(CONTROL!$C$9, $D$9, 100%, $F$9) + CHOOSE(CONTROL!$C$27, 0.0021, 0)</f>
        <v>95.953000000000003</v>
      </c>
      <c r="L1047" s="10"/>
    </row>
    <row r="1048" spans="1:12" ht="15.75">
      <c r="A1048" s="13">
        <v>73201</v>
      </c>
      <c r="B1048" s="10">
        <f>98.3591 * CHOOSE(CONTROL!$C$9, $D$9, 100%, $F$9) + CHOOSE(CONTROL!$C$27, 0.0021, 0)</f>
        <v>98.361199999999997</v>
      </c>
      <c r="C1048" s="10">
        <f>97.9268 * CHOOSE(CONTROL!$C$9, $D$9, 100%, $F$9) + CHOOSE(CONTROL!$C$27, 0.0021, 0)</f>
        <v>97.928899999999999</v>
      </c>
      <c r="D1048" s="10">
        <f>97.9268 * CHOOSE(CONTROL!$C$9, $D$9, 100%, $F$9) + CHOOSE(CONTROL!$C$27, 0.0021, 0)</f>
        <v>97.928899999999999</v>
      </c>
      <c r="E1048" s="10">
        <f>97.7902 * CHOOSE(CONTROL!$C$9, $D$9, 100%, $F$9) + CHOOSE(CONTROL!$C$27, 0.0021, 0)</f>
        <v>97.792299999999997</v>
      </c>
      <c r="F1048" s="10">
        <f>97.7902 * CHOOSE(CONTROL!$C$9, $D$9, 100%, $F$9) + CHOOSE(CONTROL!$C$27, 0.0021, 0)</f>
        <v>97.792299999999997</v>
      </c>
      <c r="G1048" s="10">
        <f>98.0615 * CHOOSE(CONTROL!$C$9, $D$9, 100%, $F$9) + CHOOSE(CONTROL!$C$27, 0.0021, 0)</f>
        <v>98.063599999999994</v>
      </c>
      <c r="H1048" s="10">
        <f>97.9268 * CHOOSE(CONTROL!$C$9, $D$9, 100%, $F$9) + CHOOSE(CONTROL!$C$27, 0.0021, 0)</f>
        <v>97.928899999999999</v>
      </c>
      <c r="I1048" s="10">
        <f>97.9268 * CHOOSE(CONTROL!$C$9, $D$9, 100%, $F$9) + CHOOSE(CONTROL!$C$27, 0.0021, 0)</f>
        <v>97.928899999999999</v>
      </c>
      <c r="J1048" s="10">
        <f>97.9268 * CHOOSE(CONTROL!$C$9, $D$9, 100%, $F$9) + CHOOSE(CONTROL!$C$27, 0.0021, 0)</f>
        <v>97.928899999999999</v>
      </c>
      <c r="K1048" s="10">
        <f>97.9268 * CHOOSE(CONTROL!$C$9, $D$9, 100%, $F$9) + CHOOSE(CONTROL!$C$27, 0.0021, 0)</f>
        <v>97.928899999999999</v>
      </c>
      <c r="L1048" s="10"/>
    </row>
    <row r="1049" spans="1:12" ht="15.75">
      <c r="A1049" s="13">
        <v>73231</v>
      </c>
      <c r="B1049" s="10">
        <f>99.5426 * CHOOSE(CONTROL!$C$9, $D$9, 100%, $F$9) + CHOOSE(CONTROL!$C$27, 0.0021, 0)</f>
        <v>99.544699999999992</v>
      </c>
      <c r="C1049" s="10">
        <f>99.1103 * CHOOSE(CONTROL!$C$9, $D$9, 100%, $F$9) + CHOOSE(CONTROL!$C$27, 0.0021, 0)</f>
        <v>99.112399999999994</v>
      </c>
      <c r="D1049" s="10">
        <f>99.1103 * CHOOSE(CONTROL!$C$9, $D$9, 100%, $F$9) + CHOOSE(CONTROL!$C$27, 0.0021, 0)</f>
        <v>99.112399999999994</v>
      </c>
      <c r="E1049" s="10">
        <f>98.9737 * CHOOSE(CONTROL!$C$9, $D$9, 100%, $F$9) + CHOOSE(CONTROL!$C$27, 0.0021, 0)</f>
        <v>98.975799999999992</v>
      </c>
      <c r="F1049" s="10">
        <f>98.9737 * CHOOSE(CONTROL!$C$9, $D$9, 100%, $F$9) + CHOOSE(CONTROL!$C$27, 0.0021, 0)</f>
        <v>98.975799999999992</v>
      </c>
      <c r="G1049" s="10">
        <f>99.2451 * CHOOSE(CONTROL!$C$9, $D$9, 100%, $F$9) + CHOOSE(CONTROL!$C$27, 0.0021, 0)</f>
        <v>99.247199999999992</v>
      </c>
      <c r="H1049" s="10">
        <f>99.1103 * CHOOSE(CONTROL!$C$9, $D$9, 100%, $F$9) + CHOOSE(CONTROL!$C$27, 0.0021, 0)</f>
        <v>99.112399999999994</v>
      </c>
      <c r="I1049" s="10">
        <f>99.1103 * CHOOSE(CONTROL!$C$9, $D$9, 100%, $F$9) + CHOOSE(CONTROL!$C$27, 0.0021, 0)</f>
        <v>99.112399999999994</v>
      </c>
      <c r="J1049" s="10">
        <f>99.1103 * CHOOSE(CONTROL!$C$9, $D$9, 100%, $F$9) + CHOOSE(CONTROL!$C$27, 0.0021, 0)</f>
        <v>99.112399999999994</v>
      </c>
      <c r="K1049" s="10">
        <f>99.1103 * CHOOSE(CONTROL!$C$9, $D$9, 100%, $F$9) + CHOOSE(CONTROL!$C$27, 0.0021, 0)</f>
        <v>99.112399999999994</v>
      </c>
      <c r="L1049" s="10"/>
    </row>
    <row r="1050" spans="1:12" ht="15.75">
      <c r="A1050" s="13">
        <v>73262</v>
      </c>
      <c r="B1050" s="10">
        <f>101.495 * CHOOSE(CONTROL!$C$9, $D$9, 100%, $F$9) + CHOOSE(CONTROL!$C$27, 0.0021, 0)</f>
        <v>101.4971</v>
      </c>
      <c r="C1050" s="10">
        <f>101.0627 * CHOOSE(CONTROL!$C$9, $D$9, 100%, $F$9) + CHOOSE(CONTROL!$C$27, 0.0021, 0)</f>
        <v>101.06480000000001</v>
      </c>
      <c r="D1050" s="10">
        <f>101.0627 * CHOOSE(CONTROL!$C$9, $D$9, 100%, $F$9) + CHOOSE(CONTROL!$C$27, 0.0021, 0)</f>
        <v>101.06480000000001</v>
      </c>
      <c r="E1050" s="10">
        <f>100.926 * CHOOSE(CONTROL!$C$9, $D$9, 100%, $F$9) + CHOOSE(CONTROL!$C$27, 0.0021, 0)</f>
        <v>100.9281</v>
      </c>
      <c r="F1050" s="10">
        <f>100.926 * CHOOSE(CONTROL!$C$9, $D$9, 100%, $F$9) + CHOOSE(CONTROL!$C$27, 0.0021, 0)</f>
        <v>100.9281</v>
      </c>
      <c r="G1050" s="10">
        <f>101.1974 * CHOOSE(CONTROL!$C$9, $D$9, 100%, $F$9) + CHOOSE(CONTROL!$C$27, 0.0021, 0)</f>
        <v>101.1995</v>
      </c>
      <c r="H1050" s="10">
        <f>101.0627 * CHOOSE(CONTROL!$C$9, $D$9, 100%, $F$9) + CHOOSE(CONTROL!$C$27, 0.0021, 0)</f>
        <v>101.06480000000001</v>
      </c>
      <c r="I1050" s="10">
        <f>101.0627 * CHOOSE(CONTROL!$C$9, $D$9, 100%, $F$9) + CHOOSE(CONTROL!$C$27, 0.0021, 0)</f>
        <v>101.06480000000001</v>
      </c>
      <c r="J1050" s="10">
        <f>101.0627 * CHOOSE(CONTROL!$C$9, $D$9, 100%, $F$9) + CHOOSE(CONTROL!$C$27, 0.0021, 0)</f>
        <v>101.06480000000001</v>
      </c>
      <c r="K1050" s="10">
        <f>101.0627 * CHOOSE(CONTROL!$C$9, $D$9, 100%, $F$9) + CHOOSE(CONTROL!$C$27, 0.0021, 0)</f>
        <v>101.06480000000001</v>
      </c>
      <c r="L1050" s="10"/>
    </row>
    <row r="1051" spans="1:12" ht="15.75">
      <c r="A1051" s="13">
        <v>73293</v>
      </c>
      <c r="B1051" s="10">
        <f>102.0909 * CHOOSE(CONTROL!$C$9, $D$9, 100%, $F$9) + CHOOSE(CONTROL!$C$27, 0.0021, 0)</f>
        <v>102.093</v>
      </c>
      <c r="C1051" s="10">
        <f>101.6586 * CHOOSE(CONTROL!$C$9, $D$9, 100%, $F$9) + CHOOSE(CONTROL!$C$27, 0.0021, 0)</f>
        <v>101.66070000000001</v>
      </c>
      <c r="D1051" s="10">
        <f>101.6586 * CHOOSE(CONTROL!$C$9, $D$9, 100%, $F$9) + CHOOSE(CONTROL!$C$27, 0.0021, 0)</f>
        <v>101.66070000000001</v>
      </c>
      <c r="E1051" s="10">
        <f>101.522 * CHOOSE(CONTROL!$C$9, $D$9, 100%, $F$9) + CHOOSE(CONTROL!$C$27, 0.0021, 0)</f>
        <v>101.5241</v>
      </c>
      <c r="F1051" s="10">
        <f>101.522 * CHOOSE(CONTROL!$C$9, $D$9, 100%, $F$9) + CHOOSE(CONTROL!$C$27, 0.0021, 0)</f>
        <v>101.5241</v>
      </c>
      <c r="G1051" s="10">
        <f>101.7933 * CHOOSE(CONTROL!$C$9, $D$9, 100%, $F$9) + CHOOSE(CONTROL!$C$27, 0.0021, 0)</f>
        <v>101.7954</v>
      </c>
      <c r="H1051" s="10">
        <f>101.6586 * CHOOSE(CONTROL!$C$9, $D$9, 100%, $F$9) + CHOOSE(CONTROL!$C$27, 0.0021, 0)</f>
        <v>101.66070000000001</v>
      </c>
      <c r="I1051" s="10">
        <f>101.6586 * CHOOSE(CONTROL!$C$9, $D$9, 100%, $F$9) + CHOOSE(CONTROL!$C$27, 0.0021, 0)</f>
        <v>101.66070000000001</v>
      </c>
      <c r="J1051" s="10">
        <f>101.6586 * CHOOSE(CONTROL!$C$9, $D$9, 100%, $F$9) + CHOOSE(CONTROL!$C$27, 0.0021, 0)</f>
        <v>101.66070000000001</v>
      </c>
      <c r="K1051" s="10">
        <f>101.6586 * CHOOSE(CONTROL!$C$9, $D$9, 100%, $F$9) + CHOOSE(CONTROL!$C$27, 0.0021, 0)</f>
        <v>101.66070000000001</v>
      </c>
      <c r="L1051" s="10"/>
    </row>
    <row r="1052" spans="1:12" ht="15.75">
      <c r="A1052" s="13">
        <v>73323</v>
      </c>
      <c r="B1052" s="10">
        <f>104.1203 * CHOOSE(CONTROL!$C$9, $D$9, 100%, $F$9) + CHOOSE(CONTROL!$C$27, 0.0021, 0)</f>
        <v>104.1224</v>
      </c>
      <c r="C1052" s="10">
        <f>103.688 * CHOOSE(CONTROL!$C$9, $D$9, 100%, $F$9) + CHOOSE(CONTROL!$C$27, 0.0021, 0)</f>
        <v>103.6901</v>
      </c>
      <c r="D1052" s="10">
        <f>103.688 * CHOOSE(CONTROL!$C$9, $D$9, 100%, $F$9) + CHOOSE(CONTROL!$C$27, 0.0021, 0)</f>
        <v>103.6901</v>
      </c>
      <c r="E1052" s="10">
        <f>103.5514 * CHOOSE(CONTROL!$C$9, $D$9, 100%, $F$9) + CHOOSE(CONTROL!$C$27, 0.0021, 0)</f>
        <v>103.5535</v>
      </c>
      <c r="F1052" s="10">
        <f>103.5514 * CHOOSE(CONTROL!$C$9, $D$9, 100%, $F$9) + CHOOSE(CONTROL!$C$27, 0.0021, 0)</f>
        <v>103.5535</v>
      </c>
      <c r="G1052" s="10">
        <f>103.8227 * CHOOSE(CONTROL!$C$9, $D$9, 100%, $F$9) + CHOOSE(CONTROL!$C$27, 0.0021, 0)</f>
        <v>103.8248</v>
      </c>
      <c r="H1052" s="10">
        <f>103.688 * CHOOSE(CONTROL!$C$9, $D$9, 100%, $F$9) + CHOOSE(CONTROL!$C$27, 0.0021, 0)</f>
        <v>103.6901</v>
      </c>
      <c r="I1052" s="10">
        <f>103.688 * CHOOSE(CONTROL!$C$9, $D$9, 100%, $F$9) + CHOOSE(CONTROL!$C$27, 0.0021, 0)</f>
        <v>103.6901</v>
      </c>
      <c r="J1052" s="10">
        <f>103.688 * CHOOSE(CONTROL!$C$9, $D$9, 100%, $F$9) + CHOOSE(CONTROL!$C$27, 0.0021, 0)</f>
        <v>103.6901</v>
      </c>
      <c r="K1052" s="10">
        <f>103.688 * CHOOSE(CONTROL!$C$9, $D$9, 100%, $F$9) + CHOOSE(CONTROL!$C$27, 0.0021, 0)</f>
        <v>103.6901</v>
      </c>
      <c r="L1052" s="10"/>
    </row>
    <row r="1053" spans="1:12" ht="15.75">
      <c r="A1053" s="13">
        <v>73354</v>
      </c>
      <c r="B1053" s="10">
        <f>106.6891 * CHOOSE(CONTROL!$C$9, $D$9, 100%, $F$9) + CHOOSE(CONTROL!$C$27, 0.0021, 0)</f>
        <v>106.69119999999999</v>
      </c>
      <c r="C1053" s="10">
        <f>106.2569 * CHOOSE(CONTROL!$C$9, $D$9, 100%, $F$9) + CHOOSE(CONTROL!$C$27, 0.0021, 0)</f>
        <v>106.259</v>
      </c>
      <c r="D1053" s="10">
        <f>106.2569 * CHOOSE(CONTROL!$C$9, $D$9, 100%, $F$9) + CHOOSE(CONTROL!$C$27, 0.0021, 0)</f>
        <v>106.259</v>
      </c>
      <c r="E1053" s="10">
        <f>106.1202 * CHOOSE(CONTROL!$C$9, $D$9, 100%, $F$9) + CHOOSE(CONTROL!$C$27, 0.0021, 0)</f>
        <v>106.1223</v>
      </c>
      <c r="F1053" s="10">
        <f>106.1202 * CHOOSE(CONTROL!$C$9, $D$9, 100%, $F$9) + CHOOSE(CONTROL!$C$27, 0.0021, 0)</f>
        <v>106.1223</v>
      </c>
      <c r="G1053" s="10">
        <f>106.3916 * CHOOSE(CONTROL!$C$9, $D$9, 100%, $F$9) + CHOOSE(CONTROL!$C$27, 0.0021, 0)</f>
        <v>106.3937</v>
      </c>
      <c r="H1053" s="10">
        <f>106.2569 * CHOOSE(CONTROL!$C$9, $D$9, 100%, $F$9) + CHOOSE(CONTROL!$C$27, 0.0021, 0)</f>
        <v>106.259</v>
      </c>
      <c r="I1053" s="10">
        <f>106.2569 * CHOOSE(CONTROL!$C$9, $D$9, 100%, $F$9) + CHOOSE(CONTROL!$C$27, 0.0021, 0)</f>
        <v>106.259</v>
      </c>
      <c r="J1053" s="10">
        <f>106.2569 * CHOOSE(CONTROL!$C$9, $D$9, 100%, $F$9) + CHOOSE(CONTROL!$C$27, 0.0021, 0)</f>
        <v>106.259</v>
      </c>
      <c r="K1053" s="10">
        <f>106.2569 * CHOOSE(CONTROL!$C$9, $D$9, 100%, $F$9) + CHOOSE(CONTROL!$C$27, 0.0021, 0)</f>
        <v>106.259</v>
      </c>
      <c r="L1053" s="10"/>
    </row>
    <row r="1054" spans="1:12" ht="15.75">
      <c r="A1054" s="13">
        <v>73384</v>
      </c>
      <c r="B1054" s="10">
        <f>106.9303 * CHOOSE(CONTROL!$C$9, $D$9, 100%, $F$9) + CHOOSE(CONTROL!$C$27, 0.0021, 0)</f>
        <v>106.9324</v>
      </c>
      <c r="C1054" s="10">
        <f>106.4981 * CHOOSE(CONTROL!$C$9, $D$9, 100%, $F$9) + CHOOSE(CONTROL!$C$27, 0.0021, 0)</f>
        <v>106.50019999999999</v>
      </c>
      <c r="D1054" s="10">
        <f>106.4981 * CHOOSE(CONTROL!$C$9, $D$9, 100%, $F$9) + CHOOSE(CONTROL!$C$27, 0.0021, 0)</f>
        <v>106.50019999999999</v>
      </c>
      <c r="E1054" s="10">
        <f>106.3614 * CHOOSE(CONTROL!$C$9, $D$9, 100%, $F$9) + CHOOSE(CONTROL!$C$27, 0.0021, 0)</f>
        <v>106.3635</v>
      </c>
      <c r="F1054" s="10">
        <f>106.3614 * CHOOSE(CONTROL!$C$9, $D$9, 100%, $F$9) + CHOOSE(CONTROL!$C$27, 0.0021, 0)</f>
        <v>106.3635</v>
      </c>
      <c r="G1054" s="10">
        <f>106.6328 * CHOOSE(CONTROL!$C$9, $D$9, 100%, $F$9) + CHOOSE(CONTROL!$C$27, 0.0021, 0)</f>
        <v>106.6349</v>
      </c>
      <c r="H1054" s="10">
        <f>106.4981 * CHOOSE(CONTROL!$C$9, $D$9, 100%, $F$9) + CHOOSE(CONTROL!$C$27, 0.0021, 0)</f>
        <v>106.50019999999999</v>
      </c>
      <c r="I1054" s="10">
        <f>106.4981 * CHOOSE(CONTROL!$C$9, $D$9, 100%, $F$9) + CHOOSE(CONTROL!$C$27, 0.0021, 0)</f>
        <v>106.50019999999999</v>
      </c>
      <c r="J1054" s="10">
        <f>106.4981 * CHOOSE(CONTROL!$C$9, $D$9, 100%, $F$9) + CHOOSE(CONTROL!$C$27, 0.0021, 0)</f>
        <v>106.50019999999999</v>
      </c>
      <c r="K1054" s="10">
        <f>106.4981 * CHOOSE(CONTROL!$C$9, $D$9, 100%, $F$9) + CHOOSE(CONTROL!$C$27, 0.0021, 0)</f>
        <v>106.50019999999999</v>
      </c>
      <c r="L1054" s="10"/>
    </row>
    <row r="1055" spans="1:12" ht="15.75">
      <c r="A1055" s="13">
        <v>73415</v>
      </c>
      <c r="B1055" s="10">
        <f>104.8786 * CHOOSE(CONTROL!$C$9, $D$9, 100%, $F$9) + CHOOSE(CONTROL!$C$27, 0.0021, 0)</f>
        <v>104.8807</v>
      </c>
      <c r="C1055" s="10">
        <f>104.4464 * CHOOSE(CONTROL!$C$9, $D$9, 100%, $F$9) + CHOOSE(CONTROL!$C$27, 0.0021, 0)</f>
        <v>104.4485</v>
      </c>
      <c r="D1055" s="10">
        <f>104.4464 * CHOOSE(CONTROL!$C$9, $D$9, 100%, $F$9) + CHOOSE(CONTROL!$C$27, 0.0021, 0)</f>
        <v>104.4485</v>
      </c>
      <c r="E1055" s="10">
        <f>104.3097 * CHOOSE(CONTROL!$C$9, $D$9, 100%, $F$9) + CHOOSE(CONTROL!$C$27, 0.0021, 0)</f>
        <v>104.31180000000001</v>
      </c>
      <c r="F1055" s="10">
        <f>104.3097 * CHOOSE(CONTROL!$C$9, $D$9, 100%, $F$9) + CHOOSE(CONTROL!$C$27, 0.0021, 0)</f>
        <v>104.31180000000001</v>
      </c>
      <c r="G1055" s="10">
        <f>104.5811 * CHOOSE(CONTROL!$C$9, $D$9, 100%, $F$9) + CHOOSE(CONTROL!$C$27, 0.0021, 0)</f>
        <v>104.58320000000001</v>
      </c>
      <c r="H1055" s="10">
        <f>104.4464 * CHOOSE(CONTROL!$C$9, $D$9, 100%, $F$9) + CHOOSE(CONTROL!$C$27, 0.0021, 0)</f>
        <v>104.4485</v>
      </c>
      <c r="I1055" s="10">
        <f>104.4464 * CHOOSE(CONTROL!$C$9, $D$9, 100%, $F$9) + CHOOSE(CONTROL!$C$27, 0.0021, 0)</f>
        <v>104.4485</v>
      </c>
      <c r="J1055" s="10">
        <f>104.4464 * CHOOSE(CONTROL!$C$9, $D$9, 100%, $F$9) + CHOOSE(CONTROL!$C$27, 0.0021, 0)</f>
        <v>104.4485</v>
      </c>
      <c r="K1055" s="10">
        <f>104.4464 * CHOOSE(CONTROL!$C$9, $D$9, 100%, $F$9) + CHOOSE(CONTROL!$C$27, 0.0021, 0)</f>
        <v>104.4485</v>
      </c>
      <c r="L1055" s="10"/>
    </row>
    <row r="1056" spans="1:12" ht="15">
      <c r="A1056" s="12"/>
      <c r="B1056" s="10"/>
      <c r="C1056" s="10"/>
      <c r="D1056" s="10"/>
      <c r="E1056" s="10"/>
      <c r="F1056" s="10"/>
      <c r="G1056" s="10"/>
      <c r="H1056" s="10"/>
      <c r="I1056" s="10"/>
      <c r="L1056" s="10"/>
    </row>
    <row r="1057" spans="1:12" ht="15">
      <c r="A1057" s="11">
        <v>2014</v>
      </c>
      <c r="B1057" s="10">
        <f>AVERAGE(B12:B23)</f>
        <v>23.469097527158379</v>
      </c>
      <c r="C1057" s="10">
        <f>AVERAGE(C12:C23)</f>
        <v>23.036861277873061</v>
      </c>
      <c r="D1057" s="10"/>
      <c r="E1057" s="10">
        <f t="shared" ref="E1057:K1057" si="0">AVERAGE(E12:E23)</f>
        <v>22.900195240137222</v>
      </c>
      <c r="F1057" s="10">
        <f t="shared" si="0"/>
        <v>22.900195240137222</v>
      </c>
      <c r="G1057" s="10">
        <f t="shared" si="0"/>
        <v>23.171576686678097</v>
      </c>
      <c r="H1057" s="10">
        <f t="shared" si="0"/>
        <v>23.036861277873061</v>
      </c>
      <c r="I1057" s="10">
        <f t="shared" si="0"/>
        <v>23.036861277873061</v>
      </c>
      <c r="J1057" s="10">
        <f t="shared" si="0"/>
        <v>22.676658847913089</v>
      </c>
      <c r="K1057" s="10">
        <f t="shared" si="0"/>
        <v>23.036861277873061</v>
      </c>
      <c r="L1057" s="10"/>
    </row>
    <row r="1058" spans="1:12" ht="15">
      <c r="A1058" s="11">
        <v>2015</v>
      </c>
      <c r="B1058" s="10">
        <f>AVERAGE(B24:B35)</f>
        <v>22.744716666666665</v>
      </c>
      <c r="C1058" s="10">
        <f>AVERAGE(C24:C35)</f>
        <v>22.312475000000003</v>
      </c>
      <c r="D1058" s="10"/>
      <c r="E1058" s="10">
        <f t="shared" ref="E1058:K1058" si="1">AVERAGE(E24:E35)</f>
        <v>22.175816666666666</v>
      </c>
      <c r="F1058" s="10">
        <f t="shared" si="1"/>
        <v>22.175816666666666</v>
      </c>
      <c r="G1058" s="10">
        <f t="shared" si="1"/>
        <v>22.447191666666669</v>
      </c>
      <c r="H1058" s="10">
        <f t="shared" si="1"/>
        <v>22.312475000000003</v>
      </c>
      <c r="I1058" s="10">
        <f t="shared" si="1"/>
        <v>22.312475000000003</v>
      </c>
      <c r="J1058" s="10">
        <f t="shared" si="1"/>
        <v>21.952266666666663</v>
      </c>
      <c r="K1058" s="10">
        <f t="shared" si="1"/>
        <v>22.312475000000003</v>
      </c>
      <c r="L1058" s="10"/>
    </row>
    <row r="1059" spans="1:12" ht="15">
      <c r="A1059" s="11">
        <v>2016</v>
      </c>
      <c r="B1059" s="10">
        <f>AVERAGE(B36:B47)</f>
        <v>22.002750000000002</v>
      </c>
      <c r="C1059" s="10">
        <f>AVERAGE(C36:C47)</f>
        <v>21.570500000000006</v>
      </c>
      <c r="D1059" s="10"/>
      <c r="E1059" s="10">
        <f t="shared" ref="E1059:K1059" si="2">AVERAGE(E36:E47)</f>
        <v>21.433849999999996</v>
      </c>
      <c r="F1059" s="10">
        <f t="shared" si="2"/>
        <v>21.433849999999996</v>
      </c>
      <c r="G1059" s="10">
        <f t="shared" si="2"/>
        <v>21.705224999999999</v>
      </c>
      <c r="H1059" s="10">
        <f t="shared" si="2"/>
        <v>21.570500000000006</v>
      </c>
      <c r="I1059" s="10">
        <f t="shared" si="2"/>
        <v>21.570500000000006</v>
      </c>
      <c r="J1059" s="10">
        <f t="shared" si="2"/>
        <v>21.570500000000006</v>
      </c>
      <c r="K1059" s="10">
        <f t="shared" si="2"/>
        <v>21.570500000000006</v>
      </c>
      <c r="L1059" s="10"/>
    </row>
    <row r="1060" spans="1:12" ht="15">
      <c r="A1060" s="11">
        <v>2017</v>
      </c>
      <c r="B1060" s="10">
        <f>AVERAGE(B48:B59)</f>
        <v>21.851399999999998</v>
      </c>
      <c r="C1060" s="10">
        <f>AVERAGE(C48:C59)</f>
        <v>21.419183333333326</v>
      </c>
      <c r="D1060" s="10"/>
      <c r="E1060" s="10">
        <f t="shared" ref="E1060:K1060" si="3">AVERAGE(E48:E59)</f>
        <v>21.282499999999999</v>
      </c>
      <c r="F1060" s="10">
        <f t="shared" si="3"/>
        <v>21.282499999999999</v>
      </c>
      <c r="G1060" s="10">
        <f t="shared" si="3"/>
        <v>21.553899999999999</v>
      </c>
      <c r="H1060" s="10">
        <f t="shared" si="3"/>
        <v>21.419183333333326</v>
      </c>
      <c r="I1060" s="10">
        <f t="shared" si="3"/>
        <v>21.419183333333326</v>
      </c>
      <c r="J1060" s="10">
        <f t="shared" si="3"/>
        <v>21.419183333333326</v>
      </c>
      <c r="K1060" s="10">
        <f t="shared" si="3"/>
        <v>21.419183333333326</v>
      </c>
      <c r="L1060" s="10"/>
    </row>
    <row r="1061" spans="1:12" ht="15">
      <c r="A1061" s="11">
        <v>2018</v>
      </c>
      <c r="B1061" s="10">
        <f>AVERAGE(B60:B71)</f>
        <v>22.509374999999995</v>
      </c>
      <c r="C1061" s="10">
        <f>AVERAGE(C60:C71)</f>
        <v>22.077141666666662</v>
      </c>
      <c r="D1061" s="10"/>
      <c r="E1061" s="10">
        <f t="shared" ref="E1061:K1061" si="4">AVERAGE(E60:E71)</f>
        <v>21.940466666666669</v>
      </c>
      <c r="F1061" s="10">
        <f t="shared" si="4"/>
        <v>21.940466666666669</v>
      </c>
      <c r="G1061" s="10">
        <f t="shared" si="4"/>
        <v>22.211849999999998</v>
      </c>
      <c r="H1061" s="10">
        <f t="shared" si="4"/>
        <v>22.077141666666662</v>
      </c>
      <c r="I1061" s="10">
        <f t="shared" si="4"/>
        <v>22.077141666666662</v>
      </c>
      <c r="J1061" s="10">
        <f t="shared" si="4"/>
        <v>22.077141666666662</v>
      </c>
      <c r="K1061" s="10">
        <f t="shared" si="4"/>
        <v>22.077141666666662</v>
      </c>
      <c r="L1061" s="10"/>
    </row>
    <row r="1062" spans="1:12" ht="15">
      <c r="A1062" s="11">
        <v>2019</v>
      </c>
      <c r="B1062" s="10">
        <f>AVERAGE(B72:B83)</f>
        <v>23.887908333333332</v>
      </c>
      <c r="C1062" s="10">
        <f>AVERAGE(C72:C83)</f>
        <v>23.455658333333332</v>
      </c>
      <c r="D1062" s="10"/>
      <c r="E1062" s="10">
        <f t="shared" ref="E1062:K1062" si="5">AVERAGE(E72:E83)</f>
        <v>23.319008333333329</v>
      </c>
      <c r="F1062" s="10">
        <f t="shared" si="5"/>
        <v>23.319008333333329</v>
      </c>
      <c r="G1062" s="10">
        <f t="shared" si="5"/>
        <v>23.590383333333332</v>
      </c>
      <c r="H1062" s="10">
        <f t="shared" si="5"/>
        <v>23.455658333333332</v>
      </c>
      <c r="I1062" s="10">
        <f t="shared" si="5"/>
        <v>23.455658333333332</v>
      </c>
      <c r="J1062" s="10">
        <f t="shared" si="5"/>
        <v>23.455658333333332</v>
      </c>
      <c r="K1062" s="10">
        <f t="shared" si="5"/>
        <v>23.455658333333332</v>
      </c>
      <c r="L1062" s="10"/>
    </row>
    <row r="1063" spans="1:12" ht="15">
      <c r="A1063" s="11">
        <v>2020</v>
      </c>
      <c r="B1063" s="10">
        <f>AVERAGE(B84:B95)</f>
        <v>24.898199999999999</v>
      </c>
      <c r="C1063" s="10">
        <f>AVERAGE(C84:C95)</f>
        <v>24.465950000000003</v>
      </c>
      <c r="D1063" s="10"/>
      <c r="E1063" s="10">
        <f t="shared" ref="E1063:K1063" si="6">AVERAGE(E84:E95)</f>
        <v>24.3293</v>
      </c>
      <c r="F1063" s="10">
        <f t="shared" si="6"/>
        <v>24.3293</v>
      </c>
      <c r="G1063" s="10">
        <f t="shared" si="6"/>
        <v>24.600674999999995</v>
      </c>
      <c r="H1063" s="10">
        <f t="shared" si="6"/>
        <v>24.465950000000003</v>
      </c>
      <c r="I1063" s="10">
        <f t="shared" si="6"/>
        <v>24.465950000000003</v>
      </c>
      <c r="J1063" s="10">
        <f t="shared" si="6"/>
        <v>24.465950000000003</v>
      </c>
      <c r="K1063" s="10">
        <f t="shared" si="6"/>
        <v>24.465950000000003</v>
      </c>
      <c r="L1063" s="10"/>
    </row>
    <row r="1064" spans="1:12" ht="15">
      <c r="A1064" s="11">
        <v>2021</v>
      </c>
      <c r="B1064" s="10">
        <f>AVERAGE(B96:B107)</f>
        <v>25.90506666666667</v>
      </c>
      <c r="C1064" s="10">
        <f>AVERAGE(C96:C107)</f>
        <v>25.47280833333333</v>
      </c>
      <c r="D1064" s="10"/>
      <c r="E1064" s="10">
        <f t="shared" ref="E1064:K1064" si="7">AVERAGE(E96:E107)</f>
        <v>25.336166666666667</v>
      </c>
      <c r="F1064" s="10">
        <f t="shared" si="7"/>
        <v>25.336166666666667</v>
      </c>
      <c r="G1064" s="10">
        <f t="shared" si="7"/>
        <v>25.607516666666665</v>
      </c>
      <c r="H1064" s="10">
        <f t="shared" si="7"/>
        <v>25.47280833333333</v>
      </c>
      <c r="I1064" s="10">
        <f t="shared" si="7"/>
        <v>25.47280833333333</v>
      </c>
      <c r="J1064" s="10">
        <f t="shared" si="7"/>
        <v>25.47280833333333</v>
      </c>
      <c r="K1064" s="10">
        <f t="shared" si="7"/>
        <v>25.47280833333333</v>
      </c>
      <c r="L1064" s="10"/>
    </row>
    <row r="1065" spans="1:12" ht="15">
      <c r="A1065" s="11">
        <v>2022</v>
      </c>
      <c r="B1065" s="10">
        <f>AVERAGE(B108:B119)</f>
        <v>27.061141666666668</v>
      </c>
      <c r="C1065" s="10">
        <f>AVERAGE(C108:C119)</f>
        <v>26.628891666666664</v>
      </c>
      <c r="D1065" s="10"/>
      <c r="E1065" s="10">
        <f t="shared" ref="E1065:K1065" si="8">AVERAGE(E108:E119)</f>
        <v>26.492241666666668</v>
      </c>
      <c r="F1065" s="10">
        <f t="shared" si="8"/>
        <v>26.492241666666668</v>
      </c>
      <c r="G1065" s="10">
        <f t="shared" si="8"/>
        <v>26.763608333333327</v>
      </c>
      <c r="H1065" s="10">
        <f t="shared" si="8"/>
        <v>26.628891666666664</v>
      </c>
      <c r="I1065" s="10">
        <f t="shared" si="8"/>
        <v>26.628891666666664</v>
      </c>
      <c r="J1065" s="10">
        <f t="shared" si="8"/>
        <v>26.628891666666664</v>
      </c>
      <c r="K1065" s="10">
        <f t="shared" si="8"/>
        <v>26.628891666666664</v>
      </c>
      <c r="L1065" s="10"/>
    </row>
    <row r="1066" spans="1:12" ht="15">
      <c r="A1066" s="11">
        <v>2023</v>
      </c>
      <c r="B1066" s="10">
        <f>AVERAGE(B120:B131)</f>
        <v>28.148633333333333</v>
      </c>
      <c r="C1066" s="10">
        <f>AVERAGE(C120:C131)</f>
        <v>27.716374999999999</v>
      </c>
      <c r="D1066" s="10"/>
      <c r="E1066" s="10">
        <f t="shared" ref="E1066:K1066" si="9">AVERAGE(E120:E131)</f>
        <v>27.579733333333337</v>
      </c>
      <c r="F1066" s="10">
        <f t="shared" si="9"/>
        <v>27.579733333333337</v>
      </c>
      <c r="G1066" s="10">
        <f t="shared" si="9"/>
        <v>27.851074999999994</v>
      </c>
      <c r="H1066" s="10">
        <f t="shared" si="9"/>
        <v>27.716374999999999</v>
      </c>
      <c r="I1066" s="10">
        <f t="shared" si="9"/>
        <v>27.716374999999999</v>
      </c>
      <c r="J1066" s="10">
        <f t="shared" si="9"/>
        <v>27.716374999999999</v>
      </c>
      <c r="K1066" s="10">
        <f t="shared" si="9"/>
        <v>27.716374999999999</v>
      </c>
      <c r="L1066" s="10"/>
    </row>
    <row r="1067" spans="1:12" ht="15">
      <c r="A1067" s="11">
        <v>2024</v>
      </c>
      <c r="B1067" s="10">
        <f>AVERAGE(B132:B143)</f>
        <v>29.181225000000001</v>
      </c>
      <c r="C1067" s="10">
        <f>AVERAGE(C132:C143)</f>
        <v>28.748949999999997</v>
      </c>
      <c r="D1067" s="10"/>
      <c r="E1067" s="10">
        <f t="shared" ref="E1067:K1067" si="10">AVERAGE(E132:E143)</f>
        <v>28.612324999999998</v>
      </c>
      <c r="F1067" s="10">
        <f t="shared" si="10"/>
        <v>28.612324999999998</v>
      </c>
      <c r="G1067" s="10">
        <f t="shared" si="10"/>
        <v>28.883708333333331</v>
      </c>
      <c r="H1067" s="10">
        <f t="shared" si="10"/>
        <v>28.748949999999997</v>
      </c>
      <c r="I1067" s="10">
        <f t="shared" si="10"/>
        <v>28.748949999999997</v>
      </c>
      <c r="J1067" s="10">
        <f t="shared" si="10"/>
        <v>28.748949999999997</v>
      </c>
      <c r="K1067" s="10">
        <f t="shared" si="10"/>
        <v>28.748949999999997</v>
      </c>
      <c r="L1067" s="10"/>
    </row>
    <row r="1068" spans="1:12" ht="15">
      <c r="A1068" s="11">
        <v>2025</v>
      </c>
      <c r="B1068" s="10">
        <f>AVERAGE(B144:B155)</f>
        <v>30.165766666666666</v>
      </c>
      <c r="C1068" s="10">
        <f>AVERAGE(C144:C155)</f>
        <v>29.733541666666667</v>
      </c>
      <c r="D1068" s="10"/>
      <c r="E1068" s="10">
        <f t="shared" ref="E1068:K1068" si="11">AVERAGE(E144:E155)</f>
        <v>29.596866666666671</v>
      </c>
      <c r="F1068" s="10">
        <f t="shared" si="11"/>
        <v>29.596866666666671</v>
      </c>
      <c r="G1068" s="10">
        <f t="shared" si="11"/>
        <v>29.868249999999993</v>
      </c>
      <c r="H1068" s="10">
        <f t="shared" si="11"/>
        <v>29.733541666666667</v>
      </c>
      <c r="I1068" s="10">
        <f t="shared" si="11"/>
        <v>29.733541666666667</v>
      </c>
      <c r="J1068" s="10">
        <f t="shared" si="11"/>
        <v>29.733541666666667</v>
      </c>
      <c r="K1068" s="10">
        <f t="shared" si="11"/>
        <v>29.733541666666667</v>
      </c>
      <c r="L1068" s="10"/>
    </row>
    <row r="1069" spans="1:12" ht="15">
      <c r="A1069" s="11">
        <v>2026</v>
      </c>
      <c r="B1069" s="10">
        <f>AVERAGE(B156:B167)</f>
        <v>31.268691666666665</v>
      </c>
      <c r="C1069" s="10">
        <f>AVERAGE(C156:C167)</f>
        <v>30.836441666666662</v>
      </c>
      <c r="D1069" s="10"/>
      <c r="E1069" s="10">
        <f t="shared" ref="E1069:K1069" si="12">AVERAGE(E156:E167)</f>
        <v>30.699791666666666</v>
      </c>
      <c r="F1069" s="10">
        <f t="shared" si="12"/>
        <v>30.699791666666666</v>
      </c>
      <c r="G1069" s="10">
        <f t="shared" si="12"/>
        <v>30.971149999999998</v>
      </c>
      <c r="H1069" s="10">
        <f t="shared" si="12"/>
        <v>30.836441666666662</v>
      </c>
      <c r="I1069" s="10">
        <f t="shared" si="12"/>
        <v>30.836441666666662</v>
      </c>
      <c r="J1069" s="10">
        <f t="shared" si="12"/>
        <v>30.836441666666662</v>
      </c>
      <c r="K1069" s="10">
        <f t="shared" si="12"/>
        <v>30.836441666666662</v>
      </c>
      <c r="L1069" s="10"/>
    </row>
    <row r="1070" spans="1:12" ht="15">
      <c r="A1070" s="11">
        <v>2027</v>
      </c>
      <c r="B1070" s="10">
        <f>AVERAGE(B168:B179)</f>
        <v>32.325283333333331</v>
      </c>
      <c r="C1070" s="10">
        <f>AVERAGE(C168:C179)</f>
        <v>31.893041666666662</v>
      </c>
      <c r="D1070" s="10"/>
      <c r="E1070" s="10">
        <f t="shared" ref="E1070:K1070" si="13">AVERAGE(E168:E179)</f>
        <v>31.756383333333332</v>
      </c>
      <c r="F1070" s="10">
        <f t="shared" si="13"/>
        <v>31.756383333333332</v>
      </c>
      <c r="G1070" s="10">
        <f t="shared" si="13"/>
        <v>32.027758333333338</v>
      </c>
      <c r="H1070" s="10">
        <f t="shared" si="13"/>
        <v>31.893041666666662</v>
      </c>
      <c r="I1070" s="10">
        <f t="shared" si="13"/>
        <v>31.893041666666662</v>
      </c>
      <c r="J1070" s="10">
        <f t="shared" si="13"/>
        <v>31.893041666666662</v>
      </c>
      <c r="K1070" s="10">
        <f t="shared" si="13"/>
        <v>31.893041666666662</v>
      </c>
      <c r="L1070" s="10"/>
    </row>
    <row r="1071" spans="1:12" ht="15">
      <c r="A1071" s="11">
        <v>2028</v>
      </c>
      <c r="B1071" s="10">
        <f>AVERAGE(B180:B191)</f>
        <v>33.376749999999994</v>
      </c>
      <c r="C1071" s="10">
        <f>AVERAGE(C180:C191)</f>
        <v>32.944524999999999</v>
      </c>
      <c r="D1071" s="10"/>
      <c r="E1071" s="10">
        <f t="shared" ref="E1071:K1071" si="14">AVERAGE(E180:E191)</f>
        <v>32.807841666666668</v>
      </c>
      <c r="F1071" s="10">
        <f t="shared" si="14"/>
        <v>32.807841666666668</v>
      </c>
      <c r="G1071" s="10">
        <f t="shared" si="14"/>
        <v>33.079233333333335</v>
      </c>
      <c r="H1071" s="10">
        <f t="shared" si="14"/>
        <v>32.944524999999999</v>
      </c>
      <c r="I1071" s="10">
        <f t="shared" si="14"/>
        <v>32.944524999999999</v>
      </c>
      <c r="J1071" s="10">
        <f t="shared" si="14"/>
        <v>32.944524999999999</v>
      </c>
      <c r="K1071" s="10">
        <f t="shared" si="14"/>
        <v>32.944524999999999</v>
      </c>
      <c r="L1071" s="10"/>
    </row>
    <row r="1072" spans="1:12" ht="15">
      <c r="A1072" s="11">
        <v>2029</v>
      </c>
      <c r="B1072" s="10">
        <f>AVERAGE(B192:B203)</f>
        <v>34.469374999999999</v>
      </c>
      <c r="C1072" s="10">
        <f>AVERAGE(C192:C203)</f>
        <v>34.037133333333337</v>
      </c>
      <c r="D1072" s="10"/>
      <c r="E1072" s="10">
        <f t="shared" ref="E1072:K1072" si="15">AVERAGE(E192:E203)</f>
        <v>33.900458333333326</v>
      </c>
      <c r="F1072" s="10">
        <f t="shared" si="15"/>
        <v>33.900458333333326</v>
      </c>
      <c r="G1072" s="10">
        <f t="shared" si="15"/>
        <v>34.171849999999999</v>
      </c>
      <c r="H1072" s="10">
        <f t="shared" si="15"/>
        <v>34.037133333333337</v>
      </c>
      <c r="I1072" s="10">
        <f t="shared" si="15"/>
        <v>34.037133333333337</v>
      </c>
      <c r="J1072" s="10">
        <f t="shared" si="15"/>
        <v>34.037133333333337</v>
      </c>
      <c r="K1072" s="10">
        <f t="shared" si="15"/>
        <v>34.037133333333337</v>
      </c>
      <c r="L1072" s="10"/>
    </row>
    <row r="1073" spans="1:12" ht="15">
      <c r="A1073" s="11">
        <v>2030</v>
      </c>
      <c r="B1073" s="10">
        <f>AVERAGE(B204:B215)</f>
        <v>35.60315833333334</v>
      </c>
      <c r="C1073" s="10">
        <f>AVERAGE(C204:C215)</f>
        <v>35.170908333333337</v>
      </c>
      <c r="D1073" s="10"/>
      <c r="E1073" s="10">
        <f t="shared" ref="E1073:K1073" si="16">AVERAGE(E204:E215)</f>
        <v>35.034249999999993</v>
      </c>
      <c r="F1073" s="10">
        <f t="shared" si="16"/>
        <v>35.034249999999993</v>
      </c>
      <c r="G1073" s="10">
        <f t="shared" si="16"/>
        <v>35.305633333333333</v>
      </c>
      <c r="H1073" s="10">
        <f t="shared" si="16"/>
        <v>35.170908333333337</v>
      </c>
      <c r="I1073" s="10">
        <f t="shared" si="16"/>
        <v>35.170908333333337</v>
      </c>
      <c r="J1073" s="10">
        <f t="shared" si="16"/>
        <v>35.170908333333337</v>
      </c>
      <c r="K1073" s="10">
        <f t="shared" si="16"/>
        <v>35.170908333333337</v>
      </c>
      <c r="L1073" s="10"/>
    </row>
    <row r="1074" spans="1:12" ht="15">
      <c r="A1074" s="11">
        <v>2031</v>
      </c>
      <c r="B1074" s="10">
        <f>AVERAGE(B216:B227)</f>
        <v>36.126933333333334</v>
      </c>
      <c r="C1074" s="10">
        <f>AVERAGE(C216:C227)</f>
        <v>35.694691666666664</v>
      </c>
      <c r="D1074" s="10"/>
      <c r="E1074" s="10">
        <f t="shared" ref="E1074:K1074" si="17">AVERAGE(E216:E227)</f>
        <v>35.558033333333334</v>
      </c>
      <c r="F1074" s="10">
        <f t="shared" si="17"/>
        <v>35.558033333333334</v>
      </c>
      <c r="G1074" s="10">
        <f t="shared" si="17"/>
        <v>35.829416666666667</v>
      </c>
      <c r="H1074" s="10">
        <f t="shared" si="17"/>
        <v>35.694691666666664</v>
      </c>
      <c r="I1074" s="10">
        <f t="shared" si="17"/>
        <v>35.694691666666664</v>
      </c>
      <c r="J1074" s="10">
        <f t="shared" si="17"/>
        <v>35.694691666666664</v>
      </c>
      <c r="K1074" s="10">
        <f t="shared" si="17"/>
        <v>35.694691666666664</v>
      </c>
      <c r="L1074" s="10"/>
    </row>
    <row r="1075" spans="1:12" ht="15">
      <c r="A1075" s="11">
        <v>2032</v>
      </c>
      <c r="B1075" s="10">
        <f>AVERAGE(B228:B239)</f>
        <v>36.658949999999997</v>
      </c>
      <c r="C1075" s="10">
        <f>AVERAGE(C228:C239)</f>
        <v>36.226699999999994</v>
      </c>
      <c r="D1075" s="10"/>
      <c r="E1075" s="10">
        <f t="shared" ref="E1075:K1075" si="18">AVERAGE(E228:E239)</f>
        <v>36.090049999999998</v>
      </c>
      <c r="F1075" s="10">
        <f t="shared" si="18"/>
        <v>36.090049999999998</v>
      </c>
      <c r="G1075" s="10">
        <f t="shared" si="18"/>
        <v>36.361433333333331</v>
      </c>
      <c r="H1075" s="10">
        <f t="shared" si="18"/>
        <v>36.226699999999994</v>
      </c>
      <c r="I1075" s="10">
        <f t="shared" si="18"/>
        <v>36.226699999999994</v>
      </c>
      <c r="J1075" s="10">
        <f t="shared" si="18"/>
        <v>36.226699999999994</v>
      </c>
      <c r="K1075" s="10">
        <f t="shared" si="18"/>
        <v>36.226699999999994</v>
      </c>
      <c r="L1075" s="10"/>
    </row>
    <row r="1076" spans="1:12" ht="15">
      <c r="A1076" s="11">
        <v>2033</v>
      </c>
      <c r="B1076" s="10">
        <f>AVERAGE(B240:B251)</f>
        <v>37.199333333333335</v>
      </c>
      <c r="C1076" s="10">
        <f>AVERAGE(C240:C251)</f>
        <v>36.767083333333339</v>
      </c>
      <c r="D1076" s="10"/>
      <c r="E1076" s="10">
        <f t="shared" ref="E1076:K1076" si="19">AVERAGE(E240:E251)</f>
        <v>36.630433333333329</v>
      </c>
      <c r="F1076" s="10">
        <f t="shared" si="19"/>
        <v>36.630433333333329</v>
      </c>
      <c r="G1076" s="10">
        <f t="shared" si="19"/>
        <v>36.901791666666668</v>
      </c>
      <c r="H1076" s="10">
        <f t="shared" si="19"/>
        <v>36.767083333333339</v>
      </c>
      <c r="I1076" s="10">
        <f t="shared" si="19"/>
        <v>36.767083333333339</v>
      </c>
      <c r="J1076" s="10">
        <f t="shared" si="19"/>
        <v>36.767083333333339</v>
      </c>
      <c r="K1076" s="10">
        <f t="shared" si="19"/>
        <v>36.767083333333339</v>
      </c>
      <c r="L1076" s="10"/>
    </row>
    <row r="1077" spans="1:12" ht="15">
      <c r="A1077" s="11">
        <v>2034</v>
      </c>
      <c r="B1077" s="10">
        <f>AVERAGE(B252:B263)</f>
        <v>37.74819999999999</v>
      </c>
      <c r="C1077" s="10">
        <f>AVERAGE(C252:C263)</f>
        <v>37.315974999999995</v>
      </c>
      <c r="D1077" s="10"/>
      <c r="E1077" s="10">
        <f t="shared" ref="E1077:K1077" si="20">AVERAGE(E252:E263)</f>
        <v>37.179299999999998</v>
      </c>
      <c r="F1077" s="10">
        <f t="shared" si="20"/>
        <v>37.179299999999998</v>
      </c>
      <c r="G1077" s="10">
        <f t="shared" si="20"/>
        <v>37.45067499999999</v>
      </c>
      <c r="H1077" s="10">
        <f t="shared" si="20"/>
        <v>37.315974999999995</v>
      </c>
      <c r="I1077" s="10">
        <f t="shared" si="20"/>
        <v>37.315974999999995</v>
      </c>
      <c r="J1077" s="10">
        <f t="shared" si="20"/>
        <v>37.315974999999995</v>
      </c>
      <c r="K1077" s="10">
        <f t="shared" si="20"/>
        <v>37.315974999999995</v>
      </c>
      <c r="L1077" s="10"/>
    </row>
    <row r="1078" spans="1:12" ht="15">
      <c r="A1078" s="11">
        <v>2035</v>
      </c>
      <c r="B1078" s="10">
        <f>AVERAGE(B264:B275)</f>
        <v>38.305716666666669</v>
      </c>
      <c r="C1078" s="10">
        <f>AVERAGE(C264:C275)</f>
        <v>37.873458333333325</v>
      </c>
      <c r="D1078" s="10"/>
      <c r="E1078" s="10">
        <f t="shared" ref="E1078:K1078" si="21">AVERAGE(E264:E275)</f>
        <v>37.736816666666662</v>
      </c>
      <c r="F1078" s="10">
        <f t="shared" si="21"/>
        <v>37.736816666666662</v>
      </c>
      <c r="G1078" s="10">
        <f t="shared" si="21"/>
        <v>38.008191666666661</v>
      </c>
      <c r="H1078" s="10">
        <f t="shared" si="21"/>
        <v>37.873458333333325</v>
      </c>
      <c r="I1078" s="10">
        <f t="shared" si="21"/>
        <v>37.873458333333325</v>
      </c>
      <c r="J1078" s="10">
        <f t="shared" si="21"/>
        <v>37.873458333333325</v>
      </c>
      <c r="K1078" s="10">
        <f t="shared" si="21"/>
        <v>37.873458333333325</v>
      </c>
      <c r="L1078" s="10"/>
    </row>
    <row r="1079" spans="1:12" ht="15">
      <c r="A1079" s="11">
        <v>2036</v>
      </c>
      <c r="B1079" s="10">
        <f>AVERAGE(B276:B287)</f>
        <v>38.871983333333333</v>
      </c>
      <c r="C1079" s="10">
        <f>AVERAGE(C276:C287)</f>
        <v>38.439749999999997</v>
      </c>
      <c r="D1079" s="10"/>
      <c r="E1079" s="10">
        <f t="shared" ref="E1079:K1079" si="22">AVERAGE(E276:E287)</f>
        <v>38.303083333333326</v>
      </c>
      <c r="F1079" s="10">
        <f t="shared" si="22"/>
        <v>38.303083333333326</v>
      </c>
      <c r="G1079" s="10">
        <f t="shared" si="22"/>
        <v>38.574466666666666</v>
      </c>
      <c r="H1079" s="10">
        <f t="shared" si="22"/>
        <v>38.439749999999997</v>
      </c>
      <c r="I1079" s="10">
        <f t="shared" si="22"/>
        <v>38.439749999999997</v>
      </c>
      <c r="J1079" s="10">
        <f t="shared" si="22"/>
        <v>38.439749999999997</v>
      </c>
      <c r="K1079" s="10">
        <f t="shared" si="22"/>
        <v>38.439749999999997</v>
      </c>
      <c r="L1079" s="10"/>
    </row>
    <row r="1080" spans="1:12" ht="15">
      <c r="A1080" s="11">
        <v>2037</v>
      </c>
      <c r="B1080" s="10">
        <f>AVERAGE(B288:B299)</f>
        <v>39.447174999999994</v>
      </c>
      <c r="C1080" s="10">
        <f>AVERAGE(C288:C299)</f>
        <v>39.014916666666664</v>
      </c>
      <c r="D1080" s="10"/>
      <c r="E1080" s="10">
        <f t="shared" ref="E1080:K1080" si="23">AVERAGE(E288:E299)</f>
        <v>38.878266666666669</v>
      </c>
      <c r="F1080" s="10">
        <f t="shared" si="23"/>
        <v>38.878266666666669</v>
      </c>
      <c r="G1080" s="10">
        <f t="shared" si="23"/>
        <v>39.149633333333334</v>
      </c>
      <c r="H1080" s="10">
        <f t="shared" si="23"/>
        <v>39.014916666666664</v>
      </c>
      <c r="I1080" s="10">
        <f t="shared" si="23"/>
        <v>39.014916666666664</v>
      </c>
      <c r="J1080" s="10">
        <f t="shared" si="23"/>
        <v>39.014916666666664</v>
      </c>
      <c r="K1080" s="10">
        <f t="shared" si="23"/>
        <v>39.014916666666664</v>
      </c>
      <c r="L1080" s="10"/>
    </row>
    <row r="1081" spans="1:12" ht="15">
      <c r="A1081" s="11">
        <f t="shared" ref="A1081:A1112" si="24">A1080+1</f>
        <v>2038</v>
      </c>
      <c r="B1081" s="10">
        <f>AVERAGE(B300:B311)</f>
        <v>40.031399999999998</v>
      </c>
      <c r="C1081" s="10">
        <f>AVERAGE(C300:C311)</f>
        <v>39.599150000000002</v>
      </c>
      <c r="D1081" s="10"/>
      <c r="E1081" s="10">
        <f t="shared" ref="E1081:K1081" si="25">AVERAGE(E300:E311)</f>
        <v>39.462483333333331</v>
      </c>
      <c r="F1081" s="10">
        <f t="shared" si="25"/>
        <v>39.462483333333331</v>
      </c>
      <c r="G1081" s="10">
        <f t="shared" si="25"/>
        <v>39.733866666666664</v>
      </c>
      <c r="H1081" s="10">
        <f t="shared" si="25"/>
        <v>39.599150000000002</v>
      </c>
      <c r="I1081" s="10">
        <f t="shared" si="25"/>
        <v>39.599150000000002</v>
      </c>
      <c r="J1081" s="10">
        <f t="shared" si="25"/>
        <v>39.599150000000002</v>
      </c>
      <c r="K1081" s="10">
        <f t="shared" si="25"/>
        <v>39.599150000000002</v>
      </c>
      <c r="L1081" s="10"/>
    </row>
    <row r="1082" spans="1:12" ht="15">
      <c r="A1082" s="11">
        <f t="shared" si="24"/>
        <v>2039</v>
      </c>
      <c r="B1082" s="10">
        <f>AVERAGE(B312:B323)</f>
        <v>40.62479166666666</v>
      </c>
      <c r="C1082" s="10">
        <f>AVERAGE(C312:C323)</f>
        <v>40.192566666666671</v>
      </c>
      <c r="D1082" s="10"/>
      <c r="E1082" s="10">
        <f t="shared" ref="E1082:K1082" si="26">AVERAGE(E312:E323)</f>
        <v>40.055891666666668</v>
      </c>
      <c r="F1082" s="10">
        <f t="shared" si="26"/>
        <v>40.055891666666668</v>
      </c>
      <c r="G1082" s="10">
        <f t="shared" si="26"/>
        <v>40.327283333333334</v>
      </c>
      <c r="H1082" s="10">
        <f t="shared" si="26"/>
        <v>40.192566666666671</v>
      </c>
      <c r="I1082" s="10">
        <f t="shared" si="26"/>
        <v>40.192566666666671</v>
      </c>
      <c r="J1082" s="10">
        <f t="shared" si="26"/>
        <v>40.192566666666671</v>
      </c>
      <c r="K1082" s="10">
        <f t="shared" si="26"/>
        <v>40.192566666666671</v>
      </c>
      <c r="L1082" s="10"/>
    </row>
    <row r="1083" spans="1:12" ht="15">
      <c r="A1083" s="11">
        <f t="shared" si="24"/>
        <v>2040</v>
      </c>
      <c r="B1083" s="10">
        <f>AVERAGE(B324:B335)</f>
        <v>41.227566666666661</v>
      </c>
      <c r="C1083" s="10">
        <f>AVERAGE(C324:C335)</f>
        <v>40.795291666666664</v>
      </c>
      <c r="D1083" s="10"/>
      <c r="E1083" s="10">
        <f t="shared" ref="E1083:K1083" si="27">AVERAGE(E324:E335)</f>
        <v>40.658633333333334</v>
      </c>
      <c r="F1083" s="10">
        <f t="shared" si="27"/>
        <v>40.658633333333334</v>
      </c>
      <c r="G1083" s="10">
        <f t="shared" si="27"/>
        <v>40.930025000000001</v>
      </c>
      <c r="H1083" s="10">
        <f t="shared" si="27"/>
        <v>40.795291666666664</v>
      </c>
      <c r="I1083" s="10">
        <f t="shared" si="27"/>
        <v>40.795291666666664</v>
      </c>
      <c r="J1083" s="10">
        <f t="shared" si="27"/>
        <v>40.795291666666664</v>
      </c>
      <c r="K1083" s="10">
        <f t="shared" si="27"/>
        <v>40.795291666666664</v>
      </c>
      <c r="L1083" s="10"/>
    </row>
    <row r="1084" spans="1:12" ht="15">
      <c r="A1084" s="11">
        <f t="shared" si="24"/>
        <v>2041</v>
      </c>
      <c r="B1084" s="10">
        <f>AVERAGE(B336:B347)</f>
        <v>41.839766666666669</v>
      </c>
      <c r="C1084" s="10">
        <f>AVERAGE(C336:C347)</f>
        <v>41.407516666666666</v>
      </c>
      <c r="D1084" s="10"/>
      <c r="E1084" s="10">
        <f t="shared" ref="E1084:K1084" si="28">AVERAGE(E336:E347)</f>
        <v>41.270858333333329</v>
      </c>
      <c r="F1084" s="10">
        <f t="shared" si="28"/>
        <v>41.270858333333329</v>
      </c>
      <c r="G1084" s="10">
        <f t="shared" si="28"/>
        <v>41.542233333333336</v>
      </c>
      <c r="H1084" s="10">
        <f t="shared" si="28"/>
        <v>41.407516666666666</v>
      </c>
      <c r="I1084" s="10">
        <f t="shared" si="28"/>
        <v>41.407516666666666</v>
      </c>
      <c r="J1084" s="10">
        <f t="shared" si="28"/>
        <v>41.407516666666666</v>
      </c>
      <c r="K1084" s="10">
        <f t="shared" si="28"/>
        <v>41.407516666666666</v>
      </c>
      <c r="L1084" s="10"/>
    </row>
    <row r="1085" spans="1:12" ht="15">
      <c r="A1085" s="11">
        <f t="shared" si="24"/>
        <v>2042</v>
      </c>
      <c r="B1085" s="10">
        <f>AVERAGE(B348:B359)</f>
        <v>42.461624999999998</v>
      </c>
      <c r="C1085" s="10">
        <f>AVERAGE(C348:C359)</f>
        <v>42.029366666666661</v>
      </c>
      <c r="D1085" s="10"/>
      <c r="E1085" s="10">
        <f t="shared" ref="E1085:K1085" si="29">AVERAGE(E348:E359)</f>
        <v>41.892708333333324</v>
      </c>
      <c r="F1085" s="10">
        <f t="shared" si="29"/>
        <v>41.892708333333324</v>
      </c>
      <c r="G1085" s="10">
        <f t="shared" si="29"/>
        <v>42.164091666666664</v>
      </c>
      <c r="H1085" s="10">
        <f t="shared" si="29"/>
        <v>42.029366666666661</v>
      </c>
      <c r="I1085" s="10">
        <f t="shared" si="29"/>
        <v>42.029366666666661</v>
      </c>
      <c r="J1085" s="10">
        <f t="shared" si="29"/>
        <v>42.029366666666661</v>
      </c>
      <c r="K1085" s="10">
        <f t="shared" si="29"/>
        <v>42.029366666666661</v>
      </c>
      <c r="L1085" s="10"/>
    </row>
    <row r="1086" spans="1:12" ht="15">
      <c r="A1086" s="11">
        <f t="shared" si="24"/>
        <v>2043</v>
      </c>
      <c r="B1086" s="10">
        <f>AVERAGE(B360:B371)</f>
        <v>43.09323333333333</v>
      </c>
      <c r="C1086" s="10">
        <f>AVERAGE(C360:C371)</f>
        <v>42.661008333333335</v>
      </c>
      <c r="D1086" s="10"/>
      <c r="E1086" s="10">
        <f t="shared" ref="E1086:K1086" si="30">AVERAGE(E360:E371)</f>
        <v>42.524333333333331</v>
      </c>
      <c r="F1086" s="10">
        <f t="shared" si="30"/>
        <v>42.524333333333331</v>
      </c>
      <c r="G1086" s="10">
        <f t="shared" si="30"/>
        <v>42.795724999999997</v>
      </c>
      <c r="H1086" s="10">
        <f t="shared" si="30"/>
        <v>42.661008333333335</v>
      </c>
      <c r="I1086" s="10">
        <f t="shared" si="30"/>
        <v>42.661008333333335</v>
      </c>
      <c r="J1086" s="10">
        <f t="shared" si="30"/>
        <v>42.661008333333335</v>
      </c>
      <c r="K1086" s="10">
        <f t="shared" si="30"/>
        <v>42.661008333333335</v>
      </c>
      <c r="L1086" s="10"/>
    </row>
    <row r="1087" spans="1:12" ht="15">
      <c r="A1087" s="11">
        <f t="shared" si="24"/>
        <v>2044</v>
      </c>
      <c r="B1087" s="10">
        <f>AVERAGE(B372:B383)</f>
        <v>43.734791666666666</v>
      </c>
      <c r="C1087" s="10">
        <f>AVERAGE(C372:C383)</f>
        <v>43.302566666666671</v>
      </c>
      <c r="D1087" s="10"/>
      <c r="E1087" s="10">
        <f t="shared" ref="E1087:K1087" si="31">AVERAGE(E372:E383)</f>
        <v>43.165891666666674</v>
      </c>
      <c r="F1087" s="10">
        <f t="shared" si="31"/>
        <v>43.165891666666674</v>
      </c>
      <c r="G1087" s="10">
        <f t="shared" si="31"/>
        <v>43.437266666666659</v>
      </c>
      <c r="H1087" s="10">
        <f t="shared" si="31"/>
        <v>43.302566666666671</v>
      </c>
      <c r="I1087" s="10">
        <f t="shared" si="31"/>
        <v>43.302566666666671</v>
      </c>
      <c r="J1087" s="10">
        <f t="shared" si="31"/>
        <v>43.302566666666671</v>
      </c>
      <c r="K1087" s="10">
        <f t="shared" si="31"/>
        <v>43.302566666666671</v>
      </c>
      <c r="L1087" s="10"/>
    </row>
    <row r="1088" spans="1:12" ht="15">
      <c r="A1088" s="11">
        <f t="shared" si="24"/>
        <v>2045</v>
      </c>
      <c r="B1088" s="10">
        <f>AVERAGE(B384:B395)</f>
        <v>44.386441666666663</v>
      </c>
      <c r="C1088" s="10">
        <f>AVERAGE(C384:C395)</f>
        <v>43.954191666666674</v>
      </c>
      <c r="D1088" s="10"/>
      <c r="E1088" s="10">
        <f t="shared" ref="E1088:K1088" si="32">AVERAGE(E384:E395)</f>
        <v>43.817541666666664</v>
      </c>
      <c r="F1088" s="10">
        <f t="shared" si="32"/>
        <v>43.817541666666664</v>
      </c>
      <c r="G1088" s="10">
        <f t="shared" si="32"/>
        <v>44.088908333333336</v>
      </c>
      <c r="H1088" s="10">
        <f t="shared" si="32"/>
        <v>43.954191666666674</v>
      </c>
      <c r="I1088" s="10">
        <f t="shared" si="32"/>
        <v>43.954191666666674</v>
      </c>
      <c r="J1088" s="10">
        <f t="shared" si="32"/>
        <v>43.954191666666674</v>
      </c>
      <c r="K1088" s="10">
        <f t="shared" si="32"/>
        <v>43.954191666666674</v>
      </c>
      <c r="L1088" s="10"/>
    </row>
    <row r="1089" spans="1:12" ht="15">
      <c r="A1089" s="11">
        <f t="shared" si="24"/>
        <v>2046</v>
      </c>
      <c r="B1089" s="10">
        <f>AVERAGE(B396:B407)</f>
        <v>45.048341666666659</v>
      </c>
      <c r="C1089" s="10">
        <f>AVERAGE(C396:C407)</f>
        <v>44.616083333333329</v>
      </c>
      <c r="D1089" s="10"/>
      <c r="E1089" s="10">
        <f t="shared" ref="E1089:K1089" si="33">AVERAGE(E396:E407)</f>
        <v>44.479433333333333</v>
      </c>
      <c r="F1089" s="10">
        <f t="shared" si="33"/>
        <v>44.479433333333333</v>
      </c>
      <c r="G1089" s="10">
        <f t="shared" si="33"/>
        <v>44.750799999999998</v>
      </c>
      <c r="H1089" s="10">
        <f t="shared" si="33"/>
        <v>44.616083333333329</v>
      </c>
      <c r="I1089" s="10">
        <f t="shared" si="33"/>
        <v>44.616083333333329</v>
      </c>
      <c r="J1089" s="10">
        <f t="shared" si="33"/>
        <v>44.616083333333329</v>
      </c>
      <c r="K1089" s="10">
        <f t="shared" si="33"/>
        <v>44.616083333333329</v>
      </c>
      <c r="L1089" s="10"/>
    </row>
    <row r="1090" spans="1:12" ht="15">
      <c r="A1090" s="11">
        <f t="shared" si="24"/>
        <v>2047</v>
      </c>
      <c r="B1090" s="10">
        <f>AVERAGE(B408:B419)</f>
        <v>45.720649999999999</v>
      </c>
      <c r="C1090" s="10">
        <f>AVERAGE(C408:C419)</f>
        <v>45.288391666666662</v>
      </c>
      <c r="D1090" s="10"/>
      <c r="E1090" s="10">
        <f t="shared" ref="E1090:K1090" si="34">AVERAGE(E408:E419)</f>
        <v>45.15175</v>
      </c>
      <c r="F1090" s="10">
        <f t="shared" si="34"/>
        <v>45.15175</v>
      </c>
      <c r="G1090" s="10">
        <f t="shared" si="34"/>
        <v>45.423108333333325</v>
      </c>
      <c r="H1090" s="10">
        <f t="shared" si="34"/>
        <v>45.288391666666662</v>
      </c>
      <c r="I1090" s="10">
        <f t="shared" si="34"/>
        <v>45.288391666666662</v>
      </c>
      <c r="J1090" s="10">
        <f t="shared" si="34"/>
        <v>45.288391666666662</v>
      </c>
      <c r="K1090" s="10">
        <f t="shared" si="34"/>
        <v>45.288391666666662</v>
      </c>
      <c r="L1090" s="10"/>
    </row>
    <row r="1091" spans="1:12" ht="15">
      <c r="A1091" s="11">
        <f t="shared" si="24"/>
        <v>2048</v>
      </c>
      <c r="B1091" s="10">
        <f>AVERAGE(B420:B431)</f>
        <v>46.403533333333336</v>
      </c>
      <c r="C1091" s="10">
        <f>AVERAGE(C420:C431)</f>
        <v>45.971266666666672</v>
      </c>
      <c r="D1091" s="10"/>
      <c r="E1091" s="10">
        <f t="shared" ref="E1091:K1091" si="35">AVERAGE(E420:E431)</f>
        <v>45.834616666666669</v>
      </c>
      <c r="F1091" s="10">
        <f t="shared" si="35"/>
        <v>45.834616666666669</v>
      </c>
      <c r="G1091" s="10">
        <f t="shared" si="35"/>
        <v>46.105975000000001</v>
      </c>
      <c r="H1091" s="10">
        <f t="shared" si="35"/>
        <v>45.971266666666672</v>
      </c>
      <c r="I1091" s="10">
        <f t="shared" si="35"/>
        <v>45.971266666666672</v>
      </c>
      <c r="J1091" s="10">
        <f t="shared" si="35"/>
        <v>45.971266666666672</v>
      </c>
      <c r="K1091" s="10">
        <f t="shared" si="35"/>
        <v>45.971266666666672</v>
      </c>
      <c r="L1091" s="10"/>
    </row>
    <row r="1092" spans="1:12" ht="15">
      <c r="A1092" s="11">
        <f t="shared" si="24"/>
        <v>2049</v>
      </c>
      <c r="B1092" s="10">
        <f>AVERAGE(B432:B443)</f>
        <v>47.097124999999998</v>
      </c>
      <c r="C1092" s="10">
        <f>AVERAGE(C432:C443)</f>
        <v>46.664883333333329</v>
      </c>
      <c r="D1092" s="10"/>
      <c r="E1092" s="10">
        <f t="shared" ref="E1092:K1092" si="36">AVERAGE(E432:E443)</f>
        <v>46.528216666666673</v>
      </c>
      <c r="F1092" s="10">
        <f t="shared" si="36"/>
        <v>46.528216666666673</v>
      </c>
      <c r="G1092" s="10">
        <f t="shared" si="36"/>
        <v>46.799599999999998</v>
      </c>
      <c r="H1092" s="10">
        <f t="shared" si="36"/>
        <v>46.664883333333329</v>
      </c>
      <c r="I1092" s="10">
        <f t="shared" si="36"/>
        <v>46.664883333333329</v>
      </c>
      <c r="J1092" s="10">
        <f t="shared" si="36"/>
        <v>46.664883333333329</v>
      </c>
      <c r="K1092" s="10">
        <f t="shared" si="36"/>
        <v>46.664883333333329</v>
      </c>
      <c r="L1092" s="10"/>
    </row>
    <row r="1093" spans="1:12" ht="15">
      <c r="A1093" s="11">
        <f t="shared" si="24"/>
        <v>2050</v>
      </c>
      <c r="B1093" s="10">
        <f>AVERAGE(B444:B455)</f>
        <v>47.801650000000002</v>
      </c>
      <c r="C1093" s="10">
        <f>AVERAGE(C444:C455)</f>
        <v>47.369383333333339</v>
      </c>
      <c r="D1093" s="10"/>
      <c r="E1093" s="10">
        <f t="shared" ref="E1093:K1093" si="37">AVERAGE(E444:E455)</f>
        <v>47.232749999999989</v>
      </c>
      <c r="F1093" s="10">
        <f t="shared" si="37"/>
        <v>47.232749999999989</v>
      </c>
      <c r="G1093" s="10">
        <f t="shared" si="37"/>
        <v>47.504116666666675</v>
      </c>
      <c r="H1093" s="10">
        <f t="shared" si="37"/>
        <v>47.369383333333339</v>
      </c>
      <c r="I1093" s="10">
        <f t="shared" si="37"/>
        <v>47.369383333333339</v>
      </c>
      <c r="J1093" s="10">
        <f t="shared" si="37"/>
        <v>47.369383333333339</v>
      </c>
      <c r="K1093" s="10">
        <f t="shared" si="37"/>
        <v>47.369383333333339</v>
      </c>
      <c r="L1093" s="10"/>
    </row>
    <row r="1094" spans="1:12" ht="15">
      <c r="A1094" s="11">
        <f t="shared" si="24"/>
        <v>2051</v>
      </c>
      <c r="B1094" s="10">
        <f>AVERAGE(B456:B467)</f>
        <v>48.517249999999997</v>
      </c>
      <c r="C1094" s="10">
        <f>AVERAGE(C456:C467)</f>
        <v>48.084991666666667</v>
      </c>
      <c r="D1094" s="10"/>
      <c r="E1094" s="10">
        <f t="shared" ref="E1094:K1094" si="38">AVERAGE(E456:E467)</f>
        <v>47.948325000000004</v>
      </c>
      <c r="F1094" s="10">
        <f t="shared" si="38"/>
        <v>47.948325000000004</v>
      </c>
      <c r="G1094" s="10">
        <f t="shared" si="38"/>
        <v>48.219699999999989</v>
      </c>
      <c r="H1094" s="10">
        <f t="shared" si="38"/>
        <v>48.084991666666667</v>
      </c>
      <c r="I1094" s="10">
        <f t="shared" si="38"/>
        <v>48.084991666666667</v>
      </c>
      <c r="J1094" s="10">
        <f t="shared" si="38"/>
        <v>48.084991666666667</v>
      </c>
      <c r="K1094" s="10">
        <f t="shared" si="38"/>
        <v>48.084991666666667</v>
      </c>
      <c r="L1094" s="10"/>
    </row>
    <row r="1095" spans="1:12" ht="15">
      <c r="A1095" s="11">
        <f t="shared" si="24"/>
        <v>2052</v>
      </c>
      <c r="B1095" s="10">
        <f>AVERAGE(B468:B479)</f>
        <v>49.244083333333329</v>
      </c>
      <c r="C1095" s="10">
        <f>AVERAGE(C468:C479)</f>
        <v>48.81185</v>
      </c>
      <c r="D1095" s="10"/>
      <c r="E1095" s="10">
        <f t="shared" ref="E1095:K1095" si="39">AVERAGE(E468:E479)</f>
        <v>48.675183333333329</v>
      </c>
      <c r="F1095" s="10">
        <f t="shared" si="39"/>
        <v>48.675183333333329</v>
      </c>
      <c r="G1095" s="10">
        <f t="shared" si="39"/>
        <v>48.946550000000002</v>
      </c>
      <c r="H1095" s="10">
        <f t="shared" si="39"/>
        <v>48.81185</v>
      </c>
      <c r="I1095" s="10">
        <f t="shared" si="39"/>
        <v>48.81185</v>
      </c>
      <c r="J1095" s="10">
        <f t="shared" si="39"/>
        <v>48.81185</v>
      </c>
      <c r="K1095" s="10">
        <f t="shared" si="39"/>
        <v>48.81185</v>
      </c>
      <c r="L1095" s="10"/>
    </row>
    <row r="1096" spans="1:12" ht="15">
      <c r="A1096" s="11">
        <f t="shared" si="24"/>
        <v>2053</v>
      </c>
      <c r="B1096" s="10">
        <f>AVERAGE(B480:B491)</f>
        <v>49.982374999999998</v>
      </c>
      <c r="C1096" s="10">
        <f>AVERAGE(C480:C491)</f>
        <v>49.550116666666668</v>
      </c>
      <c r="D1096" s="10"/>
      <c r="E1096" s="10">
        <f t="shared" ref="E1096:K1096" si="40">AVERAGE(E480:E491)</f>
        <v>49.413458333333331</v>
      </c>
      <c r="F1096" s="10">
        <f t="shared" si="40"/>
        <v>49.413458333333331</v>
      </c>
      <c r="G1096" s="10">
        <f t="shared" si="40"/>
        <v>49.684850000000012</v>
      </c>
      <c r="H1096" s="10">
        <f t="shared" si="40"/>
        <v>49.550116666666668</v>
      </c>
      <c r="I1096" s="10">
        <f t="shared" si="40"/>
        <v>49.550116666666668</v>
      </c>
      <c r="J1096" s="10">
        <f t="shared" si="40"/>
        <v>49.550116666666668</v>
      </c>
      <c r="K1096" s="10">
        <f t="shared" si="40"/>
        <v>49.550116666666668</v>
      </c>
      <c r="L1096" s="10"/>
    </row>
    <row r="1097" spans="1:12" ht="15">
      <c r="A1097" s="11">
        <f t="shared" si="24"/>
        <v>2054</v>
      </c>
      <c r="B1097" s="10">
        <f>AVERAGE(B492:B503)</f>
        <v>50.732274999999994</v>
      </c>
      <c r="C1097" s="10">
        <f>AVERAGE(C492:C503)</f>
        <v>50.300008333333331</v>
      </c>
      <c r="D1097" s="10"/>
      <c r="E1097" s="10">
        <f t="shared" ref="E1097:K1097" si="41">AVERAGE(E492:E503)</f>
        <v>50.163358333333328</v>
      </c>
      <c r="F1097" s="10">
        <f t="shared" si="41"/>
        <v>50.163358333333328</v>
      </c>
      <c r="G1097" s="10">
        <f t="shared" si="41"/>
        <v>50.434724999999993</v>
      </c>
      <c r="H1097" s="10">
        <f t="shared" si="41"/>
        <v>50.300008333333331</v>
      </c>
      <c r="I1097" s="10">
        <f t="shared" si="41"/>
        <v>50.300008333333331</v>
      </c>
      <c r="J1097" s="10">
        <f t="shared" si="41"/>
        <v>50.300008333333331</v>
      </c>
      <c r="K1097" s="10">
        <f t="shared" si="41"/>
        <v>50.300008333333331</v>
      </c>
      <c r="L1097" s="10"/>
    </row>
    <row r="1098" spans="1:12" ht="15">
      <c r="A1098" s="11">
        <f t="shared" si="24"/>
        <v>2055</v>
      </c>
      <c r="B1098" s="10">
        <f>AVERAGE(B504:B515)</f>
        <v>51.493941666666672</v>
      </c>
      <c r="C1098" s="10">
        <f>AVERAGE(C504:C515)</f>
        <v>51.061708333333335</v>
      </c>
      <c r="D1098" s="10"/>
      <c r="E1098" s="10">
        <f t="shared" ref="E1098:K1098" si="42">AVERAGE(E504:E515)</f>
        <v>50.925033333333339</v>
      </c>
      <c r="F1098" s="10">
        <f t="shared" si="42"/>
        <v>50.925033333333339</v>
      </c>
      <c r="G1098" s="10">
        <f t="shared" si="42"/>
        <v>51.196416666666664</v>
      </c>
      <c r="H1098" s="10">
        <f t="shared" si="42"/>
        <v>51.061708333333335</v>
      </c>
      <c r="I1098" s="10">
        <f t="shared" si="42"/>
        <v>51.061708333333335</v>
      </c>
      <c r="J1098" s="10">
        <f t="shared" si="42"/>
        <v>51.061708333333335</v>
      </c>
      <c r="K1098" s="10">
        <f t="shared" si="42"/>
        <v>51.061708333333335</v>
      </c>
      <c r="L1098" s="10"/>
    </row>
    <row r="1099" spans="1:12" ht="15">
      <c r="A1099" s="11">
        <f t="shared" si="24"/>
        <v>2056</v>
      </c>
      <c r="B1099" s="10">
        <f>AVERAGE(B516:B527)</f>
        <v>52.267599999999995</v>
      </c>
      <c r="C1099" s="10">
        <f>AVERAGE(C516:C527)</f>
        <v>51.835349999999998</v>
      </c>
      <c r="D1099" s="10"/>
      <c r="E1099" s="10">
        <f t="shared" ref="E1099:K1099" si="43">AVERAGE(E516:E527)</f>
        <v>51.698691666666662</v>
      </c>
      <c r="F1099" s="10">
        <f t="shared" si="43"/>
        <v>51.698691666666662</v>
      </c>
      <c r="G1099" s="10">
        <f t="shared" si="43"/>
        <v>51.970074999999987</v>
      </c>
      <c r="H1099" s="10">
        <f t="shared" si="43"/>
        <v>51.835349999999998</v>
      </c>
      <c r="I1099" s="10">
        <f t="shared" si="43"/>
        <v>51.835349999999998</v>
      </c>
      <c r="J1099" s="10">
        <f t="shared" si="43"/>
        <v>51.835349999999998</v>
      </c>
      <c r="K1099" s="10">
        <f t="shared" si="43"/>
        <v>51.835349999999998</v>
      </c>
      <c r="L1099" s="10"/>
    </row>
    <row r="1100" spans="1:12" ht="15">
      <c r="A1100" s="11">
        <f t="shared" si="24"/>
        <v>2057</v>
      </c>
      <c r="B1100" s="10">
        <f>AVERAGE(B528:B539)</f>
        <v>53.053416666666664</v>
      </c>
      <c r="C1100" s="10">
        <f>AVERAGE(C528:C539)</f>
        <v>52.621166666666674</v>
      </c>
      <c r="D1100" s="10"/>
      <c r="E1100" s="10">
        <f t="shared" ref="E1100:K1100" si="44">AVERAGE(E528:E539)</f>
        <v>52.484516666666671</v>
      </c>
      <c r="F1100" s="10">
        <f t="shared" si="44"/>
        <v>52.484516666666671</v>
      </c>
      <c r="G1100" s="10">
        <f t="shared" si="44"/>
        <v>52.755883333333337</v>
      </c>
      <c r="H1100" s="10">
        <f t="shared" si="44"/>
        <v>52.621166666666674</v>
      </c>
      <c r="I1100" s="10">
        <f t="shared" si="44"/>
        <v>52.621166666666674</v>
      </c>
      <c r="J1100" s="10">
        <f t="shared" si="44"/>
        <v>52.621166666666674</v>
      </c>
      <c r="K1100" s="10">
        <f t="shared" si="44"/>
        <v>52.621166666666674</v>
      </c>
      <c r="L1100" s="10"/>
    </row>
    <row r="1101" spans="1:12" ht="15">
      <c r="A1101" s="11">
        <f t="shared" si="24"/>
        <v>2058</v>
      </c>
      <c r="B1101" s="10">
        <f>AVERAGE(B540:B551)</f>
        <v>53.851608333333331</v>
      </c>
      <c r="C1101" s="10">
        <f>AVERAGE(C540:C551)</f>
        <v>53.419350000000009</v>
      </c>
      <c r="D1101" s="10"/>
      <c r="E1101" s="10">
        <f t="shared" ref="E1101:K1101" si="45">AVERAGE(E540:E551)</f>
        <v>53.282708333333339</v>
      </c>
      <c r="F1101" s="10">
        <f t="shared" si="45"/>
        <v>53.282708333333339</v>
      </c>
      <c r="G1101" s="10">
        <f t="shared" si="45"/>
        <v>53.554066666666664</v>
      </c>
      <c r="H1101" s="10">
        <f t="shared" si="45"/>
        <v>53.419350000000009</v>
      </c>
      <c r="I1101" s="10">
        <f t="shared" si="45"/>
        <v>53.419350000000009</v>
      </c>
      <c r="J1101" s="10">
        <f t="shared" si="45"/>
        <v>53.419350000000009</v>
      </c>
      <c r="K1101" s="10">
        <f t="shared" si="45"/>
        <v>53.419350000000009</v>
      </c>
      <c r="L1101" s="10"/>
    </row>
    <row r="1102" spans="1:12" ht="15">
      <c r="A1102" s="11">
        <f t="shared" si="24"/>
        <v>2059</v>
      </c>
      <c r="B1102" s="10">
        <f>AVERAGE(B552:B563)</f>
        <v>54.66232500000001</v>
      </c>
      <c r="C1102" s="10">
        <f>AVERAGE(C552:C563)</f>
        <v>54.230091666666674</v>
      </c>
      <c r="D1102" s="10"/>
      <c r="E1102" s="10">
        <f t="shared" ref="E1102:K1102" si="46">AVERAGE(E552:E563)</f>
        <v>54.093416666666656</v>
      </c>
      <c r="F1102" s="10">
        <f t="shared" si="46"/>
        <v>54.093416666666656</v>
      </c>
      <c r="G1102" s="10">
        <f t="shared" si="46"/>
        <v>54.364800000000002</v>
      </c>
      <c r="H1102" s="10">
        <f t="shared" si="46"/>
        <v>54.230091666666674</v>
      </c>
      <c r="I1102" s="10">
        <f t="shared" si="46"/>
        <v>54.230091666666674</v>
      </c>
      <c r="J1102" s="10">
        <f t="shared" si="46"/>
        <v>54.230091666666674</v>
      </c>
      <c r="K1102" s="10">
        <f t="shared" si="46"/>
        <v>54.230091666666674</v>
      </c>
      <c r="L1102" s="10"/>
    </row>
    <row r="1103" spans="1:12" ht="15">
      <c r="A1103" s="11">
        <f t="shared" si="24"/>
        <v>2060</v>
      </c>
      <c r="B1103" s="10">
        <f>AVERAGE(B564:B575)</f>
        <v>55.48579999999999</v>
      </c>
      <c r="C1103" s="10">
        <f>AVERAGE(C564:C575)</f>
        <v>55.053575000000016</v>
      </c>
      <c r="D1103" s="10"/>
      <c r="E1103" s="10">
        <f t="shared" ref="E1103:K1103" si="47">AVERAGE(E564:E575)</f>
        <v>54.916899999999991</v>
      </c>
      <c r="F1103" s="10">
        <f t="shared" si="47"/>
        <v>54.916899999999991</v>
      </c>
      <c r="G1103" s="10">
        <f t="shared" si="47"/>
        <v>55.188299999999991</v>
      </c>
      <c r="H1103" s="10">
        <f t="shared" si="47"/>
        <v>55.053575000000016</v>
      </c>
      <c r="I1103" s="10">
        <f t="shared" si="47"/>
        <v>55.053575000000016</v>
      </c>
      <c r="J1103" s="10">
        <f t="shared" si="47"/>
        <v>55.053575000000016</v>
      </c>
      <c r="K1103" s="10">
        <f t="shared" si="47"/>
        <v>55.053575000000016</v>
      </c>
      <c r="L1103" s="10"/>
    </row>
    <row r="1104" spans="1:12" ht="15">
      <c r="A1104" s="11">
        <f t="shared" si="24"/>
        <v>2061</v>
      </c>
      <c r="B1104" s="10">
        <f>AVERAGE(B576:B587)</f>
        <v>56.322249999999997</v>
      </c>
      <c r="C1104" s="10">
        <f>AVERAGE(C576:C587)</f>
        <v>55.889983333333326</v>
      </c>
      <c r="D1104" s="10"/>
      <c r="E1104" s="10">
        <f t="shared" ref="E1104:K1104" si="48">AVERAGE(E576:E587)</f>
        <v>55.753350000000005</v>
      </c>
      <c r="F1104" s="10">
        <f t="shared" si="48"/>
        <v>55.753350000000005</v>
      </c>
      <c r="G1104" s="10">
        <f t="shared" si="48"/>
        <v>56.024725000000011</v>
      </c>
      <c r="H1104" s="10">
        <f t="shared" si="48"/>
        <v>55.889983333333326</v>
      </c>
      <c r="I1104" s="10">
        <f t="shared" si="48"/>
        <v>55.889983333333326</v>
      </c>
      <c r="J1104" s="10">
        <f t="shared" si="48"/>
        <v>55.889983333333326</v>
      </c>
      <c r="K1104" s="10">
        <f t="shared" si="48"/>
        <v>55.889983333333326</v>
      </c>
      <c r="L1104" s="10"/>
    </row>
    <row r="1105" spans="1:11" ht="15">
      <c r="A1105" s="11">
        <f t="shared" si="24"/>
        <v>2062</v>
      </c>
      <c r="B1105" s="10">
        <f t="shared" ref="B1105:C1124" ca="1" si="49">AVERAGE(OFFSET(B$588,($A1105-$A$1105)*12,0,12,1))</f>
        <v>57.171825000000005</v>
      </c>
      <c r="C1105" s="10">
        <f t="shared" ca="1" si="49"/>
        <v>56.739591666666655</v>
      </c>
      <c r="D1105" s="10"/>
      <c r="E1105" s="10">
        <f t="shared" ref="E1105:K1114" ca="1" si="50">AVERAGE(OFFSET(E$588,($A1105-$A$1105)*12,0,12,1))</f>
        <v>56.602916666666665</v>
      </c>
      <c r="F1105" s="10">
        <f t="shared" ca="1" si="50"/>
        <v>56.602916666666665</v>
      </c>
      <c r="G1105" s="10">
        <f t="shared" ca="1" si="50"/>
        <v>56.874300000000005</v>
      </c>
      <c r="H1105" s="10">
        <f t="shared" ca="1" si="50"/>
        <v>56.739591666666655</v>
      </c>
      <c r="I1105" s="10">
        <f t="shared" ca="1" si="50"/>
        <v>56.739591666666655</v>
      </c>
      <c r="J1105" s="10">
        <f t="shared" ca="1" si="50"/>
        <v>56.739591666666655</v>
      </c>
      <c r="K1105" s="10">
        <f t="shared" ca="1" si="50"/>
        <v>56.739591666666655</v>
      </c>
    </row>
    <row r="1106" spans="1:11" ht="15">
      <c r="A1106" s="11">
        <f t="shared" si="24"/>
        <v>2063</v>
      </c>
      <c r="B1106" s="10">
        <f t="shared" ca="1" si="49"/>
        <v>58.034775000000003</v>
      </c>
      <c r="C1106" s="10">
        <f t="shared" ca="1" si="49"/>
        <v>57.602524999999993</v>
      </c>
      <c r="D1106" s="10"/>
      <c r="E1106" s="10">
        <f t="shared" ca="1" si="50"/>
        <v>57.46586666666667</v>
      </c>
      <c r="F1106" s="10">
        <f t="shared" ca="1" si="50"/>
        <v>57.46586666666667</v>
      </c>
      <c r="G1106" s="10">
        <f t="shared" ca="1" si="50"/>
        <v>57.737233333333336</v>
      </c>
      <c r="H1106" s="10">
        <f t="shared" ca="1" si="50"/>
        <v>57.602524999999993</v>
      </c>
      <c r="I1106" s="10">
        <f t="shared" ca="1" si="50"/>
        <v>57.602524999999993</v>
      </c>
      <c r="J1106" s="10">
        <f t="shared" ca="1" si="50"/>
        <v>57.602524999999993</v>
      </c>
      <c r="K1106" s="10">
        <f t="shared" ca="1" si="50"/>
        <v>57.602524999999993</v>
      </c>
    </row>
    <row r="1107" spans="1:11" ht="15">
      <c r="A1107" s="11">
        <f t="shared" si="24"/>
        <v>2064</v>
      </c>
      <c r="B1107" s="10">
        <f t="shared" ca="1" si="49"/>
        <v>58.91128333333333</v>
      </c>
      <c r="C1107" s="10">
        <f t="shared" ca="1" si="49"/>
        <v>58.479041666666667</v>
      </c>
      <c r="D1107" s="10"/>
      <c r="E1107" s="10">
        <f t="shared" ca="1" si="50"/>
        <v>58.342374999999997</v>
      </c>
      <c r="F1107" s="10">
        <f t="shared" ca="1" si="50"/>
        <v>58.342374999999997</v>
      </c>
      <c r="G1107" s="10">
        <f t="shared" ca="1" si="50"/>
        <v>58.613749999999989</v>
      </c>
      <c r="H1107" s="10">
        <f t="shared" ca="1" si="50"/>
        <v>58.479041666666667</v>
      </c>
      <c r="I1107" s="10">
        <f t="shared" ca="1" si="50"/>
        <v>58.479041666666667</v>
      </c>
      <c r="J1107" s="10">
        <f t="shared" ca="1" si="50"/>
        <v>58.479041666666667</v>
      </c>
      <c r="K1107" s="10">
        <f t="shared" ca="1" si="50"/>
        <v>58.479041666666667</v>
      </c>
    </row>
    <row r="1108" spans="1:11" ht="15">
      <c r="A1108" s="11">
        <f t="shared" si="24"/>
        <v>2065</v>
      </c>
      <c r="B1108" s="10">
        <f t="shared" ca="1" si="49"/>
        <v>59.80159166666666</v>
      </c>
      <c r="C1108" s="10">
        <f t="shared" ca="1" si="49"/>
        <v>59.369324999999996</v>
      </c>
      <c r="D1108" s="10"/>
      <c r="E1108" s="10">
        <f t="shared" ca="1" si="50"/>
        <v>59.232675000000008</v>
      </c>
      <c r="F1108" s="10">
        <f t="shared" ca="1" si="50"/>
        <v>59.232675000000008</v>
      </c>
      <c r="G1108" s="10">
        <f t="shared" ca="1" si="50"/>
        <v>59.504049999999999</v>
      </c>
      <c r="H1108" s="10">
        <f t="shared" ca="1" si="50"/>
        <v>59.369324999999996</v>
      </c>
      <c r="I1108" s="10">
        <f t="shared" ca="1" si="50"/>
        <v>59.369324999999996</v>
      </c>
      <c r="J1108" s="10">
        <f t="shared" ca="1" si="50"/>
        <v>59.369324999999996</v>
      </c>
      <c r="K1108" s="10">
        <f t="shared" ca="1" si="50"/>
        <v>59.369324999999996</v>
      </c>
    </row>
    <row r="1109" spans="1:11" ht="15">
      <c r="A1109" s="11">
        <f t="shared" si="24"/>
        <v>2066</v>
      </c>
      <c r="B1109" s="10">
        <f t="shared" ca="1" si="49"/>
        <v>60.705874999999992</v>
      </c>
      <c r="C1109" s="10">
        <f t="shared" ca="1" si="49"/>
        <v>60.273625000000003</v>
      </c>
      <c r="D1109" s="10"/>
      <c r="E1109" s="10">
        <f t="shared" ca="1" si="50"/>
        <v>60.136974999999985</v>
      </c>
      <c r="F1109" s="10">
        <f t="shared" ca="1" si="50"/>
        <v>60.136974999999985</v>
      </c>
      <c r="G1109" s="10">
        <f t="shared" ca="1" si="50"/>
        <v>60.408341666666665</v>
      </c>
      <c r="H1109" s="10">
        <f t="shared" ca="1" si="50"/>
        <v>60.273625000000003</v>
      </c>
      <c r="I1109" s="10">
        <f t="shared" ca="1" si="50"/>
        <v>60.273625000000003</v>
      </c>
      <c r="J1109" s="10">
        <f t="shared" ca="1" si="50"/>
        <v>60.273625000000003</v>
      </c>
      <c r="K1109" s="10">
        <f t="shared" ca="1" si="50"/>
        <v>60.273625000000003</v>
      </c>
    </row>
    <row r="1110" spans="1:11" ht="15">
      <c r="A1110" s="11">
        <f t="shared" si="24"/>
        <v>2067</v>
      </c>
      <c r="B1110" s="10">
        <f t="shared" ca="1" si="49"/>
        <v>61.624400000000009</v>
      </c>
      <c r="C1110" s="10">
        <f t="shared" ca="1" si="49"/>
        <v>61.192149999999991</v>
      </c>
      <c r="D1110" s="10"/>
      <c r="E1110" s="10">
        <f t="shared" ca="1" si="50"/>
        <v>61.055491666666676</v>
      </c>
      <c r="F1110" s="10">
        <f t="shared" ca="1" si="50"/>
        <v>61.055491666666676</v>
      </c>
      <c r="G1110" s="10">
        <f t="shared" ca="1" si="50"/>
        <v>61.32686666666666</v>
      </c>
      <c r="H1110" s="10">
        <f t="shared" ca="1" si="50"/>
        <v>61.192149999999991</v>
      </c>
      <c r="I1110" s="10">
        <f t="shared" ca="1" si="50"/>
        <v>61.192149999999991</v>
      </c>
      <c r="J1110" s="10">
        <f t="shared" ca="1" si="50"/>
        <v>61.192149999999991</v>
      </c>
      <c r="K1110" s="10">
        <f t="shared" ca="1" si="50"/>
        <v>61.192149999999991</v>
      </c>
    </row>
    <row r="1111" spans="1:11" ht="15">
      <c r="A1111" s="11">
        <f t="shared" si="24"/>
        <v>2068</v>
      </c>
      <c r="B1111" s="10">
        <f t="shared" ca="1" si="49"/>
        <v>62.557366666666667</v>
      </c>
      <c r="C1111" s="10">
        <f t="shared" ca="1" si="49"/>
        <v>62.125091666666663</v>
      </c>
      <c r="D1111" s="10"/>
      <c r="E1111" s="10">
        <f t="shared" ca="1" si="50"/>
        <v>61.988458333333341</v>
      </c>
      <c r="F1111" s="10">
        <f t="shared" ca="1" si="50"/>
        <v>61.988458333333341</v>
      </c>
      <c r="G1111" s="10">
        <f t="shared" ca="1" si="50"/>
        <v>62.259800000000006</v>
      </c>
      <c r="H1111" s="10">
        <f t="shared" ca="1" si="50"/>
        <v>62.125091666666663</v>
      </c>
      <c r="I1111" s="10">
        <f t="shared" ca="1" si="50"/>
        <v>62.125091666666663</v>
      </c>
      <c r="J1111" s="10">
        <f t="shared" ca="1" si="50"/>
        <v>62.125091666666663</v>
      </c>
      <c r="K1111" s="10">
        <f t="shared" ca="1" si="50"/>
        <v>62.125091666666663</v>
      </c>
    </row>
    <row r="1112" spans="1:11" ht="15">
      <c r="A1112" s="11">
        <f t="shared" si="24"/>
        <v>2069</v>
      </c>
      <c r="B1112" s="10">
        <f t="shared" ca="1" si="49"/>
        <v>63.504983333333321</v>
      </c>
      <c r="C1112" s="10">
        <f t="shared" ca="1" si="49"/>
        <v>63.072733333333332</v>
      </c>
      <c r="D1112" s="10"/>
      <c r="E1112" s="10">
        <f t="shared" ca="1" si="50"/>
        <v>62.936083333333329</v>
      </c>
      <c r="F1112" s="10">
        <f t="shared" ca="1" si="50"/>
        <v>62.936083333333329</v>
      </c>
      <c r="G1112" s="10">
        <f t="shared" ca="1" si="50"/>
        <v>63.207450000000001</v>
      </c>
      <c r="H1112" s="10">
        <f t="shared" ca="1" si="50"/>
        <v>63.072733333333332</v>
      </c>
      <c r="I1112" s="10">
        <f t="shared" ca="1" si="50"/>
        <v>63.072733333333332</v>
      </c>
      <c r="J1112" s="10">
        <f t="shared" ca="1" si="50"/>
        <v>63.072733333333332</v>
      </c>
      <c r="K1112" s="10">
        <f t="shared" ca="1" si="50"/>
        <v>63.072733333333332</v>
      </c>
    </row>
    <row r="1113" spans="1:11" ht="15">
      <c r="A1113" s="11">
        <f t="shared" ref="A1113:A1143" si="51">A1112+1</f>
        <v>2070</v>
      </c>
      <c r="B1113" s="10">
        <f t="shared" ca="1" si="49"/>
        <v>64.467500000000001</v>
      </c>
      <c r="C1113" s="10">
        <f t="shared" ca="1" si="49"/>
        <v>64.035258333333331</v>
      </c>
      <c r="D1113" s="10"/>
      <c r="E1113" s="10">
        <f t="shared" ca="1" si="50"/>
        <v>63.898599999999995</v>
      </c>
      <c r="F1113" s="10">
        <f t="shared" ca="1" si="50"/>
        <v>63.898599999999995</v>
      </c>
      <c r="G1113" s="10">
        <f t="shared" ca="1" si="50"/>
        <v>64.169983333333349</v>
      </c>
      <c r="H1113" s="10">
        <f t="shared" ca="1" si="50"/>
        <v>64.035258333333331</v>
      </c>
      <c r="I1113" s="10">
        <f t="shared" ca="1" si="50"/>
        <v>64.035258333333331</v>
      </c>
      <c r="J1113" s="10">
        <f t="shared" ca="1" si="50"/>
        <v>64.035258333333331</v>
      </c>
      <c r="K1113" s="10">
        <f t="shared" ca="1" si="50"/>
        <v>64.035258333333331</v>
      </c>
    </row>
    <row r="1114" spans="1:11" ht="15">
      <c r="A1114" s="11">
        <f t="shared" si="51"/>
        <v>2071</v>
      </c>
      <c r="B1114" s="10">
        <f t="shared" ca="1" si="49"/>
        <v>65.445174999999992</v>
      </c>
      <c r="C1114" s="10">
        <f t="shared" ca="1" si="49"/>
        <v>65.012924999999996</v>
      </c>
      <c r="D1114" s="10"/>
      <c r="E1114" s="10">
        <f t="shared" ca="1" si="50"/>
        <v>64.876275000000007</v>
      </c>
      <c r="F1114" s="10">
        <f t="shared" ca="1" si="50"/>
        <v>64.876275000000007</v>
      </c>
      <c r="G1114" s="10">
        <f t="shared" ca="1" si="50"/>
        <v>65.147649999999999</v>
      </c>
      <c r="H1114" s="10">
        <f t="shared" ca="1" si="50"/>
        <v>65.012924999999996</v>
      </c>
      <c r="I1114" s="10">
        <f t="shared" ca="1" si="50"/>
        <v>65.012924999999996</v>
      </c>
      <c r="J1114" s="10">
        <f t="shared" ca="1" si="50"/>
        <v>65.012924999999996</v>
      </c>
      <c r="K1114" s="10">
        <f t="shared" ca="1" si="50"/>
        <v>65.012924999999996</v>
      </c>
    </row>
    <row r="1115" spans="1:11" ht="15">
      <c r="A1115" s="11">
        <f t="shared" si="51"/>
        <v>2072</v>
      </c>
      <c r="B1115" s="10">
        <f t="shared" ca="1" si="49"/>
        <v>66.438216666666676</v>
      </c>
      <c r="C1115" s="10">
        <f t="shared" ca="1" si="49"/>
        <v>66.005974999999992</v>
      </c>
      <c r="D1115" s="10"/>
      <c r="E1115" s="10">
        <f t="shared" ref="E1115:K1124" ca="1" si="52">AVERAGE(OFFSET(E$588,($A1115-$A$1105)*12,0,12,1))</f>
        <v>65.869316666666663</v>
      </c>
      <c r="F1115" s="10">
        <f t="shared" ca="1" si="52"/>
        <v>65.869316666666663</v>
      </c>
      <c r="G1115" s="10">
        <f t="shared" ca="1" si="52"/>
        <v>66.140683333333328</v>
      </c>
      <c r="H1115" s="10">
        <f t="shared" ca="1" si="52"/>
        <v>66.005974999999992</v>
      </c>
      <c r="I1115" s="10">
        <f t="shared" ca="1" si="52"/>
        <v>66.005974999999992</v>
      </c>
      <c r="J1115" s="10">
        <f t="shared" ca="1" si="52"/>
        <v>66.005974999999992</v>
      </c>
      <c r="K1115" s="10">
        <f t="shared" ca="1" si="52"/>
        <v>66.005974999999992</v>
      </c>
    </row>
    <row r="1116" spans="1:11" ht="15">
      <c r="A1116" s="11">
        <f t="shared" si="51"/>
        <v>2073</v>
      </c>
      <c r="B1116" s="10">
        <f t="shared" ca="1" si="49"/>
        <v>67.446875000000006</v>
      </c>
      <c r="C1116" s="10">
        <f t="shared" ca="1" si="49"/>
        <v>67.014625000000009</v>
      </c>
      <c r="D1116" s="10"/>
      <c r="E1116" s="10">
        <f t="shared" ca="1" si="52"/>
        <v>66.877975000000006</v>
      </c>
      <c r="F1116" s="10">
        <f t="shared" ca="1" si="52"/>
        <v>66.877975000000006</v>
      </c>
      <c r="G1116" s="10">
        <f t="shared" ca="1" si="52"/>
        <v>67.149333333333331</v>
      </c>
      <c r="H1116" s="10">
        <f t="shared" ca="1" si="52"/>
        <v>67.014625000000009</v>
      </c>
      <c r="I1116" s="10">
        <f t="shared" ca="1" si="52"/>
        <v>67.014625000000009</v>
      </c>
      <c r="J1116" s="10">
        <f t="shared" ca="1" si="52"/>
        <v>67.014625000000009</v>
      </c>
      <c r="K1116" s="10">
        <f t="shared" ca="1" si="52"/>
        <v>67.014625000000009</v>
      </c>
    </row>
    <row r="1117" spans="1:11" ht="15">
      <c r="A1117" s="11">
        <f t="shared" si="51"/>
        <v>2074</v>
      </c>
      <c r="B1117" s="10">
        <f t="shared" ca="1" si="49"/>
        <v>68.471383333333321</v>
      </c>
      <c r="C1117" s="10">
        <f t="shared" ca="1" si="49"/>
        <v>68.039133333333339</v>
      </c>
      <c r="D1117" s="10"/>
      <c r="E1117" s="10">
        <f t="shared" ca="1" si="52"/>
        <v>67.902483333333336</v>
      </c>
      <c r="F1117" s="10">
        <f t="shared" ca="1" si="52"/>
        <v>67.902483333333336</v>
      </c>
      <c r="G1117" s="10">
        <f t="shared" ca="1" si="52"/>
        <v>68.173874999999995</v>
      </c>
      <c r="H1117" s="10">
        <f t="shared" ca="1" si="52"/>
        <v>68.039133333333339</v>
      </c>
      <c r="I1117" s="10">
        <f t="shared" ca="1" si="52"/>
        <v>68.039133333333339</v>
      </c>
      <c r="J1117" s="10">
        <f t="shared" ca="1" si="52"/>
        <v>68.039133333333339</v>
      </c>
      <c r="K1117" s="10">
        <f t="shared" ca="1" si="52"/>
        <v>68.039133333333339</v>
      </c>
    </row>
    <row r="1118" spans="1:11" ht="15">
      <c r="A1118" s="11">
        <f t="shared" si="51"/>
        <v>2075</v>
      </c>
      <c r="B1118" s="10">
        <f t="shared" ca="1" si="49"/>
        <v>69.512024999999994</v>
      </c>
      <c r="C1118" s="10">
        <f t="shared" ca="1" si="49"/>
        <v>69.079766666666657</v>
      </c>
      <c r="D1118" s="10"/>
      <c r="E1118" s="10">
        <f t="shared" ca="1" si="52"/>
        <v>68.943116666666668</v>
      </c>
      <c r="F1118" s="10">
        <f t="shared" ca="1" si="52"/>
        <v>68.943116666666668</v>
      </c>
      <c r="G1118" s="10">
        <f t="shared" ca="1" si="52"/>
        <v>69.214483333333334</v>
      </c>
      <c r="H1118" s="10">
        <f t="shared" ca="1" si="52"/>
        <v>69.079766666666657</v>
      </c>
      <c r="I1118" s="10">
        <f t="shared" ca="1" si="52"/>
        <v>69.079766666666657</v>
      </c>
      <c r="J1118" s="10">
        <f t="shared" ca="1" si="52"/>
        <v>69.079766666666657</v>
      </c>
      <c r="K1118" s="10">
        <f t="shared" ca="1" si="52"/>
        <v>69.079766666666657</v>
      </c>
    </row>
    <row r="1119" spans="1:11" ht="15">
      <c r="A1119" s="11">
        <f t="shared" si="51"/>
        <v>2076</v>
      </c>
      <c r="B1119" s="10">
        <f t="shared" ca="1" si="49"/>
        <v>70.569008333333329</v>
      </c>
      <c r="C1119" s="10">
        <f t="shared" ca="1" si="49"/>
        <v>70.136758333333333</v>
      </c>
      <c r="D1119" s="10"/>
      <c r="E1119" s="10">
        <f t="shared" ca="1" si="52"/>
        <v>70.000091666666663</v>
      </c>
      <c r="F1119" s="10">
        <f t="shared" ca="1" si="52"/>
        <v>70.000091666666663</v>
      </c>
      <c r="G1119" s="10">
        <f t="shared" ca="1" si="52"/>
        <v>70.271483333333336</v>
      </c>
      <c r="H1119" s="10">
        <f t="shared" ca="1" si="52"/>
        <v>70.136758333333333</v>
      </c>
      <c r="I1119" s="10">
        <f t="shared" ca="1" si="52"/>
        <v>70.136758333333333</v>
      </c>
      <c r="J1119" s="10">
        <f t="shared" ca="1" si="52"/>
        <v>70.136758333333333</v>
      </c>
      <c r="K1119" s="10">
        <f t="shared" ca="1" si="52"/>
        <v>70.136758333333333</v>
      </c>
    </row>
    <row r="1120" spans="1:11" ht="15">
      <c r="A1120" s="11">
        <f t="shared" si="51"/>
        <v>2077</v>
      </c>
      <c r="B1120" s="10">
        <f t="shared" ca="1" si="49"/>
        <v>71.642616666666669</v>
      </c>
      <c r="C1120" s="10">
        <f t="shared" ca="1" si="49"/>
        <v>71.210383333333326</v>
      </c>
      <c r="D1120" s="10"/>
      <c r="E1120" s="10">
        <f t="shared" ca="1" si="52"/>
        <v>71.073708333333329</v>
      </c>
      <c r="F1120" s="10">
        <f t="shared" ca="1" si="52"/>
        <v>71.073708333333329</v>
      </c>
      <c r="G1120" s="10">
        <f t="shared" ca="1" si="52"/>
        <v>71.345091666666676</v>
      </c>
      <c r="H1120" s="10">
        <f t="shared" ca="1" si="52"/>
        <v>71.210383333333326</v>
      </c>
      <c r="I1120" s="10">
        <f t="shared" ca="1" si="52"/>
        <v>71.210383333333326</v>
      </c>
      <c r="J1120" s="10">
        <f t="shared" ca="1" si="52"/>
        <v>71.210383333333326</v>
      </c>
      <c r="K1120" s="10">
        <f t="shared" ca="1" si="52"/>
        <v>71.210383333333326</v>
      </c>
    </row>
    <row r="1121" spans="1:11" ht="15">
      <c r="A1121" s="11">
        <f t="shared" si="51"/>
        <v>2078</v>
      </c>
      <c r="B1121" s="10">
        <f t="shared" ca="1" si="49"/>
        <v>72.733108333333334</v>
      </c>
      <c r="C1121" s="10">
        <f t="shared" ca="1" si="49"/>
        <v>72.300883333333331</v>
      </c>
      <c r="D1121" s="10"/>
      <c r="E1121" s="10">
        <f t="shared" ca="1" si="52"/>
        <v>72.16419999999998</v>
      </c>
      <c r="F1121" s="10">
        <f t="shared" ca="1" si="52"/>
        <v>72.16419999999998</v>
      </c>
      <c r="G1121" s="10">
        <f t="shared" ca="1" si="52"/>
        <v>72.435591666666667</v>
      </c>
      <c r="H1121" s="10">
        <f t="shared" ca="1" si="52"/>
        <v>72.300883333333331</v>
      </c>
      <c r="I1121" s="10">
        <f t="shared" ca="1" si="52"/>
        <v>72.300883333333331</v>
      </c>
      <c r="J1121" s="10">
        <f t="shared" ca="1" si="52"/>
        <v>72.300883333333331</v>
      </c>
      <c r="K1121" s="10">
        <f t="shared" ca="1" si="52"/>
        <v>72.300883333333331</v>
      </c>
    </row>
    <row r="1122" spans="1:11" ht="15">
      <c r="A1122" s="11">
        <f t="shared" si="51"/>
        <v>2079</v>
      </c>
      <c r="B1122" s="10">
        <f t="shared" ca="1" si="49"/>
        <v>73.840774999999994</v>
      </c>
      <c r="C1122" s="10">
        <f t="shared" ca="1" si="49"/>
        <v>73.408508333333344</v>
      </c>
      <c r="D1122" s="10"/>
      <c r="E1122" s="10">
        <f t="shared" ca="1" si="52"/>
        <v>73.271858333333327</v>
      </c>
      <c r="F1122" s="10">
        <f t="shared" ca="1" si="52"/>
        <v>73.271858333333327</v>
      </c>
      <c r="G1122" s="10">
        <f t="shared" ca="1" si="52"/>
        <v>73.543208333333325</v>
      </c>
      <c r="H1122" s="10">
        <f t="shared" ca="1" si="52"/>
        <v>73.408508333333344</v>
      </c>
      <c r="I1122" s="10">
        <f t="shared" ca="1" si="52"/>
        <v>73.408508333333344</v>
      </c>
      <c r="J1122" s="10">
        <f t="shared" ca="1" si="52"/>
        <v>73.408508333333344</v>
      </c>
      <c r="K1122" s="10">
        <f t="shared" ca="1" si="52"/>
        <v>73.408508333333344</v>
      </c>
    </row>
    <row r="1123" spans="1:11" ht="15">
      <c r="A1123" s="11">
        <f t="shared" si="51"/>
        <v>2080</v>
      </c>
      <c r="B1123" s="10">
        <f t="shared" ca="1" si="49"/>
        <v>74.965825000000009</v>
      </c>
      <c r="C1123" s="10">
        <f t="shared" ca="1" si="49"/>
        <v>74.533566666666658</v>
      </c>
      <c r="D1123" s="10"/>
      <c r="E1123" s="10">
        <f t="shared" ca="1" si="52"/>
        <v>74.396916666666655</v>
      </c>
      <c r="F1123" s="10">
        <f t="shared" ca="1" si="52"/>
        <v>74.396916666666655</v>
      </c>
      <c r="G1123" s="10">
        <f t="shared" ca="1" si="52"/>
        <v>74.668283333333335</v>
      </c>
      <c r="H1123" s="10">
        <f t="shared" ca="1" si="52"/>
        <v>74.533566666666658</v>
      </c>
      <c r="I1123" s="10">
        <f t="shared" ca="1" si="52"/>
        <v>74.533566666666658</v>
      </c>
      <c r="J1123" s="10">
        <f t="shared" ca="1" si="52"/>
        <v>74.533566666666658</v>
      </c>
      <c r="K1123" s="10">
        <f t="shared" ca="1" si="52"/>
        <v>74.533566666666658</v>
      </c>
    </row>
    <row r="1124" spans="1:11" ht="15">
      <c r="A1124" s="11">
        <f t="shared" si="51"/>
        <v>2081</v>
      </c>
      <c r="B1124" s="10">
        <f t="shared" ca="1" si="49"/>
        <v>76.108566666666661</v>
      </c>
      <c r="C1124" s="10">
        <f t="shared" ca="1" si="49"/>
        <v>75.676333333333346</v>
      </c>
      <c r="D1124" s="10"/>
      <c r="E1124" s="10">
        <f t="shared" ca="1" si="52"/>
        <v>75.539666666666676</v>
      </c>
      <c r="F1124" s="10">
        <f t="shared" ca="1" si="52"/>
        <v>75.539666666666676</v>
      </c>
      <c r="G1124" s="10">
        <f t="shared" ca="1" si="52"/>
        <v>75.811049999999994</v>
      </c>
      <c r="H1124" s="10">
        <f t="shared" ca="1" si="52"/>
        <v>75.676333333333346</v>
      </c>
      <c r="I1124" s="10">
        <f t="shared" ca="1" si="52"/>
        <v>75.676333333333346</v>
      </c>
      <c r="J1124" s="10">
        <f t="shared" ca="1" si="52"/>
        <v>75.676333333333346</v>
      </c>
      <c r="K1124" s="10">
        <f t="shared" ca="1" si="52"/>
        <v>75.676333333333346</v>
      </c>
    </row>
    <row r="1125" spans="1:11" ht="15">
      <c r="A1125" s="11">
        <f t="shared" si="51"/>
        <v>2082</v>
      </c>
      <c r="B1125" s="10">
        <f t="shared" ref="B1125:C1143" ca="1" si="53">AVERAGE(OFFSET(B$588,($A1125-$A$1105)*12,0,12,1))</f>
        <v>77.26928333333332</v>
      </c>
      <c r="C1125" s="10">
        <f t="shared" ca="1" si="53"/>
        <v>76.837050000000019</v>
      </c>
      <c r="D1125" s="10"/>
      <c r="E1125" s="10">
        <f t="shared" ref="E1125:K1134" ca="1" si="54">AVERAGE(OFFSET(E$588,($A1125-$A$1105)*12,0,12,1))</f>
        <v>76.700374999999994</v>
      </c>
      <c r="F1125" s="10">
        <f t="shared" ca="1" si="54"/>
        <v>76.700374999999994</v>
      </c>
      <c r="G1125" s="10">
        <f t="shared" ca="1" si="54"/>
        <v>76.971774999999994</v>
      </c>
      <c r="H1125" s="10">
        <f t="shared" ca="1" si="54"/>
        <v>76.837050000000019</v>
      </c>
      <c r="I1125" s="10">
        <f t="shared" ca="1" si="54"/>
        <v>76.837050000000019</v>
      </c>
      <c r="J1125" s="10">
        <f t="shared" ca="1" si="54"/>
        <v>76.837050000000019</v>
      </c>
      <c r="K1125" s="10">
        <f t="shared" ca="1" si="54"/>
        <v>76.837050000000019</v>
      </c>
    </row>
    <row r="1126" spans="1:11" ht="15">
      <c r="A1126" s="11">
        <f t="shared" si="51"/>
        <v>2083</v>
      </c>
      <c r="B1126" s="10">
        <f t="shared" ca="1" si="53"/>
        <v>78.44827500000001</v>
      </c>
      <c r="C1126" s="10">
        <f t="shared" ca="1" si="53"/>
        <v>78.016016666666658</v>
      </c>
      <c r="D1126" s="10"/>
      <c r="E1126" s="10">
        <f t="shared" ca="1" si="54"/>
        <v>77.879366666666655</v>
      </c>
      <c r="F1126" s="10">
        <f t="shared" ca="1" si="54"/>
        <v>77.879366666666655</v>
      </c>
      <c r="G1126" s="10">
        <f t="shared" ca="1" si="54"/>
        <v>78.150724999999994</v>
      </c>
      <c r="H1126" s="10">
        <f t="shared" ca="1" si="54"/>
        <v>78.016016666666658</v>
      </c>
      <c r="I1126" s="10">
        <f t="shared" ca="1" si="54"/>
        <v>78.016016666666658</v>
      </c>
      <c r="J1126" s="10">
        <f t="shared" ca="1" si="54"/>
        <v>78.016016666666658</v>
      </c>
      <c r="K1126" s="10">
        <f t="shared" ca="1" si="54"/>
        <v>78.016016666666658</v>
      </c>
    </row>
    <row r="1127" spans="1:11" ht="15">
      <c r="A1127" s="11">
        <f t="shared" si="51"/>
        <v>2084</v>
      </c>
      <c r="B1127" s="10">
        <f t="shared" ca="1" si="53"/>
        <v>79.645774999999986</v>
      </c>
      <c r="C1127" s="10">
        <f t="shared" ca="1" si="53"/>
        <v>79.213533333333331</v>
      </c>
      <c r="D1127" s="10"/>
      <c r="E1127" s="10">
        <f t="shared" ca="1" si="54"/>
        <v>79.076858333333334</v>
      </c>
      <c r="F1127" s="10">
        <f t="shared" ca="1" si="54"/>
        <v>79.076858333333334</v>
      </c>
      <c r="G1127" s="10">
        <f t="shared" ca="1" si="54"/>
        <v>79.348258333333334</v>
      </c>
      <c r="H1127" s="10">
        <f t="shared" ca="1" si="54"/>
        <v>79.213533333333331</v>
      </c>
      <c r="I1127" s="10">
        <f t="shared" ca="1" si="54"/>
        <v>79.213533333333331</v>
      </c>
      <c r="J1127" s="10">
        <f t="shared" ca="1" si="54"/>
        <v>79.213533333333331</v>
      </c>
      <c r="K1127" s="10">
        <f t="shared" ca="1" si="54"/>
        <v>79.213533333333331</v>
      </c>
    </row>
    <row r="1128" spans="1:11" ht="15">
      <c r="A1128" s="11">
        <f t="shared" si="51"/>
        <v>2085</v>
      </c>
      <c r="B1128" s="10">
        <f t="shared" ca="1" si="53"/>
        <v>80.862124999999992</v>
      </c>
      <c r="C1128" s="10">
        <f t="shared" ca="1" si="53"/>
        <v>80.429874999999996</v>
      </c>
      <c r="D1128" s="10"/>
      <c r="E1128" s="10">
        <f t="shared" ca="1" si="54"/>
        <v>80.29321666666668</v>
      </c>
      <c r="F1128" s="10">
        <f t="shared" ca="1" si="54"/>
        <v>80.29321666666668</v>
      </c>
      <c r="G1128" s="10">
        <f t="shared" ca="1" si="54"/>
        <v>80.564583333333331</v>
      </c>
      <c r="H1128" s="10">
        <f t="shared" ca="1" si="54"/>
        <v>80.429874999999996</v>
      </c>
      <c r="I1128" s="10">
        <f t="shared" ca="1" si="54"/>
        <v>80.429874999999996</v>
      </c>
      <c r="J1128" s="10">
        <f t="shared" ca="1" si="54"/>
        <v>80.429874999999996</v>
      </c>
      <c r="K1128" s="10">
        <f t="shared" ca="1" si="54"/>
        <v>80.429874999999996</v>
      </c>
    </row>
    <row r="1129" spans="1:11" ht="15">
      <c r="A1129" s="11">
        <f t="shared" si="51"/>
        <v>2086</v>
      </c>
      <c r="B1129" s="10">
        <f t="shared" ca="1" si="53"/>
        <v>82.0976</v>
      </c>
      <c r="C1129" s="10">
        <f t="shared" ca="1" si="53"/>
        <v>81.665350000000004</v>
      </c>
      <c r="D1129" s="10"/>
      <c r="E1129" s="10">
        <f t="shared" ca="1" si="54"/>
        <v>81.528700000000001</v>
      </c>
      <c r="F1129" s="10">
        <f t="shared" ca="1" si="54"/>
        <v>81.528700000000001</v>
      </c>
      <c r="G1129" s="10">
        <f t="shared" ca="1" si="54"/>
        <v>81.800075000000007</v>
      </c>
      <c r="H1129" s="10">
        <f t="shared" ca="1" si="54"/>
        <v>81.665350000000004</v>
      </c>
      <c r="I1129" s="10">
        <f t="shared" ca="1" si="54"/>
        <v>81.665350000000004</v>
      </c>
      <c r="J1129" s="10">
        <f t="shared" ca="1" si="54"/>
        <v>81.665350000000004</v>
      </c>
      <c r="K1129" s="10">
        <f t="shared" ca="1" si="54"/>
        <v>81.665350000000004</v>
      </c>
    </row>
    <row r="1130" spans="1:11" ht="15">
      <c r="A1130" s="11">
        <f t="shared" si="51"/>
        <v>2087</v>
      </c>
      <c r="B1130" s="10">
        <f t="shared" ca="1" si="53"/>
        <v>83.352491666666637</v>
      </c>
      <c r="C1130" s="10">
        <f t="shared" ca="1" si="53"/>
        <v>82.920249999999996</v>
      </c>
      <c r="D1130" s="10"/>
      <c r="E1130" s="10">
        <f t="shared" ca="1" si="54"/>
        <v>82.783591666666652</v>
      </c>
      <c r="F1130" s="10">
        <f t="shared" ca="1" si="54"/>
        <v>82.783591666666652</v>
      </c>
      <c r="G1130" s="10">
        <f t="shared" ca="1" si="54"/>
        <v>83.054966666666658</v>
      </c>
      <c r="H1130" s="10">
        <f t="shared" ca="1" si="54"/>
        <v>82.920249999999996</v>
      </c>
      <c r="I1130" s="10">
        <f t="shared" ca="1" si="54"/>
        <v>82.920249999999996</v>
      </c>
      <c r="J1130" s="10">
        <f t="shared" ca="1" si="54"/>
        <v>82.920249999999996</v>
      </c>
      <c r="K1130" s="10">
        <f t="shared" ca="1" si="54"/>
        <v>82.920249999999996</v>
      </c>
    </row>
    <row r="1131" spans="1:11" ht="15">
      <c r="A1131" s="11">
        <f t="shared" si="51"/>
        <v>2088</v>
      </c>
      <c r="B1131" s="10">
        <f t="shared" ca="1" si="53"/>
        <v>84.627108333333325</v>
      </c>
      <c r="C1131" s="10">
        <f t="shared" ca="1" si="53"/>
        <v>84.194883333333337</v>
      </c>
      <c r="D1131" s="10"/>
      <c r="E1131" s="10">
        <f t="shared" ca="1" si="54"/>
        <v>84.058199999999985</v>
      </c>
      <c r="F1131" s="10">
        <f t="shared" ca="1" si="54"/>
        <v>84.058199999999985</v>
      </c>
      <c r="G1131" s="10">
        <f t="shared" ca="1" si="54"/>
        <v>84.329591666666659</v>
      </c>
      <c r="H1131" s="10">
        <f t="shared" ca="1" si="54"/>
        <v>84.194883333333337</v>
      </c>
      <c r="I1131" s="10">
        <f t="shared" ca="1" si="54"/>
        <v>84.194883333333337</v>
      </c>
      <c r="J1131" s="10">
        <f t="shared" ca="1" si="54"/>
        <v>84.194883333333337</v>
      </c>
      <c r="K1131" s="10">
        <f t="shared" ca="1" si="54"/>
        <v>84.194883333333337</v>
      </c>
    </row>
    <row r="1132" spans="1:11" ht="15">
      <c r="A1132" s="11">
        <f t="shared" si="51"/>
        <v>2089</v>
      </c>
      <c r="B1132" s="10">
        <f t="shared" ca="1" si="53"/>
        <v>85.921800000000019</v>
      </c>
      <c r="C1132" s="10">
        <f t="shared" ca="1" si="53"/>
        <v>85.489549999999994</v>
      </c>
      <c r="D1132" s="10"/>
      <c r="E1132" s="10">
        <f t="shared" ca="1" si="54"/>
        <v>85.352891666666665</v>
      </c>
      <c r="F1132" s="10">
        <f t="shared" ca="1" si="54"/>
        <v>85.352891666666665</v>
      </c>
      <c r="G1132" s="10">
        <f t="shared" ca="1" si="54"/>
        <v>85.624266666666657</v>
      </c>
      <c r="H1132" s="10">
        <f t="shared" ca="1" si="54"/>
        <v>85.489549999999994</v>
      </c>
      <c r="I1132" s="10">
        <f t="shared" ca="1" si="54"/>
        <v>85.489549999999994</v>
      </c>
      <c r="J1132" s="10">
        <f t="shared" ca="1" si="54"/>
        <v>85.489549999999994</v>
      </c>
      <c r="K1132" s="10">
        <f t="shared" ca="1" si="54"/>
        <v>85.489549999999994</v>
      </c>
    </row>
    <row r="1133" spans="1:11" ht="15">
      <c r="A1133" s="11">
        <f t="shared" si="51"/>
        <v>2090</v>
      </c>
      <c r="B1133" s="10">
        <f t="shared" ca="1" si="53"/>
        <v>87.236824999999996</v>
      </c>
      <c r="C1133" s="10">
        <f t="shared" ca="1" si="53"/>
        <v>86.804591666666667</v>
      </c>
      <c r="D1133" s="10"/>
      <c r="E1133" s="10">
        <f t="shared" ca="1" si="54"/>
        <v>86.667916666666656</v>
      </c>
      <c r="F1133" s="10">
        <f t="shared" ca="1" si="54"/>
        <v>86.667916666666656</v>
      </c>
      <c r="G1133" s="10">
        <f t="shared" ca="1" si="54"/>
        <v>86.939308333333329</v>
      </c>
      <c r="H1133" s="10">
        <f t="shared" ca="1" si="54"/>
        <v>86.804591666666667</v>
      </c>
      <c r="I1133" s="10">
        <f t="shared" ca="1" si="54"/>
        <v>86.804591666666667</v>
      </c>
      <c r="J1133" s="10">
        <f t="shared" ca="1" si="54"/>
        <v>86.804591666666667</v>
      </c>
      <c r="K1133" s="10">
        <f t="shared" ca="1" si="54"/>
        <v>86.804591666666667</v>
      </c>
    </row>
    <row r="1134" spans="1:11" ht="15">
      <c r="A1134" s="11">
        <f t="shared" si="51"/>
        <v>2091</v>
      </c>
      <c r="B1134" s="10">
        <f t="shared" ca="1" si="53"/>
        <v>88.57253333333334</v>
      </c>
      <c r="C1134" s="10">
        <f t="shared" ca="1" si="53"/>
        <v>88.140291666666656</v>
      </c>
      <c r="D1134" s="10"/>
      <c r="E1134" s="10">
        <f t="shared" ca="1" si="54"/>
        <v>88.003633333333312</v>
      </c>
      <c r="F1134" s="10">
        <f t="shared" ca="1" si="54"/>
        <v>88.003633333333312</v>
      </c>
      <c r="G1134" s="10">
        <f t="shared" ca="1" si="54"/>
        <v>88.275016666666659</v>
      </c>
      <c r="H1134" s="10">
        <f t="shared" ca="1" si="54"/>
        <v>88.140291666666656</v>
      </c>
      <c r="I1134" s="10">
        <f t="shared" ca="1" si="54"/>
        <v>88.140291666666656</v>
      </c>
      <c r="J1134" s="10">
        <f t="shared" ca="1" si="54"/>
        <v>88.140291666666656</v>
      </c>
      <c r="K1134" s="10">
        <f t="shared" ca="1" si="54"/>
        <v>88.140291666666656</v>
      </c>
    </row>
    <row r="1135" spans="1:11" ht="15">
      <c r="A1135" s="11">
        <f t="shared" si="51"/>
        <v>2092</v>
      </c>
      <c r="B1135" s="10">
        <f t="shared" ca="1" si="53"/>
        <v>89.929258333333337</v>
      </c>
      <c r="C1135" s="10">
        <f t="shared" ca="1" si="53"/>
        <v>89.497</v>
      </c>
      <c r="D1135" s="10"/>
      <c r="E1135" s="10">
        <f t="shared" ref="E1135:K1143" ca="1" si="55">AVERAGE(OFFSET(E$588,($A1135-$A$1105)*12,0,12,1))</f>
        <v>89.360349999999997</v>
      </c>
      <c r="F1135" s="10">
        <f t="shared" ca="1" si="55"/>
        <v>89.360349999999997</v>
      </c>
      <c r="G1135" s="10">
        <f t="shared" ca="1" si="55"/>
        <v>89.631725000000003</v>
      </c>
      <c r="H1135" s="10">
        <f t="shared" ca="1" si="55"/>
        <v>89.497</v>
      </c>
      <c r="I1135" s="10">
        <f t="shared" ca="1" si="55"/>
        <v>89.497</v>
      </c>
      <c r="J1135" s="10">
        <f t="shared" ca="1" si="55"/>
        <v>89.497</v>
      </c>
      <c r="K1135" s="10">
        <f t="shared" ca="1" si="55"/>
        <v>89.497</v>
      </c>
    </row>
    <row r="1136" spans="1:11" ht="15">
      <c r="A1136" s="11">
        <f t="shared" si="51"/>
        <v>2093</v>
      </c>
      <c r="B1136" s="10">
        <f t="shared" ca="1" si="53"/>
        <v>91.307291666666671</v>
      </c>
      <c r="C1136" s="10">
        <f t="shared" ca="1" si="53"/>
        <v>90.875066666666669</v>
      </c>
      <c r="D1136" s="10"/>
      <c r="E1136" s="10">
        <f t="shared" ca="1" si="55"/>
        <v>90.738383333333331</v>
      </c>
      <c r="F1136" s="10">
        <f t="shared" ca="1" si="55"/>
        <v>90.738383333333331</v>
      </c>
      <c r="G1136" s="10">
        <f t="shared" ca="1" si="55"/>
        <v>91.009783333333317</v>
      </c>
      <c r="H1136" s="10">
        <f t="shared" ca="1" si="55"/>
        <v>90.875066666666669</v>
      </c>
      <c r="I1136" s="10">
        <f t="shared" ca="1" si="55"/>
        <v>90.875066666666669</v>
      </c>
      <c r="J1136" s="10">
        <f t="shared" ca="1" si="55"/>
        <v>90.875066666666669</v>
      </c>
      <c r="K1136" s="10">
        <f t="shared" ca="1" si="55"/>
        <v>90.875066666666669</v>
      </c>
    </row>
    <row r="1137" spans="1:11" ht="15">
      <c r="A1137" s="11">
        <f t="shared" si="51"/>
        <v>2094</v>
      </c>
      <c r="B1137" s="10">
        <f t="shared" ca="1" si="53"/>
        <v>92.707033333333342</v>
      </c>
      <c r="C1137" s="10">
        <f t="shared" ca="1" si="53"/>
        <v>92.274791666666658</v>
      </c>
      <c r="D1137" s="10"/>
      <c r="E1137" s="10">
        <f t="shared" ca="1" si="55"/>
        <v>92.138124999999988</v>
      </c>
      <c r="F1137" s="10">
        <f t="shared" ca="1" si="55"/>
        <v>92.138124999999988</v>
      </c>
      <c r="G1137" s="10">
        <f t="shared" ca="1" si="55"/>
        <v>92.40949999999998</v>
      </c>
      <c r="H1137" s="10">
        <f t="shared" ca="1" si="55"/>
        <v>92.274791666666658</v>
      </c>
      <c r="I1137" s="10">
        <f t="shared" ca="1" si="55"/>
        <v>92.274791666666658</v>
      </c>
      <c r="J1137" s="10">
        <f t="shared" ca="1" si="55"/>
        <v>92.274791666666658</v>
      </c>
      <c r="K1137" s="10">
        <f t="shared" ca="1" si="55"/>
        <v>92.274791666666658</v>
      </c>
    </row>
    <row r="1138" spans="1:11" ht="15">
      <c r="A1138" s="11">
        <f t="shared" si="51"/>
        <v>2095</v>
      </c>
      <c r="B1138" s="10">
        <f t="shared" ca="1" si="53"/>
        <v>94.128775000000005</v>
      </c>
      <c r="C1138" s="10">
        <f t="shared" ca="1" si="53"/>
        <v>93.696516666666682</v>
      </c>
      <c r="D1138" s="10"/>
      <c r="E1138" s="10">
        <f t="shared" ca="1" si="55"/>
        <v>93.559849999999997</v>
      </c>
      <c r="F1138" s="10">
        <f t="shared" ca="1" si="55"/>
        <v>93.559849999999997</v>
      </c>
      <c r="G1138" s="10">
        <f t="shared" ca="1" si="55"/>
        <v>93.831233333333316</v>
      </c>
      <c r="H1138" s="10">
        <f t="shared" ca="1" si="55"/>
        <v>93.696516666666682</v>
      </c>
      <c r="I1138" s="10">
        <f t="shared" ca="1" si="55"/>
        <v>93.696516666666682</v>
      </c>
      <c r="J1138" s="10">
        <f t="shared" ca="1" si="55"/>
        <v>93.696516666666682</v>
      </c>
      <c r="K1138" s="10">
        <f t="shared" ca="1" si="55"/>
        <v>93.696516666666682</v>
      </c>
    </row>
    <row r="1139" spans="1:11" ht="15">
      <c r="A1139" s="11">
        <f t="shared" si="51"/>
        <v>2096</v>
      </c>
      <c r="B1139" s="10">
        <f t="shared" ca="1" si="53"/>
        <v>95.572850000000003</v>
      </c>
      <c r="C1139" s="10">
        <f t="shared" ca="1" si="53"/>
        <v>95.140600000000006</v>
      </c>
      <c r="D1139" s="10"/>
      <c r="E1139" s="10">
        <f t="shared" ca="1" si="55"/>
        <v>95.003950000000017</v>
      </c>
      <c r="F1139" s="10">
        <f t="shared" ca="1" si="55"/>
        <v>95.003950000000017</v>
      </c>
      <c r="G1139" s="10">
        <f t="shared" ca="1" si="55"/>
        <v>95.275325000000009</v>
      </c>
      <c r="H1139" s="10">
        <f t="shared" ca="1" si="55"/>
        <v>95.140600000000006</v>
      </c>
      <c r="I1139" s="10">
        <f t="shared" ca="1" si="55"/>
        <v>95.140600000000006</v>
      </c>
      <c r="J1139" s="10">
        <f t="shared" ca="1" si="55"/>
        <v>95.140600000000006</v>
      </c>
      <c r="K1139" s="10">
        <f t="shared" ca="1" si="55"/>
        <v>95.140600000000006</v>
      </c>
    </row>
    <row r="1140" spans="1:11" ht="15">
      <c r="A1140" s="11">
        <f t="shared" si="51"/>
        <v>2097</v>
      </c>
      <c r="B1140" s="10">
        <f t="shared" ca="1" si="53"/>
        <v>97.039649999999995</v>
      </c>
      <c r="C1140" s="10">
        <f t="shared" ca="1" si="53"/>
        <v>96.607399999999998</v>
      </c>
      <c r="D1140" s="10"/>
      <c r="E1140" s="10">
        <f t="shared" ca="1" si="55"/>
        <v>96.470733333333342</v>
      </c>
      <c r="F1140" s="10">
        <f t="shared" ca="1" si="55"/>
        <v>96.470733333333342</v>
      </c>
      <c r="G1140" s="10">
        <f t="shared" ca="1" si="55"/>
        <v>96.742100000000008</v>
      </c>
      <c r="H1140" s="10">
        <f t="shared" ca="1" si="55"/>
        <v>96.607399999999998</v>
      </c>
      <c r="I1140" s="10">
        <f t="shared" ca="1" si="55"/>
        <v>96.607399999999998</v>
      </c>
      <c r="J1140" s="10">
        <f t="shared" ca="1" si="55"/>
        <v>96.607399999999998</v>
      </c>
      <c r="K1140" s="10">
        <f t="shared" ca="1" si="55"/>
        <v>96.607399999999998</v>
      </c>
    </row>
    <row r="1141" spans="1:11" ht="15">
      <c r="A1141" s="11">
        <f t="shared" si="51"/>
        <v>2098</v>
      </c>
      <c r="B1141" s="10">
        <f t="shared" ca="1" si="53"/>
        <v>98.529499999999999</v>
      </c>
      <c r="C1141" s="10">
        <f t="shared" ca="1" si="53"/>
        <v>98.097258333333343</v>
      </c>
      <c r="D1141" s="10"/>
      <c r="E1141" s="10">
        <f t="shared" ca="1" si="55"/>
        <v>97.960591666666673</v>
      </c>
      <c r="F1141" s="10">
        <f t="shared" ca="1" si="55"/>
        <v>97.960591666666673</v>
      </c>
      <c r="G1141" s="10">
        <f t="shared" ca="1" si="55"/>
        <v>98.231983333333332</v>
      </c>
      <c r="H1141" s="10">
        <f t="shared" ca="1" si="55"/>
        <v>98.097258333333343</v>
      </c>
      <c r="I1141" s="10">
        <f t="shared" ca="1" si="55"/>
        <v>98.097258333333343</v>
      </c>
      <c r="J1141" s="10">
        <f t="shared" ca="1" si="55"/>
        <v>98.097258333333343</v>
      </c>
      <c r="K1141" s="10">
        <f t="shared" ca="1" si="55"/>
        <v>98.097258333333343</v>
      </c>
    </row>
    <row r="1142" spans="1:11" ht="15">
      <c r="A1142" s="11">
        <f t="shared" si="51"/>
        <v>2099</v>
      </c>
      <c r="B1142" s="10">
        <f t="shared" ca="1" si="53"/>
        <v>100.04278333333332</v>
      </c>
      <c r="C1142" s="10">
        <f t="shared" ca="1" si="53"/>
        <v>99.610558333333344</v>
      </c>
      <c r="D1142" s="10"/>
      <c r="E1142" s="10">
        <f t="shared" ca="1" si="55"/>
        <v>99.473875000000007</v>
      </c>
      <c r="F1142" s="10">
        <f t="shared" ca="1" si="55"/>
        <v>99.473875000000007</v>
      </c>
      <c r="G1142" s="10">
        <f t="shared" ca="1" si="55"/>
        <v>99.745258333333325</v>
      </c>
      <c r="H1142" s="10">
        <f t="shared" ca="1" si="55"/>
        <v>99.610558333333344</v>
      </c>
      <c r="I1142" s="10">
        <f t="shared" ca="1" si="55"/>
        <v>99.610558333333344</v>
      </c>
      <c r="J1142" s="10">
        <f t="shared" ca="1" si="55"/>
        <v>99.610558333333344</v>
      </c>
      <c r="K1142" s="10">
        <f t="shared" ca="1" si="55"/>
        <v>99.610558333333344</v>
      </c>
    </row>
    <row r="1143" spans="1:11" ht="15">
      <c r="A1143" s="11">
        <f t="shared" si="51"/>
        <v>2100</v>
      </c>
      <c r="B1143" s="10">
        <f t="shared" ca="1" si="53"/>
        <v>101.57988333333333</v>
      </c>
      <c r="C1143" s="10">
        <f t="shared" ca="1" si="53"/>
        <v>101.14762500000001</v>
      </c>
      <c r="D1143" s="10"/>
      <c r="E1143" s="10">
        <f t="shared" ca="1" si="55"/>
        <v>101.01096666666666</v>
      </c>
      <c r="F1143" s="10">
        <f t="shared" ca="1" si="55"/>
        <v>101.01096666666666</v>
      </c>
      <c r="G1143" s="10">
        <f t="shared" ca="1" si="55"/>
        <v>101.28234166666665</v>
      </c>
      <c r="H1143" s="10">
        <f t="shared" ca="1" si="55"/>
        <v>101.14762500000001</v>
      </c>
      <c r="I1143" s="10">
        <f t="shared" ca="1" si="55"/>
        <v>101.14762500000001</v>
      </c>
      <c r="J1143" s="10">
        <f t="shared" ca="1" si="55"/>
        <v>101.14762500000001</v>
      </c>
      <c r="K1143" s="10">
        <f t="shared" ca="1" si="55"/>
        <v>101.14762500000001</v>
      </c>
    </row>
    <row r="1144" spans="1:11">
      <c r="A1144" s="8"/>
    </row>
    <row r="1145" spans="1:11">
      <c r="A1145" s="8"/>
    </row>
    <row r="1146" spans="1:11">
      <c r="A1146" s="8"/>
    </row>
    <row r="1147" spans="1:11">
      <c r="A1147" s="8"/>
    </row>
    <row r="1148" spans="1:11">
      <c r="A1148" s="8"/>
    </row>
    <row r="1149" spans="1:11">
      <c r="A1149" s="8"/>
    </row>
    <row r="1150" spans="1:11">
      <c r="A1150" s="8"/>
    </row>
    <row r="1151" spans="1:11">
      <c r="A1151" s="8"/>
    </row>
    <row r="1152" spans="1:11">
      <c r="A1152" s="8"/>
    </row>
    <row r="1153" spans="1:1">
      <c r="A1153" s="8"/>
    </row>
    <row r="1154" spans="1:1">
      <c r="A1154" s="8"/>
    </row>
    <row r="1155" spans="1:1">
      <c r="A1155" s="8"/>
    </row>
    <row r="1156" spans="1:1">
      <c r="A1156" s="8"/>
    </row>
    <row r="1157" spans="1:1">
      <c r="A1157" s="8"/>
    </row>
    <row r="1158" spans="1:1">
      <c r="A1158" s="8"/>
    </row>
    <row r="1159" spans="1:1">
      <c r="A1159" s="8"/>
    </row>
    <row r="1160" spans="1:1">
      <c r="A1160" s="8"/>
    </row>
    <row r="1161" spans="1:1">
      <c r="A1161" s="8"/>
    </row>
    <row r="1162" spans="1:1">
      <c r="A1162" s="8"/>
    </row>
    <row r="1163" spans="1:1">
      <c r="A1163" s="8"/>
    </row>
  </sheetData>
  <pageMargins left="0.25" right="0.25" top="0.5" bottom="0.5" header="0.25" footer="0.25"/>
  <pageSetup paperSize="5" scale="8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6</xdr:col>
                    <xdr:colOff>95250</xdr:colOff>
                    <xdr:row>7</xdr:row>
                    <xdr:rowOff>28575</xdr:rowOff>
                  </from>
                  <to>
                    <xdr:col>7</xdr:col>
                    <xdr:colOff>123825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7</xdr:col>
                    <xdr:colOff>295275</xdr:colOff>
                    <xdr:row>7</xdr:row>
                    <xdr:rowOff>57150</xdr:rowOff>
                  </from>
                  <to>
                    <xdr:col>8</xdr:col>
                    <xdr:colOff>314325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K1163"/>
  <sheetViews>
    <sheetView zoomScale="70" zoomScaleNormal="70" workbookViewId="0">
      <pane xSplit="1" ySplit="11" topLeftCell="B12" activePane="bottomRight" state="frozen"/>
      <selection activeCell="D6" sqref="D6"/>
      <selection pane="topRight" activeCell="D6" sqref="D6"/>
      <selection pane="bottomLeft" activeCell="D6" sqref="D6"/>
      <selection pane="bottomRight" activeCell="A6" sqref="A6"/>
    </sheetView>
  </sheetViews>
  <sheetFormatPr defaultColWidth="7.109375" defaultRowHeight="12.75"/>
  <cols>
    <col min="1" max="1" width="18.44140625" style="9" customWidth="1"/>
    <col min="2" max="3" width="14.5546875" style="9" customWidth="1"/>
    <col min="4" max="4" width="16.88671875" style="9" customWidth="1"/>
    <col min="5" max="5" width="14.5546875" style="9" customWidth="1"/>
    <col min="6" max="6" width="16.77734375" style="9" customWidth="1"/>
    <col min="7" max="9" width="14.5546875" style="9" customWidth="1"/>
    <col min="10" max="10" width="12.21875" style="8" customWidth="1"/>
    <col min="11" max="11" width="9.6640625" style="8" customWidth="1"/>
    <col min="12" max="16384" width="7.109375" style="8"/>
  </cols>
  <sheetData>
    <row r="1" spans="1:10" ht="15.75">
      <c r="A1" s="98" t="s">
        <v>93</v>
      </c>
    </row>
    <row r="2" spans="1:10" ht="15.75">
      <c r="A2" s="98" t="s">
        <v>94</v>
      </c>
    </row>
    <row r="3" spans="1:10" ht="15.75">
      <c r="A3" s="98" t="s">
        <v>95</v>
      </c>
    </row>
    <row r="4" spans="1:10" ht="15.75">
      <c r="A4" s="98" t="s">
        <v>96</v>
      </c>
    </row>
    <row r="5" spans="1:10" ht="15.75">
      <c r="A5" s="98" t="s">
        <v>98</v>
      </c>
    </row>
    <row r="6" spans="1:10" ht="15.75">
      <c r="A6" s="98" t="s">
        <v>100</v>
      </c>
    </row>
    <row r="8" spans="1:10" ht="15.75">
      <c r="A8" s="30" t="s">
        <v>28</v>
      </c>
      <c r="B8" s="31"/>
      <c r="C8" s="24"/>
    </row>
    <row r="9" spans="1:10" ht="15.75">
      <c r="A9" s="30"/>
      <c r="B9" s="24"/>
      <c r="C9" s="24"/>
      <c r="D9" s="23" t="s">
        <v>27</v>
      </c>
      <c r="E9" s="22">
        <f>1-0.263</f>
        <v>0.73699999999999999</v>
      </c>
      <c r="F9" s="23" t="s">
        <v>26</v>
      </c>
      <c r="G9" s="22">
        <f>1+0.263</f>
        <v>1.2629999999999999</v>
      </c>
    </row>
    <row r="10" spans="1:10" s="18" customFormat="1" ht="34.9" customHeight="1">
      <c r="B10" s="21" t="s">
        <v>38</v>
      </c>
      <c r="C10" s="19" t="s">
        <v>37</v>
      </c>
      <c r="D10" s="21" t="s">
        <v>36</v>
      </c>
      <c r="E10" s="21" t="s">
        <v>35</v>
      </c>
      <c r="F10" s="21" t="s">
        <v>34</v>
      </c>
      <c r="G10" s="19" t="s">
        <v>33</v>
      </c>
      <c r="H10" s="19" t="s">
        <v>32</v>
      </c>
      <c r="I10" s="21" t="s">
        <v>31</v>
      </c>
      <c r="J10" s="19" t="s">
        <v>30</v>
      </c>
    </row>
    <row r="11" spans="1:10" s="18" customFormat="1" ht="21" customHeight="1">
      <c r="A11" s="20" t="s">
        <v>15</v>
      </c>
      <c r="B11" s="20" t="s">
        <v>14</v>
      </c>
      <c r="C11" s="20" t="s">
        <v>14</v>
      </c>
      <c r="D11" s="20" t="s">
        <v>14</v>
      </c>
      <c r="E11" s="20" t="s">
        <v>14</v>
      </c>
      <c r="F11" s="20" t="s">
        <v>14</v>
      </c>
      <c r="G11" s="20" t="s">
        <v>14</v>
      </c>
      <c r="H11" s="20" t="s">
        <v>14</v>
      </c>
      <c r="I11" s="20" t="s">
        <v>14</v>
      </c>
      <c r="J11" s="20" t="s">
        <v>29</v>
      </c>
    </row>
    <row r="12" spans="1:10" ht="15">
      <c r="A12" s="16">
        <v>41640</v>
      </c>
      <c r="B12" s="10">
        <v>16.436064253071699</v>
      </c>
      <c r="C12" s="10">
        <v>15.500883217915501</v>
      </c>
      <c r="D12" s="10">
        <v>15.493070717915501</v>
      </c>
      <c r="E12" s="28">
        <v>16.288836342915499</v>
      </c>
      <c r="F12" s="27">
        <v>16.279814253071699</v>
      </c>
      <c r="G12" s="10">
        <v>15.4993207179155</v>
      </c>
      <c r="H12" s="10">
        <v>15.4993207179155</v>
      </c>
      <c r="I12" s="10">
        <v>15.500883217915501</v>
      </c>
      <c r="J12" s="29">
        <f>98.77</f>
        <v>98.77</v>
      </c>
    </row>
    <row r="13" spans="1:10" ht="15">
      <c r="A13" s="16">
        <v>41671</v>
      </c>
      <c r="B13" s="10">
        <v>17.464204878071701</v>
      </c>
      <c r="C13" s="10">
        <v>16.574555092915499</v>
      </c>
      <c r="D13" s="10">
        <v>16.566742592915499</v>
      </c>
      <c r="E13" s="28">
        <v>17.316976967915501</v>
      </c>
      <c r="F13" s="27">
        <v>17.307954878071701</v>
      </c>
      <c r="G13" s="10">
        <v>16.572992592915501</v>
      </c>
      <c r="H13" s="10">
        <v>16.572992592915501</v>
      </c>
      <c r="I13" s="10">
        <v>16.574555092915499</v>
      </c>
      <c r="J13" s="29">
        <f>94.99</f>
        <v>94.99</v>
      </c>
    </row>
    <row r="14" spans="1:10" ht="15">
      <c r="A14" s="16">
        <v>41699</v>
      </c>
      <c r="B14" s="10">
        <v>17.5704548780717</v>
      </c>
      <c r="C14" s="10">
        <v>16.4154144679155</v>
      </c>
      <c r="D14" s="10">
        <v>16.4076019679155</v>
      </c>
      <c r="E14" s="28">
        <v>17.4232269679155</v>
      </c>
      <c r="F14" s="27">
        <v>17.4142048780717</v>
      </c>
      <c r="G14" s="10">
        <v>16.413851967915502</v>
      </c>
      <c r="H14" s="10">
        <v>16.413851967915502</v>
      </c>
      <c r="I14" s="10">
        <v>16.4154144679155</v>
      </c>
      <c r="J14" s="29">
        <f>102.92</f>
        <v>102.92</v>
      </c>
    </row>
    <row r="15" spans="1:10" ht="15">
      <c r="A15" s="16">
        <v>41730</v>
      </c>
      <c r="B15" s="10">
        <v>16.605954878071699</v>
      </c>
      <c r="C15" s="10">
        <v>16.107164467915499</v>
      </c>
      <c r="D15" s="10">
        <v>16.099351967915499</v>
      </c>
      <c r="E15" s="28">
        <v>16.458726967915499</v>
      </c>
      <c r="F15" s="27">
        <v>16.449704878071699</v>
      </c>
      <c r="G15" s="10">
        <v>16.105601967915501</v>
      </c>
      <c r="H15" s="10">
        <v>16.105601967915501</v>
      </c>
      <c r="I15" s="10">
        <v>16.107164467915499</v>
      </c>
      <c r="J15" s="29">
        <f>99.43</f>
        <v>99.43</v>
      </c>
    </row>
    <row r="16" spans="1:10" ht="15">
      <c r="A16" s="16">
        <v>41760</v>
      </c>
      <c r="B16" s="10">
        <v>16.977320152065399</v>
      </c>
      <c r="C16" s="10">
        <v>16.478529741909099</v>
      </c>
      <c r="D16" s="10">
        <v>16.470717241909099</v>
      </c>
      <c r="E16" s="28">
        <v>16.830092241909099</v>
      </c>
      <c r="F16" s="27">
        <v>16.821070152065399</v>
      </c>
      <c r="G16" s="10">
        <v>16.476967241909101</v>
      </c>
      <c r="H16" s="10">
        <v>16.476967241909101</v>
      </c>
      <c r="I16" s="10">
        <v>16.478529741909099</v>
      </c>
      <c r="J16" s="29">
        <f>102.13</f>
        <v>102.13</v>
      </c>
    </row>
    <row r="17" spans="1:10" ht="15">
      <c r="A17" s="16">
        <v>41791</v>
      </c>
      <c r="B17" s="10">
        <f>16.0312 * CHOOSE(CONTROL!$C$15, $E$9, 100%, $G$9) + CHOOSE(CONTROL!$C$38, 0.0292, 0)</f>
        <v>16.060399999999998</v>
      </c>
      <c r="C17" s="10">
        <f>15.6016 * CHOOSE(CONTROL!$C$15, $E$9, 100%, $G$9) + CHOOSE(CONTROL!$C$38, 0.0382, 0)</f>
        <v>15.639799999999999</v>
      </c>
      <c r="D17" s="10">
        <f>15.5938 * CHOOSE(CONTROL!$C$15, $E$9, 100%, $G$9) + CHOOSE(CONTROL!$C$38, 0.0382, 0)</f>
        <v>15.632</v>
      </c>
      <c r="E17" s="28">
        <f>15.875 * CHOOSE(CONTROL!$C$15, $E$9, 100%, $G$9) + CHOOSE(CONTROL!$C$38, 0.0382, 0)</f>
        <v>15.9132</v>
      </c>
      <c r="F17" s="27">
        <f>15.875 * CHOOSE(CONTROL!$C$15, $E$9, 100%, $G$9) + CHOOSE(CONTROL!$C$38, 0.0292, 0)</f>
        <v>15.904199999999999</v>
      </c>
      <c r="G17" s="10">
        <f>15.6 * CHOOSE(CONTROL!$C$15, $E$9, 100%, $G$9) + CHOOSE(CONTROL!$C$38, 0.0382, 0)</f>
        <v>15.638199999999999</v>
      </c>
      <c r="H17" s="10">
        <f>15.6 * CHOOSE(CONTROL!$C$15, $E$9, 100%, $G$9) + CHOOSE(CONTROL!$C$38, 0.0382, 0)</f>
        <v>15.638199999999999</v>
      </c>
      <c r="I17" s="10">
        <f>15.6016 * CHOOSE(CONTROL!$C$15, $E$9, 100%, $G$9) + CHOOSE(CONTROL!$C$38, 0.0382, 0)</f>
        <v>15.639799999999999</v>
      </c>
      <c r="J17" s="29">
        <f>99.48</f>
        <v>99.48</v>
      </c>
    </row>
    <row r="18" spans="1:10" ht="15">
      <c r="A18" s="16">
        <v>41821</v>
      </c>
      <c r="B18" s="10">
        <f>15.7188 * CHOOSE(CONTROL!$C$15, $E$9, 100%, $G$9) + CHOOSE(CONTROL!$C$38, 0.0292, 0)</f>
        <v>15.747999999999999</v>
      </c>
      <c r="C18" s="10">
        <f>15.3281 * CHOOSE(CONTROL!$C$15, $E$9, 100%, $G$9) + CHOOSE(CONTROL!$C$38, 0.0382, 0)</f>
        <v>15.366299999999999</v>
      </c>
      <c r="D18" s="10">
        <f>15.3203 * CHOOSE(CONTROL!$C$15, $E$9, 100%, $G$9) + CHOOSE(CONTROL!$C$38, 0.0382, 0)</f>
        <v>15.358499999999999</v>
      </c>
      <c r="E18" s="28">
        <f>15.5625 * CHOOSE(CONTROL!$C$15, $E$9, 100%, $G$9) + CHOOSE(CONTROL!$C$38, 0.0382, 0)</f>
        <v>15.6007</v>
      </c>
      <c r="F18" s="27">
        <f>15.5625 * CHOOSE(CONTROL!$C$15, $E$9, 100%, $G$9) + CHOOSE(CONTROL!$C$38, 0.0292, 0)</f>
        <v>15.591699999999999</v>
      </c>
      <c r="G18" s="10">
        <f>15.3266 * CHOOSE(CONTROL!$C$15, $E$9, 100%, $G$9) + CHOOSE(CONTROL!$C$38, 0.0382, 0)</f>
        <v>15.364799999999999</v>
      </c>
      <c r="H18" s="10">
        <f>15.3266 * CHOOSE(CONTROL!$C$15, $E$9, 100%, $G$9) + CHOOSE(CONTROL!$C$38, 0.0382, 0)</f>
        <v>15.364799999999999</v>
      </c>
      <c r="I18" s="10">
        <f>15.3281 * CHOOSE(CONTROL!$C$15, $E$9, 100%, $G$9) + CHOOSE(CONTROL!$C$38, 0.0382, 0)</f>
        <v>15.366299999999999</v>
      </c>
      <c r="J18" s="29">
        <f>98.73</f>
        <v>98.73</v>
      </c>
    </row>
    <row r="19" spans="1:10" ht="15">
      <c r="A19" s="16">
        <v>41852</v>
      </c>
      <c r="B19" s="10">
        <f>15.5859 * CHOOSE(CONTROL!$C$15, $E$9, 100%, $G$9) + CHOOSE(CONTROL!$C$38, 0.0292, 0)</f>
        <v>15.6151</v>
      </c>
      <c r="C19" s="10">
        <f>15.1562 * CHOOSE(CONTROL!$C$15, $E$9, 100%, $G$9) + CHOOSE(CONTROL!$C$38, 0.0382, 0)</f>
        <v>15.1944</v>
      </c>
      <c r="D19" s="10">
        <f>15.1484 * CHOOSE(CONTROL!$C$15, $E$9, 100%, $G$9) + CHOOSE(CONTROL!$C$38, 0.0382, 0)</f>
        <v>15.1866</v>
      </c>
      <c r="E19" s="28">
        <f>15.4297 * CHOOSE(CONTROL!$C$15, $E$9, 100%, $G$9) + CHOOSE(CONTROL!$C$38, 0.0382, 0)</f>
        <v>15.4679</v>
      </c>
      <c r="F19" s="27">
        <f>15.4297 * CHOOSE(CONTROL!$C$15, $E$9, 100%, $G$9) + CHOOSE(CONTROL!$C$38, 0.0292, 0)</f>
        <v>15.4589</v>
      </c>
      <c r="G19" s="10">
        <f>15.1547 * CHOOSE(CONTROL!$C$15, $E$9, 100%, $G$9) + CHOOSE(CONTROL!$C$38, 0.0382, 0)</f>
        <v>15.1929</v>
      </c>
      <c r="H19" s="10">
        <f>15.1547 * CHOOSE(CONTROL!$C$15, $E$9, 100%, $G$9) + CHOOSE(CONTROL!$C$38, 0.0382, 0)</f>
        <v>15.1929</v>
      </c>
      <c r="I19" s="10">
        <f>15.1562 * CHOOSE(CONTROL!$C$15, $E$9, 100%, $G$9) + CHOOSE(CONTROL!$C$38, 0.0382, 0)</f>
        <v>15.1944</v>
      </c>
      <c r="J19" s="29">
        <f>97.82</f>
        <v>97.82</v>
      </c>
    </row>
    <row r="20" spans="1:10" ht="15">
      <c r="A20" s="16">
        <v>41883</v>
      </c>
      <c r="B20" s="10">
        <f>15.4719 * CHOOSE(CONTROL!$C$15, $E$9, 100%, $G$9) + CHOOSE(CONTROL!$C$38, 0.0292, 0)</f>
        <v>15.501099999999999</v>
      </c>
      <c r="C20" s="10">
        <f>15.0406 * CHOOSE(CONTROL!$C$15, $E$9, 100%, $G$9) + CHOOSE(CONTROL!$C$38, 0.0382, 0)</f>
        <v>15.078799999999999</v>
      </c>
      <c r="D20" s="10">
        <f>15.0328 * CHOOSE(CONTROL!$C$15, $E$9, 100%, $G$9) + CHOOSE(CONTROL!$C$38, 0.0382, 0)</f>
        <v>15.071</v>
      </c>
      <c r="E20" s="28">
        <f>15.3156 * CHOOSE(CONTROL!$C$15, $E$9, 100%, $G$9) + CHOOSE(CONTROL!$C$38, 0.0382, 0)</f>
        <v>15.3538</v>
      </c>
      <c r="F20" s="27">
        <f>15.3156 * CHOOSE(CONTROL!$C$15, $E$9, 100%, $G$9) + CHOOSE(CONTROL!$C$38, 0.0292, 0)</f>
        <v>15.344799999999999</v>
      </c>
      <c r="G20" s="10">
        <f>15.0391 * CHOOSE(CONTROL!$C$15, $E$9, 100%, $G$9) + CHOOSE(CONTROL!$C$38, 0.0382, 0)</f>
        <v>15.077299999999999</v>
      </c>
      <c r="H20" s="10">
        <f>15.0391 * CHOOSE(CONTROL!$C$15, $E$9, 100%, $G$9) + CHOOSE(CONTROL!$C$38, 0.0382, 0)</f>
        <v>15.077299999999999</v>
      </c>
      <c r="I20" s="10">
        <f>15.0406 * CHOOSE(CONTROL!$C$15, $E$9, 100%, $G$9) + CHOOSE(CONTROL!$C$38, 0.0382, 0)</f>
        <v>15.078799999999999</v>
      </c>
      <c r="J20" s="29">
        <f>96.91</f>
        <v>96.91</v>
      </c>
    </row>
    <row r="21" spans="1:10" ht="15">
      <c r="A21" s="16">
        <v>41913</v>
      </c>
      <c r="B21" s="10">
        <f>15.2344 * CHOOSE(CONTROL!$C$15, $E$9, 100%, $G$9) + CHOOSE(CONTROL!$C$38, 0.0266, 0)</f>
        <v>15.261000000000001</v>
      </c>
      <c r="C21" s="10">
        <f>14.8047 * CHOOSE(CONTROL!$C$15, $E$9, 100%, $G$9) + CHOOSE(CONTROL!$C$38, 0.0357, 0)</f>
        <v>14.840400000000001</v>
      </c>
      <c r="D21" s="10">
        <f>14.7969 * CHOOSE(CONTROL!$C$15, $E$9, 100%, $G$9) + CHOOSE(CONTROL!$C$38, 0.0357, 0)</f>
        <v>14.832600000000001</v>
      </c>
      <c r="E21" s="28">
        <f>15.0781 * CHOOSE(CONTROL!$C$15, $E$9, 100%, $G$9) + CHOOSE(CONTROL!$C$38, 0.0357, 0)</f>
        <v>15.113799999999999</v>
      </c>
      <c r="F21" s="27">
        <f>15.0781 * CHOOSE(CONTROL!$C$15, $E$9, 100%, $G$9) + CHOOSE(CONTROL!$C$38, 0.0266, 0)</f>
        <v>15.104699999999999</v>
      </c>
      <c r="G21" s="10">
        <f>14.8031 * CHOOSE(CONTROL!$C$15, $E$9, 100%, $G$9) + CHOOSE(CONTROL!$C$38, 0.0357, 0)</f>
        <v>14.838800000000001</v>
      </c>
      <c r="H21" s="10">
        <f>14.8031 * CHOOSE(CONTROL!$C$15, $E$9, 100%, $G$9) + CHOOSE(CONTROL!$C$38, 0.0357, 0)</f>
        <v>14.838800000000001</v>
      </c>
      <c r="I21" s="10">
        <f>14.8047 * CHOOSE(CONTROL!$C$15, $E$9, 100%, $G$9) + CHOOSE(CONTROL!$C$38, 0.0357, 0)</f>
        <v>14.840400000000001</v>
      </c>
      <c r="J21" s="29">
        <f>96.04</f>
        <v>96.04</v>
      </c>
    </row>
    <row r="22" spans="1:10" ht="15">
      <c r="A22" s="16">
        <v>41944</v>
      </c>
      <c r="B22" s="10">
        <f>15.2344 * CHOOSE(CONTROL!$C$15, $E$9, 100%, $G$9) + CHOOSE(CONTROL!$C$38, 0.0266, 0)</f>
        <v>15.261000000000001</v>
      </c>
      <c r="C22" s="10">
        <f>14.8047 * CHOOSE(CONTROL!$C$15, $E$9, 100%, $G$9) + CHOOSE(CONTROL!$C$38, 0.0357, 0)</f>
        <v>14.840400000000001</v>
      </c>
      <c r="D22" s="10">
        <f>14.7969 * CHOOSE(CONTROL!$C$15, $E$9, 100%, $G$9) + CHOOSE(CONTROL!$C$38, 0.0357, 0)</f>
        <v>14.832600000000001</v>
      </c>
      <c r="E22" s="28">
        <f>15.0781 * CHOOSE(CONTROL!$C$15, $E$9, 100%, $G$9) + CHOOSE(CONTROL!$C$38, 0.0357, 0)</f>
        <v>15.113799999999999</v>
      </c>
      <c r="F22" s="27">
        <f>15.0781 * CHOOSE(CONTROL!$C$15, $E$9, 100%, $G$9) + CHOOSE(CONTROL!$C$38, 0.0266, 0)</f>
        <v>15.104699999999999</v>
      </c>
      <c r="G22" s="10">
        <f>14.8031 * CHOOSE(CONTROL!$C$15, $E$9, 100%, $G$9) + CHOOSE(CONTROL!$C$38, 0.0357, 0)</f>
        <v>14.838800000000001</v>
      </c>
      <c r="H22" s="10">
        <f>14.8031 * CHOOSE(CONTROL!$C$15, $E$9, 100%, $G$9) + CHOOSE(CONTROL!$C$38, 0.0357, 0)</f>
        <v>14.838800000000001</v>
      </c>
      <c r="I22" s="10">
        <f>14.8047 * CHOOSE(CONTROL!$C$15, $E$9, 100%, $G$9) + CHOOSE(CONTROL!$C$38, 0.0357, 0)</f>
        <v>14.840400000000001</v>
      </c>
      <c r="J22" s="29">
        <f>95.2</f>
        <v>95.2</v>
      </c>
    </row>
    <row r="23" spans="1:10" ht="15">
      <c r="A23" s="16">
        <v>41974</v>
      </c>
      <c r="B23" s="10">
        <f>15.2344 * CHOOSE(CONTROL!$C$15, $E$9, 100%, $G$9) + CHOOSE(CONTROL!$C$38, 0.0266, 0)</f>
        <v>15.261000000000001</v>
      </c>
      <c r="C23" s="10">
        <f>14.8047 * CHOOSE(CONTROL!$C$15, $E$9, 100%, $G$9) + CHOOSE(CONTROL!$C$38, 0.0357, 0)</f>
        <v>14.840400000000001</v>
      </c>
      <c r="D23" s="10">
        <f>14.7969 * CHOOSE(CONTROL!$C$15, $E$9, 100%, $G$9) + CHOOSE(CONTROL!$C$38, 0.0357, 0)</f>
        <v>14.832600000000001</v>
      </c>
      <c r="E23" s="28">
        <f>15.0781 * CHOOSE(CONTROL!$C$15, $E$9, 100%, $G$9) + CHOOSE(CONTROL!$C$38, 0.0357, 0)</f>
        <v>15.113799999999999</v>
      </c>
      <c r="F23" s="27">
        <f>15.0781 * CHOOSE(CONTROL!$C$15, $E$9, 100%, $G$9) + CHOOSE(CONTROL!$C$38, 0.0266, 0)</f>
        <v>15.104699999999999</v>
      </c>
      <c r="G23" s="10">
        <f>14.8031 * CHOOSE(CONTROL!$C$15, $E$9, 100%, $G$9) + CHOOSE(CONTROL!$C$38, 0.0357, 0)</f>
        <v>14.838800000000001</v>
      </c>
      <c r="H23" s="10">
        <f>14.8031 * CHOOSE(CONTROL!$C$15, $E$9, 100%, $G$9) + CHOOSE(CONTROL!$C$38, 0.0357, 0)</f>
        <v>14.838800000000001</v>
      </c>
      <c r="I23" s="10">
        <f>14.8047 * CHOOSE(CONTROL!$C$15, $E$9, 100%, $G$9) + CHOOSE(CONTROL!$C$38, 0.0357, 0)</f>
        <v>14.840400000000001</v>
      </c>
      <c r="J23" s="29">
        <f>94.44</f>
        <v>94.44</v>
      </c>
    </row>
    <row r="24" spans="1:10" ht="15">
      <c r="A24" s="16">
        <v>42005</v>
      </c>
      <c r="B24" s="10">
        <f>15.1016 * CHOOSE(CONTROL!$C$15, $E$9, 100%, $G$9) + CHOOSE(CONTROL!$C$38, 0.0266, 0)</f>
        <v>15.1282</v>
      </c>
      <c r="C24" s="10">
        <f>14.6328 * CHOOSE(CONTROL!$C$15, $E$9, 100%, $G$9) + CHOOSE(CONTROL!$C$38, 0.0357, 0)</f>
        <v>14.6685</v>
      </c>
      <c r="D24" s="10">
        <f>14.625 * CHOOSE(CONTROL!$C$15, $E$9, 100%, $G$9) + CHOOSE(CONTROL!$C$38, 0.0357, 0)</f>
        <v>14.6607</v>
      </c>
      <c r="E24" s="28">
        <f>14.9453 * CHOOSE(CONTROL!$C$15, $E$9, 100%, $G$9) + CHOOSE(CONTROL!$C$38, 0.0357, 0)</f>
        <v>14.981</v>
      </c>
      <c r="F24" s="27">
        <f>14.9453 * CHOOSE(CONTROL!$C$15, $E$9, 100%, $G$9) + CHOOSE(CONTROL!$C$38, 0.0266, 0)</f>
        <v>14.9719</v>
      </c>
      <c r="G24" s="10">
        <f>14.6312 * CHOOSE(CONTROL!$C$15, $E$9, 100%, $G$9) + CHOOSE(CONTROL!$C$38, 0.0357, 0)</f>
        <v>14.6669</v>
      </c>
      <c r="H24" s="10">
        <f>14.6312 * CHOOSE(CONTROL!$C$15, $E$9, 100%, $G$9) + CHOOSE(CONTROL!$C$38, 0.0357, 0)</f>
        <v>14.6669</v>
      </c>
      <c r="I24" s="10">
        <f>14.6328 * CHOOSE(CONTROL!$C$15, $E$9, 100%, $G$9) + CHOOSE(CONTROL!$C$38, 0.0357, 0)</f>
        <v>14.6685</v>
      </c>
      <c r="J24" s="29">
        <f>93.67</f>
        <v>93.67</v>
      </c>
    </row>
    <row r="25" spans="1:10" ht="15">
      <c r="A25" s="16">
        <v>42036</v>
      </c>
      <c r="B25" s="10">
        <f>15.1016 * CHOOSE(CONTROL!$C$15, $E$9, 100%, $G$9) + CHOOSE(CONTROL!$C$38, 0.0266, 0)</f>
        <v>15.1282</v>
      </c>
      <c r="C25" s="10">
        <f>14.6328 * CHOOSE(CONTROL!$C$15, $E$9, 100%, $G$9) + CHOOSE(CONTROL!$C$38, 0.0357, 0)</f>
        <v>14.6685</v>
      </c>
      <c r="D25" s="10">
        <f>14.625 * CHOOSE(CONTROL!$C$15, $E$9, 100%, $G$9) + CHOOSE(CONTROL!$C$38, 0.0357, 0)</f>
        <v>14.6607</v>
      </c>
      <c r="E25" s="28">
        <f>14.9453 * CHOOSE(CONTROL!$C$15, $E$9, 100%, $G$9) + CHOOSE(CONTROL!$C$38, 0.0357, 0)</f>
        <v>14.981</v>
      </c>
      <c r="F25" s="27">
        <f>14.9453 * CHOOSE(CONTROL!$C$15, $E$9, 100%, $G$9) + CHOOSE(CONTROL!$C$38, 0.0266, 0)</f>
        <v>14.9719</v>
      </c>
      <c r="G25" s="10">
        <f>14.6312 * CHOOSE(CONTROL!$C$15, $E$9, 100%, $G$9) + CHOOSE(CONTROL!$C$38, 0.0357, 0)</f>
        <v>14.6669</v>
      </c>
      <c r="H25" s="10">
        <f>14.6312 * CHOOSE(CONTROL!$C$15, $E$9, 100%, $G$9) + CHOOSE(CONTROL!$C$38, 0.0357, 0)</f>
        <v>14.6669</v>
      </c>
      <c r="I25" s="10">
        <f>14.6328 * CHOOSE(CONTROL!$C$15, $E$9, 100%, $G$9) + CHOOSE(CONTROL!$C$38, 0.0357, 0)</f>
        <v>14.6685</v>
      </c>
      <c r="J25" s="29">
        <f>92.93</f>
        <v>92.93</v>
      </c>
    </row>
    <row r="26" spans="1:10" ht="15">
      <c r="A26" s="16">
        <v>42064</v>
      </c>
      <c r="B26" s="10">
        <f>15.1016 * CHOOSE(CONTROL!$C$15, $E$9, 100%, $G$9) + CHOOSE(CONTROL!$C$38, 0.0266, 0)</f>
        <v>15.1282</v>
      </c>
      <c r="C26" s="10">
        <f>14.6328 * CHOOSE(CONTROL!$C$15, $E$9, 100%, $G$9) + CHOOSE(CONTROL!$C$38, 0.0357, 0)</f>
        <v>14.6685</v>
      </c>
      <c r="D26" s="10">
        <f>14.625 * CHOOSE(CONTROL!$C$15, $E$9, 100%, $G$9) + CHOOSE(CONTROL!$C$38, 0.0357, 0)</f>
        <v>14.6607</v>
      </c>
      <c r="E26" s="28">
        <f>14.9453 * CHOOSE(CONTROL!$C$15, $E$9, 100%, $G$9) + CHOOSE(CONTROL!$C$38, 0.0357, 0)</f>
        <v>14.981</v>
      </c>
      <c r="F26" s="27">
        <f>14.9453 * CHOOSE(CONTROL!$C$15, $E$9, 100%, $G$9) + CHOOSE(CONTROL!$C$38, 0.0266, 0)</f>
        <v>14.9719</v>
      </c>
      <c r="G26" s="10">
        <f>14.6312 * CHOOSE(CONTROL!$C$15, $E$9, 100%, $G$9) + CHOOSE(CONTROL!$C$38, 0.0357, 0)</f>
        <v>14.6669</v>
      </c>
      <c r="H26" s="10">
        <f>14.6312 * CHOOSE(CONTROL!$C$15, $E$9, 100%, $G$9) + CHOOSE(CONTROL!$C$38, 0.0357, 0)</f>
        <v>14.6669</v>
      </c>
      <c r="I26" s="10">
        <f>14.6328 * CHOOSE(CONTROL!$C$15, $E$9, 100%, $G$9) + CHOOSE(CONTROL!$C$38, 0.0357, 0)</f>
        <v>14.6685</v>
      </c>
      <c r="J26" s="29">
        <f>92.27</f>
        <v>92.27</v>
      </c>
    </row>
    <row r="27" spans="1:10" ht="15">
      <c r="A27" s="16">
        <v>42095</v>
      </c>
      <c r="B27" s="10">
        <f>14.8484 * CHOOSE(CONTROL!$C$15, $E$9, 100%, $G$9) + CHOOSE(CONTROL!$C$38, 0.0266, 0)</f>
        <v>14.875</v>
      </c>
      <c r="C27" s="10">
        <f>14.4922 * CHOOSE(CONTROL!$C$15, $E$9, 100%, $G$9) + CHOOSE(CONTROL!$C$38, 0.0357, 0)</f>
        <v>14.527900000000001</v>
      </c>
      <c r="D27" s="10">
        <f>14.4844 * CHOOSE(CONTROL!$C$15, $E$9, 100%, $G$9) + CHOOSE(CONTROL!$C$38, 0.0357, 0)</f>
        <v>14.520100000000001</v>
      </c>
      <c r="E27" s="28">
        <f>14.6922 * CHOOSE(CONTROL!$C$15, $E$9, 100%, $G$9) + CHOOSE(CONTROL!$C$38, 0.0357, 0)</f>
        <v>14.7279</v>
      </c>
      <c r="F27" s="27">
        <f>14.6922 * CHOOSE(CONTROL!$C$15, $E$9, 100%, $G$9) + CHOOSE(CONTROL!$C$38, 0.0266, 0)</f>
        <v>14.7188</v>
      </c>
      <c r="G27" s="10">
        <f>14.4906 * CHOOSE(CONTROL!$C$15, $E$9, 100%, $G$9) + CHOOSE(CONTROL!$C$38, 0.0357, 0)</f>
        <v>14.526300000000001</v>
      </c>
      <c r="H27" s="10">
        <f>14.4906 * CHOOSE(CONTROL!$C$15, $E$9, 100%, $G$9) + CHOOSE(CONTROL!$C$38, 0.0357, 0)</f>
        <v>14.526300000000001</v>
      </c>
      <c r="I27" s="10">
        <f>14.4922 * CHOOSE(CONTROL!$C$15, $E$9, 100%, $G$9) + CHOOSE(CONTROL!$C$38, 0.0357, 0)</f>
        <v>14.527900000000001</v>
      </c>
      <c r="J27" s="29">
        <f>91.61</f>
        <v>91.61</v>
      </c>
    </row>
    <row r="28" spans="1:10" ht="15">
      <c r="A28" s="16">
        <v>42125</v>
      </c>
      <c r="B28" s="10">
        <f>14.8484 * CHOOSE(CONTROL!$C$15, $E$9, 100%, $G$9) + CHOOSE(CONTROL!$C$38, 0.0266, 0)</f>
        <v>14.875</v>
      </c>
      <c r="C28" s="10">
        <f>14.4922 * CHOOSE(CONTROL!$C$15, $E$9, 100%, $G$9) + CHOOSE(CONTROL!$C$38, 0.0357, 0)</f>
        <v>14.527900000000001</v>
      </c>
      <c r="D28" s="10">
        <f>14.4844 * CHOOSE(CONTROL!$C$15, $E$9, 100%, $G$9) + CHOOSE(CONTROL!$C$38, 0.0357, 0)</f>
        <v>14.520100000000001</v>
      </c>
      <c r="E28" s="28">
        <f>14.6922 * CHOOSE(CONTROL!$C$15, $E$9, 100%, $G$9) + CHOOSE(CONTROL!$C$38, 0.0357, 0)</f>
        <v>14.7279</v>
      </c>
      <c r="F28" s="27">
        <f>14.6922 * CHOOSE(CONTROL!$C$15, $E$9, 100%, $G$9) + CHOOSE(CONTROL!$C$38, 0.0266, 0)</f>
        <v>14.7188</v>
      </c>
      <c r="G28" s="10">
        <f>14.4906 * CHOOSE(CONTROL!$C$15, $E$9, 100%, $G$9) + CHOOSE(CONTROL!$C$38, 0.0357, 0)</f>
        <v>14.526300000000001</v>
      </c>
      <c r="H28" s="10">
        <f>14.4906 * CHOOSE(CONTROL!$C$15, $E$9, 100%, $G$9) + CHOOSE(CONTROL!$C$38, 0.0357, 0)</f>
        <v>14.526300000000001</v>
      </c>
      <c r="I28" s="10">
        <f>14.4922 * CHOOSE(CONTROL!$C$15, $E$9, 100%, $G$9) + CHOOSE(CONTROL!$C$38, 0.0357, 0)</f>
        <v>14.527900000000001</v>
      </c>
      <c r="J28" s="29">
        <f>91.02</f>
        <v>91.02</v>
      </c>
    </row>
    <row r="29" spans="1:10" ht="15">
      <c r="A29" s="16">
        <v>42156</v>
      </c>
      <c r="B29" s="10">
        <f>14.8484 * CHOOSE(CONTROL!$C$15, $E$9, 100%, $G$9) + CHOOSE(CONTROL!$C$38, 0.0266, 0)</f>
        <v>14.875</v>
      </c>
      <c r="C29" s="10">
        <f>14.4922 * CHOOSE(CONTROL!$C$15, $E$9, 100%, $G$9) + CHOOSE(CONTROL!$C$38, 0.0357, 0)</f>
        <v>14.527900000000001</v>
      </c>
      <c r="D29" s="10">
        <f>14.4844 * CHOOSE(CONTROL!$C$15, $E$9, 100%, $G$9) + CHOOSE(CONTROL!$C$38, 0.0357, 0)</f>
        <v>14.520100000000001</v>
      </c>
      <c r="E29" s="28">
        <f>14.6922 * CHOOSE(CONTROL!$C$15, $E$9, 100%, $G$9) + CHOOSE(CONTROL!$C$38, 0.0357, 0)</f>
        <v>14.7279</v>
      </c>
      <c r="F29" s="27">
        <f>14.6922 * CHOOSE(CONTROL!$C$15, $E$9, 100%, $G$9) + CHOOSE(CONTROL!$C$38, 0.0266, 0)</f>
        <v>14.7188</v>
      </c>
      <c r="G29" s="10">
        <f>14.4906 * CHOOSE(CONTROL!$C$15, $E$9, 100%, $G$9) + CHOOSE(CONTROL!$C$38, 0.0357, 0)</f>
        <v>14.526300000000001</v>
      </c>
      <c r="H29" s="10">
        <f>14.4906 * CHOOSE(CONTROL!$C$15, $E$9, 100%, $G$9) + CHOOSE(CONTROL!$C$38, 0.0357, 0)</f>
        <v>14.526300000000001</v>
      </c>
      <c r="I29" s="10">
        <f>14.4922 * CHOOSE(CONTROL!$C$15, $E$9, 100%, $G$9) + CHOOSE(CONTROL!$C$38, 0.0357, 0)</f>
        <v>14.527900000000001</v>
      </c>
      <c r="J29" s="29">
        <f>90.48</f>
        <v>90.48</v>
      </c>
    </row>
    <row r="30" spans="1:10" ht="15">
      <c r="A30" s="16">
        <v>42186</v>
      </c>
      <c r="B30" s="10">
        <f>14.8484 * CHOOSE(CONTROL!$C$15, $E$9, 100%, $G$9) + CHOOSE(CONTROL!$C$38, 0.0266, 0)</f>
        <v>14.875</v>
      </c>
      <c r="C30" s="10">
        <f>14.25 * CHOOSE(CONTROL!$C$15, $E$9, 100%, $G$9) + CHOOSE(CONTROL!$C$38, 0.0357, 0)</f>
        <v>14.2857</v>
      </c>
      <c r="D30" s="10">
        <f>14.2422 * CHOOSE(CONTROL!$C$15, $E$9, 100%, $G$9) + CHOOSE(CONTROL!$C$38, 0.0357, 0)</f>
        <v>14.277900000000001</v>
      </c>
      <c r="E30" s="28">
        <f>14.6922 * CHOOSE(CONTROL!$C$15, $E$9, 100%, $G$9) + CHOOSE(CONTROL!$C$38, 0.0357, 0)</f>
        <v>14.7279</v>
      </c>
      <c r="F30" s="27">
        <f>14.6922 * CHOOSE(CONTROL!$C$15, $E$9, 100%, $G$9) + CHOOSE(CONTROL!$C$38, 0.0266, 0)</f>
        <v>14.7188</v>
      </c>
      <c r="G30" s="10">
        <f>14.2484 * CHOOSE(CONTROL!$C$15, $E$9, 100%, $G$9) + CHOOSE(CONTROL!$C$38, 0.0357, 0)</f>
        <v>14.2841</v>
      </c>
      <c r="H30" s="10">
        <f>14.2484 * CHOOSE(CONTROL!$C$15, $E$9, 100%, $G$9) + CHOOSE(CONTROL!$C$38, 0.0357, 0)</f>
        <v>14.2841</v>
      </c>
      <c r="I30" s="10">
        <f>14.25 * CHOOSE(CONTROL!$C$15, $E$9, 100%, $G$9) + CHOOSE(CONTROL!$C$38, 0.0357, 0)</f>
        <v>14.2857</v>
      </c>
      <c r="J30" s="29">
        <f>89.84</f>
        <v>89.84</v>
      </c>
    </row>
    <row r="31" spans="1:10" ht="15">
      <c r="A31" s="16">
        <v>42217</v>
      </c>
      <c r="B31" s="10">
        <f>14.8484 * CHOOSE(CONTROL!$C$15, $E$9, 100%, $G$9) + CHOOSE(CONTROL!$C$38, 0.0266, 0)</f>
        <v>14.875</v>
      </c>
      <c r="C31" s="10">
        <f>14.25 * CHOOSE(CONTROL!$C$15, $E$9, 100%, $G$9) + CHOOSE(CONTROL!$C$38, 0.0357, 0)</f>
        <v>14.2857</v>
      </c>
      <c r="D31" s="10">
        <f>14.2422 * CHOOSE(CONTROL!$C$15, $E$9, 100%, $G$9) + CHOOSE(CONTROL!$C$38, 0.0357, 0)</f>
        <v>14.277900000000001</v>
      </c>
      <c r="E31" s="28">
        <f>14.6922 * CHOOSE(CONTROL!$C$15, $E$9, 100%, $G$9) + CHOOSE(CONTROL!$C$38, 0.0357, 0)</f>
        <v>14.7279</v>
      </c>
      <c r="F31" s="27">
        <f>14.6922 * CHOOSE(CONTROL!$C$15, $E$9, 100%, $G$9) + CHOOSE(CONTROL!$C$38, 0.0266, 0)</f>
        <v>14.7188</v>
      </c>
      <c r="G31" s="10">
        <f>14.2484 * CHOOSE(CONTROL!$C$15, $E$9, 100%, $G$9) + CHOOSE(CONTROL!$C$38, 0.0357, 0)</f>
        <v>14.2841</v>
      </c>
      <c r="H31" s="10">
        <f>14.2484 * CHOOSE(CONTROL!$C$15, $E$9, 100%, $G$9) + CHOOSE(CONTROL!$C$38, 0.0357, 0)</f>
        <v>14.2841</v>
      </c>
      <c r="I31" s="10">
        <f>14.25 * CHOOSE(CONTROL!$C$15, $E$9, 100%, $G$9) + CHOOSE(CONTROL!$C$38, 0.0357, 0)</f>
        <v>14.2857</v>
      </c>
      <c r="J31" s="29">
        <f>89.24</f>
        <v>89.24</v>
      </c>
    </row>
    <row r="32" spans="1:10" ht="15">
      <c r="A32" s="16">
        <v>42248</v>
      </c>
      <c r="B32" s="10">
        <f>14.8484 * CHOOSE(CONTROL!$C$15, $E$9, 100%, $G$9) + CHOOSE(CONTROL!$C$38, 0.0266, 0)</f>
        <v>14.875</v>
      </c>
      <c r="C32" s="10">
        <f>14.25 * CHOOSE(CONTROL!$C$15, $E$9, 100%, $G$9) + CHOOSE(CONTROL!$C$38, 0.0357, 0)</f>
        <v>14.2857</v>
      </c>
      <c r="D32" s="10">
        <f>14.2422 * CHOOSE(CONTROL!$C$15, $E$9, 100%, $G$9) + CHOOSE(CONTROL!$C$38, 0.0357, 0)</f>
        <v>14.277900000000001</v>
      </c>
      <c r="E32" s="28">
        <f>14.6922 * CHOOSE(CONTROL!$C$15, $E$9, 100%, $G$9) + CHOOSE(CONTROL!$C$38, 0.0357, 0)</f>
        <v>14.7279</v>
      </c>
      <c r="F32" s="27">
        <f>14.6922 * CHOOSE(CONTROL!$C$15, $E$9, 100%, $G$9) + CHOOSE(CONTROL!$C$38, 0.0266, 0)</f>
        <v>14.7188</v>
      </c>
      <c r="G32" s="10">
        <f>14.2484 * CHOOSE(CONTROL!$C$15, $E$9, 100%, $G$9) + CHOOSE(CONTROL!$C$38, 0.0357, 0)</f>
        <v>14.2841</v>
      </c>
      <c r="H32" s="10">
        <f>14.2484 * CHOOSE(CONTROL!$C$15, $E$9, 100%, $G$9) + CHOOSE(CONTROL!$C$38, 0.0357, 0)</f>
        <v>14.2841</v>
      </c>
      <c r="I32" s="10">
        <f>14.25 * CHOOSE(CONTROL!$C$15, $E$9, 100%, $G$9) + CHOOSE(CONTROL!$C$38, 0.0357, 0)</f>
        <v>14.2857</v>
      </c>
      <c r="J32" s="29">
        <f>88.74</f>
        <v>88.74</v>
      </c>
    </row>
    <row r="33" spans="1:10" ht="15">
      <c r="A33" s="16">
        <v>42278</v>
      </c>
      <c r="B33" s="10">
        <f>14.8484 * CHOOSE(CONTROL!$C$15, $E$9, 100%, $G$9) + CHOOSE(CONTROL!$C$38, 0.0266, 0)</f>
        <v>14.875</v>
      </c>
      <c r="C33" s="10">
        <f>14.25 * CHOOSE(CONTROL!$C$15, $E$9, 100%, $G$9) + CHOOSE(CONTROL!$C$38, 0.0357, 0)</f>
        <v>14.2857</v>
      </c>
      <c r="D33" s="10">
        <f>14.2422 * CHOOSE(CONTROL!$C$15, $E$9, 100%, $G$9) + CHOOSE(CONTROL!$C$38, 0.0357, 0)</f>
        <v>14.277900000000001</v>
      </c>
      <c r="E33" s="28">
        <f>14.6922 * CHOOSE(CONTROL!$C$15, $E$9, 100%, $G$9) + CHOOSE(CONTROL!$C$38, 0.0357, 0)</f>
        <v>14.7279</v>
      </c>
      <c r="F33" s="27">
        <f>14.6922 * CHOOSE(CONTROL!$C$15, $E$9, 100%, $G$9) + CHOOSE(CONTROL!$C$38, 0.0266, 0)</f>
        <v>14.7188</v>
      </c>
      <c r="G33" s="10">
        <f>14.2484 * CHOOSE(CONTROL!$C$15, $E$9, 100%, $G$9) + CHOOSE(CONTROL!$C$38, 0.0357, 0)</f>
        <v>14.2841</v>
      </c>
      <c r="H33" s="10">
        <f>14.2484 * CHOOSE(CONTROL!$C$15, $E$9, 100%, $G$9) + CHOOSE(CONTROL!$C$38, 0.0357, 0)</f>
        <v>14.2841</v>
      </c>
      <c r="I33" s="10">
        <f>14.25 * CHOOSE(CONTROL!$C$15, $E$9, 100%, $G$9) + CHOOSE(CONTROL!$C$38, 0.0357, 0)</f>
        <v>14.2857</v>
      </c>
      <c r="J33" s="29">
        <f>88.27</f>
        <v>88.27</v>
      </c>
    </row>
    <row r="34" spans="1:10" ht="15">
      <c r="A34" s="16">
        <v>42309</v>
      </c>
      <c r="B34" s="10">
        <f>14.8484 * CHOOSE(CONTROL!$C$15, $E$9, 100%, $G$9) + CHOOSE(CONTROL!$C$38, 0.0266, 0)</f>
        <v>14.875</v>
      </c>
      <c r="C34" s="10">
        <f>14.25 * CHOOSE(CONTROL!$C$15, $E$9, 100%, $G$9) + CHOOSE(CONTROL!$C$38, 0.0357, 0)</f>
        <v>14.2857</v>
      </c>
      <c r="D34" s="10">
        <f>14.2422 * CHOOSE(CONTROL!$C$15, $E$9, 100%, $G$9) + CHOOSE(CONTROL!$C$38, 0.0357, 0)</f>
        <v>14.277900000000001</v>
      </c>
      <c r="E34" s="28">
        <f>14.6922 * CHOOSE(CONTROL!$C$15, $E$9, 100%, $G$9) + CHOOSE(CONTROL!$C$38, 0.0357, 0)</f>
        <v>14.7279</v>
      </c>
      <c r="F34" s="27">
        <f>14.6922 * CHOOSE(CONTROL!$C$15, $E$9, 100%, $G$9) + CHOOSE(CONTROL!$C$38, 0.0266, 0)</f>
        <v>14.7188</v>
      </c>
      <c r="G34" s="10">
        <f>14.2484 * CHOOSE(CONTROL!$C$15, $E$9, 100%, $G$9) + CHOOSE(CONTROL!$C$38, 0.0357, 0)</f>
        <v>14.2841</v>
      </c>
      <c r="H34" s="10">
        <f>14.2484 * CHOOSE(CONTROL!$C$15, $E$9, 100%, $G$9) + CHOOSE(CONTROL!$C$38, 0.0357, 0)</f>
        <v>14.2841</v>
      </c>
      <c r="I34" s="10">
        <f>14.25 * CHOOSE(CONTROL!$C$15, $E$9, 100%, $G$9) + CHOOSE(CONTROL!$C$38, 0.0357, 0)</f>
        <v>14.2857</v>
      </c>
      <c r="J34" s="29">
        <f>87.9</f>
        <v>87.9</v>
      </c>
    </row>
    <row r="35" spans="1:10" ht="15">
      <c r="A35" s="16">
        <v>42339</v>
      </c>
      <c r="B35" s="10">
        <f>14.8484 * CHOOSE(CONTROL!$C$15, $E$9, 100%, $G$9) + CHOOSE(CONTROL!$C$38, 0.0266, 0)</f>
        <v>14.875</v>
      </c>
      <c r="C35" s="10">
        <f>14.25 * CHOOSE(CONTROL!$C$15, $E$9, 100%, $G$9) + CHOOSE(CONTROL!$C$38, 0.0357, 0)</f>
        <v>14.2857</v>
      </c>
      <c r="D35" s="10">
        <f>14.2422 * CHOOSE(CONTROL!$C$15, $E$9, 100%, $G$9) + CHOOSE(CONTROL!$C$38, 0.0357, 0)</f>
        <v>14.277900000000001</v>
      </c>
      <c r="E35" s="28">
        <f>14.6922 * CHOOSE(CONTROL!$C$15, $E$9, 100%, $G$9) + CHOOSE(CONTROL!$C$38, 0.0357, 0)</f>
        <v>14.7279</v>
      </c>
      <c r="F35" s="27">
        <f>14.6922 * CHOOSE(CONTROL!$C$15, $E$9, 100%, $G$9) + CHOOSE(CONTROL!$C$38, 0.0266, 0)</f>
        <v>14.7188</v>
      </c>
      <c r="G35" s="10">
        <f>14.2484 * CHOOSE(CONTROL!$C$15, $E$9, 100%, $G$9) + CHOOSE(CONTROL!$C$38, 0.0357, 0)</f>
        <v>14.2841</v>
      </c>
      <c r="H35" s="10">
        <f>14.2484 * CHOOSE(CONTROL!$C$15, $E$9, 100%, $G$9) + CHOOSE(CONTROL!$C$38, 0.0357, 0)</f>
        <v>14.2841</v>
      </c>
      <c r="I35" s="10">
        <f>14.25 * CHOOSE(CONTROL!$C$15, $E$9, 100%, $G$9) + CHOOSE(CONTROL!$C$38, 0.0357, 0)</f>
        <v>14.2857</v>
      </c>
      <c r="J35" s="29">
        <f>87.58</f>
        <v>87.58</v>
      </c>
    </row>
    <row r="36" spans="1:10" ht="15">
      <c r="A36" s="16">
        <v>42370</v>
      </c>
      <c r="B36" s="10">
        <f>14.075 * CHOOSE(CONTROL!$C$15, $E$9, 100%, $G$9) + CHOOSE(CONTROL!$C$38, 0.0266, 0)</f>
        <v>14.101599999999999</v>
      </c>
      <c r="C36" s="10">
        <f>13.9922 * CHOOSE(CONTROL!$C$15, $E$9, 100%, $G$9) + CHOOSE(CONTROL!$C$38, 0.0357, 0)</f>
        <v>14.027900000000001</v>
      </c>
      <c r="D36" s="10">
        <f>13.9844 * CHOOSE(CONTROL!$C$15, $E$9, 100%, $G$9) + CHOOSE(CONTROL!$C$38, 0.0357, 0)</f>
        <v>14.020100000000001</v>
      </c>
      <c r="E36" s="28">
        <f>13.9187 * CHOOSE(CONTROL!$C$15, $E$9, 100%, $G$9) + CHOOSE(CONTROL!$C$38, 0.0357, 0)</f>
        <v>13.9544</v>
      </c>
      <c r="F36" s="27">
        <f>13.9187 * CHOOSE(CONTROL!$C$15, $E$9, 100%, $G$9) + CHOOSE(CONTROL!$C$38, 0.0266, 0)</f>
        <v>13.9453</v>
      </c>
      <c r="G36" s="10">
        <f>13.9906 * CHOOSE(CONTROL!$C$15, $E$9, 100%, $G$9) + CHOOSE(CONTROL!$C$38, 0.0357, 0)</f>
        <v>14.026300000000001</v>
      </c>
      <c r="H36" s="10">
        <f>13.9906 * CHOOSE(CONTROL!$C$15, $E$9, 100%, $G$9) + CHOOSE(CONTROL!$C$38, 0.0357, 0)</f>
        <v>14.026300000000001</v>
      </c>
      <c r="I36" s="10">
        <f>13.9922 * CHOOSE(CONTROL!$C$15, $E$9, 100%, $G$9) + CHOOSE(CONTROL!$C$38, 0.0357, 0)</f>
        <v>14.027900000000001</v>
      </c>
      <c r="J36" s="29">
        <f>87.1</f>
        <v>87.1</v>
      </c>
    </row>
    <row r="37" spans="1:10" ht="15">
      <c r="A37" s="16">
        <v>42401</v>
      </c>
      <c r="B37" s="10">
        <f>14.1172 * CHOOSE(CONTROL!$C$15, $E$9, 100%, $G$9) + CHOOSE(CONTROL!$C$38, 0.0266, 0)</f>
        <v>14.143800000000001</v>
      </c>
      <c r="C37" s="10">
        <f>13.9922 * CHOOSE(CONTROL!$C$15, $E$9, 100%, $G$9) + CHOOSE(CONTROL!$C$38, 0.0357, 0)</f>
        <v>14.027900000000001</v>
      </c>
      <c r="D37" s="10">
        <f>13.9844 * CHOOSE(CONTROL!$C$15, $E$9, 100%, $G$9) + CHOOSE(CONTROL!$C$38, 0.0357, 0)</f>
        <v>14.020100000000001</v>
      </c>
      <c r="E37" s="28">
        <f>13.9609 * CHOOSE(CONTROL!$C$15, $E$9, 100%, $G$9) + CHOOSE(CONTROL!$C$38, 0.0357, 0)</f>
        <v>13.996600000000001</v>
      </c>
      <c r="F37" s="27">
        <f>13.9609 * CHOOSE(CONTROL!$C$15, $E$9, 100%, $G$9) + CHOOSE(CONTROL!$C$38, 0.0266, 0)</f>
        <v>13.987500000000001</v>
      </c>
      <c r="G37" s="10">
        <f>13.9906 * CHOOSE(CONTROL!$C$15, $E$9, 100%, $G$9) + CHOOSE(CONTROL!$C$38, 0.0357, 0)</f>
        <v>14.026300000000001</v>
      </c>
      <c r="H37" s="10">
        <f>13.9906 * CHOOSE(CONTROL!$C$15, $E$9, 100%, $G$9) + CHOOSE(CONTROL!$C$38, 0.0357, 0)</f>
        <v>14.026300000000001</v>
      </c>
      <c r="I37" s="10">
        <f>13.9922 * CHOOSE(CONTROL!$C$15, $E$9, 100%, $G$9) + CHOOSE(CONTROL!$C$38, 0.0357, 0)</f>
        <v>14.027900000000001</v>
      </c>
      <c r="J37" s="29">
        <f>86.63</f>
        <v>86.63</v>
      </c>
    </row>
    <row r="38" spans="1:10" ht="15">
      <c r="A38" s="16">
        <v>42430</v>
      </c>
      <c r="B38" s="10">
        <f>14.1516 * CHOOSE(CONTROL!$C$15, $E$9, 100%, $G$9) + CHOOSE(CONTROL!$C$38, 0.0266, 0)</f>
        <v>14.1782</v>
      </c>
      <c r="C38" s="10">
        <f>13.9922 * CHOOSE(CONTROL!$C$15, $E$9, 100%, $G$9) + CHOOSE(CONTROL!$C$38, 0.0357, 0)</f>
        <v>14.027900000000001</v>
      </c>
      <c r="D38" s="10">
        <f>13.9844 * CHOOSE(CONTROL!$C$15, $E$9, 100%, $G$9) + CHOOSE(CONTROL!$C$38, 0.0357, 0)</f>
        <v>14.020100000000001</v>
      </c>
      <c r="E38" s="28">
        <f>13.9953 * CHOOSE(CONTROL!$C$15, $E$9, 100%, $G$9) + CHOOSE(CONTROL!$C$38, 0.0357, 0)</f>
        <v>14.031000000000001</v>
      </c>
      <c r="F38" s="27">
        <f>13.9953 * CHOOSE(CONTROL!$C$15, $E$9, 100%, $G$9) + CHOOSE(CONTROL!$C$38, 0.0266, 0)</f>
        <v>14.0219</v>
      </c>
      <c r="G38" s="10">
        <f>13.9906 * CHOOSE(CONTROL!$C$15, $E$9, 100%, $G$9) + CHOOSE(CONTROL!$C$38, 0.0357, 0)</f>
        <v>14.026300000000001</v>
      </c>
      <c r="H38" s="10">
        <f>13.9906 * CHOOSE(CONTROL!$C$15, $E$9, 100%, $G$9) + CHOOSE(CONTROL!$C$38, 0.0357, 0)</f>
        <v>14.026300000000001</v>
      </c>
      <c r="I38" s="10">
        <f>13.9922 * CHOOSE(CONTROL!$C$15, $E$9, 100%, $G$9) + CHOOSE(CONTROL!$C$38, 0.0357, 0)</f>
        <v>14.027900000000001</v>
      </c>
      <c r="J38" s="29">
        <f>86.19</f>
        <v>86.19</v>
      </c>
    </row>
    <row r="39" spans="1:10" ht="15">
      <c r="A39" s="16">
        <v>42461</v>
      </c>
      <c r="B39" s="10">
        <f>13.9422 * CHOOSE(CONTROL!$C$15, $E$9, 100%, $G$9) + CHOOSE(CONTROL!$C$38, 0.0266, 0)</f>
        <v>13.9688</v>
      </c>
      <c r="C39" s="10">
        <f>13.8394 * CHOOSE(CONTROL!$C$15, $E$9, 100%, $G$9) + CHOOSE(CONTROL!$C$38, 0.0357, 0)</f>
        <v>13.8751</v>
      </c>
      <c r="D39" s="10">
        <f>13.8316 * CHOOSE(CONTROL!$C$15, $E$9, 100%, $G$9) + CHOOSE(CONTROL!$C$38, 0.0357, 0)</f>
        <v>13.8673</v>
      </c>
      <c r="E39" s="28">
        <f>13.7859 * CHOOSE(CONTROL!$C$15, $E$9, 100%, $G$9) + CHOOSE(CONTROL!$C$38, 0.0357, 0)</f>
        <v>13.8216</v>
      </c>
      <c r="F39" s="27">
        <f>13.7859 * CHOOSE(CONTROL!$C$15, $E$9, 100%, $G$9) + CHOOSE(CONTROL!$C$38, 0.0266, 0)</f>
        <v>13.8125</v>
      </c>
      <c r="G39" s="10">
        <f>13.8378 * CHOOSE(CONTROL!$C$15, $E$9, 100%, $G$9) + CHOOSE(CONTROL!$C$38, 0.0357, 0)</f>
        <v>13.8735</v>
      </c>
      <c r="H39" s="10">
        <f>13.8378 * CHOOSE(CONTROL!$C$15, $E$9, 100%, $G$9) + CHOOSE(CONTROL!$C$38, 0.0357, 0)</f>
        <v>13.8735</v>
      </c>
      <c r="I39" s="10">
        <f>13.8394 * CHOOSE(CONTROL!$C$15, $E$9, 100%, $G$9) + CHOOSE(CONTROL!$C$38, 0.0357, 0)</f>
        <v>13.8751</v>
      </c>
      <c r="J39" s="29">
        <f>85.81</f>
        <v>85.81</v>
      </c>
    </row>
    <row r="40" spans="1:10" ht="15">
      <c r="A40" s="16">
        <v>42491</v>
      </c>
      <c r="B40" s="10">
        <f>13.9922 * CHOOSE(CONTROL!$C$15, $E$9, 100%, $G$9) + CHOOSE(CONTROL!$C$38, 0.0266, 0)</f>
        <v>14.018800000000001</v>
      </c>
      <c r="C40" s="10">
        <f>13.8776 * CHOOSE(CONTROL!$C$15, $E$9, 100%, $G$9) + CHOOSE(CONTROL!$C$38, 0.0357, 0)</f>
        <v>13.9133</v>
      </c>
      <c r="D40" s="10">
        <f>13.8698 * CHOOSE(CONTROL!$C$15, $E$9, 100%, $G$9) + CHOOSE(CONTROL!$C$38, 0.0357, 0)</f>
        <v>13.9055</v>
      </c>
      <c r="E40" s="28">
        <f>13.8359 * CHOOSE(CONTROL!$C$15, $E$9, 100%, $G$9) + CHOOSE(CONTROL!$C$38, 0.0357, 0)</f>
        <v>13.871600000000001</v>
      </c>
      <c r="F40" s="27">
        <f>13.8359 * CHOOSE(CONTROL!$C$15, $E$9, 100%, $G$9) + CHOOSE(CONTROL!$C$38, 0.0266, 0)</f>
        <v>13.862500000000001</v>
      </c>
      <c r="G40" s="10">
        <f>13.876 * CHOOSE(CONTROL!$C$15, $E$9, 100%, $G$9) + CHOOSE(CONTROL!$C$38, 0.0357, 0)</f>
        <v>13.9117</v>
      </c>
      <c r="H40" s="10">
        <f>13.876 * CHOOSE(CONTROL!$C$15, $E$9, 100%, $G$9) + CHOOSE(CONTROL!$C$38, 0.0357, 0)</f>
        <v>13.9117</v>
      </c>
      <c r="I40" s="10">
        <f>13.8776 * CHOOSE(CONTROL!$C$15, $E$9, 100%, $G$9) + CHOOSE(CONTROL!$C$38, 0.0357, 0)</f>
        <v>13.9133</v>
      </c>
      <c r="J40" s="29">
        <f>85.54</f>
        <v>85.54</v>
      </c>
    </row>
    <row r="41" spans="1:10" ht="15">
      <c r="A41" s="16">
        <v>42522</v>
      </c>
      <c r="B41" s="10">
        <f>14.0406 * CHOOSE(CONTROL!$C$15, $E$9, 100%, $G$9) + CHOOSE(CONTROL!$C$38, 0.0266, 0)</f>
        <v>14.0672</v>
      </c>
      <c r="C41" s="10">
        <f>13.9158 * CHOOSE(CONTROL!$C$15, $E$9, 100%, $G$9) + CHOOSE(CONTROL!$C$38, 0.0357, 0)</f>
        <v>13.951500000000001</v>
      </c>
      <c r="D41" s="10">
        <f>13.908 * CHOOSE(CONTROL!$C$15, $E$9, 100%, $G$9) + CHOOSE(CONTROL!$C$38, 0.0357, 0)</f>
        <v>13.9437</v>
      </c>
      <c r="E41" s="28">
        <f>13.8844 * CHOOSE(CONTROL!$C$15, $E$9, 100%, $G$9) + CHOOSE(CONTROL!$C$38, 0.0357, 0)</f>
        <v>13.9201</v>
      </c>
      <c r="F41" s="27">
        <f>13.8844 * CHOOSE(CONTROL!$C$15, $E$9, 100%, $G$9) + CHOOSE(CONTROL!$C$38, 0.0266, 0)</f>
        <v>13.911</v>
      </c>
      <c r="G41" s="10">
        <f>13.9142 * CHOOSE(CONTROL!$C$15, $E$9, 100%, $G$9) + CHOOSE(CONTROL!$C$38, 0.0357, 0)</f>
        <v>13.9499</v>
      </c>
      <c r="H41" s="10">
        <f>13.9142 * CHOOSE(CONTROL!$C$15, $E$9, 100%, $G$9) + CHOOSE(CONTROL!$C$38, 0.0357, 0)</f>
        <v>13.9499</v>
      </c>
      <c r="I41" s="10">
        <f>13.9158 * CHOOSE(CONTROL!$C$15, $E$9, 100%, $G$9) + CHOOSE(CONTROL!$C$38, 0.0357, 0)</f>
        <v>13.951500000000001</v>
      </c>
      <c r="J41" s="29">
        <f>85.31</f>
        <v>85.31</v>
      </c>
    </row>
    <row r="42" spans="1:10" ht="15">
      <c r="A42" s="16">
        <v>42552</v>
      </c>
      <c r="B42" s="10">
        <f>14.0859 * CHOOSE(CONTROL!$C$15, $E$9, 100%, $G$9) + CHOOSE(CONTROL!$C$38, 0.0266, 0)</f>
        <v>14.112500000000001</v>
      </c>
      <c r="C42" s="10">
        <f>13.954 * CHOOSE(CONTROL!$C$15, $E$9, 100%, $G$9) + CHOOSE(CONTROL!$C$38, 0.0357, 0)</f>
        <v>13.989700000000001</v>
      </c>
      <c r="D42" s="10">
        <f>13.9462 * CHOOSE(CONTROL!$C$15, $E$9, 100%, $G$9) + CHOOSE(CONTROL!$C$38, 0.0357, 0)</f>
        <v>13.9819</v>
      </c>
      <c r="E42" s="28">
        <f>13.9297 * CHOOSE(CONTROL!$C$15, $E$9, 100%, $G$9) + CHOOSE(CONTROL!$C$38, 0.0357, 0)</f>
        <v>13.965400000000001</v>
      </c>
      <c r="F42" s="27">
        <f>13.9297 * CHOOSE(CONTROL!$C$15, $E$9, 100%, $G$9) + CHOOSE(CONTROL!$C$38, 0.0266, 0)</f>
        <v>13.956300000000001</v>
      </c>
      <c r="G42" s="10">
        <f>13.9524 * CHOOSE(CONTROL!$C$15, $E$9, 100%, $G$9) + CHOOSE(CONTROL!$C$38, 0.0357, 0)</f>
        <v>13.988100000000001</v>
      </c>
      <c r="H42" s="10">
        <f>13.9524 * CHOOSE(CONTROL!$C$15, $E$9, 100%, $G$9) + CHOOSE(CONTROL!$C$38, 0.0357, 0)</f>
        <v>13.988100000000001</v>
      </c>
      <c r="I42" s="10">
        <f>13.954 * CHOOSE(CONTROL!$C$15, $E$9, 100%, $G$9) + CHOOSE(CONTROL!$C$38, 0.0357, 0)</f>
        <v>13.989700000000001</v>
      </c>
      <c r="J42" s="29">
        <f>84.96</f>
        <v>84.96</v>
      </c>
    </row>
    <row r="43" spans="1:10" ht="15">
      <c r="A43" s="16">
        <v>42583</v>
      </c>
      <c r="B43" s="10">
        <f>14.1328 * CHOOSE(CONTROL!$C$15, $E$9, 100%, $G$9) + CHOOSE(CONTROL!$C$38, 0.0266, 0)</f>
        <v>14.1594</v>
      </c>
      <c r="C43" s="10">
        <f>13.9922 * CHOOSE(CONTROL!$C$15, $E$9, 100%, $G$9) + CHOOSE(CONTROL!$C$38, 0.0357, 0)</f>
        <v>14.027900000000001</v>
      </c>
      <c r="D43" s="10">
        <f>13.9844 * CHOOSE(CONTROL!$C$15, $E$9, 100%, $G$9) + CHOOSE(CONTROL!$C$38, 0.0357, 0)</f>
        <v>14.020100000000001</v>
      </c>
      <c r="E43" s="28">
        <f>13.9766 * CHOOSE(CONTROL!$C$15, $E$9, 100%, $G$9) + CHOOSE(CONTROL!$C$38, 0.0357, 0)</f>
        <v>14.0123</v>
      </c>
      <c r="F43" s="27">
        <f>13.9766 * CHOOSE(CONTROL!$C$15, $E$9, 100%, $G$9) + CHOOSE(CONTROL!$C$38, 0.0266, 0)</f>
        <v>14.0032</v>
      </c>
      <c r="G43" s="10">
        <f>13.9906 * CHOOSE(CONTROL!$C$15, $E$9, 100%, $G$9) + CHOOSE(CONTROL!$C$38, 0.0357, 0)</f>
        <v>14.026300000000001</v>
      </c>
      <c r="H43" s="10">
        <f>13.9906 * CHOOSE(CONTROL!$C$15, $E$9, 100%, $G$9) + CHOOSE(CONTROL!$C$38, 0.0357, 0)</f>
        <v>14.026300000000001</v>
      </c>
      <c r="I43" s="10">
        <f>13.9922 * CHOOSE(CONTROL!$C$15, $E$9, 100%, $G$9) + CHOOSE(CONTROL!$C$38, 0.0357, 0)</f>
        <v>14.027900000000001</v>
      </c>
      <c r="J43" s="29">
        <f>84.66</f>
        <v>84.66</v>
      </c>
    </row>
    <row r="44" spans="1:10" ht="15">
      <c r="A44" s="16">
        <v>42614</v>
      </c>
      <c r="B44" s="10">
        <f>14.1719 * CHOOSE(CONTROL!$C$15, $E$9, 100%, $G$9) + CHOOSE(CONTROL!$C$38, 0.0266, 0)</f>
        <v>14.198500000000001</v>
      </c>
      <c r="C44" s="10">
        <f>14.0304 * CHOOSE(CONTROL!$C$15, $E$9, 100%, $G$9) + CHOOSE(CONTROL!$C$38, 0.0357, 0)</f>
        <v>14.0661</v>
      </c>
      <c r="D44" s="10">
        <f>14.0226 * CHOOSE(CONTROL!$C$15, $E$9, 100%, $G$9) + CHOOSE(CONTROL!$C$38, 0.0357, 0)</f>
        <v>14.058300000000001</v>
      </c>
      <c r="E44" s="28">
        <f>14.0156 * CHOOSE(CONTROL!$C$15, $E$9, 100%, $G$9) + CHOOSE(CONTROL!$C$38, 0.0357, 0)</f>
        <v>14.051299999999999</v>
      </c>
      <c r="F44" s="27">
        <f>14.0156 * CHOOSE(CONTROL!$C$15, $E$9, 100%, $G$9) + CHOOSE(CONTROL!$C$38, 0.0266, 0)</f>
        <v>14.042199999999999</v>
      </c>
      <c r="G44" s="10">
        <f>14.0288 * CHOOSE(CONTROL!$C$15, $E$9, 100%, $G$9) + CHOOSE(CONTROL!$C$38, 0.0357, 0)</f>
        <v>14.064500000000001</v>
      </c>
      <c r="H44" s="10">
        <f>14.0288 * CHOOSE(CONTROL!$C$15, $E$9, 100%, $G$9) + CHOOSE(CONTROL!$C$38, 0.0357, 0)</f>
        <v>14.064500000000001</v>
      </c>
      <c r="I44" s="10">
        <f>14.0304 * CHOOSE(CONTROL!$C$15, $E$9, 100%, $G$9) + CHOOSE(CONTROL!$C$38, 0.0357, 0)</f>
        <v>14.0661</v>
      </c>
      <c r="J44" s="29">
        <f>84.41</f>
        <v>84.41</v>
      </c>
    </row>
    <row r="45" spans="1:10" ht="15">
      <c r="A45" s="16">
        <v>42644</v>
      </c>
      <c r="B45" s="10">
        <f>14.2141 * CHOOSE(CONTROL!$C$15, $E$9, 100%, $G$9) + CHOOSE(CONTROL!$C$38, 0.0266, 0)</f>
        <v>14.2407</v>
      </c>
      <c r="C45" s="10">
        <f>14.0686 * CHOOSE(CONTROL!$C$15, $E$9, 100%, $G$9) + CHOOSE(CONTROL!$C$38, 0.0357, 0)</f>
        <v>14.1043</v>
      </c>
      <c r="D45" s="10">
        <f>14.0608 * CHOOSE(CONTROL!$C$15, $E$9, 100%, $G$9) + CHOOSE(CONTROL!$C$38, 0.0357, 0)</f>
        <v>14.096500000000001</v>
      </c>
      <c r="E45" s="28">
        <f>14.0578 * CHOOSE(CONTROL!$C$15, $E$9, 100%, $G$9) + CHOOSE(CONTROL!$C$38, 0.0357, 0)</f>
        <v>14.093500000000001</v>
      </c>
      <c r="F45" s="27">
        <f>14.0578 * CHOOSE(CONTROL!$C$15, $E$9, 100%, $G$9) + CHOOSE(CONTROL!$C$38, 0.0266, 0)</f>
        <v>14.0844</v>
      </c>
      <c r="G45" s="10">
        <f>14.067 * CHOOSE(CONTROL!$C$15, $E$9, 100%, $G$9) + CHOOSE(CONTROL!$C$38, 0.0357, 0)</f>
        <v>14.1027</v>
      </c>
      <c r="H45" s="10">
        <f>14.067 * CHOOSE(CONTROL!$C$15, $E$9, 100%, $G$9) + CHOOSE(CONTROL!$C$38, 0.0357, 0)</f>
        <v>14.1027</v>
      </c>
      <c r="I45" s="10">
        <f>14.0686 * CHOOSE(CONTROL!$C$15, $E$9, 100%, $G$9) + CHOOSE(CONTROL!$C$38, 0.0357, 0)</f>
        <v>14.1043</v>
      </c>
      <c r="J45" s="29">
        <f>84.21</f>
        <v>84.21</v>
      </c>
    </row>
    <row r="46" spans="1:10" ht="15">
      <c r="A46" s="16">
        <v>42675</v>
      </c>
      <c r="B46" s="10">
        <f>14.25 * CHOOSE(CONTROL!$C$15, $E$9, 100%, $G$9) + CHOOSE(CONTROL!$C$38, 0.0266, 0)</f>
        <v>14.2766</v>
      </c>
      <c r="C46" s="10">
        <f>14.1068 * CHOOSE(CONTROL!$C$15, $E$9, 100%, $G$9) + CHOOSE(CONTROL!$C$38, 0.0357, 0)</f>
        <v>14.1425</v>
      </c>
      <c r="D46" s="10">
        <f>14.099 * CHOOSE(CONTROL!$C$15, $E$9, 100%, $G$9) + CHOOSE(CONTROL!$C$38, 0.0357, 0)</f>
        <v>14.1347</v>
      </c>
      <c r="E46" s="28">
        <f>14.0938 * CHOOSE(CONTROL!$C$15, $E$9, 100%, $G$9) + CHOOSE(CONTROL!$C$38, 0.0357, 0)</f>
        <v>14.1295</v>
      </c>
      <c r="F46" s="27">
        <f>14.0938 * CHOOSE(CONTROL!$C$15, $E$9, 100%, $G$9) + CHOOSE(CONTROL!$C$38, 0.0266, 0)</f>
        <v>14.1204</v>
      </c>
      <c r="G46" s="10">
        <f>14.1052 * CHOOSE(CONTROL!$C$15, $E$9, 100%, $G$9) + CHOOSE(CONTROL!$C$38, 0.0357, 0)</f>
        <v>14.1409</v>
      </c>
      <c r="H46" s="10">
        <f>14.1052 * CHOOSE(CONTROL!$C$15, $E$9, 100%, $G$9) + CHOOSE(CONTROL!$C$38, 0.0357, 0)</f>
        <v>14.1409</v>
      </c>
      <c r="I46" s="10">
        <f>14.1068 * CHOOSE(CONTROL!$C$15, $E$9, 100%, $G$9) + CHOOSE(CONTROL!$C$38, 0.0357, 0)</f>
        <v>14.1425</v>
      </c>
      <c r="J46" s="29">
        <f>84.07</f>
        <v>84.07</v>
      </c>
    </row>
    <row r="47" spans="1:10" ht="15">
      <c r="A47" s="16">
        <v>42705</v>
      </c>
      <c r="B47" s="10">
        <f>14.2844 * CHOOSE(CONTROL!$C$15, $E$9, 100%, $G$9) + CHOOSE(CONTROL!$C$38, 0.0266, 0)</f>
        <v>14.311</v>
      </c>
      <c r="C47" s="10">
        <f>14.145 * CHOOSE(CONTROL!$C$15, $E$9, 100%, $G$9) + CHOOSE(CONTROL!$C$38, 0.0357, 0)</f>
        <v>14.1807</v>
      </c>
      <c r="D47" s="10">
        <f>14.1372 * CHOOSE(CONTROL!$C$15, $E$9, 100%, $G$9) + CHOOSE(CONTROL!$C$38, 0.0357, 0)</f>
        <v>14.1729</v>
      </c>
      <c r="E47" s="28">
        <f>14.1281 * CHOOSE(CONTROL!$C$15, $E$9, 100%, $G$9) + CHOOSE(CONTROL!$C$38, 0.0357, 0)</f>
        <v>14.1638</v>
      </c>
      <c r="F47" s="27">
        <f>14.1281 * CHOOSE(CONTROL!$C$15, $E$9, 100%, $G$9) + CHOOSE(CONTROL!$C$38, 0.0266, 0)</f>
        <v>14.1547</v>
      </c>
      <c r="G47" s="10">
        <f>14.1434 * CHOOSE(CONTROL!$C$15, $E$9, 100%, $G$9) + CHOOSE(CONTROL!$C$38, 0.0357, 0)</f>
        <v>14.1791</v>
      </c>
      <c r="H47" s="10">
        <f>14.1434 * CHOOSE(CONTROL!$C$15, $E$9, 100%, $G$9) + CHOOSE(CONTROL!$C$38, 0.0357, 0)</f>
        <v>14.1791</v>
      </c>
      <c r="I47" s="10">
        <f>14.145 * CHOOSE(CONTROL!$C$15, $E$9, 100%, $G$9) + CHOOSE(CONTROL!$C$38, 0.0357, 0)</f>
        <v>14.1807</v>
      </c>
      <c r="J47" s="29">
        <f>83.97</f>
        <v>83.97</v>
      </c>
    </row>
    <row r="48" spans="1:10" ht="15">
      <c r="A48" s="16">
        <v>42736</v>
      </c>
      <c r="B48" s="10">
        <f>15.1796 * CHOOSE(CONTROL!$C$15, $E$9, 100%, $G$9) + CHOOSE(CONTROL!$C$38, 0.0266, 0)</f>
        <v>15.206200000000001</v>
      </c>
      <c r="C48" s="10">
        <f>14.7515 * CHOOSE(CONTROL!$C$15, $E$9, 100%, $G$9) + CHOOSE(CONTROL!$C$38, 0.0357, 0)</f>
        <v>14.7872</v>
      </c>
      <c r="D48" s="10">
        <f>14.7437 * CHOOSE(CONTROL!$C$15, $E$9, 100%, $G$9) + CHOOSE(CONTROL!$C$38, 0.0357, 0)</f>
        <v>14.779400000000001</v>
      </c>
      <c r="E48" s="28">
        <f>15.0234 * CHOOSE(CONTROL!$C$15, $E$9, 100%, $G$9) + CHOOSE(CONTROL!$C$38, 0.0357, 0)</f>
        <v>15.059100000000001</v>
      </c>
      <c r="F48" s="27">
        <f>15.0234 * CHOOSE(CONTROL!$C$15, $E$9, 100%, $G$9) + CHOOSE(CONTROL!$C$38, 0.0266, 0)</f>
        <v>15.05</v>
      </c>
      <c r="G48" s="10">
        <f>14.7499 * CHOOSE(CONTROL!$C$15, $E$9, 100%, $G$9) + CHOOSE(CONTROL!$C$38, 0.0357, 0)</f>
        <v>14.785600000000001</v>
      </c>
      <c r="H48" s="10">
        <f>14.7499 * CHOOSE(CONTROL!$C$15, $E$9, 100%, $G$9) + CHOOSE(CONTROL!$C$38, 0.0357, 0)</f>
        <v>14.785600000000001</v>
      </c>
      <c r="I48" s="10">
        <f>14.7515 * CHOOSE(CONTROL!$C$15, $E$9, 100%, $G$9) + CHOOSE(CONTROL!$C$38, 0.0357, 0)</f>
        <v>14.7872</v>
      </c>
      <c r="J48" s="29">
        <f>79.7507</f>
        <v>79.750699999999995</v>
      </c>
    </row>
    <row r="49" spans="1:10" ht="15">
      <c r="A49" s="16">
        <v>42767</v>
      </c>
      <c r="B49" s="10">
        <f>15.4004 * CHOOSE(CONTROL!$C$15, $E$9, 100%, $G$9) + CHOOSE(CONTROL!$C$38, 0.0266, 0)</f>
        <v>15.427</v>
      </c>
      <c r="C49" s="10">
        <f>14.9723 * CHOOSE(CONTROL!$C$15, $E$9, 100%, $G$9) + CHOOSE(CONTROL!$C$38, 0.0357, 0)</f>
        <v>15.008000000000001</v>
      </c>
      <c r="D49" s="10">
        <f>14.9645 * CHOOSE(CONTROL!$C$15, $E$9, 100%, $G$9) + CHOOSE(CONTROL!$C$38, 0.0357, 0)</f>
        <v>15.0002</v>
      </c>
      <c r="E49" s="28">
        <f>15.2441 * CHOOSE(CONTROL!$C$15, $E$9, 100%, $G$9) + CHOOSE(CONTROL!$C$38, 0.0357, 0)</f>
        <v>15.2798</v>
      </c>
      <c r="F49" s="27">
        <f>15.2441 * CHOOSE(CONTROL!$C$15, $E$9, 100%, $G$9) + CHOOSE(CONTROL!$C$38, 0.0266, 0)</f>
        <v>15.2707</v>
      </c>
      <c r="G49" s="10">
        <f>14.9707 * CHOOSE(CONTROL!$C$15, $E$9, 100%, $G$9) + CHOOSE(CONTROL!$C$38, 0.0357, 0)</f>
        <v>15.006400000000001</v>
      </c>
      <c r="H49" s="10">
        <f>14.9707 * CHOOSE(CONTROL!$C$15, $E$9, 100%, $G$9) + CHOOSE(CONTROL!$C$38, 0.0357, 0)</f>
        <v>15.006400000000001</v>
      </c>
      <c r="I49" s="10">
        <f>14.9723 * CHOOSE(CONTROL!$C$15, $E$9, 100%, $G$9) + CHOOSE(CONTROL!$C$38, 0.0357, 0)</f>
        <v>15.008000000000001</v>
      </c>
      <c r="J49" s="29">
        <f>79.529</f>
        <v>79.528999999999996</v>
      </c>
    </row>
    <row r="50" spans="1:10" ht="15">
      <c r="A50" s="16">
        <v>42795</v>
      </c>
      <c r="B50" s="10">
        <f>14.8894 * CHOOSE(CONTROL!$C$15, $E$9, 100%, $G$9) + CHOOSE(CONTROL!$C$38, 0.0266, 0)</f>
        <v>14.916</v>
      </c>
      <c r="C50" s="10">
        <f>14.4612 * CHOOSE(CONTROL!$C$15, $E$9, 100%, $G$9) + CHOOSE(CONTROL!$C$38, 0.0357, 0)</f>
        <v>14.4969</v>
      </c>
      <c r="D50" s="10">
        <f>14.4534 * CHOOSE(CONTROL!$C$15, $E$9, 100%, $G$9) + CHOOSE(CONTROL!$C$38, 0.0357, 0)</f>
        <v>14.489100000000001</v>
      </c>
      <c r="E50" s="28">
        <f>14.7331 * CHOOSE(CONTROL!$C$15, $E$9, 100%, $G$9) + CHOOSE(CONTROL!$C$38, 0.0357, 0)</f>
        <v>14.768800000000001</v>
      </c>
      <c r="F50" s="27">
        <f>14.7331 * CHOOSE(CONTROL!$C$15, $E$9, 100%, $G$9) + CHOOSE(CONTROL!$C$38, 0.0266, 0)</f>
        <v>14.7597</v>
      </c>
      <c r="G50" s="10">
        <f>14.4597 * CHOOSE(CONTROL!$C$15, $E$9, 100%, $G$9) + CHOOSE(CONTROL!$C$38, 0.0357, 0)</f>
        <v>14.4954</v>
      </c>
      <c r="H50" s="10">
        <f>14.4597 * CHOOSE(CONTROL!$C$15, $E$9, 100%, $G$9) + CHOOSE(CONTROL!$C$38, 0.0357, 0)</f>
        <v>14.4954</v>
      </c>
      <c r="I50" s="10">
        <f>14.4612 * CHOOSE(CONTROL!$C$15, $E$9, 100%, $G$9) + CHOOSE(CONTROL!$C$38, 0.0357, 0)</f>
        <v>14.4969</v>
      </c>
      <c r="J50" s="29">
        <f>83.7207</f>
        <v>83.720699999999994</v>
      </c>
    </row>
    <row r="51" spans="1:10" ht="15">
      <c r="A51" s="16">
        <v>42826</v>
      </c>
      <c r="B51" s="10">
        <f>14.3942 * CHOOSE(CONTROL!$C$15, $E$9, 100%, $G$9) + CHOOSE(CONTROL!$C$38, 0.0266, 0)</f>
        <v>14.4208</v>
      </c>
      <c r="C51" s="10">
        <f>13.9661 * CHOOSE(CONTROL!$C$15, $E$9, 100%, $G$9) + CHOOSE(CONTROL!$C$38, 0.0357, 0)</f>
        <v>14.001800000000001</v>
      </c>
      <c r="D51" s="10">
        <f>13.9582 * CHOOSE(CONTROL!$C$15, $E$9, 100%, $G$9) + CHOOSE(CONTROL!$C$38, 0.0357, 0)</f>
        <v>13.9939</v>
      </c>
      <c r="E51" s="28">
        <f>14.2379 * CHOOSE(CONTROL!$C$15, $E$9, 100%, $G$9) + CHOOSE(CONTROL!$C$38, 0.0357, 0)</f>
        <v>14.2736</v>
      </c>
      <c r="F51" s="27">
        <f>14.2379 * CHOOSE(CONTROL!$C$15, $E$9, 100%, $G$9) + CHOOSE(CONTROL!$C$38, 0.0266, 0)</f>
        <v>14.2645</v>
      </c>
      <c r="G51" s="10">
        <f>13.9645 * CHOOSE(CONTROL!$C$15, $E$9, 100%, $G$9) + CHOOSE(CONTROL!$C$38, 0.0357, 0)</f>
        <v>14.0002</v>
      </c>
      <c r="H51" s="10">
        <f>13.9645 * CHOOSE(CONTROL!$C$15, $E$9, 100%, $G$9) + CHOOSE(CONTROL!$C$38, 0.0357, 0)</f>
        <v>14.0002</v>
      </c>
      <c r="I51" s="10">
        <f>13.9661 * CHOOSE(CONTROL!$C$15, $E$9, 100%, $G$9) + CHOOSE(CONTROL!$C$38, 0.0357, 0)</f>
        <v>14.001800000000001</v>
      </c>
      <c r="J51" s="29">
        <f>89.1562</f>
        <v>89.156199999999998</v>
      </c>
    </row>
    <row r="52" spans="1:10" ht="15">
      <c r="A52" s="16">
        <v>42856</v>
      </c>
      <c r="B52" s="10">
        <f>13.8781 * CHOOSE(CONTROL!$C$15, $E$9, 100%, $G$9) + CHOOSE(CONTROL!$C$38, 0.0266, 0)</f>
        <v>13.9047</v>
      </c>
      <c r="C52" s="10">
        <f>13.4499 * CHOOSE(CONTROL!$C$15, $E$9, 100%, $G$9) + CHOOSE(CONTROL!$C$38, 0.0357, 0)</f>
        <v>13.4856</v>
      </c>
      <c r="D52" s="10">
        <f>13.4421 * CHOOSE(CONTROL!$C$15, $E$9, 100%, $G$9) + CHOOSE(CONTROL!$C$38, 0.0357, 0)</f>
        <v>13.4778</v>
      </c>
      <c r="E52" s="28">
        <f>13.7218 * CHOOSE(CONTROL!$C$15, $E$9, 100%, $G$9) + CHOOSE(CONTROL!$C$38, 0.0357, 0)</f>
        <v>13.7575</v>
      </c>
      <c r="F52" s="27">
        <f>13.7218 * CHOOSE(CONTROL!$C$15, $E$9, 100%, $G$9) + CHOOSE(CONTROL!$C$38, 0.0266, 0)</f>
        <v>13.7484</v>
      </c>
      <c r="G52" s="10">
        <f>13.4484 * CHOOSE(CONTROL!$C$15, $E$9, 100%, $G$9) + CHOOSE(CONTROL!$C$38, 0.0357, 0)</f>
        <v>13.4841</v>
      </c>
      <c r="H52" s="10">
        <f>13.4484 * CHOOSE(CONTROL!$C$15, $E$9, 100%, $G$9) + CHOOSE(CONTROL!$C$38, 0.0357, 0)</f>
        <v>13.4841</v>
      </c>
      <c r="I52" s="10">
        <f>13.4499 * CHOOSE(CONTROL!$C$15, $E$9, 100%, $G$9) + CHOOSE(CONTROL!$C$38, 0.0357, 0)</f>
        <v>13.4856</v>
      </c>
      <c r="J52" s="29">
        <f>92.1481</f>
        <v>92.148099999999999</v>
      </c>
    </row>
    <row r="53" spans="1:10" ht="15">
      <c r="A53" s="16">
        <v>42887</v>
      </c>
      <c r="B53" s="10">
        <f>13.5162 * CHOOSE(CONTROL!$C$15, $E$9, 100%, $G$9) + CHOOSE(CONTROL!$C$38, 0.0266, 0)</f>
        <v>13.5428</v>
      </c>
      <c r="C53" s="10">
        <f>13.0881 * CHOOSE(CONTROL!$C$15, $E$9, 100%, $G$9) + CHOOSE(CONTROL!$C$38, 0.0357, 0)</f>
        <v>13.123800000000001</v>
      </c>
      <c r="D53" s="10">
        <f>13.0803 * CHOOSE(CONTROL!$C$15, $E$9, 100%, $G$9) + CHOOSE(CONTROL!$C$38, 0.0357, 0)</f>
        <v>13.116</v>
      </c>
      <c r="E53" s="28">
        <f>13.36 * CHOOSE(CONTROL!$C$15, $E$9, 100%, $G$9) + CHOOSE(CONTROL!$C$38, 0.0357, 0)</f>
        <v>13.3957</v>
      </c>
      <c r="F53" s="27">
        <f>13.36 * CHOOSE(CONTROL!$C$15, $E$9, 100%, $G$9) + CHOOSE(CONTROL!$C$38, 0.0266, 0)</f>
        <v>13.3866</v>
      </c>
      <c r="G53" s="10">
        <f>13.0865 * CHOOSE(CONTROL!$C$15, $E$9, 100%, $G$9) + CHOOSE(CONTROL!$C$38, 0.0357, 0)</f>
        <v>13.122199999999999</v>
      </c>
      <c r="H53" s="10">
        <f>13.0865 * CHOOSE(CONTROL!$C$15, $E$9, 100%, $G$9) + CHOOSE(CONTROL!$C$38, 0.0357, 0)</f>
        <v>13.122199999999999</v>
      </c>
      <c r="I53" s="10">
        <f>13.0881 * CHOOSE(CONTROL!$C$15, $E$9, 100%, $G$9) + CHOOSE(CONTROL!$C$38, 0.0357, 0)</f>
        <v>13.123800000000001</v>
      </c>
      <c r="J53" s="29">
        <f>93.4759</f>
        <v>93.475899999999996</v>
      </c>
    </row>
    <row r="54" spans="1:10" ht="15">
      <c r="A54" s="16">
        <v>42917</v>
      </c>
      <c r="B54" s="10">
        <f>13.3097 * CHOOSE(CONTROL!$C$15, $E$9, 100%, $G$9) + CHOOSE(CONTROL!$C$38, 0.0266, 0)</f>
        <v>13.3363</v>
      </c>
      <c r="C54" s="10">
        <f>12.8816 * CHOOSE(CONTROL!$C$15, $E$9, 100%, $G$9) + CHOOSE(CONTROL!$C$38, 0.0357, 0)</f>
        <v>12.917300000000001</v>
      </c>
      <c r="D54" s="10">
        <f>12.8738 * CHOOSE(CONTROL!$C$15, $E$9, 100%, $G$9) + CHOOSE(CONTROL!$C$38, 0.0357, 0)</f>
        <v>12.9095</v>
      </c>
      <c r="E54" s="28">
        <f>13.1535 * CHOOSE(CONTROL!$C$15, $E$9, 100%, $G$9) + CHOOSE(CONTROL!$C$38, 0.0357, 0)</f>
        <v>13.1892</v>
      </c>
      <c r="F54" s="27">
        <f>13.1535 * CHOOSE(CONTROL!$C$15, $E$9, 100%, $G$9) + CHOOSE(CONTROL!$C$38, 0.0266, 0)</f>
        <v>13.180099999999999</v>
      </c>
      <c r="G54" s="10">
        <f>12.8801 * CHOOSE(CONTROL!$C$15, $E$9, 100%, $G$9) + CHOOSE(CONTROL!$C$38, 0.0357, 0)</f>
        <v>12.915800000000001</v>
      </c>
      <c r="H54" s="10">
        <f>12.8801 * CHOOSE(CONTROL!$C$15, $E$9, 100%, $G$9) + CHOOSE(CONTROL!$C$38, 0.0357, 0)</f>
        <v>12.915800000000001</v>
      </c>
      <c r="I54" s="10">
        <f>12.8816 * CHOOSE(CONTROL!$C$15, $E$9, 100%, $G$9) + CHOOSE(CONTROL!$C$38, 0.0357, 0)</f>
        <v>12.917300000000001</v>
      </c>
      <c r="J54" s="29">
        <f>93.0387</f>
        <v>93.038700000000006</v>
      </c>
    </row>
    <row r="55" spans="1:10" ht="15">
      <c r="A55" s="16">
        <v>42948</v>
      </c>
      <c r="B55" s="10">
        <f>13.4116 * CHOOSE(CONTROL!$C$15, $E$9, 100%, $G$9) + CHOOSE(CONTROL!$C$38, 0.0266, 0)</f>
        <v>13.4382</v>
      </c>
      <c r="C55" s="10">
        <f>12.9835 * CHOOSE(CONTROL!$C$15, $E$9, 100%, $G$9) + CHOOSE(CONTROL!$C$38, 0.0357, 0)</f>
        <v>13.0192</v>
      </c>
      <c r="D55" s="10">
        <f>12.9757 * CHOOSE(CONTROL!$C$15, $E$9, 100%, $G$9) + CHOOSE(CONTROL!$C$38, 0.0357, 0)</f>
        <v>13.0114</v>
      </c>
      <c r="E55" s="28">
        <f>13.2554 * CHOOSE(CONTROL!$C$15, $E$9, 100%, $G$9) + CHOOSE(CONTROL!$C$38, 0.0357, 0)</f>
        <v>13.2911</v>
      </c>
      <c r="F55" s="27">
        <f>13.2554 * CHOOSE(CONTROL!$C$15, $E$9, 100%, $G$9) + CHOOSE(CONTROL!$C$38, 0.0266, 0)</f>
        <v>13.282</v>
      </c>
      <c r="G55" s="10">
        <f>12.982 * CHOOSE(CONTROL!$C$15, $E$9, 100%, $G$9) + CHOOSE(CONTROL!$C$38, 0.0357, 0)</f>
        <v>13.0177</v>
      </c>
      <c r="H55" s="10">
        <f>12.982 * CHOOSE(CONTROL!$C$15, $E$9, 100%, $G$9) + CHOOSE(CONTROL!$C$38, 0.0357, 0)</f>
        <v>13.0177</v>
      </c>
      <c r="I55" s="10">
        <f>12.9835 * CHOOSE(CONTROL!$C$15, $E$9, 100%, $G$9) + CHOOSE(CONTROL!$C$38, 0.0357, 0)</f>
        <v>13.0192</v>
      </c>
      <c r="J55" s="29">
        <f>90.8728</f>
        <v>90.872799999999998</v>
      </c>
    </row>
    <row r="56" spans="1:10" ht="15">
      <c r="A56" s="16">
        <v>42979</v>
      </c>
      <c r="B56" s="10">
        <f>13.6884 * CHOOSE(CONTROL!$C$15, $E$9, 100%, $G$9) + CHOOSE(CONTROL!$C$38, 0.0266, 0)</f>
        <v>13.715</v>
      </c>
      <c r="C56" s="10">
        <f>13.2603 * CHOOSE(CONTROL!$C$15, $E$9, 100%, $G$9) + CHOOSE(CONTROL!$C$38, 0.0357, 0)</f>
        <v>13.296000000000001</v>
      </c>
      <c r="D56" s="10">
        <f>13.2525 * CHOOSE(CONTROL!$C$15, $E$9, 100%, $G$9) + CHOOSE(CONTROL!$C$38, 0.0357, 0)</f>
        <v>13.2882</v>
      </c>
      <c r="E56" s="28">
        <f>13.5322 * CHOOSE(CONTROL!$C$15, $E$9, 100%, $G$9) + CHOOSE(CONTROL!$C$38, 0.0357, 0)</f>
        <v>13.5679</v>
      </c>
      <c r="F56" s="27">
        <f>13.5322 * CHOOSE(CONTROL!$C$15, $E$9, 100%, $G$9) + CHOOSE(CONTROL!$C$38, 0.0266, 0)</f>
        <v>13.5588</v>
      </c>
      <c r="G56" s="10">
        <f>13.2588 * CHOOSE(CONTROL!$C$15, $E$9, 100%, $G$9) + CHOOSE(CONTROL!$C$38, 0.0357, 0)</f>
        <v>13.294500000000001</v>
      </c>
      <c r="H56" s="10">
        <f>13.2588 * CHOOSE(CONTROL!$C$15, $E$9, 100%, $G$9) + CHOOSE(CONTROL!$C$38, 0.0357, 0)</f>
        <v>13.294500000000001</v>
      </c>
      <c r="I56" s="10">
        <f>13.2603 * CHOOSE(CONTROL!$C$15, $E$9, 100%, $G$9) + CHOOSE(CONTROL!$C$38, 0.0357, 0)</f>
        <v>13.296000000000001</v>
      </c>
      <c r="J56" s="29">
        <f>87.8524</f>
        <v>87.852400000000003</v>
      </c>
    </row>
    <row r="57" spans="1:10" ht="15">
      <c r="A57" s="16">
        <v>43009</v>
      </c>
      <c r="B57" s="10">
        <f>13.9203 * CHOOSE(CONTROL!$C$15, $E$9, 100%, $G$9) + CHOOSE(CONTROL!$C$38, 0.0266, 0)</f>
        <v>13.946899999999999</v>
      </c>
      <c r="C57" s="10">
        <f>13.4921 * CHOOSE(CONTROL!$C$15, $E$9, 100%, $G$9) + CHOOSE(CONTROL!$C$38, 0.0357, 0)</f>
        <v>13.527800000000001</v>
      </c>
      <c r="D57" s="10">
        <f>13.4843 * CHOOSE(CONTROL!$C$15, $E$9, 100%, $G$9) + CHOOSE(CONTROL!$C$38, 0.0357, 0)</f>
        <v>13.52</v>
      </c>
      <c r="E57" s="28">
        <f>13.764 * CHOOSE(CONTROL!$C$15, $E$9, 100%, $G$9) + CHOOSE(CONTROL!$C$38, 0.0357, 0)</f>
        <v>13.7997</v>
      </c>
      <c r="F57" s="27">
        <f>13.764 * CHOOSE(CONTROL!$C$15, $E$9, 100%, $G$9) + CHOOSE(CONTROL!$C$38, 0.0266, 0)</f>
        <v>13.7906</v>
      </c>
      <c r="G57" s="10">
        <f>13.4906 * CHOOSE(CONTROL!$C$15, $E$9, 100%, $G$9) + CHOOSE(CONTROL!$C$38, 0.0357, 0)</f>
        <v>13.526300000000001</v>
      </c>
      <c r="H57" s="10">
        <f>13.4906 * CHOOSE(CONTROL!$C$15, $E$9, 100%, $G$9) + CHOOSE(CONTROL!$C$38, 0.0357, 0)</f>
        <v>13.526300000000001</v>
      </c>
      <c r="I57" s="10">
        <f>13.4921 * CHOOSE(CONTROL!$C$15, $E$9, 100%, $G$9) + CHOOSE(CONTROL!$C$38, 0.0357, 0)</f>
        <v>13.527800000000001</v>
      </c>
      <c r="J57" s="29">
        <f>84.8143</f>
        <v>84.814300000000003</v>
      </c>
    </row>
    <row r="58" spans="1:10" ht="15">
      <c r="A58" s="16">
        <v>43040</v>
      </c>
      <c r="B58" s="10">
        <f>14.1137 * CHOOSE(CONTROL!$C$15, $E$9, 100%, $G$9) + CHOOSE(CONTROL!$C$38, 0.0266, 0)</f>
        <v>14.1403</v>
      </c>
      <c r="C58" s="10">
        <f>13.6856 * CHOOSE(CONTROL!$C$15, $E$9, 100%, $G$9) + CHOOSE(CONTROL!$C$38, 0.0357, 0)</f>
        <v>13.721300000000001</v>
      </c>
      <c r="D58" s="10">
        <f>13.6778 * CHOOSE(CONTROL!$C$15, $E$9, 100%, $G$9) + CHOOSE(CONTROL!$C$38, 0.0357, 0)</f>
        <v>13.7135</v>
      </c>
      <c r="E58" s="28">
        <f>13.9575 * CHOOSE(CONTROL!$C$15, $E$9, 100%, $G$9) + CHOOSE(CONTROL!$C$38, 0.0357, 0)</f>
        <v>13.9932</v>
      </c>
      <c r="F58" s="27">
        <f>13.9575 * CHOOSE(CONTROL!$C$15, $E$9, 100%, $G$9) + CHOOSE(CONTROL!$C$38, 0.0266, 0)</f>
        <v>13.9841</v>
      </c>
      <c r="G58" s="10">
        <f>13.684 * CHOOSE(CONTROL!$C$15, $E$9, 100%, $G$9) + CHOOSE(CONTROL!$C$38, 0.0357, 0)</f>
        <v>13.7197</v>
      </c>
      <c r="H58" s="10">
        <f>13.684 * CHOOSE(CONTROL!$C$15, $E$9, 100%, $G$9) + CHOOSE(CONTROL!$C$38, 0.0357, 0)</f>
        <v>13.7197</v>
      </c>
      <c r="I58" s="10">
        <f>13.6856 * CHOOSE(CONTROL!$C$15, $E$9, 100%, $G$9) + CHOOSE(CONTROL!$C$38, 0.0357, 0)</f>
        <v>13.721300000000001</v>
      </c>
      <c r="J58" s="29">
        <f>84.21</f>
        <v>84.21</v>
      </c>
    </row>
    <row r="59" spans="1:10" ht="15">
      <c r="A59" s="16">
        <v>43070</v>
      </c>
      <c r="B59" s="10">
        <f>14.7098 * CHOOSE(CONTROL!$C$15, $E$9, 100%, $G$9) + CHOOSE(CONTROL!$C$38, 0.0266, 0)</f>
        <v>14.7364</v>
      </c>
      <c r="C59" s="10">
        <f>14.2817 * CHOOSE(CONTROL!$C$15, $E$9, 100%, $G$9) + CHOOSE(CONTROL!$C$38, 0.0357, 0)</f>
        <v>14.317400000000001</v>
      </c>
      <c r="D59" s="10">
        <f>14.2738 * CHOOSE(CONTROL!$C$15, $E$9, 100%, $G$9) + CHOOSE(CONTROL!$C$38, 0.0357, 0)</f>
        <v>14.3095</v>
      </c>
      <c r="E59" s="28">
        <f>14.5535 * CHOOSE(CONTROL!$C$15, $E$9, 100%, $G$9) + CHOOSE(CONTROL!$C$38, 0.0357, 0)</f>
        <v>14.5892</v>
      </c>
      <c r="F59" s="27">
        <f>14.5535 * CHOOSE(CONTROL!$C$15, $E$9, 100%, $G$9) + CHOOSE(CONTROL!$C$38, 0.0266, 0)</f>
        <v>14.5801</v>
      </c>
      <c r="G59" s="10">
        <f>14.2801 * CHOOSE(CONTROL!$C$15, $E$9, 100%, $G$9) + CHOOSE(CONTROL!$C$38, 0.0357, 0)</f>
        <v>14.315799999999999</v>
      </c>
      <c r="H59" s="10">
        <f>14.2801 * CHOOSE(CONTROL!$C$15, $E$9, 100%, $G$9) + CHOOSE(CONTROL!$C$38, 0.0357, 0)</f>
        <v>14.315799999999999</v>
      </c>
      <c r="I59" s="10">
        <f>14.2817 * CHOOSE(CONTROL!$C$15, $E$9, 100%, $G$9) + CHOOSE(CONTROL!$C$38, 0.0357, 0)</f>
        <v>14.317400000000001</v>
      </c>
      <c r="J59" s="29">
        <f>81.7111</f>
        <v>81.711100000000002</v>
      </c>
    </row>
    <row r="60" spans="1:10" ht="15">
      <c r="A60" s="16">
        <v>43101</v>
      </c>
      <c r="B60" s="10">
        <f>15.441 * CHOOSE(CONTROL!$C$15, $E$9, 100%, $G$9) + CHOOSE(CONTROL!$C$38, 0.0266, 0)</f>
        <v>15.467600000000001</v>
      </c>
      <c r="C60" s="10">
        <f>15.0186 * CHOOSE(CONTROL!$C$15, $E$9, 100%, $G$9) + CHOOSE(CONTROL!$C$38, 0.0357, 0)</f>
        <v>15.0543</v>
      </c>
      <c r="D60" s="10">
        <f>15.0107 * CHOOSE(CONTROL!$C$15, $E$9, 100%, $G$9) + CHOOSE(CONTROL!$C$38, 0.0357, 0)</f>
        <v>15.0464</v>
      </c>
      <c r="E60" s="28">
        <f>15.2847 * CHOOSE(CONTROL!$C$15, $E$9, 100%, $G$9) + CHOOSE(CONTROL!$C$38, 0.0357, 0)</f>
        <v>15.320400000000001</v>
      </c>
      <c r="F60" s="27">
        <f>15.2847 * CHOOSE(CONTROL!$C$15, $E$9, 100%, $G$9) + CHOOSE(CONTROL!$C$38, 0.0266, 0)</f>
        <v>15.311300000000001</v>
      </c>
      <c r="G60" s="10">
        <f>15.017 * CHOOSE(CONTROL!$C$15, $E$9, 100%, $G$9) + CHOOSE(CONTROL!$C$38, 0.0357, 0)</f>
        <v>15.0527</v>
      </c>
      <c r="H60" s="10">
        <f>15.017 * CHOOSE(CONTROL!$C$15, $E$9, 100%, $G$9) + CHOOSE(CONTROL!$C$38, 0.0357, 0)</f>
        <v>15.0527</v>
      </c>
      <c r="I60" s="10">
        <f>15.0186 * CHOOSE(CONTROL!$C$15, $E$9, 100%, $G$9) + CHOOSE(CONTROL!$C$38, 0.0357, 0)</f>
        <v>15.0543</v>
      </c>
      <c r="J60" s="29">
        <f>81.9149</f>
        <v>81.914900000000003</v>
      </c>
    </row>
    <row r="61" spans="1:10" ht="15">
      <c r="A61" s="16">
        <v>43132</v>
      </c>
      <c r="B61" s="10">
        <f>15.6617 * CHOOSE(CONTROL!$C$15, $E$9, 100%, $G$9) + CHOOSE(CONTROL!$C$38, 0.0266, 0)</f>
        <v>15.6883</v>
      </c>
      <c r="C61" s="10">
        <f>15.2393 * CHOOSE(CONTROL!$C$15, $E$9, 100%, $G$9) + CHOOSE(CONTROL!$C$38, 0.0357, 0)</f>
        <v>15.275</v>
      </c>
      <c r="D61" s="10">
        <f>15.2315 * CHOOSE(CONTROL!$C$15, $E$9, 100%, $G$9) + CHOOSE(CONTROL!$C$38, 0.0357, 0)</f>
        <v>15.267200000000001</v>
      </c>
      <c r="E61" s="28">
        <f>15.5055 * CHOOSE(CONTROL!$C$15, $E$9, 100%, $G$9) + CHOOSE(CONTROL!$C$38, 0.0357, 0)</f>
        <v>15.5412</v>
      </c>
      <c r="F61" s="27">
        <f>15.5055 * CHOOSE(CONTROL!$C$15, $E$9, 100%, $G$9) + CHOOSE(CONTROL!$C$38, 0.0266, 0)</f>
        <v>15.5321</v>
      </c>
      <c r="G61" s="10">
        <f>15.2378 * CHOOSE(CONTROL!$C$15, $E$9, 100%, $G$9) + CHOOSE(CONTROL!$C$38, 0.0357, 0)</f>
        <v>15.2735</v>
      </c>
      <c r="H61" s="10">
        <f>15.2378 * CHOOSE(CONTROL!$C$15, $E$9, 100%, $G$9) + CHOOSE(CONTROL!$C$38, 0.0357, 0)</f>
        <v>15.2735</v>
      </c>
      <c r="I61" s="10">
        <f>15.2393 * CHOOSE(CONTROL!$C$15, $E$9, 100%, $G$9) + CHOOSE(CONTROL!$C$38, 0.0357, 0)</f>
        <v>15.275</v>
      </c>
      <c r="J61" s="29">
        <f>81.6872</f>
        <v>81.687200000000004</v>
      </c>
    </row>
    <row r="62" spans="1:10" ht="15">
      <c r="A62" s="16">
        <v>43160</v>
      </c>
      <c r="B62" s="10">
        <f>15.1507 * CHOOSE(CONTROL!$C$15, $E$9, 100%, $G$9) + CHOOSE(CONTROL!$C$38, 0.0266, 0)</f>
        <v>15.177300000000001</v>
      </c>
      <c r="C62" s="10">
        <f>14.7283 * CHOOSE(CONTROL!$C$15, $E$9, 100%, $G$9) + CHOOSE(CONTROL!$C$38, 0.0357, 0)</f>
        <v>14.764000000000001</v>
      </c>
      <c r="D62" s="10">
        <f>14.7205 * CHOOSE(CONTROL!$C$15, $E$9, 100%, $G$9) + CHOOSE(CONTROL!$C$38, 0.0357, 0)</f>
        <v>14.7562</v>
      </c>
      <c r="E62" s="28">
        <f>14.9945 * CHOOSE(CONTROL!$C$15, $E$9, 100%, $G$9) + CHOOSE(CONTROL!$C$38, 0.0357, 0)</f>
        <v>15.030200000000001</v>
      </c>
      <c r="F62" s="27">
        <f>14.9945 * CHOOSE(CONTROL!$C$15, $E$9, 100%, $G$9) + CHOOSE(CONTROL!$C$38, 0.0266, 0)</f>
        <v>15.021100000000001</v>
      </c>
      <c r="G62" s="10">
        <f>14.7267 * CHOOSE(CONTROL!$C$15, $E$9, 100%, $G$9) + CHOOSE(CONTROL!$C$38, 0.0357, 0)</f>
        <v>14.7624</v>
      </c>
      <c r="H62" s="10">
        <f>14.7267 * CHOOSE(CONTROL!$C$15, $E$9, 100%, $G$9) + CHOOSE(CONTROL!$C$38, 0.0357, 0)</f>
        <v>14.7624</v>
      </c>
      <c r="I62" s="10">
        <f>14.7283 * CHOOSE(CONTROL!$C$15, $E$9, 100%, $G$9) + CHOOSE(CONTROL!$C$38, 0.0357, 0)</f>
        <v>14.764000000000001</v>
      </c>
      <c r="J62" s="29">
        <f>85.9926</f>
        <v>85.992599999999996</v>
      </c>
    </row>
    <row r="63" spans="1:10" ht="15">
      <c r="A63" s="16">
        <v>43191</v>
      </c>
      <c r="B63" s="10">
        <f>14.6555 * CHOOSE(CONTROL!$C$15, $E$9, 100%, $G$9) + CHOOSE(CONTROL!$C$38, 0.0266, 0)</f>
        <v>14.6821</v>
      </c>
      <c r="C63" s="10">
        <f>14.2331 * CHOOSE(CONTROL!$C$15, $E$9, 100%, $G$9) + CHOOSE(CONTROL!$C$38, 0.0357, 0)</f>
        <v>14.268800000000001</v>
      </c>
      <c r="D63" s="10">
        <f>14.2253 * CHOOSE(CONTROL!$C$15, $E$9, 100%, $G$9) + CHOOSE(CONTROL!$C$38, 0.0357, 0)</f>
        <v>14.261000000000001</v>
      </c>
      <c r="E63" s="28">
        <f>14.4993 * CHOOSE(CONTROL!$C$15, $E$9, 100%, $G$9) + CHOOSE(CONTROL!$C$38, 0.0357, 0)</f>
        <v>14.535</v>
      </c>
      <c r="F63" s="27">
        <f>14.4993 * CHOOSE(CONTROL!$C$15, $E$9, 100%, $G$9) + CHOOSE(CONTROL!$C$38, 0.0266, 0)</f>
        <v>14.5259</v>
      </c>
      <c r="G63" s="10">
        <f>14.2315 * CHOOSE(CONTROL!$C$15, $E$9, 100%, $G$9) + CHOOSE(CONTROL!$C$38, 0.0357, 0)</f>
        <v>14.267200000000001</v>
      </c>
      <c r="H63" s="10">
        <f>14.2315 * CHOOSE(CONTROL!$C$15, $E$9, 100%, $G$9) + CHOOSE(CONTROL!$C$38, 0.0357, 0)</f>
        <v>14.267200000000001</v>
      </c>
      <c r="I63" s="10">
        <f>14.2331 * CHOOSE(CONTROL!$C$15, $E$9, 100%, $G$9) + CHOOSE(CONTROL!$C$38, 0.0357, 0)</f>
        <v>14.268800000000001</v>
      </c>
      <c r="J63" s="29">
        <f>91.5756</f>
        <v>91.575599999999994</v>
      </c>
    </row>
    <row r="64" spans="1:10" ht="15">
      <c r="A64" s="16">
        <v>43221</v>
      </c>
      <c r="B64" s="10">
        <f>14.1394 * CHOOSE(CONTROL!$C$15, $E$9, 100%, $G$9) + CHOOSE(CONTROL!$C$38, 0.0266, 0)</f>
        <v>14.166</v>
      </c>
      <c r="C64" s="10">
        <f>13.717 * CHOOSE(CONTROL!$C$15, $E$9, 100%, $G$9) + CHOOSE(CONTROL!$C$38, 0.0357, 0)</f>
        <v>13.752700000000001</v>
      </c>
      <c r="D64" s="10">
        <f>13.7092 * CHOOSE(CONTROL!$C$15, $E$9, 100%, $G$9) + CHOOSE(CONTROL!$C$38, 0.0357, 0)</f>
        <v>13.744899999999999</v>
      </c>
      <c r="E64" s="28">
        <f>13.9832 * CHOOSE(CONTROL!$C$15, $E$9, 100%, $G$9) + CHOOSE(CONTROL!$C$38, 0.0357, 0)</f>
        <v>14.0189</v>
      </c>
      <c r="F64" s="27">
        <f>13.9832 * CHOOSE(CONTROL!$C$15, $E$9, 100%, $G$9) + CHOOSE(CONTROL!$C$38, 0.0266, 0)</f>
        <v>14.0098</v>
      </c>
      <c r="G64" s="10">
        <f>13.7154 * CHOOSE(CONTROL!$C$15, $E$9, 100%, $G$9) + CHOOSE(CONTROL!$C$38, 0.0357, 0)</f>
        <v>13.751100000000001</v>
      </c>
      <c r="H64" s="10">
        <f>13.7154 * CHOOSE(CONTROL!$C$15, $E$9, 100%, $G$9) + CHOOSE(CONTROL!$C$38, 0.0357, 0)</f>
        <v>13.751100000000001</v>
      </c>
      <c r="I64" s="10">
        <f>13.717 * CHOOSE(CONTROL!$C$15, $E$9, 100%, $G$9) + CHOOSE(CONTROL!$C$38, 0.0357, 0)</f>
        <v>13.752700000000001</v>
      </c>
      <c r="J64" s="29">
        <f>94.6487</f>
        <v>94.648700000000005</v>
      </c>
    </row>
    <row r="65" spans="1:10" ht="15">
      <c r="A65" s="16">
        <v>43252</v>
      </c>
      <c r="B65" s="10">
        <f>13.7776 * CHOOSE(CONTROL!$C$15, $E$9, 100%, $G$9) + CHOOSE(CONTROL!$C$38, 0.0266, 0)</f>
        <v>13.8042</v>
      </c>
      <c r="C65" s="10">
        <f>13.3552 * CHOOSE(CONTROL!$C$15, $E$9, 100%, $G$9) + CHOOSE(CONTROL!$C$38, 0.0357, 0)</f>
        <v>13.3909</v>
      </c>
      <c r="D65" s="10">
        <f>13.3474 * CHOOSE(CONTROL!$C$15, $E$9, 100%, $G$9) + CHOOSE(CONTROL!$C$38, 0.0357, 0)</f>
        <v>13.383100000000001</v>
      </c>
      <c r="E65" s="28">
        <f>13.6213 * CHOOSE(CONTROL!$C$15, $E$9, 100%, $G$9) + CHOOSE(CONTROL!$C$38, 0.0357, 0)</f>
        <v>13.657</v>
      </c>
      <c r="F65" s="27">
        <f>13.6213 * CHOOSE(CONTROL!$C$15, $E$9, 100%, $G$9) + CHOOSE(CONTROL!$C$38, 0.0266, 0)</f>
        <v>13.6479</v>
      </c>
      <c r="G65" s="10">
        <f>13.3536 * CHOOSE(CONTROL!$C$15, $E$9, 100%, $G$9) + CHOOSE(CONTROL!$C$38, 0.0357, 0)</f>
        <v>13.3893</v>
      </c>
      <c r="H65" s="10">
        <f>13.3536 * CHOOSE(CONTROL!$C$15, $E$9, 100%, $G$9) + CHOOSE(CONTROL!$C$38, 0.0357, 0)</f>
        <v>13.3893</v>
      </c>
      <c r="I65" s="10">
        <f>13.3552 * CHOOSE(CONTROL!$C$15, $E$9, 100%, $G$9) + CHOOSE(CONTROL!$C$38, 0.0357, 0)</f>
        <v>13.3909</v>
      </c>
      <c r="J65" s="29">
        <f>96.0125</f>
        <v>96.012500000000003</v>
      </c>
    </row>
    <row r="66" spans="1:10" ht="15">
      <c r="A66" s="16">
        <v>43282</v>
      </c>
      <c r="B66" s="10">
        <f>13.5711 * CHOOSE(CONTROL!$C$15, $E$9, 100%, $G$9) + CHOOSE(CONTROL!$C$38, 0.0266, 0)</f>
        <v>13.5977</v>
      </c>
      <c r="C66" s="10">
        <f>13.1487 * CHOOSE(CONTROL!$C$15, $E$9, 100%, $G$9) + CHOOSE(CONTROL!$C$38, 0.0357, 0)</f>
        <v>13.1844</v>
      </c>
      <c r="D66" s="10">
        <f>13.1409 * CHOOSE(CONTROL!$C$15, $E$9, 100%, $G$9) + CHOOSE(CONTROL!$C$38, 0.0357, 0)</f>
        <v>13.176600000000001</v>
      </c>
      <c r="E66" s="28">
        <f>13.4148 * CHOOSE(CONTROL!$C$15, $E$9, 100%, $G$9) + CHOOSE(CONTROL!$C$38, 0.0357, 0)</f>
        <v>13.4505</v>
      </c>
      <c r="F66" s="27">
        <f>13.4148 * CHOOSE(CONTROL!$C$15, $E$9, 100%, $G$9) + CHOOSE(CONTROL!$C$38, 0.0266, 0)</f>
        <v>13.4414</v>
      </c>
      <c r="G66" s="10">
        <f>13.1471 * CHOOSE(CONTROL!$C$15, $E$9, 100%, $G$9) + CHOOSE(CONTROL!$C$38, 0.0357, 0)</f>
        <v>13.1828</v>
      </c>
      <c r="H66" s="10">
        <f>13.1471 * CHOOSE(CONTROL!$C$15, $E$9, 100%, $G$9) + CHOOSE(CONTROL!$C$38, 0.0357, 0)</f>
        <v>13.1828</v>
      </c>
      <c r="I66" s="10">
        <f>13.1487 * CHOOSE(CONTROL!$C$15, $E$9, 100%, $G$9) + CHOOSE(CONTROL!$C$38, 0.0357, 0)</f>
        <v>13.1844</v>
      </c>
      <c r="J66" s="29">
        <f>95.5635</f>
        <v>95.563500000000005</v>
      </c>
    </row>
    <row r="67" spans="1:10" ht="15">
      <c r="A67" s="16">
        <v>43313</v>
      </c>
      <c r="B67" s="10">
        <f>13.673 * CHOOSE(CONTROL!$C$15, $E$9, 100%, $G$9) + CHOOSE(CONTROL!$C$38, 0.0266, 0)</f>
        <v>13.6996</v>
      </c>
      <c r="C67" s="10">
        <f>13.2506 * CHOOSE(CONTROL!$C$15, $E$9, 100%, $G$9) + CHOOSE(CONTROL!$C$38, 0.0357, 0)</f>
        <v>13.286300000000001</v>
      </c>
      <c r="D67" s="10">
        <f>13.2428 * CHOOSE(CONTROL!$C$15, $E$9, 100%, $G$9) + CHOOSE(CONTROL!$C$38, 0.0357, 0)</f>
        <v>13.278500000000001</v>
      </c>
      <c r="E67" s="28">
        <f>13.5167 * CHOOSE(CONTROL!$C$15, $E$9, 100%, $G$9) + CHOOSE(CONTROL!$C$38, 0.0357, 0)</f>
        <v>13.5524</v>
      </c>
      <c r="F67" s="27">
        <f>13.5167 * CHOOSE(CONTROL!$C$15, $E$9, 100%, $G$9) + CHOOSE(CONTROL!$C$38, 0.0266, 0)</f>
        <v>13.5433</v>
      </c>
      <c r="G67" s="10">
        <f>13.249 * CHOOSE(CONTROL!$C$15, $E$9, 100%, $G$9) + CHOOSE(CONTROL!$C$38, 0.0357, 0)</f>
        <v>13.284700000000001</v>
      </c>
      <c r="H67" s="10">
        <f>13.249 * CHOOSE(CONTROL!$C$15, $E$9, 100%, $G$9) + CHOOSE(CONTROL!$C$38, 0.0357, 0)</f>
        <v>13.284700000000001</v>
      </c>
      <c r="I67" s="10">
        <f>13.2506 * CHOOSE(CONTROL!$C$15, $E$9, 100%, $G$9) + CHOOSE(CONTROL!$C$38, 0.0357, 0)</f>
        <v>13.286300000000001</v>
      </c>
      <c r="J67" s="29">
        <f>93.3388</f>
        <v>93.338800000000006</v>
      </c>
    </row>
    <row r="68" spans="1:10" ht="15">
      <c r="A68" s="16">
        <v>43344</v>
      </c>
      <c r="B68" s="10">
        <f>13.9498 * CHOOSE(CONTROL!$C$15, $E$9, 100%, $G$9) + CHOOSE(CONTROL!$C$38, 0.0266, 0)</f>
        <v>13.9764</v>
      </c>
      <c r="C68" s="10">
        <f>13.5274 * CHOOSE(CONTROL!$C$15, $E$9, 100%, $G$9) + CHOOSE(CONTROL!$C$38, 0.0357, 0)</f>
        <v>13.5631</v>
      </c>
      <c r="D68" s="10">
        <f>13.5196 * CHOOSE(CONTROL!$C$15, $E$9, 100%, $G$9) + CHOOSE(CONTROL!$C$38, 0.0357, 0)</f>
        <v>13.555300000000001</v>
      </c>
      <c r="E68" s="28">
        <f>13.7935 * CHOOSE(CONTROL!$C$15, $E$9, 100%, $G$9) + CHOOSE(CONTROL!$C$38, 0.0357, 0)</f>
        <v>13.8292</v>
      </c>
      <c r="F68" s="27">
        <f>13.7935 * CHOOSE(CONTROL!$C$15, $E$9, 100%, $G$9) + CHOOSE(CONTROL!$C$38, 0.0266, 0)</f>
        <v>13.8201</v>
      </c>
      <c r="G68" s="10">
        <f>13.5258 * CHOOSE(CONTROL!$C$15, $E$9, 100%, $G$9) + CHOOSE(CONTROL!$C$38, 0.0357, 0)</f>
        <v>13.561500000000001</v>
      </c>
      <c r="H68" s="10">
        <f>13.5258 * CHOOSE(CONTROL!$C$15, $E$9, 100%, $G$9) + CHOOSE(CONTROL!$C$38, 0.0357, 0)</f>
        <v>13.561500000000001</v>
      </c>
      <c r="I68" s="10">
        <f>13.5274 * CHOOSE(CONTROL!$C$15, $E$9, 100%, $G$9) + CHOOSE(CONTROL!$C$38, 0.0357, 0)</f>
        <v>13.5631</v>
      </c>
      <c r="J68" s="29">
        <f>90.2364</f>
        <v>90.236400000000003</v>
      </c>
    </row>
    <row r="69" spans="1:10" ht="15">
      <c r="A69" s="16">
        <v>43374</v>
      </c>
      <c r="B69" s="10">
        <f>14.1816 * CHOOSE(CONTROL!$C$15, $E$9, 100%, $G$9) + CHOOSE(CONTROL!$C$38, 0.0266, 0)</f>
        <v>14.2082</v>
      </c>
      <c r="C69" s="10">
        <f>13.7592 * CHOOSE(CONTROL!$C$15, $E$9, 100%, $G$9) + CHOOSE(CONTROL!$C$38, 0.0357, 0)</f>
        <v>13.7949</v>
      </c>
      <c r="D69" s="10">
        <f>13.7514 * CHOOSE(CONTROL!$C$15, $E$9, 100%, $G$9) + CHOOSE(CONTROL!$C$38, 0.0357, 0)</f>
        <v>13.787100000000001</v>
      </c>
      <c r="E69" s="28">
        <f>14.0254 * CHOOSE(CONTROL!$C$15, $E$9, 100%, $G$9) + CHOOSE(CONTROL!$C$38, 0.0357, 0)</f>
        <v>14.0611</v>
      </c>
      <c r="F69" s="27">
        <f>14.0254 * CHOOSE(CONTROL!$C$15, $E$9, 100%, $G$9) + CHOOSE(CONTROL!$C$38, 0.0266, 0)</f>
        <v>14.052</v>
      </c>
      <c r="G69" s="10">
        <f>13.7576 * CHOOSE(CONTROL!$C$15, $E$9, 100%, $G$9) + CHOOSE(CONTROL!$C$38, 0.0357, 0)</f>
        <v>13.7933</v>
      </c>
      <c r="H69" s="10">
        <f>13.7576 * CHOOSE(CONTROL!$C$15, $E$9, 100%, $G$9) + CHOOSE(CONTROL!$C$38, 0.0357, 0)</f>
        <v>13.7933</v>
      </c>
      <c r="I69" s="10">
        <f>13.7592 * CHOOSE(CONTROL!$C$15, $E$9, 100%, $G$9) + CHOOSE(CONTROL!$C$38, 0.0357, 0)</f>
        <v>13.7949</v>
      </c>
      <c r="J69" s="29">
        <f>87.1159</f>
        <v>87.115899999999996</v>
      </c>
    </row>
    <row r="70" spans="1:10" ht="15">
      <c r="A70" s="16">
        <v>43405</v>
      </c>
      <c r="B70" s="10">
        <f>14.3751 * CHOOSE(CONTROL!$C$15, $E$9, 100%, $G$9) + CHOOSE(CONTROL!$C$38, 0.0266, 0)</f>
        <v>14.4017</v>
      </c>
      <c r="C70" s="10">
        <f>13.9526 * CHOOSE(CONTROL!$C$15, $E$9, 100%, $G$9) + CHOOSE(CONTROL!$C$38, 0.0357, 0)</f>
        <v>13.988300000000001</v>
      </c>
      <c r="D70" s="10">
        <f>13.9448 * CHOOSE(CONTROL!$C$15, $E$9, 100%, $G$9) + CHOOSE(CONTROL!$C$38, 0.0357, 0)</f>
        <v>13.980500000000001</v>
      </c>
      <c r="E70" s="28">
        <f>14.2188 * CHOOSE(CONTROL!$C$15, $E$9, 100%, $G$9) + CHOOSE(CONTROL!$C$38, 0.0357, 0)</f>
        <v>14.2545</v>
      </c>
      <c r="F70" s="27">
        <f>14.2188 * CHOOSE(CONTROL!$C$15, $E$9, 100%, $G$9) + CHOOSE(CONTROL!$C$38, 0.0266, 0)</f>
        <v>14.2454</v>
      </c>
      <c r="G70" s="10">
        <f>13.9511 * CHOOSE(CONTROL!$C$15, $E$9, 100%, $G$9) + CHOOSE(CONTROL!$C$38, 0.0357, 0)</f>
        <v>13.986800000000001</v>
      </c>
      <c r="H70" s="10">
        <f>13.9511 * CHOOSE(CONTROL!$C$15, $E$9, 100%, $G$9) + CHOOSE(CONTROL!$C$38, 0.0357, 0)</f>
        <v>13.986800000000001</v>
      </c>
      <c r="I70" s="10">
        <f>13.9526 * CHOOSE(CONTROL!$C$15, $E$9, 100%, $G$9) + CHOOSE(CONTROL!$C$38, 0.0357, 0)</f>
        <v>13.988300000000001</v>
      </c>
      <c r="J70" s="29">
        <f>86.4952</f>
        <v>86.495199999999997</v>
      </c>
    </row>
    <row r="71" spans="1:10" ht="15">
      <c r="A71" s="16">
        <v>43435</v>
      </c>
      <c r="B71" s="10">
        <f>14.9711 * CHOOSE(CONTROL!$C$15, $E$9, 100%, $G$9) + CHOOSE(CONTROL!$C$38, 0.0266, 0)</f>
        <v>14.9977</v>
      </c>
      <c r="C71" s="10">
        <f>14.5487 * CHOOSE(CONTROL!$C$15, $E$9, 100%, $G$9) + CHOOSE(CONTROL!$C$38, 0.0357, 0)</f>
        <v>14.5844</v>
      </c>
      <c r="D71" s="10">
        <f>14.5409 * CHOOSE(CONTROL!$C$15, $E$9, 100%, $G$9) + CHOOSE(CONTROL!$C$38, 0.0357, 0)</f>
        <v>14.576600000000001</v>
      </c>
      <c r="E71" s="28">
        <f>14.8149 * CHOOSE(CONTROL!$C$15, $E$9, 100%, $G$9) + CHOOSE(CONTROL!$C$38, 0.0357, 0)</f>
        <v>14.8506</v>
      </c>
      <c r="F71" s="27">
        <f>14.8149 * CHOOSE(CONTROL!$C$15, $E$9, 100%, $G$9) + CHOOSE(CONTROL!$C$38, 0.0266, 0)</f>
        <v>14.8415</v>
      </c>
      <c r="G71" s="10">
        <f>14.5472 * CHOOSE(CONTROL!$C$15, $E$9, 100%, $G$9) + CHOOSE(CONTROL!$C$38, 0.0357, 0)</f>
        <v>14.5829</v>
      </c>
      <c r="H71" s="10">
        <f>14.5472 * CHOOSE(CONTROL!$C$15, $E$9, 100%, $G$9) + CHOOSE(CONTROL!$C$38, 0.0357, 0)</f>
        <v>14.5829</v>
      </c>
      <c r="I71" s="10">
        <f>14.5487 * CHOOSE(CONTROL!$C$15, $E$9, 100%, $G$9) + CHOOSE(CONTROL!$C$38, 0.0357, 0)</f>
        <v>14.5844</v>
      </c>
      <c r="J71" s="29">
        <f>83.9285</f>
        <v>83.9285</v>
      </c>
    </row>
    <row r="72" spans="1:10" ht="15">
      <c r="A72" s="16">
        <v>43466</v>
      </c>
      <c r="B72" s="10">
        <f>17.0237 * CHOOSE(CONTROL!$C$15, $E$9, 100%, $G$9) + CHOOSE(CONTROL!$C$38, 0.0266, 0)</f>
        <v>17.0503</v>
      </c>
      <c r="C72" s="10">
        <f>16.1474 * CHOOSE(CONTROL!$C$15, $E$9, 100%, $G$9) + CHOOSE(CONTROL!$C$38, 0.0357, 0)</f>
        <v>16.1831</v>
      </c>
      <c r="D72" s="10">
        <f>16.1396 * CHOOSE(CONTROL!$C$15, $E$9, 100%, $G$9) + CHOOSE(CONTROL!$C$38, 0.0357, 0)</f>
        <v>16.1753</v>
      </c>
      <c r="E72" s="28">
        <f>16.8675 * CHOOSE(CONTROL!$C$15, $E$9, 100%, $G$9) + CHOOSE(CONTROL!$C$38, 0.0357, 0)</f>
        <v>16.903199999999998</v>
      </c>
      <c r="F72" s="27">
        <f>16.8675 * CHOOSE(CONTROL!$C$15, $E$9, 100%, $G$9) + CHOOSE(CONTROL!$C$38, 0.0266, 0)</f>
        <v>16.894099999999998</v>
      </c>
      <c r="G72" s="10">
        <f>16.1459 * CHOOSE(CONTROL!$C$15, $E$9, 100%, $G$9) + CHOOSE(CONTROL!$C$38, 0.0357, 0)</f>
        <v>16.1816</v>
      </c>
      <c r="H72" s="10">
        <f>16.1459 * CHOOSE(CONTROL!$C$15, $E$9, 100%, $G$9) + CHOOSE(CONTROL!$C$38, 0.0357, 0)</f>
        <v>16.1816</v>
      </c>
      <c r="I72" s="10">
        <f>16.1474 * CHOOSE(CONTROL!$C$15, $E$9, 100%, $G$9) + CHOOSE(CONTROL!$C$38, 0.0357, 0)</f>
        <v>16.1831</v>
      </c>
      <c r="J72" s="26">
        <f>93.2096</f>
        <v>93.209599999999995</v>
      </c>
    </row>
    <row r="73" spans="1:10" ht="15">
      <c r="A73" s="16">
        <v>43497</v>
      </c>
      <c r="B73" s="10">
        <f>17.2445 * CHOOSE(CONTROL!$C$15, $E$9, 100%, $G$9) + CHOOSE(CONTROL!$C$38, 0.0266, 0)</f>
        <v>17.271099999999997</v>
      </c>
      <c r="C73" s="10">
        <f>16.3682 * CHOOSE(CONTROL!$C$15, $E$9, 100%, $G$9) + CHOOSE(CONTROL!$C$38, 0.0357, 0)</f>
        <v>16.4039</v>
      </c>
      <c r="D73" s="10">
        <f>16.3604 * CHOOSE(CONTROL!$C$15, $E$9, 100%, $G$9) + CHOOSE(CONTROL!$C$38, 0.0357, 0)</f>
        <v>16.396099999999997</v>
      </c>
      <c r="E73" s="28">
        <f>17.0882 * CHOOSE(CONTROL!$C$15, $E$9, 100%, $G$9) + CHOOSE(CONTROL!$C$38, 0.0357, 0)</f>
        <v>17.123899999999999</v>
      </c>
      <c r="F73" s="27">
        <f>17.0882 * CHOOSE(CONTROL!$C$15, $E$9, 100%, $G$9) + CHOOSE(CONTROL!$C$38, 0.0266, 0)</f>
        <v>17.114799999999999</v>
      </c>
      <c r="G73" s="10">
        <f>16.3666 * CHOOSE(CONTROL!$C$15, $E$9, 100%, $G$9) + CHOOSE(CONTROL!$C$38, 0.0357, 0)</f>
        <v>16.402299999999997</v>
      </c>
      <c r="H73" s="10">
        <f>16.3666 * CHOOSE(CONTROL!$C$15, $E$9, 100%, $G$9) + CHOOSE(CONTROL!$C$38, 0.0357, 0)</f>
        <v>16.402299999999997</v>
      </c>
      <c r="I73" s="10">
        <f>16.3682 * CHOOSE(CONTROL!$C$15, $E$9, 100%, $G$9) + CHOOSE(CONTROL!$C$38, 0.0357, 0)</f>
        <v>16.4039</v>
      </c>
      <c r="J73" s="26">
        <f>92.9505</f>
        <v>92.950500000000005</v>
      </c>
    </row>
    <row r="74" spans="1:10" ht="15">
      <c r="A74" s="16">
        <v>43525</v>
      </c>
      <c r="B74" s="10">
        <f>16.7334 * CHOOSE(CONTROL!$C$15, $E$9, 100%, $G$9) + CHOOSE(CONTROL!$C$38, 0.0266, 0)</f>
        <v>16.759999999999998</v>
      </c>
      <c r="C74" s="10">
        <f>15.8572 * CHOOSE(CONTROL!$C$15, $E$9, 100%, $G$9) + CHOOSE(CONTROL!$C$38, 0.0357, 0)</f>
        <v>15.892900000000001</v>
      </c>
      <c r="D74" s="10">
        <f>15.8493 * CHOOSE(CONTROL!$C$15, $E$9, 100%, $G$9) + CHOOSE(CONTROL!$C$38, 0.0357, 0)</f>
        <v>15.885</v>
      </c>
      <c r="E74" s="28">
        <f>16.5772 * CHOOSE(CONTROL!$C$15, $E$9, 100%, $G$9) + CHOOSE(CONTROL!$C$38, 0.0357, 0)</f>
        <v>16.6129</v>
      </c>
      <c r="F74" s="27">
        <f>16.5772 * CHOOSE(CONTROL!$C$15, $E$9, 100%, $G$9) + CHOOSE(CONTROL!$C$38, 0.0266, 0)</f>
        <v>16.6038</v>
      </c>
      <c r="G74" s="10">
        <f>15.8556 * CHOOSE(CONTROL!$C$15, $E$9, 100%, $G$9) + CHOOSE(CONTROL!$C$38, 0.0357, 0)</f>
        <v>15.891300000000001</v>
      </c>
      <c r="H74" s="10">
        <f>15.8556 * CHOOSE(CONTROL!$C$15, $E$9, 100%, $G$9) + CHOOSE(CONTROL!$C$38, 0.0357, 0)</f>
        <v>15.891300000000001</v>
      </c>
      <c r="I74" s="10">
        <f>15.8572 * CHOOSE(CONTROL!$C$15, $E$9, 100%, $G$9) + CHOOSE(CONTROL!$C$38, 0.0357, 0)</f>
        <v>15.892900000000001</v>
      </c>
      <c r="J74" s="26">
        <f>97.8496</f>
        <v>97.849599999999995</v>
      </c>
    </row>
    <row r="75" spans="1:10" ht="15">
      <c r="A75" s="16">
        <v>43556</v>
      </c>
      <c r="B75" s="10">
        <f>16.2383 * CHOOSE(CONTROL!$C$15, $E$9, 100%, $G$9) + CHOOSE(CONTROL!$C$38, 0.0266, 0)</f>
        <v>16.264899999999997</v>
      </c>
      <c r="C75" s="10">
        <f>15.362 * CHOOSE(CONTROL!$C$15, $E$9, 100%, $G$9) + CHOOSE(CONTROL!$C$38, 0.0357, 0)</f>
        <v>15.3977</v>
      </c>
      <c r="D75" s="10">
        <f>15.3542 * CHOOSE(CONTROL!$C$15, $E$9, 100%, $G$9) + CHOOSE(CONTROL!$C$38, 0.0357, 0)</f>
        <v>15.389900000000001</v>
      </c>
      <c r="E75" s="28">
        <f>16.082 * CHOOSE(CONTROL!$C$15, $E$9, 100%, $G$9) + CHOOSE(CONTROL!$C$38, 0.0357, 0)</f>
        <v>16.117699999999999</v>
      </c>
      <c r="F75" s="27">
        <f>16.082 * CHOOSE(CONTROL!$C$15, $E$9, 100%, $G$9) + CHOOSE(CONTROL!$C$38, 0.0266, 0)</f>
        <v>16.108599999999999</v>
      </c>
      <c r="G75" s="10">
        <f>15.3604 * CHOOSE(CONTROL!$C$15, $E$9, 100%, $G$9) + CHOOSE(CONTROL!$C$38, 0.0357, 0)</f>
        <v>15.396100000000001</v>
      </c>
      <c r="H75" s="10">
        <f>15.3604 * CHOOSE(CONTROL!$C$15, $E$9, 100%, $G$9) + CHOOSE(CONTROL!$C$38, 0.0357, 0)</f>
        <v>15.396100000000001</v>
      </c>
      <c r="I75" s="10">
        <f>15.362 * CHOOSE(CONTROL!$C$15, $E$9, 100%, $G$9) + CHOOSE(CONTROL!$C$38, 0.0357, 0)</f>
        <v>15.3977</v>
      </c>
      <c r="J75" s="26">
        <f>104.2024</f>
        <v>104.2024</v>
      </c>
    </row>
    <row r="76" spans="1:10" ht="15">
      <c r="A76" s="16">
        <v>43586</v>
      </c>
      <c r="B76" s="10">
        <f>15.7221 * CHOOSE(CONTROL!$C$15, $E$9, 100%, $G$9) + CHOOSE(CONTROL!$C$38, 0.0266, 0)</f>
        <v>15.748699999999999</v>
      </c>
      <c r="C76" s="10">
        <f>14.8459 * CHOOSE(CONTROL!$C$15, $E$9, 100%, $G$9) + CHOOSE(CONTROL!$C$38, 0.0357, 0)</f>
        <v>14.881600000000001</v>
      </c>
      <c r="D76" s="10">
        <f>14.838 * CHOOSE(CONTROL!$C$15, $E$9, 100%, $G$9) + CHOOSE(CONTROL!$C$38, 0.0357, 0)</f>
        <v>14.873699999999999</v>
      </c>
      <c r="E76" s="28">
        <f>15.5659 * CHOOSE(CONTROL!$C$15, $E$9, 100%, $G$9) + CHOOSE(CONTROL!$C$38, 0.0357, 0)</f>
        <v>15.601599999999999</v>
      </c>
      <c r="F76" s="27">
        <f>15.5659 * CHOOSE(CONTROL!$C$15, $E$9, 100%, $G$9) + CHOOSE(CONTROL!$C$38, 0.0266, 0)</f>
        <v>15.592499999999999</v>
      </c>
      <c r="G76" s="10">
        <f>14.8443 * CHOOSE(CONTROL!$C$15, $E$9, 100%, $G$9) + CHOOSE(CONTROL!$C$38, 0.0357, 0)</f>
        <v>14.88</v>
      </c>
      <c r="H76" s="10">
        <f>14.8443 * CHOOSE(CONTROL!$C$15, $E$9, 100%, $G$9) + CHOOSE(CONTROL!$C$38, 0.0357, 0)</f>
        <v>14.88</v>
      </c>
      <c r="I76" s="10">
        <f>14.8459 * CHOOSE(CONTROL!$C$15, $E$9, 100%, $G$9) + CHOOSE(CONTROL!$C$38, 0.0357, 0)</f>
        <v>14.881600000000001</v>
      </c>
      <c r="J76" s="26">
        <f>107.6993</f>
        <v>107.69929999999999</v>
      </c>
    </row>
    <row r="77" spans="1:10" ht="15">
      <c r="A77" s="16">
        <v>43617</v>
      </c>
      <c r="B77" s="10">
        <f>15.3603 * CHOOSE(CONTROL!$C$15, $E$9, 100%, $G$9) + CHOOSE(CONTROL!$C$38, 0.0266, 0)</f>
        <v>15.386900000000001</v>
      </c>
      <c r="C77" s="10">
        <f>14.484 * CHOOSE(CONTROL!$C$15, $E$9, 100%, $G$9) + CHOOSE(CONTROL!$C$38, 0.0357, 0)</f>
        <v>14.5197</v>
      </c>
      <c r="D77" s="10">
        <f>14.4762 * CHOOSE(CONTROL!$C$15, $E$9, 100%, $G$9) + CHOOSE(CONTROL!$C$38, 0.0357, 0)</f>
        <v>14.511900000000001</v>
      </c>
      <c r="E77" s="28">
        <f>15.2041 * CHOOSE(CONTROL!$C$15, $E$9, 100%, $G$9) + CHOOSE(CONTROL!$C$38, 0.0357, 0)</f>
        <v>15.239800000000001</v>
      </c>
      <c r="F77" s="27">
        <f>15.2041 * CHOOSE(CONTROL!$C$15, $E$9, 100%, $G$9) + CHOOSE(CONTROL!$C$38, 0.0266, 0)</f>
        <v>15.230700000000001</v>
      </c>
      <c r="G77" s="10">
        <f>14.4825 * CHOOSE(CONTROL!$C$15, $E$9, 100%, $G$9) + CHOOSE(CONTROL!$C$38, 0.0357, 0)</f>
        <v>14.5182</v>
      </c>
      <c r="H77" s="10">
        <f>14.4825 * CHOOSE(CONTROL!$C$15, $E$9, 100%, $G$9) + CHOOSE(CONTROL!$C$38, 0.0357, 0)</f>
        <v>14.5182</v>
      </c>
      <c r="I77" s="10">
        <f>14.484 * CHOOSE(CONTROL!$C$15, $E$9, 100%, $G$9) + CHOOSE(CONTROL!$C$38, 0.0357, 0)</f>
        <v>14.5197</v>
      </c>
      <c r="J77" s="26">
        <f>109.2511</f>
        <v>109.25109999999999</v>
      </c>
    </row>
    <row r="78" spans="1:10" ht="15">
      <c r="A78" s="16">
        <v>43647</v>
      </c>
      <c r="B78" s="10">
        <f>15.1538 * CHOOSE(CONTROL!$C$15, $E$9, 100%, $G$9) + CHOOSE(CONTROL!$C$38, 0.0266, 0)</f>
        <v>15.180400000000001</v>
      </c>
      <c r="C78" s="10">
        <f>14.2775 * CHOOSE(CONTROL!$C$15, $E$9, 100%, $G$9) + CHOOSE(CONTROL!$C$38, 0.0357, 0)</f>
        <v>14.3132</v>
      </c>
      <c r="D78" s="10">
        <f>14.2697 * CHOOSE(CONTROL!$C$15, $E$9, 100%, $G$9) + CHOOSE(CONTROL!$C$38, 0.0357, 0)</f>
        <v>14.305400000000001</v>
      </c>
      <c r="E78" s="28">
        <f>14.9976 * CHOOSE(CONTROL!$C$15, $E$9, 100%, $G$9) + CHOOSE(CONTROL!$C$38, 0.0357, 0)</f>
        <v>15.033300000000001</v>
      </c>
      <c r="F78" s="27">
        <f>14.9976 * CHOOSE(CONTROL!$C$15, $E$9, 100%, $G$9) + CHOOSE(CONTROL!$C$38, 0.0266, 0)</f>
        <v>15.0242</v>
      </c>
      <c r="G78" s="10">
        <f>14.276 * CHOOSE(CONTROL!$C$15, $E$9, 100%, $G$9) + CHOOSE(CONTROL!$C$38, 0.0357, 0)</f>
        <v>14.3117</v>
      </c>
      <c r="H78" s="10">
        <f>14.276 * CHOOSE(CONTROL!$C$15, $E$9, 100%, $G$9) + CHOOSE(CONTROL!$C$38, 0.0357, 0)</f>
        <v>14.3117</v>
      </c>
      <c r="I78" s="10">
        <f>14.2775 * CHOOSE(CONTROL!$C$15, $E$9, 100%, $G$9) + CHOOSE(CONTROL!$C$38, 0.0357, 0)</f>
        <v>14.3132</v>
      </c>
      <c r="J78" s="26">
        <f>108.7402</f>
        <v>108.7402</v>
      </c>
    </row>
    <row r="79" spans="1:10" ht="15">
      <c r="A79" s="16">
        <v>43678</v>
      </c>
      <c r="B79" s="10">
        <f>15.2557 * CHOOSE(CONTROL!$C$15, $E$9, 100%, $G$9) + CHOOSE(CONTROL!$C$38, 0.0266, 0)</f>
        <v>15.282299999999999</v>
      </c>
      <c r="C79" s="10">
        <f>14.3794 * CHOOSE(CONTROL!$C$15, $E$9, 100%, $G$9) + CHOOSE(CONTROL!$C$38, 0.0357, 0)</f>
        <v>14.415100000000001</v>
      </c>
      <c r="D79" s="10">
        <f>14.3716 * CHOOSE(CONTROL!$C$15, $E$9, 100%, $G$9) + CHOOSE(CONTROL!$C$38, 0.0357, 0)</f>
        <v>14.407300000000001</v>
      </c>
      <c r="E79" s="28">
        <f>15.0995 * CHOOSE(CONTROL!$C$15, $E$9, 100%, $G$9) + CHOOSE(CONTROL!$C$38, 0.0357, 0)</f>
        <v>15.135200000000001</v>
      </c>
      <c r="F79" s="27">
        <f>15.0995 * CHOOSE(CONTROL!$C$15, $E$9, 100%, $G$9) + CHOOSE(CONTROL!$C$38, 0.0266, 0)</f>
        <v>15.126100000000001</v>
      </c>
      <c r="G79" s="10">
        <f>14.3779 * CHOOSE(CONTROL!$C$15, $E$9, 100%, $G$9) + CHOOSE(CONTROL!$C$38, 0.0357, 0)</f>
        <v>14.413600000000001</v>
      </c>
      <c r="H79" s="10">
        <f>14.3779 * CHOOSE(CONTROL!$C$15, $E$9, 100%, $G$9) + CHOOSE(CONTROL!$C$38, 0.0357, 0)</f>
        <v>14.413600000000001</v>
      </c>
      <c r="I79" s="10">
        <f>14.3794 * CHOOSE(CONTROL!$C$15, $E$9, 100%, $G$9) + CHOOSE(CONTROL!$C$38, 0.0357, 0)</f>
        <v>14.415100000000001</v>
      </c>
      <c r="J79" s="26">
        <f>106.2087</f>
        <v>106.20869999999999</v>
      </c>
    </row>
    <row r="80" spans="1:10" ht="15">
      <c r="A80" s="16">
        <v>43709</v>
      </c>
      <c r="B80" s="10">
        <f>15.5325 * CHOOSE(CONTROL!$C$15, $E$9, 100%, $G$9) + CHOOSE(CONTROL!$C$38, 0.0266, 0)</f>
        <v>15.559100000000001</v>
      </c>
      <c r="C80" s="10">
        <f>14.6562 * CHOOSE(CONTROL!$C$15, $E$9, 100%, $G$9) + CHOOSE(CONTROL!$C$38, 0.0357, 0)</f>
        <v>14.6919</v>
      </c>
      <c r="D80" s="10">
        <f>14.6484 * CHOOSE(CONTROL!$C$15, $E$9, 100%, $G$9) + CHOOSE(CONTROL!$C$38, 0.0357, 0)</f>
        <v>14.684100000000001</v>
      </c>
      <c r="E80" s="28">
        <f>15.3763 * CHOOSE(CONTROL!$C$15, $E$9, 100%, $G$9) + CHOOSE(CONTROL!$C$38, 0.0357, 0)</f>
        <v>15.412000000000001</v>
      </c>
      <c r="F80" s="27">
        <f>15.3763 * CHOOSE(CONTROL!$C$15, $E$9, 100%, $G$9) + CHOOSE(CONTROL!$C$38, 0.0266, 0)</f>
        <v>15.402900000000001</v>
      </c>
      <c r="G80" s="10">
        <f>14.6547 * CHOOSE(CONTROL!$C$15, $E$9, 100%, $G$9) + CHOOSE(CONTROL!$C$38, 0.0357, 0)</f>
        <v>14.6904</v>
      </c>
      <c r="H80" s="10">
        <f>14.6547 * CHOOSE(CONTROL!$C$15, $E$9, 100%, $G$9) + CHOOSE(CONTROL!$C$38, 0.0357, 0)</f>
        <v>14.6904</v>
      </c>
      <c r="I80" s="10">
        <f>14.6562 * CHOOSE(CONTROL!$C$15, $E$9, 100%, $G$9) + CHOOSE(CONTROL!$C$38, 0.0357, 0)</f>
        <v>14.6919</v>
      </c>
      <c r="J80" s="26">
        <f>102.6785</f>
        <v>102.6785</v>
      </c>
    </row>
    <row r="81" spans="1:10" ht="15">
      <c r="A81" s="16">
        <v>43739</v>
      </c>
      <c r="B81" s="10">
        <f>15.7644 * CHOOSE(CONTROL!$C$15, $E$9, 100%, $G$9) + CHOOSE(CONTROL!$C$38, 0.0266, 0)</f>
        <v>15.791</v>
      </c>
      <c r="C81" s="10">
        <f>14.8881 * CHOOSE(CONTROL!$C$15, $E$9, 100%, $G$9) + CHOOSE(CONTROL!$C$38, 0.0357, 0)</f>
        <v>14.9238</v>
      </c>
      <c r="D81" s="10">
        <f>14.8803 * CHOOSE(CONTROL!$C$15, $E$9, 100%, $G$9) + CHOOSE(CONTROL!$C$38, 0.0357, 0)</f>
        <v>14.916</v>
      </c>
      <c r="E81" s="28">
        <f>15.6081 * CHOOSE(CONTROL!$C$15, $E$9, 100%, $G$9) + CHOOSE(CONTROL!$C$38, 0.0357, 0)</f>
        <v>15.643800000000001</v>
      </c>
      <c r="F81" s="27">
        <f>15.6081 * CHOOSE(CONTROL!$C$15, $E$9, 100%, $G$9) + CHOOSE(CONTROL!$C$38, 0.0266, 0)</f>
        <v>15.6347</v>
      </c>
      <c r="G81" s="10">
        <f>14.8865 * CHOOSE(CONTROL!$C$15, $E$9, 100%, $G$9) + CHOOSE(CONTROL!$C$38, 0.0357, 0)</f>
        <v>14.9222</v>
      </c>
      <c r="H81" s="10">
        <f>14.8865 * CHOOSE(CONTROL!$C$15, $E$9, 100%, $G$9) + CHOOSE(CONTROL!$C$38, 0.0357, 0)</f>
        <v>14.9222</v>
      </c>
      <c r="I81" s="10">
        <f>14.8881 * CHOOSE(CONTROL!$C$15, $E$9, 100%, $G$9) + CHOOSE(CONTROL!$C$38, 0.0357, 0)</f>
        <v>14.9238</v>
      </c>
      <c r="J81" s="26">
        <f>99.1278</f>
        <v>99.127799999999993</v>
      </c>
    </row>
    <row r="82" spans="1:10" ht="15">
      <c r="A82" s="16">
        <v>43770</v>
      </c>
      <c r="B82" s="10">
        <f>15.9578 * CHOOSE(CONTROL!$C$15, $E$9, 100%, $G$9) + CHOOSE(CONTROL!$C$38, 0.0266, 0)</f>
        <v>15.984400000000001</v>
      </c>
      <c r="C82" s="10">
        <f>15.0815 * CHOOSE(CONTROL!$C$15, $E$9, 100%, $G$9) + CHOOSE(CONTROL!$C$38, 0.0357, 0)</f>
        <v>15.1172</v>
      </c>
      <c r="D82" s="10">
        <f>15.0737 * CHOOSE(CONTROL!$C$15, $E$9, 100%, $G$9) + CHOOSE(CONTROL!$C$38, 0.0357, 0)</f>
        <v>15.109400000000001</v>
      </c>
      <c r="E82" s="28">
        <f>15.8015 * CHOOSE(CONTROL!$C$15, $E$9, 100%, $G$9) + CHOOSE(CONTROL!$C$38, 0.0357, 0)</f>
        <v>15.837200000000001</v>
      </c>
      <c r="F82" s="27">
        <f>15.8015 * CHOOSE(CONTROL!$C$15, $E$9, 100%, $G$9) + CHOOSE(CONTROL!$C$38, 0.0266, 0)</f>
        <v>15.828100000000001</v>
      </c>
      <c r="G82" s="10">
        <f>15.0799 * CHOOSE(CONTROL!$C$15, $E$9, 100%, $G$9) + CHOOSE(CONTROL!$C$38, 0.0357, 0)</f>
        <v>15.115600000000001</v>
      </c>
      <c r="H82" s="10">
        <f>15.0799 * CHOOSE(CONTROL!$C$15, $E$9, 100%, $G$9) + CHOOSE(CONTROL!$C$38, 0.0357, 0)</f>
        <v>15.115600000000001</v>
      </c>
      <c r="I82" s="10">
        <f>15.0815 * CHOOSE(CONTROL!$C$15, $E$9, 100%, $G$9) + CHOOSE(CONTROL!$C$38, 0.0357, 0)</f>
        <v>15.1172</v>
      </c>
      <c r="J82" s="26">
        <f>98.4215</f>
        <v>98.421499999999995</v>
      </c>
    </row>
    <row r="83" spans="1:10" ht="15">
      <c r="A83" s="16">
        <v>43800</v>
      </c>
      <c r="B83" s="10">
        <f>16.5539 * CHOOSE(CONTROL!$C$15, $E$9, 100%, $G$9) + CHOOSE(CONTROL!$C$38, 0.0266, 0)</f>
        <v>16.580499999999997</v>
      </c>
      <c r="C83" s="10">
        <f>15.6776 * CHOOSE(CONTROL!$C$15, $E$9, 100%, $G$9) + CHOOSE(CONTROL!$C$38, 0.0357, 0)</f>
        <v>15.7133</v>
      </c>
      <c r="D83" s="10">
        <f>15.6698 * CHOOSE(CONTROL!$C$15, $E$9, 100%, $G$9) + CHOOSE(CONTROL!$C$38, 0.0357, 0)</f>
        <v>15.705500000000001</v>
      </c>
      <c r="E83" s="28">
        <f>16.3976 * CHOOSE(CONTROL!$C$15, $E$9, 100%, $G$9) + CHOOSE(CONTROL!$C$38, 0.0357, 0)</f>
        <v>16.433299999999999</v>
      </c>
      <c r="F83" s="27">
        <f>16.3976 * CHOOSE(CONTROL!$C$15, $E$9, 100%, $G$9) + CHOOSE(CONTROL!$C$38, 0.0266, 0)</f>
        <v>16.424199999999999</v>
      </c>
      <c r="G83" s="10">
        <f>15.676 * CHOOSE(CONTROL!$C$15, $E$9, 100%, $G$9) + CHOOSE(CONTROL!$C$38, 0.0357, 0)</f>
        <v>15.7117</v>
      </c>
      <c r="H83" s="10">
        <f>15.676 * CHOOSE(CONTROL!$C$15, $E$9, 100%, $G$9) + CHOOSE(CONTROL!$C$38, 0.0357, 0)</f>
        <v>15.7117</v>
      </c>
      <c r="I83" s="10">
        <f>15.6776 * CHOOSE(CONTROL!$C$15, $E$9, 100%, $G$9) + CHOOSE(CONTROL!$C$38, 0.0357, 0)</f>
        <v>15.7133</v>
      </c>
      <c r="J83" s="26">
        <f>95.5008</f>
        <v>95.500799999999998</v>
      </c>
    </row>
    <row r="84" spans="1:10" ht="15">
      <c r="A84" s="16">
        <v>43831</v>
      </c>
      <c r="B84" s="10">
        <f>17.9366 * CHOOSE(CONTROL!$C$15, $E$9, 100%, $G$9) + CHOOSE(CONTROL!$C$38, 0.0266, 0)</f>
        <v>17.963199999999997</v>
      </c>
      <c r="C84" s="10">
        <f>16.8896 * CHOOSE(CONTROL!$C$15, $E$9, 100%, $G$9) + CHOOSE(CONTROL!$C$38, 0.0357, 0)</f>
        <v>16.9253</v>
      </c>
      <c r="D84" s="10">
        <f>16.8818 * CHOOSE(CONTROL!$C$15, $E$9, 100%, $G$9) + CHOOSE(CONTROL!$C$38, 0.0357, 0)</f>
        <v>16.917499999999997</v>
      </c>
      <c r="E84" s="28">
        <f>17.7804 * CHOOSE(CONTROL!$C$15, $E$9, 100%, $G$9) + CHOOSE(CONTROL!$C$38, 0.0357, 0)</f>
        <v>17.816099999999999</v>
      </c>
      <c r="F84" s="27">
        <f>17.7804 * CHOOSE(CONTROL!$C$15, $E$9, 100%, $G$9) + CHOOSE(CONTROL!$C$38, 0.0266, 0)</f>
        <v>17.806999999999999</v>
      </c>
      <c r="G84" s="10">
        <f>16.888 * CHOOSE(CONTROL!$C$15, $E$9, 100%, $G$9) + CHOOSE(CONTROL!$C$38, 0.0357, 0)</f>
        <v>16.9237</v>
      </c>
      <c r="H84" s="10">
        <f>16.888 * CHOOSE(CONTROL!$C$15, $E$9, 100%, $G$9) + CHOOSE(CONTROL!$C$38, 0.0357, 0)</f>
        <v>16.9237</v>
      </c>
      <c r="I84" s="10">
        <f>16.8896 * CHOOSE(CONTROL!$C$15, $E$9, 100%, $G$9) + CHOOSE(CONTROL!$C$38, 0.0357, 0)</f>
        <v>16.9253</v>
      </c>
      <c r="J84" s="26">
        <f>97.0458</f>
        <v>97.0458</v>
      </c>
    </row>
    <row r="85" spans="1:10" ht="15">
      <c r="A85" s="16">
        <v>43862</v>
      </c>
      <c r="B85" s="10">
        <f>18.1574 * CHOOSE(CONTROL!$C$15, $E$9, 100%, $G$9) + CHOOSE(CONTROL!$C$38, 0.0266, 0)</f>
        <v>18.183999999999997</v>
      </c>
      <c r="C85" s="10">
        <f>17.1104 * CHOOSE(CONTROL!$C$15, $E$9, 100%, $G$9) + CHOOSE(CONTROL!$C$38, 0.0357, 0)</f>
        <v>17.146099999999997</v>
      </c>
      <c r="D85" s="10">
        <f>17.1026 * CHOOSE(CONTROL!$C$15, $E$9, 100%, $G$9) + CHOOSE(CONTROL!$C$38, 0.0357, 0)</f>
        <v>17.138299999999997</v>
      </c>
      <c r="E85" s="28">
        <f>18.0011 * CHOOSE(CONTROL!$C$15, $E$9, 100%, $G$9) + CHOOSE(CONTROL!$C$38, 0.0357, 0)</f>
        <v>18.036799999999999</v>
      </c>
      <c r="F85" s="27">
        <f>18.0011 * CHOOSE(CONTROL!$C$15, $E$9, 100%, $G$9) + CHOOSE(CONTROL!$C$38, 0.0266, 0)</f>
        <v>18.027699999999999</v>
      </c>
      <c r="G85" s="10">
        <f>17.1088 * CHOOSE(CONTROL!$C$15, $E$9, 100%, $G$9) + CHOOSE(CONTROL!$C$38, 0.0357, 0)</f>
        <v>17.144499999999997</v>
      </c>
      <c r="H85" s="10">
        <f>17.1088 * CHOOSE(CONTROL!$C$15, $E$9, 100%, $G$9) + CHOOSE(CONTROL!$C$38, 0.0357, 0)</f>
        <v>17.144499999999997</v>
      </c>
      <c r="I85" s="10">
        <f>17.1104 * CHOOSE(CONTROL!$C$15, $E$9, 100%, $G$9) + CHOOSE(CONTROL!$C$38, 0.0357, 0)</f>
        <v>17.146099999999997</v>
      </c>
      <c r="J85" s="26">
        <f>96.7761</f>
        <v>96.7761</v>
      </c>
    </row>
    <row r="86" spans="1:10" ht="15">
      <c r="A86" s="16">
        <v>43891</v>
      </c>
      <c r="B86" s="10">
        <f>17.6463 * CHOOSE(CONTROL!$C$15, $E$9, 100%, $G$9) + CHOOSE(CONTROL!$C$38, 0.0266, 0)</f>
        <v>17.672899999999998</v>
      </c>
      <c r="C86" s="10">
        <f>16.5993 * CHOOSE(CONTROL!$C$15, $E$9, 100%, $G$9) + CHOOSE(CONTROL!$C$38, 0.0357, 0)</f>
        <v>16.634999999999998</v>
      </c>
      <c r="D86" s="10">
        <f>16.5915 * CHOOSE(CONTROL!$C$15, $E$9, 100%, $G$9) + CHOOSE(CONTROL!$C$38, 0.0357, 0)</f>
        <v>16.627199999999998</v>
      </c>
      <c r="E86" s="28">
        <f>17.4901 * CHOOSE(CONTROL!$C$15, $E$9, 100%, $G$9) + CHOOSE(CONTROL!$C$38, 0.0357, 0)</f>
        <v>17.5258</v>
      </c>
      <c r="F86" s="27">
        <f>17.4901 * CHOOSE(CONTROL!$C$15, $E$9, 100%, $G$9) + CHOOSE(CONTROL!$C$38, 0.0266, 0)</f>
        <v>17.5167</v>
      </c>
      <c r="G86" s="10">
        <f>16.5978 * CHOOSE(CONTROL!$C$15, $E$9, 100%, $G$9) + CHOOSE(CONTROL!$C$38, 0.0357, 0)</f>
        <v>16.633499999999998</v>
      </c>
      <c r="H86" s="10">
        <f>16.5978 * CHOOSE(CONTROL!$C$15, $E$9, 100%, $G$9) + CHOOSE(CONTROL!$C$38, 0.0357, 0)</f>
        <v>16.633499999999998</v>
      </c>
      <c r="I86" s="10">
        <f>16.5993 * CHOOSE(CONTROL!$C$15, $E$9, 100%, $G$9) + CHOOSE(CONTROL!$C$38, 0.0357, 0)</f>
        <v>16.634999999999998</v>
      </c>
      <c r="J86" s="26">
        <f>101.8767</f>
        <v>101.8767</v>
      </c>
    </row>
    <row r="87" spans="1:10" ht="15">
      <c r="A87" s="16">
        <v>43922</v>
      </c>
      <c r="B87" s="10">
        <f>17.1512 * CHOOSE(CONTROL!$C$15, $E$9, 100%, $G$9) + CHOOSE(CONTROL!$C$38, 0.0266, 0)</f>
        <v>17.177799999999998</v>
      </c>
      <c r="C87" s="10">
        <f>16.1042 * CHOOSE(CONTROL!$C$15, $E$9, 100%, $G$9) + CHOOSE(CONTROL!$C$38, 0.0357, 0)</f>
        <v>16.139899999999997</v>
      </c>
      <c r="D87" s="10">
        <f>16.0963 * CHOOSE(CONTROL!$C$15, $E$9, 100%, $G$9) + CHOOSE(CONTROL!$C$38, 0.0357, 0)</f>
        <v>16.131999999999998</v>
      </c>
      <c r="E87" s="28">
        <f>16.9949 * CHOOSE(CONTROL!$C$15, $E$9, 100%, $G$9) + CHOOSE(CONTROL!$C$38, 0.0357, 0)</f>
        <v>17.0306</v>
      </c>
      <c r="F87" s="27">
        <f>16.9949 * CHOOSE(CONTROL!$C$15, $E$9, 100%, $G$9) + CHOOSE(CONTROL!$C$38, 0.0266, 0)</f>
        <v>17.0215</v>
      </c>
      <c r="G87" s="10">
        <f>16.1026 * CHOOSE(CONTROL!$C$15, $E$9, 100%, $G$9) + CHOOSE(CONTROL!$C$38, 0.0357, 0)</f>
        <v>16.138299999999997</v>
      </c>
      <c r="H87" s="10">
        <f>16.1026 * CHOOSE(CONTROL!$C$15, $E$9, 100%, $G$9) + CHOOSE(CONTROL!$C$38, 0.0357, 0)</f>
        <v>16.138299999999997</v>
      </c>
      <c r="I87" s="10">
        <f>16.1042 * CHOOSE(CONTROL!$C$15, $E$9, 100%, $G$9) + CHOOSE(CONTROL!$C$38, 0.0357, 0)</f>
        <v>16.139899999999997</v>
      </c>
      <c r="J87" s="26">
        <f>108.4911</f>
        <v>108.4911</v>
      </c>
    </row>
    <row r="88" spans="1:10" ht="15">
      <c r="A88" s="16">
        <v>43952</v>
      </c>
      <c r="B88" s="10">
        <f>16.635 * CHOOSE(CONTROL!$C$15, $E$9, 100%, $G$9) + CHOOSE(CONTROL!$C$38, 0.0266, 0)</f>
        <v>16.6616</v>
      </c>
      <c r="C88" s="10">
        <f>15.588 * CHOOSE(CONTROL!$C$15, $E$9, 100%, $G$9) + CHOOSE(CONTROL!$C$38, 0.0357, 0)</f>
        <v>15.623699999999999</v>
      </c>
      <c r="D88" s="10">
        <f>15.5802 * CHOOSE(CONTROL!$C$15, $E$9, 100%, $G$9) + CHOOSE(CONTROL!$C$38, 0.0357, 0)</f>
        <v>15.6159</v>
      </c>
      <c r="E88" s="28">
        <f>16.4788 * CHOOSE(CONTROL!$C$15, $E$9, 100%, $G$9) + CHOOSE(CONTROL!$C$38, 0.0357, 0)</f>
        <v>16.514499999999998</v>
      </c>
      <c r="F88" s="27">
        <f>16.4788 * CHOOSE(CONTROL!$C$15, $E$9, 100%, $G$9) + CHOOSE(CONTROL!$C$38, 0.0266, 0)</f>
        <v>16.505399999999998</v>
      </c>
      <c r="G88" s="10">
        <f>15.5865 * CHOOSE(CONTROL!$C$15, $E$9, 100%, $G$9) + CHOOSE(CONTROL!$C$38, 0.0357, 0)</f>
        <v>15.622199999999999</v>
      </c>
      <c r="H88" s="10">
        <f>15.5865 * CHOOSE(CONTROL!$C$15, $E$9, 100%, $G$9) + CHOOSE(CONTROL!$C$38, 0.0357, 0)</f>
        <v>15.622199999999999</v>
      </c>
      <c r="I88" s="10">
        <f>15.588 * CHOOSE(CONTROL!$C$15, $E$9, 100%, $G$9) + CHOOSE(CONTROL!$C$38, 0.0357, 0)</f>
        <v>15.623699999999999</v>
      </c>
      <c r="J88" s="26">
        <f>112.1318</f>
        <v>112.1318</v>
      </c>
    </row>
    <row r="89" spans="1:10" ht="15">
      <c r="A89" s="16">
        <v>43983</v>
      </c>
      <c r="B89" s="10">
        <f>16.2732 * CHOOSE(CONTROL!$C$15, $E$9, 100%, $G$9) + CHOOSE(CONTROL!$C$38, 0.0266, 0)</f>
        <v>16.299799999999998</v>
      </c>
      <c r="C89" s="10">
        <f>15.2262 * CHOOSE(CONTROL!$C$15, $E$9, 100%, $G$9) + CHOOSE(CONTROL!$C$38, 0.0357, 0)</f>
        <v>15.261900000000001</v>
      </c>
      <c r="D89" s="10">
        <f>15.2184 * CHOOSE(CONTROL!$C$15, $E$9, 100%, $G$9) + CHOOSE(CONTROL!$C$38, 0.0357, 0)</f>
        <v>15.254100000000001</v>
      </c>
      <c r="E89" s="28">
        <f>16.117 * CHOOSE(CONTROL!$C$15, $E$9, 100%, $G$9) + CHOOSE(CONTROL!$C$38, 0.0357, 0)</f>
        <v>16.152699999999999</v>
      </c>
      <c r="F89" s="27">
        <f>16.117 * CHOOSE(CONTROL!$C$15, $E$9, 100%, $G$9) + CHOOSE(CONTROL!$C$38, 0.0266, 0)</f>
        <v>16.143599999999999</v>
      </c>
      <c r="G89" s="10">
        <f>15.2247 * CHOOSE(CONTROL!$C$15, $E$9, 100%, $G$9) + CHOOSE(CONTROL!$C$38, 0.0357, 0)</f>
        <v>15.260400000000001</v>
      </c>
      <c r="H89" s="10">
        <f>15.2247 * CHOOSE(CONTROL!$C$15, $E$9, 100%, $G$9) + CHOOSE(CONTROL!$C$38, 0.0357, 0)</f>
        <v>15.260400000000001</v>
      </c>
      <c r="I89" s="10">
        <f>15.2262 * CHOOSE(CONTROL!$C$15, $E$9, 100%, $G$9) + CHOOSE(CONTROL!$C$38, 0.0357, 0)</f>
        <v>15.261900000000001</v>
      </c>
      <c r="J89" s="26">
        <f>113.7475</f>
        <v>113.7475</v>
      </c>
    </row>
    <row r="90" spans="1:10" ht="15">
      <c r="A90" s="16">
        <v>44013</v>
      </c>
      <c r="B90" s="10">
        <f>16.0667 * CHOOSE(CONTROL!$C$15, $E$9, 100%, $G$9) + CHOOSE(CONTROL!$C$38, 0.0266, 0)</f>
        <v>16.093299999999999</v>
      </c>
      <c r="C90" s="10">
        <f>15.0197 * CHOOSE(CONTROL!$C$15, $E$9, 100%, $G$9) + CHOOSE(CONTROL!$C$38, 0.0357, 0)</f>
        <v>15.055400000000001</v>
      </c>
      <c r="D90" s="10">
        <f>15.0119 * CHOOSE(CONTROL!$C$15, $E$9, 100%, $G$9) + CHOOSE(CONTROL!$C$38, 0.0357, 0)</f>
        <v>15.047600000000001</v>
      </c>
      <c r="E90" s="28">
        <f>15.9105 * CHOOSE(CONTROL!$C$15, $E$9, 100%, $G$9) + CHOOSE(CONTROL!$C$38, 0.0357, 0)</f>
        <v>15.946200000000001</v>
      </c>
      <c r="F90" s="27">
        <f>15.9105 * CHOOSE(CONTROL!$C$15, $E$9, 100%, $G$9) + CHOOSE(CONTROL!$C$38, 0.0266, 0)</f>
        <v>15.937100000000001</v>
      </c>
      <c r="G90" s="10">
        <f>15.0182 * CHOOSE(CONTROL!$C$15, $E$9, 100%, $G$9) + CHOOSE(CONTROL!$C$38, 0.0357, 0)</f>
        <v>15.053900000000001</v>
      </c>
      <c r="H90" s="10">
        <f>15.0182 * CHOOSE(CONTROL!$C$15, $E$9, 100%, $G$9) + CHOOSE(CONTROL!$C$38, 0.0357, 0)</f>
        <v>15.053900000000001</v>
      </c>
      <c r="I90" s="10">
        <f>15.0197 * CHOOSE(CONTROL!$C$15, $E$9, 100%, $G$9) + CHOOSE(CONTROL!$C$38, 0.0357, 0)</f>
        <v>15.055400000000001</v>
      </c>
      <c r="J90" s="26">
        <f>113.2155</f>
        <v>113.21550000000001</v>
      </c>
    </row>
    <row r="91" spans="1:10" ht="15">
      <c r="A91" s="16">
        <v>44044</v>
      </c>
      <c r="B91" s="10">
        <f>16.1686 * CHOOSE(CONTROL!$C$15, $E$9, 100%, $G$9) + CHOOSE(CONTROL!$C$38, 0.0266, 0)</f>
        <v>16.1952</v>
      </c>
      <c r="C91" s="10">
        <f>15.1216 * CHOOSE(CONTROL!$C$15, $E$9, 100%, $G$9) + CHOOSE(CONTROL!$C$38, 0.0357, 0)</f>
        <v>15.157300000000001</v>
      </c>
      <c r="D91" s="10">
        <f>15.1138 * CHOOSE(CONTROL!$C$15, $E$9, 100%, $G$9) + CHOOSE(CONTROL!$C$38, 0.0357, 0)</f>
        <v>15.1495</v>
      </c>
      <c r="E91" s="28">
        <f>16.0124 * CHOOSE(CONTROL!$C$15, $E$9, 100%, $G$9) + CHOOSE(CONTROL!$C$38, 0.0357, 0)</f>
        <v>16.048099999999998</v>
      </c>
      <c r="F91" s="27">
        <f>16.0124 * CHOOSE(CONTROL!$C$15, $E$9, 100%, $G$9) + CHOOSE(CONTROL!$C$38, 0.0266, 0)</f>
        <v>16.038999999999998</v>
      </c>
      <c r="G91" s="10">
        <f>15.1201 * CHOOSE(CONTROL!$C$15, $E$9, 100%, $G$9) + CHOOSE(CONTROL!$C$38, 0.0357, 0)</f>
        <v>15.155800000000001</v>
      </c>
      <c r="H91" s="10">
        <f>15.1201 * CHOOSE(CONTROL!$C$15, $E$9, 100%, $G$9) + CHOOSE(CONTROL!$C$38, 0.0357, 0)</f>
        <v>15.155800000000001</v>
      </c>
      <c r="I91" s="10">
        <f>15.1216 * CHOOSE(CONTROL!$C$15, $E$9, 100%, $G$9) + CHOOSE(CONTROL!$C$38, 0.0357, 0)</f>
        <v>15.157300000000001</v>
      </c>
      <c r="J91" s="26">
        <f>110.5799</f>
        <v>110.57989999999999</v>
      </c>
    </row>
    <row r="92" spans="1:10" ht="15">
      <c r="A92" s="16">
        <v>44075</v>
      </c>
      <c r="B92" s="10">
        <f>16.4454 * CHOOSE(CONTROL!$C$15, $E$9, 100%, $G$9) + CHOOSE(CONTROL!$C$38, 0.0266, 0)</f>
        <v>16.471999999999998</v>
      </c>
      <c r="C92" s="10">
        <f>15.3984 * CHOOSE(CONTROL!$C$15, $E$9, 100%, $G$9) + CHOOSE(CONTROL!$C$38, 0.0357, 0)</f>
        <v>15.434100000000001</v>
      </c>
      <c r="D92" s="10">
        <f>15.3906 * CHOOSE(CONTROL!$C$15, $E$9, 100%, $G$9) + CHOOSE(CONTROL!$C$38, 0.0357, 0)</f>
        <v>15.426299999999999</v>
      </c>
      <c r="E92" s="28">
        <f>16.2892 * CHOOSE(CONTROL!$C$15, $E$9, 100%, $G$9) + CHOOSE(CONTROL!$C$38, 0.0357, 0)</f>
        <v>16.3249</v>
      </c>
      <c r="F92" s="27">
        <f>16.2892 * CHOOSE(CONTROL!$C$15, $E$9, 100%, $G$9) + CHOOSE(CONTROL!$C$38, 0.0266, 0)</f>
        <v>16.315799999999999</v>
      </c>
      <c r="G92" s="10">
        <f>15.3969 * CHOOSE(CONTROL!$C$15, $E$9, 100%, $G$9) + CHOOSE(CONTROL!$C$38, 0.0357, 0)</f>
        <v>15.432600000000001</v>
      </c>
      <c r="H92" s="10">
        <f>15.3969 * CHOOSE(CONTROL!$C$15, $E$9, 100%, $G$9) + CHOOSE(CONTROL!$C$38, 0.0357, 0)</f>
        <v>15.432600000000001</v>
      </c>
      <c r="I92" s="10">
        <f>15.3984 * CHOOSE(CONTROL!$C$15, $E$9, 100%, $G$9) + CHOOSE(CONTROL!$C$38, 0.0357, 0)</f>
        <v>15.434100000000001</v>
      </c>
      <c r="J92" s="26">
        <f>106.9044</f>
        <v>106.9044</v>
      </c>
    </row>
    <row r="93" spans="1:10" ht="15">
      <c r="A93" s="16">
        <v>44105</v>
      </c>
      <c r="B93" s="10">
        <f>16.6772 * CHOOSE(CONTROL!$C$15, $E$9, 100%, $G$9) + CHOOSE(CONTROL!$C$38, 0.0266, 0)</f>
        <v>16.703799999999998</v>
      </c>
      <c r="C93" s="10">
        <f>15.6303 * CHOOSE(CONTROL!$C$15, $E$9, 100%, $G$9) + CHOOSE(CONTROL!$C$38, 0.0357, 0)</f>
        <v>15.666</v>
      </c>
      <c r="D93" s="10">
        <f>15.6224 * CHOOSE(CONTROL!$C$15, $E$9, 100%, $G$9) + CHOOSE(CONTROL!$C$38, 0.0357, 0)</f>
        <v>15.658100000000001</v>
      </c>
      <c r="E93" s="28">
        <f>16.521 * CHOOSE(CONTROL!$C$15, $E$9, 100%, $G$9) + CHOOSE(CONTROL!$C$38, 0.0357, 0)</f>
        <v>16.556699999999999</v>
      </c>
      <c r="F93" s="27">
        <f>16.521 * CHOOSE(CONTROL!$C$15, $E$9, 100%, $G$9) + CHOOSE(CONTROL!$C$38, 0.0266, 0)</f>
        <v>16.547599999999999</v>
      </c>
      <c r="G93" s="10">
        <f>15.6287 * CHOOSE(CONTROL!$C$15, $E$9, 100%, $G$9) + CHOOSE(CONTROL!$C$38, 0.0357, 0)</f>
        <v>15.664400000000001</v>
      </c>
      <c r="H93" s="10">
        <f>15.6287 * CHOOSE(CONTROL!$C$15, $E$9, 100%, $G$9) + CHOOSE(CONTROL!$C$38, 0.0357, 0)</f>
        <v>15.664400000000001</v>
      </c>
      <c r="I93" s="10">
        <f>15.6303 * CHOOSE(CONTROL!$C$15, $E$9, 100%, $G$9) + CHOOSE(CONTROL!$C$38, 0.0357, 0)</f>
        <v>15.666</v>
      </c>
      <c r="J93" s="26">
        <f>103.2076</f>
        <v>103.2076</v>
      </c>
    </row>
    <row r="94" spans="1:10" ht="15">
      <c r="A94" s="16">
        <v>44136</v>
      </c>
      <c r="B94" s="10">
        <f>16.8707 * CHOOSE(CONTROL!$C$15, $E$9, 100%, $G$9) + CHOOSE(CONTROL!$C$38, 0.0266, 0)</f>
        <v>16.897299999999998</v>
      </c>
      <c r="C94" s="10">
        <f>15.8237 * CHOOSE(CONTROL!$C$15, $E$9, 100%, $G$9) + CHOOSE(CONTROL!$C$38, 0.0357, 0)</f>
        <v>15.859400000000001</v>
      </c>
      <c r="D94" s="10">
        <f>15.8159 * CHOOSE(CONTROL!$C$15, $E$9, 100%, $G$9) + CHOOSE(CONTROL!$C$38, 0.0357, 0)</f>
        <v>15.851599999999999</v>
      </c>
      <c r="E94" s="28">
        <f>16.7144 * CHOOSE(CONTROL!$C$15, $E$9, 100%, $G$9) + CHOOSE(CONTROL!$C$38, 0.0357, 0)</f>
        <v>16.7501</v>
      </c>
      <c r="F94" s="27">
        <f>16.7144 * CHOOSE(CONTROL!$C$15, $E$9, 100%, $G$9) + CHOOSE(CONTROL!$C$38, 0.0266, 0)</f>
        <v>16.741</v>
      </c>
      <c r="G94" s="10">
        <f>15.8221 * CHOOSE(CONTROL!$C$15, $E$9, 100%, $G$9) + CHOOSE(CONTROL!$C$38, 0.0357, 0)</f>
        <v>15.857800000000001</v>
      </c>
      <c r="H94" s="10">
        <f>15.8221 * CHOOSE(CONTROL!$C$15, $E$9, 100%, $G$9) + CHOOSE(CONTROL!$C$38, 0.0357, 0)</f>
        <v>15.857800000000001</v>
      </c>
      <c r="I94" s="10">
        <f>15.8237 * CHOOSE(CONTROL!$C$15, $E$9, 100%, $G$9) + CHOOSE(CONTROL!$C$38, 0.0357, 0)</f>
        <v>15.859400000000001</v>
      </c>
      <c r="J94" s="26">
        <f>102.4722</f>
        <v>102.4722</v>
      </c>
    </row>
    <row r="95" spans="1:10" ht="15">
      <c r="A95" s="16">
        <v>44166</v>
      </c>
      <c r="B95" s="10">
        <f>17.4668 * CHOOSE(CONTROL!$C$15, $E$9, 100%, $G$9) + CHOOSE(CONTROL!$C$38, 0.0266, 0)</f>
        <v>17.493399999999998</v>
      </c>
      <c r="C95" s="10">
        <f>16.4198 * CHOOSE(CONTROL!$C$15, $E$9, 100%, $G$9) + CHOOSE(CONTROL!$C$38, 0.0357, 0)</f>
        <v>16.455499999999997</v>
      </c>
      <c r="D95" s="10">
        <f>16.412 * CHOOSE(CONTROL!$C$15, $E$9, 100%, $G$9) + CHOOSE(CONTROL!$C$38, 0.0357, 0)</f>
        <v>16.447699999999998</v>
      </c>
      <c r="E95" s="28">
        <f>17.3105 * CHOOSE(CONTROL!$C$15, $E$9, 100%, $G$9) + CHOOSE(CONTROL!$C$38, 0.0357, 0)</f>
        <v>17.3462</v>
      </c>
      <c r="F95" s="27">
        <f>17.3105 * CHOOSE(CONTROL!$C$15, $E$9, 100%, $G$9) + CHOOSE(CONTROL!$C$38, 0.0266, 0)</f>
        <v>17.3371</v>
      </c>
      <c r="G95" s="10">
        <f>16.4182 * CHOOSE(CONTROL!$C$15, $E$9, 100%, $G$9) + CHOOSE(CONTROL!$C$38, 0.0357, 0)</f>
        <v>16.453899999999997</v>
      </c>
      <c r="H95" s="10">
        <f>16.4182 * CHOOSE(CONTROL!$C$15, $E$9, 100%, $G$9) + CHOOSE(CONTROL!$C$38, 0.0357, 0)</f>
        <v>16.453899999999997</v>
      </c>
      <c r="I95" s="10">
        <f>16.4198 * CHOOSE(CONTROL!$C$15, $E$9, 100%, $G$9) + CHOOSE(CONTROL!$C$38, 0.0357, 0)</f>
        <v>16.455499999999997</v>
      </c>
      <c r="J95" s="26">
        <f>99.4313</f>
        <v>99.431299999999993</v>
      </c>
    </row>
    <row r="96" spans="1:10" ht="15">
      <c r="A96" s="16">
        <v>44197</v>
      </c>
      <c r="B96" s="10">
        <f>18.7166 * CHOOSE(CONTROL!$C$15, $E$9, 100%, $G$9) + CHOOSE(CONTROL!$C$38, 0.0266, 0)</f>
        <v>18.743199999999998</v>
      </c>
      <c r="C96" s="10">
        <f>17.4396 * CHOOSE(CONTROL!$C$15, $E$9, 100%, $G$9) + CHOOSE(CONTROL!$C$38, 0.0357, 0)</f>
        <v>17.475299999999997</v>
      </c>
      <c r="D96" s="10">
        <f>17.4318 * CHOOSE(CONTROL!$C$15, $E$9, 100%, $G$9) + CHOOSE(CONTROL!$C$38, 0.0357, 0)</f>
        <v>17.467499999999998</v>
      </c>
      <c r="E96" s="28">
        <f>18.5603 * CHOOSE(CONTROL!$C$15, $E$9, 100%, $G$9) + CHOOSE(CONTROL!$C$38, 0.0357, 0)</f>
        <v>18.596</v>
      </c>
      <c r="F96" s="27">
        <f>18.5603 * CHOOSE(CONTROL!$C$15, $E$9, 100%, $G$9) + CHOOSE(CONTROL!$C$38, 0.0266, 0)</f>
        <v>18.5869</v>
      </c>
      <c r="G96" s="10">
        <f>17.438 * CHOOSE(CONTROL!$C$15, $E$9, 100%, $G$9) + CHOOSE(CONTROL!$C$38, 0.0357, 0)</f>
        <v>17.473699999999997</v>
      </c>
      <c r="H96" s="10">
        <f>17.438 * CHOOSE(CONTROL!$C$15, $E$9, 100%, $G$9) + CHOOSE(CONTROL!$C$38, 0.0357, 0)</f>
        <v>17.473699999999997</v>
      </c>
      <c r="I96" s="10">
        <f>17.4396 * CHOOSE(CONTROL!$C$15, $E$9, 100%, $G$9) + CHOOSE(CONTROL!$C$38, 0.0357, 0)</f>
        <v>17.475299999999997</v>
      </c>
      <c r="J96" s="26">
        <f>101.0568</f>
        <v>101.0568</v>
      </c>
    </row>
    <row r="97" spans="1:10" ht="15">
      <c r="A97" s="16">
        <v>44228</v>
      </c>
      <c r="B97" s="10">
        <f>18.9373 * CHOOSE(CONTROL!$C$15, $E$9, 100%, $G$9) + CHOOSE(CONTROL!$C$38, 0.0266, 0)</f>
        <v>18.963899999999999</v>
      </c>
      <c r="C97" s="10">
        <f>17.6604 * CHOOSE(CONTROL!$C$15, $E$9, 100%, $G$9) + CHOOSE(CONTROL!$C$38, 0.0357, 0)</f>
        <v>17.696099999999998</v>
      </c>
      <c r="D97" s="10">
        <f>17.6526 * CHOOSE(CONTROL!$C$15, $E$9, 100%, $G$9) + CHOOSE(CONTROL!$C$38, 0.0357, 0)</f>
        <v>17.688299999999998</v>
      </c>
      <c r="E97" s="28">
        <f>18.7811 * CHOOSE(CONTROL!$C$15, $E$9, 100%, $G$9) + CHOOSE(CONTROL!$C$38, 0.0357, 0)</f>
        <v>18.816799999999997</v>
      </c>
      <c r="F97" s="27">
        <f>18.7811 * CHOOSE(CONTROL!$C$15, $E$9, 100%, $G$9) + CHOOSE(CONTROL!$C$38, 0.0266, 0)</f>
        <v>18.807699999999997</v>
      </c>
      <c r="G97" s="10">
        <f>17.6588 * CHOOSE(CONTROL!$C$15, $E$9, 100%, $G$9) + CHOOSE(CONTROL!$C$38, 0.0357, 0)</f>
        <v>17.694499999999998</v>
      </c>
      <c r="H97" s="10">
        <f>17.6588 * CHOOSE(CONTROL!$C$15, $E$9, 100%, $G$9) + CHOOSE(CONTROL!$C$38, 0.0357, 0)</f>
        <v>17.694499999999998</v>
      </c>
      <c r="I97" s="10">
        <f>17.6604 * CHOOSE(CONTROL!$C$15, $E$9, 100%, $G$9) + CHOOSE(CONTROL!$C$38, 0.0357, 0)</f>
        <v>17.696099999999998</v>
      </c>
      <c r="J97" s="26">
        <f>100.7759</f>
        <v>100.77589999999999</v>
      </c>
    </row>
    <row r="98" spans="1:10" ht="15">
      <c r="A98" s="16">
        <v>44256</v>
      </c>
      <c r="B98" s="10">
        <f>18.4263 * CHOOSE(CONTROL!$C$15, $E$9, 100%, $G$9) + CHOOSE(CONTROL!$C$38, 0.0266, 0)</f>
        <v>18.4529</v>
      </c>
      <c r="C98" s="10">
        <f>17.1493 * CHOOSE(CONTROL!$C$15, $E$9, 100%, $G$9) + CHOOSE(CONTROL!$C$38, 0.0357, 0)</f>
        <v>17.184999999999999</v>
      </c>
      <c r="D98" s="10">
        <f>17.1415 * CHOOSE(CONTROL!$C$15, $E$9, 100%, $G$9) + CHOOSE(CONTROL!$C$38, 0.0357, 0)</f>
        <v>17.177199999999999</v>
      </c>
      <c r="E98" s="28">
        <f>18.27 * CHOOSE(CONTROL!$C$15, $E$9, 100%, $G$9) + CHOOSE(CONTROL!$C$38, 0.0357, 0)</f>
        <v>18.305699999999998</v>
      </c>
      <c r="F98" s="27">
        <f>18.27 * CHOOSE(CONTROL!$C$15, $E$9, 100%, $G$9) + CHOOSE(CONTROL!$C$38, 0.0266, 0)</f>
        <v>18.296599999999998</v>
      </c>
      <c r="G98" s="10">
        <f>17.1478 * CHOOSE(CONTROL!$C$15, $E$9, 100%, $G$9) + CHOOSE(CONTROL!$C$38, 0.0357, 0)</f>
        <v>17.183499999999999</v>
      </c>
      <c r="H98" s="10">
        <f>17.1478 * CHOOSE(CONTROL!$C$15, $E$9, 100%, $G$9) + CHOOSE(CONTROL!$C$38, 0.0357, 0)</f>
        <v>17.183499999999999</v>
      </c>
      <c r="I98" s="10">
        <f>17.1493 * CHOOSE(CONTROL!$C$15, $E$9, 100%, $G$9) + CHOOSE(CONTROL!$C$38, 0.0357, 0)</f>
        <v>17.184999999999999</v>
      </c>
      <c r="J98" s="26">
        <f>106.0874</f>
        <v>106.0874</v>
      </c>
    </row>
    <row r="99" spans="1:10" ht="15">
      <c r="A99" s="16">
        <v>44287</v>
      </c>
      <c r="B99" s="10">
        <f>17.9311 * CHOOSE(CONTROL!$C$15, $E$9, 100%, $G$9) + CHOOSE(CONTROL!$C$38, 0.0266, 0)</f>
        <v>17.957699999999999</v>
      </c>
      <c r="C99" s="10">
        <f>16.6542 * CHOOSE(CONTROL!$C$15, $E$9, 100%, $G$9) + CHOOSE(CONTROL!$C$38, 0.0357, 0)</f>
        <v>16.689899999999998</v>
      </c>
      <c r="D99" s="10">
        <f>16.6463 * CHOOSE(CONTROL!$C$15, $E$9, 100%, $G$9) + CHOOSE(CONTROL!$C$38, 0.0357, 0)</f>
        <v>16.681999999999999</v>
      </c>
      <c r="E99" s="28">
        <f>17.7749 * CHOOSE(CONTROL!$C$15, $E$9, 100%, $G$9) + CHOOSE(CONTROL!$C$38, 0.0357, 0)</f>
        <v>17.810599999999997</v>
      </c>
      <c r="F99" s="27">
        <f>17.7749 * CHOOSE(CONTROL!$C$15, $E$9, 100%, $G$9) + CHOOSE(CONTROL!$C$38, 0.0266, 0)</f>
        <v>17.801499999999997</v>
      </c>
      <c r="G99" s="10">
        <f>16.6526 * CHOOSE(CONTROL!$C$15, $E$9, 100%, $G$9) + CHOOSE(CONTROL!$C$38, 0.0357, 0)</f>
        <v>16.688299999999998</v>
      </c>
      <c r="H99" s="10">
        <f>16.6526 * CHOOSE(CONTROL!$C$15, $E$9, 100%, $G$9) + CHOOSE(CONTROL!$C$38, 0.0357, 0)</f>
        <v>16.688299999999998</v>
      </c>
      <c r="I99" s="10">
        <f>16.6542 * CHOOSE(CONTROL!$C$15, $E$9, 100%, $G$9) + CHOOSE(CONTROL!$C$38, 0.0357, 0)</f>
        <v>16.689899999999998</v>
      </c>
      <c r="J99" s="26">
        <f>112.9751</f>
        <v>112.9751</v>
      </c>
    </row>
    <row r="100" spans="1:10" ht="15">
      <c r="A100" s="16">
        <v>44317</v>
      </c>
      <c r="B100" s="10">
        <f>17.415 * CHOOSE(CONTROL!$C$15, $E$9, 100%, $G$9) + CHOOSE(CONTROL!$C$38, 0.0266, 0)</f>
        <v>17.441599999999998</v>
      </c>
      <c r="C100" s="10">
        <f>16.138 * CHOOSE(CONTROL!$C$15, $E$9, 100%, $G$9) + CHOOSE(CONTROL!$C$38, 0.0357, 0)</f>
        <v>16.1737</v>
      </c>
      <c r="D100" s="10">
        <f>16.1302 * CHOOSE(CONTROL!$C$15, $E$9, 100%, $G$9) + CHOOSE(CONTROL!$C$38, 0.0357, 0)</f>
        <v>16.165899999999997</v>
      </c>
      <c r="E100" s="28">
        <f>17.2588 * CHOOSE(CONTROL!$C$15, $E$9, 100%, $G$9) + CHOOSE(CONTROL!$C$38, 0.0357, 0)</f>
        <v>17.294499999999999</v>
      </c>
      <c r="F100" s="27">
        <f>17.2588 * CHOOSE(CONTROL!$C$15, $E$9, 100%, $G$9) + CHOOSE(CONTROL!$C$38, 0.0266, 0)</f>
        <v>17.285399999999999</v>
      </c>
      <c r="G100" s="10">
        <f>16.1365 * CHOOSE(CONTROL!$C$15, $E$9, 100%, $G$9) + CHOOSE(CONTROL!$C$38, 0.0357, 0)</f>
        <v>16.1722</v>
      </c>
      <c r="H100" s="10">
        <f>16.1365 * CHOOSE(CONTROL!$C$15, $E$9, 100%, $G$9) + CHOOSE(CONTROL!$C$38, 0.0357, 0)</f>
        <v>16.1722</v>
      </c>
      <c r="I100" s="10">
        <f>16.138 * CHOOSE(CONTROL!$C$15, $E$9, 100%, $G$9) + CHOOSE(CONTROL!$C$38, 0.0357, 0)</f>
        <v>16.1737</v>
      </c>
      <c r="J100" s="26">
        <f>116.7663</f>
        <v>116.7663</v>
      </c>
    </row>
    <row r="101" spans="1:10" ht="15">
      <c r="A101" s="16">
        <v>44348</v>
      </c>
      <c r="B101" s="10">
        <f>17.0532 * CHOOSE(CONTROL!$C$15, $E$9, 100%, $G$9) + CHOOSE(CONTROL!$C$38, 0.0266, 0)</f>
        <v>17.079799999999999</v>
      </c>
      <c r="C101" s="10">
        <f>15.7762 * CHOOSE(CONTROL!$C$15, $E$9, 100%, $G$9) + CHOOSE(CONTROL!$C$38, 0.0357, 0)</f>
        <v>15.8119</v>
      </c>
      <c r="D101" s="10">
        <f>15.7684 * CHOOSE(CONTROL!$C$15, $E$9, 100%, $G$9) + CHOOSE(CONTROL!$C$38, 0.0357, 0)</f>
        <v>15.8041</v>
      </c>
      <c r="E101" s="28">
        <f>16.8969 * CHOOSE(CONTROL!$C$15, $E$9, 100%, $G$9) + CHOOSE(CONTROL!$C$38, 0.0357, 0)</f>
        <v>16.932599999999997</v>
      </c>
      <c r="F101" s="27">
        <f>16.8969 * CHOOSE(CONTROL!$C$15, $E$9, 100%, $G$9) + CHOOSE(CONTROL!$C$38, 0.0266, 0)</f>
        <v>16.923499999999997</v>
      </c>
      <c r="G101" s="10">
        <f>15.7747 * CHOOSE(CONTROL!$C$15, $E$9, 100%, $G$9) + CHOOSE(CONTROL!$C$38, 0.0357, 0)</f>
        <v>15.8104</v>
      </c>
      <c r="H101" s="10">
        <f>15.7747 * CHOOSE(CONTROL!$C$15, $E$9, 100%, $G$9) + CHOOSE(CONTROL!$C$38, 0.0357, 0)</f>
        <v>15.8104</v>
      </c>
      <c r="I101" s="10">
        <f>15.7762 * CHOOSE(CONTROL!$C$15, $E$9, 100%, $G$9) + CHOOSE(CONTROL!$C$38, 0.0357, 0)</f>
        <v>15.8119</v>
      </c>
      <c r="J101" s="26">
        <f>118.4488</f>
        <v>118.44880000000001</v>
      </c>
    </row>
    <row r="102" spans="1:10" ht="15">
      <c r="A102" s="16">
        <v>44378</v>
      </c>
      <c r="B102" s="10">
        <f>16.8467 * CHOOSE(CONTROL!$C$15, $E$9, 100%, $G$9) + CHOOSE(CONTROL!$C$38, 0.0266, 0)</f>
        <v>16.873299999999997</v>
      </c>
      <c r="C102" s="10">
        <f>15.5697 * CHOOSE(CONTROL!$C$15, $E$9, 100%, $G$9) + CHOOSE(CONTROL!$C$38, 0.0357, 0)</f>
        <v>15.605399999999999</v>
      </c>
      <c r="D102" s="10">
        <f>15.5619 * CHOOSE(CONTROL!$C$15, $E$9, 100%, $G$9) + CHOOSE(CONTROL!$C$38, 0.0357, 0)</f>
        <v>15.5976</v>
      </c>
      <c r="E102" s="28">
        <f>16.6904 * CHOOSE(CONTROL!$C$15, $E$9, 100%, $G$9) + CHOOSE(CONTROL!$C$38, 0.0357, 0)</f>
        <v>16.726099999999999</v>
      </c>
      <c r="F102" s="27">
        <f>16.6904 * CHOOSE(CONTROL!$C$15, $E$9, 100%, $G$9) + CHOOSE(CONTROL!$C$38, 0.0266, 0)</f>
        <v>16.716999999999999</v>
      </c>
      <c r="G102" s="10">
        <f>15.5682 * CHOOSE(CONTROL!$C$15, $E$9, 100%, $G$9) + CHOOSE(CONTROL!$C$38, 0.0357, 0)</f>
        <v>15.603899999999999</v>
      </c>
      <c r="H102" s="10">
        <f>15.5682 * CHOOSE(CONTROL!$C$15, $E$9, 100%, $G$9) + CHOOSE(CONTROL!$C$38, 0.0357, 0)</f>
        <v>15.603899999999999</v>
      </c>
      <c r="I102" s="10">
        <f>15.5697 * CHOOSE(CONTROL!$C$15, $E$9, 100%, $G$9) + CHOOSE(CONTROL!$C$38, 0.0357, 0)</f>
        <v>15.605399999999999</v>
      </c>
      <c r="J102" s="26">
        <f>117.8948</f>
        <v>117.8948</v>
      </c>
    </row>
    <row r="103" spans="1:10" ht="15">
      <c r="A103" s="16">
        <v>44409</v>
      </c>
      <c r="B103" s="10">
        <f>16.9486 * CHOOSE(CONTROL!$C$15, $E$9, 100%, $G$9) + CHOOSE(CONTROL!$C$38, 0.0266, 0)</f>
        <v>16.975199999999997</v>
      </c>
      <c r="C103" s="10">
        <f>15.6716 * CHOOSE(CONTROL!$C$15, $E$9, 100%, $G$9) + CHOOSE(CONTROL!$C$38, 0.0357, 0)</f>
        <v>15.7073</v>
      </c>
      <c r="D103" s="10">
        <f>15.6638 * CHOOSE(CONTROL!$C$15, $E$9, 100%, $G$9) + CHOOSE(CONTROL!$C$38, 0.0357, 0)</f>
        <v>15.6995</v>
      </c>
      <c r="E103" s="28">
        <f>16.7923 * CHOOSE(CONTROL!$C$15, $E$9, 100%, $G$9) + CHOOSE(CONTROL!$C$38, 0.0357, 0)</f>
        <v>16.827999999999999</v>
      </c>
      <c r="F103" s="27">
        <f>16.7923 * CHOOSE(CONTROL!$C$15, $E$9, 100%, $G$9) + CHOOSE(CONTROL!$C$38, 0.0266, 0)</f>
        <v>16.818899999999999</v>
      </c>
      <c r="G103" s="10">
        <f>15.6701 * CHOOSE(CONTROL!$C$15, $E$9, 100%, $G$9) + CHOOSE(CONTROL!$C$38, 0.0357, 0)</f>
        <v>15.7058</v>
      </c>
      <c r="H103" s="10">
        <f>15.6701 * CHOOSE(CONTROL!$C$15, $E$9, 100%, $G$9) + CHOOSE(CONTROL!$C$38, 0.0357, 0)</f>
        <v>15.7058</v>
      </c>
      <c r="I103" s="10">
        <f>15.6716 * CHOOSE(CONTROL!$C$15, $E$9, 100%, $G$9) + CHOOSE(CONTROL!$C$38, 0.0357, 0)</f>
        <v>15.7073</v>
      </c>
      <c r="J103" s="26">
        <f>115.1503</f>
        <v>115.1503</v>
      </c>
    </row>
    <row r="104" spans="1:10" ht="15">
      <c r="A104" s="16">
        <v>44440</v>
      </c>
      <c r="B104" s="10">
        <f>17.2254 * CHOOSE(CONTROL!$C$15, $E$9, 100%, $G$9) + CHOOSE(CONTROL!$C$38, 0.0266, 0)</f>
        <v>17.251999999999999</v>
      </c>
      <c r="C104" s="10">
        <f>15.9484 * CHOOSE(CONTROL!$C$15, $E$9, 100%, $G$9) + CHOOSE(CONTROL!$C$38, 0.0357, 0)</f>
        <v>15.9841</v>
      </c>
      <c r="D104" s="10">
        <f>15.9406 * CHOOSE(CONTROL!$C$15, $E$9, 100%, $G$9) + CHOOSE(CONTROL!$C$38, 0.0357, 0)</f>
        <v>15.9763</v>
      </c>
      <c r="E104" s="28">
        <f>17.0691 * CHOOSE(CONTROL!$C$15, $E$9, 100%, $G$9) + CHOOSE(CONTROL!$C$38, 0.0357, 0)</f>
        <v>17.104799999999997</v>
      </c>
      <c r="F104" s="27">
        <f>17.0691 * CHOOSE(CONTROL!$C$15, $E$9, 100%, $G$9) + CHOOSE(CONTROL!$C$38, 0.0266, 0)</f>
        <v>17.095699999999997</v>
      </c>
      <c r="G104" s="10">
        <f>15.9469 * CHOOSE(CONTROL!$C$15, $E$9, 100%, $G$9) + CHOOSE(CONTROL!$C$38, 0.0357, 0)</f>
        <v>15.9826</v>
      </c>
      <c r="H104" s="10">
        <f>15.9469 * CHOOSE(CONTROL!$C$15, $E$9, 100%, $G$9) + CHOOSE(CONTROL!$C$38, 0.0357, 0)</f>
        <v>15.9826</v>
      </c>
      <c r="I104" s="10">
        <f>15.9484 * CHOOSE(CONTROL!$C$15, $E$9, 100%, $G$9) + CHOOSE(CONTROL!$C$38, 0.0357, 0)</f>
        <v>15.9841</v>
      </c>
      <c r="J104" s="26">
        <f>111.3229</f>
        <v>111.3229</v>
      </c>
    </row>
    <row r="105" spans="1:10" ht="15">
      <c r="A105" s="16">
        <v>44470</v>
      </c>
      <c r="B105" s="10">
        <f>17.4572 * CHOOSE(CONTROL!$C$15, $E$9, 100%, $G$9) + CHOOSE(CONTROL!$C$38, 0.0266, 0)</f>
        <v>17.483799999999999</v>
      </c>
      <c r="C105" s="10">
        <f>16.1803 * CHOOSE(CONTROL!$C$15, $E$9, 100%, $G$9) + CHOOSE(CONTROL!$C$38, 0.0357, 0)</f>
        <v>16.215999999999998</v>
      </c>
      <c r="D105" s="10">
        <f>16.1724 * CHOOSE(CONTROL!$C$15, $E$9, 100%, $G$9) + CHOOSE(CONTROL!$C$38, 0.0357, 0)</f>
        <v>16.208099999999998</v>
      </c>
      <c r="E105" s="28">
        <f>17.301 * CHOOSE(CONTROL!$C$15, $E$9, 100%, $G$9) + CHOOSE(CONTROL!$C$38, 0.0357, 0)</f>
        <v>17.336699999999997</v>
      </c>
      <c r="F105" s="27">
        <f>17.301 * CHOOSE(CONTROL!$C$15, $E$9, 100%, $G$9) + CHOOSE(CONTROL!$C$38, 0.0266, 0)</f>
        <v>17.327599999999997</v>
      </c>
      <c r="G105" s="10">
        <f>16.1787 * CHOOSE(CONTROL!$C$15, $E$9, 100%, $G$9) + CHOOSE(CONTROL!$C$38, 0.0357, 0)</f>
        <v>16.214399999999998</v>
      </c>
      <c r="H105" s="10">
        <f>16.1787 * CHOOSE(CONTROL!$C$15, $E$9, 100%, $G$9) + CHOOSE(CONTROL!$C$38, 0.0357, 0)</f>
        <v>16.214399999999998</v>
      </c>
      <c r="I105" s="10">
        <f>16.1803 * CHOOSE(CONTROL!$C$15, $E$9, 100%, $G$9) + CHOOSE(CONTROL!$C$38, 0.0357, 0)</f>
        <v>16.215999999999998</v>
      </c>
      <c r="J105" s="26">
        <f>107.4732</f>
        <v>107.47320000000001</v>
      </c>
    </row>
    <row r="106" spans="1:10" ht="15">
      <c r="A106" s="16">
        <v>44501</v>
      </c>
      <c r="B106" s="10">
        <f>17.6506 * CHOOSE(CONTROL!$C$15, $E$9, 100%, $G$9) + CHOOSE(CONTROL!$C$38, 0.0266, 0)</f>
        <v>17.677199999999999</v>
      </c>
      <c r="C106" s="10">
        <f>16.3737 * CHOOSE(CONTROL!$C$15, $E$9, 100%, $G$9) + CHOOSE(CONTROL!$C$38, 0.0357, 0)</f>
        <v>16.409399999999998</v>
      </c>
      <c r="D106" s="10">
        <f>16.3659 * CHOOSE(CONTROL!$C$15, $E$9, 100%, $G$9) + CHOOSE(CONTROL!$C$38, 0.0357, 0)</f>
        <v>16.401599999999998</v>
      </c>
      <c r="E106" s="28">
        <f>17.4944 * CHOOSE(CONTROL!$C$15, $E$9, 100%, $G$9) + CHOOSE(CONTROL!$C$38, 0.0357, 0)</f>
        <v>17.530099999999997</v>
      </c>
      <c r="F106" s="27">
        <f>17.4944 * CHOOSE(CONTROL!$C$15, $E$9, 100%, $G$9) + CHOOSE(CONTROL!$C$38, 0.0266, 0)</f>
        <v>17.520999999999997</v>
      </c>
      <c r="G106" s="10">
        <f>16.3721 * CHOOSE(CONTROL!$C$15, $E$9, 100%, $G$9) + CHOOSE(CONTROL!$C$38, 0.0357, 0)</f>
        <v>16.407799999999998</v>
      </c>
      <c r="H106" s="10">
        <f>16.3721 * CHOOSE(CONTROL!$C$15, $E$9, 100%, $G$9) + CHOOSE(CONTROL!$C$38, 0.0357, 0)</f>
        <v>16.407799999999998</v>
      </c>
      <c r="I106" s="10">
        <f>16.3737 * CHOOSE(CONTROL!$C$15, $E$9, 100%, $G$9) + CHOOSE(CONTROL!$C$38, 0.0357, 0)</f>
        <v>16.409399999999998</v>
      </c>
      <c r="J106" s="26">
        <f>106.7075</f>
        <v>106.7075</v>
      </c>
    </row>
    <row r="107" spans="1:10" ht="15">
      <c r="A107" s="16">
        <v>44531</v>
      </c>
      <c r="B107" s="10">
        <f>18.2467 * CHOOSE(CONTROL!$C$15, $E$9, 100%, $G$9) + CHOOSE(CONTROL!$C$38, 0.0266, 0)</f>
        <v>18.273299999999999</v>
      </c>
      <c r="C107" s="10">
        <f>16.9698 * CHOOSE(CONTROL!$C$15, $E$9, 100%, $G$9) + CHOOSE(CONTROL!$C$38, 0.0357, 0)</f>
        <v>17.005499999999998</v>
      </c>
      <c r="D107" s="10">
        <f>16.962 * CHOOSE(CONTROL!$C$15, $E$9, 100%, $G$9) + CHOOSE(CONTROL!$C$38, 0.0357, 0)</f>
        <v>16.997699999999998</v>
      </c>
      <c r="E107" s="28">
        <f>18.0905 * CHOOSE(CONTROL!$C$15, $E$9, 100%, $G$9) + CHOOSE(CONTROL!$C$38, 0.0357, 0)</f>
        <v>18.126199999999997</v>
      </c>
      <c r="F107" s="27">
        <f>18.0905 * CHOOSE(CONTROL!$C$15, $E$9, 100%, $G$9) + CHOOSE(CONTROL!$C$38, 0.0266, 0)</f>
        <v>18.117099999999997</v>
      </c>
      <c r="G107" s="10">
        <f>16.9682 * CHOOSE(CONTROL!$C$15, $E$9, 100%, $G$9) + CHOOSE(CONTROL!$C$38, 0.0357, 0)</f>
        <v>17.003899999999998</v>
      </c>
      <c r="H107" s="10">
        <f>16.9682 * CHOOSE(CONTROL!$C$15, $E$9, 100%, $G$9) + CHOOSE(CONTROL!$C$38, 0.0357, 0)</f>
        <v>17.003899999999998</v>
      </c>
      <c r="I107" s="10">
        <f>16.9698 * CHOOSE(CONTROL!$C$15, $E$9, 100%, $G$9) + CHOOSE(CONTROL!$C$38, 0.0357, 0)</f>
        <v>17.005499999999998</v>
      </c>
      <c r="J107" s="26">
        <f>103.5409</f>
        <v>103.54089999999999</v>
      </c>
    </row>
    <row r="108" spans="1:10" ht="15">
      <c r="A108" s="16">
        <v>44562</v>
      </c>
      <c r="B108" s="10">
        <f>19.3556 * CHOOSE(CONTROL!$C$15, $E$9, 100%, $G$9) + CHOOSE(CONTROL!$C$38, 0.0266, 0)</f>
        <v>19.382199999999997</v>
      </c>
      <c r="C108" s="10">
        <f>17.9849 * CHOOSE(CONTROL!$C$15, $E$9, 100%, $G$9) + CHOOSE(CONTROL!$C$38, 0.0357, 0)</f>
        <v>18.020599999999998</v>
      </c>
      <c r="D108" s="10">
        <f>17.9771 * CHOOSE(CONTROL!$C$15, $E$9, 100%, $G$9) + CHOOSE(CONTROL!$C$38, 0.0357, 0)</f>
        <v>18.012799999999999</v>
      </c>
      <c r="E108" s="28">
        <f>19.1993 * CHOOSE(CONTROL!$C$15, $E$9, 100%, $G$9) + CHOOSE(CONTROL!$C$38, 0.0357, 0)</f>
        <v>19.234999999999999</v>
      </c>
      <c r="F108" s="27">
        <f>19.1993 * CHOOSE(CONTROL!$C$15, $E$9, 100%, $G$9) + CHOOSE(CONTROL!$C$38, 0.0266, 0)</f>
        <v>19.225899999999999</v>
      </c>
      <c r="G108" s="10">
        <f>17.9834 * CHOOSE(CONTROL!$C$15, $E$9, 100%, $G$9) + CHOOSE(CONTROL!$C$38, 0.0357, 0)</f>
        <v>18.019099999999998</v>
      </c>
      <c r="H108" s="10">
        <f>17.9834 * CHOOSE(CONTROL!$C$15, $E$9, 100%, $G$9) + CHOOSE(CONTROL!$C$38, 0.0357, 0)</f>
        <v>18.019099999999998</v>
      </c>
      <c r="I108" s="10">
        <f>17.9849 * CHOOSE(CONTROL!$C$15, $E$9, 100%, $G$9) + CHOOSE(CONTROL!$C$38, 0.0357, 0)</f>
        <v>18.020599999999998</v>
      </c>
      <c r="J108" s="26">
        <f>105.2242</f>
        <v>105.2242</v>
      </c>
    </row>
    <row r="109" spans="1:10" ht="15">
      <c r="A109" s="16">
        <v>44593</v>
      </c>
      <c r="B109" s="10">
        <f>19.5763 * CHOOSE(CONTROL!$C$15, $E$9, 100%, $G$9) + CHOOSE(CONTROL!$C$38, 0.0266, 0)</f>
        <v>19.602899999999998</v>
      </c>
      <c r="C109" s="10">
        <f>18.2057 * CHOOSE(CONTROL!$C$15, $E$9, 100%, $G$9) + CHOOSE(CONTROL!$C$38, 0.0357, 0)</f>
        <v>18.241399999999999</v>
      </c>
      <c r="D109" s="10">
        <f>18.1979 * CHOOSE(CONTROL!$C$15, $E$9, 100%, $G$9) + CHOOSE(CONTROL!$C$38, 0.0357, 0)</f>
        <v>18.233599999999999</v>
      </c>
      <c r="E109" s="28">
        <f>19.4201 * CHOOSE(CONTROL!$C$15, $E$9, 100%, $G$9) + CHOOSE(CONTROL!$C$38, 0.0357, 0)</f>
        <v>19.4558</v>
      </c>
      <c r="F109" s="27">
        <f>19.4201 * CHOOSE(CONTROL!$C$15, $E$9, 100%, $G$9) + CHOOSE(CONTROL!$C$38, 0.0266, 0)</f>
        <v>19.4467</v>
      </c>
      <c r="G109" s="10">
        <f>18.2041 * CHOOSE(CONTROL!$C$15, $E$9, 100%, $G$9) + CHOOSE(CONTROL!$C$38, 0.0357, 0)</f>
        <v>18.239799999999999</v>
      </c>
      <c r="H109" s="10">
        <f>18.2041 * CHOOSE(CONTROL!$C$15, $E$9, 100%, $G$9) + CHOOSE(CONTROL!$C$38, 0.0357, 0)</f>
        <v>18.239799999999999</v>
      </c>
      <c r="I109" s="10">
        <f>18.2057 * CHOOSE(CONTROL!$C$15, $E$9, 100%, $G$9) + CHOOSE(CONTROL!$C$38, 0.0357, 0)</f>
        <v>18.241399999999999</v>
      </c>
      <c r="J109" s="26">
        <f>104.9317</f>
        <v>104.93170000000001</v>
      </c>
    </row>
    <row r="110" spans="1:10" ht="15">
      <c r="A110" s="16">
        <v>44621</v>
      </c>
      <c r="B110" s="10">
        <f>19.0653 * CHOOSE(CONTROL!$C$15, $E$9, 100%, $G$9) + CHOOSE(CONTROL!$C$38, 0.0266, 0)</f>
        <v>19.091899999999999</v>
      </c>
      <c r="C110" s="10">
        <f>17.6947 * CHOOSE(CONTROL!$C$15, $E$9, 100%, $G$9) + CHOOSE(CONTROL!$C$38, 0.0357, 0)</f>
        <v>17.730399999999999</v>
      </c>
      <c r="D110" s="10">
        <f>17.6868 * CHOOSE(CONTROL!$C$15, $E$9, 100%, $G$9) + CHOOSE(CONTROL!$C$38, 0.0357, 0)</f>
        <v>17.7225</v>
      </c>
      <c r="E110" s="28">
        <f>18.9091 * CHOOSE(CONTROL!$C$15, $E$9, 100%, $G$9) + CHOOSE(CONTROL!$C$38, 0.0357, 0)</f>
        <v>18.944799999999997</v>
      </c>
      <c r="F110" s="27">
        <f>18.9091 * CHOOSE(CONTROL!$C$15, $E$9, 100%, $G$9) + CHOOSE(CONTROL!$C$38, 0.0266, 0)</f>
        <v>18.935699999999997</v>
      </c>
      <c r="G110" s="10">
        <f>17.6931 * CHOOSE(CONTROL!$C$15, $E$9, 100%, $G$9) + CHOOSE(CONTROL!$C$38, 0.0357, 0)</f>
        <v>17.7288</v>
      </c>
      <c r="H110" s="10">
        <f>17.6931 * CHOOSE(CONTROL!$C$15, $E$9, 100%, $G$9) + CHOOSE(CONTROL!$C$38, 0.0357, 0)</f>
        <v>17.7288</v>
      </c>
      <c r="I110" s="10">
        <f>17.6947 * CHOOSE(CONTROL!$C$15, $E$9, 100%, $G$9) + CHOOSE(CONTROL!$C$38, 0.0357, 0)</f>
        <v>17.730399999999999</v>
      </c>
      <c r="J110" s="26">
        <f>110.4622</f>
        <v>110.4622</v>
      </c>
    </row>
    <row r="111" spans="1:10" ht="15">
      <c r="A111" s="16">
        <v>44652</v>
      </c>
      <c r="B111" s="10">
        <f>18.5701 * CHOOSE(CONTROL!$C$15, $E$9, 100%, $G$9) + CHOOSE(CONTROL!$C$38, 0.0266, 0)</f>
        <v>18.596699999999998</v>
      </c>
      <c r="C111" s="10">
        <f>17.1995 * CHOOSE(CONTROL!$C$15, $E$9, 100%, $G$9) + CHOOSE(CONTROL!$C$38, 0.0357, 0)</f>
        <v>17.235199999999999</v>
      </c>
      <c r="D111" s="10">
        <f>17.1917 * CHOOSE(CONTROL!$C$15, $E$9, 100%, $G$9) + CHOOSE(CONTROL!$C$38, 0.0357, 0)</f>
        <v>17.227399999999999</v>
      </c>
      <c r="E111" s="28">
        <f>18.4139 * CHOOSE(CONTROL!$C$15, $E$9, 100%, $G$9) + CHOOSE(CONTROL!$C$38, 0.0357, 0)</f>
        <v>18.4496</v>
      </c>
      <c r="F111" s="27">
        <f>18.4139 * CHOOSE(CONTROL!$C$15, $E$9, 100%, $G$9) + CHOOSE(CONTROL!$C$38, 0.0266, 0)</f>
        <v>18.4405</v>
      </c>
      <c r="G111" s="10">
        <f>17.1979 * CHOOSE(CONTROL!$C$15, $E$9, 100%, $G$9) + CHOOSE(CONTROL!$C$38, 0.0357, 0)</f>
        <v>17.233599999999999</v>
      </c>
      <c r="H111" s="10">
        <f>17.1979 * CHOOSE(CONTROL!$C$15, $E$9, 100%, $G$9) + CHOOSE(CONTROL!$C$38, 0.0357, 0)</f>
        <v>17.233599999999999</v>
      </c>
      <c r="I111" s="10">
        <f>17.1995 * CHOOSE(CONTROL!$C$15, $E$9, 100%, $G$9) + CHOOSE(CONTROL!$C$38, 0.0357, 0)</f>
        <v>17.235199999999999</v>
      </c>
      <c r="J111" s="26">
        <f>117.634</f>
        <v>117.634</v>
      </c>
    </row>
    <row r="112" spans="1:10" ht="15">
      <c r="A112" s="16">
        <v>44682</v>
      </c>
      <c r="B112" s="10">
        <f>18.054 * CHOOSE(CONTROL!$C$15, $E$9, 100%, $G$9) + CHOOSE(CONTROL!$C$38, 0.0266, 0)</f>
        <v>18.080599999999997</v>
      </c>
      <c r="C112" s="10">
        <f>16.6834 * CHOOSE(CONTROL!$C$15, $E$9, 100%, $G$9) + CHOOSE(CONTROL!$C$38, 0.0357, 0)</f>
        <v>16.719099999999997</v>
      </c>
      <c r="D112" s="10">
        <f>16.6755 * CHOOSE(CONTROL!$C$15, $E$9, 100%, $G$9) + CHOOSE(CONTROL!$C$38, 0.0357, 0)</f>
        <v>16.711199999999998</v>
      </c>
      <c r="E112" s="28">
        <f>17.8978 * CHOOSE(CONTROL!$C$15, $E$9, 100%, $G$9) + CHOOSE(CONTROL!$C$38, 0.0357, 0)</f>
        <v>17.933499999999999</v>
      </c>
      <c r="F112" s="27">
        <f>17.8978 * CHOOSE(CONTROL!$C$15, $E$9, 100%, $G$9) + CHOOSE(CONTROL!$C$38, 0.0266, 0)</f>
        <v>17.924399999999999</v>
      </c>
      <c r="G112" s="10">
        <f>16.6818 * CHOOSE(CONTROL!$C$15, $E$9, 100%, $G$9) + CHOOSE(CONTROL!$C$38, 0.0357, 0)</f>
        <v>16.717499999999998</v>
      </c>
      <c r="H112" s="10">
        <f>16.6818 * CHOOSE(CONTROL!$C$15, $E$9, 100%, $G$9) + CHOOSE(CONTROL!$C$38, 0.0357, 0)</f>
        <v>16.717499999999998</v>
      </c>
      <c r="I112" s="10">
        <f>16.6834 * CHOOSE(CONTROL!$C$15, $E$9, 100%, $G$9) + CHOOSE(CONTROL!$C$38, 0.0357, 0)</f>
        <v>16.719099999999997</v>
      </c>
      <c r="J112" s="26">
        <f>121.5815</f>
        <v>121.58150000000001</v>
      </c>
    </row>
    <row r="113" spans="1:10" ht="15">
      <c r="A113" s="16">
        <v>44713</v>
      </c>
      <c r="B113" s="10">
        <f>17.6922 * CHOOSE(CONTROL!$C$15, $E$9, 100%, $G$9) + CHOOSE(CONTROL!$C$38, 0.0266, 0)</f>
        <v>17.718799999999998</v>
      </c>
      <c r="C113" s="10">
        <f>16.3215 * CHOOSE(CONTROL!$C$15, $E$9, 100%, $G$9) + CHOOSE(CONTROL!$C$38, 0.0357, 0)</f>
        <v>16.357199999999999</v>
      </c>
      <c r="D113" s="10">
        <f>16.3137 * CHOOSE(CONTROL!$C$15, $E$9, 100%, $G$9) + CHOOSE(CONTROL!$C$38, 0.0357, 0)</f>
        <v>16.349399999999999</v>
      </c>
      <c r="E113" s="28">
        <f>17.5359 * CHOOSE(CONTROL!$C$15, $E$9, 100%, $G$9) + CHOOSE(CONTROL!$C$38, 0.0357, 0)</f>
        <v>17.5716</v>
      </c>
      <c r="F113" s="27">
        <f>17.5359 * CHOOSE(CONTROL!$C$15, $E$9, 100%, $G$9) + CHOOSE(CONTROL!$C$38, 0.0266, 0)</f>
        <v>17.5625</v>
      </c>
      <c r="G113" s="10">
        <f>16.32 * CHOOSE(CONTROL!$C$15, $E$9, 100%, $G$9) + CHOOSE(CONTROL!$C$38, 0.0357, 0)</f>
        <v>16.355699999999999</v>
      </c>
      <c r="H113" s="10">
        <f>16.32 * CHOOSE(CONTROL!$C$15, $E$9, 100%, $G$9) + CHOOSE(CONTROL!$C$38, 0.0357, 0)</f>
        <v>16.355699999999999</v>
      </c>
      <c r="I113" s="10">
        <f>16.3215 * CHOOSE(CONTROL!$C$15, $E$9, 100%, $G$9) + CHOOSE(CONTROL!$C$38, 0.0357, 0)</f>
        <v>16.357199999999999</v>
      </c>
      <c r="J113" s="26">
        <f>123.3334</f>
        <v>123.3334</v>
      </c>
    </row>
    <row r="114" spans="1:10" ht="15">
      <c r="A114" s="16">
        <v>44743</v>
      </c>
      <c r="B114" s="10">
        <f>17.4857 * CHOOSE(CONTROL!$C$15, $E$9, 100%, $G$9) + CHOOSE(CONTROL!$C$38, 0.0266, 0)</f>
        <v>17.5123</v>
      </c>
      <c r="C114" s="10">
        <f>16.115 * CHOOSE(CONTROL!$C$15, $E$9, 100%, $G$9) + CHOOSE(CONTROL!$C$38, 0.0357, 0)</f>
        <v>16.150699999999997</v>
      </c>
      <c r="D114" s="10">
        <f>16.1072 * CHOOSE(CONTROL!$C$15, $E$9, 100%, $G$9) + CHOOSE(CONTROL!$C$38, 0.0357, 0)</f>
        <v>16.142899999999997</v>
      </c>
      <c r="E114" s="28">
        <f>17.3295 * CHOOSE(CONTROL!$C$15, $E$9, 100%, $G$9) + CHOOSE(CONTROL!$C$38, 0.0357, 0)</f>
        <v>17.365199999999998</v>
      </c>
      <c r="F114" s="27">
        <f>17.3295 * CHOOSE(CONTROL!$C$15, $E$9, 100%, $G$9) + CHOOSE(CONTROL!$C$38, 0.0266, 0)</f>
        <v>17.356099999999998</v>
      </c>
      <c r="G114" s="10">
        <f>16.1135 * CHOOSE(CONTROL!$C$15, $E$9, 100%, $G$9) + CHOOSE(CONTROL!$C$38, 0.0357, 0)</f>
        <v>16.149199999999997</v>
      </c>
      <c r="H114" s="10">
        <f>16.1135 * CHOOSE(CONTROL!$C$15, $E$9, 100%, $G$9) + CHOOSE(CONTROL!$C$38, 0.0357, 0)</f>
        <v>16.149199999999997</v>
      </c>
      <c r="I114" s="10">
        <f>16.115 * CHOOSE(CONTROL!$C$15, $E$9, 100%, $G$9) + CHOOSE(CONTROL!$C$38, 0.0357, 0)</f>
        <v>16.150699999999997</v>
      </c>
      <c r="J114" s="26">
        <f>122.7566</f>
        <v>122.75660000000001</v>
      </c>
    </row>
    <row r="115" spans="1:10" ht="15">
      <c r="A115" s="16">
        <v>44774</v>
      </c>
      <c r="B115" s="10">
        <f>17.5876 * CHOOSE(CONTROL!$C$15, $E$9, 100%, $G$9) + CHOOSE(CONTROL!$C$38, 0.0266, 0)</f>
        <v>17.614199999999997</v>
      </c>
      <c r="C115" s="10">
        <f>16.2169 * CHOOSE(CONTROL!$C$15, $E$9, 100%, $G$9) + CHOOSE(CONTROL!$C$38, 0.0357, 0)</f>
        <v>16.252599999999997</v>
      </c>
      <c r="D115" s="10">
        <f>16.2091 * CHOOSE(CONTROL!$C$15, $E$9, 100%, $G$9) + CHOOSE(CONTROL!$C$38, 0.0357, 0)</f>
        <v>16.244799999999998</v>
      </c>
      <c r="E115" s="28">
        <f>17.4314 * CHOOSE(CONTROL!$C$15, $E$9, 100%, $G$9) + CHOOSE(CONTROL!$C$38, 0.0357, 0)</f>
        <v>17.467099999999999</v>
      </c>
      <c r="F115" s="27">
        <f>17.4314 * CHOOSE(CONTROL!$C$15, $E$9, 100%, $G$9) + CHOOSE(CONTROL!$C$38, 0.0266, 0)</f>
        <v>17.457999999999998</v>
      </c>
      <c r="G115" s="10">
        <f>16.2154 * CHOOSE(CONTROL!$C$15, $E$9, 100%, $G$9) + CHOOSE(CONTROL!$C$38, 0.0357, 0)</f>
        <v>16.251099999999997</v>
      </c>
      <c r="H115" s="10">
        <f>16.2154 * CHOOSE(CONTROL!$C$15, $E$9, 100%, $G$9) + CHOOSE(CONTROL!$C$38, 0.0357, 0)</f>
        <v>16.251099999999997</v>
      </c>
      <c r="I115" s="10">
        <f>16.2169 * CHOOSE(CONTROL!$C$15, $E$9, 100%, $G$9) + CHOOSE(CONTROL!$C$38, 0.0357, 0)</f>
        <v>16.252599999999997</v>
      </c>
      <c r="J115" s="26">
        <f>119.8989</f>
        <v>119.8989</v>
      </c>
    </row>
    <row r="116" spans="1:10" ht="15">
      <c r="A116" s="16">
        <v>44805</v>
      </c>
      <c r="B116" s="10">
        <f>17.8644 * CHOOSE(CONTROL!$C$15, $E$9, 100%, $G$9) + CHOOSE(CONTROL!$C$38, 0.0266, 0)</f>
        <v>17.890999999999998</v>
      </c>
      <c r="C116" s="10">
        <f>16.4937 * CHOOSE(CONTROL!$C$15, $E$9, 100%, $G$9) + CHOOSE(CONTROL!$C$38, 0.0357, 0)</f>
        <v>16.529399999999999</v>
      </c>
      <c r="D116" s="10">
        <f>16.4859 * CHOOSE(CONTROL!$C$15, $E$9, 100%, $G$9) + CHOOSE(CONTROL!$C$38, 0.0357, 0)</f>
        <v>16.521599999999999</v>
      </c>
      <c r="E116" s="28">
        <f>17.7082 * CHOOSE(CONTROL!$C$15, $E$9, 100%, $G$9) + CHOOSE(CONTROL!$C$38, 0.0357, 0)</f>
        <v>17.7439</v>
      </c>
      <c r="F116" s="27">
        <f>17.7082 * CHOOSE(CONTROL!$C$15, $E$9, 100%, $G$9) + CHOOSE(CONTROL!$C$38, 0.0266, 0)</f>
        <v>17.7348</v>
      </c>
      <c r="G116" s="10">
        <f>16.4922 * CHOOSE(CONTROL!$C$15, $E$9, 100%, $G$9) + CHOOSE(CONTROL!$C$38, 0.0357, 0)</f>
        <v>16.527899999999999</v>
      </c>
      <c r="H116" s="10">
        <f>16.4922 * CHOOSE(CONTROL!$C$15, $E$9, 100%, $G$9) + CHOOSE(CONTROL!$C$38, 0.0357, 0)</f>
        <v>16.527899999999999</v>
      </c>
      <c r="I116" s="10">
        <f>16.4937 * CHOOSE(CONTROL!$C$15, $E$9, 100%, $G$9) + CHOOSE(CONTROL!$C$38, 0.0357, 0)</f>
        <v>16.529399999999999</v>
      </c>
      <c r="J116" s="26">
        <f>115.9136</f>
        <v>115.9136</v>
      </c>
    </row>
    <row r="117" spans="1:10" ht="15">
      <c r="A117" s="16">
        <v>44835</v>
      </c>
      <c r="B117" s="10">
        <f>18.0962 * CHOOSE(CONTROL!$C$15, $E$9, 100%, $G$9) + CHOOSE(CONTROL!$C$38, 0.0266, 0)</f>
        <v>18.122799999999998</v>
      </c>
      <c r="C117" s="10">
        <f>16.7256 * CHOOSE(CONTROL!$C$15, $E$9, 100%, $G$9) + CHOOSE(CONTROL!$C$38, 0.0357, 0)</f>
        <v>16.761299999999999</v>
      </c>
      <c r="D117" s="10">
        <f>16.7178 * CHOOSE(CONTROL!$C$15, $E$9, 100%, $G$9) + CHOOSE(CONTROL!$C$38, 0.0357, 0)</f>
        <v>16.753499999999999</v>
      </c>
      <c r="E117" s="28">
        <f>17.94 * CHOOSE(CONTROL!$C$15, $E$9, 100%, $G$9) + CHOOSE(CONTROL!$C$38, 0.0357, 0)</f>
        <v>17.9757</v>
      </c>
      <c r="F117" s="27">
        <f>17.94 * CHOOSE(CONTROL!$C$15, $E$9, 100%, $G$9) + CHOOSE(CONTROL!$C$38, 0.0266, 0)</f>
        <v>17.9666</v>
      </c>
      <c r="G117" s="10">
        <f>16.724 * CHOOSE(CONTROL!$C$15, $E$9, 100%, $G$9) + CHOOSE(CONTROL!$C$38, 0.0357, 0)</f>
        <v>16.759699999999999</v>
      </c>
      <c r="H117" s="10">
        <f>16.724 * CHOOSE(CONTROL!$C$15, $E$9, 100%, $G$9) + CHOOSE(CONTROL!$C$38, 0.0357, 0)</f>
        <v>16.759699999999999</v>
      </c>
      <c r="I117" s="10">
        <f>16.7256 * CHOOSE(CONTROL!$C$15, $E$9, 100%, $G$9) + CHOOSE(CONTROL!$C$38, 0.0357, 0)</f>
        <v>16.761299999999999</v>
      </c>
      <c r="J117" s="26">
        <f>111.9052</f>
        <v>111.90519999999999</v>
      </c>
    </row>
    <row r="118" spans="1:10" ht="15">
      <c r="A118" s="16">
        <v>44866</v>
      </c>
      <c r="B118" s="10">
        <f>18.2897 * CHOOSE(CONTROL!$C$15, $E$9, 100%, $G$9) + CHOOSE(CONTROL!$C$38, 0.0266, 0)</f>
        <v>18.316299999999998</v>
      </c>
      <c r="C118" s="10">
        <f>16.919 * CHOOSE(CONTROL!$C$15, $E$9, 100%, $G$9) + CHOOSE(CONTROL!$C$38, 0.0357, 0)</f>
        <v>16.954699999999999</v>
      </c>
      <c r="D118" s="10">
        <f>16.9112 * CHOOSE(CONTROL!$C$15, $E$9, 100%, $G$9) + CHOOSE(CONTROL!$C$38, 0.0357, 0)</f>
        <v>16.946899999999999</v>
      </c>
      <c r="E118" s="28">
        <f>18.1334 * CHOOSE(CONTROL!$C$15, $E$9, 100%, $G$9) + CHOOSE(CONTROL!$C$38, 0.0357, 0)</f>
        <v>18.1691</v>
      </c>
      <c r="F118" s="27">
        <f>18.1334 * CHOOSE(CONTROL!$C$15, $E$9, 100%, $G$9) + CHOOSE(CONTROL!$C$38, 0.0266, 0)</f>
        <v>18.16</v>
      </c>
      <c r="G118" s="10">
        <f>16.9174 * CHOOSE(CONTROL!$C$15, $E$9, 100%, $G$9) + CHOOSE(CONTROL!$C$38, 0.0357, 0)</f>
        <v>16.953099999999999</v>
      </c>
      <c r="H118" s="10">
        <f>16.9174 * CHOOSE(CONTROL!$C$15, $E$9, 100%, $G$9) + CHOOSE(CONTROL!$C$38, 0.0357, 0)</f>
        <v>16.953099999999999</v>
      </c>
      <c r="I118" s="10">
        <f>16.919 * CHOOSE(CONTROL!$C$15, $E$9, 100%, $G$9) + CHOOSE(CONTROL!$C$38, 0.0357, 0)</f>
        <v>16.954699999999999</v>
      </c>
      <c r="J118" s="26">
        <f>111.1079</f>
        <v>111.1079</v>
      </c>
    </row>
    <row r="119" spans="1:10" ht="15">
      <c r="A119" s="16">
        <v>44896</v>
      </c>
      <c r="B119" s="10">
        <f>18.8857 * CHOOSE(CONTROL!$C$15, $E$9, 100%, $G$9) + CHOOSE(CONTROL!$C$38, 0.0266, 0)</f>
        <v>18.912299999999998</v>
      </c>
      <c r="C119" s="10">
        <f>17.5151 * CHOOSE(CONTROL!$C$15, $E$9, 100%, $G$9) + CHOOSE(CONTROL!$C$38, 0.0357, 0)</f>
        <v>17.550799999999999</v>
      </c>
      <c r="D119" s="10">
        <f>17.5073 * CHOOSE(CONTROL!$C$15, $E$9, 100%, $G$9) + CHOOSE(CONTROL!$C$38, 0.0357, 0)</f>
        <v>17.542999999999999</v>
      </c>
      <c r="E119" s="28">
        <f>18.7295 * CHOOSE(CONTROL!$C$15, $E$9, 100%, $G$9) + CHOOSE(CONTROL!$C$38, 0.0357, 0)</f>
        <v>18.7652</v>
      </c>
      <c r="F119" s="27">
        <f>18.7295 * CHOOSE(CONTROL!$C$15, $E$9, 100%, $G$9) + CHOOSE(CONTROL!$C$38, 0.0266, 0)</f>
        <v>18.7561</v>
      </c>
      <c r="G119" s="10">
        <f>17.5135 * CHOOSE(CONTROL!$C$15, $E$9, 100%, $G$9) + CHOOSE(CONTROL!$C$38, 0.0357, 0)</f>
        <v>17.549199999999999</v>
      </c>
      <c r="H119" s="10">
        <f>17.5135 * CHOOSE(CONTROL!$C$15, $E$9, 100%, $G$9) + CHOOSE(CONTROL!$C$38, 0.0357, 0)</f>
        <v>17.549199999999999</v>
      </c>
      <c r="I119" s="10">
        <f>17.5151 * CHOOSE(CONTROL!$C$15, $E$9, 100%, $G$9) + CHOOSE(CONTROL!$C$38, 0.0357, 0)</f>
        <v>17.550799999999999</v>
      </c>
      <c r="J119" s="26">
        <f>107.8107</f>
        <v>107.8107</v>
      </c>
    </row>
    <row r="120" spans="1:10" ht="15">
      <c r="A120" s="16">
        <v>44927</v>
      </c>
      <c r="B120" s="10">
        <f>20.1548 * CHOOSE(CONTROL!$C$15, $E$9, 100%, $G$9) + CHOOSE(CONTROL!$C$38, 0.0266, 0)</f>
        <v>20.1814</v>
      </c>
      <c r="C120" s="10">
        <f>18.6084 * CHOOSE(CONTROL!$C$15, $E$9, 100%, $G$9) + CHOOSE(CONTROL!$C$38, 0.0357, 0)</f>
        <v>18.644099999999998</v>
      </c>
      <c r="D120" s="10">
        <f>18.6005 * CHOOSE(CONTROL!$C$15, $E$9, 100%, $G$9) + CHOOSE(CONTROL!$C$38, 0.0357, 0)</f>
        <v>18.636199999999999</v>
      </c>
      <c r="E120" s="28">
        <f>19.9985 * CHOOSE(CONTROL!$C$15, $E$9, 100%, $G$9) + CHOOSE(CONTROL!$C$38, 0.0357, 0)</f>
        <v>20.034199999999998</v>
      </c>
      <c r="F120" s="27">
        <f>19.9985 * CHOOSE(CONTROL!$C$15, $E$9, 100%, $G$9) + CHOOSE(CONTROL!$C$38, 0.0266, 0)</f>
        <v>20.025099999999998</v>
      </c>
      <c r="G120" s="10">
        <f>18.6068 * CHOOSE(CONTROL!$C$15, $E$9, 100%, $G$9) + CHOOSE(CONTROL!$C$38, 0.0357, 0)</f>
        <v>18.642499999999998</v>
      </c>
      <c r="H120" s="10">
        <f>18.6068 * CHOOSE(CONTROL!$C$15, $E$9, 100%, $G$9) + CHOOSE(CONTROL!$C$38, 0.0357, 0)</f>
        <v>18.642499999999998</v>
      </c>
      <c r="I120" s="10">
        <f>18.6084 * CHOOSE(CONTROL!$C$15, $E$9, 100%, $G$9) + CHOOSE(CONTROL!$C$38, 0.0357, 0)</f>
        <v>18.644099999999998</v>
      </c>
      <c r="J120" s="26">
        <f>109.5664</f>
        <v>109.5664</v>
      </c>
    </row>
    <row r="121" spans="1:10" ht="15">
      <c r="A121" s="16">
        <v>44958</v>
      </c>
      <c r="B121" s="10">
        <f>20.3755 * CHOOSE(CONTROL!$C$15, $E$9, 100%, $G$9) + CHOOSE(CONTROL!$C$38, 0.0266, 0)</f>
        <v>20.402099999999997</v>
      </c>
      <c r="C121" s="10">
        <f>18.8291 * CHOOSE(CONTROL!$C$15, $E$9, 100%, $G$9) + CHOOSE(CONTROL!$C$38, 0.0357, 0)</f>
        <v>18.864799999999999</v>
      </c>
      <c r="D121" s="10">
        <f>18.8213 * CHOOSE(CONTROL!$C$15, $E$9, 100%, $G$9) + CHOOSE(CONTROL!$C$38, 0.0357, 0)</f>
        <v>18.856999999999999</v>
      </c>
      <c r="E121" s="28">
        <f>20.2193 * CHOOSE(CONTROL!$C$15, $E$9, 100%, $G$9) + CHOOSE(CONTROL!$C$38, 0.0357, 0)</f>
        <v>20.254999999999999</v>
      </c>
      <c r="F121" s="27">
        <f>20.2193 * CHOOSE(CONTROL!$C$15, $E$9, 100%, $G$9) + CHOOSE(CONTROL!$C$38, 0.0266, 0)</f>
        <v>20.245899999999999</v>
      </c>
      <c r="G121" s="10">
        <f>18.8276 * CHOOSE(CONTROL!$C$15, $E$9, 100%, $G$9) + CHOOSE(CONTROL!$C$38, 0.0357, 0)</f>
        <v>18.863299999999999</v>
      </c>
      <c r="H121" s="10">
        <f>18.8276 * CHOOSE(CONTROL!$C$15, $E$9, 100%, $G$9) + CHOOSE(CONTROL!$C$38, 0.0357, 0)</f>
        <v>18.863299999999999</v>
      </c>
      <c r="I121" s="10">
        <f>18.8291 * CHOOSE(CONTROL!$C$15, $E$9, 100%, $G$9) + CHOOSE(CONTROL!$C$38, 0.0357, 0)</f>
        <v>18.864799999999999</v>
      </c>
      <c r="J121" s="26">
        <f>109.2618</f>
        <v>109.26179999999999</v>
      </c>
    </row>
    <row r="122" spans="1:10" ht="15">
      <c r="A122" s="16">
        <v>44986</v>
      </c>
      <c r="B122" s="10">
        <f>19.8645 * CHOOSE(CONTROL!$C$15, $E$9, 100%, $G$9) + CHOOSE(CONTROL!$C$38, 0.0266, 0)</f>
        <v>19.891099999999998</v>
      </c>
      <c r="C122" s="10">
        <f>18.3181 * CHOOSE(CONTROL!$C$15, $E$9, 100%, $G$9) + CHOOSE(CONTROL!$C$38, 0.0357, 0)</f>
        <v>18.3538</v>
      </c>
      <c r="D122" s="10">
        <f>18.3103 * CHOOSE(CONTROL!$C$15, $E$9, 100%, $G$9) + CHOOSE(CONTROL!$C$38, 0.0357, 0)</f>
        <v>18.346</v>
      </c>
      <c r="E122" s="28">
        <f>19.7082 * CHOOSE(CONTROL!$C$15, $E$9, 100%, $G$9) + CHOOSE(CONTROL!$C$38, 0.0357, 0)</f>
        <v>19.7439</v>
      </c>
      <c r="F122" s="27">
        <f>19.7082 * CHOOSE(CONTROL!$C$15, $E$9, 100%, $G$9) + CHOOSE(CONTROL!$C$38, 0.0266, 0)</f>
        <v>19.7348</v>
      </c>
      <c r="G122" s="10">
        <f>18.3165 * CHOOSE(CONTROL!$C$15, $E$9, 100%, $G$9) + CHOOSE(CONTROL!$C$38, 0.0357, 0)</f>
        <v>18.3522</v>
      </c>
      <c r="H122" s="10">
        <f>18.3165 * CHOOSE(CONTROL!$C$15, $E$9, 100%, $G$9) + CHOOSE(CONTROL!$C$38, 0.0357, 0)</f>
        <v>18.3522</v>
      </c>
      <c r="I122" s="10">
        <f>18.3181 * CHOOSE(CONTROL!$C$15, $E$9, 100%, $G$9) + CHOOSE(CONTROL!$C$38, 0.0357, 0)</f>
        <v>18.3538</v>
      </c>
      <c r="J122" s="26">
        <f>115.0206</f>
        <v>115.0206</v>
      </c>
    </row>
    <row r="123" spans="1:10" ht="15">
      <c r="A123" s="16">
        <v>45017</v>
      </c>
      <c r="B123" s="10">
        <f>19.3693 * CHOOSE(CONTROL!$C$15, $E$9, 100%, $G$9) + CHOOSE(CONTROL!$C$38, 0.0266, 0)</f>
        <v>19.395899999999997</v>
      </c>
      <c r="C123" s="10">
        <f>17.8229 * CHOOSE(CONTROL!$C$15, $E$9, 100%, $G$9) + CHOOSE(CONTROL!$C$38, 0.0357, 0)</f>
        <v>17.858599999999999</v>
      </c>
      <c r="D123" s="10">
        <f>17.8151 * CHOOSE(CONTROL!$C$15, $E$9, 100%, $G$9) + CHOOSE(CONTROL!$C$38, 0.0357, 0)</f>
        <v>17.8508</v>
      </c>
      <c r="E123" s="28">
        <f>19.2131 * CHOOSE(CONTROL!$C$15, $E$9, 100%, $G$9) + CHOOSE(CONTROL!$C$38, 0.0357, 0)</f>
        <v>19.248799999999999</v>
      </c>
      <c r="F123" s="27">
        <f>19.2131 * CHOOSE(CONTROL!$C$15, $E$9, 100%, $G$9) + CHOOSE(CONTROL!$C$38, 0.0266, 0)</f>
        <v>19.239699999999999</v>
      </c>
      <c r="G123" s="10">
        <f>17.8213 * CHOOSE(CONTROL!$C$15, $E$9, 100%, $G$9) + CHOOSE(CONTROL!$C$38, 0.0357, 0)</f>
        <v>17.856999999999999</v>
      </c>
      <c r="H123" s="10">
        <f>17.8213 * CHOOSE(CONTROL!$C$15, $E$9, 100%, $G$9) + CHOOSE(CONTROL!$C$38, 0.0357, 0)</f>
        <v>17.856999999999999</v>
      </c>
      <c r="I123" s="10">
        <f>17.8229 * CHOOSE(CONTROL!$C$15, $E$9, 100%, $G$9) + CHOOSE(CONTROL!$C$38, 0.0357, 0)</f>
        <v>17.858599999999999</v>
      </c>
      <c r="J123" s="26">
        <f>122.4882</f>
        <v>122.48820000000001</v>
      </c>
    </row>
    <row r="124" spans="1:10" ht="15">
      <c r="A124" s="16">
        <v>45047</v>
      </c>
      <c r="B124" s="10">
        <f>18.8532 * CHOOSE(CONTROL!$C$15, $E$9, 100%, $G$9) + CHOOSE(CONTROL!$C$38, 0.0266, 0)</f>
        <v>18.879799999999999</v>
      </c>
      <c r="C124" s="10">
        <f>17.3068 * CHOOSE(CONTROL!$C$15, $E$9, 100%, $G$9) + CHOOSE(CONTROL!$C$38, 0.0357, 0)</f>
        <v>17.342499999999998</v>
      </c>
      <c r="D124" s="10">
        <f>17.299 * CHOOSE(CONTROL!$C$15, $E$9, 100%, $G$9) + CHOOSE(CONTROL!$C$38, 0.0357, 0)</f>
        <v>17.334699999999998</v>
      </c>
      <c r="E124" s="28">
        <f>18.697 * CHOOSE(CONTROL!$C$15, $E$9, 100%, $G$9) + CHOOSE(CONTROL!$C$38, 0.0357, 0)</f>
        <v>18.732699999999998</v>
      </c>
      <c r="F124" s="27">
        <f>18.697 * CHOOSE(CONTROL!$C$15, $E$9, 100%, $G$9) + CHOOSE(CONTROL!$C$38, 0.0266, 0)</f>
        <v>18.723599999999998</v>
      </c>
      <c r="G124" s="10">
        <f>17.3052 * CHOOSE(CONTROL!$C$15, $E$9, 100%, $G$9) + CHOOSE(CONTROL!$C$38, 0.0357, 0)</f>
        <v>17.340899999999998</v>
      </c>
      <c r="H124" s="10">
        <f>17.3052 * CHOOSE(CONTROL!$C$15, $E$9, 100%, $G$9) + CHOOSE(CONTROL!$C$38, 0.0357, 0)</f>
        <v>17.340899999999998</v>
      </c>
      <c r="I124" s="10">
        <f>17.3068 * CHOOSE(CONTROL!$C$15, $E$9, 100%, $G$9) + CHOOSE(CONTROL!$C$38, 0.0357, 0)</f>
        <v>17.342499999999998</v>
      </c>
      <c r="J124" s="26">
        <f>126.5987</f>
        <v>126.59869999999999</v>
      </c>
    </row>
    <row r="125" spans="1:10" ht="15">
      <c r="A125" s="16">
        <v>45078</v>
      </c>
      <c r="B125" s="10">
        <f>18.4914 * CHOOSE(CONTROL!$C$15, $E$9, 100%, $G$9) + CHOOSE(CONTROL!$C$38, 0.0266, 0)</f>
        <v>18.517999999999997</v>
      </c>
      <c r="C125" s="10">
        <f>16.945 * CHOOSE(CONTROL!$C$15, $E$9, 100%, $G$9) + CHOOSE(CONTROL!$C$38, 0.0357, 0)</f>
        <v>16.980699999999999</v>
      </c>
      <c r="D125" s="10">
        <f>16.9372 * CHOOSE(CONTROL!$C$15, $E$9, 100%, $G$9) + CHOOSE(CONTROL!$C$38, 0.0357, 0)</f>
        <v>16.972899999999999</v>
      </c>
      <c r="E125" s="28">
        <f>18.3351 * CHOOSE(CONTROL!$C$15, $E$9, 100%, $G$9) + CHOOSE(CONTROL!$C$38, 0.0357, 0)</f>
        <v>18.370799999999999</v>
      </c>
      <c r="F125" s="27">
        <f>18.3351 * CHOOSE(CONTROL!$C$15, $E$9, 100%, $G$9) + CHOOSE(CONTROL!$C$38, 0.0266, 0)</f>
        <v>18.361699999999999</v>
      </c>
      <c r="G125" s="10">
        <f>16.9434 * CHOOSE(CONTROL!$C$15, $E$9, 100%, $G$9) + CHOOSE(CONTROL!$C$38, 0.0357, 0)</f>
        <v>16.979099999999999</v>
      </c>
      <c r="H125" s="10">
        <f>16.9434 * CHOOSE(CONTROL!$C$15, $E$9, 100%, $G$9) + CHOOSE(CONTROL!$C$38, 0.0357, 0)</f>
        <v>16.979099999999999</v>
      </c>
      <c r="I125" s="10">
        <f>16.945 * CHOOSE(CONTROL!$C$15, $E$9, 100%, $G$9) + CHOOSE(CONTROL!$C$38, 0.0357, 0)</f>
        <v>16.980699999999999</v>
      </c>
      <c r="J125" s="26">
        <f>128.4229</f>
        <v>128.4229</v>
      </c>
    </row>
    <row r="126" spans="1:10" ht="15">
      <c r="A126" s="16">
        <v>45108</v>
      </c>
      <c r="B126" s="10">
        <f>18.2849 * CHOOSE(CONTROL!$C$15, $E$9, 100%, $G$9) + CHOOSE(CONTROL!$C$38, 0.0266, 0)</f>
        <v>18.311499999999999</v>
      </c>
      <c r="C126" s="10">
        <f>16.7385 * CHOOSE(CONTROL!$C$15, $E$9, 100%, $G$9) + CHOOSE(CONTROL!$C$38, 0.0357, 0)</f>
        <v>16.774199999999997</v>
      </c>
      <c r="D126" s="10">
        <f>16.7307 * CHOOSE(CONTROL!$C$15, $E$9, 100%, $G$9) + CHOOSE(CONTROL!$C$38, 0.0357, 0)</f>
        <v>16.766399999999997</v>
      </c>
      <c r="E126" s="28">
        <f>18.1286 * CHOOSE(CONTROL!$C$15, $E$9, 100%, $G$9) + CHOOSE(CONTROL!$C$38, 0.0357, 0)</f>
        <v>18.164299999999997</v>
      </c>
      <c r="F126" s="27">
        <f>18.1286 * CHOOSE(CONTROL!$C$15, $E$9, 100%, $G$9) + CHOOSE(CONTROL!$C$38, 0.0266, 0)</f>
        <v>18.155199999999997</v>
      </c>
      <c r="G126" s="10">
        <f>16.7369 * CHOOSE(CONTROL!$C$15, $E$9, 100%, $G$9) + CHOOSE(CONTROL!$C$38, 0.0357, 0)</f>
        <v>16.772599999999997</v>
      </c>
      <c r="H126" s="10">
        <f>16.7369 * CHOOSE(CONTROL!$C$15, $E$9, 100%, $G$9) + CHOOSE(CONTROL!$C$38, 0.0357, 0)</f>
        <v>16.772599999999997</v>
      </c>
      <c r="I126" s="10">
        <f>16.7385 * CHOOSE(CONTROL!$C$15, $E$9, 100%, $G$9) + CHOOSE(CONTROL!$C$38, 0.0357, 0)</f>
        <v>16.774199999999997</v>
      </c>
      <c r="J126" s="26">
        <f>127.8223</f>
        <v>127.8223</v>
      </c>
    </row>
    <row r="127" spans="1:10" ht="15">
      <c r="A127" s="16">
        <v>45139</v>
      </c>
      <c r="B127" s="10">
        <f>18.3868 * CHOOSE(CONTROL!$C$15, $E$9, 100%, $G$9) + CHOOSE(CONTROL!$C$38, 0.0266, 0)</f>
        <v>18.413399999999999</v>
      </c>
      <c r="C127" s="10">
        <f>16.8404 * CHOOSE(CONTROL!$C$15, $E$9, 100%, $G$9) + CHOOSE(CONTROL!$C$38, 0.0357, 0)</f>
        <v>16.876099999999997</v>
      </c>
      <c r="D127" s="10">
        <f>16.8326 * CHOOSE(CONTROL!$C$15, $E$9, 100%, $G$9) + CHOOSE(CONTROL!$C$38, 0.0357, 0)</f>
        <v>16.868299999999998</v>
      </c>
      <c r="E127" s="28">
        <f>18.2305 * CHOOSE(CONTROL!$C$15, $E$9, 100%, $G$9) + CHOOSE(CONTROL!$C$38, 0.0357, 0)</f>
        <v>18.266199999999998</v>
      </c>
      <c r="F127" s="27">
        <f>18.2305 * CHOOSE(CONTROL!$C$15, $E$9, 100%, $G$9) + CHOOSE(CONTROL!$C$38, 0.0266, 0)</f>
        <v>18.257099999999998</v>
      </c>
      <c r="G127" s="10">
        <f>16.8388 * CHOOSE(CONTROL!$C$15, $E$9, 100%, $G$9) + CHOOSE(CONTROL!$C$38, 0.0357, 0)</f>
        <v>16.874499999999998</v>
      </c>
      <c r="H127" s="10">
        <f>16.8388 * CHOOSE(CONTROL!$C$15, $E$9, 100%, $G$9) + CHOOSE(CONTROL!$C$38, 0.0357, 0)</f>
        <v>16.874499999999998</v>
      </c>
      <c r="I127" s="10">
        <f>16.8404 * CHOOSE(CONTROL!$C$15, $E$9, 100%, $G$9) + CHOOSE(CONTROL!$C$38, 0.0357, 0)</f>
        <v>16.876099999999997</v>
      </c>
      <c r="J127" s="26">
        <f>124.8466</f>
        <v>124.8466</v>
      </c>
    </row>
    <row r="128" spans="1:10" ht="15">
      <c r="A128" s="16">
        <v>45170</v>
      </c>
      <c r="B128" s="10">
        <f>18.6636 * CHOOSE(CONTROL!$C$15, $E$9, 100%, $G$9) + CHOOSE(CONTROL!$C$38, 0.0266, 0)</f>
        <v>18.690199999999997</v>
      </c>
      <c r="C128" s="10">
        <f>17.1172 * CHOOSE(CONTROL!$C$15, $E$9, 100%, $G$9) + CHOOSE(CONTROL!$C$38, 0.0357, 0)</f>
        <v>17.152899999999999</v>
      </c>
      <c r="D128" s="10">
        <f>17.1094 * CHOOSE(CONTROL!$C$15, $E$9, 100%, $G$9) + CHOOSE(CONTROL!$C$38, 0.0357, 0)</f>
        <v>17.145099999999999</v>
      </c>
      <c r="E128" s="28">
        <f>18.5073 * CHOOSE(CONTROL!$C$15, $E$9, 100%, $G$9) + CHOOSE(CONTROL!$C$38, 0.0357, 0)</f>
        <v>18.542999999999999</v>
      </c>
      <c r="F128" s="27">
        <f>18.5073 * CHOOSE(CONTROL!$C$15, $E$9, 100%, $G$9) + CHOOSE(CONTROL!$C$38, 0.0266, 0)</f>
        <v>18.533899999999999</v>
      </c>
      <c r="G128" s="10">
        <f>17.1156 * CHOOSE(CONTROL!$C$15, $E$9, 100%, $G$9) + CHOOSE(CONTROL!$C$38, 0.0357, 0)</f>
        <v>17.151299999999999</v>
      </c>
      <c r="H128" s="10">
        <f>17.1156 * CHOOSE(CONTROL!$C$15, $E$9, 100%, $G$9) + CHOOSE(CONTROL!$C$38, 0.0357, 0)</f>
        <v>17.151299999999999</v>
      </c>
      <c r="I128" s="10">
        <f>17.1172 * CHOOSE(CONTROL!$C$15, $E$9, 100%, $G$9) + CHOOSE(CONTROL!$C$38, 0.0357, 0)</f>
        <v>17.152899999999999</v>
      </c>
      <c r="J128" s="26">
        <f>120.6969</f>
        <v>120.6969</v>
      </c>
    </row>
    <row r="129" spans="1:10" ht="15">
      <c r="A129" s="16">
        <v>45200</v>
      </c>
      <c r="B129" s="10">
        <f>18.8954 * CHOOSE(CONTROL!$C$15, $E$9, 100%, $G$9) + CHOOSE(CONTROL!$C$38, 0.0266, 0)</f>
        <v>18.921999999999997</v>
      </c>
      <c r="C129" s="10">
        <f>17.349 * CHOOSE(CONTROL!$C$15, $E$9, 100%, $G$9) + CHOOSE(CONTROL!$C$38, 0.0357, 0)</f>
        <v>17.384699999999999</v>
      </c>
      <c r="D129" s="10">
        <f>17.3412 * CHOOSE(CONTROL!$C$15, $E$9, 100%, $G$9) + CHOOSE(CONTROL!$C$38, 0.0357, 0)</f>
        <v>17.376899999999999</v>
      </c>
      <c r="E129" s="28">
        <f>18.7392 * CHOOSE(CONTROL!$C$15, $E$9, 100%, $G$9) + CHOOSE(CONTROL!$C$38, 0.0357, 0)</f>
        <v>18.774899999999999</v>
      </c>
      <c r="F129" s="27">
        <f>18.7392 * CHOOSE(CONTROL!$C$15, $E$9, 100%, $G$9) + CHOOSE(CONTROL!$C$38, 0.0266, 0)</f>
        <v>18.765799999999999</v>
      </c>
      <c r="G129" s="10">
        <f>17.3474 * CHOOSE(CONTROL!$C$15, $E$9, 100%, $G$9) + CHOOSE(CONTROL!$C$38, 0.0357, 0)</f>
        <v>17.383099999999999</v>
      </c>
      <c r="H129" s="10">
        <f>17.3474 * CHOOSE(CONTROL!$C$15, $E$9, 100%, $G$9) + CHOOSE(CONTROL!$C$38, 0.0357, 0)</f>
        <v>17.383099999999999</v>
      </c>
      <c r="I129" s="10">
        <f>17.349 * CHOOSE(CONTROL!$C$15, $E$9, 100%, $G$9) + CHOOSE(CONTROL!$C$38, 0.0357, 0)</f>
        <v>17.384699999999999</v>
      </c>
      <c r="J129" s="26">
        <f>116.5231</f>
        <v>116.5231</v>
      </c>
    </row>
    <row r="130" spans="1:10" ht="15">
      <c r="A130" s="16">
        <v>45231</v>
      </c>
      <c r="B130" s="10">
        <f>19.0889 * CHOOSE(CONTROL!$C$15, $E$9, 100%, $G$9) + CHOOSE(CONTROL!$C$38, 0.0266, 0)</f>
        <v>19.115499999999997</v>
      </c>
      <c r="C130" s="10">
        <f>17.5424 * CHOOSE(CONTROL!$C$15, $E$9, 100%, $G$9) + CHOOSE(CONTROL!$C$38, 0.0357, 0)</f>
        <v>17.578099999999999</v>
      </c>
      <c r="D130" s="10">
        <f>17.5346 * CHOOSE(CONTROL!$C$15, $E$9, 100%, $G$9) + CHOOSE(CONTROL!$C$38, 0.0357, 0)</f>
        <v>17.5703</v>
      </c>
      <c r="E130" s="28">
        <f>18.9326 * CHOOSE(CONTROL!$C$15, $E$9, 100%, $G$9) + CHOOSE(CONTROL!$C$38, 0.0357, 0)</f>
        <v>18.968299999999999</v>
      </c>
      <c r="F130" s="27">
        <f>18.9326 * CHOOSE(CONTROL!$C$15, $E$9, 100%, $G$9) + CHOOSE(CONTROL!$C$38, 0.0266, 0)</f>
        <v>18.959199999999999</v>
      </c>
      <c r="G130" s="10">
        <f>17.5409 * CHOOSE(CONTROL!$C$15, $E$9, 100%, $G$9) + CHOOSE(CONTROL!$C$38, 0.0357, 0)</f>
        <v>17.576599999999999</v>
      </c>
      <c r="H130" s="10">
        <f>17.5409 * CHOOSE(CONTROL!$C$15, $E$9, 100%, $G$9) + CHOOSE(CONTROL!$C$38, 0.0357, 0)</f>
        <v>17.576599999999999</v>
      </c>
      <c r="I130" s="10">
        <f>17.5424 * CHOOSE(CONTROL!$C$15, $E$9, 100%, $G$9) + CHOOSE(CONTROL!$C$38, 0.0357, 0)</f>
        <v>17.578099999999999</v>
      </c>
      <c r="J130" s="26">
        <f>115.6929</f>
        <v>115.69289999999999</v>
      </c>
    </row>
    <row r="131" spans="1:10" ht="15">
      <c r="A131" s="16">
        <v>45261</v>
      </c>
      <c r="B131" s="10">
        <f>19.6849 * CHOOSE(CONTROL!$C$15, $E$9, 100%, $G$9) + CHOOSE(CONTROL!$C$38, 0.0266, 0)</f>
        <v>19.711499999999997</v>
      </c>
      <c r="C131" s="10">
        <f>18.1385 * CHOOSE(CONTROL!$C$15, $E$9, 100%, $G$9) + CHOOSE(CONTROL!$C$38, 0.0357, 0)</f>
        <v>18.174199999999999</v>
      </c>
      <c r="D131" s="10">
        <f>18.1307 * CHOOSE(CONTROL!$C$15, $E$9, 100%, $G$9) + CHOOSE(CONTROL!$C$38, 0.0357, 0)</f>
        <v>18.166399999999999</v>
      </c>
      <c r="E131" s="28">
        <f>19.5287 * CHOOSE(CONTROL!$C$15, $E$9, 100%, $G$9) + CHOOSE(CONTROL!$C$38, 0.0357, 0)</f>
        <v>19.564399999999999</v>
      </c>
      <c r="F131" s="27">
        <f>19.5287 * CHOOSE(CONTROL!$C$15, $E$9, 100%, $G$9) + CHOOSE(CONTROL!$C$38, 0.0266, 0)</f>
        <v>19.555299999999999</v>
      </c>
      <c r="G131" s="10">
        <f>18.137 * CHOOSE(CONTROL!$C$15, $E$9, 100%, $G$9) + CHOOSE(CONTROL!$C$38, 0.0357, 0)</f>
        <v>18.172699999999999</v>
      </c>
      <c r="H131" s="10">
        <f>18.137 * CHOOSE(CONTROL!$C$15, $E$9, 100%, $G$9) + CHOOSE(CONTROL!$C$38, 0.0357, 0)</f>
        <v>18.172699999999999</v>
      </c>
      <c r="I131" s="10">
        <f>18.1385 * CHOOSE(CONTROL!$C$15, $E$9, 100%, $G$9) + CHOOSE(CONTROL!$C$38, 0.0357, 0)</f>
        <v>18.174199999999999</v>
      </c>
      <c r="J131" s="26">
        <f>112.2597</f>
        <v>112.2597</v>
      </c>
    </row>
    <row r="132" spans="1:10" ht="15">
      <c r="A132" s="16">
        <v>45292</v>
      </c>
      <c r="B132" s="10">
        <f>20.9828 * CHOOSE(CONTROL!$C$15, $E$9, 100%, $G$9) + CHOOSE(CONTROL!$C$38, 0.0266, 0)</f>
        <v>21.009399999999999</v>
      </c>
      <c r="C132" s="10">
        <f>19.2599 * CHOOSE(CONTROL!$C$15, $E$9, 100%, $G$9) + CHOOSE(CONTROL!$C$38, 0.0357, 0)</f>
        <v>19.295599999999997</v>
      </c>
      <c r="D132" s="10">
        <f>19.2521 * CHOOSE(CONTROL!$C$15, $E$9, 100%, $G$9) + CHOOSE(CONTROL!$C$38, 0.0357, 0)</f>
        <v>19.287799999999997</v>
      </c>
      <c r="E132" s="28">
        <f>20.8265 * CHOOSE(CONTROL!$C$15, $E$9, 100%, $G$9) + CHOOSE(CONTROL!$C$38, 0.0357, 0)</f>
        <v>20.862199999999998</v>
      </c>
      <c r="F132" s="27">
        <f>20.8265 * CHOOSE(CONTROL!$C$15, $E$9, 100%, $G$9) + CHOOSE(CONTROL!$C$38, 0.0266, 0)</f>
        <v>20.853099999999998</v>
      </c>
      <c r="G132" s="10">
        <f>19.2584 * CHOOSE(CONTROL!$C$15, $E$9, 100%, $G$9) + CHOOSE(CONTROL!$C$38, 0.0357, 0)</f>
        <v>19.2941</v>
      </c>
      <c r="H132" s="10">
        <f>19.2584 * CHOOSE(CONTROL!$C$15, $E$9, 100%, $G$9) + CHOOSE(CONTROL!$C$38, 0.0357, 0)</f>
        <v>19.2941</v>
      </c>
      <c r="I132" s="10">
        <f>19.2599 * CHOOSE(CONTROL!$C$15, $E$9, 100%, $G$9) + CHOOSE(CONTROL!$C$38, 0.0357, 0)</f>
        <v>19.295599999999997</v>
      </c>
      <c r="J132" s="26">
        <f>114.0833</f>
        <v>114.08329999999999</v>
      </c>
    </row>
    <row r="133" spans="1:10" ht="15">
      <c r="A133" s="16">
        <v>45323</v>
      </c>
      <c r="B133" s="10">
        <f>21.2035 * CHOOSE(CONTROL!$C$15, $E$9, 100%, $G$9) + CHOOSE(CONTROL!$C$38, 0.0266, 0)</f>
        <v>21.230099999999997</v>
      </c>
      <c r="C133" s="10">
        <f>19.4807 * CHOOSE(CONTROL!$C$15, $E$9, 100%, $G$9) + CHOOSE(CONTROL!$C$38, 0.0357, 0)</f>
        <v>19.516399999999997</v>
      </c>
      <c r="D133" s="10">
        <f>19.4729 * CHOOSE(CONTROL!$C$15, $E$9, 100%, $G$9) + CHOOSE(CONTROL!$C$38, 0.0357, 0)</f>
        <v>19.508599999999998</v>
      </c>
      <c r="E133" s="28">
        <f>21.0473 * CHOOSE(CONTROL!$C$15, $E$9, 100%, $G$9) + CHOOSE(CONTROL!$C$38, 0.0357, 0)</f>
        <v>21.082999999999998</v>
      </c>
      <c r="F133" s="27">
        <f>21.0473 * CHOOSE(CONTROL!$C$15, $E$9, 100%, $G$9) + CHOOSE(CONTROL!$C$38, 0.0266, 0)</f>
        <v>21.073899999999998</v>
      </c>
      <c r="G133" s="10">
        <f>19.4791 * CHOOSE(CONTROL!$C$15, $E$9, 100%, $G$9) + CHOOSE(CONTROL!$C$38, 0.0357, 0)</f>
        <v>19.514799999999997</v>
      </c>
      <c r="H133" s="10">
        <f>19.4791 * CHOOSE(CONTROL!$C$15, $E$9, 100%, $G$9) + CHOOSE(CONTROL!$C$38, 0.0357, 0)</f>
        <v>19.514799999999997</v>
      </c>
      <c r="I133" s="10">
        <f>19.4807 * CHOOSE(CONTROL!$C$15, $E$9, 100%, $G$9) + CHOOSE(CONTROL!$C$38, 0.0357, 0)</f>
        <v>19.516399999999997</v>
      </c>
      <c r="J133" s="26">
        <f>113.7662</f>
        <v>113.7662</v>
      </c>
    </row>
    <row r="134" spans="1:10" ht="15">
      <c r="A134" s="16">
        <v>45352</v>
      </c>
      <c r="B134" s="10">
        <f>20.6925 * CHOOSE(CONTROL!$C$15, $E$9, 100%, $G$9) + CHOOSE(CONTROL!$C$38, 0.0266, 0)</f>
        <v>20.719099999999997</v>
      </c>
      <c r="C134" s="10">
        <f>18.9697 * CHOOSE(CONTROL!$C$15, $E$9, 100%, $G$9) + CHOOSE(CONTROL!$C$38, 0.0357, 0)</f>
        <v>19.005399999999998</v>
      </c>
      <c r="D134" s="10">
        <f>18.9618 * CHOOSE(CONTROL!$C$15, $E$9, 100%, $G$9) + CHOOSE(CONTROL!$C$38, 0.0357, 0)</f>
        <v>18.997499999999999</v>
      </c>
      <c r="E134" s="28">
        <f>20.5363 * CHOOSE(CONTROL!$C$15, $E$9, 100%, $G$9) + CHOOSE(CONTROL!$C$38, 0.0357, 0)</f>
        <v>20.571999999999999</v>
      </c>
      <c r="F134" s="27">
        <f>20.5363 * CHOOSE(CONTROL!$C$15, $E$9, 100%, $G$9) + CHOOSE(CONTROL!$C$38, 0.0266, 0)</f>
        <v>20.562899999999999</v>
      </c>
      <c r="G134" s="10">
        <f>18.9681 * CHOOSE(CONTROL!$C$15, $E$9, 100%, $G$9) + CHOOSE(CONTROL!$C$38, 0.0357, 0)</f>
        <v>19.003799999999998</v>
      </c>
      <c r="H134" s="10">
        <f>18.9681 * CHOOSE(CONTROL!$C$15, $E$9, 100%, $G$9) + CHOOSE(CONTROL!$C$38, 0.0357, 0)</f>
        <v>19.003799999999998</v>
      </c>
      <c r="I134" s="10">
        <f>18.9697 * CHOOSE(CONTROL!$C$15, $E$9, 100%, $G$9) + CHOOSE(CONTROL!$C$38, 0.0357, 0)</f>
        <v>19.005399999999998</v>
      </c>
      <c r="J134" s="26">
        <f>119.7624</f>
        <v>119.7624</v>
      </c>
    </row>
    <row r="135" spans="1:10" ht="15">
      <c r="A135" s="16">
        <v>45383</v>
      </c>
      <c r="B135" s="10">
        <f>20.1973 * CHOOSE(CONTROL!$C$15, $E$9, 100%, $G$9) + CHOOSE(CONTROL!$C$38, 0.0266, 0)</f>
        <v>20.223899999999997</v>
      </c>
      <c r="C135" s="10">
        <f>18.4745 * CHOOSE(CONTROL!$C$15, $E$9, 100%, $G$9) + CHOOSE(CONTROL!$C$38, 0.0357, 0)</f>
        <v>18.510199999999998</v>
      </c>
      <c r="D135" s="10">
        <f>18.4667 * CHOOSE(CONTROL!$C$15, $E$9, 100%, $G$9) + CHOOSE(CONTROL!$C$38, 0.0357, 0)</f>
        <v>18.502399999999998</v>
      </c>
      <c r="E135" s="28">
        <f>20.0411 * CHOOSE(CONTROL!$C$15, $E$9, 100%, $G$9) + CHOOSE(CONTROL!$C$38, 0.0357, 0)</f>
        <v>20.076799999999999</v>
      </c>
      <c r="F135" s="27">
        <f>20.0411 * CHOOSE(CONTROL!$C$15, $E$9, 100%, $G$9) + CHOOSE(CONTROL!$C$38, 0.0266, 0)</f>
        <v>20.067699999999999</v>
      </c>
      <c r="G135" s="10">
        <f>18.4729 * CHOOSE(CONTROL!$C$15, $E$9, 100%, $G$9) + CHOOSE(CONTROL!$C$38, 0.0357, 0)</f>
        <v>18.508599999999998</v>
      </c>
      <c r="H135" s="10">
        <f>18.4729 * CHOOSE(CONTROL!$C$15, $E$9, 100%, $G$9) + CHOOSE(CONTROL!$C$38, 0.0357, 0)</f>
        <v>18.508599999999998</v>
      </c>
      <c r="I135" s="10">
        <f>18.4745 * CHOOSE(CONTROL!$C$15, $E$9, 100%, $G$9) + CHOOSE(CONTROL!$C$38, 0.0357, 0)</f>
        <v>18.510199999999998</v>
      </c>
      <c r="J135" s="26">
        <f>127.5379</f>
        <v>127.53789999999999</v>
      </c>
    </row>
    <row r="136" spans="1:10" ht="15">
      <c r="A136" s="16">
        <v>45413</v>
      </c>
      <c r="B136" s="10">
        <f>19.6812 * CHOOSE(CONTROL!$C$15, $E$9, 100%, $G$9) + CHOOSE(CONTROL!$C$38, 0.0266, 0)</f>
        <v>19.707799999999999</v>
      </c>
      <c r="C136" s="10">
        <f>17.9584 * CHOOSE(CONTROL!$C$15, $E$9, 100%, $G$9) + CHOOSE(CONTROL!$C$38, 0.0357, 0)</f>
        <v>17.9941</v>
      </c>
      <c r="D136" s="10">
        <f>17.9505 * CHOOSE(CONTROL!$C$15, $E$9, 100%, $G$9) + CHOOSE(CONTROL!$C$38, 0.0357, 0)</f>
        <v>17.9862</v>
      </c>
      <c r="E136" s="28">
        <f>19.525 * CHOOSE(CONTROL!$C$15, $E$9, 100%, $G$9) + CHOOSE(CONTROL!$C$38, 0.0357, 0)</f>
        <v>19.560699999999997</v>
      </c>
      <c r="F136" s="27">
        <f>19.525 * CHOOSE(CONTROL!$C$15, $E$9, 100%, $G$9) + CHOOSE(CONTROL!$C$38, 0.0266, 0)</f>
        <v>19.551599999999997</v>
      </c>
      <c r="G136" s="10">
        <f>17.9568 * CHOOSE(CONTROL!$C$15, $E$9, 100%, $G$9) + CHOOSE(CONTROL!$C$38, 0.0357, 0)</f>
        <v>17.9925</v>
      </c>
      <c r="H136" s="10">
        <f>17.9568 * CHOOSE(CONTROL!$C$15, $E$9, 100%, $G$9) + CHOOSE(CONTROL!$C$38, 0.0357, 0)</f>
        <v>17.9925</v>
      </c>
      <c r="I136" s="10">
        <f>17.9584 * CHOOSE(CONTROL!$C$15, $E$9, 100%, $G$9) + CHOOSE(CONTROL!$C$38, 0.0357, 0)</f>
        <v>17.9941</v>
      </c>
      <c r="J136" s="26">
        <f>131.8179</f>
        <v>131.81790000000001</v>
      </c>
    </row>
    <row r="137" spans="1:10" ht="15">
      <c r="A137" s="16">
        <v>45444</v>
      </c>
      <c r="B137" s="10">
        <f>19.3194 * CHOOSE(CONTROL!$C$15, $E$9, 100%, $G$9) + CHOOSE(CONTROL!$C$38, 0.0266, 0)</f>
        <v>19.346</v>
      </c>
      <c r="C137" s="10">
        <f>17.5965 * CHOOSE(CONTROL!$C$15, $E$9, 100%, $G$9) + CHOOSE(CONTROL!$C$38, 0.0357, 0)</f>
        <v>17.632199999999997</v>
      </c>
      <c r="D137" s="10">
        <f>17.5887 * CHOOSE(CONTROL!$C$15, $E$9, 100%, $G$9) + CHOOSE(CONTROL!$C$38, 0.0357, 0)</f>
        <v>17.624399999999998</v>
      </c>
      <c r="E137" s="28">
        <f>19.1631 * CHOOSE(CONTROL!$C$15, $E$9, 100%, $G$9) + CHOOSE(CONTROL!$C$38, 0.0357, 0)</f>
        <v>19.198799999999999</v>
      </c>
      <c r="F137" s="27">
        <f>19.1631 * CHOOSE(CONTROL!$C$15, $E$9, 100%, $G$9) + CHOOSE(CONTROL!$C$38, 0.0266, 0)</f>
        <v>19.189699999999998</v>
      </c>
      <c r="G137" s="10">
        <f>17.595 * CHOOSE(CONTROL!$C$15, $E$9, 100%, $G$9) + CHOOSE(CONTROL!$C$38, 0.0357, 0)</f>
        <v>17.630699999999997</v>
      </c>
      <c r="H137" s="10">
        <f>17.595 * CHOOSE(CONTROL!$C$15, $E$9, 100%, $G$9) + CHOOSE(CONTROL!$C$38, 0.0357, 0)</f>
        <v>17.630699999999997</v>
      </c>
      <c r="I137" s="10">
        <f>17.5965 * CHOOSE(CONTROL!$C$15, $E$9, 100%, $G$9) + CHOOSE(CONTROL!$C$38, 0.0357, 0)</f>
        <v>17.632199999999997</v>
      </c>
      <c r="J137" s="26">
        <f>133.7172</f>
        <v>133.71719999999999</v>
      </c>
    </row>
    <row r="138" spans="1:10" ht="15">
      <c r="A138" s="16">
        <v>45474</v>
      </c>
      <c r="B138" s="10">
        <f>19.1129 * CHOOSE(CONTROL!$C$15, $E$9, 100%, $G$9) + CHOOSE(CONTROL!$C$38, 0.0266, 0)</f>
        <v>19.139499999999998</v>
      </c>
      <c r="C138" s="10">
        <f>17.39 * CHOOSE(CONTROL!$C$15, $E$9, 100%, $G$9) + CHOOSE(CONTROL!$C$38, 0.0357, 0)</f>
        <v>17.425699999999999</v>
      </c>
      <c r="D138" s="10">
        <f>17.3822 * CHOOSE(CONTROL!$C$15, $E$9, 100%, $G$9) + CHOOSE(CONTROL!$C$38, 0.0357, 0)</f>
        <v>17.417899999999999</v>
      </c>
      <c r="E138" s="28">
        <f>18.9566 * CHOOSE(CONTROL!$C$15, $E$9, 100%, $G$9) + CHOOSE(CONTROL!$C$38, 0.0357, 0)</f>
        <v>18.9923</v>
      </c>
      <c r="F138" s="27">
        <f>18.9566 * CHOOSE(CONTROL!$C$15, $E$9, 100%, $G$9) + CHOOSE(CONTROL!$C$38, 0.0266, 0)</f>
        <v>18.9832</v>
      </c>
      <c r="G138" s="10">
        <f>17.3885 * CHOOSE(CONTROL!$C$15, $E$9, 100%, $G$9) + CHOOSE(CONTROL!$C$38, 0.0357, 0)</f>
        <v>17.424199999999999</v>
      </c>
      <c r="H138" s="10">
        <f>17.3885 * CHOOSE(CONTROL!$C$15, $E$9, 100%, $G$9) + CHOOSE(CONTROL!$C$38, 0.0357, 0)</f>
        <v>17.424199999999999</v>
      </c>
      <c r="I138" s="10">
        <f>17.39 * CHOOSE(CONTROL!$C$15, $E$9, 100%, $G$9) + CHOOSE(CONTROL!$C$38, 0.0357, 0)</f>
        <v>17.425699999999999</v>
      </c>
      <c r="J138" s="26">
        <f>133.0918</f>
        <v>133.09180000000001</v>
      </c>
    </row>
    <row r="139" spans="1:10" ht="15">
      <c r="A139" s="16">
        <v>45505</v>
      </c>
      <c r="B139" s="10">
        <f>19.2148 * CHOOSE(CONTROL!$C$15, $E$9, 100%, $G$9) + CHOOSE(CONTROL!$C$38, 0.0266, 0)</f>
        <v>19.241399999999999</v>
      </c>
      <c r="C139" s="10">
        <f>17.4919 * CHOOSE(CONTROL!$C$15, $E$9, 100%, $G$9) + CHOOSE(CONTROL!$C$38, 0.0357, 0)</f>
        <v>17.5276</v>
      </c>
      <c r="D139" s="10">
        <f>17.4841 * CHOOSE(CONTROL!$C$15, $E$9, 100%, $G$9) + CHOOSE(CONTROL!$C$38, 0.0357, 0)</f>
        <v>17.5198</v>
      </c>
      <c r="E139" s="28">
        <f>19.0585 * CHOOSE(CONTROL!$C$15, $E$9, 100%, $G$9) + CHOOSE(CONTROL!$C$38, 0.0357, 0)</f>
        <v>19.094199999999997</v>
      </c>
      <c r="F139" s="27">
        <f>19.0585 * CHOOSE(CONTROL!$C$15, $E$9, 100%, $G$9) + CHOOSE(CONTROL!$C$38, 0.0266, 0)</f>
        <v>19.085099999999997</v>
      </c>
      <c r="G139" s="10">
        <f>17.4904 * CHOOSE(CONTROL!$C$15, $E$9, 100%, $G$9) + CHOOSE(CONTROL!$C$38, 0.0357, 0)</f>
        <v>17.5261</v>
      </c>
      <c r="H139" s="10">
        <f>17.4904 * CHOOSE(CONTROL!$C$15, $E$9, 100%, $G$9) + CHOOSE(CONTROL!$C$38, 0.0357, 0)</f>
        <v>17.5261</v>
      </c>
      <c r="I139" s="10">
        <f>17.4919 * CHOOSE(CONTROL!$C$15, $E$9, 100%, $G$9) + CHOOSE(CONTROL!$C$38, 0.0357, 0)</f>
        <v>17.5276</v>
      </c>
      <c r="J139" s="26">
        <f>129.9935</f>
        <v>129.99350000000001</v>
      </c>
    </row>
    <row r="140" spans="1:10" ht="15">
      <c r="A140" s="16">
        <v>45536</v>
      </c>
      <c r="B140" s="10">
        <f>19.4916 * CHOOSE(CONTROL!$C$15, $E$9, 100%, $G$9) + CHOOSE(CONTROL!$C$38, 0.0266, 0)</f>
        <v>19.518199999999997</v>
      </c>
      <c r="C140" s="10">
        <f>17.7687 * CHOOSE(CONTROL!$C$15, $E$9, 100%, $G$9) + CHOOSE(CONTROL!$C$38, 0.0357, 0)</f>
        <v>17.804399999999998</v>
      </c>
      <c r="D140" s="10">
        <f>17.7609 * CHOOSE(CONTROL!$C$15, $E$9, 100%, $G$9) + CHOOSE(CONTROL!$C$38, 0.0357, 0)</f>
        <v>17.796599999999998</v>
      </c>
      <c r="E140" s="28">
        <f>19.3353 * CHOOSE(CONTROL!$C$15, $E$9, 100%, $G$9) + CHOOSE(CONTROL!$C$38, 0.0357, 0)</f>
        <v>19.370999999999999</v>
      </c>
      <c r="F140" s="27">
        <f>19.3353 * CHOOSE(CONTROL!$C$15, $E$9, 100%, $G$9) + CHOOSE(CONTROL!$C$38, 0.0266, 0)</f>
        <v>19.361899999999999</v>
      </c>
      <c r="G140" s="10">
        <f>17.7672 * CHOOSE(CONTROL!$C$15, $E$9, 100%, $G$9) + CHOOSE(CONTROL!$C$38, 0.0357, 0)</f>
        <v>17.802899999999998</v>
      </c>
      <c r="H140" s="10">
        <f>17.7672 * CHOOSE(CONTROL!$C$15, $E$9, 100%, $G$9) + CHOOSE(CONTROL!$C$38, 0.0357, 0)</f>
        <v>17.802899999999998</v>
      </c>
      <c r="I140" s="10">
        <f>17.7687 * CHOOSE(CONTROL!$C$15, $E$9, 100%, $G$9) + CHOOSE(CONTROL!$C$38, 0.0357, 0)</f>
        <v>17.804399999999998</v>
      </c>
      <c r="J140" s="26">
        <f>125.6728</f>
        <v>125.6728</v>
      </c>
    </row>
    <row r="141" spans="1:10" ht="15">
      <c r="A141" s="16">
        <v>45566</v>
      </c>
      <c r="B141" s="10">
        <f>19.7234 * CHOOSE(CONTROL!$C$15, $E$9, 100%, $G$9) + CHOOSE(CONTROL!$C$38, 0.0266, 0)</f>
        <v>19.75</v>
      </c>
      <c r="C141" s="10">
        <f>18.0006 * CHOOSE(CONTROL!$C$15, $E$9, 100%, $G$9) + CHOOSE(CONTROL!$C$38, 0.0357, 0)</f>
        <v>18.036299999999997</v>
      </c>
      <c r="D141" s="10">
        <f>17.9928 * CHOOSE(CONTROL!$C$15, $E$9, 100%, $G$9) + CHOOSE(CONTROL!$C$38, 0.0357, 0)</f>
        <v>18.028499999999998</v>
      </c>
      <c r="E141" s="28">
        <f>19.5672 * CHOOSE(CONTROL!$C$15, $E$9, 100%, $G$9) + CHOOSE(CONTROL!$C$38, 0.0357, 0)</f>
        <v>19.602899999999998</v>
      </c>
      <c r="F141" s="27">
        <f>19.5672 * CHOOSE(CONTROL!$C$15, $E$9, 100%, $G$9) + CHOOSE(CONTROL!$C$38, 0.0266, 0)</f>
        <v>19.593799999999998</v>
      </c>
      <c r="G141" s="10">
        <f>17.999 * CHOOSE(CONTROL!$C$15, $E$9, 100%, $G$9) + CHOOSE(CONTROL!$C$38, 0.0357, 0)</f>
        <v>18.034699999999997</v>
      </c>
      <c r="H141" s="10">
        <f>17.999 * CHOOSE(CONTROL!$C$15, $E$9, 100%, $G$9) + CHOOSE(CONTROL!$C$38, 0.0357, 0)</f>
        <v>18.034699999999997</v>
      </c>
      <c r="I141" s="10">
        <f>18.0006 * CHOOSE(CONTROL!$C$15, $E$9, 100%, $G$9) + CHOOSE(CONTROL!$C$38, 0.0357, 0)</f>
        <v>18.036299999999997</v>
      </c>
      <c r="J141" s="26">
        <f>121.3269</f>
        <v>121.32689999999999</v>
      </c>
    </row>
    <row r="142" spans="1:10" ht="15">
      <c r="A142" s="16">
        <v>45597</v>
      </c>
      <c r="B142" s="10">
        <f>19.9169 * CHOOSE(CONTROL!$C$15, $E$9, 100%, $G$9) + CHOOSE(CONTROL!$C$38, 0.0266, 0)</f>
        <v>19.943499999999997</v>
      </c>
      <c r="C142" s="10">
        <f>18.194 * CHOOSE(CONTROL!$C$15, $E$9, 100%, $G$9) + CHOOSE(CONTROL!$C$38, 0.0357, 0)</f>
        <v>18.229699999999998</v>
      </c>
      <c r="D142" s="10">
        <f>18.1862 * CHOOSE(CONTROL!$C$15, $E$9, 100%, $G$9) + CHOOSE(CONTROL!$C$38, 0.0357, 0)</f>
        <v>18.221899999999998</v>
      </c>
      <c r="E142" s="28">
        <f>19.7606 * CHOOSE(CONTROL!$C$15, $E$9, 100%, $G$9) + CHOOSE(CONTROL!$C$38, 0.0357, 0)</f>
        <v>19.796299999999999</v>
      </c>
      <c r="F142" s="27">
        <f>19.7606 * CHOOSE(CONTROL!$C$15, $E$9, 100%, $G$9) + CHOOSE(CONTROL!$C$38, 0.0266, 0)</f>
        <v>19.787199999999999</v>
      </c>
      <c r="G142" s="10">
        <f>18.1924 * CHOOSE(CONTROL!$C$15, $E$9, 100%, $G$9) + CHOOSE(CONTROL!$C$38, 0.0357, 0)</f>
        <v>18.228099999999998</v>
      </c>
      <c r="H142" s="10">
        <f>18.1924 * CHOOSE(CONTROL!$C$15, $E$9, 100%, $G$9) + CHOOSE(CONTROL!$C$38, 0.0357, 0)</f>
        <v>18.228099999999998</v>
      </c>
      <c r="I142" s="10">
        <f>18.194 * CHOOSE(CONTROL!$C$15, $E$9, 100%, $G$9) + CHOOSE(CONTROL!$C$38, 0.0357, 0)</f>
        <v>18.229699999999998</v>
      </c>
      <c r="J142" s="26">
        <f>120.4624</f>
        <v>120.4624</v>
      </c>
    </row>
    <row r="143" spans="1:10" ht="15">
      <c r="A143" s="16">
        <v>45627</v>
      </c>
      <c r="B143" s="10">
        <f>20.5129 * CHOOSE(CONTROL!$C$15, $E$9, 100%, $G$9) + CHOOSE(CONTROL!$C$38, 0.0266, 0)</f>
        <v>20.539499999999997</v>
      </c>
      <c r="C143" s="10">
        <f>18.7901 * CHOOSE(CONTROL!$C$15, $E$9, 100%, $G$9) + CHOOSE(CONTROL!$C$38, 0.0357, 0)</f>
        <v>18.825799999999997</v>
      </c>
      <c r="D143" s="10">
        <f>18.7823 * CHOOSE(CONTROL!$C$15, $E$9, 100%, $G$9) + CHOOSE(CONTROL!$C$38, 0.0357, 0)</f>
        <v>18.817999999999998</v>
      </c>
      <c r="E143" s="28">
        <f>20.3567 * CHOOSE(CONTROL!$C$15, $E$9, 100%, $G$9) + CHOOSE(CONTROL!$C$38, 0.0357, 0)</f>
        <v>20.392399999999999</v>
      </c>
      <c r="F143" s="27">
        <f>20.3567 * CHOOSE(CONTROL!$C$15, $E$9, 100%, $G$9) + CHOOSE(CONTROL!$C$38, 0.0266, 0)</f>
        <v>20.383299999999998</v>
      </c>
      <c r="G143" s="10">
        <f>18.7885 * CHOOSE(CONTROL!$C$15, $E$9, 100%, $G$9) + CHOOSE(CONTROL!$C$38, 0.0357, 0)</f>
        <v>18.824199999999998</v>
      </c>
      <c r="H143" s="10">
        <f>18.7885 * CHOOSE(CONTROL!$C$15, $E$9, 100%, $G$9) + CHOOSE(CONTROL!$C$38, 0.0357, 0)</f>
        <v>18.824199999999998</v>
      </c>
      <c r="I143" s="10">
        <f>18.7901 * CHOOSE(CONTROL!$C$15, $E$9, 100%, $G$9) + CHOOSE(CONTROL!$C$38, 0.0357, 0)</f>
        <v>18.825799999999997</v>
      </c>
      <c r="J143" s="26">
        <f>116.8877</f>
        <v>116.8877</v>
      </c>
    </row>
    <row r="144" spans="1:10" ht="15">
      <c r="A144" s="16">
        <v>45658</v>
      </c>
      <c r="B144" s="10">
        <f>21.87 * CHOOSE(CONTROL!$C$15, $E$9, 100%, $G$9) + CHOOSE(CONTROL!$C$38, 0.0266, 0)</f>
        <v>21.896599999999999</v>
      </c>
      <c r="C144" s="10">
        <f>19.9693 * CHOOSE(CONTROL!$C$15, $E$9, 100%, $G$9) + CHOOSE(CONTROL!$C$38, 0.0357, 0)</f>
        <v>20.004999999999999</v>
      </c>
      <c r="D144" s="10">
        <f>19.9615 * CHOOSE(CONTROL!$C$15, $E$9, 100%, $G$9) + CHOOSE(CONTROL!$C$38, 0.0357, 0)</f>
        <v>19.997199999999999</v>
      </c>
      <c r="E144" s="28">
        <f>21.7138 * CHOOSE(CONTROL!$C$15, $E$9, 100%, $G$9) + CHOOSE(CONTROL!$C$38, 0.0357, 0)</f>
        <v>21.749499999999998</v>
      </c>
      <c r="F144" s="27">
        <f>21.7138 * CHOOSE(CONTROL!$C$15, $E$9, 100%, $G$9) + CHOOSE(CONTROL!$C$38, 0.0266, 0)</f>
        <v>21.740399999999998</v>
      </c>
      <c r="G144" s="10">
        <f>19.9677 * CHOOSE(CONTROL!$C$15, $E$9, 100%, $G$9) + CHOOSE(CONTROL!$C$38, 0.0357, 0)</f>
        <v>20.003399999999999</v>
      </c>
      <c r="H144" s="10">
        <f>19.9677 * CHOOSE(CONTROL!$C$15, $E$9, 100%, $G$9) + CHOOSE(CONTROL!$C$38, 0.0357, 0)</f>
        <v>20.003399999999999</v>
      </c>
      <c r="I144" s="10">
        <f>19.9693 * CHOOSE(CONTROL!$C$15, $E$9, 100%, $G$9) + CHOOSE(CONTROL!$C$38, 0.0357, 0)</f>
        <v>20.004999999999999</v>
      </c>
      <c r="J144" s="26">
        <f>118.7751</f>
        <v>118.77509999999999</v>
      </c>
    </row>
    <row r="145" spans="1:10" ht="15">
      <c r="A145" s="16">
        <v>45689</v>
      </c>
      <c r="B145" s="10">
        <f>22.0908 * CHOOSE(CONTROL!$C$15, $E$9, 100%, $G$9) + CHOOSE(CONTROL!$C$38, 0.0266, 0)</f>
        <v>22.1174</v>
      </c>
      <c r="C145" s="10">
        <f>20.1901 * CHOOSE(CONTROL!$C$15, $E$9, 100%, $G$9) + CHOOSE(CONTROL!$C$38, 0.0357, 0)</f>
        <v>20.2258</v>
      </c>
      <c r="D145" s="10">
        <f>20.1822 * CHOOSE(CONTROL!$C$15, $E$9, 100%, $G$9) + CHOOSE(CONTROL!$C$38, 0.0357, 0)</f>
        <v>20.2179</v>
      </c>
      <c r="E145" s="28">
        <f>21.9346 * CHOOSE(CONTROL!$C$15, $E$9, 100%, $G$9) + CHOOSE(CONTROL!$C$38, 0.0357, 0)</f>
        <v>21.970299999999998</v>
      </c>
      <c r="F145" s="27">
        <f>21.9346 * CHOOSE(CONTROL!$C$15, $E$9, 100%, $G$9) + CHOOSE(CONTROL!$C$38, 0.0266, 0)</f>
        <v>21.961199999999998</v>
      </c>
      <c r="G145" s="10">
        <f>20.1885 * CHOOSE(CONTROL!$C$15, $E$9, 100%, $G$9) + CHOOSE(CONTROL!$C$38, 0.0357, 0)</f>
        <v>20.2242</v>
      </c>
      <c r="H145" s="10">
        <f>20.1885 * CHOOSE(CONTROL!$C$15, $E$9, 100%, $G$9) + CHOOSE(CONTROL!$C$38, 0.0357, 0)</f>
        <v>20.2242</v>
      </c>
      <c r="I145" s="10">
        <f>20.1901 * CHOOSE(CONTROL!$C$15, $E$9, 100%, $G$9) + CHOOSE(CONTROL!$C$38, 0.0357, 0)</f>
        <v>20.2258</v>
      </c>
      <c r="J145" s="26">
        <f>118.445</f>
        <v>118.44499999999999</v>
      </c>
    </row>
    <row r="146" spans="1:10" ht="15">
      <c r="A146" s="16">
        <v>45717</v>
      </c>
      <c r="B146" s="10">
        <f>21.5798 * CHOOSE(CONTROL!$C$15, $E$9, 100%, $G$9) + CHOOSE(CONTROL!$C$38, 0.0266, 0)</f>
        <v>21.606399999999997</v>
      </c>
      <c r="C146" s="10">
        <f>19.679 * CHOOSE(CONTROL!$C$15, $E$9, 100%, $G$9) + CHOOSE(CONTROL!$C$38, 0.0357, 0)</f>
        <v>19.714699999999997</v>
      </c>
      <c r="D146" s="10">
        <f>19.6712 * CHOOSE(CONTROL!$C$15, $E$9, 100%, $G$9) + CHOOSE(CONTROL!$C$38, 0.0357, 0)</f>
        <v>19.706899999999997</v>
      </c>
      <c r="E146" s="28">
        <f>21.4235 * CHOOSE(CONTROL!$C$15, $E$9, 100%, $G$9) + CHOOSE(CONTROL!$C$38, 0.0357, 0)</f>
        <v>21.459199999999999</v>
      </c>
      <c r="F146" s="27">
        <f>21.4235 * CHOOSE(CONTROL!$C$15, $E$9, 100%, $G$9) + CHOOSE(CONTROL!$C$38, 0.0266, 0)</f>
        <v>21.450099999999999</v>
      </c>
      <c r="G146" s="10">
        <f>19.6775 * CHOOSE(CONTROL!$C$15, $E$9, 100%, $G$9) + CHOOSE(CONTROL!$C$38, 0.0357, 0)</f>
        <v>19.713199999999997</v>
      </c>
      <c r="H146" s="10">
        <f>19.6775 * CHOOSE(CONTROL!$C$15, $E$9, 100%, $G$9) + CHOOSE(CONTROL!$C$38, 0.0357, 0)</f>
        <v>19.713199999999997</v>
      </c>
      <c r="I146" s="10">
        <f>19.679 * CHOOSE(CONTROL!$C$15, $E$9, 100%, $G$9) + CHOOSE(CONTROL!$C$38, 0.0357, 0)</f>
        <v>19.714699999999997</v>
      </c>
      <c r="J146" s="26">
        <f>124.6877</f>
        <v>124.68770000000001</v>
      </c>
    </row>
    <row r="147" spans="1:10" ht="15">
      <c r="A147" s="16">
        <v>45748</v>
      </c>
      <c r="B147" s="10">
        <f>21.0846 * CHOOSE(CONTROL!$C$15, $E$9, 100%, $G$9) + CHOOSE(CONTROL!$C$38, 0.0266, 0)</f>
        <v>21.111199999999997</v>
      </c>
      <c r="C147" s="10">
        <f>19.1838 * CHOOSE(CONTROL!$C$15, $E$9, 100%, $G$9) + CHOOSE(CONTROL!$C$38, 0.0357, 0)</f>
        <v>19.2195</v>
      </c>
      <c r="D147" s="10">
        <f>19.176 * CHOOSE(CONTROL!$C$15, $E$9, 100%, $G$9) + CHOOSE(CONTROL!$C$38, 0.0357, 0)</f>
        <v>19.211699999999997</v>
      </c>
      <c r="E147" s="28">
        <f>20.9283 * CHOOSE(CONTROL!$C$15, $E$9, 100%, $G$9) + CHOOSE(CONTROL!$C$38, 0.0357, 0)</f>
        <v>20.963999999999999</v>
      </c>
      <c r="F147" s="27">
        <f>20.9283 * CHOOSE(CONTROL!$C$15, $E$9, 100%, $G$9) + CHOOSE(CONTROL!$C$38, 0.0266, 0)</f>
        <v>20.954899999999999</v>
      </c>
      <c r="G147" s="10">
        <f>19.1823 * CHOOSE(CONTROL!$C$15, $E$9, 100%, $G$9) + CHOOSE(CONTROL!$C$38, 0.0357, 0)</f>
        <v>19.218</v>
      </c>
      <c r="H147" s="10">
        <f>19.1823 * CHOOSE(CONTROL!$C$15, $E$9, 100%, $G$9) + CHOOSE(CONTROL!$C$38, 0.0357, 0)</f>
        <v>19.218</v>
      </c>
      <c r="I147" s="10">
        <f>19.1838 * CHOOSE(CONTROL!$C$15, $E$9, 100%, $G$9) + CHOOSE(CONTROL!$C$38, 0.0357, 0)</f>
        <v>19.2195</v>
      </c>
      <c r="J147" s="26">
        <f>132.783</f>
        <v>132.78299999999999</v>
      </c>
    </row>
    <row r="148" spans="1:10" ht="15">
      <c r="A148" s="16">
        <v>45778</v>
      </c>
      <c r="B148" s="10">
        <f>20.5685 * CHOOSE(CONTROL!$C$15, $E$9, 100%, $G$9) + CHOOSE(CONTROL!$C$38, 0.0266, 0)</f>
        <v>20.595099999999999</v>
      </c>
      <c r="C148" s="10">
        <f>18.6677 * CHOOSE(CONTROL!$C$15, $E$9, 100%, $G$9) + CHOOSE(CONTROL!$C$38, 0.0357, 0)</f>
        <v>18.703399999999998</v>
      </c>
      <c r="D148" s="10">
        <f>18.6599 * CHOOSE(CONTROL!$C$15, $E$9, 100%, $G$9) + CHOOSE(CONTROL!$C$38, 0.0357, 0)</f>
        <v>18.695599999999999</v>
      </c>
      <c r="E148" s="28">
        <f>20.4122 * CHOOSE(CONTROL!$C$15, $E$9, 100%, $G$9) + CHOOSE(CONTROL!$C$38, 0.0357, 0)</f>
        <v>20.447899999999997</v>
      </c>
      <c r="F148" s="27">
        <f>20.4122 * CHOOSE(CONTROL!$C$15, $E$9, 100%, $G$9) + CHOOSE(CONTROL!$C$38, 0.0266, 0)</f>
        <v>20.438799999999997</v>
      </c>
      <c r="G148" s="10">
        <f>18.6662 * CHOOSE(CONTROL!$C$15, $E$9, 100%, $G$9) + CHOOSE(CONTROL!$C$38, 0.0357, 0)</f>
        <v>18.701899999999998</v>
      </c>
      <c r="H148" s="10">
        <f>18.6662 * CHOOSE(CONTROL!$C$15, $E$9, 100%, $G$9) + CHOOSE(CONTROL!$C$38, 0.0357, 0)</f>
        <v>18.701899999999998</v>
      </c>
      <c r="I148" s="10">
        <f>18.6677 * CHOOSE(CONTROL!$C$15, $E$9, 100%, $G$9) + CHOOSE(CONTROL!$C$38, 0.0357, 0)</f>
        <v>18.703399999999998</v>
      </c>
      <c r="J148" s="26">
        <f>137.239</f>
        <v>137.239</v>
      </c>
    </row>
    <row r="149" spans="1:10" ht="15">
      <c r="A149" s="16">
        <v>45809</v>
      </c>
      <c r="B149" s="10">
        <f>20.2066 * CHOOSE(CONTROL!$C$15, $E$9, 100%, $G$9) + CHOOSE(CONTROL!$C$38, 0.0266, 0)</f>
        <v>20.2332</v>
      </c>
      <c r="C149" s="10">
        <f>18.3059 * CHOOSE(CONTROL!$C$15, $E$9, 100%, $G$9) + CHOOSE(CONTROL!$C$38, 0.0357, 0)</f>
        <v>18.3416</v>
      </c>
      <c r="D149" s="10">
        <f>18.2981 * CHOOSE(CONTROL!$C$15, $E$9, 100%, $G$9) + CHOOSE(CONTROL!$C$38, 0.0357, 0)</f>
        <v>18.3338</v>
      </c>
      <c r="E149" s="28">
        <f>20.0504 * CHOOSE(CONTROL!$C$15, $E$9, 100%, $G$9) + CHOOSE(CONTROL!$C$38, 0.0357, 0)</f>
        <v>20.086099999999998</v>
      </c>
      <c r="F149" s="27">
        <f>20.0504 * CHOOSE(CONTROL!$C$15, $E$9, 100%, $G$9) + CHOOSE(CONTROL!$C$38, 0.0266, 0)</f>
        <v>20.076999999999998</v>
      </c>
      <c r="G149" s="10">
        <f>18.3043 * CHOOSE(CONTROL!$C$15, $E$9, 100%, $G$9) + CHOOSE(CONTROL!$C$38, 0.0357, 0)</f>
        <v>18.34</v>
      </c>
      <c r="H149" s="10">
        <f>18.3043 * CHOOSE(CONTROL!$C$15, $E$9, 100%, $G$9) + CHOOSE(CONTROL!$C$38, 0.0357, 0)</f>
        <v>18.34</v>
      </c>
      <c r="I149" s="10">
        <f>18.3059 * CHOOSE(CONTROL!$C$15, $E$9, 100%, $G$9) + CHOOSE(CONTROL!$C$38, 0.0357, 0)</f>
        <v>18.3416</v>
      </c>
      <c r="J149" s="26">
        <f>139.2164</f>
        <v>139.21639999999999</v>
      </c>
    </row>
    <row r="150" spans="1:10" ht="15">
      <c r="A150" s="16">
        <v>45839</v>
      </c>
      <c r="B150" s="10">
        <f>20.0002 * CHOOSE(CONTROL!$C$15, $E$9, 100%, $G$9) + CHOOSE(CONTROL!$C$38, 0.0266, 0)</f>
        <v>20.026799999999998</v>
      </c>
      <c r="C150" s="10">
        <f>18.0994 * CHOOSE(CONTROL!$C$15, $E$9, 100%, $G$9) + CHOOSE(CONTROL!$C$38, 0.0357, 0)</f>
        <v>18.135099999999998</v>
      </c>
      <c r="D150" s="10">
        <f>18.0916 * CHOOSE(CONTROL!$C$15, $E$9, 100%, $G$9) + CHOOSE(CONTROL!$C$38, 0.0357, 0)</f>
        <v>18.127299999999998</v>
      </c>
      <c r="E150" s="28">
        <f>19.8439 * CHOOSE(CONTROL!$C$15, $E$9, 100%, $G$9) + CHOOSE(CONTROL!$C$38, 0.0357, 0)</f>
        <v>19.8796</v>
      </c>
      <c r="F150" s="27">
        <f>19.8439 * CHOOSE(CONTROL!$C$15, $E$9, 100%, $G$9) + CHOOSE(CONTROL!$C$38, 0.0266, 0)</f>
        <v>19.8705</v>
      </c>
      <c r="G150" s="10">
        <f>18.0978 * CHOOSE(CONTROL!$C$15, $E$9, 100%, $G$9) + CHOOSE(CONTROL!$C$38, 0.0357, 0)</f>
        <v>18.133499999999998</v>
      </c>
      <c r="H150" s="10">
        <f>18.0978 * CHOOSE(CONTROL!$C$15, $E$9, 100%, $G$9) + CHOOSE(CONTROL!$C$38, 0.0357, 0)</f>
        <v>18.133499999999998</v>
      </c>
      <c r="I150" s="10">
        <f>18.0994 * CHOOSE(CONTROL!$C$15, $E$9, 100%, $G$9) + CHOOSE(CONTROL!$C$38, 0.0357, 0)</f>
        <v>18.135099999999998</v>
      </c>
      <c r="J150" s="26">
        <f>138.5653</f>
        <v>138.56530000000001</v>
      </c>
    </row>
    <row r="151" spans="1:10" ht="15">
      <c r="A151" s="16">
        <v>45870</v>
      </c>
      <c r="B151" s="10">
        <f>20.1021 * CHOOSE(CONTROL!$C$15, $E$9, 100%, $G$9) + CHOOSE(CONTROL!$C$38, 0.0266, 0)</f>
        <v>20.128699999999998</v>
      </c>
      <c r="C151" s="10">
        <f>18.2013 * CHOOSE(CONTROL!$C$15, $E$9, 100%, $G$9) + CHOOSE(CONTROL!$C$38, 0.0357, 0)</f>
        <v>18.236999999999998</v>
      </c>
      <c r="D151" s="10">
        <f>18.1935 * CHOOSE(CONTROL!$C$15, $E$9, 100%, $G$9) + CHOOSE(CONTROL!$C$38, 0.0357, 0)</f>
        <v>18.229199999999999</v>
      </c>
      <c r="E151" s="28">
        <f>19.9458 * CHOOSE(CONTROL!$C$15, $E$9, 100%, $G$9) + CHOOSE(CONTROL!$C$38, 0.0357, 0)</f>
        <v>19.981499999999997</v>
      </c>
      <c r="F151" s="27">
        <f>19.9458 * CHOOSE(CONTROL!$C$15, $E$9, 100%, $G$9) + CHOOSE(CONTROL!$C$38, 0.0266, 0)</f>
        <v>19.972399999999997</v>
      </c>
      <c r="G151" s="10">
        <f>18.1998 * CHOOSE(CONTROL!$C$15, $E$9, 100%, $G$9) + CHOOSE(CONTROL!$C$38, 0.0357, 0)</f>
        <v>18.235499999999998</v>
      </c>
      <c r="H151" s="10">
        <f>18.1998 * CHOOSE(CONTROL!$C$15, $E$9, 100%, $G$9) + CHOOSE(CONTROL!$C$38, 0.0357, 0)</f>
        <v>18.235499999999998</v>
      </c>
      <c r="I151" s="10">
        <f>18.2013 * CHOOSE(CONTROL!$C$15, $E$9, 100%, $G$9) + CHOOSE(CONTROL!$C$38, 0.0357, 0)</f>
        <v>18.236999999999998</v>
      </c>
      <c r="J151" s="26">
        <f>135.3396</f>
        <v>135.33959999999999</v>
      </c>
    </row>
    <row r="152" spans="1:10" ht="15">
      <c r="A152" s="16">
        <v>45901</v>
      </c>
      <c r="B152" s="10">
        <f>20.3789 * CHOOSE(CONTROL!$C$15, $E$9, 100%, $G$9) + CHOOSE(CONTROL!$C$38, 0.0266, 0)</f>
        <v>20.4055</v>
      </c>
      <c r="C152" s="10">
        <f>18.4781 * CHOOSE(CONTROL!$C$15, $E$9, 100%, $G$9) + CHOOSE(CONTROL!$C$38, 0.0357, 0)</f>
        <v>18.5138</v>
      </c>
      <c r="D152" s="10">
        <f>18.4703 * CHOOSE(CONTROL!$C$15, $E$9, 100%, $G$9) + CHOOSE(CONTROL!$C$38, 0.0357, 0)</f>
        <v>18.506</v>
      </c>
      <c r="E152" s="28">
        <f>20.2226 * CHOOSE(CONTROL!$C$15, $E$9, 100%, $G$9) + CHOOSE(CONTROL!$C$38, 0.0357, 0)</f>
        <v>20.258299999999998</v>
      </c>
      <c r="F152" s="27">
        <f>20.2226 * CHOOSE(CONTROL!$C$15, $E$9, 100%, $G$9) + CHOOSE(CONTROL!$C$38, 0.0266, 0)</f>
        <v>20.249199999999998</v>
      </c>
      <c r="G152" s="10">
        <f>18.4766 * CHOOSE(CONTROL!$C$15, $E$9, 100%, $G$9) + CHOOSE(CONTROL!$C$38, 0.0357, 0)</f>
        <v>18.5123</v>
      </c>
      <c r="H152" s="10">
        <f>18.4766 * CHOOSE(CONTROL!$C$15, $E$9, 100%, $G$9) + CHOOSE(CONTROL!$C$38, 0.0357, 0)</f>
        <v>18.5123</v>
      </c>
      <c r="I152" s="10">
        <f>18.4781 * CHOOSE(CONTROL!$C$15, $E$9, 100%, $G$9) + CHOOSE(CONTROL!$C$38, 0.0357, 0)</f>
        <v>18.5138</v>
      </c>
      <c r="J152" s="26">
        <f>130.8411</f>
        <v>130.84110000000001</v>
      </c>
    </row>
    <row r="153" spans="1:10" ht="15">
      <c r="A153" s="16">
        <v>45931</v>
      </c>
      <c r="B153" s="10">
        <f>20.6107 * CHOOSE(CONTROL!$C$15, $E$9, 100%, $G$9) + CHOOSE(CONTROL!$C$38, 0.0266, 0)</f>
        <v>20.6373</v>
      </c>
      <c r="C153" s="10">
        <f>18.7099 * CHOOSE(CONTROL!$C$15, $E$9, 100%, $G$9) + CHOOSE(CONTROL!$C$38, 0.0357, 0)</f>
        <v>18.7456</v>
      </c>
      <c r="D153" s="10">
        <f>18.7021 * CHOOSE(CONTROL!$C$15, $E$9, 100%, $G$9) + CHOOSE(CONTROL!$C$38, 0.0357, 0)</f>
        <v>18.7378</v>
      </c>
      <c r="E153" s="28">
        <f>20.4544 * CHOOSE(CONTROL!$C$15, $E$9, 100%, $G$9) + CHOOSE(CONTROL!$C$38, 0.0357, 0)</f>
        <v>20.490099999999998</v>
      </c>
      <c r="F153" s="27">
        <f>20.4544 * CHOOSE(CONTROL!$C$15, $E$9, 100%, $G$9) + CHOOSE(CONTROL!$C$38, 0.0266, 0)</f>
        <v>20.480999999999998</v>
      </c>
      <c r="G153" s="10">
        <f>18.7084 * CHOOSE(CONTROL!$C$15, $E$9, 100%, $G$9) + CHOOSE(CONTROL!$C$38, 0.0357, 0)</f>
        <v>18.7441</v>
      </c>
      <c r="H153" s="10">
        <f>18.7084 * CHOOSE(CONTROL!$C$15, $E$9, 100%, $G$9) + CHOOSE(CONTROL!$C$38, 0.0357, 0)</f>
        <v>18.7441</v>
      </c>
      <c r="I153" s="10">
        <f>18.7099 * CHOOSE(CONTROL!$C$15, $E$9, 100%, $G$9) + CHOOSE(CONTROL!$C$38, 0.0357, 0)</f>
        <v>18.7456</v>
      </c>
      <c r="J153" s="26">
        <f>126.3165</f>
        <v>126.3165</v>
      </c>
    </row>
    <row r="154" spans="1:10" ht="15">
      <c r="A154" s="16">
        <v>45962</v>
      </c>
      <c r="B154" s="10">
        <f>20.8041 * CHOOSE(CONTROL!$C$15, $E$9, 100%, $G$9) + CHOOSE(CONTROL!$C$38, 0.0266, 0)</f>
        <v>20.830699999999997</v>
      </c>
      <c r="C154" s="10">
        <f>18.9034 * CHOOSE(CONTROL!$C$15, $E$9, 100%, $G$9) + CHOOSE(CONTROL!$C$38, 0.0357, 0)</f>
        <v>18.9391</v>
      </c>
      <c r="D154" s="10">
        <f>18.8956 * CHOOSE(CONTROL!$C$15, $E$9, 100%, $G$9) + CHOOSE(CONTROL!$C$38, 0.0357, 0)</f>
        <v>18.9313</v>
      </c>
      <c r="E154" s="28">
        <f>20.6479 * CHOOSE(CONTROL!$C$15, $E$9, 100%, $G$9) + CHOOSE(CONTROL!$C$38, 0.0357, 0)</f>
        <v>20.683599999999998</v>
      </c>
      <c r="F154" s="27">
        <f>20.6479 * CHOOSE(CONTROL!$C$15, $E$9, 100%, $G$9) + CHOOSE(CONTROL!$C$38, 0.0266, 0)</f>
        <v>20.674499999999998</v>
      </c>
      <c r="G154" s="10">
        <f>18.9018 * CHOOSE(CONTROL!$C$15, $E$9, 100%, $G$9) + CHOOSE(CONTROL!$C$38, 0.0357, 0)</f>
        <v>18.9375</v>
      </c>
      <c r="H154" s="10">
        <f>18.9018 * CHOOSE(CONTROL!$C$15, $E$9, 100%, $G$9) + CHOOSE(CONTROL!$C$38, 0.0357, 0)</f>
        <v>18.9375</v>
      </c>
      <c r="I154" s="10">
        <f>18.9034 * CHOOSE(CONTROL!$C$15, $E$9, 100%, $G$9) + CHOOSE(CONTROL!$C$38, 0.0357, 0)</f>
        <v>18.9391</v>
      </c>
      <c r="J154" s="26">
        <f>125.4165</f>
        <v>125.4165</v>
      </c>
    </row>
    <row r="155" spans="1:10" ht="15">
      <c r="A155" s="16">
        <v>45992</v>
      </c>
      <c r="B155" s="10">
        <f>21.4002 * CHOOSE(CONTROL!$C$15, $E$9, 100%, $G$9) + CHOOSE(CONTROL!$C$38, 0.0266, 0)</f>
        <v>21.4268</v>
      </c>
      <c r="C155" s="10">
        <f>19.4995 * CHOOSE(CONTROL!$C$15, $E$9, 100%, $G$9) + CHOOSE(CONTROL!$C$38, 0.0357, 0)</f>
        <v>19.5352</v>
      </c>
      <c r="D155" s="10">
        <f>19.4916 * CHOOSE(CONTROL!$C$15, $E$9, 100%, $G$9) + CHOOSE(CONTROL!$C$38, 0.0357, 0)</f>
        <v>19.527299999999997</v>
      </c>
      <c r="E155" s="28">
        <f>21.2439 * CHOOSE(CONTROL!$C$15, $E$9, 100%, $G$9) + CHOOSE(CONTROL!$C$38, 0.0357, 0)</f>
        <v>21.279599999999999</v>
      </c>
      <c r="F155" s="27">
        <f>21.2439 * CHOOSE(CONTROL!$C$15, $E$9, 100%, $G$9) + CHOOSE(CONTROL!$C$38, 0.0266, 0)</f>
        <v>21.270499999999998</v>
      </c>
      <c r="G155" s="10">
        <f>19.4979 * CHOOSE(CONTROL!$C$15, $E$9, 100%, $G$9) + CHOOSE(CONTROL!$C$38, 0.0357, 0)</f>
        <v>19.5336</v>
      </c>
      <c r="H155" s="10">
        <f>19.4979 * CHOOSE(CONTROL!$C$15, $E$9, 100%, $G$9) + CHOOSE(CONTROL!$C$38, 0.0357, 0)</f>
        <v>19.5336</v>
      </c>
      <c r="I155" s="10">
        <f>19.4995 * CHOOSE(CONTROL!$C$15, $E$9, 100%, $G$9) + CHOOSE(CONTROL!$C$38, 0.0357, 0)</f>
        <v>19.5352</v>
      </c>
      <c r="J155" s="26">
        <f>121.6947</f>
        <v>121.6947</v>
      </c>
    </row>
    <row r="156" spans="1:10" ht="15">
      <c r="A156" s="16">
        <v>46023</v>
      </c>
      <c r="B156" s="10">
        <f>22.6276 * CHOOSE(CONTROL!$C$15, $E$9, 100%, $G$9) + CHOOSE(CONTROL!$C$38, 0.0266, 0)</f>
        <v>22.654199999999999</v>
      </c>
      <c r="C156" s="10">
        <f>20.7084 * CHOOSE(CONTROL!$C$15, $E$9, 100%, $G$9) + CHOOSE(CONTROL!$C$38, 0.0357, 0)</f>
        <v>20.7441</v>
      </c>
      <c r="D156" s="10">
        <f>20.7005 * CHOOSE(CONTROL!$C$15, $E$9, 100%, $G$9) + CHOOSE(CONTROL!$C$38, 0.0357, 0)</f>
        <v>20.7362</v>
      </c>
      <c r="E156" s="28">
        <f>22.4713 * CHOOSE(CONTROL!$C$15, $E$9, 100%, $G$9) + CHOOSE(CONTROL!$C$38, 0.0357, 0)</f>
        <v>22.506999999999998</v>
      </c>
      <c r="F156" s="27">
        <f>22.4713 * CHOOSE(CONTROL!$C$15, $E$9, 100%, $G$9) + CHOOSE(CONTROL!$C$38, 0.0266, 0)</f>
        <v>22.497899999999998</v>
      </c>
      <c r="G156" s="10">
        <f>20.7068 * CHOOSE(CONTROL!$C$15, $E$9, 100%, $G$9) + CHOOSE(CONTROL!$C$38, 0.0357, 0)</f>
        <v>20.7425</v>
      </c>
      <c r="H156" s="10">
        <f>20.7068 * CHOOSE(CONTROL!$C$15, $E$9, 100%, $G$9) + CHOOSE(CONTROL!$C$38, 0.0357, 0)</f>
        <v>20.7425</v>
      </c>
      <c r="I156" s="10">
        <f>20.7084 * CHOOSE(CONTROL!$C$15, $E$9, 100%, $G$9) + CHOOSE(CONTROL!$C$38, 0.0357, 0)</f>
        <v>20.7441</v>
      </c>
      <c r="J156" s="26">
        <f>123.6693</f>
        <v>123.66930000000001</v>
      </c>
    </row>
    <row r="157" spans="1:10" ht="15">
      <c r="A157" s="16">
        <v>46054</v>
      </c>
      <c r="B157" s="10">
        <f>22.8483 * CHOOSE(CONTROL!$C$15, $E$9, 100%, $G$9) + CHOOSE(CONTROL!$C$38, 0.0266, 0)</f>
        <v>22.874899999999997</v>
      </c>
      <c r="C157" s="10">
        <f>20.9291 * CHOOSE(CONTROL!$C$15, $E$9, 100%, $G$9) + CHOOSE(CONTROL!$C$38, 0.0357, 0)</f>
        <v>20.964799999999997</v>
      </c>
      <c r="D157" s="10">
        <f>20.9213 * CHOOSE(CONTROL!$C$15, $E$9, 100%, $G$9) + CHOOSE(CONTROL!$C$38, 0.0357, 0)</f>
        <v>20.956999999999997</v>
      </c>
      <c r="E157" s="28">
        <f>22.6921 * CHOOSE(CONTROL!$C$15, $E$9, 100%, $G$9) + CHOOSE(CONTROL!$C$38, 0.0357, 0)</f>
        <v>22.727799999999998</v>
      </c>
      <c r="F157" s="27">
        <f>22.6921 * CHOOSE(CONTROL!$C$15, $E$9, 100%, $G$9) + CHOOSE(CONTROL!$C$38, 0.0266, 0)</f>
        <v>22.718699999999998</v>
      </c>
      <c r="G157" s="10">
        <f>20.9276 * CHOOSE(CONTROL!$C$15, $E$9, 100%, $G$9) + CHOOSE(CONTROL!$C$38, 0.0357, 0)</f>
        <v>20.9633</v>
      </c>
      <c r="H157" s="10">
        <f>20.9276 * CHOOSE(CONTROL!$C$15, $E$9, 100%, $G$9) + CHOOSE(CONTROL!$C$38, 0.0357, 0)</f>
        <v>20.9633</v>
      </c>
      <c r="I157" s="10">
        <f>20.9291 * CHOOSE(CONTROL!$C$15, $E$9, 100%, $G$9) + CHOOSE(CONTROL!$C$38, 0.0357, 0)</f>
        <v>20.964799999999997</v>
      </c>
      <c r="J157" s="26">
        <f>123.3255</f>
        <v>123.32550000000001</v>
      </c>
    </row>
    <row r="158" spans="1:10" ht="15">
      <c r="A158" s="16">
        <v>46082</v>
      </c>
      <c r="B158" s="10">
        <f>22.3373 * CHOOSE(CONTROL!$C$15, $E$9, 100%, $G$9) + CHOOSE(CONTROL!$C$38, 0.0266, 0)</f>
        <v>22.363899999999997</v>
      </c>
      <c r="C158" s="10">
        <f>20.4181 * CHOOSE(CONTROL!$C$15, $E$9, 100%, $G$9) + CHOOSE(CONTROL!$C$38, 0.0357, 0)</f>
        <v>20.453799999999998</v>
      </c>
      <c r="D158" s="10">
        <f>20.4103 * CHOOSE(CONTROL!$C$15, $E$9, 100%, $G$9) + CHOOSE(CONTROL!$C$38, 0.0357, 0)</f>
        <v>20.445999999999998</v>
      </c>
      <c r="E158" s="28">
        <f>22.1811 * CHOOSE(CONTROL!$C$15, $E$9, 100%, $G$9) + CHOOSE(CONTROL!$C$38, 0.0357, 0)</f>
        <v>22.216799999999999</v>
      </c>
      <c r="F158" s="27">
        <f>22.1811 * CHOOSE(CONTROL!$C$15, $E$9, 100%, $G$9) + CHOOSE(CONTROL!$C$38, 0.0266, 0)</f>
        <v>22.207699999999999</v>
      </c>
      <c r="G158" s="10">
        <f>20.4165 * CHOOSE(CONTROL!$C$15, $E$9, 100%, $G$9) + CHOOSE(CONTROL!$C$38, 0.0357, 0)</f>
        <v>20.452199999999998</v>
      </c>
      <c r="H158" s="10">
        <f>20.4165 * CHOOSE(CONTROL!$C$15, $E$9, 100%, $G$9) + CHOOSE(CONTROL!$C$38, 0.0357, 0)</f>
        <v>20.452199999999998</v>
      </c>
      <c r="I158" s="10">
        <f>20.4181 * CHOOSE(CONTROL!$C$15, $E$9, 100%, $G$9) + CHOOSE(CONTROL!$C$38, 0.0357, 0)</f>
        <v>20.453799999999998</v>
      </c>
      <c r="J158" s="26">
        <f>129.8255</f>
        <v>129.82550000000001</v>
      </c>
    </row>
    <row r="159" spans="1:10" ht="15">
      <c r="A159" s="16">
        <v>46113</v>
      </c>
      <c r="B159" s="10">
        <f>21.8421 * CHOOSE(CONTROL!$C$15, $E$9, 100%, $G$9) + CHOOSE(CONTROL!$C$38, 0.0266, 0)</f>
        <v>21.868699999999997</v>
      </c>
      <c r="C159" s="10">
        <f>19.9229 * CHOOSE(CONTROL!$C$15, $E$9, 100%, $G$9) + CHOOSE(CONTROL!$C$38, 0.0357, 0)</f>
        <v>19.958599999999997</v>
      </c>
      <c r="D159" s="10">
        <f>19.9151 * CHOOSE(CONTROL!$C$15, $E$9, 100%, $G$9) + CHOOSE(CONTROL!$C$38, 0.0357, 0)</f>
        <v>19.950799999999997</v>
      </c>
      <c r="E159" s="28">
        <f>21.6859 * CHOOSE(CONTROL!$C$15, $E$9, 100%, $G$9) + CHOOSE(CONTROL!$C$38, 0.0357, 0)</f>
        <v>21.721599999999999</v>
      </c>
      <c r="F159" s="27">
        <f>21.6859 * CHOOSE(CONTROL!$C$15, $E$9, 100%, $G$9) + CHOOSE(CONTROL!$C$38, 0.0266, 0)</f>
        <v>21.712499999999999</v>
      </c>
      <c r="G159" s="10">
        <f>19.9213 * CHOOSE(CONTROL!$C$15, $E$9, 100%, $G$9) + CHOOSE(CONTROL!$C$38, 0.0357, 0)</f>
        <v>19.956999999999997</v>
      </c>
      <c r="H159" s="10">
        <f>19.9213 * CHOOSE(CONTROL!$C$15, $E$9, 100%, $G$9) + CHOOSE(CONTROL!$C$38, 0.0357, 0)</f>
        <v>19.956999999999997</v>
      </c>
      <c r="I159" s="10">
        <f>19.9229 * CHOOSE(CONTROL!$C$15, $E$9, 100%, $G$9) + CHOOSE(CONTROL!$C$38, 0.0357, 0)</f>
        <v>19.958599999999997</v>
      </c>
      <c r="J159" s="26">
        <f>138.2544</f>
        <v>138.2544</v>
      </c>
    </row>
    <row r="160" spans="1:10" ht="15">
      <c r="A160" s="16">
        <v>46143</v>
      </c>
      <c r="B160" s="10">
        <f>21.326 * CHOOSE(CONTROL!$C$15, $E$9, 100%, $G$9) + CHOOSE(CONTROL!$C$38, 0.0266, 0)</f>
        <v>21.352599999999999</v>
      </c>
      <c r="C160" s="10">
        <f>19.4068 * CHOOSE(CONTROL!$C$15, $E$9, 100%, $G$9) + CHOOSE(CONTROL!$C$38, 0.0357, 0)</f>
        <v>19.442499999999999</v>
      </c>
      <c r="D160" s="10">
        <f>19.399 * CHOOSE(CONTROL!$C$15, $E$9, 100%, $G$9) + CHOOSE(CONTROL!$C$38, 0.0357, 0)</f>
        <v>19.434699999999999</v>
      </c>
      <c r="E160" s="28">
        <f>21.1698 * CHOOSE(CONTROL!$C$15, $E$9, 100%, $G$9) + CHOOSE(CONTROL!$C$38, 0.0357, 0)</f>
        <v>21.205499999999997</v>
      </c>
      <c r="F160" s="27">
        <f>21.1698 * CHOOSE(CONTROL!$C$15, $E$9, 100%, $G$9) + CHOOSE(CONTROL!$C$38, 0.0266, 0)</f>
        <v>21.196399999999997</v>
      </c>
      <c r="G160" s="10">
        <f>19.4052 * CHOOSE(CONTROL!$C$15, $E$9, 100%, $G$9) + CHOOSE(CONTROL!$C$38, 0.0357, 0)</f>
        <v>19.440899999999999</v>
      </c>
      <c r="H160" s="10">
        <f>19.4052 * CHOOSE(CONTROL!$C$15, $E$9, 100%, $G$9) + CHOOSE(CONTROL!$C$38, 0.0357, 0)</f>
        <v>19.440899999999999</v>
      </c>
      <c r="I160" s="10">
        <f>19.4068 * CHOOSE(CONTROL!$C$15, $E$9, 100%, $G$9) + CHOOSE(CONTROL!$C$38, 0.0357, 0)</f>
        <v>19.442499999999999</v>
      </c>
      <c r="J160" s="26">
        <f>142.8939</f>
        <v>142.8939</v>
      </c>
    </row>
    <row r="161" spans="1:10" ht="15">
      <c r="A161" s="16">
        <v>46174</v>
      </c>
      <c r="B161" s="10">
        <f>20.9642 * CHOOSE(CONTROL!$C$15, $E$9, 100%, $G$9) + CHOOSE(CONTROL!$C$38, 0.0266, 0)</f>
        <v>20.9908</v>
      </c>
      <c r="C161" s="10">
        <f>19.045 * CHOOSE(CONTROL!$C$15, $E$9, 100%, $G$9) + CHOOSE(CONTROL!$C$38, 0.0357, 0)</f>
        <v>19.0807</v>
      </c>
      <c r="D161" s="10">
        <f>19.0372 * CHOOSE(CONTROL!$C$15, $E$9, 100%, $G$9) + CHOOSE(CONTROL!$C$38, 0.0357, 0)</f>
        <v>19.072899999999997</v>
      </c>
      <c r="E161" s="28">
        <f>20.8079 * CHOOSE(CONTROL!$C$15, $E$9, 100%, $G$9) + CHOOSE(CONTROL!$C$38, 0.0357, 0)</f>
        <v>20.843599999999999</v>
      </c>
      <c r="F161" s="27">
        <f>20.8079 * CHOOSE(CONTROL!$C$15, $E$9, 100%, $G$9) + CHOOSE(CONTROL!$C$38, 0.0266, 0)</f>
        <v>20.834499999999998</v>
      </c>
      <c r="G161" s="10">
        <f>19.0434 * CHOOSE(CONTROL!$C$15, $E$9, 100%, $G$9) + CHOOSE(CONTROL!$C$38, 0.0357, 0)</f>
        <v>19.079099999999997</v>
      </c>
      <c r="H161" s="10">
        <f>19.0434 * CHOOSE(CONTROL!$C$15, $E$9, 100%, $G$9) + CHOOSE(CONTROL!$C$38, 0.0357, 0)</f>
        <v>19.079099999999997</v>
      </c>
      <c r="I161" s="10">
        <f>19.045 * CHOOSE(CONTROL!$C$15, $E$9, 100%, $G$9) + CHOOSE(CONTROL!$C$38, 0.0357, 0)</f>
        <v>19.0807</v>
      </c>
      <c r="J161" s="26">
        <f>144.9529</f>
        <v>144.9529</v>
      </c>
    </row>
    <row r="162" spans="1:10" ht="15">
      <c r="A162" s="16">
        <v>46204</v>
      </c>
      <c r="B162" s="10">
        <f>20.7577 * CHOOSE(CONTROL!$C$15, $E$9, 100%, $G$9) + CHOOSE(CONTROL!$C$38, 0.0266, 0)</f>
        <v>20.784299999999998</v>
      </c>
      <c r="C162" s="10">
        <f>18.8385 * CHOOSE(CONTROL!$C$15, $E$9, 100%, $G$9) + CHOOSE(CONTROL!$C$38, 0.0357, 0)</f>
        <v>18.874199999999998</v>
      </c>
      <c r="D162" s="10">
        <f>18.8307 * CHOOSE(CONTROL!$C$15, $E$9, 100%, $G$9) + CHOOSE(CONTROL!$C$38, 0.0357, 0)</f>
        <v>18.866399999999999</v>
      </c>
      <c r="E162" s="28">
        <f>20.6014 * CHOOSE(CONTROL!$C$15, $E$9, 100%, $G$9) + CHOOSE(CONTROL!$C$38, 0.0357, 0)</f>
        <v>20.6371</v>
      </c>
      <c r="F162" s="27">
        <f>20.6014 * CHOOSE(CONTROL!$C$15, $E$9, 100%, $G$9) + CHOOSE(CONTROL!$C$38, 0.0266, 0)</f>
        <v>20.628</v>
      </c>
      <c r="G162" s="10">
        <f>18.8369 * CHOOSE(CONTROL!$C$15, $E$9, 100%, $G$9) + CHOOSE(CONTROL!$C$38, 0.0357, 0)</f>
        <v>18.872599999999998</v>
      </c>
      <c r="H162" s="10">
        <f>18.8369 * CHOOSE(CONTROL!$C$15, $E$9, 100%, $G$9) + CHOOSE(CONTROL!$C$38, 0.0357, 0)</f>
        <v>18.872599999999998</v>
      </c>
      <c r="I162" s="10">
        <f>18.8385 * CHOOSE(CONTROL!$C$15, $E$9, 100%, $G$9) + CHOOSE(CONTROL!$C$38, 0.0357, 0)</f>
        <v>18.874199999999998</v>
      </c>
      <c r="J162" s="26">
        <f>144.275</f>
        <v>144.27500000000001</v>
      </c>
    </row>
    <row r="163" spans="1:10" ht="15">
      <c r="A163" s="16">
        <v>46235</v>
      </c>
      <c r="B163" s="10">
        <f>20.8596 * CHOOSE(CONTROL!$C$15, $E$9, 100%, $G$9) + CHOOSE(CONTROL!$C$38, 0.0266, 0)</f>
        <v>20.886199999999999</v>
      </c>
      <c r="C163" s="10">
        <f>18.9404 * CHOOSE(CONTROL!$C$15, $E$9, 100%, $G$9) + CHOOSE(CONTROL!$C$38, 0.0357, 0)</f>
        <v>18.976099999999999</v>
      </c>
      <c r="D163" s="10">
        <f>18.9326 * CHOOSE(CONTROL!$C$15, $E$9, 100%, $G$9) + CHOOSE(CONTROL!$C$38, 0.0357, 0)</f>
        <v>18.968299999999999</v>
      </c>
      <c r="E163" s="28">
        <f>20.7034 * CHOOSE(CONTROL!$C$15, $E$9, 100%, $G$9) + CHOOSE(CONTROL!$C$38, 0.0357, 0)</f>
        <v>20.739099999999997</v>
      </c>
      <c r="F163" s="27">
        <f>20.7034 * CHOOSE(CONTROL!$C$15, $E$9, 100%, $G$9) + CHOOSE(CONTROL!$C$38, 0.0266, 0)</f>
        <v>20.729999999999997</v>
      </c>
      <c r="G163" s="10">
        <f>18.9388 * CHOOSE(CONTROL!$C$15, $E$9, 100%, $G$9) + CHOOSE(CONTROL!$C$38, 0.0357, 0)</f>
        <v>18.974499999999999</v>
      </c>
      <c r="H163" s="10">
        <f>18.9388 * CHOOSE(CONTROL!$C$15, $E$9, 100%, $G$9) + CHOOSE(CONTROL!$C$38, 0.0357, 0)</f>
        <v>18.974499999999999</v>
      </c>
      <c r="I163" s="10">
        <f>18.9404 * CHOOSE(CONTROL!$C$15, $E$9, 100%, $G$9) + CHOOSE(CONTROL!$C$38, 0.0357, 0)</f>
        <v>18.976099999999999</v>
      </c>
      <c r="J163" s="26">
        <f>140.9163</f>
        <v>140.91630000000001</v>
      </c>
    </row>
    <row r="164" spans="1:10" ht="15">
      <c r="A164" s="16">
        <v>46266</v>
      </c>
      <c r="B164" s="10">
        <f>21.1364 * CHOOSE(CONTROL!$C$15, $E$9, 100%, $G$9) + CHOOSE(CONTROL!$C$38, 0.0266, 0)</f>
        <v>21.162999999999997</v>
      </c>
      <c r="C164" s="10">
        <f>19.2172 * CHOOSE(CONTROL!$C$15, $E$9, 100%, $G$9) + CHOOSE(CONTROL!$C$38, 0.0357, 0)</f>
        <v>19.252899999999997</v>
      </c>
      <c r="D164" s="10">
        <f>19.2094 * CHOOSE(CONTROL!$C$15, $E$9, 100%, $G$9) + CHOOSE(CONTROL!$C$38, 0.0357, 0)</f>
        <v>19.245099999999997</v>
      </c>
      <c r="E164" s="28">
        <f>20.9802 * CHOOSE(CONTROL!$C$15, $E$9, 100%, $G$9) + CHOOSE(CONTROL!$C$38, 0.0357, 0)</f>
        <v>21.015899999999998</v>
      </c>
      <c r="F164" s="27">
        <f>20.9802 * CHOOSE(CONTROL!$C$15, $E$9, 100%, $G$9) + CHOOSE(CONTROL!$C$38, 0.0266, 0)</f>
        <v>21.006799999999998</v>
      </c>
      <c r="G164" s="10">
        <f>19.2156 * CHOOSE(CONTROL!$C$15, $E$9, 100%, $G$9) + CHOOSE(CONTROL!$C$38, 0.0357, 0)</f>
        <v>19.251299999999997</v>
      </c>
      <c r="H164" s="10">
        <f>19.2156 * CHOOSE(CONTROL!$C$15, $E$9, 100%, $G$9) + CHOOSE(CONTROL!$C$38, 0.0357, 0)</f>
        <v>19.251299999999997</v>
      </c>
      <c r="I164" s="10">
        <f>19.2172 * CHOOSE(CONTROL!$C$15, $E$9, 100%, $G$9) + CHOOSE(CONTROL!$C$38, 0.0357, 0)</f>
        <v>19.252899999999997</v>
      </c>
      <c r="J164" s="26">
        <f>136.2325</f>
        <v>136.23249999999999</v>
      </c>
    </row>
    <row r="165" spans="1:10" ht="15">
      <c r="A165" s="16">
        <v>46296</v>
      </c>
      <c r="B165" s="10">
        <f>21.3682 * CHOOSE(CONTROL!$C$15, $E$9, 100%, $G$9) + CHOOSE(CONTROL!$C$38, 0.0266, 0)</f>
        <v>21.3948</v>
      </c>
      <c r="C165" s="10">
        <f>19.449 * CHOOSE(CONTROL!$C$15, $E$9, 100%, $G$9) + CHOOSE(CONTROL!$C$38, 0.0357, 0)</f>
        <v>19.4847</v>
      </c>
      <c r="D165" s="10">
        <f>19.4412 * CHOOSE(CONTROL!$C$15, $E$9, 100%, $G$9) + CHOOSE(CONTROL!$C$38, 0.0357, 0)</f>
        <v>19.476899999999997</v>
      </c>
      <c r="E165" s="28">
        <f>21.212 * CHOOSE(CONTROL!$C$15, $E$9, 100%, $G$9) + CHOOSE(CONTROL!$C$38, 0.0357, 0)</f>
        <v>21.247699999999998</v>
      </c>
      <c r="F165" s="27">
        <f>21.212 * CHOOSE(CONTROL!$C$15, $E$9, 100%, $G$9) + CHOOSE(CONTROL!$C$38, 0.0266, 0)</f>
        <v>21.238599999999998</v>
      </c>
      <c r="G165" s="10">
        <f>19.4474 * CHOOSE(CONTROL!$C$15, $E$9, 100%, $G$9) + CHOOSE(CONTROL!$C$38, 0.0357, 0)</f>
        <v>19.483099999999997</v>
      </c>
      <c r="H165" s="10">
        <f>19.4474 * CHOOSE(CONTROL!$C$15, $E$9, 100%, $G$9) + CHOOSE(CONTROL!$C$38, 0.0357, 0)</f>
        <v>19.483099999999997</v>
      </c>
      <c r="I165" s="10">
        <f>19.449 * CHOOSE(CONTROL!$C$15, $E$9, 100%, $G$9) + CHOOSE(CONTROL!$C$38, 0.0357, 0)</f>
        <v>19.4847</v>
      </c>
      <c r="J165" s="26">
        <f>131.5214</f>
        <v>131.5214</v>
      </c>
    </row>
    <row r="166" spans="1:10" ht="15">
      <c r="A166" s="16">
        <v>46327</v>
      </c>
      <c r="B166" s="10">
        <f>21.5617 * CHOOSE(CONTROL!$C$15, $E$9, 100%, $G$9) + CHOOSE(CONTROL!$C$38, 0.0266, 0)</f>
        <v>21.588299999999997</v>
      </c>
      <c r="C166" s="10">
        <f>19.6424 * CHOOSE(CONTROL!$C$15, $E$9, 100%, $G$9) + CHOOSE(CONTROL!$C$38, 0.0357, 0)</f>
        <v>19.678099999999997</v>
      </c>
      <c r="D166" s="10">
        <f>19.6346 * CHOOSE(CONTROL!$C$15, $E$9, 100%, $G$9) + CHOOSE(CONTROL!$C$38, 0.0357, 0)</f>
        <v>19.670299999999997</v>
      </c>
      <c r="E166" s="28">
        <f>21.4054 * CHOOSE(CONTROL!$C$15, $E$9, 100%, $G$9) + CHOOSE(CONTROL!$C$38, 0.0357, 0)</f>
        <v>21.441099999999999</v>
      </c>
      <c r="F166" s="27">
        <f>21.4054 * CHOOSE(CONTROL!$C$15, $E$9, 100%, $G$9) + CHOOSE(CONTROL!$C$38, 0.0266, 0)</f>
        <v>21.431999999999999</v>
      </c>
      <c r="G166" s="10">
        <f>19.6409 * CHOOSE(CONTROL!$C$15, $E$9, 100%, $G$9) + CHOOSE(CONTROL!$C$38, 0.0357, 0)</f>
        <v>19.676599999999997</v>
      </c>
      <c r="H166" s="10">
        <f>19.6409 * CHOOSE(CONTROL!$C$15, $E$9, 100%, $G$9) + CHOOSE(CONTROL!$C$38, 0.0357, 0)</f>
        <v>19.676599999999997</v>
      </c>
      <c r="I166" s="10">
        <f>19.6424 * CHOOSE(CONTROL!$C$15, $E$9, 100%, $G$9) + CHOOSE(CONTROL!$C$38, 0.0357, 0)</f>
        <v>19.678099999999997</v>
      </c>
      <c r="J166" s="26">
        <f>130.5843</f>
        <v>130.58430000000001</v>
      </c>
    </row>
    <row r="167" spans="1:10" ht="15">
      <c r="A167" s="16">
        <v>46357</v>
      </c>
      <c r="B167" s="10">
        <f>22.1577 * CHOOSE(CONTROL!$C$15, $E$9, 100%, $G$9) + CHOOSE(CONTROL!$C$38, 0.0266, 0)</f>
        <v>22.184299999999997</v>
      </c>
      <c r="C167" s="10">
        <f>20.2385 * CHOOSE(CONTROL!$C$15, $E$9, 100%, $G$9) + CHOOSE(CONTROL!$C$38, 0.0357, 0)</f>
        <v>20.274199999999997</v>
      </c>
      <c r="D167" s="10">
        <f>20.2307 * CHOOSE(CONTROL!$C$15, $E$9, 100%, $G$9) + CHOOSE(CONTROL!$C$38, 0.0357, 0)</f>
        <v>20.266399999999997</v>
      </c>
      <c r="E167" s="28">
        <f>22.0015 * CHOOSE(CONTROL!$C$15, $E$9, 100%, $G$9) + CHOOSE(CONTROL!$C$38, 0.0357, 0)</f>
        <v>22.037199999999999</v>
      </c>
      <c r="F167" s="27">
        <f>22.0015 * CHOOSE(CONTROL!$C$15, $E$9, 100%, $G$9) + CHOOSE(CONTROL!$C$38, 0.0266, 0)</f>
        <v>22.028099999999998</v>
      </c>
      <c r="G167" s="10">
        <f>20.237 * CHOOSE(CONTROL!$C$15, $E$9, 100%, $G$9) + CHOOSE(CONTROL!$C$38, 0.0357, 0)</f>
        <v>20.272699999999997</v>
      </c>
      <c r="H167" s="10">
        <f>20.237 * CHOOSE(CONTROL!$C$15, $E$9, 100%, $G$9) + CHOOSE(CONTROL!$C$38, 0.0357, 0)</f>
        <v>20.272699999999997</v>
      </c>
      <c r="I167" s="10">
        <f>20.2385 * CHOOSE(CONTROL!$C$15, $E$9, 100%, $G$9) + CHOOSE(CONTROL!$C$38, 0.0357, 0)</f>
        <v>20.274199999999997</v>
      </c>
      <c r="J167" s="26">
        <f>126.7092</f>
        <v>126.7092</v>
      </c>
    </row>
    <row r="168" spans="1:10" ht="15">
      <c r="A168" s="16">
        <v>46388</v>
      </c>
      <c r="B168" s="10">
        <f>23.4366 * CHOOSE(CONTROL!$C$15, $E$9, 100%, $G$9) + CHOOSE(CONTROL!$C$38, 0.0266, 0)</f>
        <v>23.463199999999997</v>
      </c>
      <c r="C168" s="10">
        <f>21.4977 * CHOOSE(CONTROL!$C$15, $E$9, 100%, $G$9) + CHOOSE(CONTROL!$C$38, 0.0357, 0)</f>
        <v>21.533399999999997</v>
      </c>
      <c r="D168" s="10">
        <f>21.4898 * CHOOSE(CONTROL!$C$15, $E$9, 100%, $G$9) + CHOOSE(CONTROL!$C$38, 0.0357, 0)</f>
        <v>21.525499999999997</v>
      </c>
      <c r="E168" s="28">
        <f>23.2804 * CHOOSE(CONTROL!$C$15, $E$9, 100%, $G$9) + CHOOSE(CONTROL!$C$38, 0.0357, 0)</f>
        <v>23.316099999999999</v>
      </c>
      <c r="F168" s="27">
        <f>23.2804 * CHOOSE(CONTROL!$C$15, $E$9, 100%, $G$9) + CHOOSE(CONTROL!$C$38, 0.0266, 0)</f>
        <v>23.306999999999999</v>
      </c>
      <c r="G168" s="10">
        <f>21.4961 * CHOOSE(CONTROL!$C$15, $E$9, 100%, $G$9) + CHOOSE(CONTROL!$C$38, 0.0357, 0)</f>
        <v>21.531799999999997</v>
      </c>
      <c r="H168" s="10">
        <f>21.4961 * CHOOSE(CONTROL!$C$15, $E$9, 100%, $G$9) + CHOOSE(CONTROL!$C$38, 0.0357, 0)</f>
        <v>21.531799999999997</v>
      </c>
      <c r="I168" s="10">
        <f>21.4977 * CHOOSE(CONTROL!$C$15, $E$9, 100%, $G$9) + CHOOSE(CONTROL!$C$38, 0.0357, 0)</f>
        <v>21.533399999999997</v>
      </c>
      <c r="J168" s="26">
        <f>128.7566</f>
        <v>128.75659999999999</v>
      </c>
    </row>
    <row r="169" spans="1:10" ht="15">
      <c r="A169" s="16">
        <v>46419</v>
      </c>
      <c r="B169" s="10">
        <f>23.6574 * CHOOSE(CONTROL!$C$15, $E$9, 100%, $G$9) + CHOOSE(CONTROL!$C$38, 0.0266, 0)</f>
        <v>23.683999999999997</v>
      </c>
      <c r="C169" s="10">
        <f>21.7184 * CHOOSE(CONTROL!$C$15, $E$9, 100%, $G$9) + CHOOSE(CONTROL!$C$38, 0.0357, 0)</f>
        <v>21.754099999999998</v>
      </c>
      <c r="D169" s="10">
        <f>21.7106 * CHOOSE(CONTROL!$C$15, $E$9, 100%, $G$9) + CHOOSE(CONTROL!$C$38, 0.0357, 0)</f>
        <v>21.746299999999998</v>
      </c>
      <c r="E169" s="28">
        <f>23.5011 * CHOOSE(CONTROL!$C$15, $E$9, 100%, $G$9) + CHOOSE(CONTROL!$C$38, 0.0357, 0)</f>
        <v>23.536799999999999</v>
      </c>
      <c r="F169" s="27">
        <f>23.5011 * CHOOSE(CONTROL!$C$15, $E$9, 100%, $G$9) + CHOOSE(CONTROL!$C$38, 0.0266, 0)</f>
        <v>23.527699999999999</v>
      </c>
      <c r="G169" s="10">
        <f>21.7169 * CHOOSE(CONTROL!$C$15, $E$9, 100%, $G$9) + CHOOSE(CONTROL!$C$38, 0.0357, 0)</f>
        <v>21.752599999999997</v>
      </c>
      <c r="H169" s="10">
        <f>21.7169 * CHOOSE(CONTROL!$C$15, $E$9, 100%, $G$9) + CHOOSE(CONTROL!$C$38, 0.0357, 0)</f>
        <v>21.752599999999997</v>
      </c>
      <c r="I169" s="10">
        <f>21.7184 * CHOOSE(CONTROL!$C$15, $E$9, 100%, $G$9) + CHOOSE(CONTROL!$C$38, 0.0357, 0)</f>
        <v>21.754099999999998</v>
      </c>
      <c r="J169" s="26">
        <f>128.3987</f>
        <v>128.39869999999999</v>
      </c>
    </row>
    <row r="170" spans="1:10" ht="15">
      <c r="A170" s="16">
        <v>46447</v>
      </c>
      <c r="B170" s="10">
        <f>23.1463 * CHOOSE(CONTROL!$C$15, $E$9, 100%, $G$9) + CHOOSE(CONTROL!$C$38, 0.0266, 0)</f>
        <v>23.172899999999998</v>
      </c>
      <c r="C170" s="10">
        <f>21.2074 * CHOOSE(CONTROL!$C$15, $E$9, 100%, $G$9) + CHOOSE(CONTROL!$C$38, 0.0357, 0)</f>
        <v>21.243099999999998</v>
      </c>
      <c r="D170" s="10">
        <f>21.1996 * CHOOSE(CONTROL!$C$15, $E$9, 100%, $G$9) + CHOOSE(CONTROL!$C$38, 0.0357, 0)</f>
        <v>21.235299999999999</v>
      </c>
      <c r="E170" s="28">
        <f>22.9901 * CHOOSE(CONTROL!$C$15, $E$9, 100%, $G$9) + CHOOSE(CONTROL!$C$38, 0.0357, 0)</f>
        <v>23.0258</v>
      </c>
      <c r="F170" s="27">
        <f>22.9901 * CHOOSE(CONTROL!$C$15, $E$9, 100%, $G$9) + CHOOSE(CONTROL!$C$38, 0.0266, 0)</f>
        <v>23.0167</v>
      </c>
      <c r="G170" s="10">
        <f>21.2058 * CHOOSE(CONTROL!$C$15, $E$9, 100%, $G$9) + CHOOSE(CONTROL!$C$38, 0.0357, 0)</f>
        <v>21.241499999999998</v>
      </c>
      <c r="H170" s="10">
        <f>21.2058 * CHOOSE(CONTROL!$C$15, $E$9, 100%, $G$9) + CHOOSE(CONTROL!$C$38, 0.0357, 0)</f>
        <v>21.241499999999998</v>
      </c>
      <c r="I170" s="10">
        <f>21.2074 * CHOOSE(CONTROL!$C$15, $E$9, 100%, $G$9) + CHOOSE(CONTROL!$C$38, 0.0357, 0)</f>
        <v>21.243099999999998</v>
      </c>
      <c r="J170" s="26">
        <f>135.166</f>
        <v>135.166</v>
      </c>
    </row>
    <row r="171" spans="1:10" ht="15">
      <c r="A171" s="16">
        <v>46478</v>
      </c>
      <c r="B171" s="10">
        <f>22.6512 * CHOOSE(CONTROL!$C$15, $E$9, 100%, $G$9) + CHOOSE(CONTROL!$C$38, 0.0266, 0)</f>
        <v>22.677799999999998</v>
      </c>
      <c r="C171" s="10">
        <f>20.7122 * CHOOSE(CONTROL!$C$15, $E$9, 100%, $G$9) + CHOOSE(CONTROL!$C$38, 0.0357, 0)</f>
        <v>20.747899999999998</v>
      </c>
      <c r="D171" s="10">
        <f>20.7044 * CHOOSE(CONTROL!$C$15, $E$9, 100%, $G$9) + CHOOSE(CONTROL!$C$38, 0.0357, 0)</f>
        <v>20.740099999999998</v>
      </c>
      <c r="E171" s="28">
        <f>22.4949 * CHOOSE(CONTROL!$C$15, $E$9, 100%, $G$9) + CHOOSE(CONTROL!$C$38, 0.0357, 0)</f>
        <v>22.5306</v>
      </c>
      <c r="F171" s="27">
        <f>22.4949 * CHOOSE(CONTROL!$C$15, $E$9, 100%, $G$9) + CHOOSE(CONTROL!$C$38, 0.0266, 0)</f>
        <v>22.5215</v>
      </c>
      <c r="G171" s="10">
        <f>20.7106 * CHOOSE(CONTROL!$C$15, $E$9, 100%, $G$9) + CHOOSE(CONTROL!$C$38, 0.0357, 0)</f>
        <v>20.746299999999998</v>
      </c>
      <c r="H171" s="10">
        <f>20.7106 * CHOOSE(CONTROL!$C$15, $E$9, 100%, $G$9) + CHOOSE(CONTROL!$C$38, 0.0357, 0)</f>
        <v>20.746299999999998</v>
      </c>
      <c r="I171" s="10">
        <f>20.7122 * CHOOSE(CONTROL!$C$15, $E$9, 100%, $G$9) + CHOOSE(CONTROL!$C$38, 0.0357, 0)</f>
        <v>20.747899999999998</v>
      </c>
      <c r="J171" s="26">
        <f>143.9417</f>
        <v>143.9417</v>
      </c>
    </row>
    <row r="172" spans="1:10" ht="15">
      <c r="A172" s="16">
        <v>46508</v>
      </c>
      <c r="B172" s="10">
        <f>22.135 * CHOOSE(CONTROL!$C$15, $E$9, 100%, $G$9) + CHOOSE(CONTROL!$C$38, 0.0266, 0)</f>
        <v>22.1616</v>
      </c>
      <c r="C172" s="10">
        <f>20.1961 * CHOOSE(CONTROL!$C$15, $E$9, 100%, $G$9) + CHOOSE(CONTROL!$C$38, 0.0357, 0)</f>
        <v>20.2318</v>
      </c>
      <c r="D172" s="10">
        <f>20.1883 * CHOOSE(CONTROL!$C$15, $E$9, 100%, $G$9) + CHOOSE(CONTROL!$C$38, 0.0357, 0)</f>
        <v>20.224</v>
      </c>
      <c r="E172" s="28">
        <f>21.9788 * CHOOSE(CONTROL!$C$15, $E$9, 100%, $G$9) + CHOOSE(CONTROL!$C$38, 0.0357, 0)</f>
        <v>22.014499999999998</v>
      </c>
      <c r="F172" s="27">
        <f>21.9788 * CHOOSE(CONTROL!$C$15, $E$9, 100%, $G$9) + CHOOSE(CONTROL!$C$38, 0.0266, 0)</f>
        <v>22.005399999999998</v>
      </c>
      <c r="G172" s="10">
        <f>20.1945 * CHOOSE(CONTROL!$C$15, $E$9, 100%, $G$9) + CHOOSE(CONTROL!$C$38, 0.0357, 0)</f>
        <v>20.2302</v>
      </c>
      <c r="H172" s="10">
        <f>20.1945 * CHOOSE(CONTROL!$C$15, $E$9, 100%, $G$9) + CHOOSE(CONTROL!$C$38, 0.0357, 0)</f>
        <v>20.2302</v>
      </c>
      <c r="I172" s="10">
        <f>20.1961 * CHOOSE(CONTROL!$C$15, $E$9, 100%, $G$9) + CHOOSE(CONTROL!$C$38, 0.0357, 0)</f>
        <v>20.2318</v>
      </c>
      <c r="J172" s="26">
        <f>148.7721</f>
        <v>148.77209999999999</v>
      </c>
    </row>
    <row r="173" spans="1:10" ht="15">
      <c r="A173" s="16">
        <v>46539</v>
      </c>
      <c r="B173" s="10">
        <f>21.7732 * CHOOSE(CONTROL!$C$15, $E$9, 100%, $G$9) + CHOOSE(CONTROL!$C$38, 0.0266, 0)</f>
        <v>21.799799999999998</v>
      </c>
      <c r="C173" s="10">
        <f>19.8343 * CHOOSE(CONTROL!$C$15, $E$9, 100%, $G$9) + CHOOSE(CONTROL!$C$38, 0.0357, 0)</f>
        <v>19.869999999999997</v>
      </c>
      <c r="D173" s="10">
        <f>19.8264 * CHOOSE(CONTROL!$C$15, $E$9, 100%, $G$9) + CHOOSE(CONTROL!$C$38, 0.0357, 0)</f>
        <v>19.862099999999998</v>
      </c>
      <c r="E173" s="28">
        <f>21.617 * CHOOSE(CONTROL!$C$15, $E$9, 100%, $G$9) + CHOOSE(CONTROL!$C$38, 0.0357, 0)</f>
        <v>21.652699999999999</v>
      </c>
      <c r="F173" s="27">
        <f>21.617 * CHOOSE(CONTROL!$C$15, $E$9, 100%, $G$9) + CHOOSE(CONTROL!$C$38, 0.0266, 0)</f>
        <v>21.643599999999999</v>
      </c>
      <c r="G173" s="10">
        <f>19.8327 * CHOOSE(CONTROL!$C$15, $E$9, 100%, $G$9) + CHOOSE(CONTROL!$C$38, 0.0357, 0)</f>
        <v>19.868399999999998</v>
      </c>
      <c r="H173" s="10">
        <f>19.8327 * CHOOSE(CONTROL!$C$15, $E$9, 100%, $G$9) + CHOOSE(CONTROL!$C$38, 0.0357, 0)</f>
        <v>19.868399999999998</v>
      </c>
      <c r="I173" s="10">
        <f>19.8343 * CHOOSE(CONTROL!$C$15, $E$9, 100%, $G$9) + CHOOSE(CONTROL!$C$38, 0.0357, 0)</f>
        <v>19.869999999999997</v>
      </c>
      <c r="J173" s="26">
        <f>150.9157</f>
        <v>150.91569999999999</v>
      </c>
    </row>
    <row r="174" spans="1:10" ht="15">
      <c r="A174" s="16">
        <v>46569</v>
      </c>
      <c r="B174" s="10">
        <f>21.5667 * CHOOSE(CONTROL!$C$15, $E$9, 100%, $G$9) + CHOOSE(CONTROL!$C$38, 0.0266, 0)</f>
        <v>21.593299999999999</v>
      </c>
      <c r="C174" s="10">
        <f>19.6278 * CHOOSE(CONTROL!$C$15, $E$9, 100%, $G$9) + CHOOSE(CONTROL!$C$38, 0.0357, 0)</f>
        <v>19.663499999999999</v>
      </c>
      <c r="D174" s="10">
        <f>19.62 * CHOOSE(CONTROL!$C$15, $E$9, 100%, $G$9) + CHOOSE(CONTROL!$C$38, 0.0357, 0)</f>
        <v>19.6557</v>
      </c>
      <c r="E174" s="28">
        <f>21.4105 * CHOOSE(CONTROL!$C$15, $E$9, 100%, $G$9) + CHOOSE(CONTROL!$C$38, 0.0357, 0)</f>
        <v>21.446199999999997</v>
      </c>
      <c r="F174" s="27">
        <f>21.4105 * CHOOSE(CONTROL!$C$15, $E$9, 100%, $G$9) + CHOOSE(CONTROL!$C$38, 0.0266, 0)</f>
        <v>21.437099999999997</v>
      </c>
      <c r="G174" s="10">
        <f>19.6262 * CHOOSE(CONTROL!$C$15, $E$9, 100%, $G$9) + CHOOSE(CONTROL!$C$38, 0.0357, 0)</f>
        <v>19.661899999999999</v>
      </c>
      <c r="H174" s="10">
        <f>19.6262 * CHOOSE(CONTROL!$C$15, $E$9, 100%, $G$9) + CHOOSE(CONTROL!$C$38, 0.0357, 0)</f>
        <v>19.661899999999999</v>
      </c>
      <c r="I174" s="10">
        <f>19.6278 * CHOOSE(CONTROL!$C$15, $E$9, 100%, $G$9) + CHOOSE(CONTROL!$C$38, 0.0357, 0)</f>
        <v>19.663499999999999</v>
      </c>
      <c r="J174" s="26">
        <f>150.2099</f>
        <v>150.2099</v>
      </c>
    </row>
    <row r="175" spans="1:10" ht="15">
      <c r="A175" s="16">
        <v>46600</v>
      </c>
      <c r="B175" s="10">
        <f>21.6686 * CHOOSE(CONTROL!$C$15, $E$9, 100%, $G$9) + CHOOSE(CONTROL!$C$38, 0.0266, 0)</f>
        <v>21.6952</v>
      </c>
      <c r="C175" s="10">
        <f>19.7297 * CHOOSE(CONTROL!$C$15, $E$9, 100%, $G$9) + CHOOSE(CONTROL!$C$38, 0.0357, 0)</f>
        <v>19.7654</v>
      </c>
      <c r="D175" s="10">
        <f>19.7219 * CHOOSE(CONTROL!$C$15, $E$9, 100%, $G$9) + CHOOSE(CONTROL!$C$38, 0.0357, 0)</f>
        <v>19.7576</v>
      </c>
      <c r="E175" s="28">
        <f>21.5124 * CHOOSE(CONTROL!$C$15, $E$9, 100%, $G$9) + CHOOSE(CONTROL!$C$38, 0.0357, 0)</f>
        <v>21.548099999999998</v>
      </c>
      <c r="F175" s="27">
        <f>21.5124 * CHOOSE(CONTROL!$C$15, $E$9, 100%, $G$9) + CHOOSE(CONTROL!$C$38, 0.0266, 0)</f>
        <v>21.538999999999998</v>
      </c>
      <c r="G175" s="10">
        <f>19.7281 * CHOOSE(CONTROL!$C$15, $E$9, 100%, $G$9) + CHOOSE(CONTROL!$C$38, 0.0357, 0)</f>
        <v>19.7638</v>
      </c>
      <c r="H175" s="10">
        <f>19.7281 * CHOOSE(CONTROL!$C$15, $E$9, 100%, $G$9) + CHOOSE(CONTROL!$C$38, 0.0357, 0)</f>
        <v>19.7638</v>
      </c>
      <c r="I175" s="10">
        <f>19.7297 * CHOOSE(CONTROL!$C$15, $E$9, 100%, $G$9) + CHOOSE(CONTROL!$C$38, 0.0357, 0)</f>
        <v>19.7654</v>
      </c>
      <c r="J175" s="26">
        <f>146.7131</f>
        <v>146.7131</v>
      </c>
    </row>
    <row r="176" spans="1:10" ht="15">
      <c r="A176" s="16">
        <v>46631</v>
      </c>
      <c r="B176" s="10">
        <f>21.9454 * CHOOSE(CONTROL!$C$15, $E$9, 100%, $G$9) + CHOOSE(CONTROL!$C$38, 0.0266, 0)</f>
        <v>21.971999999999998</v>
      </c>
      <c r="C176" s="10">
        <f>20.0065 * CHOOSE(CONTROL!$C$15, $E$9, 100%, $G$9) + CHOOSE(CONTROL!$C$38, 0.0357, 0)</f>
        <v>20.042199999999998</v>
      </c>
      <c r="D176" s="10">
        <f>19.9987 * CHOOSE(CONTROL!$C$15, $E$9, 100%, $G$9) + CHOOSE(CONTROL!$C$38, 0.0357, 0)</f>
        <v>20.034399999999998</v>
      </c>
      <c r="E176" s="28">
        <f>21.7892 * CHOOSE(CONTROL!$C$15, $E$9, 100%, $G$9) + CHOOSE(CONTROL!$C$38, 0.0357, 0)</f>
        <v>21.8249</v>
      </c>
      <c r="F176" s="27">
        <f>21.7892 * CHOOSE(CONTROL!$C$15, $E$9, 100%, $G$9) + CHOOSE(CONTROL!$C$38, 0.0266, 0)</f>
        <v>21.815799999999999</v>
      </c>
      <c r="G176" s="10">
        <f>20.0049 * CHOOSE(CONTROL!$C$15, $E$9, 100%, $G$9) + CHOOSE(CONTROL!$C$38, 0.0357, 0)</f>
        <v>20.040599999999998</v>
      </c>
      <c r="H176" s="10">
        <f>20.0049 * CHOOSE(CONTROL!$C$15, $E$9, 100%, $G$9) + CHOOSE(CONTROL!$C$38, 0.0357, 0)</f>
        <v>20.040599999999998</v>
      </c>
      <c r="I176" s="10">
        <f>20.0065 * CHOOSE(CONTROL!$C$15, $E$9, 100%, $G$9) + CHOOSE(CONTROL!$C$38, 0.0357, 0)</f>
        <v>20.042199999999998</v>
      </c>
      <c r="J176" s="26">
        <f>141.8366</f>
        <v>141.8366</v>
      </c>
    </row>
    <row r="177" spans="1:10" ht="15">
      <c r="A177" s="16">
        <v>46661</v>
      </c>
      <c r="B177" s="10">
        <f>22.1772 * CHOOSE(CONTROL!$C$15, $E$9, 100%, $G$9) + CHOOSE(CONTROL!$C$38, 0.0266, 0)</f>
        <v>22.203799999999998</v>
      </c>
      <c r="C177" s="10">
        <f>20.2383 * CHOOSE(CONTROL!$C$15, $E$9, 100%, $G$9) + CHOOSE(CONTROL!$C$38, 0.0357, 0)</f>
        <v>20.273999999999997</v>
      </c>
      <c r="D177" s="10">
        <f>20.2305 * CHOOSE(CONTROL!$C$15, $E$9, 100%, $G$9) + CHOOSE(CONTROL!$C$38, 0.0357, 0)</f>
        <v>20.266199999999998</v>
      </c>
      <c r="E177" s="28">
        <f>22.021 * CHOOSE(CONTROL!$C$15, $E$9, 100%, $G$9) + CHOOSE(CONTROL!$C$38, 0.0357, 0)</f>
        <v>22.056699999999999</v>
      </c>
      <c r="F177" s="27">
        <f>22.021 * CHOOSE(CONTROL!$C$15, $E$9, 100%, $G$9) + CHOOSE(CONTROL!$C$38, 0.0266, 0)</f>
        <v>22.047599999999999</v>
      </c>
      <c r="G177" s="10">
        <f>20.2367 * CHOOSE(CONTROL!$C$15, $E$9, 100%, $G$9) + CHOOSE(CONTROL!$C$38, 0.0357, 0)</f>
        <v>20.272399999999998</v>
      </c>
      <c r="H177" s="10">
        <f>20.2367 * CHOOSE(CONTROL!$C$15, $E$9, 100%, $G$9) + CHOOSE(CONTROL!$C$38, 0.0357, 0)</f>
        <v>20.272399999999998</v>
      </c>
      <c r="I177" s="10">
        <f>20.2383 * CHOOSE(CONTROL!$C$15, $E$9, 100%, $G$9) + CHOOSE(CONTROL!$C$38, 0.0357, 0)</f>
        <v>20.273999999999997</v>
      </c>
      <c r="J177" s="26">
        <f>136.9318</f>
        <v>136.93180000000001</v>
      </c>
    </row>
    <row r="178" spans="1:10" ht="15">
      <c r="A178" s="16">
        <v>46692</v>
      </c>
      <c r="B178" s="10">
        <f>22.3707 * CHOOSE(CONTROL!$C$15, $E$9, 100%, $G$9) + CHOOSE(CONTROL!$C$38, 0.0266, 0)</f>
        <v>22.397299999999998</v>
      </c>
      <c r="C178" s="10">
        <f>20.4317 * CHOOSE(CONTROL!$C$15, $E$9, 100%, $G$9) + CHOOSE(CONTROL!$C$38, 0.0357, 0)</f>
        <v>20.467399999999998</v>
      </c>
      <c r="D178" s="10">
        <f>20.4239 * CHOOSE(CONTROL!$C$15, $E$9, 100%, $G$9) + CHOOSE(CONTROL!$C$38, 0.0357, 0)</f>
        <v>20.459599999999998</v>
      </c>
      <c r="E178" s="28">
        <f>22.2144 * CHOOSE(CONTROL!$C$15, $E$9, 100%, $G$9) + CHOOSE(CONTROL!$C$38, 0.0357, 0)</f>
        <v>22.2501</v>
      </c>
      <c r="F178" s="27">
        <f>22.2144 * CHOOSE(CONTROL!$C$15, $E$9, 100%, $G$9) + CHOOSE(CONTROL!$C$38, 0.0266, 0)</f>
        <v>22.241</v>
      </c>
      <c r="G178" s="10">
        <f>20.4302 * CHOOSE(CONTROL!$C$15, $E$9, 100%, $G$9) + CHOOSE(CONTROL!$C$38, 0.0357, 0)</f>
        <v>20.465899999999998</v>
      </c>
      <c r="H178" s="10">
        <f>20.4302 * CHOOSE(CONTROL!$C$15, $E$9, 100%, $G$9) + CHOOSE(CONTROL!$C$38, 0.0357, 0)</f>
        <v>20.465899999999998</v>
      </c>
      <c r="I178" s="10">
        <f>20.4317 * CHOOSE(CONTROL!$C$15, $E$9, 100%, $G$9) + CHOOSE(CONTROL!$C$38, 0.0357, 0)</f>
        <v>20.467399999999998</v>
      </c>
      <c r="J178" s="26">
        <f>135.9561</f>
        <v>135.95609999999999</v>
      </c>
    </row>
    <row r="179" spans="1:10" ht="15">
      <c r="A179" s="16">
        <v>46722</v>
      </c>
      <c r="B179" s="10">
        <f>22.9668 * CHOOSE(CONTROL!$C$15, $E$9, 100%, $G$9) + CHOOSE(CONTROL!$C$38, 0.0266, 0)</f>
        <v>22.993399999999998</v>
      </c>
      <c r="C179" s="10">
        <f>21.0278 * CHOOSE(CONTROL!$C$15, $E$9, 100%, $G$9) + CHOOSE(CONTROL!$C$38, 0.0357, 0)</f>
        <v>21.063499999999998</v>
      </c>
      <c r="D179" s="10">
        <f>21.02 * CHOOSE(CONTROL!$C$15, $E$9, 100%, $G$9) + CHOOSE(CONTROL!$C$38, 0.0357, 0)</f>
        <v>21.055699999999998</v>
      </c>
      <c r="E179" s="28">
        <f>22.8105 * CHOOSE(CONTROL!$C$15, $E$9, 100%, $G$9) + CHOOSE(CONTROL!$C$38, 0.0357, 0)</f>
        <v>22.8462</v>
      </c>
      <c r="F179" s="27">
        <f>22.8105 * CHOOSE(CONTROL!$C$15, $E$9, 100%, $G$9) + CHOOSE(CONTROL!$C$38, 0.0266, 0)</f>
        <v>22.8371</v>
      </c>
      <c r="G179" s="10">
        <f>21.0262 * CHOOSE(CONTROL!$C$15, $E$9, 100%, $G$9) + CHOOSE(CONTROL!$C$38, 0.0357, 0)</f>
        <v>21.061899999999998</v>
      </c>
      <c r="H179" s="10">
        <f>21.0262 * CHOOSE(CONTROL!$C$15, $E$9, 100%, $G$9) + CHOOSE(CONTROL!$C$38, 0.0357, 0)</f>
        <v>21.061899999999998</v>
      </c>
      <c r="I179" s="10">
        <f>21.0278 * CHOOSE(CONTROL!$C$15, $E$9, 100%, $G$9) + CHOOSE(CONTROL!$C$38, 0.0357, 0)</f>
        <v>21.063499999999998</v>
      </c>
      <c r="J179" s="26">
        <f>131.9216</f>
        <v>131.92160000000001</v>
      </c>
    </row>
    <row r="180" spans="1:10" ht="15">
      <c r="A180" s="16">
        <v>46753</v>
      </c>
      <c r="B180" s="10">
        <f>24.3557 * CHOOSE(CONTROL!$C$15, $E$9, 100%, $G$9) + CHOOSE(CONTROL!$C$38, 0.0266, 0)</f>
        <v>24.382299999999997</v>
      </c>
      <c r="C180" s="10">
        <f>22.3943 * CHOOSE(CONTROL!$C$15, $E$9, 100%, $G$9) + CHOOSE(CONTROL!$C$38, 0.0357, 0)</f>
        <v>22.43</v>
      </c>
      <c r="D180" s="10">
        <f>22.3865 * CHOOSE(CONTROL!$C$15, $E$9, 100%, $G$9) + CHOOSE(CONTROL!$C$38, 0.0357, 0)</f>
        <v>22.4222</v>
      </c>
      <c r="E180" s="28">
        <f>24.1994 * CHOOSE(CONTROL!$C$15, $E$9, 100%, $G$9) + CHOOSE(CONTROL!$C$38, 0.0357, 0)</f>
        <v>24.235099999999999</v>
      </c>
      <c r="F180" s="27">
        <f>24.1994 * CHOOSE(CONTROL!$C$15, $E$9, 100%, $G$9) + CHOOSE(CONTROL!$C$38, 0.0266, 0)</f>
        <v>24.225999999999999</v>
      </c>
      <c r="G180" s="10">
        <f>22.3927 * CHOOSE(CONTROL!$C$15, $E$9, 100%, $G$9) + CHOOSE(CONTROL!$C$38, 0.0357, 0)</f>
        <v>22.4284</v>
      </c>
      <c r="H180" s="10">
        <f>22.3927 * CHOOSE(CONTROL!$C$15, $E$9, 100%, $G$9) + CHOOSE(CONTROL!$C$38, 0.0357, 0)</f>
        <v>22.4284</v>
      </c>
      <c r="I180" s="10">
        <f>22.3943 * CHOOSE(CONTROL!$C$15, $E$9, 100%, $G$9) + CHOOSE(CONTROL!$C$38, 0.0357, 0)</f>
        <v>22.43</v>
      </c>
      <c r="J180" s="26">
        <f>134.0463</f>
        <v>134.0463</v>
      </c>
    </row>
    <row r="181" spans="1:10" ht="15">
      <c r="A181" s="16">
        <v>46784</v>
      </c>
      <c r="B181" s="10">
        <f>24.5764 * CHOOSE(CONTROL!$C$15, $E$9, 100%, $G$9) + CHOOSE(CONTROL!$C$38, 0.0266, 0)</f>
        <v>24.602999999999998</v>
      </c>
      <c r="C181" s="10">
        <f>22.6151 * CHOOSE(CONTROL!$C$15, $E$9, 100%, $G$9) + CHOOSE(CONTROL!$C$38, 0.0357, 0)</f>
        <v>22.6508</v>
      </c>
      <c r="D181" s="10">
        <f>22.6072 * CHOOSE(CONTROL!$C$15, $E$9, 100%, $G$9) + CHOOSE(CONTROL!$C$38, 0.0357, 0)</f>
        <v>22.642899999999997</v>
      </c>
      <c r="E181" s="28">
        <f>24.4202 * CHOOSE(CONTROL!$C$15, $E$9, 100%, $G$9) + CHOOSE(CONTROL!$C$38, 0.0357, 0)</f>
        <v>24.4559</v>
      </c>
      <c r="F181" s="27">
        <f>24.4202 * CHOOSE(CONTROL!$C$15, $E$9, 100%, $G$9) + CHOOSE(CONTROL!$C$38, 0.0266, 0)</f>
        <v>24.4468</v>
      </c>
      <c r="G181" s="10">
        <f>22.6135 * CHOOSE(CONTROL!$C$15, $E$9, 100%, $G$9) + CHOOSE(CONTROL!$C$38, 0.0357, 0)</f>
        <v>22.649199999999997</v>
      </c>
      <c r="H181" s="10">
        <f>22.6135 * CHOOSE(CONTROL!$C$15, $E$9, 100%, $G$9) + CHOOSE(CONTROL!$C$38, 0.0357, 0)</f>
        <v>22.649199999999997</v>
      </c>
      <c r="I181" s="10">
        <f>22.6151 * CHOOSE(CONTROL!$C$15, $E$9, 100%, $G$9) + CHOOSE(CONTROL!$C$38, 0.0357, 0)</f>
        <v>22.6508</v>
      </c>
      <c r="J181" s="26">
        <f>133.6737</f>
        <v>133.6737</v>
      </c>
    </row>
    <row r="182" spans="1:10" ht="15">
      <c r="A182" s="16">
        <v>46813</v>
      </c>
      <c r="B182" s="10">
        <f>24.0654 * CHOOSE(CONTROL!$C$15, $E$9, 100%, $G$9) + CHOOSE(CONTROL!$C$38, 0.0266, 0)</f>
        <v>24.091999999999999</v>
      </c>
      <c r="C182" s="10">
        <f>22.104 * CHOOSE(CONTROL!$C$15, $E$9, 100%, $G$9) + CHOOSE(CONTROL!$C$38, 0.0357, 0)</f>
        <v>22.139699999999998</v>
      </c>
      <c r="D182" s="10">
        <f>22.0962 * CHOOSE(CONTROL!$C$15, $E$9, 100%, $G$9) + CHOOSE(CONTROL!$C$38, 0.0357, 0)</f>
        <v>22.131899999999998</v>
      </c>
      <c r="E182" s="28">
        <f>23.9091 * CHOOSE(CONTROL!$C$15, $E$9, 100%, $G$9) + CHOOSE(CONTROL!$C$38, 0.0357, 0)</f>
        <v>23.944799999999997</v>
      </c>
      <c r="F182" s="27">
        <f>23.9091 * CHOOSE(CONTROL!$C$15, $E$9, 100%, $G$9) + CHOOSE(CONTROL!$C$38, 0.0266, 0)</f>
        <v>23.935699999999997</v>
      </c>
      <c r="G182" s="10">
        <f>22.1025 * CHOOSE(CONTROL!$C$15, $E$9, 100%, $G$9) + CHOOSE(CONTROL!$C$38, 0.0357, 0)</f>
        <v>22.138199999999998</v>
      </c>
      <c r="H182" s="10">
        <f>22.1025 * CHOOSE(CONTROL!$C$15, $E$9, 100%, $G$9) + CHOOSE(CONTROL!$C$38, 0.0357, 0)</f>
        <v>22.138199999999998</v>
      </c>
      <c r="I182" s="10">
        <f>22.104 * CHOOSE(CONTROL!$C$15, $E$9, 100%, $G$9) + CHOOSE(CONTROL!$C$38, 0.0357, 0)</f>
        <v>22.139699999999998</v>
      </c>
      <c r="J182" s="26">
        <f>140.7191</f>
        <v>140.7191</v>
      </c>
    </row>
    <row r="183" spans="1:10" ht="15">
      <c r="A183" s="16">
        <v>46844</v>
      </c>
      <c r="B183" s="10">
        <f>23.5702 * CHOOSE(CONTROL!$C$15, $E$9, 100%, $G$9) + CHOOSE(CONTROL!$C$38, 0.0266, 0)</f>
        <v>23.596799999999998</v>
      </c>
      <c r="C183" s="10">
        <f>21.6088 * CHOOSE(CONTROL!$C$15, $E$9, 100%, $G$9) + CHOOSE(CONTROL!$C$38, 0.0357, 0)</f>
        <v>21.644499999999997</v>
      </c>
      <c r="D183" s="10">
        <f>21.601 * CHOOSE(CONTROL!$C$15, $E$9, 100%, $G$9) + CHOOSE(CONTROL!$C$38, 0.0357, 0)</f>
        <v>21.636699999999998</v>
      </c>
      <c r="E183" s="28">
        <f>23.414 * CHOOSE(CONTROL!$C$15, $E$9, 100%, $G$9) + CHOOSE(CONTROL!$C$38, 0.0357, 0)</f>
        <v>23.4497</v>
      </c>
      <c r="F183" s="27">
        <f>23.414 * CHOOSE(CONTROL!$C$15, $E$9, 100%, $G$9) + CHOOSE(CONTROL!$C$38, 0.0266, 0)</f>
        <v>23.4406</v>
      </c>
      <c r="G183" s="10">
        <f>21.6073 * CHOOSE(CONTROL!$C$15, $E$9, 100%, $G$9) + CHOOSE(CONTROL!$C$38, 0.0357, 0)</f>
        <v>21.642999999999997</v>
      </c>
      <c r="H183" s="10">
        <f>21.6073 * CHOOSE(CONTROL!$C$15, $E$9, 100%, $G$9) + CHOOSE(CONTROL!$C$38, 0.0357, 0)</f>
        <v>21.642999999999997</v>
      </c>
      <c r="I183" s="10">
        <f>21.6088 * CHOOSE(CONTROL!$C$15, $E$9, 100%, $G$9) + CHOOSE(CONTROL!$C$38, 0.0357, 0)</f>
        <v>21.644499999999997</v>
      </c>
      <c r="J183" s="26">
        <f>149.8553</f>
        <v>149.8553</v>
      </c>
    </row>
    <row r="184" spans="1:10" ht="15">
      <c r="A184" s="16">
        <v>46874</v>
      </c>
      <c r="B184" s="10">
        <f>23.0541 * CHOOSE(CONTROL!$C$15, $E$9, 100%, $G$9) + CHOOSE(CONTROL!$C$38, 0.0266, 0)</f>
        <v>23.080699999999997</v>
      </c>
      <c r="C184" s="10">
        <f>21.0927 * CHOOSE(CONTROL!$C$15, $E$9, 100%, $G$9) + CHOOSE(CONTROL!$C$38, 0.0357, 0)</f>
        <v>21.128399999999999</v>
      </c>
      <c r="D184" s="10">
        <f>21.0849 * CHOOSE(CONTROL!$C$15, $E$9, 100%, $G$9) + CHOOSE(CONTROL!$C$38, 0.0357, 0)</f>
        <v>21.1206</v>
      </c>
      <c r="E184" s="28">
        <f>22.8979 * CHOOSE(CONTROL!$C$15, $E$9, 100%, $G$9) + CHOOSE(CONTROL!$C$38, 0.0357, 0)</f>
        <v>22.933599999999998</v>
      </c>
      <c r="F184" s="27">
        <f>22.8979 * CHOOSE(CONTROL!$C$15, $E$9, 100%, $G$9) + CHOOSE(CONTROL!$C$38, 0.0266, 0)</f>
        <v>22.924499999999998</v>
      </c>
      <c r="G184" s="10">
        <f>21.0912 * CHOOSE(CONTROL!$C$15, $E$9, 100%, $G$9) + CHOOSE(CONTROL!$C$38, 0.0357, 0)</f>
        <v>21.126899999999999</v>
      </c>
      <c r="H184" s="10">
        <f>21.0912 * CHOOSE(CONTROL!$C$15, $E$9, 100%, $G$9) + CHOOSE(CONTROL!$C$38, 0.0357, 0)</f>
        <v>21.126899999999999</v>
      </c>
      <c r="I184" s="10">
        <f>21.0927 * CHOOSE(CONTROL!$C$15, $E$9, 100%, $G$9) + CHOOSE(CONTROL!$C$38, 0.0357, 0)</f>
        <v>21.128399999999999</v>
      </c>
      <c r="J184" s="26">
        <f>154.8841</f>
        <v>154.88409999999999</v>
      </c>
    </row>
    <row r="185" spans="1:10" ht="15">
      <c r="A185" s="16">
        <v>46905</v>
      </c>
      <c r="B185" s="10">
        <f>22.6923 * CHOOSE(CONTROL!$C$15, $E$9, 100%, $G$9) + CHOOSE(CONTROL!$C$38, 0.0266, 0)</f>
        <v>22.718899999999998</v>
      </c>
      <c r="C185" s="10">
        <f>20.7309 * CHOOSE(CONTROL!$C$15, $E$9, 100%, $G$9) + CHOOSE(CONTROL!$C$38, 0.0357, 0)</f>
        <v>20.766599999999997</v>
      </c>
      <c r="D185" s="10">
        <f>20.7231 * CHOOSE(CONTROL!$C$15, $E$9, 100%, $G$9) + CHOOSE(CONTROL!$C$38, 0.0357, 0)</f>
        <v>20.758799999999997</v>
      </c>
      <c r="E185" s="28">
        <f>22.536 * CHOOSE(CONTROL!$C$15, $E$9, 100%, $G$9) + CHOOSE(CONTROL!$C$38, 0.0357, 0)</f>
        <v>22.5717</v>
      </c>
      <c r="F185" s="27">
        <f>22.536 * CHOOSE(CONTROL!$C$15, $E$9, 100%, $G$9) + CHOOSE(CONTROL!$C$38, 0.0266, 0)</f>
        <v>22.5626</v>
      </c>
      <c r="G185" s="10">
        <f>20.7293 * CHOOSE(CONTROL!$C$15, $E$9, 100%, $G$9) + CHOOSE(CONTROL!$C$38, 0.0357, 0)</f>
        <v>20.764999999999997</v>
      </c>
      <c r="H185" s="10">
        <f>20.7293 * CHOOSE(CONTROL!$C$15, $E$9, 100%, $G$9) + CHOOSE(CONTROL!$C$38, 0.0357, 0)</f>
        <v>20.764999999999997</v>
      </c>
      <c r="I185" s="10">
        <f>20.7309 * CHOOSE(CONTROL!$C$15, $E$9, 100%, $G$9) + CHOOSE(CONTROL!$C$38, 0.0357, 0)</f>
        <v>20.766599999999997</v>
      </c>
      <c r="J185" s="26">
        <f>157.1158</f>
        <v>157.11580000000001</v>
      </c>
    </row>
    <row r="186" spans="1:10" ht="15">
      <c r="A186" s="16">
        <v>46935</v>
      </c>
      <c r="B186" s="10">
        <f>22.4858 * CHOOSE(CONTROL!$C$15, $E$9, 100%, $G$9) + CHOOSE(CONTROL!$C$38, 0.0266, 0)</f>
        <v>22.5124</v>
      </c>
      <c r="C186" s="10">
        <f>20.5244 * CHOOSE(CONTROL!$C$15, $E$9, 100%, $G$9) + CHOOSE(CONTROL!$C$38, 0.0357, 0)</f>
        <v>20.560099999999998</v>
      </c>
      <c r="D186" s="10">
        <f>20.5166 * CHOOSE(CONTROL!$C$15, $E$9, 100%, $G$9) + CHOOSE(CONTROL!$C$38, 0.0357, 0)</f>
        <v>20.552299999999999</v>
      </c>
      <c r="E186" s="28">
        <f>22.3295 * CHOOSE(CONTROL!$C$15, $E$9, 100%, $G$9) + CHOOSE(CONTROL!$C$38, 0.0357, 0)</f>
        <v>22.365199999999998</v>
      </c>
      <c r="F186" s="27">
        <f>22.3295 * CHOOSE(CONTROL!$C$15, $E$9, 100%, $G$9) + CHOOSE(CONTROL!$C$38, 0.0266, 0)</f>
        <v>22.356099999999998</v>
      </c>
      <c r="G186" s="10">
        <f>20.5228 * CHOOSE(CONTROL!$C$15, $E$9, 100%, $G$9) + CHOOSE(CONTROL!$C$38, 0.0357, 0)</f>
        <v>20.558499999999999</v>
      </c>
      <c r="H186" s="10">
        <f>20.5228 * CHOOSE(CONTROL!$C$15, $E$9, 100%, $G$9) + CHOOSE(CONTROL!$C$38, 0.0357, 0)</f>
        <v>20.558499999999999</v>
      </c>
      <c r="I186" s="10">
        <f>20.5244 * CHOOSE(CONTROL!$C$15, $E$9, 100%, $G$9) + CHOOSE(CONTROL!$C$38, 0.0357, 0)</f>
        <v>20.560099999999998</v>
      </c>
      <c r="J186" s="26">
        <f>156.381</f>
        <v>156.381</v>
      </c>
    </row>
    <row r="187" spans="1:10" ht="15">
      <c r="A187" s="16">
        <v>46966</v>
      </c>
      <c r="B187" s="10">
        <f>22.5877 * CHOOSE(CONTROL!$C$15, $E$9, 100%, $G$9) + CHOOSE(CONTROL!$C$38, 0.0266, 0)</f>
        <v>22.6143</v>
      </c>
      <c r="C187" s="10">
        <f>20.6263 * CHOOSE(CONTROL!$C$15, $E$9, 100%, $G$9) + CHOOSE(CONTROL!$C$38, 0.0357, 0)</f>
        <v>20.661999999999999</v>
      </c>
      <c r="D187" s="10">
        <f>20.6185 * CHOOSE(CONTROL!$C$15, $E$9, 100%, $G$9) + CHOOSE(CONTROL!$C$38, 0.0357, 0)</f>
        <v>20.654199999999999</v>
      </c>
      <c r="E187" s="28">
        <f>22.4314 * CHOOSE(CONTROL!$C$15, $E$9, 100%, $G$9) + CHOOSE(CONTROL!$C$38, 0.0357, 0)</f>
        <v>22.467099999999999</v>
      </c>
      <c r="F187" s="27">
        <f>22.4314 * CHOOSE(CONTROL!$C$15, $E$9, 100%, $G$9) + CHOOSE(CONTROL!$C$38, 0.0266, 0)</f>
        <v>22.457999999999998</v>
      </c>
      <c r="G187" s="10">
        <f>20.6248 * CHOOSE(CONTROL!$C$15, $E$9, 100%, $G$9) + CHOOSE(CONTROL!$C$38, 0.0357, 0)</f>
        <v>20.660499999999999</v>
      </c>
      <c r="H187" s="10">
        <f>20.6248 * CHOOSE(CONTROL!$C$15, $E$9, 100%, $G$9) + CHOOSE(CONTROL!$C$38, 0.0357, 0)</f>
        <v>20.660499999999999</v>
      </c>
      <c r="I187" s="10">
        <f>20.6263 * CHOOSE(CONTROL!$C$15, $E$9, 100%, $G$9) + CHOOSE(CONTROL!$C$38, 0.0357, 0)</f>
        <v>20.661999999999999</v>
      </c>
      <c r="J187" s="26">
        <f>152.7406</f>
        <v>152.7406</v>
      </c>
    </row>
    <row r="188" spans="1:10" ht="15">
      <c r="A188" s="16">
        <v>46997</v>
      </c>
      <c r="B188" s="10">
        <f>22.8645 * CHOOSE(CONTROL!$C$15, $E$9, 100%, $G$9) + CHOOSE(CONTROL!$C$38, 0.0266, 0)</f>
        <v>22.891099999999998</v>
      </c>
      <c r="C188" s="10">
        <f>20.9031 * CHOOSE(CONTROL!$C$15, $E$9, 100%, $G$9) + CHOOSE(CONTROL!$C$38, 0.0357, 0)</f>
        <v>20.938799999999997</v>
      </c>
      <c r="D188" s="10">
        <f>20.8953 * CHOOSE(CONTROL!$C$15, $E$9, 100%, $G$9) + CHOOSE(CONTROL!$C$38, 0.0357, 0)</f>
        <v>20.930999999999997</v>
      </c>
      <c r="E188" s="28">
        <f>22.7082 * CHOOSE(CONTROL!$C$15, $E$9, 100%, $G$9) + CHOOSE(CONTROL!$C$38, 0.0357, 0)</f>
        <v>22.7439</v>
      </c>
      <c r="F188" s="27">
        <f>22.7082 * CHOOSE(CONTROL!$C$15, $E$9, 100%, $G$9) + CHOOSE(CONTROL!$C$38, 0.0266, 0)</f>
        <v>22.7348</v>
      </c>
      <c r="G188" s="10">
        <f>20.9016 * CHOOSE(CONTROL!$C$15, $E$9, 100%, $G$9) + CHOOSE(CONTROL!$C$38, 0.0357, 0)</f>
        <v>20.937299999999997</v>
      </c>
      <c r="H188" s="10">
        <f>20.9016 * CHOOSE(CONTROL!$C$15, $E$9, 100%, $G$9) + CHOOSE(CONTROL!$C$38, 0.0357, 0)</f>
        <v>20.937299999999997</v>
      </c>
      <c r="I188" s="10">
        <f>20.9031 * CHOOSE(CONTROL!$C$15, $E$9, 100%, $G$9) + CHOOSE(CONTROL!$C$38, 0.0357, 0)</f>
        <v>20.938799999999997</v>
      </c>
      <c r="J188" s="26">
        <f>147.6637</f>
        <v>147.66370000000001</v>
      </c>
    </row>
    <row r="189" spans="1:10" ht="15">
      <c r="A189" s="16">
        <v>47027</v>
      </c>
      <c r="B189" s="10">
        <f>23.0963 * CHOOSE(CONTROL!$C$15, $E$9, 100%, $G$9) + CHOOSE(CONTROL!$C$38, 0.0266, 0)</f>
        <v>23.122899999999998</v>
      </c>
      <c r="C189" s="10">
        <f>21.1349 * CHOOSE(CONTROL!$C$15, $E$9, 100%, $G$9) + CHOOSE(CONTROL!$C$38, 0.0357, 0)</f>
        <v>21.170599999999997</v>
      </c>
      <c r="D189" s="10">
        <f>21.1271 * CHOOSE(CONTROL!$C$15, $E$9, 100%, $G$9) + CHOOSE(CONTROL!$C$38, 0.0357, 0)</f>
        <v>21.162799999999997</v>
      </c>
      <c r="E189" s="28">
        <f>22.9401 * CHOOSE(CONTROL!$C$15, $E$9, 100%, $G$9) + CHOOSE(CONTROL!$C$38, 0.0357, 0)</f>
        <v>22.9758</v>
      </c>
      <c r="F189" s="27">
        <f>22.9401 * CHOOSE(CONTROL!$C$15, $E$9, 100%, $G$9) + CHOOSE(CONTROL!$C$38, 0.0266, 0)</f>
        <v>22.966699999999999</v>
      </c>
      <c r="G189" s="10">
        <f>21.1334 * CHOOSE(CONTROL!$C$15, $E$9, 100%, $G$9) + CHOOSE(CONTROL!$C$38, 0.0357, 0)</f>
        <v>21.1691</v>
      </c>
      <c r="H189" s="10">
        <f>21.1334 * CHOOSE(CONTROL!$C$15, $E$9, 100%, $G$9) + CHOOSE(CONTROL!$C$38, 0.0357, 0)</f>
        <v>21.1691</v>
      </c>
      <c r="I189" s="10">
        <f>21.1349 * CHOOSE(CONTROL!$C$15, $E$9, 100%, $G$9) + CHOOSE(CONTROL!$C$38, 0.0357, 0)</f>
        <v>21.170599999999997</v>
      </c>
      <c r="J189" s="26">
        <f>142.5574</f>
        <v>142.5574</v>
      </c>
    </row>
    <row r="190" spans="1:10" ht="15">
      <c r="A190" s="16">
        <v>47058</v>
      </c>
      <c r="B190" s="10">
        <f>23.2897 * CHOOSE(CONTROL!$C$15, $E$9, 100%, $G$9) + CHOOSE(CONTROL!$C$38, 0.0266, 0)</f>
        <v>23.316299999999998</v>
      </c>
      <c r="C190" s="10">
        <f>21.3284 * CHOOSE(CONTROL!$C$15, $E$9, 100%, $G$9) + CHOOSE(CONTROL!$C$38, 0.0357, 0)</f>
        <v>21.364099999999997</v>
      </c>
      <c r="D190" s="10">
        <f>21.3206 * CHOOSE(CONTROL!$C$15, $E$9, 100%, $G$9) + CHOOSE(CONTROL!$C$38, 0.0357, 0)</f>
        <v>21.356299999999997</v>
      </c>
      <c r="E190" s="28">
        <f>23.1335 * CHOOSE(CONTROL!$C$15, $E$9, 100%, $G$9) + CHOOSE(CONTROL!$C$38, 0.0357, 0)</f>
        <v>23.1692</v>
      </c>
      <c r="F190" s="27">
        <f>23.1335 * CHOOSE(CONTROL!$C$15, $E$9, 100%, $G$9) + CHOOSE(CONTROL!$C$38, 0.0266, 0)</f>
        <v>23.1601</v>
      </c>
      <c r="G190" s="10">
        <f>21.3268 * CHOOSE(CONTROL!$C$15, $E$9, 100%, $G$9) + CHOOSE(CONTROL!$C$38, 0.0357, 0)</f>
        <v>21.362499999999997</v>
      </c>
      <c r="H190" s="10">
        <f>21.3268 * CHOOSE(CONTROL!$C$15, $E$9, 100%, $G$9) + CHOOSE(CONTROL!$C$38, 0.0357, 0)</f>
        <v>21.362499999999997</v>
      </c>
      <c r="I190" s="10">
        <f>21.3284 * CHOOSE(CONTROL!$C$15, $E$9, 100%, $G$9) + CHOOSE(CONTROL!$C$38, 0.0357, 0)</f>
        <v>21.364099999999997</v>
      </c>
      <c r="J190" s="26">
        <f>141.5416</f>
        <v>141.54159999999999</v>
      </c>
    </row>
    <row r="191" spans="1:10" ht="15">
      <c r="A191" s="16">
        <v>47088</v>
      </c>
      <c r="B191" s="10">
        <f>23.8858 * CHOOSE(CONTROL!$C$15, $E$9, 100%, $G$9) + CHOOSE(CONTROL!$C$38, 0.0266, 0)</f>
        <v>23.912399999999998</v>
      </c>
      <c r="C191" s="10">
        <f>21.9245 * CHOOSE(CONTROL!$C$15, $E$9, 100%, $G$9) + CHOOSE(CONTROL!$C$38, 0.0357, 0)</f>
        <v>21.960199999999997</v>
      </c>
      <c r="D191" s="10">
        <f>21.9166 * CHOOSE(CONTROL!$C$15, $E$9, 100%, $G$9) + CHOOSE(CONTROL!$C$38, 0.0357, 0)</f>
        <v>21.952299999999997</v>
      </c>
      <c r="E191" s="28">
        <f>23.7296 * CHOOSE(CONTROL!$C$15, $E$9, 100%, $G$9) + CHOOSE(CONTROL!$C$38, 0.0357, 0)</f>
        <v>23.7653</v>
      </c>
      <c r="F191" s="27">
        <f>23.7296 * CHOOSE(CONTROL!$C$15, $E$9, 100%, $G$9) + CHOOSE(CONTROL!$C$38, 0.0266, 0)</f>
        <v>23.7562</v>
      </c>
      <c r="G191" s="10">
        <f>21.9229 * CHOOSE(CONTROL!$C$15, $E$9, 100%, $G$9) + CHOOSE(CONTROL!$C$38, 0.0357, 0)</f>
        <v>21.958599999999997</v>
      </c>
      <c r="H191" s="10">
        <f>21.9229 * CHOOSE(CONTROL!$C$15, $E$9, 100%, $G$9) + CHOOSE(CONTROL!$C$38, 0.0357, 0)</f>
        <v>21.958599999999997</v>
      </c>
      <c r="I191" s="10">
        <f>21.9245 * CHOOSE(CONTROL!$C$15, $E$9, 100%, $G$9) + CHOOSE(CONTROL!$C$38, 0.0357, 0)</f>
        <v>21.960199999999997</v>
      </c>
      <c r="J191" s="26">
        <f>137.3413</f>
        <v>137.34129999999999</v>
      </c>
    </row>
    <row r="192" spans="1:10" ht="15">
      <c r="A192" s="16">
        <v>47119</v>
      </c>
      <c r="B192" s="10">
        <f>25.2958 * CHOOSE(CONTROL!$C$15, $E$9, 100%, $G$9) + CHOOSE(CONTROL!$C$38, 0.0266, 0)</f>
        <v>25.322399999999998</v>
      </c>
      <c r="C192" s="10">
        <f>23.3115 * CHOOSE(CONTROL!$C$15, $E$9, 100%, $G$9) + CHOOSE(CONTROL!$C$38, 0.0357, 0)</f>
        <v>23.347199999999997</v>
      </c>
      <c r="D192" s="10">
        <f>23.3037 * CHOOSE(CONTROL!$C$15, $E$9, 100%, $G$9) + CHOOSE(CONTROL!$C$38, 0.0357, 0)</f>
        <v>23.339399999999998</v>
      </c>
      <c r="E192" s="28">
        <f>25.1395 * CHOOSE(CONTROL!$C$15, $E$9, 100%, $G$9) + CHOOSE(CONTROL!$C$38, 0.0357, 0)</f>
        <v>25.1752</v>
      </c>
      <c r="F192" s="27">
        <f>25.1395 * CHOOSE(CONTROL!$C$15, $E$9, 100%, $G$9) + CHOOSE(CONTROL!$C$38, 0.0266, 0)</f>
        <v>25.1661</v>
      </c>
      <c r="G192" s="10">
        <f>23.3099 * CHOOSE(CONTROL!$C$15, $E$9, 100%, $G$9) + CHOOSE(CONTROL!$C$38, 0.0357, 0)</f>
        <v>23.345599999999997</v>
      </c>
      <c r="H192" s="10">
        <f>23.3099 * CHOOSE(CONTROL!$C$15, $E$9, 100%, $G$9) + CHOOSE(CONTROL!$C$38, 0.0357, 0)</f>
        <v>23.345599999999997</v>
      </c>
      <c r="I192" s="10">
        <f>23.3115 * CHOOSE(CONTROL!$C$15, $E$9, 100%, $G$9) + CHOOSE(CONTROL!$C$38, 0.0357, 0)</f>
        <v>23.347199999999997</v>
      </c>
      <c r="J192" s="26">
        <f>139.5568</f>
        <v>139.55680000000001</v>
      </c>
    </row>
    <row r="193" spans="1:10" ht="15">
      <c r="A193" s="16">
        <v>47150</v>
      </c>
      <c r="B193" s="10">
        <f>25.5165 * CHOOSE(CONTROL!$C$15, $E$9, 100%, $G$9) + CHOOSE(CONTROL!$C$38, 0.0266, 0)</f>
        <v>25.543099999999999</v>
      </c>
      <c r="C193" s="10">
        <f>23.5322 * CHOOSE(CONTROL!$C$15, $E$9, 100%, $G$9) + CHOOSE(CONTROL!$C$38, 0.0357, 0)</f>
        <v>23.567899999999998</v>
      </c>
      <c r="D193" s="10">
        <f>23.5244 * CHOOSE(CONTROL!$C$15, $E$9, 100%, $G$9) + CHOOSE(CONTROL!$C$38, 0.0357, 0)</f>
        <v>23.560099999999998</v>
      </c>
      <c r="E193" s="28">
        <f>25.3603 * CHOOSE(CONTROL!$C$15, $E$9, 100%, $G$9) + CHOOSE(CONTROL!$C$38, 0.0357, 0)</f>
        <v>25.395999999999997</v>
      </c>
      <c r="F193" s="27">
        <f>25.3603 * CHOOSE(CONTROL!$C$15, $E$9, 100%, $G$9) + CHOOSE(CONTROL!$C$38, 0.0266, 0)</f>
        <v>25.386899999999997</v>
      </c>
      <c r="G193" s="10">
        <f>23.5307 * CHOOSE(CONTROL!$C$15, $E$9, 100%, $G$9) + CHOOSE(CONTROL!$C$38, 0.0357, 0)</f>
        <v>23.566399999999998</v>
      </c>
      <c r="H193" s="10">
        <f>23.5307 * CHOOSE(CONTROL!$C$15, $E$9, 100%, $G$9) + CHOOSE(CONTROL!$C$38, 0.0357, 0)</f>
        <v>23.566399999999998</v>
      </c>
      <c r="I193" s="10">
        <f>23.5322 * CHOOSE(CONTROL!$C$15, $E$9, 100%, $G$9) + CHOOSE(CONTROL!$C$38, 0.0357, 0)</f>
        <v>23.567899999999998</v>
      </c>
      <c r="J193" s="26">
        <f>139.1689</f>
        <v>139.16890000000001</v>
      </c>
    </row>
    <row r="194" spans="1:10" ht="15">
      <c r="A194" s="16">
        <v>47178</v>
      </c>
      <c r="B194" s="10">
        <f>25.0055 * CHOOSE(CONTROL!$C$15, $E$9, 100%, $G$9) + CHOOSE(CONTROL!$C$38, 0.0266, 0)</f>
        <v>25.0321</v>
      </c>
      <c r="C194" s="10">
        <f>23.0212 * CHOOSE(CONTROL!$C$15, $E$9, 100%, $G$9) + CHOOSE(CONTROL!$C$38, 0.0357, 0)</f>
        <v>23.056899999999999</v>
      </c>
      <c r="D194" s="10">
        <f>23.0134 * CHOOSE(CONTROL!$C$15, $E$9, 100%, $G$9) + CHOOSE(CONTROL!$C$38, 0.0357, 0)</f>
        <v>23.049099999999999</v>
      </c>
      <c r="E194" s="28">
        <f>24.8493 * CHOOSE(CONTROL!$C$15, $E$9, 100%, $G$9) + CHOOSE(CONTROL!$C$38, 0.0357, 0)</f>
        <v>24.884999999999998</v>
      </c>
      <c r="F194" s="27">
        <f>24.8493 * CHOOSE(CONTROL!$C$15, $E$9, 100%, $G$9) + CHOOSE(CONTROL!$C$38, 0.0266, 0)</f>
        <v>24.875899999999998</v>
      </c>
      <c r="G194" s="10">
        <f>23.0197 * CHOOSE(CONTROL!$C$15, $E$9, 100%, $G$9) + CHOOSE(CONTROL!$C$38, 0.0357, 0)</f>
        <v>23.055399999999999</v>
      </c>
      <c r="H194" s="10">
        <f>23.0197 * CHOOSE(CONTROL!$C$15, $E$9, 100%, $G$9) + CHOOSE(CONTROL!$C$38, 0.0357, 0)</f>
        <v>23.055399999999999</v>
      </c>
      <c r="I194" s="10">
        <f>23.0212 * CHOOSE(CONTROL!$C$15, $E$9, 100%, $G$9) + CHOOSE(CONTROL!$C$38, 0.0357, 0)</f>
        <v>23.056899999999999</v>
      </c>
      <c r="J194" s="26">
        <f>146.5039</f>
        <v>146.50389999999999</v>
      </c>
    </row>
    <row r="195" spans="1:10" ht="15">
      <c r="A195" s="16">
        <v>47209</v>
      </c>
      <c r="B195" s="10">
        <f>24.5103 * CHOOSE(CONTROL!$C$15, $E$9, 100%, $G$9) + CHOOSE(CONTROL!$C$38, 0.0266, 0)</f>
        <v>24.536899999999999</v>
      </c>
      <c r="C195" s="10">
        <f>22.526 * CHOOSE(CONTROL!$C$15, $E$9, 100%, $G$9) + CHOOSE(CONTROL!$C$38, 0.0357, 0)</f>
        <v>22.561699999999998</v>
      </c>
      <c r="D195" s="10">
        <f>22.5182 * CHOOSE(CONTROL!$C$15, $E$9, 100%, $G$9) + CHOOSE(CONTROL!$C$38, 0.0357, 0)</f>
        <v>22.553899999999999</v>
      </c>
      <c r="E195" s="28">
        <f>24.3541 * CHOOSE(CONTROL!$C$15, $E$9, 100%, $G$9) + CHOOSE(CONTROL!$C$38, 0.0357, 0)</f>
        <v>24.389799999999997</v>
      </c>
      <c r="F195" s="27">
        <f>24.3541 * CHOOSE(CONTROL!$C$15, $E$9, 100%, $G$9) + CHOOSE(CONTROL!$C$38, 0.0266, 0)</f>
        <v>24.380699999999997</v>
      </c>
      <c r="G195" s="10">
        <f>22.5245 * CHOOSE(CONTROL!$C$15, $E$9, 100%, $G$9) + CHOOSE(CONTROL!$C$38, 0.0357, 0)</f>
        <v>22.560199999999998</v>
      </c>
      <c r="H195" s="10">
        <f>22.5245 * CHOOSE(CONTROL!$C$15, $E$9, 100%, $G$9) + CHOOSE(CONTROL!$C$38, 0.0357, 0)</f>
        <v>22.560199999999998</v>
      </c>
      <c r="I195" s="10">
        <f>22.526 * CHOOSE(CONTROL!$C$15, $E$9, 100%, $G$9) + CHOOSE(CONTROL!$C$38, 0.0357, 0)</f>
        <v>22.561699999999998</v>
      </c>
      <c r="J195" s="26">
        <f>156.0157</f>
        <v>156.01570000000001</v>
      </c>
    </row>
    <row r="196" spans="1:10" ht="15">
      <c r="A196" s="16">
        <v>47239</v>
      </c>
      <c r="B196" s="10">
        <f>23.9942 * CHOOSE(CONTROL!$C$15, $E$9, 100%, $G$9) + CHOOSE(CONTROL!$C$38, 0.0266, 0)</f>
        <v>24.020799999999998</v>
      </c>
      <c r="C196" s="10">
        <f>22.0099 * CHOOSE(CONTROL!$C$15, $E$9, 100%, $G$9) + CHOOSE(CONTROL!$C$38, 0.0357, 0)</f>
        <v>22.045599999999997</v>
      </c>
      <c r="D196" s="10">
        <f>22.0021 * CHOOSE(CONTROL!$C$15, $E$9, 100%, $G$9) + CHOOSE(CONTROL!$C$38, 0.0357, 0)</f>
        <v>22.037799999999997</v>
      </c>
      <c r="E196" s="28">
        <f>23.838 * CHOOSE(CONTROL!$C$15, $E$9, 100%, $G$9) + CHOOSE(CONTROL!$C$38, 0.0357, 0)</f>
        <v>23.873699999999999</v>
      </c>
      <c r="F196" s="27">
        <f>23.838 * CHOOSE(CONTROL!$C$15, $E$9, 100%, $G$9) + CHOOSE(CONTROL!$C$38, 0.0266, 0)</f>
        <v>23.864599999999999</v>
      </c>
      <c r="G196" s="10">
        <f>22.0084 * CHOOSE(CONTROL!$C$15, $E$9, 100%, $G$9) + CHOOSE(CONTROL!$C$38, 0.0357, 0)</f>
        <v>22.0441</v>
      </c>
      <c r="H196" s="10">
        <f>22.0084 * CHOOSE(CONTROL!$C$15, $E$9, 100%, $G$9) + CHOOSE(CONTROL!$C$38, 0.0357, 0)</f>
        <v>22.0441</v>
      </c>
      <c r="I196" s="10">
        <f>22.0099 * CHOOSE(CONTROL!$C$15, $E$9, 100%, $G$9) + CHOOSE(CONTROL!$C$38, 0.0357, 0)</f>
        <v>22.045599999999997</v>
      </c>
      <c r="J196" s="26">
        <f>161.2513</f>
        <v>161.25129999999999</v>
      </c>
    </row>
    <row r="197" spans="1:10" ht="15">
      <c r="A197" s="16">
        <v>47270</v>
      </c>
      <c r="B197" s="10">
        <f>23.6324 * CHOOSE(CONTROL!$C$15, $E$9, 100%, $G$9) + CHOOSE(CONTROL!$C$38, 0.0266, 0)</f>
        <v>23.658999999999999</v>
      </c>
      <c r="C197" s="10">
        <f>21.6481 * CHOOSE(CONTROL!$C$15, $E$9, 100%, $G$9) + CHOOSE(CONTROL!$C$38, 0.0357, 0)</f>
        <v>21.683799999999998</v>
      </c>
      <c r="D197" s="10">
        <f>21.6403 * CHOOSE(CONTROL!$C$15, $E$9, 100%, $G$9) + CHOOSE(CONTROL!$C$38, 0.0357, 0)</f>
        <v>21.675999999999998</v>
      </c>
      <c r="E197" s="28">
        <f>23.4761 * CHOOSE(CONTROL!$C$15, $E$9, 100%, $G$9) + CHOOSE(CONTROL!$C$38, 0.0357, 0)</f>
        <v>23.511799999999997</v>
      </c>
      <c r="F197" s="27">
        <f>23.4761 * CHOOSE(CONTROL!$C$15, $E$9, 100%, $G$9) + CHOOSE(CONTROL!$C$38, 0.0266, 0)</f>
        <v>23.502699999999997</v>
      </c>
      <c r="G197" s="10">
        <f>21.6465 * CHOOSE(CONTROL!$C$15, $E$9, 100%, $G$9) + CHOOSE(CONTROL!$C$38, 0.0357, 0)</f>
        <v>21.682199999999998</v>
      </c>
      <c r="H197" s="10">
        <f>21.6465 * CHOOSE(CONTROL!$C$15, $E$9, 100%, $G$9) + CHOOSE(CONTROL!$C$38, 0.0357, 0)</f>
        <v>21.682199999999998</v>
      </c>
      <c r="I197" s="10">
        <f>21.6481 * CHOOSE(CONTROL!$C$15, $E$9, 100%, $G$9) + CHOOSE(CONTROL!$C$38, 0.0357, 0)</f>
        <v>21.683799999999998</v>
      </c>
      <c r="J197" s="26">
        <f>163.5747</f>
        <v>163.57470000000001</v>
      </c>
    </row>
    <row r="198" spans="1:10" ht="15">
      <c r="A198" s="16">
        <v>47300</v>
      </c>
      <c r="B198" s="10">
        <f>23.4259 * CHOOSE(CONTROL!$C$15, $E$9, 100%, $G$9) + CHOOSE(CONTROL!$C$38, 0.0266, 0)</f>
        <v>23.452499999999997</v>
      </c>
      <c r="C198" s="10">
        <f>21.4416 * CHOOSE(CONTROL!$C$15, $E$9, 100%, $G$9) + CHOOSE(CONTROL!$C$38, 0.0357, 0)</f>
        <v>21.4773</v>
      </c>
      <c r="D198" s="10">
        <f>21.4338 * CHOOSE(CONTROL!$C$15, $E$9, 100%, $G$9) + CHOOSE(CONTROL!$C$38, 0.0357, 0)</f>
        <v>21.4695</v>
      </c>
      <c r="E198" s="28">
        <f>23.2696 * CHOOSE(CONTROL!$C$15, $E$9, 100%, $G$9) + CHOOSE(CONTROL!$C$38, 0.0357, 0)</f>
        <v>23.305299999999999</v>
      </c>
      <c r="F198" s="27">
        <f>23.2696 * CHOOSE(CONTROL!$C$15, $E$9, 100%, $G$9) + CHOOSE(CONTROL!$C$38, 0.0266, 0)</f>
        <v>23.296199999999999</v>
      </c>
      <c r="G198" s="10">
        <f>21.44 * CHOOSE(CONTROL!$C$15, $E$9, 100%, $G$9) + CHOOSE(CONTROL!$C$38, 0.0357, 0)</f>
        <v>21.4757</v>
      </c>
      <c r="H198" s="10">
        <f>21.44 * CHOOSE(CONTROL!$C$15, $E$9, 100%, $G$9) + CHOOSE(CONTROL!$C$38, 0.0357, 0)</f>
        <v>21.4757</v>
      </c>
      <c r="I198" s="10">
        <f>21.4416 * CHOOSE(CONTROL!$C$15, $E$9, 100%, $G$9) + CHOOSE(CONTROL!$C$38, 0.0357, 0)</f>
        <v>21.4773</v>
      </c>
      <c r="J198" s="26">
        <f>162.8097</f>
        <v>162.80969999999999</v>
      </c>
    </row>
    <row r="199" spans="1:10" ht="15">
      <c r="A199" s="16">
        <v>47331</v>
      </c>
      <c r="B199" s="10">
        <f>23.5278 * CHOOSE(CONTROL!$C$15, $E$9, 100%, $G$9) + CHOOSE(CONTROL!$C$38, 0.0266, 0)</f>
        <v>23.554399999999998</v>
      </c>
      <c r="C199" s="10">
        <f>21.5435 * CHOOSE(CONTROL!$C$15, $E$9, 100%, $G$9) + CHOOSE(CONTROL!$C$38, 0.0357, 0)</f>
        <v>21.5792</v>
      </c>
      <c r="D199" s="10">
        <f>21.5357 * CHOOSE(CONTROL!$C$15, $E$9, 100%, $G$9) + CHOOSE(CONTROL!$C$38, 0.0357, 0)</f>
        <v>21.571399999999997</v>
      </c>
      <c r="E199" s="28">
        <f>23.3716 * CHOOSE(CONTROL!$C$15, $E$9, 100%, $G$9) + CHOOSE(CONTROL!$C$38, 0.0357, 0)</f>
        <v>23.407299999999999</v>
      </c>
      <c r="F199" s="27">
        <f>23.3716 * CHOOSE(CONTROL!$C$15, $E$9, 100%, $G$9) + CHOOSE(CONTROL!$C$38, 0.0266, 0)</f>
        <v>23.398199999999999</v>
      </c>
      <c r="G199" s="10">
        <f>21.5419 * CHOOSE(CONTROL!$C$15, $E$9, 100%, $G$9) + CHOOSE(CONTROL!$C$38, 0.0357, 0)</f>
        <v>21.577599999999997</v>
      </c>
      <c r="H199" s="10">
        <f>21.5419 * CHOOSE(CONTROL!$C$15, $E$9, 100%, $G$9) + CHOOSE(CONTROL!$C$38, 0.0357, 0)</f>
        <v>21.577599999999997</v>
      </c>
      <c r="I199" s="10">
        <f>21.5435 * CHOOSE(CONTROL!$C$15, $E$9, 100%, $G$9) + CHOOSE(CONTROL!$C$38, 0.0357, 0)</f>
        <v>21.5792</v>
      </c>
      <c r="J199" s="26">
        <f>159.0196</f>
        <v>159.0196</v>
      </c>
    </row>
    <row r="200" spans="1:10" ht="15">
      <c r="A200" s="16">
        <v>47362</v>
      </c>
      <c r="B200" s="10">
        <f>23.8046 * CHOOSE(CONTROL!$C$15, $E$9, 100%, $G$9) + CHOOSE(CONTROL!$C$38, 0.0266, 0)</f>
        <v>23.831199999999999</v>
      </c>
      <c r="C200" s="10">
        <f>21.8203 * CHOOSE(CONTROL!$C$15, $E$9, 100%, $G$9) + CHOOSE(CONTROL!$C$38, 0.0357, 0)</f>
        <v>21.855999999999998</v>
      </c>
      <c r="D200" s="10">
        <f>21.8125 * CHOOSE(CONTROL!$C$15, $E$9, 100%, $G$9) + CHOOSE(CONTROL!$C$38, 0.0357, 0)</f>
        <v>21.848199999999999</v>
      </c>
      <c r="E200" s="28">
        <f>23.6484 * CHOOSE(CONTROL!$C$15, $E$9, 100%, $G$9) + CHOOSE(CONTROL!$C$38, 0.0357, 0)</f>
        <v>23.684099999999997</v>
      </c>
      <c r="F200" s="27">
        <f>23.6484 * CHOOSE(CONTROL!$C$15, $E$9, 100%, $G$9) + CHOOSE(CONTROL!$C$38, 0.0266, 0)</f>
        <v>23.674999999999997</v>
      </c>
      <c r="G200" s="10">
        <f>21.8187 * CHOOSE(CONTROL!$C$15, $E$9, 100%, $G$9) + CHOOSE(CONTROL!$C$38, 0.0357, 0)</f>
        <v>21.854399999999998</v>
      </c>
      <c r="H200" s="10">
        <f>21.8187 * CHOOSE(CONTROL!$C$15, $E$9, 100%, $G$9) + CHOOSE(CONTROL!$C$38, 0.0357, 0)</f>
        <v>21.854399999999998</v>
      </c>
      <c r="I200" s="10">
        <f>21.8203 * CHOOSE(CONTROL!$C$15, $E$9, 100%, $G$9) + CHOOSE(CONTROL!$C$38, 0.0357, 0)</f>
        <v>21.855999999999998</v>
      </c>
      <c r="J200" s="26">
        <f>153.734</f>
        <v>153.73400000000001</v>
      </c>
    </row>
    <row r="201" spans="1:10" ht="15">
      <c r="A201" s="16">
        <v>47392</v>
      </c>
      <c r="B201" s="10">
        <f>24.0364 * CHOOSE(CONTROL!$C$15, $E$9, 100%, $G$9) + CHOOSE(CONTROL!$C$38, 0.0266, 0)</f>
        <v>24.062999999999999</v>
      </c>
      <c r="C201" s="10">
        <f>22.0521 * CHOOSE(CONTROL!$C$15, $E$9, 100%, $G$9) + CHOOSE(CONTROL!$C$38, 0.0357, 0)</f>
        <v>22.087799999999998</v>
      </c>
      <c r="D201" s="10">
        <f>22.0443 * CHOOSE(CONTROL!$C$15, $E$9, 100%, $G$9) + CHOOSE(CONTROL!$C$38, 0.0357, 0)</f>
        <v>22.08</v>
      </c>
      <c r="E201" s="28">
        <f>23.8802 * CHOOSE(CONTROL!$C$15, $E$9, 100%, $G$9) + CHOOSE(CONTROL!$C$38, 0.0357, 0)</f>
        <v>23.915899999999997</v>
      </c>
      <c r="F201" s="27">
        <f>23.8802 * CHOOSE(CONTROL!$C$15, $E$9, 100%, $G$9) + CHOOSE(CONTROL!$C$38, 0.0266, 0)</f>
        <v>23.906799999999997</v>
      </c>
      <c r="G201" s="10">
        <f>22.0506 * CHOOSE(CONTROL!$C$15, $E$9, 100%, $G$9) + CHOOSE(CONTROL!$C$38, 0.0357, 0)</f>
        <v>22.086299999999998</v>
      </c>
      <c r="H201" s="10">
        <f>22.0506 * CHOOSE(CONTROL!$C$15, $E$9, 100%, $G$9) + CHOOSE(CONTROL!$C$38, 0.0357, 0)</f>
        <v>22.086299999999998</v>
      </c>
      <c r="I201" s="10">
        <f>22.0521 * CHOOSE(CONTROL!$C$15, $E$9, 100%, $G$9) + CHOOSE(CONTROL!$C$38, 0.0357, 0)</f>
        <v>22.087799999999998</v>
      </c>
      <c r="J201" s="26">
        <f>148.4178</f>
        <v>148.4178</v>
      </c>
    </row>
    <row r="202" spans="1:10" ht="15">
      <c r="A202" s="16">
        <v>47423</v>
      </c>
      <c r="B202" s="10">
        <f>24.2299 * CHOOSE(CONTROL!$C$15, $E$9, 100%, $G$9) + CHOOSE(CONTROL!$C$38, 0.0266, 0)</f>
        <v>24.256499999999999</v>
      </c>
      <c r="C202" s="10">
        <f>22.2456 * CHOOSE(CONTROL!$C$15, $E$9, 100%, $G$9) + CHOOSE(CONTROL!$C$38, 0.0357, 0)</f>
        <v>22.281299999999998</v>
      </c>
      <c r="D202" s="10">
        <f>22.2378 * CHOOSE(CONTROL!$C$15, $E$9, 100%, $G$9) + CHOOSE(CONTROL!$C$38, 0.0357, 0)</f>
        <v>22.273499999999999</v>
      </c>
      <c r="E202" s="28">
        <f>24.0736 * CHOOSE(CONTROL!$C$15, $E$9, 100%, $G$9) + CHOOSE(CONTROL!$C$38, 0.0357, 0)</f>
        <v>24.109299999999998</v>
      </c>
      <c r="F202" s="27">
        <f>24.0736 * CHOOSE(CONTROL!$C$15, $E$9, 100%, $G$9) + CHOOSE(CONTROL!$C$38, 0.0266, 0)</f>
        <v>24.100199999999997</v>
      </c>
      <c r="G202" s="10">
        <f>22.244 * CHOOSE(CONTROL!$C$15, $E$9, 100%, $G$9) + CHOOSE(CONTROL!$C$38, 0.0357, 0)</f>
        <v>22.279699999999998</v>
      </c>
      <c r="H202" s="10">
        <f>22.244 * CHOOSE(CONTROL!$C$15, $E$9, 100%, $G$9) + CHOOSE(CONTROL!$C$38, 0.0357, 0)</f>
        <v>22.279699999999998</v>
      </c>
      <c r="I202" s="10">
        <f>22.2456 * CHOOSE(CONTROL!$C$15, $E$9, 100%, $G$9) + CHOOSE(CONTROL!$C$38, 0.0357, 0)</f>
        <v>22.281299999999998</v>
      </c>
      <c r="J202" s="26">
        <f>147.3602</f>
        <v>147.36019999999999</v>
      </c>
    </row>
    <row r="203" spans="1:10" ht="15">
      <c r="A203" s="16">
        <v>47453</v>
      </c>
      <c r="B203" s="10">
        <f>24.8259 * CHOOSE(CONTROL!$C$15, $E$9, 100%, $G$9) + CHOOSE(CONTROL!$C$38, 0.0266, 0)</f>
        <v>24.852499999999999</v>
      </c>
      <c r="C203" s="10">
        <f>22.8416 * CHOOSE(CONTROL!$C$15, $E$9, 100%, $G$9) + CHOOSE(CONTROL!$C$38, 0.0357, 0)</f>
        <v>22.877299999999998</v>
      </c>
      <c r="D203" s="10">
        <f>22.8338 * CHOOSE(CONTROL!$C$15, $E$9, 100%, $G$9) + CHOOSE(CONTROL!$C$38, 0.0357, 0)</f>
        <v>22.869499999999999</v>
      </c>
      <c r="E203" s="28">
        <f>24.6697 * CHOOSE(CONTROL!$C$15, $E$9, 100%, $G$9) + CHOOSE(CONTROL!$C$38, 0.0357, 0)</f>
        <v>24.705399999999997</v>
      </c>
      <c r="F203" s="27">
        <f>24.6697 * CHOOSE(CONTROL!$C$15, $E$9, 100%, $G$9) + CHOOSE(CONTROL!$C$38, 0.0266, 0)</f>
        <v>24.696299999999997</v>
      </c>
      <c r="G203" s="10">
        <f>22.8401 * CHOOSE(CONTROL!$C$15, $E$9, 100%, $G$9) + CHOOSE(CONTROL!$C$38, 0.0357, 0)</f>
        <v>22.875799999999998</v>
      </c>
      <c r="H203" s="10">
        <f>22.8401 * CHOOSE(CONTROL!$C$15, $E$9, 100%, $G$9) + CHOOSE(CONTROL!$C$38, 0.0357, 0)</f>
        <v>22.875799999999998</v>
      </c>
      <c r="I203" s="10">
        <f>22.8416 * CHOOSE(CONTROL!$C$15, $E$9, 100%, $G$9) + CHOOSE(CONTROL!$C$38, 0.0357, 0)</f>
        <v>22.877299999999998</v>
      </c>
      <c r="J203" s="26">
        <f>142.9873</f>
        <v>142.9873</v>
      </c>
    </row>
    <row r="204" spans="1:10" ht="15">
      <c r="A204" s="16">
        <v>47484</v>
      </c>
      <c r="B204" s="10">
        <f>26.2743 * CHOOSE(CONTROL!$C$15, $E$9, 100%, $G$9) + CHOOSE(CONTROL!$C$38, 0.0266, 0)</f>
        <v>26.300899999999999</v>
      </c>
      <c r="C204" s="10">
        <f>24.2662 * CHOOSE(CONTROL!$C$15, $E$9, 100%, $G$9) + CHOOSE(CONTROL!$C$38, 0.0357, 0)</f>
        <v>24.3019</v>
      </c>
      <c r="D204" s="10">
        <f>24.2584 * CHOOSE(CONTROL!$C$15, $E$9, 100%, $G$9) + CHOOSE(CONTROL!$C$38, 0.0357, 0)</f>
        <v>24.2941</v>
      </c>
      <c r="E204" s="28">
        <f>26.1181 * CHOOSE(CONTROL!$C$15, $E$9, 100%, $G$9) + CHOOSE(CONTROL!$C$38, 0.0357, 0)</f>
        <v>26.153799999999997</v>
      </c>
      <c r="F204" s="27">
        <f>26.1181 * CHOOSE(CONTROL!$C$15, $E$9, 100%, $G$9) + CHOOSE(CONTROL!$C$38, 0.0266, 0)</f>
        <v>26.144699999999997</v>
      </c>
      <c r="G204" s="10">
        <f>24.2646 * CHOOSE(CONTROL!$C$15, $E$9, 100%, $G$9) + CHOOSE(CONTROL!$C$38, 0.0357, 0)</f>
        <v>24.3003</v>
      </c>
      <c r="H204" s="10">
        <f>24.2646 * CHOOSE(CONTROL!$C$15, $E$9, 100%, $G$9) + CHOOSE(CONTROL!$C$38, 0.0357, 0)</f>
        <v>24.3003</v>
      </c>
      <c r="I204" s="10">
        <f>24.2662 * CHOOSE(CONTROL!$C$15, $E$9, 100%, $G$9) + CHOOSE(CONTROL!$C$38, 0.0357, 0)</f>
        <v>24.3019</v>
      </c>
      <c r="J204" s="26">
        <f>145.2881</f>
        <v>145.28809999999999</v>
      </c>
    </row>
    <row r="205" spans="1:10" ht="15">
      <c r="A205" s="16">
        <v>47515</v>
      </c>
      <c r="B205" s="10">
        <f>26.4951 * CHOOSE(CONTROL!$C$15, $E$9, 100%, $G$9) + CHOOSE(CONTROL!$C$38, 0.0266, 0)</f>
        <v>26.521699999999999</v>
      </c>
      <c r="C205" s="10">
        <f>24.4869 * CHOOSE(CONTROL!$C$15, $E$9, 100%, $G$9) + CHOOSE(CONTROL!$C$38, 0.0357, 0)</f>
        <v>24.522599999999997</v>
      </c>
      <c r="D205" s="10">
        <f>24.4791 * CHOOSE(CONTROL!$C$15, $E$9, 100%, $G$9) + CHOOSE(CONTROL!$C$38, 0.0357, 0)</f>
        <v>24.514799999999997</v>
      </c>
      <c r="E205" s="28">
        <f>26.3388 * CHOOSE(CONTROL!$C$15, $E$9, 100%, $G$9) + CHOOSE(CONTROL!$C$38, 0.0357, 0)</f>
        <v>26.374499999999998</v>
      </c>
      <c r="F205" s="27">
        <f>26.3388 * CHOOSE(CONTROL!$C$15, $E$9, 100%, $G$9) + CHOOSE(CONTROL!$C$38, 0.0266, 0)</f>
        <v>26.365399999999998</v>
      </c>
      <c r="G205" s="10">
        <f>24.4854 * CHOOSE(CONTROL!$C$15, $E$9, 100%, $G$9) + CHOOSE(CONTROL!$C$38, 0.0357, 0)</f>
        <v>24.521099999999997</v>
      </c>
      <c r="H205" s="10">
        <f>24.4854 * CHOOSE(CONTROL!$C$15, $E$9, 100%, $G$9) + CHOOSE(CONTROL!$C$38, 0.0357, 0)</f>
        <v>24.521099999999997</v>
      </c>
      <c r="I205" s="10">
        <f>24.4869 * CHOOSE(CONTROL!$C$15, $E$9, 100%, $G$9) + CHOOSE(CONTROL!$C$38, 0.0357, 0)</f>
        <v>24.522599999999997</v>
      </c>
      <c r="J205" s="26">
        <f>144.8843</f>
        <v>144.8843</v>
      </c>
    </row>
    <row r="206" spans="1:10" ht="15">
      <c r="A206" s="16">
        <v>47543</v>
      </c>
      <c r="B206" s="10">
        <f>25.9841 * CHOOSE(CONTROL!$C$15, $E$9, 100%, $G$9) + CHOOSE(CONTROL!$C$38, 0.0266, 0)</f>
        <v>26.0107</v>
      </c>
      <c r="C206" s="10">
        <f>23.9759 * CHOOSE(CONTROL!$C$15, $E$9, 100%, $G$9) + CHOOSE(CONTROL!$C$38, 0.0357, 0)</f>
        <v>24.011599999999998</v>
      </c>
      <c r="D206" s="10">
        <f>23.9681 * CHOOSE(CONTROL!$C$15, $E$9, 100%, $G$9) + CHOOSE(CONTROL!$C$38, 0.0357, 0)</f>
        <v>24.003799999999998</v>
      </c>
      <c r="E206" s="28">
        <f>25.8278 * CHOOSE(CONTROL!$C$15, $E$9, 100%, $G$9) + CHOOSE(CONTROL!$C$38, 0.0357, 0)</f>
        <v>25.863499999999998</v>
      </c>
      <c r="F206" s="27">
        <f>25.8278 * CHOOSE(CONTROL!$C$15, $E$9, 100%, $G$9) + CHOOSE(CONTROL!$C$38, 0.0266, 0)</f>
        <v>25.854399999999998</v>
      </c>
      <c r="G206" s="10">
        <f>23.9743 * CHOOSE(CONTROL!$C$15, $E$9, 100%, $G$9) + CHOOSE(CONTROL!$C$38, 0.0357, 0)</f>
        <v>24.009999999999998</v>
      </c>
      <c r="H206" s="10">
        <f>23.9743 * CHOOSE(CONTROL!$C$15, $E$9, 100%, $G$9) + CHOOSE(CONTROL!$C$38, 0.0357, 0)</f>
        <v>24.009999999999998</v>
      </c>
      <c r="I206" s="10">
        <f>23.9759 * CHOOSE(CONTROL!$C$15, $E$9, 100%, $G$9) + CHOOSE(CONTROL!$C$38, 0.0357, 0)</f>
        <v>24.011599999999998</v>
      </c>
      <c r="J206" s="26">
        <f>152.5205</f>
        <v>152.5205</v>
      </c>
    </row>
    <row r="207" spans="1:10" ht="15">
      <c r="A207" s="16">
        <v>47574</v>
      </c>
      <c r="B207" s="10">
        <f>25.4889 * CHOOSE(CONTROL!$C$15, $E$9, 100%, $G$9) + CHOOSE(CONTROL!$C$38, 0.0266, 0)</f>
        <v>25.515499999999999</v>
      </c>
      <c r="C207" s="10">
        <f>23.4807 * CHOOSE(CONTROL!$C$15, $E$9, 100%, $G$9) + CHOOSE(CONTROL!$C$38, 0.0357, 0)</f>
        <v>23.516399999999997</v>
      </c>
      <c r="D207" s="10">
        <f>23.4729 * CHOOSE(CONTROL!$C$15, $E$9, 100%, $G$9) + CHOOSE(CONTROL!$C$38, 0.0357, 0)</f>
        <v>23.508599999999998</v>
      </c>
      <c r="E207" s="28">
        <f>25.3326 * CHOOSE(CONTROL!$C$15, $E$9, 100%, $G$9) + CHOOSE(CONTROL!$C$38, 0.0357, 0)</f>
        <v>25.368299999999998</v>
      </c>
      <c r="F207" s="27">
        <f>25.3326 * CHOOSE(CONTROL!$C$15, $E$9, 100%, $G$9) + CHOOSE(CONTROL!$C$38, 0.0266, 0)</f>
        <v>25.359199999999998</v>
      </c>
      <c r="G207" s="10">
        <f>23.4792 * CHOOSE(CONTROL!$C$15, $E$9, 100%, $G$9) + CHOOSE(CONTROL!$C$38, 0.0357, 0)</f>
        <v>23.514899999999997</v>
      </c>
      <c r="H207" s="10">
        <f>23.4792 * CHOOSE(CONTROL!$C$15, $E$9, 100%, $G$9) + CHOOSE(CONTROL!$C$38, 0.0357, 0)</f>
        <v>23.514899999999997</v>
      </c>
      <c r="I207" s="10">
        <f>23.4807 * CHOOSE(CONTROL!$C$15, $E$9, 100%, $G$9) + CHOOSE(CONTROL!$C$38, 0.0357, 0)</f>
        <v>23.516399999999997</v>
      </c>
      <c r="J207" s="26">
        <f>162.4229</f>
        <v>162.4229</v>
      </c>
    </row>
    <row r="208" spans="1:10" ht="15">
      <c r="A208" s="16">
        <v>47604</v>
      </c>
      <c r="B208" s="10">
        <f>24.9728 * CHOOSE(CONTROL!$C$15, $E$9, 100%, $G$9) + CHOOSE(CONTROL!$C$38, 0.0266, 0)</f>
        <v>24.999399999999998</v>
      </c>
      <c r="C208" s="10">
        <f>22.9646 * CHOOSE(CONTROL!$C$15, $E$9, 100%, $G$9) + CHOOSE(CONTROL!$C$38, 0.0357, 0)</f>
        <v>23.000299999999999</v>
      </c>
      <c r="D208" s="10">
        <f>22.9568 * CHOOSE(CONTROL!$C$15, $E$9, 100%, $G$9) + CHOOSE(CONTROL!$C$38, 0.0357, 0)</f>
        <v>22.9925</v>
      </c>
      <c r="E208" s="28">
        <f>24.8165 * CHOOSE(CONTROL!$C$15, $E$9, 100%, $G$9) + CHOOSE(CONTROL!$C$38, 0.0357, 0)</f>
        <v>24.8522</v>
      </c>
      <c r="F208" s="27">
        <f>24.8165 * CHOOSE(CONTROL!$C$15, $E$9, 100%, $G$9) + CHOOSE(CONTROL!$C$38, 0.0266, 0)</f>
        <v>24.8431</v>
      </c>
      <c r="G208" s="10">
        <f>22.963 * CHOOSE(CONTROL!$C$15, $E$9, 100%, $G$9) + CHOOSE(CONTROL!$C$38, 0.0357, 0)</f>
        <v>22.998699999999999</v>
      </c>
      <c r="H208" s="10">
        <f>22.963 * CHOOSE(CONTROL!$C$15, $E$9, 100%, $G$9) + CHOOSE(CONTROL!$C$38, 0.0357, 0)</f>
        <v>22.998699999999999</v>
      </c>
      <c r="I208" s="10">
        <f>22.9646 * CHOOSE(CONTROL!$C$15, $E$9, 100%, $G$9) + CHOOSE(CONTROL!$C$38, 0.0357, 0)</f>
        <v>23.000299999999999</v>
      </c>
      <c r="J208" s="26">
        <f>167.8735</f>
        <v>167.87350000000001</v>
      </c>
    </row>
    <row r="209" spans="1:10" ht="15">
      <c r="A209" s="16">
        <v>47635</v>
      </c>
      <c r="B209" s="10">
        <f>24.6109 * CHOOSE(CONTROL!$C$15, $E$9, 100%, $G$9) + CHOOSE(CONTROL!$C$38, 0.0266, 0)</f>
        <v>24.637499999999999</v>
      </c>
      <c r="C209" s="10">
        <f>22.6028 * CHOOSE(CONTROL!$C$15, $E$9, 100%, $G$9) + CHOOSE(CONTROL!$C$38, 0.0357, 0)</f>
        <v>22.638499999999997</v>
      </c>
      <c r="D209" s="10">
        <f>22.595 * CHOOSE(CONTROL!$C$15, $E$9, 100%, $G$9) + CHOOSE(CONTROL!$C$38, 0.0357, 0)</f>
        <v>22.630699999999997</v>
      </c>
      <c r="E209" s="28">
        <f>24.4547 * CHOOSE(CONTROL!$C$15, $E$9, 100%, $G$9) + CHOOSE(CONTROL!$C$38, 0.0357, 0)</f>
        <v>24.490399999999998</v>
      </c>
      <c r="F209" s="27">
        <f>24.4547 * CHOOSE(CONTROL!$C$15, $E$9, 100%, $G$9) + CHOOSE(CONTROL!$C$38, 0.0266, 0)</f>
        <v>24.481299999999997</v>
      </c>
      <c r="G209" s="10">
        <f>22.6012 * CHOOSE(CONTROL!$C$15, $E$9, 100%, $G$9) + CHOOSE(CONTROL!$C$38, 0.0357, 0)</f>
        <v>22.636899999999997</v>
      </c>
      <c r="H209" s="10">
        <f>22.6012 * CHOOSE(CONTROL!$C$15, $E$9, 100%, $G$9) + CHOOSE(CONTROL!$C$38, 0.0357, 0)</f>
        <v>22.636899999999997</v>
      </c>
      <c r="I209" s="10">
        <f>22.6028 * CHOOSE(CONTROL!$C$15, $E$9, 100%, $G$9) + CHOOSE(CONTROL!$C$38, 0.0357, 0)</f>
        <v>22.638499999999997</v>
      </c>
      <c r="J209" s="26">
        <f>170.2924</f>
        <v>170.29239999999999</v>
      </c>
    </row>
    <row r="210" spans="1:10" ht="15">
      <c r="A210" s="16">
        <v>47665</v>
      </c>
      <c r="B210" s="10">
        <f>24.4045 * CHOOSE(CONTROL!$C$15, $E$9, 100%, $G$9) + CHOOSE(CONTROL!$C$38, 0.0266, 0)</f>
        <v>24.431099999999997</v>
      </c>
      <c r="C210" s="10">
        <f>22.3963 * CHOOSE(CONTROL!$C$15, $E$9, 100%, $G$9) + CHOOSE(CONTROL!$C$38, 0.0357, 0)</f>
        <v>22.431999999999999</v>
      </c>
      <c r="D210" s="10">
        <f>22.3885 * CHOOSE(CONTROL!$C$15, $E$9, 100%, $G$9) + CHOOSE(CONTROL!$C$38, 0.0357, 0)</f>
        <v>22.424199999999999</v>
      </c>
      <c r="E210" s="28">
        <f>24.2482 * CHOOSE(CONTROL!$C$15, $E$9, 100%, $G$9) + CHOOSE(CONTROL!$C$38, 0.0357, 0)</f>
        <v>24.283899999999999</v>
      </c>
      <c r="F210" s="27">
        <f>24.2482 * CHOOSE(CONTROL!$C$15, $E$9, 100%, $G$9) + CHOOSE(CONTROL!$C$38, 0.0266, 0)</f>
        <v>24.274799999999999</v>
      </c>
      <c r="G210" s="10">
        <f>22.3947 * CHOOSE(CONTROL!$C$15, $E$9, 100%, $G$9) + CHOOSE(CONTROL!$C$38, 0.0357, 0)</f>
        <v>22.430399999999999</v>
      </c>
      <c r="H210" s="10">
        <f>22.3947 * CHOOSE(CONTROL!$C$15, $E$9, 100%, $G$9) + CHOOSE(CONTROL!$C$38, 0.0357, 0)</f>
        <v>22.430399999999999</v>
      </c>
      <c r="I210" s="10">
        <f>22.3963 * CHOOSE(CONTROL!$C$15, $E$9, 100%, $G$9) + CHOOSE(CONTROL!$C$38, 0.0357, 0)</f>
        <v>22.431999999999999</v>
      </c>
      <c r="J210" s="26">
        <f>169.496</f>
        <v>169.49600000000001</v>
      </c>
    </row>
    <row r="211" spans="1:10" ht="15">
      <c r="A211" s="16">
        <v>47696</v>
      </c>
      <c r="B211" s="10">
        <f>24.5064 * CHOOSE(CONTROL!$C$15, $E$9, 100%, $G$9) + CHOOSE(CONTROL!$C$38, 0.0266, 0)</f>
        <v>24.532999999999998</v>
      </c>
      <c r="C211" s="10">
        <f>22.4982 * CHOOSE(CONTROL!$C$15, $E$9, 100%, $G$9) + CHOOSE(CONTROL!$C$38, 0.0357, 0)</f>
        <v>22.533899999999999</v>
      </c>
      <c r="D211" s="10">
        <f>22.4904 * CHOOSE(CONTROL!$C$15, $E$9, 100%, $G$9) + CHOOSE(CONTROL!$C$38, 0.0357, 0)</f>
        <v>22.5261</v>
      </c>
      <c r="E211" s="28">
        <f>24.3501 * CHOOSE(CONTROL!$C$15, $E$9, 100%, $G$9) + CHOOSE(CONTROL!$C$38, 0.0357, 0)</f>
        <v>24.3858</v>
      </c>
      <c r="F211" s="27">
        <f>24.3501 * CHOOSE(CONTROL!$C$15, $E$9, 100%, $G$9) + CHOOSE(CONTROL!$C$38, 0.0266, 0)</f>
        <v>24.3767</v>
      </c>
      <c r="G211" s="10">
        <f>22.4966 * CHOOSE(CONTROL!$C$15, $E$9, 100%, $G$9) + CHOOSE(CONTROL!$C$38, 0.0357, 0)</f>
        <v>22.532299999999999</v>
      </c>
      <c r="H211" s="10">
        <f>22.4966 * CHOOSE(CONTROL!$C$15, $E$9, 100%, $G$9) + CHOOSE(CONTROL!$C$38, 0.0357, 0)</f>
        <v>22.532299999999999</v>
      </c>
      <c r="I211" s="10">
        <f>22.4982 * CHOOSE(CONTROL!$C$15, $E$9, 100%, $G$9) + CHOOSE(CONTROL!$C$38, 0.0357, 0)</f>
        <v>22.533899999999999</v>
      </c>
      <c r="J211" s="26">
        <f>165.5502</f>
        <v>165.55019999999999</v>
      </c>
    </row>
    <row r="212" spans="1:10" ht="15">
      <c r="A212" s="16">
        <v>47727</v>
      </c>
      <c r="B212" s="10">
        <f>24.7832 * CHOOSE(CONTROL!$C$15, $E$9, 100%, $G$9) + CHOOSE(CONTROL!$C$38, 0.0266, 0)</f>
        <v>24.809799999999999</v>
      </c>
      <c r="C212" s="10">
        <f>22.775 * CHOOSE(CONTROL!$C$15, $E$9, 100%, $G$9) + CHOOSE(CONTROL!$C$38, 0.0357, 0)</f>
        <v>22.810699999999997</v>
      </c>
      <c r="D212" s="10">
        <f>22.7672 * CHOOSE(CONTROL!$C$15, $E$9, 100%, $G$9) + CHOOSE(CONTROL!$C$38, 0.0357, 0)</f>
        <v>22.802899999999998</v>
      </c>
      <c r="E212" s="28">
        <f>24.6269 * CHOOSE(CONTROL!$C$15, $E$9, 100%, $G$9) + CHOOSE(CONTROL!$C$38, 0.0357, 0)</f>
        <v>24.662599999999998</v>
      </c>
      <c r="F212" s="27">
        <f>24.6269 * CHOOSE(CONTROL!$C$15, $E$9, 100%, $G$9) + CHOOSE(CONTROL!$C$38, 0.0266, 0)</f>
        <v>24.653499999999998</v>
      </c>
      <c r="G212" s="10">
        <f>22.7734 * CHOOSE(CONTROL!$C$15, $E$9, 100%, $G$9) + CHOOSE(CONTROL!$C$38, 0.0357, 0)</f>
        <v>22.809099999999997</v>
      </c>
      <c r="H212" s="10">
        <f>22.7734 * CHOOSE(CONTROL!$C$15, $E$9, 100%, $G$9) + CHOOSE(CONTROL!$C$38, 0.0357, 0)</f>
        <v>22.809099999999997</v>
      </c>
      <c r="I212" s="10">
        <f>22.775 * CHOOSE(CONTROL!$C$15, $E$9, 100%, $G$9) + CHOOSE(CONTROL!$C$38, 0.0357, 0)</f>
        <v>22.810699999999997</v>
      </c>
      <c r="J212" s="26">
        <f>160.0476</f>
        <v>160.04759999999999</v>
      </c>
    </row>
    <row r="213" spans="1:10" ht="15">
      <c r="A213" s="16">
        <v>47757</v>
      </c>
      <c r="B213" s="10">
        <f>25.015 * CHOOSE(CONTROL!$C$15, $E$9, 100%, $G$9) + CHOOSE(CONTROL!$C$38, 0.0266, 0)</f>
        <v>25.041599999999999</v>
      </c>
      <c r="C213" s="10">
        <f>23.0068 * CHOOSE(CONTROL!$C$15, $E$9, 100%, $G$9) + CHOOSE(CONTROL!$C$38, 0.0357, 0)</f>
        <v>23.042499999999997</v>
      </c>
      <c r="D213" s="10">
        <f>22.999 * CHOOSE(CONTROL!$C$15, $E$9, 100%, $G$9) + CHOOSE(CONTROL!$C$38, 0.0357, 0)</f>
        <v>23.034699999999997</v>
      </c>
      <c r="E213" s="28">
        <f>24.8587 * CHOOSE(CONTROL!$C$15, $E$9, 100%, $G$9) + CHOOSE(CONTROL!$C$38, 0.0357, 0)</f>
        <v>24.894399999999997</v>
      </c>
      <c r="F213" s="27">
        <f>24.8587 * CHOOSE(CONTROL!$C$15, $E$9, 100%, $G$9) + CHOOSE(CONTROL!$C$38, 0.0266, 0)</f>
        <v>24.885299999999997</v>
      </c>
      <c r="G213" s="10">
        <f>23.0053 * CHOOSE(CONTROL!$C$15, $E$9, 100%, $G$9) + CHOOSE(CONTROL!$C$38, 0.0357, 0)</f>
        <v>23.040999999999997</v>
      </c>
      <c r="H213" s="10">
        <f>23.0053 * CHOOSE(CONTROL!$C$15, $E$9, 100%, $G$9) + CHOOSE(CONTROL!$C$38, 0.0357, 0)</f>
        <v>23.040999999999997</v>
      </c>
      <c r="I213" s="10">
        <f>23.0068 * CHOOSE(CONTROL!$C$15, $E$9, 100%, $G$9) + CHOOSE(CONTROL!$C$38, 0.0357, 0)</f>
        <v>23.042499999999997</v>
      </c>
      <c r="J213" s="26">
        <f>154.513</f>
        <v>154.51300000000001</v>
      </c>
    </row>
    <row r="214" spans="1:10" ht="15">
      <c r="A214" s="16">
        <v>47788</v>
      </c>
      <c r="B214" s="10">
        <f>25.2084 * CHOOSE(CONTROL!$C$15, $E$9, 100%, $G$9) + CHOOSE(CONTROL!$C$38, 0.0266, 0)</f>
        <v>25.234999999999999</v>
      </c>
      <c r="C214" s="10">
        <f>23.2003 * CHOOSE(CONTROL!$C$15, $E$9, 100%, $G$9) + CHOOSE(CONTROL!$C$38, 0.0357, 0)</f>
        <v>23.235999999999997</v>
      </c>
      <c r="D214" s="10">
        <f>23.1924 * CHOOSE(CONTROL!$C$15, $E$9, 100%, $G$9) + CHOOSE(CONTROL!$C$38, 0.0357, 0)</f>
        <v>23.228099999999998</v>
      </c>
      <c r="E214" s="28">
        <f>25.0522 * CHOOSE(CONTROL!$C$15, $E$9, 100%, $G$9) + CHOOSE(CONTROL!$C$38, 0.0357, 0)</f>
        <v>25.087899999999998</v>
      </c>
      <c r="F214" s="27">
        <f>25.0522 * CHOOSE(CONTROL!$C$15, $E$9, 100%, $G$9) + CHOOSE(CONTROL!$C$38, 0.0266, 0)</f>
        <v>25.078799999999998</v>
      </c>
      <c r="G214" s="10">
        <f>23.1987 * CHOOSE(CONTROL!$C$15, $E$9, 100%, $G$9) + CHOOSE(CONTROL!$C$38, 0.0357, 0)</f>
        <v>23.234399999999997</v>
      </c>
      <c r="H214" s="10">
        <f>23.1987 * CHOOSE(CONTROL!$C$15, $E$9, 100%, $G$9) + CHOOSE(CONTROL!$C$38, 0.0357, 0)</f>
        <v>23.234399999999997</v>
      </c>
      <c r="I214" s="10">
        <f>23.2003 * CHOOSE(CONTROL!$C$15, $E$9, 100%, $G$9) + CHOOSE(CONTROL!$C$38, 0.0357, 0)</f>
        <v>23.235999999999997</v>
      </c>
      <c r="J214" s="26">
        <f>153.412</f>
        <v>153.41200000000001</v>
      </c>
    </row>
    <row r="215" spans="1:10" ht="15">
      <c r="A215" s="16">
        <v>47818</v>
      </c>
      <c r="B215" s="10">
        <f>25.8045 * CHOOSE(CONTROL!$C$15, $E$9, 100%, $G$9) + CHOOSE(CONTROL!$C$38, 0.0266, 0)</f>
        <v>25.831099999999999</v>
      </c>
      <c r="C215" s="10">
        <f>23.7963 * CHOOSE(CONTROL!$C$15, $E$9, 100%, $G$9) + CHOOSE(CONTROL!$C$38, 0.0357, 0)</f>
        <v>23.831999999999997</v>
      </c>
      <c r="D215" s="10">
        <f>23.7885 * CHOOSE(CONTROL!$C$15, $E$9, 100%, $G$9) + CHOOSE(CONTROL!$C$38, 0.0357, 0)</f>
        <v>23.824199999999998</v>
      </c>
      <c r="E215" s="28">
        <f>25.6482 * CHOOSE(CONTROL!$C$15, $E$9, 100%, $G$9) + CHOOSE(CONTROL!$C$38, 0.0357, 0)</f>
        <v>25.683899999999998</v>
      </c>
      <c r="F215" s="27">
        <f>25.6482 * CHOOSE(CONTROL!$C$15, $E$9, 100%, $G$9) + CHOOSE(CONTROL!$C$38, 0.0266, 0)</f>
        <v>25.674799999999998</v>
      </c>
      <c r="G215" s="10">
        <f>23.7948 * CHOOSE(CONTROL!$C$15, $E$9, 100%, $G$9) + CHOOSE(CONTROL!$C$38, 0.0357, 0)</f>
        <v>23.830499999999997</v>
      </c>
      <c r="H215" s="10">
        <f>23.7948 * CHOOSE(CONTROL!$C$15, $E$9, 100%, $G$9) + CHOOSE(CONTROL!$C$38, 0.0357, 0)</f>
        <v>23.830499999999997</v>
      </c>
      <c r="I215" s="10">
        <f>23.7963 * CHOOSE(CONTROL!$C$15, $E$9, 100%, $G$9) + CHOOSE(CONTROL!$C$38, 0.0357, 0)</f>
        <v>23.831999999999997</v>
      </c>
      <c r="J215" s="26">
        <f>148.8595</f>
        <v>148.8595</v>
      </c>
    </row>
    <row r="216" spans="1:10" ht="15">
      <c r="A216" s="16">
        <v>47849</v>
      </c>
      <c r="B216" s="10">
        <f>26.7104 * CHOOSE(CONTROL!$C$15, $E$9, 100%, $G$9) + CHOOSE(CONTROL!$C$38, 0.0266, 0)</f>
        <v>26.736999999999998</v>
      </c>
      <c r="C216" s="10">
        <f>24.6695 * CHOOSE(CONTROL!$C$15, $E$9, 100%, $G$9) + CHOOSE(CONTROL!$C$38, 0.0357, 0)</f>
        <v>24.705199999999998</v>
      </c>
      <c r="D216" s="10">
        <f>24.6617 * CHOOSE(CONTROL!$C$15, $E$9, 100%, $G$9) + CHOOSE(CONTROL!$C$38, 0.0357, 0)</f>
        <v>24.697399999999998</v>
      </c>
      <c r="E216" s="28">
        <f>26.5541 * CHOOSE(CONTROL!$C$15, $E$9, 100%, $G$9) + CHOOSE(CONTROL!$C$38, 0.0357, 0)</f>
        <v>26.589799999999997</v>
      </c>
      <c r="F216" s="27">
        <f>26.5541 * CHOOSE(CONTROL!$C$15, $E$9, 100%, $G$9) + CHOOSE(CONTROL!$C$38, 0.0266, 0)</f>
        <v>26.580699999999997</v>
      </c>
      <c r="G216" s="10">
        <f>24.6679 * CHOOSE(CONTROL!$C$15, $E$9, 100%, $G$9) + CHOOSE(CONTROL!$C$38, 0.0357, 0)</f>
        <v>24.703599999999998</v>
      </c>
      <c r="H216" s="10">
        <f>24.6679 * CHOOSE(CONTROL!$C$15, $E$9, 100%, $G$9) + CHOOSE(CONTROL!$C$38, 0.0357, 0)</f>
        <v>24.703599999999998</v>
      </c>
      <c r="I216" s="10">
        <f>24.6695 * CHOOSE(CONTROL!$C$15, $E$9, 100%, $G$9) + CHOOSE(CONTROL!$C$38, 0.0357, 0)</f>
        <v>24.705199999999998</v>
      </c>
      <c r="J216" s="26">
        <f>147.8624</f>
        <v>147.86240000000001</v>
      </c>
    </row>
    <row r="217" spans="1:10" ht="15">
      <c r="A217" s="16">
        <v>47880</v>
      </c>
      <c r="B217" s="10">
        <f>26.9311 * CHOOSE(CONTROL!$C$15, $E$9, 100%, $G$9) + CHOOSE(CONTROL!$C$38, 0.0266, 0)</f>
        <v>26.957699999999999</v>
      </c>
      <c r="C217" s="10">
        <f>24.8902 * CHOOSE(CONTROL!$C$15, $E$9, 100%, $G$9) + CHOOSE(CONTROL!$C$38, 0.0357, 0)</f>
        <v>24.925899999999999</v>
      </c>
      <c r="D217" s="10">
        <f>24.8824 * CHOOSE(CONTROL!$C$15, $E$9, 100%, $G$9) + CHOOSE(CONTROL!$C$38, 0.0357, 0)</f>
        <v>24.918099999999999</v>
      </c>
      <c r="E217" s="28">
        <f>26.7749 * CHOOSE(CONTROL!$C$15, $E$9, 100%, $G$9) + CHOOSE(CONTROL!$C$38, 0.0357, 0)</f>
        <v>26.810599999999997</v>
      </c>
      <c r="F217" s="27">
        <f>26.7749 * CHOOSE(CONTROL!$C$15, $E$9, 100%, $G$9) + CHOOSE(CONTROL!$C$38, 0.0266, 0)</f>
        <v>26.801499999999997</v>
      </c>
      <c r="G217" s="10">
        <f>24.8887 * CHOOSE(CONTROL!$C$15, $E$9, 100%, $G$9) + CHOOSE(CONTROL!$C$38, 0.0357, 0)</f>
        <v>24.924399999999999</v>
      </c>
      <c r="H217" s="10">
        <f>24.8887 * CHOOSE(CONTROL!$C$15, $E$9, 100%, $G$9) + CHOOSE(CONTROL!$C$38, 0.0357, 0)</f>
        <v>24.924399999999999</v>
      </c>
      <c r="I217" s="10">
        <f>24.8902 * CHOOSE(CONTROL!$C$15, $E$9, 100%, $G$9) + CHOOSE(CONTROL!$C$38, 0.0357, 0)</f>
        <v>24.925899999999999</v>
      </c>
      <c r="J217" s="26">
        <f>147.4514</f>
        <v>147.45140000000001</v>
      </c>
    </row>
    <row r="218" spans="1:10" ht="15">
      <c r="A218" s="16">
        <v>47908</v>
      </c>
      <c r="B218" s="10">
        <f>26.4201 * CHOOSE(CONTROL!$C$15, $E$9, 100%, $G$9) + CHOOSE(CONTROL!$C$38, 0.0266, 0)</f>
        <v>26.4467</v>
      </c>
      <c r="C218" s="10">
        <f>24.3792 * CHOOSE(CONTROL!$C$15, $E$9, 100%, $G$9) + CHOOSE(CONTROL!$C$38, 0.0357, 0)</f>
        <v>24.414899999999999</v>
      </c>
      <c r="D218" s="10">
        <f>24.3714 * CHOOSE(CONTROL!$C$15, $E$9, 100%, $G$9) + CHOOSE(CONTROL!$C$38, 0.0357, 0)</f>
        <v>24.4071</v>
      </c>
      <c r="E218" s="28">
        <f>26.2638 * CHOOSE(CONTROL!$C$15, $E$9, 100%, $G$9) + CHOOSE(CONTROL!$C$38, 0.0357, 0)</f>
        <v>26.299499999999998</v>
      </c>
      <c r="F218" s="27">
        <f>26.2638 * CHOOSE(CONTROL!$C$15, $E$9, 100%, $G$9) + CHOOSE(CONTROL!$C$38, 0.0266, 0)</f>
        <v>26.290399999999998</v>
      </c>
      <c r="G218" s="10">
        <f>24.3776 * CHOOSE(CONTROL!$C$15, $E$9, 100%, $G$9) + CHOOSE(CONTROL!$C$38, 0.0357, 0)</f>
        <v>24.4133</v>
      </c>
      <c r="H218" s="10">
        <f>24.3776 * CHOOSE(CONTROL!$C$15, $E$9, 100%, $G$9) + CHOOSE(CONTROL!$C$38, 0.0357, 0)</f>
        <v>24.4133</v>
      </c>
      <c r="I218" s="10">
        <f>24.3792 * CHOOSE(CONTROL!$C$15, $E$9, 100%, $G$9) + CHOOSE(CONTROL!$C$38, 0.0357, 0)</f>
        <v>24.414899999999999</v>
      </c>
      <c r="J218" s="26">
        <f>155.2229</f>
        <v>155.22290000000001</v>
      </c>
    </row>
    <row r="219" spans="1:10" ht="15">
      <c r="A219" s="16">
        <v>47939</v>
      </c>
      <c r="B219" s="10">
        <f>25.9249 * CHOOSE(CONTROL!$C$15, $E$9, 100%, $G$9) + CHOOSE(CONTROL!$C$38, 0.0266, 0)</f>
        <v>25.951499999999999</v>
      </c>
      <c r="C219" s="10">
        <f>23.884 * CHOOSE(CONTROL!$C$15, $E$9, 100%, $G$9) + CHOOSE(CONTROL!$C$38, 0.0357, 0)</f>
        <v>23.919699999999999</v>
      </c>
      <c r="D219" s="10">
        <f>23.8762 * CHOOSE(CONTROL!$C$15, $E$9, 100%, $G$9) + CHOOSE(CONTROL!$C$38, 0.0357, 0)</f>
        <v>23.911899999999999</v>
      </c>
      <c r="E219" s="28">
        <f>25.7687 * CHOOSE(CONTROL!$C$15, $E$9, 100%, $G$9) + CHOOSE(CONTROL!$C$38, 0.0357, 0)</f>
        <v>25.804399999999998</v>
      </c>
      <c r="F219" s="27">
        <f>25.7687 * CHOOSE(CONTROL!$C$15, $E$9, 100%, $G$9) + CHOOSE(CONTROL!$C$38, 0.0266, 0)</f>
        <v>25.795299999999997</v>
      </c>
      <c r="G219" s="10">
        <f>23.8825 * CHOOSE(CONTROL!$C$15, $E$9, 100%, $G$9) + CHOOSE(CONTROL!$C$38, 0.0357, 0)</f>
        <v>23.918199999999999</v>
      </c>
      <c r="H219" s="10">
        <f>23.8825 * CHOOSE(CONTROL!$C$15, $E$9, 100%, $G$9) + CHOOSE(CONTROL!$C$38, 0.0357, 0)</f>
        <v>23.918199999999999</v>
      </c>
      <c r="I219" s="10">
        <f>23.884 * CHOOSE(CONTROL!$C$15, $E$9, 100%, $G$9) + CHOOSE(CONTROL!$C$38, 0.0357, 0)</f>
        <v>23.919699999999999</v>
      </c>
      <c r="J219" s="26">
        <f>165.3007</f>
        <v>165.30070000000001</v>
      </c>
    </row>
    <row r="220" spans="1:10" ht="15">
      <c r="A220" s="16">
        <v>47969</v>
      </c>
      <c r="B220" s="10">
        <f>25.4088 * CHOOSE(CONTROL!$C$15, $E$9, 100%, $G$9) + CHOOSE(CONTROL!$C$38, 0.0266, 0)</f>
        <v>25.435399999999998</v>
      </c>
      <c r="C220" s="10">
        <f>23.3679 * CHOOSE(CONTROL!$C$15, $E$9, 100%, $G$9) + CHOOSE(CONTROL!$C$38, 0.0357, 0)</f>
        <v>23.403599999999997</v>
      </c>
      <c r="D220" s="10">
        <f>23.3601 * CHOOSE(CONTROL!$C$15, $E$9, 100%, $G$9) + CHOOSE(CONTROL!$C$38, 0.0357, 0)</f>
        <v>23.395799999999998</v>
      </c>
      <c r="E220" s="28">
        <f>25.2526 * CHOOSE(CONTROL!$C$15, $E$9, 100%, $G$9) + CHOOSE(CONTROL!$C$38, 0.0357, 0)</f>
        <v>25.2883</v>
      </c>
      <c r="F220" s="27">
        <f>25.2526 * CHOOSE(CONTROL!$C$15, $E$9, 100%, $G$9) + CHOOSE(CONTROL!$C$38, 0.0266, 0)</f>
        <v>25.279199999999999</v>
      </c>
      <c r="G220" s="10">
        <f>23.3664 * CHOOSE(CONTROL!$C$15, $E$9, 100%, $G$9) + CHOOSE(CONTROL!$C$38, 0.0357, 0)</f>
        <v>23.402099999999997</v>
      </c>
      <c r="H220" s="10">
        <f>23.3664 * CHOOSE(CONTROL!$C$15, $E$9, 100%, $G$9) + CHOOSE(CONTROL!$C$38, 0.0357, 0)</f>
        <v>23.402099999999997</v>
      </c>
      <c r="I220" s="10">
        <f>23.3679 * CHOOSE(CONTROL!$C$15, $E$9, 100%, $G$9) + CHOOSE(CONTROL!$C$38, 0.0357, 0)</f>
        <v>23.403599999999997</v>
      </c>
      <c r="J220" s="26">
        <f>170.8479</f>
        <v>170.84790000000001</v>
      </c>
    </row>
    <row r="221" spans="1:10" ht="15">
      <c r="A221" s="16">
        <v>48000</v>
      </c>
      <c r="B221" s="10">
        <f>25.047 * CHOOSE(CONTROL!$C$15, $E$9, 100%, $G$9) + CHOOSE(CONTROL!$C$38, 0.0266, 0)</f>
        <v>25.073599999999999</v>
      </c>
      <c r="C221" s="10">
        <f>23.0061 * CHOOSE(CONTROL!$C$15, $E$9, 100%, $G$9) + CHOOSE(CONTROL!$C$38, 0.0357, 0)</f>
        <v>23.041799999999999</v>
      </c>
      <c r="D221" s="10">
        <f>22.9983 * CHOOSE(CONTROL!$C$15, $E$9, 100%, $G$9) + CHOOSE(CONTROL!$C$38, 0.0357, 0)</f>
        <v>23.033999999999999</v>
      </c>
      <c r="E221" s="28">
        <f>24.8907 * CHOOSE(CONTROL!$C$15, $E$9, 100%, $G$9) + CHOOSE(CONTROL!$C$38, 0.0357, 0)</f>
        <v>24.926399999999997</v>
      </c>
      <c r="F221" s="27">
        <f>24.8907 * CHOOSE(CONTROL!$C$15, $E$9, 100%, $G$9) + CHOOSE(CONTROL!$C$38, 0.0266, 0)</f>
        <v>24.917299999999997</v>
      </c>
      <c r="G221" s="10">
        <f>23.0045 * CHOOSE(CONTROL!$C$15, $E$9, 100%, $G$9) + CHOOSE(CONTROL!$C$38, 0.0357, 0)</f>
        <v>23.040199999999999</v>
      </c>
      <c r="H221" s="10">
        <f>23.0045 * CHOOSE(CONTROL!$C$15, $E$9, 100%, $G$9) + CHOOSE(CONTROL!$C$38, 0.0357, 0)</f>
        <v>23.040199999999999</v>
      </c>
      <c r="I221" s="10">
        <f>23.0061 * CHOOSE(CONTROL!$C$15, $E$9, 100%, $G$9) + CHOOSE(CONTROL!$C$38, 0.0357, 0)</f>
        <v>23.041799999999999</v>
      </c>
      <c r="J221" s="26">
        <f>173.3096</f>
        <v>173.30959999999999</v>
      </c>
    </row>
    <row r="222" spans="1:10" ht="15">
      <c r="A222" s="16">
        <v>48030</v>
      </c>
      <c r="B222" s="10">
        <f>24.8405 * CHOOSE(CONTROL!$C$15, $E$9, 100%, $G$9) + CHOOSE(CONTROL!$C$38, 0.0266, 0)</f>
        <v>24.867099999999997</v>
      </c>
      <c r="C222" s="10">
        <f>22.7996 * CHOOSE(CONTROL!$C$15, $E$9, 100%, $G$9) + CHOOSE(CONTROL!$C$38, 0.0357, 0)</f>
        <v>22.8353</v>
      </c>
      <c r="D222" s="10">
        <f>22.7918 * CHOOSE(CONTROL!$C$15, $E$9, 100%, $G$9) + CHOOSE(CONTROL!$C$38, 0.0357, 0)</f>
        <v>22.827499999999997</v>
      </c>
      <c r="E222" s="28">
        <f>24.6842 * CHOOSE(CONTROL!$C$15, $E$9, 100%, $G$9) + CHOOSE(CONTROL!$C$38, 0.0357, 0)</f>
        <v>24.719899999999999</v>
      </c>
      <c r="F222" s="27">
        <f>24.6842 * CHOOSE(CONTROL!$C$15, $E$9, 100%, $G$9) + CHOOSE(CONTROL!$C$38, 0.0266, 0)</f>
        <v>24.710799999999999</v>
      </c>
      <c r="G222" s="10">
        <f>22.798 * CHOOSE(CONTROL!$C$15, $E$9, 100%, $G$9) + CHOOSE(CONTROL!$C$38, 0.0357, 0)</f>
        <v>22.833699999999997</v>
      </c>
      <c r="H222" s="10">
        <f>22.798 * CHOOSE(CONTROL!$C$15, $E$9, 100%, $G$9) + CHOOSE(CONTROL!$C$38, 0.0357, 0)</f>
        <v>22.833699999999997</v>
      </c>
      <c r="I222" s="10">
        <f>22.7996 * CHOOSE(CONTROL!$C$15, $E$9, 100%, $G$9) + CHOOSE(CONTROL!$C$38, 0.0357, 0)</f>
        <v>22.8353</v>
      </c>
      <c r="J222" s="26">
        <f>172.4991</f>
        <v>172.4991</v>
      </c>
    </row>
    <row r="223" spans="1:10" ht="15">
      <c r="A223" s="16">
        <v>48061</v>
      </c>
      <c r="B223" s="10">
        <f>24.9424 * CHOOSE(CONTROL!$C$15, $E$9, 100%, $G$9) + CHOOSE(CONTROL!$C$38, 0.0266, 0)</f>
        <v>24.968999999999998</v>
      </c>
      <c r="C223" s="10">
        <f>22.9015 * CHOOSE(CONTROL!$C$15, $E$9, 100%, $G$9) + CHOOSE(CONTROL!$C$38, 0.0357, 0)</f>
        <v>22.937199999999997</v>
      </c>
      <c r="D223" s="10">
        <f>22.8937 * CHOOSE(CONTROL!$C$15, $E$9, 100%, $G$9) + CHOOSE(CONTROL!$C$38, 0.0357, 0)</f>
        <v>22.929399999999998</v>
      </c>
      <c r="E223" s="28">
        <f>24.7861 * CHOOSE(CONTROL!$C$15, $E$9, 100%, $G$9) + CHOOSE(CONTROL!$C$38, 0.0357, 0)</f>
        <v>24.8218</v>
      </c>
      <c r="F223" s="27">
        <f>24.7861 * CHOOSE(CONTROL!$C$15, $E$9, 100%, $G$9) + CHOOSE(CONTROL!$C$38, 0.0266, 0)</f>
        <v>24.8127</v>
      </c>
      <c r="G223" s="10">
        <f>22.8999 * CHOOSE(CONTROL!$C$15, $E$9, 100%, $G$9) + CHOOSE(CONTROL!$C$38, 0.0357, 0)</f>
        <v>22.935599999999997</v>
      </c>
      <c r="H223" s="10">
        <f>22.8999 * CHOOSE(CONTROL!$C$15, $E$9, 100%, $G$9) + CHOOSE(CONTROL!$C$38, 0.0357, 0)</f>
        <v>22.935599999999997</v>
      </c>
      <c r="I223" s="10">
        <f>22.9015 * CHOOSE(CONTROL!$C$15, $E$9, 100%, $G$9) + CHOOSE(CONTROL!$C$38, 0.0357, 0)</f>
        <v>22.937199999999997</v>
      </c>
      <c r="J223" s="26">
        <f>168.4834</f>
        <v>168.48339999999999</v>
      </c>
    </row>
    <row r="224" spans="1:10" ht="15">
      <c r="A224" s="16">
        <v>48092</v>
      </c>
      <c r="B224" s="10">
        <f>25.2192 * CHOOSE(CONTROL!$C$15, $E$9, 100%, $G$9) + CHOOSE(CONTROL!$C$38, 0.0266, 0)</f>
        <v>25.245799999999999</v>
      </c>
      <c r="C224" s="10">
        <f>23.1783 * CHOOSE(CONTROL!$C$15, $E$9, 100%, $G$9) + CHOOSE(CONTROL!$C$38, 0.0357, 0)</f>
        <v>23.213999999999999</v>
      </c>
      <c r="D224" s="10">
        <f>23.1705 * CHOOSE(CONTROL!$C$15, $E$9, 100%, $G$9) + CHOOSE(CONTROL!$C$38, 0.0357, 0)</f>
        <v>23.206199999999999</v>
      </c>
      <c r="E224" s="28">
        <f>25.0629 * CHOOSE(CONTROL!$C$15, $E$9, 100%, $G$9) + CHOOSE(CONTROL!$C$38, 0.0357, 0)</f>
        <v>25.098599999999998</v>
      </c>
      <c r="F224" s="27">
        <f>25.0629 * CHOOSE(CONTROL!$C$15, $E$9, 100%, $G$9) + CHOOSE(CONTROL!$C$38, 0.0266, 0)</f>
        <v>25.089499999999997</v>
      </c>
      <c r="G224" s="10">
        <f>23.1767 * CHOOSE(CONTROL!$C$15, $E$9, 100%, $G$9) + CHOOSE(CONTROL!$C$38, 0.0357, 0)</f>
        <v>23.212399999999999</v>
      </c>
      <c r="H224" s="10">
        <f>23.1767 * CHOOSE(CONTROL!$C$15, $E$9, 100%, $G$9) + CHOOSE(CONTROL!$C$38, 0.0357, 0)</f>
        <v>23.212399999999999</v>
      </c>
      <c r="I224" s="10">
        <f>23.1783 * CHOOSE(CONTROL!$C$15, $E$9, 100%, $G$9) + CHOOSE(CONTROL!$C$38, 0.0357, 0)</f>
        <v>23.213999999999999</v>
      </c>
      <c r="J224" s="26">
        <f>162.8833</f>
        <v>162.88329999999999</v>
      </c>
    </row>
    <row r="225" spans="1:10" ht="15">
      <c r="A225" s="16">
        <v>48122</v>
      </c>
      <c r="B225" s="10">
        <f>25.451 * CHOOSE(CONTROL!$C$15, $E$9, 100%, $G$9) + CHOOSE(CONTROL!$C$38, 0.0266, 0)</f>
        <v>25.477599999999999</v>
      </c>
      <c r="C225" s="10">
        <f>23.4101 * CHOOSE(CONTROL!$C$15, $E$9, 100%, $G$9) + CHOOSE(CONTROL!$C$38, 0.0357, 0)</f>
        <v>23.445799999999998</v>
      </c>
      <c r="D225" s="10">
        <f>23.4023 * CHOOSE(CONTROL!$C$15, $E$9, 100%, $G$9) + CHOOSE(CONTROL!$C$38, 0.0357, 0)</f>
        <v>23.437999999999999</v>
      </c>
      <c r="E225" s="28">
        <f>25.2948 * CHOOSE(CONTROL!$C$15, $E$9, 100%, $G$9) + CHOOSE(CONTROL!$C$38, 0.0357, 0)</f>
        <v>25.330499999999997</v>
      </c>
      <c r="F225" s="27">
        <f>25.2948 * CHOOSE(CONTROL!$C$15, $E$9, 100%, $G$9) + CHOOSE(CONTROL!$C$38, 0.0266, 0)</f>
        <v>25.321399999999997</v>
      </c>
      <c r="G225" s="10">
        <f>23.4086 * CHOOSE(CONTROL!$C$15, $E$9, 100%, $G$9) + CHOOSE(CONTROL!$C$38, 0.0357, 0)</f>
        <v>23.444299999999998</v>
      </c>
      <c r="H225" s="10">
        <f>23.4086 * CHOOSE(CONTROL!$C$15, $E$9, 100%, $G$9) + CHOOSE(CONTROL!$C$38, 0.0357, 0)</f>
        <v>23.444299999999998</v>
      </c>
      <c r="I225" s="10">
        <f>23.4101 * CHOOSE(CONTROL!$C$15, $E$9, 100%, $G$9) + CHOOSE(CONTROL!$C$38, 0.0357, 0)</f>
        <v>23.445799999999998</v>
      </c>
      <c r="J225" s="26">
        <f>157.2506</f>
        <v>157.25059999999999</v>
      </c>
    </row>
    <row r="226" spans="1:10" ht="15">
      <c r="A226" s="16">
        <v>48153</v>
      </c>
      <c r="B226" s="10">
        <f>25.6444 * CHOOSE(CONTROL!$C$15, $E$9, 100%, $G$9) + CHOOSE(CONTROL!$C$38, 0.0266, 0)</f>
        <v>25.670999999999999</v>
      </c>
      <c r="C226" s="10">
        <f>23.6036 * CHOOSE(CONTROL!$C$15, $E$9, 100%, $G$9) + CHOOSE(CONTROL!$C$38, 0.0357, 0)</f>
        <v>23.639299999999999</v>
      </c>
      <c r="D226" s="10">
        <f>23.5958 * CHOOSE(CONTROL!$C$15, $E$9, 100%, $G$9) + CHOOSE(CONTROL!$C$38, 0.0357, 0)</f>
        <v>23.631499999999999</v>
      </c>
      <c r="E226" s="28">
        <f>25.4882 * CHOOSE(CONTROL!$C$15, $E$9, 100%, $G$9) + CHOOSE(CONTROL!$C$38, 0.0357, 0)</f>
        <v>25.523899999999998</v>
      </c>
      <c r="F226" s="27">
        <f>25.4882 * CHOOSE(CONTROL!$C$15, $E$9, 100%, $G$9) + CHOOSE(CONTROL!$C$38, 0.0266, 0)</f>
        <v>25.514799999999997</v>
      </c>
      <c r="G226" s="10">
        <f>23.602 * CHOOSE(CONTROL!$C$15, $E$9, 100%, $G$9) + CHOOSE(CONTROL!$C$38, 0.0357, 0)</f>
        <v>23.637699999999999</v>
      </c>
      <c r="H226" s="10">
        <f>23.602 * CHOOSE(CONTROL!$C$15, $E$9, 100%, $G$9) + CHOOSE(CONTROL!$C$38, 0.0357, 0)</f>
        <v>23.637699999999999</v>
      </c>
      <c r="I226" s="10">
        <f>23.6036 * CHOOSE(CONTROL!$C$15, $E$9, 100%, $G$9) + CHOOSE(CONTROL!$C$38, 0.0357, 0)</f>
        <v>23.639299999999999</v>
      </c>
      <c r="J226" s="26">
        <f>156.1302</f>
        <v>156.1302</v>
      </c>
    </row>
    <row r="227" spans="1:10" ht="15">
      <c r="A227" s="16">
        <v>48183</v>
      </c>
      <c r="B227" s="10">
        <f>26.2405 * CHOOSE(CONTROL!$C$15, $E$9, 100%, $G$9) + CHOOSE(CONTROL!$C$38, 0.0266, 0)</f>
        <v>26.267099999999999</v>
      </c>
      <c r="C227" s="10">
        <f>24.1996 * CHOOSE(CONTROL!$C$15, $E$9, 100%, $G$9) + CHOOSE(CONTROL!$C$38, 0.0357, 0)</f>
        <v>24.235299999999999</v>
      </c>
      <c r="D227" s="10">
        <f>24.1918 * CHOOSE(CONTROL!$C$15, $E$9, 100%, $G$9) + CHOOSE(CONTROL!$C$38, 0.0357, 0)</f>
        <v>24.227499999999999</v>
      </c>
      <c r="E227" s="28">
        <f>26.0843 * CHOOSE(CONTROL!$C$15, $E$9, 100%, $G$9) + CHOOSE(CONTROL!$C$38, 0.0357, 0)</f>
        <v>26.119999999999997</v>
      </c>
      <c r="F227" s="27">
        <f>26.0843 * CHOOSE(CONTROL!$C$15, $E$9, 100%, $G$9) + CHOOSE(CONTROL!$C$38, 0.0266, 0)</f>
        <v>26.110899999999997</v>
      </c>
      <c r="G227" s="10">
        <f>24.1981 * CHOOSE(CONTROL!$C$15, $E$9, 100%, $G$9) + CHOOSE(CONTROL!$C$38, 0.0357, 0)</f>
        <v>24.233799999999999</v>
      </c>
      <c r="H227" s="10">
        <f>24.1981 * CHOOSE(CONTROL!$C$15, $E$9, 100%, $G$9) + CHOOSE(CONTROL!$C$38, 0.0357, 0)</f>
        <v>24.233799999999999</v>
      </c>
      <c r="I227" s="10">
        <f>24.1996 * CHOOSE(CONTROL!$C$15, $E$9, 100%, $G$9) + CHOOSE(CONTROL!$C$38, 0.0357, 0)</f>
        <v>24.235299999999999</v>
      </c>
      <c r="J227" s="26">
        <f>151.497</f>
        <v>151.49700000000001</v>
      </c>
    </row>
    <row r="228" spans="1:10" ht="15">
      <c r="A228" s="16">
        <v>48214</v>
      </c>
      <c r="B228" s="10">
        <f>27.1541 * CHOOSE(CONTROL!$C$15, $E$9, 100%, $G$9) + CHOOSE(CONTROL!$C$38, 0.0266, 0)</f>
        <v>27.180699999999998</v>
      </c>
      <c r="C228" s="10">
        <f>25.0799 * CHOOSE(CONTROL!$C$15, $E$9, 100%, $G$9) + CHOOSE(CONTROL!$C$38, 0.0357, 0)</f>
        <v>25.115599999999997</v>
      </c>
      <c r="D228" s="10">
        <f>25.0721 * CHOOSE(CONTROL!$C$15, $E$9, 100%, $G$9) + CHOOSE(CONTROL!$C$38, 0.0357, 0)</f>
        <v>25.107799999999997</v>
      </c>
      <c r="E228" s="28">
        <f>26.9978 * CHOOSE(CONTROL!$C$15, $E$9, 100%, $G$9) + CHOOSE(CONTROL!$C$38, 0.0357, 0)</f>
        <v>27.0335</v>
      </c>
      <c r="F228" s="27">
        <f>26.9978 * CHOOSE(CONTROL!$C$15, $E$9, 100%, $G$9) + CHOOSE(CONTROL!$C$38, 0.0266, 0)</f>
        <v>27.0244</v>
      </c>
      <c r="G228" s="10">
        <f>25.0783 * CHOOSE(CONTROL!$C$15, $E$9, 100%, $G$9) + CHOOSE(CONTROL!$C$38, 0.0357, 0)</f>
        <v>25.113999999999997</v>
      </c>
      <c r="H228" s="10">
        <f>25.0783 * CHOOSE(CONTROL!$C$15, $E$9, 100%, $G$9) + CHOOSE(CONTROL!$C$38, 0.0357, 0)</f>
        <v>25.113999999999997</v>
      </c>
      <c r="I228" s="10">
        <f>25.0799 * CHOOSE(CONTROL!$C$15, $E$9, 100%, $G$9) + CHOOSE(CONTROL!$C$38, 0.0357, 0)</f>
        <v>25.115599999999997</v>
      </c>
      <c r="J228" s="26">
        <f>150.4822</f>
        <v>150.48220000000001</v>
      </c>
    </row>
    <row r="229" spans="1:10" ht="15">
      <c r="A229" s="16">
        <v>48245</v>
      </c>
      <c r="B229" s="10">
        <f>27.3749 * CHOOSE(CONTROL!$C$15, $E$9, 100%, $G$9) + CHOOSE(CONTROL!$C$38, 0.0266, 0)</f>
        <v>27.401499999999999</v>
      </c>
      <c r="C229" s="10">
        <f>25.3007 * CHOOSE(CONTROL!$C$15, $E$9, 100%, $G$9) + CHOOSE(CONTROL!$C$38, 0.0357, 0)</f>
        <v>25.336399999999998</v>
      </c>
      <c r="D229" s="10">
        <f>25.2929 * CHOOSE(CONTROL!$C$15, $E$9, 100%, $G$9) + CHOOSE(CONTROL!$C$38, 0.0357, 0)</f>
        <v>25.328599999999998</v>
      </c>
      <c r="E229" s="28">
        <f>27.2186 * CHOOSE(CONTROL!$C$15, $E$9, 100%, $G$9) + CHOOSE(CONTROL!$C$38, 0.0357, 0)</f>
        <v>27.254299999999997</v>
      </c>
      <c r="F229" s="27">
        <f>27.2186 * CHOOSE(CONTROL!$C$15, $E$9, 100%, $G$9) + CHOOSE(CONTROL!$C$38, 0.0266, 0)</f>
        <v>27.245199999999997</v>
      </c>
      <c r="G229" s="10">
        <f>25.2991 * CHOOSE(CONTROL!$C$15, $E$9, 100%, $G$9) + CHOOSE(CONTROL!$C$38, 0.0357, 0)</f>
        <v>25.334799999999998</v>
      </c>
      <c r="H229" s="10">
        <f>25.2991 * CHOOSE(CONTROL!$C$15, $E$9, 100%, $G$9) + CHOOSE(CONTROL!$C$38, 0.0357, 0)</f>
        <v>25.334799999999998</v>
      </c>
      <c r="I229" s="10">
        <f>25.3007 * CHOOSE(CONTROL!$C$15, $E$9, 100%, $G$9) + CHOOSE(CONTROL!$C$38, 0.0357, 0)</f>
        <v>25.336399999999998</v>
      </c>
      <c r="J229" s="26">
        <f>150.0639</f>
        <v>150.06389999999999</v>
      </c>
    </row>
    <row r="230" spans="1:10" ht="15">
      <c r="A230" s="16">
        <v>48274</v>
      </c>
      <c r="B230" s="10">
        <f>26.8638 * CHOOSE(CONTROL!$C$15, $E$9, 100%, $G$9) + CHOOSE(CONTROL!$C$38, 0.0266, 0)</f>
        <v>26.8904</v>
      </c>
      <c r="C230" s="10">
        <f>24.7896 * CHOOSE(CONTROL!$C$15, $E$9, 100%, $G$9) + CHOOSE(CONTROL!$C$38, 0.0357, 0)</f>
        <v>24.825299999999999</v>
      </c>
      <c r="D230" s="10">
        <f>24.7818 * CHOOSE(CONTROL!$C$15, $E$9, 100%, $G$9) + CHOOSE(CONTROL!$C$38, 0.0357, 0)</f>
        <v>24.817499999999999</v>
      </c>
      <c r="E230" s="28">
        <f>26.7076 * CHOOSE(CONTROL!$C$15, $E$9, 100%, $G$9) + CHOOSE(CONTROL!$C$38, 0.0357, 0)</f>
        <v>26.743299999999998</v>
      </c>
      <c r="F230" s="27">
        <f>26.7076 * CHOOSE(CONTROL!$C$15, $E$9, 100%, $G$9) + CHOOSE(CONTROL!$C$38, 0.0266, 0)</f>
        <v>26.734199999999998</v>
      </c>
      <c r="G230" s="10">
        <f>24.7881 * CHOOSE(CONTROL!$C$15, $E$9, 100%, $G$9) + CHOOSE(CONTROL!$C$38, 0.0357, 0)</f>
        <v>24.823799999999999</v>
      </c>
      <c r="H230" s="10">
        <f>24.7881 * CHOOSE(CONTROL!$C$15, $E$9, 100%, $G$9) + CHOOSE(CONTROL!$C$38, 0.0357, 0)</f>
        <v>24.823799999999999</v>
      </c>
      <c r="I230" s="10">
        <f>24.7896 * CHOOSE(CONTROL!$C$15, $E$9, 100%, $G$9) + CHOOSE(CONTROL!$C$38, 0.0357, 0)</f>
        <v>24.825299999999999</v>
      </c>
      <c r="J230" s="26">
        <f>157.9732</f>
        <v>157.97319999999999</v>
      </c>
    </row>
    <row r="231" spans="1:10" ht="15">
      <c r="A231" s="16">
        <v>48305</v>
      </c>
      <c r="B231" s="10">
        <f>26.3686 * CHOOSE(CONTROL!$C$15, $E$9, 100%, $G$9) + CHOOSE(CONTROL!$C$38, 0.0266, 0)</f>
        <v>26.395199999999999</v>
      </c>
      <c r="C231" s="10">
        <f>24.2945 * CHOOSE(CONTROL!$C$15, $E$9, 100%, $G$9) + CHOOSE(CONTROL!$C$38, 0.0357, 0)</f>
        <v>24.330199999999998</v>
      </c>
      <c r="D231" s="10">
        <f>24.2866 * CHOOSE(CONTROL!$C$15, $E$9, 100%, $G$9) + CHOOSE(CONTROL!$C$38, 0.0357, 0)</f>
        <v>24.322299999999998</v>
      </c>
      <c r="E231" s="28">
        <f>26.2124 * CHOOSE(CONTROL!$C$15, $E$9, 100%, $G$9) + CHOOSE(CONTROL!$C$38, 0.0357, 0)</f>
        <v>26.248099999999997</v>
      </c>
      <c r="F231" s="27">
        <f>26.2124 * CHOOSE(CONTROL!$C$15, $E$9, 100%, $G$9) + CHOOSE(CONTROL!$C$38, 0.0266, 0)</f>
        <v>26.238999999999997</v>
      </c>
      <c r="G231" s="10">
        <f>24.2929 * CHOOSE(CONTROL!$C$15, $E$9, 100%, $G$9) + CHOOSE(CONTROL!$C$38, 0.0357, 0)</f>
        <v>24.328599999999998</v>
      </c>
      <c r="H231" s="10">
        <f>24.2929 * CHOOSE(CONTROL!$C$15, $E$9, 100%, $G$9) + CHOOSE(CONTROL!$C$38, 0.0357, 0)</f>
        <v>24.328599999999998</v>
      </c>
      <c r="I231" s="10">
        <f>24.2945 * CHOOSE(CONTROL!$C$15, $E$9, 100%, $G$9) + CHOOSE(CONTROL!$C$38, 0.0357, 0)</f>
        <v>24.330199999999998</v>
      </c>
      <c r="J231" s="26">
        <f>168.2296</f>
        <v>168.2296</v>
      </c>
    </row>
    <row r="232" spans="1:10" ht="15">
      <c r="A232" s="16">
        <v>48335</v>
      </c>
      <c r="B232" s="10">
        <f>25.8525 * CHOOSE(CONTROL!$C$15, $E$9, 100%, $G$9) + CHOOSE(CONTROL!$C$38, 0.0266, 0)</f>
        <v>25.879099999999998</v>
      </c>
      <c r="C232" s="10">
        <f>23.7783 * CHOOSE(CONTROL!$C$15, $E$9, 100%, $G$9) + CHOOSE(CONTROL!$C$38, 0.0357, 0)</f>
        <v>23.814</v>
      </c>
      <c r="D232" s="10">
        <f>23.7705 * CHOOSE(CONTROL!$C$15, $E$9, 100%, $G$9) + CHOOSE(CONTROL!$C$38, 0.0357, 0)</f>
        <v>23.806199999999997</v>
      </c>
      <c r="E232" s="28">
        <f>25.6963 * CHOOSE(CONTROL!$C$15, $E$9, 100%, $G$9) + CHOOSE(CONTROL!$C$38, 0.0357, 0)</f>
        <v>25.731999999999999</v>
      </c>
      <c r="F232" s="27">
        <f>25.6963 * CHOOSE(CONTROL!$C$15, $E$9, 100%, $G$9) + CHOOSE(CONTROL!$C$38, 0.0266, 0)</f>
        <v>25.722899999999999</v>
      </c>
      <c r="G232" s="10">
        <f>23.7768 * CHOOSE(CONTROL!$C$15, $E$9, 100%, $G$9) + CHOOSE(CONTROL!$C$38, 0.0357, 0)</f>
        <v>23.8125</v>
      </c>
      <c r="H232" s="10">
        <f>23.7768 * CHOOSE(CONTROL!$C$15, $E$9, 100%, $G$9) + CHOOSE(CONTROL!$C$38, 0.0357, 0)</f>
        <v>23.8125</v>
      </c>
      <c r="I232" s="10">
        <f>23.7783 * CHOOSE(CONTROL!$C$15, $E$9, 100%, $G$9) + CHOOSE(CONTROL!$C$38, 0.0357, 0)</f>
        <v>23.814</v>
      </c>
      <c r="J232" s="26">
        <f>173.875</f>
        <v>173.875</v>
      </c>
    </row>
    <row r="233" spans="1:10" ht="15">
      <c r="A233" s="16">
        <v>48366</v>
      </c>
      <c r="B233" s="10">
        <f>25.4907 * CHOOSE(CONTROL!$C$15, $E$9, 100%, $G$9) + CHOOSE(CONTROL!$C$38, 0.0266, 0)</f>
        <v>25.517299999999999</v>
      </c>
      <c r="C233" s="10">
        <f>23.4165 * CHOOSE(CONTROL!$C$15, $E$9, 100%, $G$9) + CHOOSE(CONTROL!$C$38, 0.0357, 0)</f>
        <v>23.452199999999998</v>
      </c>
      <c r="D233" s="10">
        <f>23.4087 * CHOOSE(CONTROL!$C$15, $E$9, 100%, $G$9) + CHOOSE(CONTROL!$C$38, 0.0357, 0)</f>
        <v>23.444399999999998</v>
      </c>
      <c r="E233" s="28">
        <f>25.3344 * CHOOSE(CONTROL!$C$15, $E$9, 100%, $G$9) + CHOOSE(CONTROL!$C$38, 0.0357, 0)</f>
        <v>25.370099999999997</v>
      </c>
      <c r="F233" s="27">
        <f>25.3344 * CHOOSE(CONTROL!$C$15, $E$9, 100%, $G$9) + CHOOSE(CONTROL!$C$38, 0.0266, 0)</f>
        <v>25.360999999999997</v>
      </c>
      <c r="G233" s="10">
        <f>23.415 * CHOOSE(CONTROL!$C$15, $E$9, 100%, $G$9) + CHOOSE(CONTROL!$C$38, 0.0357, 0)</f>
        <v>23.450699999999998</v>
      </c>
      <c r="H233" s="10">
        <f>23.415 * CHOOSE(CONTROL!$C$15, $E$9, 100%, $G$9) + CHOOSE(CONTROL!$C$38, 0.0357, 0)</f>
        <v>23.450699999999998</v>
      </c>
      <c r="I233" s="10">
        <f>23.4165 * CHOOSE(CONTROL!$C$15, $E$9, 100%, $G$9) + CHOOSE(CONTROL!$C$38, 0.0357, 0)</f>
        <v>23.452199999999998</v>
      </c>
      <c r="J233" s="26">
        <f>176.3804</f>
        <v>176.38040000000001</v>
      </c>
    </row>
    <row r="234" spans="1:10" ht="15">
      <c r="A234" s="16">
        <v>48396</v>
      </c>
      <c r="B234" s="10">
        <f>25.2842 * CHOOSE(CONTROL!$C$15, $E$9, 100%, $G$9) + CHOOSE(CONTROL!$C$38, 0.0266, 0)</f>
        <v>25.310799999999997</v>
      </c>
      <c r="C234" s="10">
        <f>23.21 * CHOOSE(CONTROL!$C$15, $E$9, 100%, $G$9) + CHOOSE(CONTROL!$C$38, 0.0357, 0)</f>
        <v>23.245699999999999</v>
      </c>
      <c r="D234" s="10">
        <f>23.2022 * CHOOSE(CONTROL!$C$15, $E$9, 100%, $G$9) + CHOOSE(CONTROL!$C$38, 0.0357, 0)</f>
        <v>23.2379</v>
      </c>
      <c r="E234" s="28">
        <f>25.128 * CHOOSE(CONTROL!$C$15, $E$9, 100%, $G$9) + CHOOSE(CONTROL!$C$38, 0.0357, 0)</f>
        <v>25.163699999999999</v>
      </c>
      <c r="F234" s="27">
        <f>25.128 * CHOOSE(CONTROL!$C$15, $E$9, 100%, $G$9) + CHOOSE(CONTROL!$C$38, 0.0266, 0)</f>
        <v>25.154599999999999</v>
      </c>
      <c r="G234" s="10">
        <f>23.2085 * CHOOSE(CONTROL!$C$15, $E$9, 100%, $G$9) + CHOOSE(CONTROL!$C$38, 0.0357, 0)</f>
        <v>23.244199999999999</v>
      </c>
      <c r="H234" s="10">
        <f>23.2085 * CHOOSE(CONTROL!$C$15, $E$9, 100%, $G$9) + CHOOSE(CONTROL!$C$38, 0.0357, 0)</f>
        <v>23.244199999999999</v>
      </c>
      <c r="I234" s="10">
        <f>23.21 * CHOOSE(CONTROL!$C$15, $E$9, 100%, $G$9) + CHOOSE(CONTROL!$C$38, 0.0357, 0)</f>
        <v>23.245699999999999</v>
      </c>
      <c r="J234" s="26">
        <f>175.5555</f>
        <v>175.55549999999999</v>
      </c>
    </row>
    <row r="235" spans="1:10" ht="15">
      <c r="A235" s="16">
        <v>48427</v>
      </c>
      <c r="B235" s="10">
        <f>25.3861 * CHOOSE(CONTROL!$C$15, $E$9, 100%, $G$9) + CHOOSE(CONTROL!$C$38, 0.0266, 0)</f>
        <v>25.412699999999997</v>
      </c>
      <c r="C235" s="10">
        <f>23.3119 * CHOOSE(CONTROL!$C$15, $E$9, 100%, $G$9) + CHOOSE(CONTROL!$C$38, 0.0357, 0)</f>
        <v>23.3476</v>
      </c>
      <c r="D235" s="10">
        <f>23.3041 * CHOOSE(CONTROL!$C$15, $E$9, 100%, $G$9) + CHOOSE(CONTROL!$C$38, 0.0357, 0)</f>
        <v>23.339799999999997</v>
      </c>
      <c r="E235" s="28">
        <f>25.2299 * CHOOSE(CONTROL!$C$15, $E$9, 100%, $G$9) + CHOOSE(CONTROL!$C$38, 0.0357, 0)</f>
        <v>25.265599999999999</v>
      </c>
      <c r="F235" s="27">
        <f>25.2299 * CHOOSE(CONTROL!$C$15, $E$9, 100%, $G$9) + CHOOSE(CONTROL!$C$38, 0.0266, 0)</f>
        <v>25.256499999999999</v>
      </c>
      <c r="G235" s="10">
        <f>23.3104 * CHOOSE(CONTROL!$C$15, $E$9, 100%, $G$9) + CHOOSE(CONTROL!$C$38, 0.0357, 0)</f>
        <v>23.3461</v>
      </c>
      <c r="H235" s="10">
        <f>23.3104 * CHOOSE(CONTROL!$C$15, $E$9, 100%, $G$9) + CHOOSE(CONTROL!$C$38, 0.0357, 0)</f>
        <v>23.3461</v>
      </c>
      <c r="I235" s="10">
        <f>23.3119 * CHOOSE(CONTROL!$C$15, $E$9, 100%, $G$9) + CHOOSE(CONTROL!$C$38, 0.0357, 0)</f>
        <v>23.3476</v>
      </c>
      <c r="J235" s="26">
        <f>171.4686</f>
        <v>171.46860000000001</v>
      </c>
    </row>
    <row r="236" spans="1:10" ht="15">
      <c r="A236" s="16">
        <v>48458</v>
      </c>
      <c r="B236" s="10">
        <f>25.6629 * CHOOSE(CONTROL!$C$15, $E$9, 100%, $G$9) + CHOOSE(CONTROL!$C$38, 0.0266, 0)</f>
        <v>25.689499999999999</v>
      </c>
      <c r="C236" s="10">
        <f>23.5887 * CHOOSE(CONTROL!$C$15, $E$9, 100%, $G$9) + CHOOSE(CONTROL!$C$38, 0.0357, 0)</f>
        <v>23.624399999999998</v>
      </c>
      <c r="D236" s="10">
        <f>23.5809 * CHOOSE(CONTROL!$C$15, $E$9, 100%, $G$9) + CHOOSE(CONTROL!$C$38, 0.0357, 0)</f>
        <v>23.616599999999998</v>
      </c>
      <c r="E236" s="28">
        <f>25.5067 * CHOOSE(CONTROL!$C$15, $E$9, 100%, $G$9) + CHOOSE(CONTROL!$C$38, 0.0357, 0)</f>
        <v>25.542399999999997</v>
      </c>
      <c r="F236" s="27">
        <f>25.5067 * CHOOSE(CONTROL!$C$15, $E$9, 100%, $G$9) + CHOOSE(CONTROL!$C$38, 0.0266, 0)</f>
        <v>25.533299999999997</v>
      </c>
      <c r="G236" s="10">
        <f>23.5872 * CHOOSE(CONTROL!$C$15, $E$9, 100%, $G$9) + CHOOSE(CONTROL!$C$38, 0.0357, 0)</f>
        <v>23.622899999999998</v>
      </c>
      <c r="H236" s="10">
        <f>23.5872 * CHOOSE(CONTROL!$C$15, $E$9, 100%, $G$9) + CHOOSE(CONTROL!$C$38, 0.0357, 0)</f>
        <v>23.622899999999998</v>
      </c>
      <c r="I236" s="10">
        <f>23.5887 * CHOOSE(CONTROL!$C$15, $E$9, 100%, $G$9) + CHOOSE(CONTROL!$C$38, 0.0357, 0)</f>
        <v>23.624399999999998</v>
      </c>
      <c r="J236" s="26">
        <f>165.7693</f>
        <v>165.76929999999999</v>
      </c>
    </row>
    <row r="237" spans="1:10" ht="15">
      <c r="A237" s="16">
        <v>48488</v>
      </c>
      <c r="B237" s="10">
        <f>25.8947 * CHOOSE(CONTROL!$C$15, $E$9, 100%, $G$9) + CHOOSE(CONTROL!$C$38, 0.0266, 0)</f>
        <v>25.921299999999999</v>
      </c>
      <c r="C237" s="10">
        <f>23.8206 * CHOOSE(CONTROL!$C$15, $E$9, 100%, $G$9) + CHOOSE(CONTROL!$C$38, 0.0357, 0)</f>
        <v>23.856299999999997</v>
      </c>
      <c r="D237" s="10">
        <f>23.8127 * CHOOSE(CONTROL!$C$15, $E$9, 100%, $G$9) + CHOOSE(CONTROL!$C$38, 0.0357, 0)</f>
        <v>23.848399999999998</v>
      </c>
      <c r="E237" s="28">
        <f>25.7385 * CHOOSE(CONTROL!$C$15, $E$9, 100%, $G$9) + CHOOSE(CONTROL!$C$38, 0.0357, 0)</f>
        <v>25.774199999999997</v>
      </c>
      <c r="F237" s="27">
        <f>25.7385 * CHOOSE(CONTROL!$C$15, $E$9, 100%, $G$9) + CHOOSE(CONTROL!$C$38, 0.0266, 0)</f>
        <v>25.765099999999997</v>
      </c>
      <c r="G237" s="10">
        <f>23.819 * CHOOSE(CONTROL!$C$15, $E$9, 100%, $G$9) + CHOOSE(CONTROL!$C$38, 0.0357, 0)</f>
        <v>23.854699999999998</v>
      </c>
      <c r="H237" s="10">
        <f>23.819 * CHOOSE(CONTROL!$C$15, $E$9, 100%, $G$9) + CHOOSE(CONTROL!$C$38, 0.0357, 0)</f>
        <v>23.854699999999998</v>
      </c>
      <c r="I237" s="10">
        <f>23.8206 * CHOOSE(CONTROL!$C$15, $E$9, 100%, $G$9) + CHOOSE(CONTROL!$C$38, 0.0357, 0)</f>
        <v>23.856299999999997</v>
      </c>
      <c r="J237" s="26">
        <f>160.0368</f>
        <v>160.0368</v>
      </c>
    </row>
    <row r="238" spans="1:10" ht="15">
      <c r="A238" s="16">
        <v>48519</v>
      </c>
      <c r="B238" s="10">
        <f>26.0882 * CHOOSE(CONTROL!$C$15, $E$9, 100%, $G$9) + CHOOSE(CONTROL!$C$38, 0.0266, 0)</f>
        <v>26.114799999999999</v>
      </c>
      <c r="C238" s="10">
        <f>24.014 * CHOOSE(CONTROL!$C$15, $E$9, 100%, $G$9) + CHOOSE(CONTROL!$C$38, 0.0357, 0)</f>
        <v>24.049699999999998</v>
      </c>
      <c r="D238" s="10">
        <f>24.0062 * CHOOSE(CONTROL!$C$15, $E$9, 100%, $G$9) + CHOOSE(CONTROL!$C$38, 0.0357, 0)</f>
        <v>24.041899999999998</v>
      </c>
      <c r="E238" s="28">
        <f>25.9319 * CHOOSE(CONTROL!$C$15, $E$9, 100%, $G$9) + CHOOSE(CONTROL!$C$38, 0.0357, 0)</f>
        <v>25.967599999999997</v>
      </c>
      <c r="F238" s="27">
        <f>25.9319 * CHOOSE(CONTROL!$C$15, $E$9, 100%, $G$9) + CHOOSE(CONTROL!$C$38, 0.0266, 0)</f>
        <v>25.958499999999997</v>
      </c>
      <c r="G238" s="10">
        <f>24.0124 * CHOOSE(CONTROL!$C$15, $E$9, 100%, $G$9) + CHOOSE(CONTROL!$C$38, 0.0357, 0)</f>
        <v>24.048099999999998</v>
      </c>
      <c r="H238" s="10">
        <f>24.0124 * CHOOSE(CONTROL!$C$15, $E$9, 100%, $G$9) + CHOOSE(CONTROL!$C$38, 0.0357, 0)</f>
        <v>24.048099999999998</v>
      </c>
      <c r="I238" s="10">
        <f>24.014 * CHOOSE(CONTROL!$C$15, $E$9, 100%, $G$9) + CHOOSE(CONTROL!$C$38, 0.0357, 0)</f>
        <v>24.049699999999998</v>
      </c>
      <c r="J238" s="26">
        <f>158.8965</f>
        <v>158.8965</v>
      </c>
    </row>
    <row r="239" spans="1:10" ht="15">
      <c r="A239" s="16">
        <v>48549</v>
      </c>
      <c r="B239" s="10">
        <f>26.6842 * CHOOSE(CONTROL!$C$15, $E$9, 100%, $G$9) + CHOOSE(CONTROL!$C$38, 0.0266, 0)</f>
        <v>26.710799999999999</v>
      </c>
      <c r="C239" s="10">
        <f>24.6101 * CHOOSE(CONTROL!$C$15, $E$9, 100%, $G$9) + CHOOSE(CONTROL!$C$38, 0.0357, 0)</f>
        <v>24.645799999999998</v>
      </c>
      <c r="D239" s="10">
        <f>24.6023 * CHOOSE(CONTROL!$C$15, $E$9, 100%, $G$9) + CHOOSE(CONTROL!$C$38, 0.0357, 0)</f>
        <v>24.637999999999998</v>
      </c>
      <c r="E239" s="28">
        <f>26.528 * CHOOSE(CONTROL!$C$15, $E$9, 100%, $G$9) + CHOOSE(CONTROL!$C$38, 0.0357, 0)</f>
        <v>26.563699999999997</v>
      </c>
      <c r="F239" s="27">
        <f>26.528 * CHOOSE(CONTROL!$C$15, $E$9, 100%, $G$9) + CHOOSE(CONTROL!$C$38, 0.0266, 0)</f>
        <v>26.554599999999997</v>
      </c>
      <c r="G239" s="10">
        <f>24.6085 * CHOOSE(CONTROL!$C$15, $E$9, 100%, $G$9) + CHOOSE(CONTROL!$C$38, 0.0357, 0)</f>
        <v>24.644199999999998</v>
      </c>
      <c r="H239" s="10">
        <f>24.6085 * CHOOSE(CONTROL!$C$15, $E$9, 100%, $G$9) + CHOOSE(CONTROL!$C$38, 0.0357, 0)</f>
        <v>24.644199999999998</v>
      </c>
      <c r="I239" s="10">
        <f>24.6101 * CHOOSE(CONTROL!$C$15, $E$9, 100%, $G$9) + CHOOSE(CONTROL!$C$38, 0.0357, 0)</f>
        <v>24.645799999999998</v>
      </c>
      <c r="J239" s="26">
        <f>154.1813</f>
        <v>154.18129999999999</v>
      </c>
    </row>
    <row r="240" spans="1:10" ht="15">
      <c r="A240" s="16">
        <v>48580</v>
      </c>
      <c r="B240" s="10">
        <f>27.6057 * CHOOSE(CONTROL!$C$15, $E$9, 100%, $G$9) + CHOOSE(CONTROL!$C$38, 0.0266, 0)</f>
        <v>27.632299999999997</v>
      </c>
      <c r="C240" s="10">
        <f>25.4976 * CHOOSE(CONTROL!$C$15, $E$9, 100%, $G$9) + CHOOSE(CONTROL!$C$38, 0.0357, 0)</f>
        <v>25.533299999999997</v>
      </c>
      <c r="D240" s="10">
        <f>25.4898 * CHOOSE(CONTROL!$C$15, $E$9, 100%, $G$9) + CHOOSE(CONTROL!$C$38, 0.0357, 0)</f>
        <v>25.525499999999997</v>
      </c>
      <c r="E240" s="28">
        <f>27.4494 * CHOOSE(CONTROL!$C$15, $E$9, 100%, $G$9) + CHOOSE(CONTROL!$C$38, 0.0357, 0)</f>
        <v>27.485099999999999</v>
      </c>
      <c r="F240" s="27">
        <f>27.4494 * CHOOSE(CONTROL!$C$15, $E$9, 100%, $G$9) + CHOOSE(CONTROL!$C$38, 0.0266, 0)</f>
        <v>27.475999999999999</v>
      </c>
      <c r="G240" s="10">
        <f>25.496 * CHOOSE(CONTROL!$C$15, $E$9, 100%, $G$9) + CHOOSE(CONTROL!$C$38, 0.0357, 0)</f>
        <v>25.531699999999997</v>
      </c>
      <c r="H240" s="10">
        <f>25.496 * CHOOSE(CONTROL!$C$15, $E$9, 100%, $G$9) + CHOOSE(CONTROL!$C$38, 0.0357, 0)</f>
        <v>25.531699999999997</v>
      </c>
      <c r="I240" s="10">
        <f>25.4976 * CHOOSE(CONTROL!$C$15, $E$9, 100%, $G$9) + CHOOSE(CONTROL!$C$38, 0.0357, 0)</f>
        <v>25.533299999999997</v>
      </c>
      <c r="J240" s="26">
        <f>153.1485</f>
        <v>153.14850000000001</v>
      </c>
    </row>
    <row r="241" spans="1:10" ht="15">
      <c r="A241" s="16">
        <v>48611</v>
      </c>
      <c r="B241" s="10">
        <f>27.8264 * CHOOSE(CONTROL!$C$15, $E$9, 100%, $G$9) + CHOOSE(CONTROL!$C$38, 0.0266, 0)</f>
        <v>27.852999999999998</v>
      </c>
      <c r="C241" s="10">
        <f>25.7184 * CHOOSE(CONTROL!$C$15, $E$9, 100%, $G$9) + CHOOSE(CONTROL!$C$38, 0.0357, 0)</f>
        <v>25.754099999999998</v>
      </c>
      <c r="D241" s="10">
        <f>25.7105 * CHOOSE(CONTROL!$C$15, $E$9, 100%, $G$9) + CHOOSE(CONTROL!$C$38, 0.0357, 0)</f>
        <v>25.746199999999998</v>
      </c>
      <c r="E241" s="28">
        <f>27.6702 * CHOOSE(CONTROL!$C$15, $E$9, 100%, $G$9) + CHOOSE(CONTROL!$C$38, 0.0357, 0)</f>
        <v>27.7059</v>
      </c>
      <c r="F241" s="27">
        <f>27.6702 * CHOOSE(CONTROL!$C$15, $E$9, 100%, $G$9) + CHOOSE(CONTROL!$C$38, 0.0266, 0)</f>
        <v>27.6968</v>
      </c>
      <c r="G241" s="10">
        <f>25.7168 * CHOOSE(CONTROL!$C$15, $E$9, 100%, $G$9) + CHOOSE(CONTROL!$C$38, 0.0357, 0)</f>
        <v>25.752499999999998</v>
      </c>
      <c r="H241" s="10">
        <f>25.7168 * CHOOSE(CONTROL!$C$15, $E$9, 100%, $G$9) + CHOOSE(CONTROL!$C$38, 0.0357, 0)</f>
        <v>25.752499999999998</v>
      </c>
      <c r="I241" s="10">
        <f>25.7184 * CHOOSE(CONTROL!$C$15, $E$9, 100%, $G$9) + CHOOSE(CONTROL!$C$38, 0.0357, 0)</f>
        <v>25.754099999999998</v>
      </c>
      <c r="J241" s="26">
        <f>152.7228</f>
        <v>152.72280000000001</v>
      </c>
    </row>
    <row r="242" spans="1:10" ht="15">
      <c r="A242" s="16">
        <v>48639</v>
      </c>
      <c r="B242" s="10">
        <f>27.3154 * CHOOSE(CONTROL!$C$15, $E$9, 100%, $G$9) + CHOOSE(CONTROL!$C$38, 0.0266, 0)</f>
        <v>27.341999999999999</v>
      </c>
      <c r="C242" s="10">
        <f>25.2073 * CHOOSE(CONTROL!$C$15, $E$9, 100%, $G$9) + CHOOSE(CONTROL!$C$38, 0.0357, 0)</f>
        <v>25.242999999999999</v>
      </c>
      <c r="D242" s="10">
        <f>25.1995 * CHOOSE(CONTROL!$C$15, $E$9, 100%, $G$9) + CHOOSE(CONTROL!$C$38, 0.0357, 0)</f>
        <v>25.235199999999999</v>
      </c>
      <c r="E242" s="28">
        <f>27.1591 * CHOOSE(CONTROL!$C$15, $E$9, 100%, $G$9) + CHOOSE(CONTROL!$C$38, 0.0357, 0)</f>
        <v>27.194799999999997</v>
      </c>
      <c r="F242" s="27">
        <f>27.1591 * CHOOSE(CONTROL!$C$15, $E$9, 100%, $G$9) + CHOOSE(CONTROL!$C$38, 0.0266, 0)</f>
        <v>27.185699999999997</v>
      </c>
      <c r="G242" s="10">
        <f>25.2058 * CHOOSE(CONTROL!$C$15, $E$9, 100%, $G$9) + CHOOSE(CONTROL!$C$38, 0.0357, 0)</f>
        <v>25.241499999999998</v>
      </c>
      <c r="H242" s="10">
        <f>25.2058 * CHOOSE(CONTROL!$C$15, $E$9, 100%, $G$9) + CHOOSE(CONTROL!$C$38, 0.0357, 0)</f>
        <v>25.241499999999998</v>
      </c>
      <c r="I242" s="10">
        <f>25.2073 * CHOOSE(CONTROL!$C$15, $E$9, 100%, $G$9) + CHOOSE(CONTROL!$C$38, 0.0357, 0)</f>
        <v>25.242999999999999</v>
      </c>
      <c r="J242" s="26">
        <f>160.7722</f>
        <v>160.7722</v>
      </c>
    </row>
    <row r="243" spans="1:10" ht="15">
      <c r="A243" s="16">
        <v>48670</v>
      </c>
      <c r="B243" s="10">
        <f>26.8202 * CHOOSE(CONTROL!$C$15, $E$9, 100%, $G$9) + CHOOSE(CONTROL!$C$38, 0.0266, 0)</f>
        <v>26.846799999999998</v>
      </c>
      <c r="C243" s="10">
        <f>24.7121 * CHOOSE(CONTROL!$C$15, $E$9, 100%, $G$9) + CHOOSE(CONTROL!$C$38, 0.0357, 0)</f>
        <v>24.747799999999998</v>
      </c>
      <c r="D243" s="10">
        <f>24.7043 * CHOOSE(CONTROL!$C$15, $E$9, 100%, $G$9) + CHOOSE(CONTROL!$C$38, 0.0357, 0)</f>
        <v>24.74</v>
      </c>
      <c r="E243" s="28">
        <f>26.664 * CHOOSE(CONTROL!$C$15, $E$9, 100%, $G$9) + CHOOSE(CONTROL!$C$38, 0.0357, 0)</f>
        <v>26.6997</v>
      </c>
      <c r="F243" s="27">
        <f>26.664 * CHOOSE(CONTROL!$C$15, $E$9, 100%, $G$9) + CHOOSE(CONTROL!$C$38, 0.0266, 0)</f>
        <v>26.6906</v>
      </c>
      <c r="G243" s="10">
        <f>24.7106 * CHOOSE(CONTROL!$C$15, $E$9, 100%, $G$9) + CHOOSE(CONTROL!$C$38, 0.0357, 0)</f>
        <v>24.746299999999998</v>
      </c>
      <c r="H243" s="10">
        <f>24.7106 * CHOOSE(CONTROL!$C$15, $E$9, 100%, $G$9) + CHOOSE(CONTROL!$C$38, 0.0357, 0)</f>
        <v>24.746299999999998</v>
      </c>
      <c r="I243" s="10">
        <f>24.7121 * CHOOSE(CONTROL!$C$15, $E$9, 100%, $G$9) + CHOOSE(CONTROL!$C$38, 0.0357, 0)</f>
        <v>24.747799999999998</v>
      </c>
      <c r="J243" s="26">
        <f>171.2103</f>
        <v>171.21029999999999</v>
      </c>
    </row>
    <row r="244" spans="1:10" ht="15">
      <c r="A244" s="16">
        <v>48700</v>
      </c>
      <c r="B244" s="10">
        <f>26.3041 * CHOOSE(CONTROL!$C$15, $E$9, 100%, $G$9) + CHOOSE(CONTROL!$C$38, 0.0266, 0)</f>
        <v>26.330699999999997</v>
      </c>
      <c r="C244" s="10">
        <f>24.196 * CHOOSE(CONTROL!$C$15, $E$9, 100%, $G$9) + CHOOSE(CONTROL!$C$38, 0.0357, 0)</f>
        <v>24.2317</v>
      </c>
      <c r="D244" s="10">
        <f>24.1882 * CHOOSE(CONTROL!$C$15, $E$9, 100%, $G$9) + CHOOSE(CONTROL!$C$38, 0.0357, 0)</f>
        <v>24.223899999999997</v>
      </c>
      <c r="E244" s="28">
        <f>26.1479 * CHOOSE(CONTROL!$C$15, $E$9, 100%, $G$9) + CHOOSE(CONTROL!$C$38, 0.0357, 0)</f>
        <v>26.183599999999998</v>
      </c>
      <c r="F244" s="27">
        <f>26.1479 * CHOOSE(CONTROL!$C$15, $E$9, 100%, $G$9) + CHOOSE(CONTROL!$C$38, 0.0266, 0)</f>
        <v>26.174499999999998</v>
      </c>
      <c r="G244" s="10">
        <f>24.1945 * CHOOSE(CONTROL!$C$15, $E$9, 100%, $G$9) + CHOOSE(CONTROL!$C$38, 0.0357, 0)</f>
        <v>24.2302</v>
      </c>
      <c r="H244" s="10">
        <f>24.1945 * CHOOSE(CONTROL!$C$15, $E$9, 100%, $G$9) + CHOOSE(CONTROL!$C$38, 0.0357, 0)</f>
        <v>24.2302</v>
      </c>
      <c r="I244" s="10">
        <f>24.196 * CHOOSE(CONTROL!$C$15, $E$9, 100%, $G$9) + CHOOSE(CONTROL!$C$38, 0.0357, 0)</f>
        <v>24.2317</v>
      </c>
      <c r="J244" s="26">
        <f>176.9557</f>
        <v>176.95570000000001</v>
      </c>
    </row>
    <row r="245" spans="1:10" ht="15">
      <c r="A245" s="16">
        <v>48731</v>
      </c>
      <c r="B245" s="10">
        <f>25.9423 * CHOOSE(CONTROL!$C$15, $E$9, 100%, $G$9) + CHOOSE(CONTROL!$C$38, 0.0266, 0)</f>
        <v>25.968899999999998</v>
      </c>
      <c r="C245" s="10">
        <f>23.8342 * CHOOSE(CONTROL!$C$15, $E$9, 100%, $G$9) + CHOOSE(CONTROL!$C$38, 0.0357, 0)</f>
        <v>23.869899999999998</v>
      </c>
      <c r="D245" s="10">
        <f>23.8264 * CHOOSE(CONTROL!$C$15, $E$9, 100%, $G$9) + CHOOSE(CONTROL!$C$38, 0.0357, 0)</f>
        <v>23.862099999999998</v>
      </c>
      <c r="E245" s="28">
        <f>25.786 * CHOOSE(CONTROL!$C$15, $E$9, 100%, $G$9) + CHOOSE(CONTROL!$C$38, 0.0357, 0)</f>
        <v>25.8217</v>
      </c>
      <c r="F245" s="27">
        <f>25.786 * CHOOSE(CONTROL!$C$15, $E$9, 100%, $G$9) + CHOOSE(CONTROL!$C$38, 0.0266, 0)</f>
        <v>25.8126</v>
      </c>
      <c r="G245" s="10">
        <f>23.8326 * CHOOSE(CONTROL!$C$15, $E$9, 100%, $G$9) + CHOOSE(CONTROL!$C$38, 0.0357, 0)</f>
        <v>23.868299999999998</v>
      </c>
      <c r="H245" s="10">
        <f>23.8326 * CHOOSE(CONTROL!$C$15, $E$9, 100%, $G$9) + CHOOSE(CONTROL!$C$38, 0.0357, 0)</f>
        <v>23.868299999999998</v>
      </c>
      <c r="I245" s="10">
        <f>23.8342 * CHOOSE(CONTROL!$C$15, $E$9, 100%, $G$9) + CHOOSE(CONTROL!$C$38, 0.0357, 0)</f>
        <v>23.869899999999998</v>
      </c>
      <c r="J245" s="26">
        <f>179.5055</f>
        <v>179.50550000000001</v>
      </c>
    </row>
    <row r="246" spans="1:10" ht="15">
      <c r="A246" s="16">
        <v>48761</v>
      </c>
      <c r="B246" s="10">
        <f>25.7358 * CHOOSE(CONTROL!$C$15, $E$9, 100%, $G$9) + CHOOSE(CONTROL!$C$38, 0.0266, 0)</f>
        <v>25.7624</v>
      </c>
      <c r="C246" s="10">
        <f>23.6277 * CHOOSE(CONTROL!$C$15, $E$9, 100%, $G$9) + CHOOSE(CONTROL!$C$38, 0.0357, 0)</f>
        <v>23.663399999999999</v>
      </c>
      <c r="D246" s="10">
        <f>23.6199 * CHOOSE(CONTROL!$C$15, $E$9, 100%, $G$9) + CHOOSE(CONTROL!$C$38, 0.0357, 0)</f>
        <v>23.6556</v>
      </c>
      <c r="E246" s="28">
        <f>25.5795 * CHOOSE(CONTROL!$C$15, $E$9, 100%, $G$9) + CHOOSE(CONTROL!$C$38, 0.0357, 0)</f>
        <v>25.615199999999998</v>
      </c>
      <c r="F246" s="27">
        <f>25.5795 * CHOOSE(CONTROL!$C$15, $E$9, 100%, $G$9) + CHOOSE(CONTROL!$C$38, 0.0266, 0)</f>
        <v>25.606099999999998</v>
      </c>
      <c r="G246" s="10">
        <f>23.6261 * CHOOSE(CONTROL!$C$15, $E$9, 100%, $G$9) + CHOOSE(CONTROL!$C$38, 0.0357, 0)</f>
        <v>23.661799999999999</v>
      </c>
      <c r="H246" s="10">
        <f>23.6261 * CHOOSE(CONTROL!$C$15, $E$9, 100%, $G$9) + CHOOSE(CONTROL!$C$38, 0.0357, 0)</f>
        <v>23.661799999999999</v>
      </c>
      <c r="I246" s="10">
        <f>23.6277 * CHOOSE(CONTROL!$C$15, $E$9, 100%, $G$9) + CHOOSE(CONTROL!$C$38, 0.0357, 0)</f>
        <v>23.663399999999999</v>
      </c>
      <c r="J246" s="26">
        <f>178.666</f>
        <v>178.666</v>
      </c>
    </row>
    <row r="247" spans="1:10" ht="15">
      <c r="A247" s="16">
        <v>48792</v>
      </c>
      <c r="B247" s="10">
        <f>25.8377 * CHOOSE(CONTROL!$C$15, $E$9, 100%, $G$9) + CHOOSE(CONTROL!$C$38, 0.0266, 0)</f>
        <v>25.8643</v>
      </c>
      <c r="C247" s="10">
        <f>23.7296 * CHOOSE(CONTROL!$C$15, $E$9, 100%, $G$9) + CHOOSE(CONTROL!$C$38, 0.0357, 0)</f>
        <v>23.7653</v>
      </c>
      <c r="D247" s="10">
        <f>23.7218 * CHOOSE(CONTROL!$C$15, $E$9, 100%, $G$9) + CHOOSE(CONTROL!$C$38, 0.0357, 0)</f>
        <v>23.7575</v>
      </c>
      <c r="E247" s="28">
        <f>25.6814 * CHOOSE(CONTROL!$C$15, $E$9, 100%, $G$9) + CHOOSE(CONTROL!$C$38, 0.0357, 0)</f>
        <v>25.717099999999999</v>
      </c>
      <c r="F247" s="27">
        <f>25.6814 * CHOOSE(CONTROL!$C$15, $E$9, 100%, $G$9) + CHOOSE(CONTROL!$C$38, 0.0266, 0)</f>
        <v>25.707999999999998</v>
      </c>
      <c r="G247" s="10">
        <f>23.7281 * CHOOSE(CONTROL!$C$15, $E$9, 100%, $G$9) + CHOOSE(CONTROL!$C$38, 0.0357, 0)</f>
        <v>23.7638</v>
      </c>
      <c r="H247" s="10">
        <f>23.7281 * CHOOSE(CONTROL!$C$15, $E$9, 100%, $G$9) + CHOOSE(CONTROL!$C$38, 0.0357, 0)</f>
        <v>23.7638</v>
      </c>
      <c r="I247" s="10">
        <f>23.7296 * CHOOSE(CONTROL!$C$15, $E$9, 100%, $G$9) + CHOOSE(CONTROL!$C$38, 0.0357, 0)</f>
        <v>23.7653</v>
      </c>
      <c r="J247" s="26">
        <f>174.5067</f>
        <v>174.5067</v>
      </c>
    </row>
    <row r="248" spans="1:10" ht="15">
      <c r="A248" s="16">
        <v>48823</v>
      </c>
      <c r="B248" s="10">
        <f>26.1145 * CHOOSE(CONTROL!$C$15, $E$9, 100%, $G$9) + CHOOSE(CONTROL!$C$38, 0.0266, 0)</f>
        <v>26.141099999999998</v>
      </c>
      <c r="C248" s="10">
        <f>24.0064 * CHOOSE(CONTROL!$C$15, $E$9, 100%, $G$9) + CHOOSE(CONTROL!$C$38, 0.0357, 0)</f>
        <v>24.042099999999998</v>
      </c>
      <c r="D248" s="10">
        <f>23.9986 * CHOOSE(CONTROL!$C$15, $E$9, 100%, $G$9) + CHOOSE(CONTROL!$C$38, 0.0357, 0)</f>
        <v>24.034299999999998</v>
      </c>
      <c r="E248" s="28">
        <f>25.9582 * CHOOSE(CONTROL!$C$15, $E$9, 100%, $G$9) + CHOOSE(CONTROL!$C$38, 0.0357, 0)</f>
        <v>25.9939</v>
      </c>
      <c r="F248" s="27">
        <f>25.9582 * CHOOSE(CONTROL!$C$15, $E$9, 100%, $G$9) + CHOOSE(CONTROL!$C$38, 0.0266, 0)</f>
        <v>25.9848</v>
      </c>
      <c r="G248" s="10">
        <f>24.0049 * CHOOSE(CONTROL!$C$15, $E$9, 100%, $G$9) + CHOOSE(CONTROL!$C$38, 0.0357, 0)</f>
        <v>24.040599999999998</v>
      </c>
      <c r="H248" s="10">
        <f>24.0049 * CHOOSE(CONTROL!$C$15, $E$9, 100%, $G$9) + CHOOSE(CONTROL!$C$38, 0.0357, 0)</f>
        <v>24.040599999999998</v>
      </c>
      <c r="I248" s="10">
        <f>24.0064 * CHOOSE(CONTROL!$C$15, $E$9, 100%, $G$9) + CHOOSE(CONTROL!$C$38, 0.0357, 0)</f>
        <v>24.042099999999998</v>
      </c>
      <c r="J248" s="26">
        <f>168.7064</f>
        <v>168.7064</v>
      </c>
    </row>
    <row r="249" spans="1:10" ht="15">
      <c r="A249" s="16">
        <v>48853</v>
      </c>
      <c r="B249" s="10">
        <f>26.3463 * CHOOSE(CONTROL!$C$15, $E$9, 100%, $G$9) + CHOOSE(CONTROL!$C$38, 0.0266, 0)</f>
        <v>26.372899999999998</v>
      </c>
      <c r="C249" s="10">
        <f>24.2382 * CHOOSE(CONTROL!$C$15, $E$9, 100%, $G$9) + CHOOSE(CONTROL!$C$38, 0.0357, 0)</f>
        <v>24.273899999999998</v>
      </c>
      <c r="D249" s="10">
        <f>24.2304 * CHOOSE(CONTROL!$C$15, $E$9, 100%, $G$9) + CHOOSE(CONTROL!$C$38, 0.0357, 0)</f>
        <v>24.266099999999998</v>
      </c>
      <c r="E249" s="28">
        <f>26.1901 * CHOOSE(CONTROL!$C$15, $E$9, 100%, $G$9) + CHOOSE(CONTROL!$C$38, 0.0357, 0)</f>
        <v>26.2258</v>
      </c>
      <c r="F249" s="27">
        <f>26.1901 * CHOOSE(CONTROL!$C$15, $E$9, 100%, $G$9) + CHOOSE(CONTROL!$C$38, 0.0266, 0)</f>
        <v>26.216699999999999</v>
      </c>
      <c r="G249" s="10">
        <f>24.2367 * CHOOSE(CONTROL!$C$15, $E$9, 100%, $G$9) + CHOOSE(CONTROL!$C$38, 0.0357, 0)</f>
        <v>24.272399999999998</v>
      </c>
      <c r="H249" s="10">
        <f>24.2367 * CHOOSE(CONTROL!$C$15, $E$9, 100%, $G$9) + CHOOSE(CONTROL!$C$38, 0.0357, 0)</f>
        <v>24.272399999999998</v>
      </c>
      <c r="I249" s="10">
        <f>24.2382 * CHOOSE(CONTROL!$C$15, $E$9, 100%, $G$9) + CHOOSE(CONTROL!$C$38, 0.0357, 0)</f>
        <v>24.273899999999998</v>
      </c>
      <c r="J249" s="26">
        <f>162.8724</f>
        <v>162.8724</v>
      </c>
    </row>
    <row r="250" spans="1:10" ht="15">
      <c r="A250" s="16">
        <v>48884</v>
      </c>
      <c r="B250" s="10">
        <f>26.5397 * CHOOSE(CONTROL!$C$15, $E$9, 100%, $G$9) + CHOOSE(CONTROL!$C$38, 0.0266, 0)</f>
        <v>26.566299999999998</v>
      </c>
      <c r="C250" s="10">
        <f>24.4317 * CHOOSE(CONTROL!$C$15, $E$9, 100%, $G$9) + CHOOSE(CONTROL!$C$38, 0.0357, 0)</f>
        <v>24.467399999999998</v>
      </c>
      <c r="D250" s="10">
        <f>24.4239 * CHOOSE(CONTROL!$C$15, $E$9, 100%, $G$9) + CHOOSE(CONTROL!$C$38, 0.0357, 0)</f>
        <v>24.459599999999998</v>
      </c>
      <c r="E250" s="28">
        <f>26.3835 * CHOOSE(CONTROL!$C$15, $E$9, 100%, $G$9) + CHOOSE(CONTROL!$C$38, 0.0357, 0)</f>
        <v>26.4192</v>
      </c>
      <c r="F250" s="27">
        <f>26.3835 * CHOOSE(CONTROL!$C$15, $E$9, 100%, $G$9) + CHOOSE(CONTROL!$C$38, 0.0266, 0)</f>
        <v>26.4101</v>
      </c>
      <c r="G250" s="10">
        <f>24.4301 * CHOOSE(CONTROL!$C$15, $E$9, 100%, $G$9) + CHOOSE(CONTROL!$C$38, 0.0357, 0)</f>
        <v>24.465799999999998</v>
      </c>
      <c r="H250" s="10">
        <f>24.4301 * CHOOSE(CONTROL!$C$15, $E$9, 100%, $G$9) + CHOOSE(CONTROL!$C$38, 0.0357, 0)</f>
        <v>24.465799999999998</v>
      </c>
      <c r="I250" s="10">
        <f>24.4317 * CHOOSE(CONTROL!$C$15, $E$9, 100%, $G$9) + CHOOSE(CONTROL!$C$38, 0.0357, 0)</f>
        <v>24.467399999999998</v>
      </c>
      <c r="J250" s="26">
        <f>161.7119</f>
        <v>161.71190000000001</v>
      </c>
    </row>
    <row r="251" spans="1:10" ht="15">
      <c r="A251" s="16">
        <v>48914</v>
      </c>
      <c r="B251" s="10">
        <f>27.1358 * CHOOSE(CONTROL!$C$15, $E$9, 100%, $G$9) + CHOOSE(CONTROL!$C$38, 0.0266, 0)</f>
        <v>27.162399999999998</v>
      </c>
      <c r="C251" s="10">
        <f>25.0277 * CHOOSE(CONTROL!$C$15, $E$9, 100%, $G$9) + CHOOSE(CONTROL!$C$38, 0.0357, 0)</f>
        <v>25.063399999999998</v>
      </c>
      <c r="D251" s="10">
        <f>25.0199 * CHOOSE(CONTROL!$C$15, $E$9, 100%, $G$9) + CHOOSE(CONTROL!$C$38, 0.0357, 0)</f>
        <v>25.055599999999998</v>
      </c>
      <c r="E251" s="28">
        <f>26.9796 * CHOOSE(CONTROL!$C$15, $E$9, 100%, $G$9) + CHOOSE(CONTROL!$C$38, 0.0357, 0)</f>
        <v>27.0153</v>
      </c>
      <c r="F251" s="27">
        <f>26.9796 * CHOOSE(CONTROL!$C$15, $E$9, 100%, $G$9) + CHOOSE(CONTROL!$C$38, 0.0266, 0)</f>
        <v>27.0062</v>
      </c>
      <c r="G251" s="10">
        <f>25.0262 * CHOOSE(CONTROL!$C$15, $E$9, 100%, $G$9) + CHOOSE(CONTROL!$C$38, 0.0357, 0)</f>
        <v>25.061899999999998</v>
      </c>
      <c r="H251" s="10">
        <f>25.0262 * CHOOSE(CONTROL!$C$15, $E$9, 100%, $G$9) + CHOOSE(CONTROL!$C$38, 0.0357, 0)</f>
        <v>25.061899999999998</v>
      </c>
      <c r="I251" s="10">
        <f>25.0277 * CHOOSE(CONTROL!$C$15, $E$9, 100%, $G$9) + CHOOSE(CONTROL!$C$38, 0.0357, 0)</f>
        <v>25.063399999999998</v>
      </c>
      <c r="J251" s="26">
        <f>156.9131</f>
        <v>156.91309999999999</v>
      </c>
    </row>
    <row r="252" spans="1:10" ht="15">
      <c r="A252" s="16">
        <v>48945</v>
      </c>
      <c r="B252" s="10">
        <f>28.0652 * CHOOSE(CONTROL!$C$15, $E$9, 100%, $G$9) + CHOOSE(CONTROL!$C$38, 0.0266, 0)</f>
        <v>28.091799999999999</v>
      </c>
      <c r="C252" s="10">
        <f>25.9227 * CHOOSE(CONTROL!$C$15, $E$9, 100%, $G$9) + CHOOSE(CONTROL!$C$38, 0.0357, 0)</f>
        <v>25.958399999999997</v>
      </c>
      <c r="D252" s="10">
        <f>25.9148 * CHOOSE(CONTROL!$C$15, $E$9, 100%, $G$9) + CHOOSE(CONTROL!$C$38, 0.0357, 0)</f>
        <v>25.950499999999998</v>
      </c>
      <c r="E252" s="28">
        <f>27.909 * CHOOSE(CONTROL!$C$15, $E$9, 100%, $G$9) + CHOOSE(CONTROL!$C$38, 0.0357, 0)</f>
        <v>27.944699999999997</v>
      </c>
      <c r="F252" s="27">
        <f>27.909 * CHOOSE(CONTROL!$C$15, $E$9, 100%, $G$9) + CHOOSE(CONTROL!$C$38, 0.0266, 0)</f>
        <v>27.935599999999997</v>
      </c>
      <c r="G252" s="10">
        <f>25.9211 * CHOOSE(CONTROL!$C$15, $E$9, 100%, $G$9) + CHOOSE(CONTROL!$C$38, 0.0357, 0)</f>
        <v>25.956799999999998</v>
      </c>
      <c r="H252" s="10">
        <f>25.9211 * CHOOSE(CONTROL!$C$15, $E$9, 100%, $G$9) + CHOOSE(CONTROL!$C$38, 0.0357, 0)</f>
        <v>25.956799999999998</v>
      </c>
      <c r="I252" s="10">
        <f>25.9227 * CHOOSE(CONTROL!$C$15, $E$9, 100%, $G$9) + CHOOSE(CONTROL!$C$38, 0.0357, 0)</f>
        <v>25.958399999999997</v>
      </c>
      <c r="J252" s="26">
        <f>155.862</f>
        <v>155.86199999999999</v>
      </c>
    </row>
    <row r="253" spans="1:10" ht="15">
      <c r="A253" s="16">
        <v>48976</v>
      </c>
      <c r="B253" s="10">
        <f>28.286 * CHOOSE(CONTROL!$C$15, $E$9, 100%, $G$9) + CHOOSE(CONTROL!$C$38, 0.0266, 0)</f>
        <v>28.3126</v>
      </c>
      <c r="C253" s="10">
        <f>26.1434 * CHOOSE(CONTROL!$C$15, $E$9, 100%, $G$9) + CHOOSE(CONTROL!$C$38, 0.0357, 0)</f>
        <v>26.179099999999998</v>
      </c>
      <c r="D253" s="10">
        <f>26.1356 * CHOOSE(CONTROL!$C$15, $E$9, 100%, $G$9) + CHOOSE(CONTROL!$C$38, 0.0357, 0)</f>
        <v>26.171299999999999</v>
      </c>
      <c r="E253" s="28">
        <f>28.1297 * CHOOSE(CONTROL!$C$15, $E$9, 100%, $G$9) + CHOOSE(CONTROL!$C$38, 0.0357, 0)</f>
        <v>28.165399999999998</v>
      </c>
      <c r="F253" s="27">
        <f>28.1297 * CHOOSE(CONTROL!$C$15, $E$9, 100%, $G$9) + CHOOSE(CONTROL!$C$38, 0.0266, 0)</f>
        <v>28.156299999999998</v>
      </c>
      <c r="G253" s="10">
        <f>26.1419 * CHOOSE(CONTROL!$C$15, $E$9, 100%, $G$9) + CHOOSE(CONTROL!$C$38, 0.0357, 0)</f>
        <v>26.177599999999998</v>
      </c>
      <c r="H253" s="10">
        <f>26.1419 * CHOOSE(CONTROL!$C$15, $E$9, 100%, $G$9) + CHOOSE(CONTROL!$C$38, 0.0357, 0)</f>
        <v>26.177599999999998</v>
      </c>
      <c r="I253" s="10">
        <f>26.1434 * CHOOSE(CONTROL!$C$15, $E$9, 100%, $G$9) + CHOOSE(CONTROL!$C$38, 0.0357, 0)</f>
        <v>26.179099999999998</v>
      </c>
      <c r="J253" s="26">
        <f>155.4287</f>
        <v>155.42869999999999</v>
      </c>
    </row>
    <row r="254" spans="1:10" ht="15">
      <c r="A254" s="16">
        <v>49004</v>
      </c>
      <c r="B254" s="10">
        <f>27.7749 * CHOOSE(CONTROL!$C$15, $E$9, 100%, $G$9) + CHOOSE(CONTROL!$C$38, 0.0266, 0)</f>
        <v>27.801499999999997</v>
      </c>
      <c r="C254" s="10">
        <f>25.6324 * CHOOSE(CONTROL!$C$15, $E$9, 100%, $G$9) + CHOOSE(CONTROL!$C$38, 0.0357, 0)</f>
        <v>25.668099999999999</v>
      </c>
      <c r="D254" s="10">
        <f>25.6246 * CHOOSE(CONTROL!$C$15, $E$9, 100%, $G$9) + CHOOSE(CONTROL!$C$38, 0.0357, 0)</f>
        <v>25.660299999999999</v>
      </c>
      <c r="E254" s="28">
        <f>27.6187 * CHOOSE(CONTROL!$C$15, $E$9, 100%, $G$9) + CHOOSE(CONTROL!$C$38, 0.0357, 0)</f>
        <v>27.654399999999999</v>
      </c>
      <c r="F254" s="27">
        <f>27.6187 * CHOOSE(CONTROL!$C$15, $E$9, 100%, $G$9) + CHOOSE(CONTROL!$C$38, 0.0266, 0)</f>
        <v>27.645299999999999</v>
      </c>
      <c r="G254" s="10">
        <f>25.6308 * CHOOSE(CONTROL!$C$15, $E$9, 100%, $G$9) + CHOOSE(CONTROL!$C$38, 0.0357, 0)</f>
        <v>25.666499999999999</v>
      </c>
      <c r="H254" s="10">
        <f>25.6308 * CHOOSE(CONTROL!$C$15, $E$9, 100%, $G$9) + CHOOSE(CONTROL!$C$38, 0.0357, 0)</f>
        <v>25.666499999999999</v>
      </c>
      <c r="I254" s="10">
        <f>25.6324 * CHOOSE(CONTROL!$C$15, $E$9, 100%, $G$9) + CHOOSE(CONTROL!$C$38, 0.0357, 0)</f>
        <v>25.668099999999999</v>
      </c>
      <c r="J254" s="26">
        <f>163.6207</f>
        <v>163.6207</v>
      </c>
    </row>
    <row r="255" spans="1:10" ht="15">
      <c r="A255" s="16">
        <v>49035</v>
      </c>
      <c r="B255" s="10">
        <f>27.2798 * CHOOSE(CONTROL!$C$15, $E$9, 100%, $G$9) + CHOOSE(CONTROL!$C$38, 0.0266, 0)</f>
        <v>27.3064</v>
      </c>
      <c r="C255" s="10">
        <f>25.1372 * CHOOSE(CONTROL!$C$15, $E$9, 100%, $G$9) + CHOOSE(CONTROL!$C$38, 0.0357, 0)</f>
        <v>25.172899999999998</v>
      </c>
      <c r="D255" s="10">
        <f>25.1294 * CHOOSE(CONTROL!$C$15, $E$9, 100%, $G$9) + CHOOSE(CONTROL!$C$38, 0.0357, 0)</f>
        <v>25.165099999999999</v>
      </c>
      <c r="E255" s="28">
        <f>27.1235 * CHOOSE(CONTROL!$C$15, $E$9, 100%, $G$9) + CHOOSE(CONTROL!$C$38, 0.0357, 0)</f>
        <v>27.159199999999998</v>
      </c>
      <c r="F255" s="27">
        <f>27.1235 * CHOOSE(CONTROL!$C$15, $E$9, 100%, $G$9) + CHOOSE(CONTROL!$C$38, 0.0266, 0)</f>
        <v>27.150099999999998</v>
      </c>
      <c r="G255" s="10">
        <f>25.1356 * CHOOSE(CONTROL!$C$15, $E$9, 100%, $G$9) + CHOOSE(CONTROL!$C$38, 0.0357, 0)</f>
        <v>25.171299999999999</v>
      </c>
      <c r="H255" s="10">
        <f>25.1356 * CHOOSE(CONTROL!$C$15, $E$9, 100%, $G$9) + CHOOSE(CONTROL!$C$38, 0.0357, 0)</f>
        <v>25.171299999999999</v>
      </c>
      <c r="I255" s="10">
        <f>25.1372 * CHOOSE(CONTROL!$C$15, $E$9, 100%, $G$9) + CHOOSE(CONTROL!$C$38, 0.0357, 0)</f>
        <v>25.172899999999998</v>
      </c>
      <c r="J255" s="26">
        <f>174.2438</f>
        <v>174.24379999999999</v>
      </c>
    </row>
    <row r="256" spans="1:10" ht="15">
      <c r="A256" s="16">
        <v>49065</v>
      </c>
      <c r="B256" s="10">
        <f>26.7636 * CHOOSE(CONTROL!$C$15, $E$9, 100%, $G$9) + CHOOSE(CONTROL!$C$38, 0.0266, 0)</f>
        <v>26.790199999999999</v>
      </c>
      <c r="C256" s="10">
        <f>24.6211 * CHOOSE(CONTROL!$C$15, $E$9, 100%, $G$9) + CHOOSE(CONTROL!$C$38, 0.0357, 0)</f>
        <v>24.656799999999997</v>
      </c>
      <c r="D256" s="10">
        <f>24.6133 * CHOOSE(CONTROL!$C$15, $E$9, 100%, $G$9) + CHOOSE(CONTROL!$C$38, 0.0357, 0)</f>
        <v>24.648999999999997</v>
      </c>
      <c r="E256" s="28">
        <f>26.6074 * CHOOSE(CONTROL!$C$15, $E$9, 100%, $G$9) + CHOOSE(CONTROL!$C$38, 0.0357, 0)</f>
        <v>26.643099999999997</v>
      </c>
      <c r="F256" s="27">
        <f>26.6074 * CHOOSE(CONTROL!$C$15, $E$9, 100%, $G$9) + CHOOSE(CONTROL!$C$38, 0.0266, 0)</f>
        <v>26.633999999999997</v>
      </c>
      <c r="G256" s="10">
        <f>24.6195 * CHOOSE(CONTROL!$C$15, $E$9, 100%, $G$9) + CHOOSE(CONTROL!$C$38, 0.0357, 0)</f>
        <v>24.655199999999997</v>
      </c>
      <c r="H256" s="10">
        <f>24.6195 * CHOOSE(CONTROL!$C$15, $E$9, 100%, $G$9) + CHOOSE(CONTROL!$C$38, 0.0357, 0)</f>
        <v>24.655199999999997</v>
      </c>
      <c r="I256" s="10">
        <f>24.6211 * CHOOSE(CONTROL!$C$15, $E$9, 100%, $G$9) + CHOOSE(CONTROL!$C$38, 0.0357, 0)</f>
        <v>24.656799999999997</v>
      </c>
      <c r="J256" s="26">
        <f>180.0911</f>
        <v>180.09110000000001</v>
      </c>
    </row>
    <row r="257" spans="1:10" ht="15">
      <c r="A257" s="16">
        <v>49096</v>
      </c>
      <c r="B257" s="10">
        <f>26.4018 * CHOOSE(CONTROL!$C$15, $E$9, 100%, $G$9) + CHOOSE(CONTROL!$C$38, 0.0266, 0)</f>
        <v>26.4284</v>
      </c>
      <c r="C257" s="10">
        <f>24.2593 * CHOOSE(CONTROL!$C$15, $E$9, 100%, $G$9) + CHOOSE(CONTROL!$C$38, 0.0357, 0)</f>
        <v>24.294999999999998</v>
      </c>
      <c r="D257" s="10">
        <f>24.2514 * CHOOSE(CONTROL!$C$15, $E$9, 100%, $G$9) + CHOOSE(CONTROL!$C$38, 0.0357, 0)</f>
        <v>24.287099999999999</v>
      </c>
      <c r="E257" s="28">
        <f>26.2456 * CHOOSE(CONTROL!$C$15, $E$9, 100%, $G$9) + CHOOSE(CONTROL!$C$38, 0.0357, 0)</f>
        <v>26.281299999999998</v>
      </c>
      <c r="F257" s="27">
        <f>26.2456 * CHOOSE(CONTROL!$C$15, $E$9, 100%, $G$9) + CHOOSE(CONTROL!$C$38, 0.0266, 0)</f>
        <v>26.272199999999998</v>
      </c>
      <c r="G257" s="10">
        <f>24.2577 * CHOOSE(CONTROL!$C$15, $E$9, 100%, $G$9) + CHOOSE(CONTROL!$C$38, 0.0357, 0)</f>
        <v>24.293399999999998</v>
      </c>
      <c r="H257" s="10">
        <f>24.2577 * CHOOSE(CONTROL!$C$15, $E$9, 100%, $G$9) + CHOOSE(CONTROL!$C$38, 0.0357, 0)</f>
        <v>24.293399999999998</v>
      </c>
      <c r="I257" s="10">
        <f>24.2593 * CHOOSE(CONTROL!$C$15, $E$9, 100%, $G$9) + CHOOSE(CONTROL!$C$38, 0.0357, 0)</f>
        <v>24.294999999999998</v>
      </c>
      <c r="J257" s="26">
        <f>182.686</f>
        <v>182.68600000000001</v>
      </c>
    </row>
    <row r="258" spans="1:10" ht="15">
      <c r="A258" s="16">
        <v>49126</v>
      </c>
      <c r="B258" s="10">
        <f>26.1953 * CHOOSE(CONTROL!$C$15, $E$9, 100%, $G$9) + CHOOSE(CONTROL!$C$38, 0.0266, 0)</f>
        <v>26.221899999999998</v>
      </c>
      <c r="C258" s="10">
        <f>24.0528 * CHOOSE(CONTROL!$C$15, $E$9, 100%, $G$9) + CHOOSE(CONTROL!$C$38, 0.0357, 0)</f>
        <v>24.0885</v>
      </c>
      <c r="D258" s="10">
        <f>24.045 * CHOOSE(CONTROL!$C$15, $E$9, 100%, $G$9) + CHOOSE(CONTROL!$C$38, 0.0357, 0)</f>
        <v>24.0807</v>
      </c>
      <c r="E258" s="28">
        <f>26.0391 * CHOOSE(CONTROL!$C$15, $E$9, 100%, $G$9) + CHOOSE(CONTROL!$C$38, 0.0357, 0)</f>
        <v>26.0748</v>
      </c>
      <c r="F258" s="27">
        <f>26.0391 * CHOOSE(CONTROL!$C$15, $E$9, 100%, $G$9) + CHOOSE(CONTROL!$C$38, 0.0266, 0)</f>
        <v>26.0657</v>
      </c>
      <c r="G258" s="10">
        <f>24.0512 * CHOOSE(CONTROL!$C$15, $E$9, 100%, $G$9) + CHOOSE(CONTROL!$C$38, 0.0357, 0)</f>
        <v>24.0869</v>
      </c>
      <c r="H258" s="10">
        <f>24.0512 * CHOOSE(CONTROL!$C$15, $E$9, 100%, $G$9) + CHOOSE(CONTROL!$C$38, 0.0357, 0)</f>
        <v>24.0869</v>
      </c>
      <c r="I258" s="10">
        <f>24.0528 * CHOOSE(CONTROL!$C$15, $E$9, 100%, $G$9) + CHOOSE(CONTROL!$C$38, 0.0357, 0)</f>
        <v>24.0885</v>
      </c>
      <c r="J258" s="26">
        <f>181.8316</f>
        <v>181.83160000000001</v>
      </c>
    </row>
    <row r="259" spans="1:10" ht="15">
      <c r="A259" s="16">
        <v>49157</v>
      </c>
      <c r="B259" s="10">
        <f>26.2972 * CHOOSE(CONTROL!$C$15, $E$9, 100%, $G$9) + CHOOSE(CONTROL!$C$38, 0.0266, 0)</f>
        <v>26.323799999999999</v>
      </c>
      <c r="C259" s="10">
        <f>24.1547 * CHOOSE(CONTROL!$C$15, $E$9, 100%, $G$9) + CHOOSE(CONTROL!$C$38, 0.0357, 0)</f>
        <v>24.190399999999997</v>
      </c>
      <c r="D259" s="10">
        <f>24.1469 * CHOOSE(CONTROL!$C$15, $E$9, 100%, $G$9) + CHOOSE(CONTROL!$C$38, 0.0357, 0)</f>
        <v>24.182599999999997</v>
      </c>
      <c r="E259" s="28">
        <f>26.141 * CHOOSE(CONTROL!$C$15, $E$9, 100%, $G$9) + CHOOSE(CONTROL!$C$38, 0.0357, 0)</f>
        <v>26.176699999999997</v>
      </c>
      <c r="F259" s="27">
        <f>26.141 * CHOOSE(CONTROL!$C$15, $E$9, 100%, $G$9) + CHOOSE(CONTROL!$C$38, 0.0266, 0)</f>
        <v>26.167599999999997</v>
      </c>
      <c r="G259" s="10">
        <f>24.1531 * CHOOSE(CONTROL!$C$15, $E$9, 100%, $G$9) + CHOOSE(CONTROL!$C$38, 0.0357, 0)</f>
        <v>24.188799999999997</v>
      </c>
      <c r="H259" s="10">
        <f>24.1531 * CHOOSE(CONTROL!$C$15, $E$9, 100%, $G$9) + CHOOSE(CONTROL!$C$38, 0.0357, 0)</f>
        <v>24.188799999999997</v>
      </c>
      <c r="I259" s="10">
        <f>24.1547 * CHOOSE(CONTROL!$C$15, $E$9, 100%, $G$9) + CHOOSE(CONTROL!$C$38, 0.0357, 0)</f>
        <v>24.190399999999997</v>
      </c>
      <c r="J259" s="26">
        <f>177.5987</f>
        <v>177.59870000000001</v>
      </c>
    </row>
    <row r="260" spans="1:10" ht="15">
      <c r="A260" s="16">
        <v>49188</v>
      </c>
      <c r="B260" s="10">
        <f>26.574 * CHOOSE(CONTROL!$C$15, $E$9, 100%, $G$9) + CHOOSE(CONTROL!$C$38, 0.0266, 0)</f>
        <v>26.6006</v>
      </c>
      <c r="C260" s="10">
        <f>24.4315 * CHOOSE(CONTROL!$C$15, $E$9, 100%, $G$9) + CHOOSE(CONTROL!$C$38, 0.0357, 0)</f>
        <v>24.467199999999998</v>
      </c>
      <c r="D260" s="10">
        <f>24.4237 * CHOOSE(CONTROL!$C$15, $E$9, 100%, $G$9) + CHOOSE(CONTROL!$C$38, 0.0357, 0)</f>
        <v>24.459399999999999</v>
      </c>
      <c r="E260" s="28">
        <f>26.4178 * CHOOSE(CONTROL!$C$15, $E$9, 100%, $G$9) + CHOOSE(CONTROL!$C$38, 0.0357, 0)</f>
        <v>26.453499999999998</v>
      </c>
      <c r="F260" s="27">
        <f>26.4178 * CHOOSE(CONTROL!$C$15, $E$9, 100%, $G$9) + CHOOSE(CONTROL!$C$38, 0.0266, 0)</f>
        <v>26.444399999999998</v>
      </c>
      <c r="G260" s="10">
        <f>24.4299 * CHOOSE(CONTROL!$C$15, $E$9, 100%, $G$9) + CHOOSE(CONTROL!$C$38, 0.0357, 0)</f>
        <v>24.465599999999998</v>
      </c>
      <c r="H260" s="10">
        <f>24.4299 * CHOOSE(CONTROL!$C$15, $E$9, 100%, $G$9) + CHOOSE(CONTROL!$C$38, 0.0357, 0)</f>
        <v>24.465599999999998</v>
      </c>
      <c r="I260" s="10">
        <f>24.4315 * CHOOSE(CONTROL!$C$15, $E$9, 100%, $G$9) + CHOOSE(CONTROL!$C$38, 0.0357, 0)</f>
        <v>24.467199999999998</v>
      </c>
      <c r="J260" s="26">
        <f>171.6956</f>
        <v>171.69560000000001</v>
      </c>
    </row>
    <row r="261" spans="1:10" ht="15">
      <c r="A261" s="16">
        <v>49218</v>
      </c>
      <c r="B261" s="10">
        <f>26.8059 * CHOOSE(CONTROL!$C$15, $E$9, 100%, $G$9) + CHOOSE(CONTROL!$C$38, 0.0266, 0)</f>
        <v>26.8325</v>
      </c>
      <c r="C261" s="10">
        <f>24.6633 * CHOOSE(CONTROL!$C$15, $E$9, 100%, $G$9) + CHOOSE(CONTROL!$C$38, 0.0357, 0)</f>
        <v>24.698999999999998</v>
      </c>
      <c r="D261" s="10">
        <f>24.6555 * CHOOSE(CONTROL!$C$15, $E$9, 100%, $G$9) + CHOOSE(CONTROL!$C$38, 0.0357, 0)</f>
        <v>24.691199999999998</v>
      </c>
      <c r="E261" s="28">
        <f>26.6496 * CHOOSE(CONTROL!$C$15, $E$9, 100%, $G$9) + CHOOSE(CONTROL!$C$38, 0.0357, 0)</f>
        <v>26.685299999999998</v>
      </c>
      <c r="F261" s="27">
        <f>26.6496 * CHOOSE(CONTROL!$C$15, $E$9, 100%, $G$9) + CHOOSE(CONTROL!$C$38, 0.0266, 0)</f>
        <v>26.676199999999998</v>
      </c>
      <c r="G261" s="10">
        <f>24.6617 * CHOOSE(CONTROL!$C$15, $E$9, 100%, $G$9) + CHOOSE(CONTROL!$C$38, 0.0357, 0)</f>
        <v>24.697399999999998</v>
      </c>
      <c r="H261" s="10">
        <f>24.6617 * CHOOSE(CONTROL!$C$15, $E$9, 100%, $G$9) + CHOOSE(CONTROL!$C$38, 0.0357, 0)</f>
        <v>24.697399999999998</v>
      </c>
      <c r="I261" s="10">
        <f>24.6633 * CHOOSE(CONTROL!$C$15, $E$9, 100%, $G$9) + CHOOSE(CONTROL!$C$38, 0.0357, 0)</f>
        <v>24.698999999999998</v>
      </c>
      <c r="J261" s="26">
        <f>165.7582</f>
        <v>165.75819999999999</v>
      </c>
    </row>
    <row r="262" spans="1:10" ht="15">
      <c r="A262" s="16">
        <v>49249</v>
      </c>
      <c r="B262" s="10">
        <f>26.9993 * CHOOSE(CONTROL!$C$15, $E$9, 100%, $G$9) + CHOOSE(CONTROL!$C$38, 0.0266, 0)</f>
        <v>27.0259</v>
      </c>
      <c r="C262" s="10">
        <f>24.8567 * CHOOSE(CONTROL!$C$15, $E$9, 100%, $G$9) + CHOOSE(CONTROL!$C$38, 0.0357, 0)</f>
        <v>24.892399999999999</v>
      </c>
      <c r="D262" s="10">
        <f>24.8489 * CHOOSE(CONTROL!$C$15, $E$9, 100%, $G$9) + CHOOSE(CONTROL!$C$38, 0.0357, 0)</f>
        <v>24.884599999999999</v>
      </c>
      <c r="E262" s="28">
        <f>26.843 * CHOOSE(CONTROL!$C$15, $E$9, 100%, $G$9) + CHOOSE(CONTROL!$C$38, 0.0357, 0)</f>
        <v>26.878699999999998</v>
      </c>
      <c r="F262" s="27">
        <f>26.843 * CHOOSE(CONTROL!$C$15, $E$9, 100%, $G$9) + CHOOSE(CONTROL!$C$38, 0.0266, 0)</f>
        <v>26.869599999999998</v>
      </c>
      <c r="G262" s="10">
        <f>24.8552 * CHOOSE(CONTROL!$C$15, $E$9, 100%, $G$9) + CHOOSE(CONTROL!$C$38, 0.0357, 0)</f>
        <v>24.890899999999998</v>
      </c>
      <c r="H262" s="10">
        <f>24.8552 * CHOOSE(CONTROL!$C$15, $E$9, 100%, $G$9) + CHOOSE(CONTROL!$C$38, 0.0357, 0)</f>
        <v>24.890899999999998</v>
      </c>
      <c r="I262" s="10">
        <f>24.8567 * CHOOSE(CONTROL!$C$15, $E$9, 100%, $G$9) + CHOOSE(CONTROL!$C$38, 0.0357, 0)</f>
        <v>24.892399999999999</v>
      </c>
      <c r="J262" s="26">
        <f>164.5771</f>
        <v>164.5771</v>
      </c>
    </row>
    <row r="263" spans="1:10" ht="15">
      <c r="A263" s="16">
        <v>49279</v>
      </c>
      <c r="B263" s="10">
        <f>27.5954 * CHOOSE(CONTROL!$C$15, $E$9, 100%, $G$9) + CHOOSE(CONTROL!$C$38, 0.0266, 0)</f>
        <v>27.622</v>
      </c>
      <c r="C263" s="10">
        <f>25.4528 * CHOOSE(CONTROL!$C$15, $E$9, 100%, $G$9) + CHOOSE(CONTROL!$C$38, 0.0357, 0)</f>
        <v>25.488499999999998</v>
      </c>
      <c r="D263" s="10">
        <f>25.445 * CHOOSE(CONTROL!$C$15, $E$9, 100%, $G$9) + CHOOSE(CONTROL!$C$38, 0.0357, 0)</f>
        <v>25.480699999999999</v>
      </c>
      <c r="E263" s="28">
        <f>27.4391 * CHOOSE(CONTROL!$C$15, $E$9, 100%, $G$9) + CHOOSE(CONTROL!$C$38, 0.0357, 0)</f>
        <v>27.474799999999998</v>
      </c>
      <c r="F263" s="27">
        <f>27.4391 * CHOOSE(CONTROL!$C$15, $E$9, 100%, $G$9) + CHOOSE(CONTROL!$C$38, 0.0266, 0)</f>
        <v>27.465699999999998</v>
      </c>
      <c r="G263" s="10">
        <f>25.4512 * CHOOSE(CONTROL!$C$15, $E$9, 100%, $G$9) + CHOOSE(CONTROL!$C$38, 0.0357, 0)</f>
        <v>25.486899999999999</v>
      </c>
      <c r="H263" s="10">
        <f>25.4512 * CHOOSE(CONTROL!$C$15, $E$9, 100%, $G$9) + CHOOSE(CONTROL!$C$38, 0.0357, 0)</f>
        <v>25.486899999999999</v>
      </c>
      <c r="I263" s="10">
        <f>25.4528 * CHOOSE(CONTROL!$C$15, $E$9, 100%, $G$9) + CHOOSE(CONTROL!$C$38, 0.0357, 0)</f>
        <v>25.488499999999998</v>
      </c>
      <c r="J263" s="26">
        <f>159.6933</f>
        <v>159.69329999999999</v>
      </c>
    </row>
    <row r="264" spans="1:10" ht="15">
      <c r="A264" s="16">
        <v>49310</v>
      </c>
      <c r="B264" s="10">
        <f>28.5329 * CHOOSE(CONTROL!$C$15, $E$9, 100%, $G$9) + CHOOSE(CONTROL!$C$38, 0.0266, 0)</f>
        <v>28.5595</v>
      </c>
      <c r="C264" s="10">
        <f>26.3552 * CHOOSE(CONTROL!$C$15, $E$9, 100%, $G$9) + CHOOSE(CONTROL!$C$38, 0.0357, 0)</f>
        <v>26.390899999999998</v>
      </c>
      <c r="D264" s="10">
        <f>26.3474 * CHOOSE(CONTROL!$C$15, $E$9, 100%, $G$9) + CHOOSE(CONTROL!$C$38, 0.0357, 0)</f>
        <v>26.383099999999999</v>
      </c>
      <c r="E264" s="28">
        <f>28.3766 * CHOOSE(CONTROL!$C$15, $E$9, 100%, $G$9) + CHOOSE(CONTROL!$C$38, 0.0357, 0)</f>
        <v>28.412299999999998</v>
      </c>
      <c r="F264" s="27">
        <f>28.3766 * CHOOSE(CONTROL!$C$15, $E$9, 100%, $G$9) + CHOOSE(CONTROL!$C$38, 0.0266, 0)</f>
        <v>28.403199999999998</v>
      </c>
      <c r="G264" s="10">
        <f>26.3537 * CHOOSE(CONTROL!$C$15, $E$9, 100%, $G$9) + CHOOSE(CONTROL!$C$38, 0.0357, 0)</f>
        <v>26.389399999999998</v>
      </c>
      <c r="H264" s="10">
        <f>26.3537 * CHOOSE(CONTROL!$C$15, $E$9, 100%, $G$9) + CHOOSE(CONTROL!$C$38, 0.0357, 0)</f>
        <v>26.389399999999998</v>
      </c>
      <c r="I264" s="10">
        <f>26.3552 * CHOOSE(CONTROL!$C$15, $E$9, 100%, $G$9) + CHOOSE(CONTROL!$C$38, 0.0357, 0)</f>
        <v>26.390899999999998</v>
      </c>
      <c r="J264" s="26">
        <f>158.6236</f>
        <v>158.62360000000001</v>
      </c>
    </row>
    <row r="265" spans="1:10" ht="15">
      <c r="A265" s="16">
        <v>49341</v>
      </c>
      <c r="B265" s="10">
        <f>28.7536 * CHOOSE(CONTROL!$C$15, $E$9, 100%, $G$9) + CHOOSE(CONTROL!$C$38, 0.0266, 0)</f>
        <v>28.780199999999997</v>
      </c>
      <c r="C265" s="10">
        <f>26.576 * CHOOSE(CONTROL!$C$15, $E$9, 100%, $G$9) + CHOOSE(CONTROL!$C$38, 0.0357, 0)</f>
        <v>26.611699999999999</v>
      </c>
      <c r="D265" s="10">
        <f>26.5682 * CHOOSE(CONTROL!$C$15, $E$9, 100%, $G$9) + CHOOSE(CONTROL!$C$38, 0.0357, 0)</f>
        <v>26.603899999999999</v>
      </c>
      <c r="E265" s="28">
        <f>28.5974 * CHOOSE(CONTROL!$C$15, $E$9, 100%, $G$9) + CHOOSE(CONTROL!$C$38, 0.0357, 0)</f>
        <v>28.633099999999999</v>
      </c>
      <c r="F265" s="27">
        <f>28.5974 * CHOOSE(CONTROL!$C$15, $E$9, 100%, $G$9) + CHOOSE(CONTROL!$C$38, 0.0266, 0)</f>
        <v>28.623999999999999</v>
      </c>
      <c r="G265" s="10">
        <f>26.5744 * CHOOSE(CONTROL!$C$15, $E$9, 100%, $G$9) + CHOOSE(CONTROL!$C$38, 0.0357, 0)</f>
        <v>26.610099999999999</v>
      </c>
      <c r="H265" s="10">
        <f>26.5744 * CHOOSE(CONTROL!$C$15, $E$9, 100%, $G$9) + CHOOSE(CONTROL!$C$38, 0.0357, 0)</f>
        <v>26.610099999999999</v>
      </c>
      <c r="I265" s="10">
        <f>26.576 * CHOOSE(CONTROL!$C$15, $E$9, 100%, $G$9) + CHOOSE(CONTROL!$C$38, 0.0357, 0)</f>
        <v>26.611699999999999</v>
      </c>
      <c r="J265" s="26">
        <f>158.1826</f>
        <v>158.18260000000001</v>
      </c>
    </row>
    <row r="266" spans="1:10" ht="15">
      <c r="A266" s="16">
        <v>49369</v>
      </c>
      <c r="B266" s="10">
        <f>28.2426 * CHOOSE(CONTROL!$C$15, $E$9, 100%, $G$9) + CHOOSE(CONTROL!$C$38, 0.0266, 0)</f>
        <v>28.269199999999998</v>
      </c>
      <c r="C266" s="10">
        <f>26.065 * CHOOSE(CONTROL!$C$15, $E$9, 100%, $G$9) + CHOOSE(CONTROL!$C$38, 0.0357, 0)</f>
        <v>26.1007</v>
      </c>
      <c r="D266" s="10">
        <f>26.0571 * CHOOSE(CONTROL!$C$15, $E$9, 100%, $G$9) + CHOOSE(CONTROL!$C$38, 0.0357, 0)</f>
        <v>26.092799999999997</v>
      </c>
      <c r="E266" s="28">
        <f>28.0864 * CHOOSE(CONTROL!$C$15, $E$9, 100%, $G$9) + CHOOSE(CONTROL!$C$38, 0.0357, 0)</f>
        <v>28.1221</v>
      </c>
      <c r="F266" s="27">
        <f>28.0864 * CHOOSE(CONTROL!$C$15, $E$9, 100%, $G$9) + CHOOSE(CONTROL!$C$38, 0.0266, 0)</f>
        <v>28.113</v>
      </c>
      <c r="G266" s="10">
        <f>26.0634 * CHOOSE(CONTROL!$C$15, $E$9, 100%, $G$9) + CHOOSE(CONTROL!$C$38, 0.0357, 0)</f>
        <v>26.0991</v>
      </c>
      <c r="H266" s="10">
        <f>26.0634 * CHOOSE(CONTROL!$C$15, $E$9, 100%, $G$9) + CHOOSE(CONTROL!$C$38, 0.0357, 0)</f>
        <v>26.0991</v>
      </c>
      <c r="I266" s="10">
        <f>26.065 * CHOOSE(CONTROL!$C$15, $E$9, 100%, $G$9) + CHOOSE(CONTROL!$C$38, 0.0357, 0)</f>
        <v>26.1007</v>
      </c>
      <c r="J266" s="26">
        <f>166.5198</f>
        <v>166.5198</v>
      </c>
    </row>
    <row r="267" spans="1:10" ht="15">
      <c r="A267" s="16">
        <v>49400</v>
      </c>
      <c r="B267" s="10">
        <f>27.7474 * CHOOSE(CONTROL!$C$15, $E$9, 100%, $G$9) + CHOOSE(CONTROL!$C$38, 0.0266, 0)</f>
        <v>27.773999999999997</v>
      </c>
      <c r="C267" s="10">
        <f>25.5698 * CHOOSE(CONTROL!$C$15, $E$9, 100%, $G$9) + CHOOSE(CONTROL!$C$38, 0.0357, 0)</f>
        <v>25.605499999999999</v>
      </c>
      <c r="D267" s="10">
        <f>25.562 * CHOOSE(CONTROL!$C$15, $E$9, 100%, $G$9) + CHOOSE(CONTROL!$C$38, 0.0357, 0)</f>
        <v>25.5977</v>
      </c>
      <c r="E267" s="28">
        <f>27.5912 * CHOOSE(CONTROL!$C$15, $E$9, 100%, $G$9) + CHOOSE(CONTROL!$C$38, 0.0357, 0)</f>
        <v>27.626899999999999</v>
      </c>
      <c r="F267" s="27">
        <f>27.5912 * CHOOSE(CONTROL!$C$15, $E$9, 100%, $G$9) + CHOOSE(CONTROL!$C$38, 0.0266, 0)</f>
        <v>27.617799999999999</v>
      </c>
      <c r="G267" s="10">
        <f>25.5682 * CHOOSE(CONTROL!$C$15, $E$9, 100%, $G$9) + CHOOSE(CONTROL!$C$38, 0.0357, 0)</f>
        <v>25.603899999999999</v>
      </c>
      <c r="H267" s="10">
        <f>25.5682 * CHOOSE(CONTROL!$C$15, $E$9, 100%, $G$9) + CHOOSE(CONTROL!$C$38, 0.0357, 0)</f>
        <v>25.603899999999999</v>
      </c>
      <c r="I267" s="10">
        <f>25.5698 * CHOOSE(CONTROL!$C$15, $E$9, 100%, $G$9) + CHOOSE(CONTROL!$C$38, 0.0357, 0)</f>
        <v>25.605499999999999</v>
      </c>
      <c r="J267" s="26">
        <f>177.3311</f>
        <v>177.33109999999999</v>
      </c>
    </row>
    <row r="268" spans="1:10" ht="15">
      <c r="A268" s="16">
        <v>49430</v>
      </c>
      <c r="B268" s="10">
        <f>27.2313 * CHOOSE(CONTROL!$C$15, $E$9, 100%, $G$9) + CHOOSE(CONTROL!$C$38, 0.0266, 0)</f>
        <v>27.257899999999999</v>
      </c>
      <c r="C268" s="10">
        <f>25.0537 * CHOOSE(CONTROL!$C$15, $E$9, 100%, $G$9) + CHOOSE(CONTROL!$C$38, 0.0357, 0)</f>
        <v>25.089399999999998</v>
      </c>
      <c r="D268" s="10">
        <f>25.0459 * CHOOSE(CONTROL!$C$15, $E$9, 100%, $G$9) + CHOOSE(CONTROL!$C$38, 0.0357, 0)</f>
        <v>25.081599999999998</v>
      </c>
      <c r="E268" s="28">
        <f>27.0751 * CHOOSE(CONTROL!$C$15, $E$9, 100%, $G$9) + CHOOSE(CONTROL!$C$38, 0.0357, 0)</f>
        <v>27.110799999999998</v>
      </c>
      <c r="F268" s="27">
        <f>27.0751 * CHOOSE(CONTROL!$C$15, $E$9, 100%, $G$9) + CHOOSE(CONTROL!$C$38, 0.0266, 0)</f>
        <v>27.101699999999997</v>
      </c>
      <c r="G268" s="10">
        <f>25.0521 * CHOOSE(CONTROL!$C$15, $E$9, 100%, $G$9) + CHOOSE(CONTROL!$C$38, 0.0357, 0)</f>
        <v>25.087799999999998</v>
      </c>
      <c r="H268" s="10">
        <f>25.0521 * CHOOSE(CONTROL!$C$15, $E$9, 100%, $G$9) + CHOOSE(CONTROL!$C$38, 0.0357, 0)</f>
        <v>25.087799999999998</v>
      </c>
      <c r="I268" s="10">
        <f>25.0537 * CHOOSE(CONTROL!$C$15, $E$9, 100%, $G$9) + CHOOSE(CONTROL!$C$38, 0.0357, 0)</f>
        <v>25.089399999999998</v>
      </c>
      <c r="J268" s="26">
        <f>183.2819</f>
        <v>183.28190000000001</v>
      </c>
    </row>
    <row r="269" spans="1:10" ht="15">
      <c r="A269" s="15">
        <v>49461</v>
      </c>
      <c r="B269" s="10">
        <f>26.8695 * CHOOSE(CONTROL!$C$15, $E$9, 100%, $G$9) + CHOOSE(CONTROL!$C$38, 0.0266, 0)</f>
        <v>26.896099999999997</v>
      </c>
      <c r="C269" s="10">
        <f>24.6918 * CHOOSE(CONTROL!$C$15, $E$9, 100%, $G$9) + CHOOSE(CONTROL!$C$38, 0.0357, 0)</f>
        <v>24.727499999999999</v>
      </c>
      <c r="D269" s="10">
        <f>24.684 * CHOOSE(CONTROL!$C$15, $E$9, 100%, $G$9) + CHOOSE(CONTROL!$C$38, 0.0357, 0)</f>
        <v>24.7197</v>
      </c>
      <c r="E269" s="28">
        <f>26.7132 * CHOOSE(CONTROL!$C$15, $E$9, 100%, $G$9) + CHOOSE(CONTROL!$C$38, 0.0357, 0)</f>
        <v>26.748899999999999</v>
      </c>
      <c r="F269" s="27">
        <f>26.7132 * CHOOSE(CONTROL!$C$15, $E$9, 100%, $G$9) + CHOOSE(CONTROL!$C$38, 0.0266, 0)</f>
        <v>26.739799999999999</v>
      </c>
      <c r="G269" s="10">
        <f>24.6903 * CHOOSE(CONTROL!$C$15, $E$9, 100%, $G$9) + CHOOSE(CONTROL!$C$38, 0.0357, 0)</f>
        <v>24.725999999999999</v>
      </c>
      <c r="H269" s="10">
        <f>24.6903 * CHOOSE(CONTROL!$C$15, $E$9, 100%, $G$9) + CHOOSE(CONTROL!$C$38, 0.0357, 0)</f>
        <v>24.725999999999999</v>
      </c>
      <c r="I269" s="10">
        <f>24.6918 * CHOOSE(CONTROL!$C$15, $E$9, 100%, $G$9) + CHOOSE(CONTROL!$C$38, 0.0357, 0)</f>
        <v>24.727499999999999</v>
      </c>
      <c r="J269" s="26">
        <f>185.9228</f>
        <v>185.9228</v>
      </c>
    </row>
    <row r="270" spans="1:10" ht="15">
      <c r="A270" s="15">
        <v>49491</v>
      </c>
      <c r="B270" s="10">
        <f>26.663 * CHOOSE(CONTROL!$C$15, $E$9, 100%, $G$9) + CHOOSE(CONTROL!$C$38, 0.0266, 0)</f>
        <v>26.689599999999999</v>
      </c>
      <c r="C270" s="10">
        <f>24.4853 * CHOOSE(CONTROL!$C$15, $E$9, 100%, $G$9) + CHOOSE(CONTROL!$C$38, 0.0357, 0)</f>
        <v>24.520999999999997</v>
      </c>
      <c r="D270" s="10">
        <f>24.4775 * CHOOSE(CONTROL!$C$15, $E$9, 100%, $G$9) + CHOOSE(CONTROL!$C$38, 0.0357, 0)</f>
        <v>24.513199999999998</v>
      </c>
      <c r="E270" s="28">
        <f>26.5067 * CHOOSE(CONTROL!$C$15, $E$9, 100%, $G$9) + CHOOSE(CONTROL!$C$38, 0.0357, 0)</f>
        <v>26.542399999999997</v>
      </c>
      <c r="F270" s="27">
        <f>26.5067 * CHOOSE(CONTROL!$C$15, $E$9, 100%, $G$9) + CHOOSE(CONTROL!$C$38, 0.0266, 0)</f>
        <v>26.533299999999997</v>
      </c>
      <c r="G270" s="10">
        <f>24.4838 * CHOOSE(CONTROL!$C$15, $E$9, 100%, $G$9) + CHOOSE(CONTROL!$C$38, 0.0357, 0)</f>
        <v>24.519499999999997</v>
      </c>
      <c r="H270" s="10">
        <f>24.4838 * CHOOSE(CONTROL!$C$15, $E$9, 100%, $G$9) + CHOOSE(CONTROL!$C$38, 0.0357, 0)</f>
        <v>24.519499999999997</v>
      </c>
      <c r="I270" s="10">
        <f>24.4853 * CHOOSE(CONTROL!$C$15, $E$9, 100%, $G$9) + CHOOSE(CONTROL!$C$38, 0.0357, 0)</f>
        <v>24.520999999999997</v>
      </c>
      <c r="J270" s="26">
        <f>185.0533</f>
        <v>185.05330000000001</v>
      </c>
    </row>
    <row r="271" spans="1:10" ht="15">
      <c r="A271" s="15">
        <v>49522</v>
      </c>
      <c r="B271" s="10">
        <f>26.7649 * CHOOSE(CONTROL!$C$15, $E$9, 100%, $G$9) + CHOOSE(CONTROL!$C$38, 0.0266, 0)</f>
        <v>26.791499999999999</v>
      </c>
      <c r="C271" s="10">
        <f>24.5873 * CHOOSE(CONTROL!$C$15, $E$9, 100%, $G$9) + CHOOSE(CONTROL!$C$38, 0.0357, 0)</f>
        <v>24.622999999999998</v>
      </c>
      <c r="D271" s="10">
        <f>24.5794 * CHOOSE(CONTROL!$C$15, $E$9, 100%, $G$9) + CHOOSE(CONTROL!$C$38, 0.0357, 0)</f>
        <v>24.615099999999998</v>
      </c>
      <c r="E271" s="28">
        <f>26.6087 * CHOOSE(CONTROL!$C$15, $E$9, 100%, $G$9) + CHOOSE(CONTROL!$C$38, 0.0357, 0)</f>
        <v>26.644399999999997</v>
      </c>
      <c r="F271" s="27">
        <f>26.6087 * CHOOSE(CONTROL!$C$15, $E$9, 100%, $G$9) + CHOOSE(CONTROL!$C$38, 0.0266, 0)</f>
        <v>26.635299999999997</v>
      </c>
      <c r="G271" s="10">
        <f>24.5857 * CHOOSE(CONTROL!$C$15, $E$9, 100%, $G$9) + CHOOSE(CONTROL!$C$38, 0.0357, 0)</f>
        <v>24.621399999999998</v>
      </c>
      <c r="H271" s="10">
        <f>24.5857 * CHOOSE(CONTROL!$C$15, $E$9, 100%, $G$9) + CHOOSE(CONTROL!$C$38, 0.0357, 0)</f>
        <v>24.621399999999998</v>
      </c>
      <c r="I271" s="10">
        <f>24.5873 * CHOOSE(CONTROL!$C$15, $E$9, 100%, $G$9) + CHOOSE(CONTROL!$C$38, 0.0357, 0)</f>
        <v>24.622999999999998</v>
      </c>
      <c r="J271" s="26">
        <f>180.7454</f>
        <v>180.74539999999999</v>
      </c>
    </row>
    <row r="272" spans="1:10" ht="15">
      <c r="A272" s="15">
        <v>49553</v>
      </c>
      <c r="B272" s="10">
        <f>27.0417 * CHOOSE(CONTROL!$C$15, $E$9, 100%, $G$9) + CHOOSE(CONTROL!$C$38, 0.0266, 0)</f>
        <v>27.068299999999997</v>
      </c>
      <c r="C272" s="10">
        <f>24.8641 * CHOOSE(CONTROL!$C$15, $E$9, 100%, $G$9) + CHOOSE(CONTROL!$C$38, 0.0357, 0)</f>
        <v>24.899799999999999</v>
      </c>
      <c r="D272" s="10">
        <f>24.8562 * CHOOSE(CONTROL!$C$15, $E$9, 100%, $G$9) + CHOOSE(CONTROL!$C$38, 0.0357, 0)</f>
        <v>24.8919</v>
      </c>
      <c r="E272" s="28">
        <f>26.8854 * CHOOSE(CONTROL!$C$15, $E$9, 100%, $G$9) + CHOOSE(CONTROL!$C$38, 0.0357, 0)</f>
        <v>26.921099999999999</v>
      </c>
      <c r="F272" s="27">
        <f>26.8854 * CHOOSE(CONTROL!$C$15, $E$9, 100%, $G$9) + CHOOSE(CONTROL!$C$38, 0.0266, 0)</f>
        <v>26.911999999999999</v>
      </c>
      <c r="G272" s="10">
        <f>24.8625 * CHOOSE(CONTROL!$C$15, $E$9, 100%, $G$9) + CHOOSE(CONTROL!$C$38, 0.0357, 0)</f>
        <v>24.898199999999999</v>
      </c>
      <c r="H272" s="10">
        <f>24.8625 * CHOOSE(CONTROL!$C$15, $E$9, 100%, $G$9) + CHOOSE(CONTROL!$C$38, 0.0357, 0)</f>
        <v>24.898199999999999</v>
      </c>
      <c r="I272" s="10">
        <f>24.8641 * CHOOSE(CONTROL!$C$15, $E$9, 100%, $G$9) + CHOOSE(CONTROL!$C$38, 0.0357, 0)</f>
        <v>24.899799999999999</v>
      </c>
      <c r="J272" s="26">
        <f>174.7377</f>
        <v>174.73769999999999</v>
      </c>
    </row>
    <row r="273" spans="1:10" ht="15">
      <c r="A273" s="15">
        <v>49583</v>
      </c>
      <c r="B273" s="10">
        <f>27.2735 * CHOOSE(CONTROL!$C$15, $E$9, 100%, $G$9) + CHOOSE(CONTROL!$C$38, 0.0266, 0)</f>
        <v>27.300099999999997</v>
      </c>
      <c r="C273" s="10">
        <f>25.0959 * CHOOSE(CONTROL!$C$15, $E$9, 100%, $G$9) + CHOOSE(CONTROL!$C$38, 0.0357, 0)</f>
        <v>25.131599999999999</v>
      </c>
      <c r="D273" s="10">
        <f>25.0881 * CHOOSE(CONTROL!$C$15, $E$9, 100%, $G$9) + CHOOSE(CONTROL!$C$38, 0.0357, 0)</f>
        <v>25.123799999999999</v>
      </c>
      <c r="E273" s="28">
        <f>27.1173 * CHOOSE(CONTROL!$C$15, $E$9, 100%, $G$9) + CHOOSE(CONTROL!$C$38, 0.0357, 0)</f>
        <v>27.152999999999999</v>
      </c>
      <c r="F273" s="27">
        <f>27.1173 * CHOOSE(CONTROL!$C$15, $E$9, 100%, $G$9) + CHOOSE(CONTROL!$C$38, 0.0266, 0)</f>
        <v>27.143899999999999</v>
      </c>
      <c r="G273" s="10">
        <f>25.0943 * CHOOSE(CONTROL!$C$15, $E$9, 100%, $G$9) + CHOOSE(CONTROL!$C$38, 0.0357, 0)</f>
        <v>25.13</v>
      </c>
      <c r="H273" s="10">
        <f>25.0943 * CHOOSE(CONTROL!$C$15, $E$9, 100%, $G$9) + CHOOSE(CONTROL!$C$38, 0.0357, 0)</f>
        <v>25.13</v>
      </c>
      <c r="I273" s="10">
        <f>25.0959 * CHOOSE(CONTROL!$C$15, $E$9, 100%, $G$9) + CHOOSE(CONTROL!$C$38, 0.0357, 0)</f>
        <v>25.131599999999999</v>
      </c>
      <c r="J273" s="26">
        <f>168.6951</f>
        <v>168.6951</v>
      </c>
    </row>
    <row r="274" spans="1:10" ht="15">
      <c r="A274" s="15">
        <v>49614</v>
      </c>
      <c r="B274" s="10">
        <f>27.467 * CHOOSE(CONTROL!$C$15, $E$9, 100%, $G$9) + CHOOSE(CONTROL!$C$38, 0.0266, 0)</f>
        <v>27.493599999999997</v>
      </c>
      <c r="C274" s="10">
        <f>25.2893 * CHOOSE(CONTROL!$C$15, $E$9, 100%, $G$9) + CHOOSE(CONTROL!$C$38, 0.0357, 0)</f>
        <v>25.324999999999999</v>
      </c>
      <c r="D274" s="10">
        <f>25.2815 * CHOOSE(CONTROL!$C$15, $E$9, 100%, $G$9) + CHOOSE(CONTROL!$C$38, 0.0357, 0)</f>
        <v>25.3172</v>
      </c>
      <c r="E274" s="28">
        <f>27.3107 * CHOOSE(CONTROL!$C$15, $E$9, 100%, $G$9) + CHOOSE(CONTROL!$C$38, 0.0357, 0)</f>
        <v>27.346399999999999</v>
      </c>
      <c r="F274" s="27">
        <f>27.3107 * CHOOSE(CONTROL!$C$15, $E$9, 100%, $G$9) + CHOOSE(CONTROL!$C$38, 0.0266, 0)</f>
        <v>27.337299999999999</v>
      </c>
      <c r="G274" s="10">
        <f>25.2878 * CHOOSE(CONTROL!$C$15, $E$9, 100%, $G$9) + CHOOSE(CONTROL!$C$38, 0.0357, 0)</f>
        <v>25.323499999999999</v>
      </c>
      <c r="H274" s="10">
        <f>25.2878 * CHOOSE(CONTROL!$C$15, $E$9, 100%, $G$9) + CHOOSE(CONTROL!$C$38, 0.0357, 0)</f>
        <v>25.323499999999999</v>
      </c>
      <c r="I274" s="10">
        <f>25.2893 * CHOOSE(CONTROL!$C$15, $E$9, 100%, $G$9) + CHOOSE(CONTROL!$C$38, 0.0357, 0)</f>
        <v>25.324999999999999</v>
      </c>
      <c r="J274" s="26">
        <f>167.4931</f>
        <v>167.4931</v>
      </c>
    </row>
    <row r="275" spans="1:10" ht="15">
      <c r="A275" s="15">
        <v>49644</v>
      </c>
      <c r="B275" s="10">
        <f>28.063 * CHOOSE(CONTROL!$C$15, $E$9, 100%, $G$9) + CHOOSE(CONTROL!$C$38, 0.0266, 0)</f>
        <v>28.089599999999997</v>
      </c>
      <c r="C275" s="10">
        <f>25.8854 * CHOOSE(CONTROL!$C$15, $E$9, 100%, $G$9) + CHOOSE(CONTROL!$C$38, 0.0357, 0)</f>
        <v>25.921099999999999</v>
      </c>
      <c r="D275" s="10">
        <f>25.8776 * CHOOSE(CONTROL!$C$15, $E$9, 100%, $G$9) + CHOOSE(CONTROL!$C$38, 0.0357, 0)</f>
        <v>25.9133</v>
      </c>
      <c r="E275" s="28">
        <f>27.9068 * CHOOSE(CONTROL!$C$15, $E$9, 100%, $G$9) + CHOOSE(CONTROL!$C$38, 0.0357, 0)</f>
        <v>27.942499999999999</v>
      </c>
      <c r="F275" s="27">
        <f>27.9068 * CHOOSE(CONTROL!$C$15, $E$9, 100%, $G$9) + CHOOSE(CONTROL!$C$38, 0.0266, 0)</f>
        <v>27.933399999999999</v>
      </c>
      <c r="G275" s="10">
        <f>25.8838 * CHOOSE(CONTROL!$C$15, $E$9, 100%, $G$9) + CHOOSE(CONTROL!$C$38, 0.0357, 0)</f>
        <v>25.919499999999999</v>
      </c>
      <c r="H275" s="10">
        <f>25.8838 * CHOOSE(CONTROL!$C$15, $E$9, 100%, $G$9) + CHOOSE(CONTROL!$C$38, 0.0357, 0)</f>
        <v>25.919499999999999</v>
      </c>
      <c r="I275" s="10">
        <f>25.8854 * CHOOSE(CONTROL!$C$15, $E$9, 100%, $G$9) + CHOOSE(CONTROL!$C$38, 0.0357, 0)</f>
        <v>25.921099999999999</v>
      </c>
      <c r="J275" s="26">
        <f>162.5227</f>
        <v>162.52269999999999</v>
      </c>
    </row>
    <row r="276" spans="1:10" ht="15">
      <c r="A276" s="15">
        <v>49675</v>
      </c>
      <c r="B276" s="10">
        <f>29.0088 * CHOOSE(CONTROL!$C$15, $E$9, 100%, $G$9) + CHOOSE(CONTROL!$C$38, 0.0266, 0)</f>
        <v>29.035399999999999</v>
      </c>
      <c r="C276" s="10">
        <f>26.7954 * CHOOSE(CONTROL!$C$15, $E$9, 100%, $G$9) + CHOOSE(CONTROL!$C$38, 0.0357, 0)</f>
        <v>26.831099999999999</v>
      </c>
      <c r="D276" s="10">
        <f>26.7876 * CHOOSE(CONTROL!$C$15, $E$9, 100%, $G$9) + CHOOSE(CONTROL!$C$38, 0.0357, 0)</f>
        <v>26.8233</v>
      </c>
      <c r="E276" s="28">
        <f>28.8526 * CHOOSE(CONTROL!$C$15, $E$9, 100%, $G$9) + CHOOSE(CONTROL!$C$38, 0.0357, 0)</f>
        <v>28.888299999999997</v>
      </c>
      <c r="F276" s="27">
        <f>28.8526 * CHOOSE(CONTROL!$C$15, $E$9, 100%, $G$9) + CHOOSE(CONTROL!$C$38, 0.0266, 0)</f>
        <v>28.879199999999997</v>
      </c>
      <c r="G276" s="10">
        <f>26.7939 * CHOOSE(CONTROL!$C$15, $E$9, 100%, $G$9) + CHOOSE(CONTROL!$C$38, 0.0357, 0)</f>
        <v>26.829599999999999</v>
      </c>
      <c r="H276" s="10">
        <f>26.7939 * CHOOSE(CONTROL!$C$15, $E$9, 100%, $G$9) + CHOOSE(CONTROL!$C$38, 0.0357, 0)</f>
        <v>26.829599999999999</v>
      </c>
      <c r="I276" s="10">
        <f>26.7954 * CHOOSE(CONTROL!$C$15, $E$9, 100%, $G$9) + CHOOSE(CONTROL!$C$38, 0.0357, 0)</f>
        <v>26.831099999999999</v>
      </c>
      <c r="J276" s="26">
        <f>161.4341</f>
        <v>161.4341</v>
      </c>
    </row>
    <row r="277" spans="1:10" ht="15">
      <c r="A277" s="15">
        <v>49706</v>
      </c>
      <c r="B277" s="10">
        <f>29.2296 * CHOOSE(CONTROL!$C$15, $E$9, 100%, $G$9) + CHOOSE(CONTROL!$C$38, 0.0266, 0)</f>
        <v>29.2562</v>
      </c>
      <c r="C277" s="10">
        <f>27.0162 * CHOOSE(CONTROL!$C$15, $E$9, 100%, $G$9) + CHOOSE(CONTROL!$C$38, 0.0357, 0)</f>
        <v>27.0519</v>
      </c>
      <c r="D277" s="10">
        <f>27.0084 * CHOOSE(CONTROL!$C$15, $E$9, 100%, $G$9) + CHOOSE(CONTROL!$C$38, 0.0357, 0)</f>
        <v>27.0441</v>
      </c>
      <c r="E277" s="28">
        <f>29.0733 * CHOOSE(CONTROL!$C$15, $E$9, 100%, $G$9) + CHOOSE(CONTROL!$C$38, 0.0357, 0)</f>
        <v>29.108999999999998</v>
      </c>
      <c r="F277" s="27">
        <f>29.0733 * CHOOSE(CONTROL!$C$15, $E$9, 100%, $G$9) + CHOOSE(CONTROL!$C$38, 0.0266, 0)</f>
        <v>29.099899999999998</v>
      </c>
      <c r="G277" s="10">
        <f>27.0146 * CHOOSE(CONTROL!$C$15, $E$9, 100%, $G$9) + CHOOSE(CONTROL!$C$38, 0.0357, 0)</f>
        <v>27.0503</v>
      </c>
      <c r="H277" s="10">
        <f>27.0146 * CHOOSE(CONTROL!$C$15, $E$9, 100%, $G$9) + CHOOSE(CONTROL!$C$38, 0.0357, 0)</f>
        <v>27.0503</v>
      </c>
      <c r="I277" s="10">
        <f>27.0162 * CHOOSE(CONTROL!$C$15, $E$9, 100%, $G$9) + CHOOSE(CONTROL!$C$38, 0.0357, 0)</f>
        <v>27.0519</v>
      </c>
      <c r="J277" s="26">
        <f>160.9853</f>
        <v>160.9853</v>
      </c>
    </row>
    <row r="278" spans="1:10" ht="15">
      <c r="A278" s="15">
        <v>49735</v>
      </c>
      <c r="B278" s="10">
        <f>28.7185 * CHOOSE(CONTROL!$C$15, $E$9, 100%, $G$9) + CHOOSE(CONTROL!$C$38, 0.0266, 0)</f>
        <v>28.745099999999997</v>
      </c>
      <c r="C278" s="10">
        <f>26.5052 * CHOOSE(CONTROL!$C$15, $E$9, 100%, $G$9) + CHOOSE(CONTROL!$C$38, 0.0357, 0)</f>
        <v>26.540899999999997</v>
      </c>
      <c r="D278" s="10">
        <f>26.4974 * CHOOSE(CONTROL!$C$15, $E$9, 100%, $G$9) + CHOOSE(CONTROL!$C$38, 0.0357, 0)</f>
        <v>26.533099999999997</v>
      </c>
      <c r="E278" s="28">
        <f>28.5623 * CHOOSE(CONTROL!$C$15, $E$9, 100%, $G$9) + CHOOSE(CONTROL!$C$38, 0.0357, 0)</f>
        <v>28.597999999999999</v>
      </c>
      <c r="F278" s="27">
        <f>28.5623 * CHOOSE(CONTROL!$C$15, $E$9, 100%, $G$9) + CHOOSE(CONTROL!$C$38, 0.0266, 0)</f>
        <v>28.588899999999999</v>
      </c>
      <c r="G278" s="10">
        <f>26.5036 * CHOOSE(CONTROL!$C$15, $E$9, 100%, $G$9) + CHOOSE(CONTROL!$C$38, 0.0357, 0)</f>
        <v>26.539299999999997</v>
      </c>
      <c r="H278" s="10">
        <f>26.5036 * CHOOSE(CONTROL!$C$15, $E$9, 100%, $G$9) + CHOOSE(CONTROL!$C$38, 0.0357, 0)</f>
        <v>26.539299999999997</v>
      </c>
      <c r="I278" s="10">
        <f>26.5052 * CHOOSE(CONTROL!$C$15, $E$9, 100%, $G$9) + CHOOSE(CONTROL!$C$38, 0.0357, 0)</f>
        <v>26.540899999999997</v>
      </c>
      <c r="J278" s="26">
        <f>169.4702</f>
        <v>169.47020000000001</v>
      </c>
    </row>
    <row r="279" spans="1:10" ht="15">
      <c r="A279" s="15">
        <v>49766</v>
      </c>
      <c r="B279" s="10">
        <f>28.2234 * CHOOSE(CONTROL!$C$15, $E$9, 100%, $G$9) + CHOOSE(CONTROL!$C$38, 0.0266, 0)</f>
        <v>28.25</v>
      </c>
      <c r="C279" s="10">
        <f>26.01 * CHOOSE(CONTROL!$C$15, $E$9, 100%, $G$9) + CHOOSE(CONTROL!$C$38, 0.0357, 0)</f>
        <v>26.0457</v>
      </c>
      <c r="D279" s="10">
        <f>26.0022 * CHOOSE(CONTROL!$C$15, $E$9, 100%, $G$9) + CHOOSE(CONTROL!$C$38, 0.0357, 0)</f>
        <v>26.037899999999997</v>
      </c>
      <c r="E279" s="28">
        <f>28.0671 * CHOOSE(CONTROL!$C$15, $E$9, 100%, $G$9) + CHOOSE(CONTROL!$C$38, 0.0357, 0)</f>
        <v>28.102799999999998</v>
      </c>
      <c r="F279" s="27">
        <f>28.0671 * CHOOSE(CONTROL!$C$15, $E$9, 100%, $G$9) + CHOOSE(CONTROL!$C$38, 0.0266, 0)</f>
        <v>28.093699999999998</v>
      </c>
      <c r="G279" s="10">
        <f>26.0084 * CHOOSE(CONTROL!$C$15, $E$9, 100%, $G$9) + CHOOSE(CONTROL!$C$38, 0.0357, 0)</f>
        <v>26.0441</v>
      </c>
      <c r="H279" s="10">
        <f>26.0084 * CHOOSE(CONTROL!$C$15, $E$9, 100%, $G$9) + CHOOSE(CONTROL!$C$38, 0.0357, 0)</f>
        <v>26.0441</v>
      </c>
      <c r="I279" s="10">
        <f>26.01 * CHOOSE(CONTROL!$C$15, $E$9, 100%, $G$9) + CHOOSE(CONTROL!$C$38, 0.0357, 0)</f>
        <v>26.0457</v>
      </c>
      <c r="J279" s="26">
        <f>180.473</f>
        <v>180.47300000000001</v>
      </c>
    </row>
    <row r="280" spans="1:10" ht="15">
      <c r="A280" s="15">
        <v>49796</v>
      </c>
      <c r="B280" s="10">
        <f>27.7072 * CHOOSE(CONTROL!$C$15, $E$9, 100%, $G$9) + CHOOSE(CONTROL!$C$38, 0.0266, 0)</f>
        <v>27.733799999999999</v>
      </c>
      <c r="C280" s="10">
        <f>25.4939 * CHOOSE(CONTROL!$C$15, $E$9, 100%, $G$9) + CHOOSE(CONTROL!$C$38, 0.0357, 0)</f>
        <v>25.529599999999999</v>
      </c>
      <c r="D280" s="10">
        <f>25.4861 * CHOOSE(CONTROL!$C$15, $E$9, 100%, $G$9) + CHOOSE(CONTROL!$C$38, 0.0357, 0)</f>
        <v>25.521799999999999</v>
      </c>
      <c r="E280" s="28">
        <f>27.551 * CHOOSE(CONTROL!$C$15, $E$9, 100%, $G$9) + CHOOSE(CONTROL!$C$38, 0.0357, 0)</f>
        <v>27.586699999999997</v>
      </c>
      <c r="F280" s="27">
        <f>27.551 * CHOOSE(CONTROL!$C$15, $E$9, 100%, $G$9) + CHOOSE(CONTROL!$C$38, 0.0266, 0)</f>
        <v>27.577599999999997</v>
      </c>
      <c r="G280" s="10">
        <f>25.4923 * CHOOSE(CONTROL!$C$15, $E$9, 100%, $G$9) + CHOOSE(CONTROL!$C$38, 0.0357, 0)</f>
        <v>25.527999999999999</v>
      </c>
      <c r="H280" s="10">
        <f>25.4923 * CHOOSE(CONTROL!$C$15, $E$9, 100%, $G$9) + CHOOSE(CONTROL!$C$38, 0.0357, 0)</f>
        <v>25.527999999999999</v>
      </c>
      <c r="I280" s="10">
        <f>25.4939 * CHOOSE(CONTROL!$C$15, $E$9, 100%, $G$9) + CHOOSE(CONTROL!$C$38, 0.0357, 0)</f>
        <v>25.529599999999999</v>
      </c>
      <c r="J280" s="26">
        <f>186.5293</f>
        <v>186.52930000000001</v>
      </c>
    </row>
    <row r="281" spans="1:10" ht="15">
      <c r="A281" s="15">
        <v>49827</v>
      </c>
      <c r="B281" s="10">
        <f>27.3454 * CHOOSE(CONTROL!$C$15, $E$9, 100%, $G$9) + CHOOSE(CONTROL!$C$38, 0.0266, 0)</f>
        <v>27.372</v>
      </c>
      <c r="C281" s="10">
        <f>25.1321 * CHOOSE(CONTROL!$C$15, $E$9, 100%, $G$9) + CHOOSE(CONTROL!$C$38, 0.0357, 0)</f>
        <v>25.1678</v>
      </c>
      <c r="D281" s="10">
        <f>25.1242 * CHOOSE(CONTROL!$C$15, $E$9, 100%, $G$9) + CHOOSE(CONTROL!$C$38, 0.0357, 0)</f>
        <v>25.159899999999997</v>
      </c>
      <c r="E281" s="28">
        <f>27.1892 * CHOOSE(CONTROL!$C$15, $E$9, 100%, $G$9) + CHOOSE(CONTROL!$C$38, 0.0357, 0)</f>
        <v>27.224899999999998</v>
      </c>
      <c r="F281" s="27">
        <f>27.1892 * CHOOSE(CONTROL!$C$15, $E$9, 100%, $G$9) + CHOOSE(CONTROL!$C$38, 0.0266, 0)</f>
        <v>27.215799999999998</v>
      </c>
      <c r="G281" s="10">
        <f>25.1305 * CHOOSE(CONTROL!$C$15, $E$9, 100%, $G$9) + CHOOSE(CONTROL!$C$38, 0.0357, 0)</f>
        <v>25.1662</v>
      </c>
      <c r="H281" s="10">
        <f>25.1305 * CHOOSE(CONTROL!$C$15, $E$9, 100%, $G$9) + CHOOSE(CONTROL!$C$38, 0.0357, 0)</f>
        <v>25.1662</v>
      </c>
      <c r="I281" s="10">
        <f>25.1321 * CHOOSE(CONTROL!$C$15, $E$9, 100%, $G$9) + CHOOSE(CONTROL!$C$38, 0.0357, 0)</f>
        <v>25.1678</v>
      </c>
      <c r="J281" s="26">
        <f>189.217</f>
        <v>189.21700000000001</v>
      </c>
    </row>
    <row r="282" spans="1:10" ht="15">
      <c r="A282" s="15">
        <v>49857</v>
      </c>
      <c r="B282" s="10">
        <f>27.1389 * CHOOSE(CONTROL!$C$15, $E$9, 100%, $G$9) + CHOOSE(CONTROL!$C$38, 0.0266, 0)</f>
        <v>27.165499999999998</v>
      </c>
      <c r="C282" s="10">
        <f>24.9256 * CHOOSE(CONTROL!$C$15, $E$9, 100%, $G$9) + CHOOSE(CONTROL!$C$38, 0.0357, 0)</f>
        <v>24.961299999999998</v>
      </c>
      <c r="D282" s="10">
        <f>24.9177 * CHOOSE(CONTROL!$C$15, $E$9, 100%, $G$9) + CHOOSE(CONTROL!$C$38, 0.0357, 0)</f>
        <v>24.953399999999998</v>
      </c>
      <c r="E282" s="28">
        <f>26.9827 * CHOOSE(CONTROL!$C$15, $E$9, 100%, $G$9) + CHOOSE(CONTROL!$C$38, 0.0357, 0)</f>
        <v>27.0184</v>
      </c>
      <c r="F282" s="27">
        <f>26.9827 * CHOOSE(CONTROL!$C$15, $E$9, 100%, $G$9) + CHOOSE(CONTROL!$C$38, 0.0266, 0)</f>
        <v>27.0093</v>
      </c>
      <c r="G282" s="10">
        <f>24.924 * CHOOSE(CONTROL!$C$15, $E$9, 100%, $G$9) + CHOOSE(CONTROL!$C$38, 0.0357, 0)</f>
        <v>24.959699999999998</v>
      </c>
      <c r="H282" s="10">
        <f>24.924 * CHOOSE(CONTROL!$C$15, $E$9, 100%, $G$9) + CHOOSE(CONTROL!$C$38, 0.0357, 0)</f>
        <v>24.959699999999998</v>
      </c>
      <c r="I282" s="10">
        <f>24.9256 * CHOOSE(CONTROL!$C$15, $E$9, 100%, $G$9) + CHOOSE(CONTROL!$C$38, 0.0357, 0)</f>
        <v>24.961299999999998</v>
      </c>
      <c r="J282" s="26">
        <f>188.3321</f>
        <v>188.3321</v>
      </c>
    </row>
    <row r="283" spans="1:10" ht="15">
      <c r="A283" s="15">
        <v>49888</v>
      </c>
      <c r="B283" s="10">
        <f>27.2408 * CHOOSE(CONTROL!$C$15, $E$9, 100%, $G$9) + CHOOSE(CONTROL!$C$38, 0.0266, 0)</f>
        <v>27.267399999999999</v>
      </c>
      <c r="C283" s="10">
        <f>25.0275 * CHOOSE(CONTROL!$C$15, $E$9, 100%, $G$9) + CHOOSE(CONTROL!$C$38, 0.0357, 0)</f>
        <v>25.063199999999998</v>
      </c>
      <c r="D283" s="10">
        <f>25.0197 * CHOOSE(CONTROL!$C$15, $E$9, 100%, $G$9) + CHOOSE(CONTROL!$C$38, 0.0357, 0)</f>
        <v>25.055399999999999</v>
      </c>
      <c r="E283" s="28">
        <f>27.0846 * CHOOSE(CONTROL!$C$15, $E$9, 100%, $G$9) + CHOOSE(CONTROL!$C$38, 0.0357, 0)</f>
        <v>27.120299999999997</v>
      </c>
      <c r="F283" s="27">
        <f>27.0846 * CHOOSE(CONTROL!$C$15, $E$9, 100%, $G$9) + CHOOSE(CONTROL!$C$38, 0.0266, 0)</f>
        <v>27.111199999999997</v>
      </c>
      <c r="G283" s="10">
        <f>25.0259 * CHOOSE(CONTROL!$C$15, $E$9, 100%, $G$9) + CHOOSE(CONTROL!$C$38, 0.0357, 0)</f>
        <v>25.061599999999999</v>
      </c>
      <c r="H283" s="10">
        <f>25.0259 * CHOOSE(CONTROL!$C$15, $E$9, 100%, $G$9) + CHOOSE(CONTROL!$C$38, 0.0357, 0)</f>
        <v>25.061599999999999</v>
      </c>
      <c r="I283" s="10">
        <f>25.0275 * CHOOSE(CONTROL!$C$15, $E$9, 100%, $G$9) + CHOOSE(CONTROL!$C$38, 0.0357, 0)</f>
        <v>25.063199999999998</v>
      </c>
      <c r="J283" s="26">
        <f>183.9478</f>
        <v>183.9478</v>
      </c>
    </row>
    <row r="284" spans="1:10" ht="15">
      <c r="A284" s="15">
        <v>49919</v>
      </c>
      <c r="B284" s="10">
        <f>27.5176 * CHOOSE(CONTROL!$C$15, $E$9, 100%, $G$9) + CHOOSE(CONTROL!$C$38, 0.0266, 0)</f>
        <v>27.5442</v>
      </c>
      <c r="C284" s="10">
        <f>25.3043 * CHOOSE(CONTROL!$C$15, $E$9, 100%, $G$9) + CHOOSE(CONTROL!$C$38, 0.0357, 0)</f>
        <v>25.34</v>
      </c>
      <c r="D284" s="10">
        <f>25.2965 * CHOOSE(CONTROL!$C$15, $E$9, 100%, $G$9) + CHOOSE(CONTROL!$C$38, 0.0357, 0)</f>
        <v>25.3322</v>
      </c>
      <c r="E284" s="28">
        <f>27.3614 * CHOOSE(CONTROL!$C$15, $E$9, 100%, $G$9) + CHOOSE(CONTROL!$C$38, 0.0357, 0)</f>
        <v>27.397099999999998</v>
      </c>
      <c r="F284" s="27">
        <f>27.3614 * CHOOSE(CONTROL!$C$15, $E$9, 100%, $G$9) + CHOOSE(CONTROL!$C$38, 0.0266, 0)</f>
        <v>27.387999999999998</v>
      </c>
      <c r="G284" s="10">
        <f>25.3027 * CHOOSE(CONTROL!$C$15, $E$9, 100%, $G$9) + CHOOSE(CONTROL!$C$38, 0.0357, 0)</f>
        <v>25.3384</v>
      </c>
      <c r="H284" s="10">
        <f>25.3027 * CHOOSE(CONTROL!$C$15, $E$9, 100%, $G$9) + CHOOSE(CONTROL!$C$38, 0.0357, 0)</f>
        <v>25.3384</v>
      </c>
      <c r="I284" s="10">
        <f>25.3043 * CHOOSE(CONTROL!$C$15, $E$9, 100%, $G$9) + CHOOSE(CONTROL!$C$38, 0.0357, 0)</f>
        <v>25.34</v>
      </c>
      <c r="J284" s="26">
        <f>177.8337</f>
        <v>177.83369999999999</v>
      </c>
    </row>
    <row r="285" spans="1:10" ht="15">
      <c r="A285" s="15">
        <v>49949</v>
      </c>
      <c r="B285" s="10">
        <f>27.7495 * CHOOSE(CONTROL!$C$15, $E$9, 100%, $G$9) + CHOOSE(CONTROL!$C$38, 0.0266, 0)</f>
        <v>27.7761</v>
      </c>
      <c r="C285" s="10">
        <f>25.5361 * CHOOSE(CONTROL!$C$15, $E$9, 100%, $G$9) + CHOOSE(CONTROL!$C$38, 0.0357, 0)</f>
        <v>25.5718</v>
      </c>
      <c r="D285" s="10">
        <f>25.5283 * CHOOSE(CONTROL!$C$15, $E$9, 100%, $G$9) + CHOOSE(CONTROL!$C$38, 0.0357, 0)</f>
        <v>25.564</v>
      </c>
      <c r="E285" s="28">
        <f>27.5932 * CHOOSE(CONTROL!$C$15, $E$9, 100%, $G$9) + CHOOSE(CONTROL!$C$38, 0.0357, 0)</f>
        <v>27.628899999999998</v>
      </c>
      <c r="F285" s="27">
        <f>27.5932 * CHOOSE(CONTROL!$C$15, $E$9, 100%, $G$9) + CHOOSE(CONTROL!$C$38, 0.0266, 0)</f>
        <v>27.619799999999998</v>
      </c>
      <c r="G285" s="10">
        <f>25.5345 * CHOOSE(CONTROL!$C$15, $E$9, 100%, $G$9) + CHOOSE(CONTROL!$C$38, 0.0357, 0)</f>
        <v>25.5702</v>
      </c>
      <c r="H285" s="10">
        <f>25.5345 * CHOOSE(CONTROL!$C$15, $E$9, 100%, $G$9) + CHOOSE(CONTROL!$C$38, 0.0357, 0)</f>
        <v>25.5702</v>
      </c>
      <c r="I285" s="10">
        <f>25.5361 * CHOOSE(CONTROL!$C$15, $E$9, 100%, $G$9) + CHOOSE(CONTROL!$C$38, 0.0357, 0)</f>
        <v>25.5718</v>
      </c>
      <c r="J285" s="26">
        <f>171.684</f>
        <v>171.684</v>
      </c>
    </row>
    <row r="286" spans="1:10" ht="15">
      <c r="A286" s="15">
        <v>49980</v>
      </c>
      <c r="B286" s="10">
        <f>27.9429 * CHOOSE(CONTROL!$C$15, $E$9, 100%, $G$9) + CHOOSE(CONTROL!$C$38, 0.0266, 0)</f>
        <v>27.9695</v>
      </c>
      <c r="C286" s="10">
        <f>25.7295 * CHOOSE(CONTROL!$C$15, $E$9, 100%, $G$9) + CHOOSE(CONTROL!$C$38, 0.0357, 0)</f>
        <v>25.7652</v>
      </c>
      <c r="D286" s="10">
        <f>25.7217 * CHOOSE(CONTROL!$C$15, $E$9, 100%, $G$9) + CHOOSE(CONTROL!$C$38, 0.0357, 0)</f>
        <v>25.757399999999997</v>
      </c>
      <c r="E286" s="28">
        <f>27.7866 * CHOOSE(CONTROL!$C$15, $E$9, 100%, $G$9) + CHOOSE(CONTROL!$C$38, 0.0357, 0)</f>
        <v>27.822299999999998</v>
      </c>
      <c r="F286" s="27">
        <f>27.7866 * CHOOSE(CONTROL!$C$15, $E$9, 100%, $G$9) + CHOOSE(CONTROL!$C$38, 0.0266, 0)</f>
        <v>27.813199999999998</v>
      </c>
      <c r="G286" s="10">
        <f>25.728 * CHOOSE(CONTROL!$C$15, $E$9, 100%, $G$9) + CHOOSE(CONTROL!$C$38, 0.0357, 0)</f>
        <v>25.7637</v>
      </c>
      <c r="H286" s="10">
        <f>25.728 * CHOOSE(CONTROL!$C$15, $E$9, 100%, $G$9) + CHOOSE(CONTROL!$C$38, 0.0357, 0)</f>
        <v>25.7637</v>
      </c>
      <c r="I286" s="10">
        <f>25.7295 * CHOOSE(CONTROL!$C$15, $E$9, 100%, $G$9) + CHOOSE(CONTROL!$C$38, 0.0357, 0)</f>
        <v>25.7652</v>
      </c>
      <c r="J286" s="26">
        <f>170.4608</f>
        <v>170.46080000000001</v>
      </c>
    </row>
    <row r="287" spans="1:10" ht="15">
      <c r="A287" s="15">
        <v>50010</v>
      </c>
      <c r="B287" s="10">
        <f>28.539 * CHOOSE(CONTROL!$C$15, $E$9, 100%, $G$9) + CHOOSE(CONTROL!$C$38, 0.0266, 0)</f>
        <v>28.5656</v>
      </c>
      <c r="C287" s="10">
        <f>26.3256 * CHOOSE(CONTROL!$C$15, $E$9, 100%, $G$9) + CHOOSE(CONTROL!$C$38, 0.0357, 0)</f>
        <v>26.3613</v>
      </c>
      <c r="D287" s="10">
        <f>26.3178 * CHOOSE(CONTROL!$C$15, $E$9, 100%, $G$9) + CHOOSE(CONTROL!$C$38, 0.0357, 0)</f>
        <v>26.353499999999997</v>
      </c>
      <c r="E287" s="28">
        <f>28.3827 * CHOOSE(CONTROL!$C$15, $E$9, 100%, $G$9) + CHOOSE(CONTROL!$C$38, 0.0357, 0)</f>
        <v>28.418399999999998</v>
      </c>
      <c r="F287" s="27">
        <f>28.3827 * CHOOSE(CONTROL!$C$15, $E$9, 100%, $G$9) + CHOOSE(CONTROL!$C$38, 0.0266, 0)</f>
        <v>28.409299999999998</v>
      </c>
      <c r="G287" s="10">
        <f>26.324 * CHOOSE(CONTROL!$C$15, $E$9, 100%, $G$9) + CHOOSE(CONTROL!$C$38, 0.0357, 0)</f>
        <v>26.3597</v>
      </c>
      <c r="H287" s="10">
        <f>26.324 * CHOOSE(CONTROL!$C$15, $E$9, 100%, $G$9) + CHOOSE(CONTROL!$C$38, 0.0357, 0)</f>
        <v>26.3597</v>
      </c>
      <c r="I287" s="10">
        <f>26.3256 * CHOOSE(CONTROL!$C$15, $E$9, 100%, $G$9) + CHOOSE(CONTROL!$C$38, 0.0357, 0)</f>
        <v>26.3613</v>
      </c>
      <c r="J287" s="26">
        <f>165.4023</f>
        <v>165.4023</v>
      </c>
    </row>
    <row r="288" spans="1:10" ht="15">
      <c r="A288" s="15">
        <v>50041</v>
      </c>
      <c r="B288" s="10">
        <f>29.4932 * CHOOSE(CONTROL!$C$15, $E$9, 100%, $G$9) + CHOOSE(CONTROL!$C$38, 0.0266, 0)</f>
        <v>29.5198</v>
      </c>
      <c r="C288" s="10">
        <f>27.2434 * CHOOSE(CONTROL!$C$15, $E$9, 100%, $G$9) + CHOOSE(CONTROL!$C$38, 0.0357, 0)</f>
        <v>27.2791</v>
      </c>
      <c r="D288" s="10">
        <f>27.2356 * CHOOSE(CONTROL!$C$15, $E$9, 100%, $G$9) + CHOOSE(CONTROL!$C$38, 0.0357, 0)</f>
        <v>27.2713</v>
      </c>
      <c r="E288" s="28">
        <f>29.3369 * CHOOSE(CONTROL!$C$15, $E$9, 100%, $G$9) + CHOOSE(CONTROL!$C$38, 0.0357, 0)</f>
        <v>29.372599999999998</v>
      </c>
      <c r="F288" s="27">
        <f>29.3369 * CHOOSE(CONTROL!$C$15, $E$9, 100%, $G$9) + CHOOSE(CONTROL!$C$38, 0.0266, 0)</f>
        <v>29.363499999999998</v>
      </c>
      <c r="G288" s="10">
        <f>27.2419 * CHOOSE(CONTROL!$C$15, $E$9, 100%, $G$9) + CHOOSE(CONTROL!$C$38, 0.0357, 0)</f>
        <v>27.2776</v>
      </c>
      <c r="H288" s="10">
        <f>27.2419 * CHOOSE(CONTROL!$C$15, $E$9, 100%, $G$9) + CHOOSE(CONTROL!$C$38, 0.0357, 0)</f>
        <v>27.2776</v>
      </c>
      <c r="I288" s="10">
        <f>27.2434 * CHOOSE(CONTROL!$C$15, $E$9, 100%, $G$9) + CHOOSE(CONTROL!$C$38, 0.0357, 0)</f>
        <v>27.2791</v>
      </c>
      <c r="J288" s="26">
        <f>164.2944</f>
        <v>164.2944</v>
      </c>
    </row>
    <row r="289" spans="1:10" ht="15">
      <c r="A289" s="15">
        <v>50072</v>
      </c>
      <c r="B289" s="10">
        <f>29.7139 * CHOOSE(CONTROL!$C$15, $E$9, 100%, $G$9) + CHOOSE(CONTROL!$C$38, 0.0266, 0)</f>
        <v>29.740499999999997</v>
      </c>
      <c r="C289" s="10">
        <f>27.4642 * CHOOSE(CONTROL!$C$15, $E$9, 100%, $G$9) + CHOOSE(CONTROL!$C$38, 0.0357, 0)</f>
        <v>27.4999</v>
      </c>
      <c r="D289" s="10">
        <f>27.4564 * CHOOSE(CONTROL!$C$15, $E$9, 100%, $G$9) + CHOOSE(CONTROL!$C$38, 0.0357, 0)</f>
        <v>27.492099999999997</v>
      </c>
      <c r="E289" s="28">
        <f>29.5577 * CHOOSE(CONTROL!$C$15, $E$9, 100%, $G$9) + CHOOSE(CONTROL!$C$38, 0.0357, 0)</f>
        <v>29.593399999999999</v>
      </c>
      <c r="F289" s="27">
        <f>29.5577 * CHOOSE(CONTROL!$C$15, $E$9, 100%, $G$9) + CHOOSE(CONTROL!$C$38, 0.0266, 0)</f>
        <v>29.584299999999999</v>
      </c>
      <c r="G289" s="10">
        <f>27.4626 * CHOOSE(CONTROL!$C$15, $E$9, 100%, $G$9) + CHOOSE(CONTROL!$C$38, 0.0357, 0)</f>
        <v>27.498299999999997</v>
      </c>
      <c r="H289" s="10">
        <f>27.4626 * CHOOSE(CONTROL!$C$15, $E$9, 100%, $G$9) + CHOOSE(CONTROL!$C$38, 0.0357, 0)</f>
        <v>27.498299999999997</v>
      </c>
      <c r="I289" s="10">
        <f>27.4642 * CHOOSE(CONTROL!$C$15, $E$9, 100%, $G$9) + CHOOSE(CONTROL!$C$38, 0.0357, 0)</f>
        <v>27.4999</v>
      </c>
      <c r="J289" s="26">
        <f>163.8377</f>
        <v>163.83770000000001</v>
      </c>
    </row>
    <row r="290" spans="1:10" ht="15">
      <c r="A290" s="15">
        <v>50100</v>
      </c>
      <c r="B290" s="10">
        <f>29.2029 * CHOOSE(CONTROL!$C$15, $E$9, 100%, $G$9) + CHOOSE(CONTROL!$C$38, 0.0266, 0)</f>
        <v>29.229499999999998</v>
      </c>
      <c r="C290" s="10">
        <f>26.9532 * CHOOSE(CONTROL!$C$15, $E$9, 100%, $G$9) + CHOOSE(CONTROL!$C$38, 0.0357, 0)</f>
        <v>26.988899999999997</v>
      </c>
      <c r="D290" s="10">
        <f>26.9454 * CHOOSE(CONTROL!$C$15, $E$9, 100%, $G$9) + CHOOSE(CONTROL!$C$38, 0.0357, 0)</f>
        <v>26.981099999999998</v>
      </c>
      <c r="E290" s="28">
        <f>29.0466 * CHOOSE(CONTROL!$C$15, $E$9, 100%, $G$9) + CHOOSE(CONTROL!$C$38, 0.0357, 0)</f>
        <v>29.0823</v>
      </c>
      <c r="F290" s="27">
        <f>29.0466 * CHOOSE(CONTROL!$C$15, $E$9, 100%, $G$9) + CHOOSE(CONTROL!$C$38, 0.0266, 0)</f>
        <v>29.0732</v>
      </c>
      <c r="G290" s="10">
        <f>26.9516 * CHOOSE(CONTROL!$C$15, $E$9, 100%, $G$9) + CHOOSE(CONTROL!$C$38, 0.0357, 0)</f>
        <v>26.987299999999998</v>
      </c>
      <c r="H290" s="10">
        <f>26.9516 * CHOOSE(CONTROL!$C$15, $E$9, 100%, $G$9) + CHOOSE(CONTROL!$C$38, 0.0357, 0)</f>
        <v>26.987299999999998</v>
      </c>
      <c r="I290" s="10">
        <f>26.9532 * CHOOSE(CONTROL!$C$15, $E$9, 100%, $G$9) + CHOOSE(CONTROL!$C$38, 0.0357, 0)</f>
        <v>26.988899999999997</v>
      </c>
      <c r="J290" s="26">
        <f>172.4729</f>
        <v>172.47290000000001</v>
      </c>
    </row>
    <row r="291" spans="1:10" ht="15">
      <c r="A291" s="15">
        <v>50131</v>
      </c>
      <c r="B291" s="10">
        <f>28.7077 * CHOOSE(CONTROL!$C$15, $E$9, 100%, $G$9) + CHOOSE(CONTROL!$C$38, 0.0266, 0)</f>
        <v>28.734299999999998</v>
      </c>
      <c r="C291" s="10">
        <f>26.458 * CHOOSE(CONTROL!$C$15, $E$9, 100%, $G$9) + CHOOSE(CONTROL!$C$38, 0.0357, 0)</f>
        <v>26.493699999999997</v>
      </c>
      <c r="D291" s="10">
        <f>26.4502 * CHOOSE(CONTROL!$C$15, $E$9, 100%, $G$9) + CHOOSE(CONTROL!$C$38, 0.0357, 0)</f>
        <v>26.485899999999997</v>
      </c>
      <c r="E291" s="28">
        <f>28.5515 * CHOOSE(CONTROL!$C$15, $E$9, 100%, $G$9) + CHOOSE(CONTROL!$C$38, 0.0357, 0)</f>
        <v>28.587199999999999</v>
      </c>
      <c r="F291" s="27">
        <f>28.5515 * CHOOSE(CONTROL!$C$15, $E$9, 100%, $G$9) + CHOOSE(CONTROL!$C$38, 0.0266, 0)</f>
        <v>28.578099999999999</v>
      </c>
      <c r="G291" s="10">
        <f>26.4564 * CHOOSE(CONTROL!$C$15, $E$9, 100%, $G$9) + CHOOSE(CONTROL!$C$38, 0.0357, 0)</f>
        <v>26.492099999999997</v>
      </c>
      <c r="H291" s="10">
        <f>26.4564 * CHOOSE(CONTROL!$C$15, $E$9, 100%, $G$9) + CHOOSE(CONTROL!$C$38, 0.0357, 0)</f>
        <v>26.492099999999997</v>
      </c>
      <c r="I291" s="10">
        <f>26.458 * CHOOSE(CONTROL!$C$15, $E$9, 100%, $G$9) + CHOOSE(CONTROL!$C$38, 0.0357, 0)</f>
        <v>26.493699999999997</v>
      </c>
      <c r="J291" s="26">
        <f>183.6707</f>
        <v>183.67070000000001</v>
      </c>
    </row>
    <row r="292" spans="1:10" ht="15">
      <c r="A292" s="15">
        <v>50161</v>
      </c>
      <c r="B292" s="10">
        <f>28.1916 * CHOOSE(CONTROL!$C$15, $E$9, 100%, $G$9) + CHOOSE(CONTROL!$C$38, 0.0266, 0)</f>
        <v>28.2182</v>
      </c>
      <c r="C292" s="10">
        <f>25.9419 * CHOOSE(CONTROL!$C$15, $E$9, 100%, $G$9) + CHOOSE(CONTROL!$C$38, 0.0357, 0)</f>
        <v>25.977599999999999</v>
      </c>
      <c r="D292" s="10">
        <f>25.9341 * CHOOSE(CONTROL!$C$15, $E$9, 100%, $G$9) + CHOOSE(CONTROL!$C$38, 0.0357, 0)</f>
        <v>25.969799999999999</v>
      </c>
      <c r="E292" s="28">
        <f>28.0353 * CHOOSE(CONTROL!$C$15, $E$9, 100%, $G$9) + CHOOSE(CONTROL!$C$38, 0.0357, 0)</f>
        <v>28.070999999999998</v>
      </c>
      <c r="F292" s="27">
        <f>28.0353 * CHOOSE(CONTROL!$C$15, $E$9, 100%, $G$9) + CHOOSE(CONTROL!$C$38, 0.0266, 0)</f>
        <v>28.061899999999998</v>
      </c>
      <c r="G292" s="10">
        <f>25.9403 * CHOOSE(CONTROL!$C$15, $E$9, 100%, $G$9) + CHOOSE(CONTROL!$C$38, 0.0357, 0)</f>
        <v>25.975999999999999</v>
      </c>
      <c r="H292" s="10">
        <f>25.9403 * CHOOSE(CONTROL!$C$15, $E$9, 100%, $G$9) + CHOOSE(CONTROL!$C$38, 0.0357, 0)</f>
        <v>25.975999999999999</v>
      </c>
      <c r="I292" s="10">
        <f>25.9419 * CHOOSE(CONTROL!$C$15, $E$9, 100%, $G$9) + CHOOSE(CONTROL!$C$38, 0.0357, 0)</f>
        <v>25.977599999999999</v>
      </c>
      <c r="J292" s="26">
        <f>189.8343</f>
        <v>189.83430000000001</v>
      </c>
    </row>
    <row r="293" spans="1:10" ht="15">
      <c r="A293" s="15">
        <v>50192</v>
      </c>
      <c r="B293" s="10">
        <f>27.8298 * CHOOSE(CONTROL!$C$15, $E$9, 100%, $G$9) + CHOOSE(CONTROL!$C$38, 0.0266, 0)</f>
        <v>27.856399999999997</v>
      </c>
      <c r="C293" s="10">
        <f>25.58 * CHOOSE(CONTROL!$C$15, $E$9, 100%, $G$9) + CHOOSE(CONTROL!$C$38, 0.0357, 0)</f>
        <v>25.615699999999997</v>
      </c>
      <c r="D293" s="10">
        <f>25.5722 * CHOOSE(CONTROL!$C$15, $E$9, 100%, $G$9) + CHOOSE(CONTROL!$C$38, 0.0357, 0)</f>
        <v>25.607899999999997</v>
      </c>
      <c r="E293" s="28">
        <f>27.6735 * CHOOSE(CONTROL!$C$15, $E$9, 100%, $G$9) + CHOOSE(CONTROL!$C$38, 0.0357, 0)</f>
        <v>27.709199999999999</v>
      </c>
      <c r="F293" s="27">
        <f>27.6735 * CHOOSE(CONTROL!$C$15, $E$9, 100%, $G$9) + CHOOSE(CONTROL!$C$38, 0.0266, 0)</f>
        <v>27.700099999999999</v>
      </c>
      <c r="G293" s="10">
        <f>25.5785 * CHOOSE(CONTROL!$C$15, $E$9, 100%, $G$9) + CHOOSE(CONTROL!$C$38, 0.0357, 0)</f>
        <v>25.614199999999997</v>
      </c>
      <c r="H293" s="10">
        <f>25.5785 * CHOOSE(CONTROL!$C$15, $E$9, 100%, $G$9) + CHOOSE(CONTROL!$C$38, 0.0357, 0)</f>
        <v>25.614199999999997</v>
      </c>
      <c r="I293" s="10">
        <f>25.58 * CHOOSE(CONTROL!$C$15, $E$9, 100%, $G$9) + CHOOSE(CONTROL!$C$38, 0.0357, 0)</f>
        <v>25.615699999999997</v>
      </c>
      <c r="J293" s="26">
        <f>192.5696</f>
        <v>192.56960000000001</v>
      </c>
    </row>
    <row r="294" spans="1:10" ht="15">
      <c r="A294" s="15">
        <v>50222</v>
      </c>
      <c r="B294" s="10">
        <f>27.6233 * CHOOSE(CONTROL!$C$15, $E$9, 100%, $G$9) + CHOOSE(CONTROL!$C$38, 0.0266, 0)</f>
        <v>27.649899999999999</v>
      </c>
      <c r="C294" s="10">
        <f>25.3736 * CHOOSE(CONTROL!$C$15, $E$9, 100%, $G$9) + CHOOSE(CONTROL!$C$38, 0.0357, 0)</f>
        <v>25.409299999999998</v>
      </c>
      <c r="D294" s="10">
        <f>25.3657 * CHOOSE(CONTROL!$C$15, $E$9, 100%, $G$9) + CHOOSE(CONTROL!$C$38, 0.0357, 0)</f>
        <v>25.401399999999999</v>
      </c>
      <c r="E294" s="28">
        <f>27.467 * CHOOSE(CONTROL!$C$15, $E$9, 100%, $G$9) + CHOOSE(CONTROL!$C$38, 0.0357, 0)</f>
        <v>27.502699999999997</v>
      </c>
      <c r="F294" s="27">
        <f>27.467 * CHOOSE(CONTROL!$C$15, $E$9, 100%, $G$9) + CHOOSE(CONTROL!$C$38, 0.0266, 0)</f>
        <v>27.493599999999997</v>
      </c>
      <c r="G294" s="10">
        <f>25.372 * CHOOSE(CONTROL!$C$15, $E$9, 100%, $G$9) + CHOOSE(CONTROL!$C$38, 0.0357, 0)</f>
        <v>25.407699999999998</v>
      </c>
      <c r="H294" s="10">
        <f>25.372 * CHOOSE(CONTROL!$C$15, $E$9, 100%, $G$9) + CHOOSE(CONTROL!$C$38, 0.0357, 0)</f>
        <v>25.407699999999998</v>
      </c>
      <c r="I294" s="10">
        <f>25.3736 * CHOOSE(CONTROL!$C$15, $E$9, 100%, $G$9) + CHOOSE(CONTROL!$C$38, 0.0357, 0)</f>
        <v>25.409299999999998</v>
      </c>
      <c r="J294" s="26">
        <f>191.669</f>
        <v>191.66900000000001</v>
      </c>
    </row>
    <row r="295" spans="1:10" ht="15">
      <c r="A295" s="15">
        <v>50253</v>
      </c>
      <c r="B295" s="10">
        <f>27.7252 * CHOOSE(CONTROL!$C$15, $E$9, 100%, $G$9) + CHOOSE(CONTROL!$C$38, 0.0266, 0)</f>
        <v>27.751799999999999</v>
      </c>
      <c r="C295" s="10">
        <f>25.4755 * CHOOSE(CONTROL!$C$15, $E$9, 100%, $G$9) + CHOOSE(CONTROL!$C$38, 0.0357, 0)</f>
        <v>25.511199999999999</v>
      </c>
      <c r="D295" s="10">
        <f>25.4677 * CHOOSE(CONTROL!$C$15, $E$9, 100%, $G$9) + CHOOSE(CONTROL!$C$38, 0.0357, 0)</f>
        <v>25.503399999999999</v>
      </c>
      <c r="E295" s="28">
        <f>27.5689 * CHOOSE(CONTROL!$C$15, $E$9, 100%, $G$9) + CHOOSE(CONTROL!$C$38, 0.0357, 0)</f>
        <v>27.604599999999998</v>
      </c>
      <c r="F295" s="27">
        <f>27.5689 * CHOOSE(CONTROL!$C$15, $E$9, 100%, $G$9) + CHOOSE(CONTROL!$C$38, 0.0266, 0)</f>
        <v>27.595499999999998</v>
      </c>
      <c r="G295" s="10">
        <f>25.4739 * CHOOSE(CONTROL!$C$15, $E$9, 100%, $G$9) + CHOOSE(CONTROL!$C$38, 0.0357, 0)</f>
        <v>25.509599999999999</v>
      </c>
      <c r="H295" s="10">
        <f>25.4739 * CHOOSE(CONTROL!$C$15, $E$9, 100%, $G$9) + CHOOSE(CONTROL!$C$38, 0.0357, 0)</f>
        <v>25.509599999999999</v>
      </c>
      <c r="I295" s="10">
        <f>25.4755 * CHOOSE(CONTROL!$C$15, $E$9, 100%, $G$9) + CHOOSE(CONTROL!$C$38, 0.0357, 0)</f>
        <v>25.511199999999999</v>
      </c>
      <c r="J295" s="26">
        <f>187.207</f>
        <v>187.20699999999999</v>
      </c>
    </row>
    <row r="296" spans="1:10" ht="15">
      <c r="A296" s="15">
        <v>50284</v>
      </c>
      <c r="B296" s="10">
        <f>28.002 * CHOOSE(CONTROL!$C$15, $E$9, 100%, $G$9) + CHOOSE(CONTROL!$C$38, 0.0266, 0)</f>
        <v>28.028599999999997</v>
      </c>
      <c r="C296" s="10">
        <f>25.7523 * CHOOSE(CONTROL!$C$15, $E$9, 100%, $G$9) + CHOOSE(CONTROL!$C$38, 0.0357, 0)</f>
        <v>25.788</v>
      </c>
      <c r="D296" s="10">
        <f>25.7444 * CHOOSE(CONTROL!$C$15, $E$9, 100%, $G$9) + CHOOSE(CONTROL!$C$38, 0.0357, 0)</f>
        <v>25.780099999999997</v>
      </c>
      <c r="E296" s="28">
        <f>27.8457 * CHOOSE(CONTROL!$C$15, $E$9, 100%, $G$9) + CHOOSE(CONTROL!$C$38, 0.0357, 0)</f>
        <v>27.881399999999999</v>
      </c>
      <c r="F296" s="27">
        <f>27.8457 * CHOOSE(CONTROL!$C$15, $E$9, 100%, $G$9) + CHOOSE(CONTROL!$C$38, 0.0266, 0)</f>
        <v>27.872299999999999</v>
      </c>
      <c r="G296" s="10">
        <f>25.7507 * CHOOSE(CONTROL!$C$15, $E$9, 100%, $G$9) + CHOOSE(CONTROL!$C$38, 0.0357, 0)</f>
        <v>25.786399999999997</v>
      </c>
      <c r="H296" s="10">
        <f>25.7507 * CHOOSE(CONTROL!$C$15, $E$9, 100%, $G$9) + CHOOSE(CONTROL!$C$38, 0.0357, 0)</f>
        <v>25.786399999999997</v>
      </c>
      <c r="I296" s="10">
        <f>25.7523 * CHOOSE(CONTROL!$C$15, $E$9, 100%, $G$9) + CHOOSE(CONTROL!$C$38, 0.0357, 0)</f>
        <v>25.788</v>
      </c>
      <c r="J296" s="26">
        <f>180.9846</f>
        <v>180.9846</v>
      </c>
    </row>
    <row r="297" spans="1:10" ht="15">
      <c r="A297" s="15">
        <v>50314</v>
      </c>
      <c r="B297" s="10">
        <f>28.2338 * CHOOSE(CONTROL!$C$15, $E$9, 100%, $G$9) + CHOOSE(CONTROL!$C$38, 0.0266, 0)</f>
        <v>28.260399999999997</v>
      </c>
      <c r="C297" s="10">
        <f>25.9841 * CHOOSE(CONTROL!$C$15, $E$9, 100%, $G$9) + CHOOSE(CONTROL!$C$38, 0.0357, 0)</f>
        <v>26.0198</v>
      </c>
      <c r="D297" s="10">
        <f>25.9763 * CHOOSE(CONTROL!$C$15, $E$9, 100%, $G$9) + CHOOSE(CONTROL!$C$38, 0.0357, 0)</f>
        <v>26.011999999999997</v>
      </c>
      <c r="E297" s="28">
        <f>28.0775 * CHOOSE(CONTROL!$C$15, $E$9, 100%, $G$9) + CHOOSE(CONTROL!$C$38, 0.0357, 0)</f>
        <v>28.113199999999999</v>
      </c>
      <c r="F297" s="27">
        <f>28.0775 * CHOOSE(CONTROL!$C$15, $E$9, 100%, $G$9) + CHOOSE(CONTROL!$C$38, 0.0266, 0)</f>
        <v>28.104099999999999</v>
      </c>
      <c r="G297" s="10">
        <f>25.9825 * CHOOSE(CONTROL!$C$15, $E$9, 100%, $G$9) + CHOOSE(CONTROL!$C$38, 0.0357, 0)</f>
        <v>26.0182</v>
      </c>
      <c r="H297" s="10">
        <f>25.9825 * CHOOSE(CONTROL!$C$15, $E$9, 100%, $G$9) + CHOOSE(CONTROL!$C$38, 0.0357, 0)</f>
        <v>26.0182</v>
      </c>
      <c r="I297" s="10">
        <f>25.9841 * CHOOSE(CONTROL!$C$15, $E$9, 100%, $G$9) + CHOOSE(CONTROL!$C$38, 0.0357, 0)</f>
        <v>26.0198</v>
      </c>
      <c r="J297" s="26">
        <f>174.726</f>
        <v>174.726</v>
      </c>
    </row>
    <row r="298" spans="1:10" ht="15">
      <c r="A298" s="15">
        <v>50345</v>
      </c>
      <c r="B298" s="10">
        <f>28.4272 * CHOOSE(CONTROL!$C$15, $E$9, 100%, $G$9) + CHOOSE(CONTROL!$C$38, 0.0266, 0)</f>
        <v>28.453799999999998</v>
      </c>
      <c r="C298" s="10">
        <f>26.1775 * CHOOSE(CONTROL!$C$15, $E$9, 100%, $G$9) + CHOOSE(CONTROL!$C$38, 0.0357, 0)</f>
        <v>26.213199999999997</v>
      </c>
      <c r="D298" s="10">
        <f>26.1697 * CHOOSE(CONTROL!$C$15, $E$9, 100%, $G$9) + CHOOSE(CONTROL!$C$38, 0.0357, 0)</f>
        <v>26.205399999999997</v>
      </c>
      <c r="E298" s="28">
        <f>28.271 * CHOOSE(CONTROL!$C$15, $E$9, 100%, $G$9) + CHOOSE(CONTROL!$C$38, 0.0357, 0)</f>
        <v>28.306699999999999</v>
      </c>
      <c r="F298" s="27">
        <f>28.271 * CHOOSE(CONTROL!$C$15, $E$9, 100%, $G$9) + CHOOSE(CONTROL!$C$38, 0.0266, 0)</f>
        <v>28.297599999999999</v>
      </c>
      <c r="G298" s="10">
        <f>26.176 * CHOOSE(CONTROL!$C$15, $E$9, 100%, $G$9) + CHOOSE(CONTROL!$C$38, 0.0357, 0)</f>
        <v>26.211699999999997</v>
      </c>
      <c r="H298" s="10">
        <f>26.176 * CHOOSE(CONTROL!$C$15, $E$9, 100%, $G$9) + CHOOSE(CONTROL!$C$38, 0.0357, 0)</f>
        <v>26.211699999999997</v>
      </c>
      <c r="I298" s="10">
        <f>26.1775 * CHOOSE(CONTROL!$C$15, $E$9, 100%, $G$9) + CHOOSE(CONTROL!$C$38, 0.0357, 0)</f>
        <v>26.213199999999997</v>
      </c>
      <c r="J298" s="26">
        <f>173.481</f>
        <v>173.48099999999999</v>
      </c>
    </row>
    <row r="299" spans="1:10" ht="15">
      <c r="A299" s="15">
        <v>50375</v>
      </c>
      <c r="B299" s="10">
        <f>29.0233 * CHOOSE(CONTROL!$C$15, $E$9, 100%, $G$9) + CHOOSE(CONTROL!$C$38, 0.0266, 0)</f>
        <v>29.049899999999997</v>
      </c>
      <c r="C299" s="10">
        <f>26.7736 * CHOOSE(CONTROL!$C$15, $E$9, 100%, $G$9) + CHOOSE(CONTROL!$C$38, 0.0357, 0)</f>
        <v>26.809299999999997</v>
      </c>
      <c r="D299" s="10">
        <f>26.7658 * CHOOSE(CONTROL!$C$15, $E$9, 100%, $G$9) + CHOOSE(CONTROL!$C$38, 0.0357, 0)</f>
        <v>26.801499999999997</v>
      </c>
      <c r="E299" s="28">
        <f>28.8671 * CHOOSE(CONTROL!$C$15, $E$9, 100%, $G$9) + CHOOSE(CONTROL!$C$38, 0.0357, 0)</f>
        <v>28.902799999999999</v>
      </c>
      <c r="F299" s="27">
        <f>28.8671 * CHOOSE(CONTROL!$C$15, $E$9, 100%, $G$9) + CHOOSE(CONTROL!$C$38, 0.0266, 0)</f>
        <v>28.893699999999999</v>
      </c>
      <c r="G299" s="10">
        <f>26.772 * CHOOSE(CONTROL!$C$15, $E$9, 100%, $G$9) + CHOOSE(CONTROL!$C$38, 0.0357, 0)</f>
        <v>26.807699999999997</v>
      </c>
      <c r="H299" s="10">
        <f>26.772 * CHOOSE(CONTROL!$C$15, $E$9, 100%, $G$9) + CHOOSE(CONTROL!$C$38, 0.0357, 0)</f>
        <v>26.807699999999997</v>
      </c>
      <c r="I299" s="10">
        <f>26.7736 * CHOOSE(CONTROL!$C$15, $E$9, 100%, $G$9) + CHOOSE(CONTROL!$C$38, 0.0357, 0)</f>
        <v>26.809299999999997</v>
      </c>
      <c r="J299" s="26">
        <f>168.3329</f>
        <v>168.3329</v>
      </c>
    </row>
    <row r="300" spans="1:10" ht="15.75">
      <c r="A300" s="14">
        <v>50436</v>
      </c>
      <c r="B300" s="10">
        <f>29.986 * CHOOSE(CONTROL!$C$15, $E$9, 100%, $G$9) + CHOOSE(CONTROL!$C$38, 0.0266, 0)</f>
        <v>30.012599999999999</v>
      </c>
      <c r="C300" s="10">
        <f>27.6994 * CHOOSE(CONTROL!$C$15, $E$9, 100%, $G$9) + CHOOSE(CONTROL!$C$38, 0.0357, 0)</f>
        <v>27.735099999999999</v>
      </c>
      <c r="D300" s="10">
        <f>27.6915 * CHOOSE(CONTROL!$C$15, $E$9, 100%, $G$9) + CHOOSE(CONTROL!$C$38, 0.0357, 0)</f>
        <v>27.7272</v>
      </c>
      <c r="E300" s="28">
        <f>29.8298 * CHOOSE(CONTROL!$C$15, $E$9, 100%, $G$9) + CHOOSE(CONTROL!$C$38, 0.0357, 0)</f>
        <v>29.865499999999997</v>
      </c>
      <c r="F300" s="27">
        <f>29.8298 * CHOOSE(CONTROL!$C$15, $E$9, 100%, $G$9) + CHOOSE(CONTROL!$C$38, 0.0266, 0)</f>
        <v>29.856399999999997</v>
      </c>
      <c r="G300" s="10">
        <f>27.6978 * CHOOSE(CONTROL!$C$15, $E$9, 100%, $G$9) + CHOOSE(CONTROL!$C$38, 0.0357, 0)</f>
        <v>27.733499999999999</v>
      </c>
      <c r="H300" s="10">
        <f>27.6978 * CHOOSE(CONTROL!$C$15, $E$9, 100%, $G$9) + CHOOSE(CONTROL!$C$38, 0.0357, 0)</f>
        <v>27.733499999999999</v>
      </c>
      <c r="I300" s="10">
        <f>27.6994 * CHOOSE(CONTROL!$C$15, $E$9, 100%, $G$9) + CHOOSE(CONTROL!$C$38, 0.0357, 0)</f>
        <v>27.735099999999999</v>
      </c>
      <c r="J300" s="26">
        <f>167.2054</f>
        <v>167.2054</v>
      </c>
    </row>
    <row r="301" spans="1:10" ht="15.75">
      <c r="A301" s="14">
        <v>50464</v>
      </c>
      <c r="B301" s="10">
        <f>30.2068 * CHOOSE(CONTROL!$C$15, $E$9, 100%, $G$9) + CHOOSE(CONTROL!$C$38, 0.0266, 0)</f>
        <v>30.2334</v>
      </c>
      <c r="C301" s="10">
        <f>27.9201 * CHOOSE(CONTROL!$C$15, $E$9, 100%, $G$9) + CHOOSE(CONTROL!$C$38, 0.0357, 0)</f>
        <v>27.9558</v>
      </c>
      <c r="D301" s="10">
        <f>27.9123 * CHOOSE(CONTROL!$C$15, $E$9, 100%, $G$9) + CHOOSE(CONTROL!$C$38, 0.0357, 0)</f>
        <v>27.947999999999997</v>
      </c>
      <c r="E301" s="28">
        <f>30.0506 * CHOOSE(CONTROL!$C$15, $E$9, 100%, $G$9) + CHOOSE(CONTROL!$C$38, 0.0357, 0)</f>
        <v>30.086299999999998</v>
      </c>
      <c r="F301" s="27">
        <f>30.0506 * CHOOSE(CONTROL!$C$15, $E$9, 100%, $G$9) + CHOOSE(CONTROL!$C$38, 0.0266, 0)</f>
        <v>30.077199999999998</v>
      </c>
      <c r="G301" s="10">
        <f>27.9186 * CHOOSE(CONTROL!$C$15, $E$9, 100%, $G$9) + CHOOSE(CONTROL!$C$38, 0.0357, 0)</f>
        <v>27.9543</v>
      </c>
      <c r="H301" s="10">
        <f>27.9186 * CHOOSE(CONTROL!$C$15, $E$9, 100%, $G$9) + CHOOSE(CONTROL!$C$38, 0.0357, 0)</f>
        <v>27.9543</v>
      </c>
      <c r="I301" s="10">
        <f>27.9201 * CHOOSE(CONTROL!$C$15, $E$9, 100%, $G$9) + CHOOSE(CONTROL!$C$38, 0.0357, 0)</f>
        <v>27.9558</v>
      </c>
      <c r="J301" s="26">
        <f>166.7406</f>
        <v>166.7406</v>
      </c>
    </row>
    <row r="302" spans="1:10" ht="15.75">
      <c r="A302" s="14">
        <v>50495</v>
      </c>
      <c r="B302" s="10">
        <f>29.6958 * CHOOSE(CONTROL!$C$15, $E$9, 100%, $G$9) + CHOOSE(CONTROL!$C$38, 0.0266, 0)</f>
        <v>29.722399999999997</v>
      </c>
      <c r="C302" s="10">
        <f>27.4091 * CHOOSE(CONTROL!$C$15, $E$9, 100%, $G$9) + CHOOSE(CONTROL!$C$38, 0.0357, 0)</f>
        <v>27.444799999999997</v>
      </c>
      <c r="D302" s="10">
        <f>27.4013 * CHOOSE(CONTROL!$C$15, $E$9, 100%, $G$9) + CHOOSE(CONTROL!$C$38, 0.0357, 0)</f>
        <v>27.436999999999998</v>
      </c>
      <c r="E302" s="28">
        <f>29.5395 * CHOOSE(CONTROL!$C$15, $E$9, 100%, $G$9) + CHOOSE(CONTROL!$C$38, 0.0357, 0)</f>
        <v>29.575199999999999</v>
      </c>
      <c r="F302" s="27">
        <f>29.5395 * CHOOSE(CONTROL!$C$15, $E$9, 100%, $G$9) + CHOOSE(CONTROL!$C$38, 0.0266, 0)</f>
        <v>29.566099999999999</v>
      </c>
      <c r="G302" s="10">
        <f>27.4075 * CHOOSE(CONTROL!$C$15, $E$9, 100%, $G$9) + CHOOSE(CONTROL!$C$38, 0.0357, 0)</f>
        <v>27.443199999999997</v>
      </c>
      <c r="H302" s="10">
        <f>27.4075 * CHOOSE(CONTROL!$C$15, $E$9, 100%, $G$9) + CHOOSE(CONTROL!$C$38, 0.0357, 0)</f>
        <v>27.443199999999997</v>
      </c>
      <c r="I302" s="10">
        <f>27.4091 * CHOOSE(CONTROL!$C$15, $E$9, 100%, $G$9) + CHOOSE(CONTROL!$C$38, 0.0357, 0)</f>
        <v>27.444799999999997</v>
      </c>
      <c r="J302" s="26">
        <f>175.5288</f>
        <v>175.52879999999999</v>
      </c>
    </row>
    <row r="303" spans="1:10" ht="15.75">
      <c r="A303" s="14">
        <v>50525</v>
      </c>
      <c r="B303" s="10">
        <f>29.2006 * CHOOSE(CONTROL!$C$15, $E$9, 100%, $G$9) + CHOOSE(CONTROL!$C$38, 0.0266, 0)</f>
        <v>29.2272</v>
      </c>
      <c r="C303" s="10">
        <f>26.9139 * CHOOSE(CONTROL!$C$15, $E$9, 100%, $G$9) + CHOOSE(CONTROL!$C$38, 0.0357, 0)</f>
        <v>26.9496</v>
      </c>
      <c r="D303" s="10">
        <f>26.9061 * CHOOSE(CONTROL!$C$15, $E$9, 100%, $G$9) + CHOOSE(CONTROL!$C$38, 0.0357, 0)</f>
        <v>26.941799999999997</v>
      </c>
      <c r="E303" s="28">
        <f>29.0443 * CHOOSE(CONTROL!$C$15, $E$9, 100%, $G$9) + CHOOSE(CONTROL!$C$38, 0.0357, 0)</f>
        <v>29.08</v>
      </c>
      <c r="F303" s="27">
        <f>29.0443 * CHOOSE(CONTROL!$C$15, $E$9, 100%, $G$9) + CHOOSE(CONTROL!$C$38, 0.0266, 0)</f>
        <v>29.070899999999998</v>
      </c>
      <c r="G303" s="10">
        <f>26.9123 * CHOOSE(CONTROL!$C$15, $E$9, 100%, $G$9) + CHOOSE(CONTROL!$C$38, 0.0357, 0)</f>
        <v>26.947999999999997</v>
      </c>
      <c r="H303" s="10">
        <f>26.9123 * CHOOSE(CONTROL!$C$15, $E$9, 100%, $G$9) + CHOOSE(CONTROL!$C$38, 0.0357, 0)</f>
        <v>26.947999999999997</v>
      </c>
      <c r="I303" s="10">
        <f>26.9139 * CHOOSE(CONTROL!$C$15, $E$9, 100%, $G$9) + CHOOSE(CONTROL!$C$38, 0.0357, 0)</f>
        <v>26.9496</v>
      </c>
      <c r="J303" s="26">
        <f>186.925</f>
        <v>186.92500000000001</v>
      </c>
    </row>
    <row r="304" spans="1:10" ht="15.75">
      <c r="A304" s="14">
        <v>50556</v>
      </c>
      <c r="B304" s="10">
        <f>28.6845 * CHOOSE(CONTROL!$C$15, $E$9, 100%, $G$9) + CHOOSE(CONTROL!$C$38, 0.0266, 0)</f>
        <v>28.711099999999998</v>
      </c>
      <c r="C304" s="10">
        <f>26.3978 * CHOOSE(CONTROL!$C$15, $E$9, 100%, $G$9) + CHOOSE(CONTROL!$C$38, 0.0357, 0)</f>
        <v>26.433499999999999</v>
      </c>
      <c r="D304" s="10">
        <f>26.39 * CHOOSE(CONTROL!$C$15, $E$9, 100%, $G$9) + CHOOSE(CONTROL!$C$38, 0.0357, 0)</f>
        <v>26.425699999999999</v>
      </c>
      <c r="E304" s="28">
        <f>28.5282 * CHOOSE(CONTROL!$C$15, $E$9, 100%, $G$9) + CHOOSE(CONTROL!$C$38, 0.0357, 0)</f>
        <v>28.563899999999997</v>
      </c>
      <c r="F304" s="27">
        <f>28.5282 * CHOOSE(CONTROL!$C$15, $E$9, 100%, $G$9) + CHOOSE(CONTROL!$C$38, 0.0266, 0)</f>
        <v>28.554799999999997</v>
      </c>
      <c r="G304" s="10">
        <f>26.3962 * CHOOSE(CONTROL!$C$15, $E$9, 100%, $G$9) + CHOOSE(CONTROL!$C$38, 0.0357, 0)</f>
        <v>26.431899999999999</v>
      </c>
      <c r="H304" s="10">
        <f>26.3962 * CHOOSE(CONTROL!$C$15, $E$9, 100%, $G$9) + CHOOSE(CONTROL!$C$38, 0.0357, 0)</f>
        <v>26.431899999999999</v>
      </c>
      <c r="I304" s="10">
        <f>26.3978 * CHOOSE(CONTROL!$C$15, $E$9, 100%, $G$9) + CHOOSE(CONTROL!$C$38, 0.0357, 0)</f>
        <v>26.433499999999999</v>
      </c>
      <c r="J304" s="26">
        <f>193.1978</f>
        <v>193.1978</v>
      </c>
    </row>
    <row r="305" spans="1:10" ht="15.75">
      <c r="A305" s="14">
        <v>50586</v>
      </c>
      <c r="B305" s="10">
        <f>28.3227 * CHOOSE(CONTROL!$C$15, $E$9, 100%, $G$9) + CHOOSE(CONTROL!$C$38, 0.0266, 0)</f>
        <v>28.349299999999999</v>
      </c>
      <c r="C305" s="10">
        <f>26.036 * CHOOSE(CONTROL!$C$15, $E$9, 100%, $G$9) + CHOOSE(CONTROL!$C$38, 0.0357, 0)</f>
        <v>26.0717</v>
      </c>
      <c r="D305" s="10">
        <f>26.0281 * CHOOSE(CONTROL!$C$15, $E$9, 100%, $G$9) + CHOOSE(CONTROL!$C$38, 0.0357, 0)</f>
        <v>26.063799999999997</v>
      </c>
      <c r="E305" s="28">
        <f>28.1664 * CHOOSE(CONTROL!$C$15, $E$9, 100%, $G$9) + CHOOSE(CONTROL!$C$38, 0.0357, 0)</f>
        <v>28.202099999999998</v>
      </c>
      <c r="F305" s="27">
        <f>28.1664 * CHOOSE(CONTROL!$C$15, $E$9, 100%, $G$9) + CHOOSE(CONTROL!$C$38, 0.0266, 0)</f>
        <v>28.192999999999998</v>
      </c>
      <c r="G305" s="10">
        <f>26.0344 * CHOOSE(CONTROL!$C$15, $E$9, 100%, $G$9) + CHOOSE(CONTROL!$C$38, 0.0357, 0)</f>
        <v>26.0701</v>
      </c>
      <c r="H305" s="10">
        <f>26.0344 * CHOOSE(CONTROL!$C$15, $E$9, 100%, $G$9) + CHOOSE(CONTROL!$C$38, 0.0357, 0)</f>
        <v>26.0701</v>
      </c>
      <c r="I305" s="10">
        <f>26.036 * CHOOSE(CONTROL!$C$15, $E$9, 100%, $G$9) + CHOOSE(CONTROL!$C$38, 0.0357, 0)</f>
        <v>26.0717</v>
      </c>
      <c r="J305" s="26">
        <f>195.9816</f>
        <v>195.98159999999999</v>
      </c>
    </row>
    <row r="306" spans="1:10" ht="15.75">
      <c r="A306" s="14">
        <v>50617</v>
      </c>
      <c r="B306" s="10">
        <f>28.1162 * CHOOSE(CONTROL!$C$15, $E$9, 100%, $G$9) + CHOOSE(CONTROL!$C$38, 0.0266, 0)</f>
        <v>28.142799999999998</v>
      </c>
      <c r="C306" s="10">
        <f>25.8295 * CHOOSE(CONTROL!$C$15, $E$9, 100%, $G$9) + CHOOSE(CONTROL!$C$38, 0.0357, 0)</f>
        <v>25.865199999999998</v>
      </c>
      <c r="D306" s="10">
        <f>25.8217 * CHOOSE(CONTROL!$C$15, $E$9, 100%, $G$9) + CHOOSE(CONTROL!$C$38, 0.0357, 0)</f>
        <v>25.857399999999998</v>
      </c>
      <c r="E306" s="28">
        <f>27.9599 * CHOOSE(CONTROL!$C$15, $E$9, 100%, $G$9) + CHOOSE(CONTROL!$C$38, 0.0357, 0)</f>
        <v>27.9956</v>
      </c>
      <c r="F306" s="27">
        <f>27.9599 * CHOOSE(CONTROL!$C$15, $E$9, 100%, $G$9) + CHOOSE(CONTROL!$C$38, 0.0266, 0)</f>
        <v>27.986499999999999</v>
      </c>
      <c r="G306" s="10">
        <f>25.8279 * CHOOSE(CONTROL!$C$15, $E$9, 100%, $G$9) + CHOOSE(CONTROL!$C$38, 0.0357, 0)</f>
        <v>25.863599999999998</v>
      </c>
      <c r="H306" s="10">
        <f>25.8279 * CHOOSE(CONTROL!$C$15, $E$9, 100%, $G$9) + CHOOSE(CONTROL!$C$38, 0.0357, 0)</f>
        <v>25.863599999999998</v>
      </c>
      <c r="I306" s="10">
        <f>25.8295 * CHOOSE(CONTROL!$C$15, $E$9, 100%, $G$9) + CHOOSE(CONTROL!$C$38, 0.0357, 0)</f>
        <v>25.865199999999998</v>
      </c>
      <c r="J306" s="26">
        <f>195.065</f>
        <v>195.065</v>
      </c>
    </row>
    <row r="307" spans="1:10" ht="15.75">
      <c r="A307" s="14">
        <v>50648</v>
      </c>
      <c r="B307" s="10">
        <f>28.2181 * CHOOSE(CONTROL!$C$15, $E$9, 100%, $G$9) + CHOOSE(CONTROL!$C$38, 0.0266, 0)</f>
        <v>28.244699999999998</v>
      </c>
      <c r="C307" s="10">
        <f>25.9314 * CHOOSE(CONTROL!$C$15, $E$9, 100%, $G$9) + CHOOSE(CONTROL!$C$38, 0.0357, 0)</f>
        <v>25.967099999999999</v>
      </c>
      <c r="D307" s="10">
        <f>25.9236 * CHOOSE(CONTROL!$C$15, $E$9, 100%, $G$9) + CHOOSE(CONTROL!$C$38, 0.0357, 0)</f>
        <v>25.959299999999999</v>
      </c>
      <c r="E307" s="28">
        <f>28.0618 * CHOOSE(CONTROL!$C$15, $E$9, 100%, $G$9) + CHOOSE(CONTROL!$C$38, 0.0357, 0)</f>
        <v>28.0975</v>
      </c>
      <c r="F307" s="27">
        <f>28.0618 * CHOOSE(CONTROL!$C$15, $E$9, 100%, $G$9) + CHOOSE(CONTROL!$C$38, 0.0266, 0)</f>
        <v>28.0884</v>
      </c>
      <c r="G307" s="10">
        <f>25.9298 * CHOOSE(CONTROL!$C$15, $E$9, 100%, $G$9) + CHOOSE(CONTROL!$C$38, 0.0357, 0)</f>
        <v>25.965499999999999</v>
      </c>
      <c r="H307" s="10">
        <f>25.9298 * CHOOSE(CONTROL!$C$15, $E$9, 100%, $G$9) + CHOOSE(CONTROL!$C$38, 0.0357, 0)</f>
        <v>25.965499999999999</v>
      </c>
      <c r="I307" s="10">
        <f>25.9314 * CHOOSE(CONTROL!$C$15, $E$9, 100%, $G$9) + CHOOSE(CONTROL!$C$38, 0.0357, 0)</f>
        <v>25.967099999999999</v>
      </c>
      <c r="J307" s="26">
        <f>190.524</f>
        <v>190.524</v>
      </c>
    </row>
    <row r="308" spans="1:10" ht="15.75">
      <c r="A308" s="14">
        <v>50678</v>
      </c>
      <c r="B308" s="10">
        <f>28.4949 * CHOOSE(CONTROL!$C$15, $E$9, 100%, $G$9) + CHOOSE(CONTROL!$C$38, 0.0266, 0)</f>
        <v>28.5215</v>
      </c>
      <c r="C308" s="10">
        <f>26.2082 * CHOOSE(CONTROL!$C$15, $E$9, 100%, $G$9) + CHOOSE(CONTROL!$C$38, 0.0357, 0)</f>
        <v>26.2439</v>
      </c>
      <c r="D308" s="10">
        <f>26.2004 * CHOOSE(CONTROL!$C$15, $E$9, 100%, $G$9) + CHOOSE(CONTROL!$C$38, 0.0357, 0)</f>
        <v>26.236099999999997</v>
      </c>
      <c r="E308" s="28">
        <f>28.3386 * CHOOSE(CONTROL!$C$15, $E$9, 100%, $G$9) + CHOOSE(CONTROL!$C$38, 0.0357, 0)</f>
        <v>28.374299999999998</v>
      </c>
      <c r="F308" s="27">
        <f>28.3386 * CHOOSE(CONTROL!$C$15, $E$9, 100%, $G$9) + CHOOSE(CONTROL!$C$38, 0.0266, 0)</f>
        <v>28.365199999999998</v>
      </c>
      <c r="G308" s="10">
        <f>26.2066 * CHOOSE(CONTROL!$C$15, $E$9, 100%, $G$9) + CHOOSE(CONTROL!$C$38, 0.0357, 0)</f>
        <v>26.2423</v>
      </c>
      <c r="H308" s="10">
        <f>26.2066 * CHOOSE(CONTROL!$C$15, $E$9, 100%, $G$9) + CHOOSE(CONTROL!$C$38, 0.0357, 0)</f>
        <v>26.2423</v>
      </c>
      <c r="I308" s="10">
        <f>26.2082 * CHOOSE(CONTROL!$C$15, $E$9, 100%, $G$9) + CHOOSE(CONTROL!$C$38, 0.0357, 0)</f>
        <v>26.2439</v>
      </c>
      <c r="J308" s="26">
        <f>184.1913</f>
        <v>184.19130000000001</v>
      </c>
    </row>
    <row r="309" spans="1:10" ht="15.75">
      <c r="A309" s="14">
        <v>50709</v>
      </c>
      <c r="B309" s="10">
        <f>28.7267 * CHOOSE(CONTROL!$C$15, $E$9, 100%, $G$9) + CHOOSE(CONTROL!$C$38, 0.0266, 0)</f>
        <v>28.753299999999999</v>
      </c>
      <c r="C309" s="10">
        <f>26.44 * CHOOSE(CONTROL!$C$15, $E$9, 100%, $G$9) + CHOOSE(CONTROL!$C$38, 0.0357, 0)</f>
        <v>26.4757</v>
      </c>
      <c r="D309" s="10">
        <f>26.4322 * CHOOSE(CONTROL!$C$15, $E$9, 100%, $G$9) + CHOOSE(CONTROL!$C$38, 0.0357, 0)</f>
        <v>26.4679</v>
      </c>
      <c r="E309" s="28">
        <f>28.5704 * CHOOSE(CONTROL!$C$15, $E$9, 100%, $G$9) + CHOOSE(CONTROL!$C$38, 0.0357, 0)</f>
        <v>28.606099999999998</v>
      </c>
      <c r="F309" s="27">
        <f>28.5704 * CHOOSE(CONTROL!$C$15, $E$9, 100%, $G$9) + CHOOSE(CONTROL!$C$38, 0.0266, 0)</f>
        <v>28.596999999999998</v>
      </c>
      <c r="G309" s="10">
        <f>26.4384 * CHOOSE(CONTROL!$C$15, $E$9, 100%, $G$9) + CHOOSE(CONTROL!$C$38, 0.0357, 0)</f>
        <v>26.4741</v>
      </c>
      <c r="H309" s="10">
        <f>26.4384 * CHOOSE(CONTROL!$C$15, $E$9, 100%, $G$9) + CHOOSE(CONTROL!$C$38, 0.0357, 0)</f>
        <v>26.4741</v>
      </c>
      <c r="I309" s="10">
        <f>26.44 * CHOOSE(CONTROL!$C$15, $E$9, 100%, $G$9) + CHOOSE(CONTROL!$C$38, 0.0357, 0)</f>
        <v>26.4757</v>
      </c>
      <c r="J309" s="26">
        <f>177.8218</f>
        <v>177.8218</v>
      </c>
    </row>
    <row r="310" spans="1:10" ht="15.75">
      <c r="A310" s="14">
        <v>50739</v>
      </c>
      <c r="B310" s="10">
        <f>28.9201 * CHOOSE(CONTROL!$C$15, $E$9, 100%, $G$9) + CHOOSE(CONTROL!$C$38, 0.0266, 0)</f>
        <v>28.9467</v>
      </c>
      <c r="C310" s="10">
        <f>26.6334 * CHOOSE(CONTROL!$C$15, $E$9, 100%, $G$9) + CHOOSE(CONTROL!$C$38, 0.0357, 0)</f>
        <v>26.6691</v>
      </c>
      <c r="D310" s="10">
        <f>26.6256 * CHOOSE(CONTROL!$C$15, $E$9, 100%, $G$9) + CHOOSE(CONTROL!$C$38, 0.0357, 0)</f>
        <v>26.661299999999997</v>
      </c>
      <c r="E310" s="28">
        <f>28.7639 * CHOOSE(CONTROL!$C$15, $E$9, 100%, $G$9) + CHOOSE(CONTROL!$C$38, 0.0357, 0)</f>
        <v>28.799599999999998</v>
      </c>
      <c r="F310" s="27">
        <f>28.7639 * CHOOSE(CONTROL!$C$15, $E$9, 100%, $G$9) + CHOOSE(CONTROL!$C$38, 0.0266, 0)</f>
        <v>28.790499999999998</v>
      </c>
      <c r="G310" s="10">
        <f>26.6319 * CHOOSE(CONTROL!$C$15, $E$9, 100%, $G$9) + CHOOSE(CONTROL!$C$38, 0.0357, 0)</f>
        <v>26.6676</v>
      </c>
      <c r="H310" s="10">
        <f>26.6319 * CHOOSE(CONTROL!$C$15, $E$9, 100%, $G$9) + CHOOSE(CONTROL!$C$38, 0.0357, 0)</f>
        <v>26.6676</v>
      </c>
      <c r="I310" s="10">
        <f>26.6334 * CHOOSE(CONTROL!$C$15, $E$9, 100%, $G$9) + CHOOSE(CONTROL!$C$38, 0.0357, 0)</f>
        <v>26.6691</v>
      </c>
      <c r="J310" s="26">
        <f>176.5548</f>
        <v>176.5548</v>
      </c>
    </row>
    <row r="311" spans="1:10" ht="15.75">
      <c r="A311" s="14">
        <v>50770</v>
      </c>
      <c r="B311" s="10">
        <f>29.5162 * CHOOSE(CONTROL!$C$15, $E$9, 100%, $G$9) + CHOOSE(CONTROL!$C$38, 0.0266, 0)</f>
        <v>29.5428</v>
      </c>
      <c r="C311" s="10">
        <f>27.2295 * CHOOSE(CONTROL!$C$15, $E$9, 100%, $G$9) + CHOOSE(CONTROL!$C$38, 0.0357, 0)</f>
        <v>27.2652</v>
      </c>
      <c r="D311" s="10">
        <f>27.2217 * CHOOSE(CONTROL!$C$15, $E$9, 100%, $G$9) + CHOOSE(CONTROL!$C$38, 0.0357, 0)</f>
        <v>27.257399999999997</v>
      </c>
      <c r="E311" s="28">
        <f>29.36 * CHOOSE(CONTROL!$C$15, $E$9, 100%, $G$9) + CHOOSE(CONTROL!$C$38, 0.0357, 0)</f>
        <v>29.395699999999998</v>
      </c>
      <c r="F311" s="27">
        <f>29.36 * CHOOSE(CONTROL!$C$15, $E$9, 100%, $G$9) + CHOOSE(CONTROL!$C$38, 0.0266, 0)</f>
        <v>29.386599999999998</v>
      </c>
      <c r="G311" s="10">
        <f>27.2279 * CHOOSE(CONTROL!$C$15, $E$9, 100%, $G$9) + CHOOSE(CONTROL!$C$38, 0.0357, 0)</f>
        <v>27.2636</v>
      </c>
      <c r="H311" s="10">
        <f>27.2279 * CHOOSE(CONTROL!$C$15, $E$9, 100%, $G$9) + CHOOSE(CONTROL!$C$38, 0.0357, 0)</f>
        <v>27.2636</v>
      </c>
      <c r="I311" s="10">
        <f>27.2295 * CHOOSE(CONTROL!$C$15, $E$9, 100%, $G$9) + CHOOSE(CONTROL!$C$38, 0.0357, 0)</f>
        <v>27.2652</v>
      </c>
      <c r="J311" s="26">
        <f>171.3155</f>
        <v>171.31549999999999</v>
      </c>
    </row>
    <row r="312" spans="1:10" ht="15.75">
      <c r="A312" s="14">
        <v>50801</v>
      </c>
      <c r="B312" s="10">
        <f>30.4877 * CHOOSE(CONTROL!$C$15, $E$9, 100%, $G$9) + CHOOSE(CONTROL!$C$38, 0.0266, 0)</f>
        <v>30.514299999999999</v>
      </c>
      <c r="C312" s="10">
        <f>28.1633 * CHOOSE(CONTROL!$C$15, $E$9, 100%, $G$9) + CHOOSE(CONTROL!$C$38, 0.0357, 0)</f>
        <v>28.198999999999998</v>
      </c>
      <c r="D312" s="10">
        <f>28.1555 * CHOOSE(CONTROL!$C$15, $E$9, 100%, $G$9) + CHOOSE(CONTROL!$C$38, 0.0357, 0)</f>
        <v>28.191199999999998</v>
      </c>
      <c r="E312" s="28">
        <f>30.3314 * CHOOSE(CONTROL!$C$15, $E$9, 100%, $G$9) + CHOOSE(CONTROL!$C$38, 0.0357, 0)</f>
        <v>30.367099999999997</v>
      </c>
      <c r="F312" s="27">
        <f>30.3314 * CHOOSE(CONTROL!$C$15, $E$9, 100%, $G$9) + CHOOSE(CONTROL!$C$38, 0.0266, 0)</f>
        <v>30.357999999999997</v>
      </c>
      <c r="G312" s="10">
        <f>28.1618 * CHOOSE(CONTROL!$C$15, $E$9, 100%, $G$9) + CHOOSE(CONTROL!$C$38, 0.0357, 0)</f>
        <v>28.197499999999998</v>
      </c>
      <c r="H312" s="10">
        <f>28.1618 * CHOOSE(CONTROL!$C$15, $E$9, 100%, $G$9) + CHOOSE(CONTROL!$C$38, 0.0357, 0)</f>
        <v>28.197499999999998</v>
      </c>
      <c r="I312" s="10">
        <f>28.1633 * CHOOSE(CONTROL!$C$15, $E$9, 100%, $G$9) + CHOOSE(CONTROL!$C$38, 0.0357, 0)</f>
        <v>28.198999999999998</v>
      </c>
      <c r="J312" s="26">
        <f>170.1679</f>
        <v>170.1679</v>
      </c>
    </row>
    <row r="313" spans="1:10" ht="15.75">
      <c r="A313" s="14">
        <v>50829</v>
      </c>
      <c r="B313" s="10">
        <f>30.7084 * CHOOSE(CONTROL!$C$15, $E$9, 100%, $G$9) + CHOOSE(CONTROL!$C$38, 0.0266, 0)</f>
        <v>30.734999999999999</v>
      </c>
      <c r="C313" s="10">
        <f>28.3841 * CHOOSE(CONTROL!$C$15, $E$9, 100%, $G$9) + CHOOSE(CONTROL!$C$38, 0.0357, 0)</f>
        <v>28.419799999999999</v>
      </c>
      <c r="D313" s="10">
        <f>28.3763 * CHOOSE(CONTROL!$C$15, $E$9, 100%, $G$9) + CHOOSE(CONTROL!$C$38, 0.0357, 0)</f>
        <v>28.411999999999999</v>
      </c>
      <c r="E313" s="28">
        <f>30.5522 * CHOOSE(CONTROL!$C$15, $E$9, 100%, $G$9) + CHOOSE(CONTROL!$C$38, 0.0357, 0)</f>
        <v>30.587899999999998</v>
      </c>
      <c r="F313" s="27">
        <f>30.5522 * CHOOSE(CONTROL!$C$15, $E$9, 100%, $G$9) + CHOOSE(CONTROL!$C$38, 0.0266, 0)</f>
        <v>30.578799999999998</v>
      </c>
      <c r="G313" s="10">
        <f>28.3825 * CHOOSE(CONTROL!$C$15, $E$9, 100%, $G$9) + CHOOSE(CONTROL!$C$38, 0.0357, 0)</f>
        <v>28.418199999999999</v>
      </c>
      <c r="H313" s="10">
        <f>28.3825 * CHOOSE(CONTROL!$C$15, $E$9, 100%, $G$9) + CHOOSE(CONTROL!$C$38, 0.0357, 0)</f>
        <v>28.418199999999999</v>
      </c>
      <c r="I313" s="10">
        <f>28.3841 * CHOOSE(CONTROL!$C$15, $E$9, 100%, $G$9) + CHOOSE(CONTROL!$C$38, 0.0357, 0)</f>
        <v>28.419799999999999</v>
      </c>
      <c r="J313" s="26">
        <f>169.6949</f>
        <v>169.69489999999999</v>
      </c>
    </row>
    <row r="314" spans="1:10" ht="15.75">
      <c r="A314" s="14">
        <v>50860</v>
      </c>
      <c r="B314" s="10">
        <f>30.1974 * CHOOSE(CONTROL!$C$15, $E$9, 100%, $G$9) + CHOOSE(CONTROL!$C$38, 0.0266, 0)</f>
        <v>30.223999999999997</v>
      </c>
      <c r="C314" s="10">
        <f>27.873 * CHOOSE(CONTROL!$C$15, $E$9, 100%, $G$9) + CHOOSE(CONTROL!$C$38, 0.0357, 0)</f>
        <v>27.9087</v>
      </c>
      <c r="D314" s="10">
        <f>27.8652 * CHOOSE(CONTROL!$C$15, $E$9, 100%, $G$9) + CHOOSE(CONTROL!$C$38, 0.0357, 0)</f>
        <v>27.9009</v>
      </c>
      <c r="E314" s="28">
        <f>30.0411 * CHOOSE(CONTROL!$C$15, $E$9, 100%, $G$9) + CHOOSE(CONTROL!$C$38, 0.0357, 0)</f>
        <v>30.076799999999999</v>
      </c>
      <c r="F314" s="27">
        <f>30.0411 * CHOOSE(CONTROL!$C$15, $E$9, 100%, $G$9) + CHOOSE(CONTROL!$C$38, 0.0266, 0)</f>
        <v>30.067699999999999</v>
      </c>
      <c r="G314" s="10">
        <f>27.8715 * CHOOSE(CONTROL!$C$15, $E$9, 100%, $G$9) + CHOOSE(CONTROL!$C$38, 0.0357, 0)</f>
        <v>27.9072</v>
      </c>
      <c r="H314" s="10">
        <f>27.8715 * CHOOSE(CONTROL!$C$15, $E$9, 100%, $G$9) + CHOOSE(CONTROL!$C$38, 0.0357, 0)</f>
        <v>27.9072</v>
      </c>
      <c r="I314" s="10">
        <f>27.873 * CHOOSE(CONTROL!$C$15, $E$9, 100%, $G$9) + CHOOSE(CONTROL!$C$38, 0.0357, 0)</f>
        <v>27.9087</v>
      </c>
      <c r="J314" s="26">
        <f>178.6388</f>
        <v>178.6388</v>
      </c>
    </row>
    <row r="315" spans="1:10" ht="15.75">
      <c r="A315" s="14">
        <v>50890</v>
      </c>
      <c r="B315" s="10">
        <f>29.7022 * CHOOSE(CONTROL!$C$15, $E$9, 100%, $G$9) + CHOOSE(CONTROL!$C$38, 0.0266, 0)</f>
        <v>29.7288</v>
      </c>
      <c r="C315" s="10">
        <f>27.3779 * CHOOSE(CONTROL!$C$15, $E$9, 100%, $G$9) + CHOOSE(CONTROL!$C$38, 0.0357, 0)</f>
        <v>27.413599999999999</v>
      </c>
      <c r="D315" s="10">
        <f>27.3701 * CHOOSE(CONTROL!$C$15, $E$9, 100%, $G$9) + CHOOSE(CONTROL!$C$38, 0.0357, 0)</f>
        <v>27.405799999999999</v>
      </c>
      <c r="E315" s="28">
        <f>29.546 * CHOOSE(CONTROL!$C$15, $E$9, 100%, $G$9) + CHOOSE(CONTROL!$C$38, 0.0357, 0)</f>
        <v>29.581699999999998</v>
      </c>
      <c r="F315" s="27">
        <f>29.546 * CHOOSE(CONTROL!$C$15, $E$9, 100%, $G$9) + CHOOSE(CONTROL!$C$38, 0.0266, 0)</f>
        <v>29.572599999999998</v>
      </c>
      <c r="G315" s="10">
        <f>27.3763 * CHOOSE(CONTROL!$C$15, $E$9, 100%, $G$9) + CHOOSE(CONTROL!$C$38, 0.0357, 0)</f>
        <v>27.411999999999999</v>
      </c>
      <c r="H315" s="10">
        <f>27.3763 * CHOOSE(CONTROL!$C$15, $E$9, 100%, $G$9) + CHOOSE(CONTROL!$C$38, 0.0357, 0)</f>
        <v>27.411999999999999</v>
      </c>
      <c r="I315" s="10">
        <f>27.3779 * CHOOSE(CONTROL!$C$15, $E$9, 100%, $G$9) + CHOOSE(CONTROL!$C$38, 0.0357, 0)</f>
        <v>27.413599999999999</v>
      </c>
      <c r="J315" s="26">
        <f>190.2369</f>
        <v>190.23689999999999</v>
      </c>
    </row>
    <row r="316" spans="1:10" ht="15.75">
      <c r="A316" s="14">
        <v>50921</v>
      </c>
      <c r="B316" s="10">
        <f>29.1861 * CHOOSE(CONTROL!$C$15, $E$9, 100%, $G$9) + CHOOSE(CONTROL!$C$38, 0.0266, 0)</f>
        <v>29.212699999999998</v>
      </c>
      <c r="C316" s="10">
        <f>26.8618 * CHOOSE(CONTROL!$C$15, $E$9, 100%, $G$9) + CHOOSE(CONTROL!$C$38, 0.0357, 0)</f>
        <v>26.897499999999997</v>
      </c>
      <c r="D316" s="10">
        <f>26.8539 * CHOOSE(CONTROL!$C$15, $E$9, 100%, $G$9) + CHOOSE(CONTROL!$C$38, 0.0357, 0)</f>
        <v>26.889599999999998</v>
      </c>
      <c r="E316" s="28">
        <f>29.0298 * CHOOSE(CONTROL!$C$15, $E$9, 100%, $G$9) + CHOOSE(CONTROL!$C$38, 0.0357, 0)</f>
        <v>29.0655</v>
      </c>
      <c r="F316" s="27">
        <f>29.0298 * CHOOSE(CONTROL!$C$15, $E$9, 100%, $G$9) + CHOOSE(CONTROL!$C$38, 0.0266, 0)</f>
        <v>29.0564</v>
      </c>
      <c r="G316" s="10">
        <f>26.8602 * CHOOSE(CONTROL!$C$15, $E$9, 100%, $G$9) + CHOOSE(CONTROL!$C$38, 0.0357, 0)</f>
        <v>26.895899999999997</v>
      </c>
      <c r="H316" s="10">
        <f>26.8602 * CHOOSE(CONTROL!$C$15, $E$9, 100%, $G$9) + CHOOSE(CONTROL!$C$38, 0.0357, 0)</f>
        <v>26.895899999999997</v>
      </c>
      <c r="I316" s="10">
        <f>26.8618 * CHOOSE(CONTROL!$C$15, $E$9, 100%, $G$9) + CHOOSE(CONTROL!$C$38, 0.0357, 0)</f>
        <v>26.897499999999997</v>
      </c>
      <c r="J316" s="26">
        <f>196.6209</f>
        <v>196.62090000000001</v>
      </c>
    </row>
    <row r="317" spans="1:10" ht="15.75">
      <c r="A317" s="14">
        <v>50951</v>
      </c>
      <c r="B317" s="10">
        <f>28.8243 * CHOOSE(CONTROL!$C$15, $E$9, 100%, $G$9) + CHOOSE(CONTROL!$C$38, 0.0266, 0)</f>
        <v>28.850899999999999</v>
      </c>
      <c r="C317" s="10">
        <f>26.4999 * CHOOSE(CONTROL!$C$15, $E$9, 100%, $G$9) + CHOOSE(CONTROL!$C$38, 0.0357, 0)</f>
        <v>26.535599999999999</v>
      </c>
      <c r="D317" s="10">
        <f>26.4921 * CHOOSE(CONTROL!$C$15, $E$9, 100%, $G$9) + CHOOSE(CONTROL!$C$38, 0.0357, 0)</f>
        <v>26.527799999999999</v>
      </c>
      <c r="E317" s="28">
        <f>28.668 * CHOOSE(CONTROL!$C$15, $E$9, 100%, $G$9) + CHOOSE(CONTROL!$C$38, 0.0357, 0)</f>
        <v>28.703699999999998</v>
      </c>
      <c r="F317" s="27">
        <f>28.668 * CHOOSE(CONTROL!$C$15, $E$9, 100%, $G$9) + CHOOSE(CONTROL!$C$38, 0.0266, 0)</f>
        <v>28.694599999999998</v>
      </c>
      <c r="G317" s="10">
        <f>26.4984 * CHOOSE(CONTROL!$C$15, $E$9, 100%, $G$9) + CHOOSE(CONTROL!$C$38, 0.0357, 0)</f>
        <v>26.534099999999999</v>
      </c>
      <c r="H317" s="10">
        <f>26.4984 * CHOOSE(CONTROL!$C$15, $E$9, 100%, $G$9) + CHOOSE(CONTROL!$C$38, 0.0357, 0)</f>
        <v>26.534099999999999</v>
      </c>
      <c r="I317" s="10">
        <f>26.4999 * CHOOSE(CONTROL!$C$15, $E$9, 100%, $G$9) + CHOOSE(CONTROL!$C$38, 0.0357, 0)</f>
        <v>26.535599999999999</v>
      </c>
      <c r="J317" s="26">
        <f>199.454</f>
        <v>199.45400000000001</v>
      </c>
    </row>
    <row r="318" spans="1:10" ht="15.75">
      <c r="A318" s="14">
        <v>50982</v>
      </c>
      <c r="B318" s="10">
        <f>28.6178 * CHOOSE(CONTROL!$C$15, $E$9, 100%, $G$9) + CHOOSE(CONTROL!$C$38, 0.0266, 0)</f>
        <v>28.644399999999997</v>
      </c>
      <c r="C318" s="10">
        <f>26.2934 * CHOOSE(CONTROL!$C$15, $E$9, 100%, $G$9) + CHOOSE(CONTROL!$C$38, 0.0357, 0)</f>
        <v>26.329099999999997</v>
      </c>
      <c r="D318" s="10">
        <f>26.2856 * CHOOSE(CONTROL!$C$15, $E$9, 100%, $G$9) + CHOOSE(CONTROL!$C$38, 0.0357, 0)</f>
        <v>26.321299999999997</v>
      </c>
      <c r="E318" s="28">
        <f>28.4615 * CHOOSE(CONTROL!$C$15, $E$9, 100%, $G$9) + CHOOSE(CONTROL!$C$38, 0.0357, 0)</f>
        <v>28.497199999999999</v>
      </c>
      <c r="F318" s="27">
        <f>28.4615 * CHOOSE(CONTROL!$C$15, $E$9, 100%, $G$9) + CHOOSE(CONTROL!$C$38, 0.0266, 0)</f>
        <v>28.488099999999999</v>
      </c>
      <c r="G318" s="10">
        <f>26.2919 * CHOOSE(CONTROL!$C$15, $E$9, 100%, $G$9) + CHOOSE(CONTROL!$C$38, 0.0357, 0)</f>
        <v>26.327599999999997</v>
      </c>
      <c r="H318" s="10">
        <f>26.2919 * CHOOSE(CONTROL!$C$15, $E$9, 100%, $G$9) + CHOOSE(CONTROL!$C$38, 0.0357, 0)</f>
        <v>26.327599999999997</v>
      </c>
      <c r="I318" s="10">
        <f>26.2934 * CHOOSE(CONTROL!$C$15, $E$9, 100%, $G$9) + CHOOSE(CONTROL!$C$38, 0.0357, 0)</f>
        <v>26.329099999999997</v>
      </c>
      <c r="J318" s="26">
        <f>198.5212</f>
        <v>198.52119999999999</v>
      </c>
    </row>
    <row r="319" spans="1:10" ht="15.75">
      <c r="A319" s="14">
        <v>51013</v>
      </c>
      <c r="B319" s="10">
        <f>28.7197 * CHOOSE(CONTROL!$C$15, $E$9, 100%, $G$9) + CHOOSE(CONTROL!$C$38, 0.0266, 0)</f>
        <v>28.746299999999998</v>
      </c>
      <c r="C319" s="10">
        <f>26.3953 * CHOOSE(CONTROL!$C$15, $E$9, 100%, $G$9) + CHOOSE(CONTROL!$C$38, 0.0357, 0)</f>
        <v>26.430999999999997</v>
      </c>
      <c r="D319" s="10">
        <f>26.3875 * CHOOSE(CONTROL!$C$15, $E$9, 100%, $G$9) + CHOOSE(CONTROL!$C$38, 0.0357, 0)</f>
        <v>26.423199999999998</v>
      </c>
      <c r="E319" s="28">
        <f>28.5634 * CHOOSE(CONTROL!$C$15, $E$9, 100%, $G$9) + CHOOSE(CONTROL!$C$38, 0.0357, 0)</f>
        <v>28.5991</v>
      </c>
      <c r="F319" s="27">
        <f>28.5634 * CHOOSE(CONTROL!$C$15, $E$9, 100%, $G$9) + CHOOSE(CONTROL!$C$38, 0.0266, 0)</f>
        <v>28.59</v>
      </c>
      <c r="G319" s="10">
        <f>26.3938 * CHOOSE(CONTROL!$C$15, $E$9, 100%, $G$9) + CHOOSE(CONTROL!$C$38, 0.0357, 0)</f>
        <v>26.429499999999997</v>
      </c>
      <c r="H319" s="10">
        <f>26.3938 * CHOOSE(CONTROL!$C$15, $E$9, 100%, $G$9) + CHOOSE(CONTROL!$C$38, 0.0357, 0)</f>
        <v>26.429499999999997</v>
      </c>
      <c r="I319" s="10">
        <f>26.3953 * CHOOSE(CONTROL!$C$15, $E$9, 100%, $G$9) + CHOOSE(CONTROL!$C$38, 0.0357, 0)</f>
        <v>26.430999999999997</v>
      </c>
      <c r="J319" s="26">
        <f>193.8997</f>
        <v>193.8997</v>
      </c>
    </row>
    <row r="320" spans="1:10" ht="15.75">
      <c r="A320" s="14">
        <v>51043</v>
      </c>
      <c r="B320" s="10">
        <f>28.9965 * CHOOSE(CONTROL!$C$15, $E$9, 100%, $G$9) + CHOOSE(CONTROL!$C$38, 0.0266, 0)</f>
        <v>29.023099999999999</v>
      </c>
      <c r="C320" s="10">
        <f>26.6721 * CHOOSE(CONTROL!$C$15, $E$9, 100%, $G$9) + CHOOSE(CONTROL!$C$38, 0.0357, 0)</f>
        <v>26.707799999999999</v>
      </c>
      <c r="D320" s="10">
        <f>26.6643 * CHOOSE(CONTROL!$C$15, $E$9, 100%, $G$9) + CHOOSE(CONTROL!$C$38, 0.0357, 0)</f>
        <v>26.7</v>
      </c>
      <c r="E320" s="28">
        <f>28.8402 * CHOOSE(CONTROL!$C$15, $E$9, 100%, $G$9) + CHOOSE(CONTROL!$C$38, 0.0357, 0)</f>
        <v>28.875899999999998</v>
      </c>
      <c r="F320" s="27">
        <f>28.8402 * CHOOSE(CONTROL!$C$15, $E$9, 100%, $G$9) + CHOOSE(CONTROL!$C$38, 0.0266, 0)</f>
        <v>28.866799999999998</v>
      </c>
      <c r="G320" s="10">
        <f>26.6706 * CHOOSE(CONTROL!$C$15, $E$9, 100%, $G$9) + CHOOSE(CONTROL!$C$38, 0.0357, 0)</f>
        <v>26.706299999999999</v>
      </c>
      <c r="H320" s="10">
        <f>26.6706 * CHOOSE(CONTROL!$C$15, $E$9, 100%, $G$9) + CHOOSE(CONTROL!$C$38, 0.0357, 0)</f>
        <v>26.706299999999999</v>
      </c>
      <c r="I320" s="10">
        <f>26.6721 * CHOOSE(CONTROL!$C$15, $E$9, 100%, $G$9) + CHOOSE(CONTROL!$C$38, 0.0357, 0)</f>
        <v>26.707799999999999</v>
      </c>
      <c r="J320" s="26">
        <f>187.4548</f>
        <v>187.45480000000001</v>
      </c>
    </row>
    <row r="321" spans="1:10" ht="15.75">
      <c r="A321" s="14">
        <v>51074</v>
      </c>
      <c r="B321" s="10">
        <f>29.2283 * CHOOSE(CONTROL!$C$15, $E$9, 100%, $G$9) + CHOOSE(CONTROL!$C$38, 0.0266, 0)</f>
        <v>29.254899999999999</v>
      </c>
      <c r="C321" s="10">
        <f>26.904 * CHOOSE(CONTROL!$C$15, $E$9, 100%, $G$9) + CHOOSE(CONTROL!$C$38, 0.0357, 0)</f>
        <v>26.939699999999998</v>
      </c>
      <c r="D321" s="10">
        <f>26.8961 * CHOOSE(CONTROL!$C$15, $E$9, 100%, $G$9) + CHOOSE(CONTROL!$C$38, 0.0357, 0)</f>
        <v>26.931799999999999</v>
      </c>
      <c r="E321" s="28">
        <f>29.072 * CHOOSE(CONTROL!$C$15, $E$9, 100%, $G$9) + CHOOSE(CONTROL!$C$38, 0.0357, 0)</f>
        <v>29.107699999999998</v>
      </c>
      <c r="F321" s="27">
        <f>29.072 * CHOOSE(CONTROL!$C$15, $E$9, 100%, $G$9) + CHOOSE(CONTROL!$C$38, 0.0266, 0)</f>
        <v>29.098599999999998</v>
      </c>
      <c r="G321" s="10">
        <f>26.9024 * CHOOSE(CONTROL!$C$15, $E$9, 100%, $G$9) + CHOOSE(CONTROL!$C$38, 0.0357, 0)</f>
        <v>26.938099999999999</v>
      </c>
      <c r="H321" s="10">
        <f>26.9024 * CHOOSE(CONTROL!$C$15, $E$9, 100%, $G$9) + CHOOSE(CONTROL!$C$38, 0.0357, 0)</f>
        <v>26.938099999999999</v>
      </c>
      <c r="I321" s="10">
        <f>26.904 * CHOOSE(CONTROL!$C$15, $E$9, 100%, $G$9) + CHOOSE(CONTROL!$C$38, 0.0357, 0)</f>
        <v>26.939699999999998</v>
      </c>
      <c r="J321" s="26">
        <f>180.9724</f>
        <v>180.97239999999999</v>
      </c>
    </row>
    <row r="322" spans="1:10" ht="15.75">
      <c r="A322" s="14">
        <v>51104</v>
      </c>
      <c r="B322" s="10">
        <f>29.4217 * CHOOSE(CONTROL!$C$15, $E$9, 100%, $G$9) + CHOOSE(CONTROL!$C$38, 0.0266, 0)</f>
        <v>29.4483</v>
      </c>
      <c r="C322" s="10">
        <f>27.0974 * CHOOSE(CONTROL!$C$15, $E$9, 100%, $G$9) + CHOOSE(CONTROL!$C$38, 0.0357, 0)</f>
        <v>27.133099999999999</v>
      </c>
      <c r="D322" s="10">
        <f>27.0896 * CHOOSE(CONTROL!$C$15, $E$9, 100%, $G$9) + CHOOSE(CONTROL!$C$38, 0.0357, 0)</f>
        <v>27.125299999999999</v>
      </c>
      <c r="E322" s="28">
        <f>29.2655 * CHOOSE(CONTROL!$C$15, $E$9, 100%, $G$9) + CHOOSE(CONTROL!$C$38, 0.0357, 0)</f>
        <v>29.301199999999998</v>
      </c>
      <c r="F322" s="27">
        <f>29.2655 * CHOOSE(CONTROL!$C$15, $E$9, 100%, $G$9) + CHOOSE(CONTROL!$C$38, 0.0266, 0)</f>
        <v>29.292099999999998</v>
      </c>
      <c r="G322" s="10">
        <f>27.0958 * CHOOSE(CONTROL!$C$15, $E$9, 100%, $G$9) + CHOOSE(CONTROL!$C$38, 0.0357, 0)</f>
        <v>27.131499999999999</v>
      </c>
      <c r="H322" s="10">
        <f>27.0958 * CHOOSE(CONTROL!$C$15, $E$9, 100%, $G$9) + CHOOSE(CONTROL!$C$38, 0.0357, 0)</f>
        <v>27.131499999999999</v>
      </c>
      <c r="I322" s="10">
        <f>27.0974 * CHOOSE(CONTROL!$C$15, $E$9, 100%, $G$9) + CHOOSE(CONTROL!$C$38, 0.0357, 0)</f>
        <v>27.133099999999999</v>
      </c>
      <c r="J322" s="26">
        <f>179.683</f>
        <v>179.68299999999999</v>
      </c>
    </row>
    <row r="323" spans="1:10" ht="15.75">
      <c r="A323" s="14">
        <v>51135</v>
      </c>
      <c r="B323" s="10">
        <f>30.0178 * CHOOSE(CONTROL!$C$15, $E$9, 100%, $G$9) + CHOOSE(CONTROL!$C$38, 0.0266, 0)</f>
        <v>30.0444</v>
      </c>
      <c r="C323" s="10">
        <f>27.6935 * CHOOSE(CONTROL!$C$15, $E$9, 100%, $G$9) + CHOOSE(CONTROL!$C$38, 0.0357, 0)</f>
        <v>27.729199999999999</v>
      </c>
      <c r="D323" s="10">
        <f>27.6857 * CHOOSE(CONTROL!$C$15, $E$9, 100%, $G$9) + CHOOSE(CONTROL!$C$38, 0.0357, 0)</f>
        <v>27.721399999999999</v>
      </c>
      <c r="E323" s="28">
        <f>29.8616 * CHOOSE(CONTROL!$C$15, $E$9, 100%, $G$9) + CHOOSE(CONTROL!$C$38, 0.0357, 0)</f>
        <v>29.897299999999998</v>
      </c>
      <c r="F323" s="27">
        <f>29.8616 * CHOOSE(CONTROL!$C$15, $E$9, 100%, $G$9) + CHOOSE(CONTROL!$C$38, 0.0266, 0)</f>
        <v>29.888199999999998</v>
      </c>
      <c r="G323" s="10">
        <f>27.6919 * CHOOSE(CONTROL!$C$15, $E$9, 100%, $G$9) + CHOOSE(CONTROL!$C$38, 0.0357, 0)</f>
        <v>27.727599999999999</v>
      </c>
      <c r="H323" s="10">
        <f>27.6919 * CHOOSE(CONTROL!$C$15, $E$9, 100%, $G$9) + CHOOSE(CONTROL!$C$38, 0.0357, 0)</f>
        <v>27.727599999999999</v>
      </c>
      <c r="I323" s="10">
        <f>27.6935 * CHOOSE(CONTROL!$C$15, $E$9, 100%, $G$9) + CHOOSE(CONTROL!$C$38, 0.0357, 0)</f>
        <v>27.729199999999999</v>
      </c>
      <c r="J323" s="26">
        <f>174.3509</f>
        <v>174.3509</v>
      </c>
    </row>
    <row r="324" spans="1:10" ht="15.75">
      <c r="A324" s="14">
        <v>51166</v>
      </c>
      <c r="B324" s="10">
        <f>30.9981 * CHOOSE(CONTROL!$C$15, $E$9, 100%, $G$9) + CHOOSE(CONTROL!$C$38, 0.0266, 0)</f>
        <v>31.024699999999999</v>
      </c>
      <c r="C324" s="10">
        <f>28.6355 * CHOOSE(CONTROL!$C$15, $E$9, 100%, $G$9) + CHOOSE(CONTROL!$C$38, 0.0357, 0)</f>
        <v>28.671199999999999</v>
      </c>
      <c r="D324" s="10">
        <f>28.6277 * CHOOSE(CONTROL!$C$15, $E$9, 100%, $G$9) + CHOOSE(CONTROL!$C$38, 0.0357, 0)</f>
        <v>28.663399999999999</v>
      </c>
      <c r="E324" s="28">
        <f>30.8419 * CHOOSE(CONTROL!$C$15, $E$9, 100%, $G$9) + CHOOSE(CONTROL!$C$38, 0.0357, 0)</f>
        <v>30.877599999999997</v>
      </c>
      <c r="F324" s="27">
        <f>30.8419 * CHOOSE(CONTROL!$C$15, $E$9, 100%, $G$9) + CHOOSE(CONTROL!$C$38, 0.0266, 0)</f>
        <v>30.868499999999997</v>
      </c>
      <c r="G324" s="10">
        <f>28.6339 * CHOOSE(CONTROL!$C$15, $E$9, 100%, $G$9) + CHOOSE(CONTROL!$C$38, 0.0357, 0)</f>
        <v>28.669599999999999</v>
      </c>
      <c r="H324" s="10">
        <f>28.6339 * CHOOSE(CONTROL!$C$15, $E$9, 100%, $G$9) + CHOOSE(CONTROL!$C$38, 0.0357, 0)</f>
        <v>28.669599999999999</v>
      </c>
      <c r="I324" s="10">
        <f>28.6355 * CHOOSE(CONTROL!$C$15, $E$9, 100%, $G$9) + CHOOSE(CONTROL!$C$38, 0.0357, 0)</f>
        <v>28.671199999999999</v>
      </c>
      <c r="J324" s="26">
        <f>173.183</f>
        <v>173.18299999999999</v>
      </c>
    </row>
    <row r="325" spans="1:10" ht="15.75">
      <c r="A325" s="14">
        <v>51194</v>
      </c>
      <c r="B325" s="10">
        <f>31.2189 * CHOOSE(CONTROL!$C$15, $E$9, 100%, $G$9) + CHOOSE(CONTROL!$C$38, 0.0266, 0)</f>
        <v>31.2455</v>
      </c>
      <c r="C325" s="10">
        <f>28.8562 * CHOOSE(CONTROL!$C$15, $E$9, 100%, $G$9) + CHOOSE(CONTROL!$C$38, 0.0357, 0)</f>
        <v>28.8919</v>
      </c>
      <c r="D325" s="10">
        <f>28.8484 * CHOOSE(CONTROL!$C$15, $E$9, 100%, $G$9) + CHOOSE(CONTROL!$C$38, 0.0357, 0)</f>
        <v>28.8841</v>
      </c>
      <c r="E325" s="28">
        <f>31.0626 * CHOOSE(CONTROL!$C$15, $E$9, 100%, $G$9) + CHOOSE(CONTROL!$C$38, 0.0357, 0)</f>
        <v>31.098299999999998</v>
      </c>
      <c r="F325" s="27">
        <f>31.0626 * CHOOSE(CONTROL!$C$15, $E$9, 100%, $G$9) + CHOOSE(CONTROL!$C$38, 0.0266, 0)</f>
        <v>31.089199999999998</v>
      </c>
      <c r="G325" s="10">
        <f>28.8547 * CHOOSE(CONTROL!$C$15, $E$9, 100%, $G$9) + CHOOSE(CONTROL!$C$38, 0.0357, 0)</f>
        <v>28.8904</v>
      </c>
      <c r="H325" s="10">
        <f>28.8547 * CHOOSE(CONTROL!$C$15, $E$9, 100%, $G$9) + CHOOSE(CONTROL!$C$38, 0.0357, 0)</f>
        <v>28.8904</v>
      </c>
      <c r="I325" s="10">
        <f>28.8562 * CHOOSE(CONTROL!$C$15, $E$9, 100%, $G$9) + CHOOSE(CONTROL!$C$38, 0.0357, 0)</f>
        <v>28.8919</v>
      </c>
      <c r="J325" s="26">
        <f>172.7016</f>
        <v>172.70160000000001</v>
      </c>
    </row>
    <row r="326" spans="1:10" ht="15.75">
      <c r="A326" s="14">
        <v>51226</v>
      </c>
      <c r="B326" s="10">
        <f>30.7079 * CHOOSE(CONTROL!$C$15, $E$9, 100%, $G$9) + CHOOSE(CONTROL!$C$38, 0.0266, 0)</f>
        <v>30.734499999999997</v>
      </c>
      <c r="C326" s="10">
        <f>28.3452 * CHOOSE(CONTROL!$C$15, $E$9, 100%, $G$9) + CHOOSE(CONTROL!$C$38, 0.0357, 0)</f>
        <v>28.380899999999997</v>
      </c>
      <c r="D326" s="10">
        <f>28.3374 * CHOOSE(CONTROL!$C$15, $E$9, 100%, $G$9) + CHOOSE(CONTROL!$C$38, 0.0357, 0)</f>
        <v>28.373099999999997</v>
      </c>
      <c r="E326" s="28">
        <f>30.5516 * CHOOSE(CONTROL!$C$15, $E$9, 100%, $G$9) + CHOOSE(CONTROL!$C$38, 0.0357, 0)</f>
        <v>30.587299999999999</v>
      </c>
      <c r="F326" s="27">
        <f>30.5516 * CHOOSE(CONTROL!$C$15, $E$9, 100%, $G$9) + CHOOSE(CONTROL!$C$38, 0.0266, 0)</f>
        <v>30.578199999999999</v>
      </c>
      <c r="G326" s="10">
        <f>28.3436 * CHOOSE(CONTROL!$C$15, $E$9, 100%, $G$9) + CHOOSE(CONTROL!$C$38, 0.0357, 0)</f>
        <v>28.379299999999997</v>
      </c>
      <c r="H326" s="10">
        <f>28.3436 * CHOOSE(CONTROL!$C$15, $E$9, 100%, $G$9) + CHOOSE(CONTROL!$C$38, 0.0357, 0)</f>
        <v>28.379299999999997</v>
      </c>
      <c r="I326" s="10">
        <f>28.3452 * CHOOSE(CONTROL!$C$15, $E$9, 100%, $G$9) + CHOOSE(CONTROL!$C$38, 0.0357, 0)</f>
        <v>28.380899999999997</v>
      </c>
      <c r="J326" s="26">
        <f>181.804</f>
        <v>181.804</v>
      </c>
    </row>
    <row r="327" spans="1:10" ht="15.75">
      <c r="A327" s="14">
        <v>51256</v>
      </c>
      <c r="B327" s="10">
        <f>30.2127 * CHOOSE(CONTROL!$C$15, $E$9, 100%, $G$9) + CHOOSE(CONTROL!$C$38, 0.0266, 0)</f>
        <v>30.2393</v>
      </c>
      <c r="C327" s="10">
        <f>27.85 * CHOOSE(CONTROL!$C$15, $E$9, 100%, $G$9) + CHOOSE(CONTROL!$C$38, 0.0357, 0)</f>
        <v>27.8857</v>
      </c>
      <c r="D327" s="10">
        <f>27.8422 * CHOOSE(CONTROL!$C$15, $E$9, 100%, $G$9) + CHOOSE(CONTROL!$C$38, 0.0357, 0)</f>
        <v>27.877899999999997</v>
      </c>
      <c r="E327" s="28">
        <f>30.0564 * CHOOSE(CONTROL!$C$15, $E$9, 100%, $G$9) + CHOOSE(CONTROL!$C$38, 0.0357, 0)</f>
        <v>30.092099999999999</v>
      </c>
      <c r="F327" s="27">
        <f>30.0564 * CHOOSE(CONTROL!$C$15, $E$9, 100%, $G$9) + CHOOSE(CONTROL!$C$38, 0.0266, 0)</f>
        <v>30.082999999999998</v>
      </c>
      <c r="G327" s="10">
        <f>27.8485 * CHOOSE(CONTROL!$C$15, $E$9, 100%, $G$9) + CHOOSE(CONTROL!$C$38, 0.0357, 0)</f>
        <v>27.8842</v>
      </c>
      <c r="H327" s="10">
        <f>27.8485 * CHOOSE(CONTROL!$C$15, $E$9, 100%, $G$9) + CHOOSE(CONTROL!$C$38, 0.0357, 0)</f>
        <v>27.8842</v>
      </c>
      <c r="I327" s="10">
        <f>27.85 * CHOOSE(CONTROL!$C$15, $E$9, 100%, $G$9) + CHOOSE(CONTROL!$C$38, 0.0357, 0)</f>
        <v>27.8857</v>
      </c>
      <c r="J327" s="26">
        <f>193.6076</f>
        <v>193.60759999999999</v>
      </c>
    </row>
    <row r="328" spans="1:10" ht="15.75">
      <c r="A328" s="14">
        <v>51287</v>
      </c>
      <c r="B328" s="10">
        <f>29.6966 * CHOOSE(CONTROL!$C$15, $E$9, 100%, $G$9) + CHOOSE(CONTROL!$C$38, 0.0266, 0)</f>
        <v>29.723199999999999</v>
      </c>
      <c r="C328" s="10">
        <f>27.3339 * CHOOSE(CONTROL!$C$15, $E$9, 100%, $G$9) + CHOOSE(CONTROL!$C$38, 0.0357, 0)</f>
        <v>27.369599999999998</v>
      </c>
      <c r="D328" s="10">
        <f>27.3261 * CHOOSE(CONTROL!$C$15, $E$9, 100%, $G$9) + CHOOSE(CONTROL!$C$38, 0.0357, 0)</f>
        <v>27.361799999999999</v>
      </c>
      <c r="E328" s="28">
        <f>29.5403 * CHOOSE(CONTROL!$C$15, $E$9, 100%, $G$9) + CHOOSE(CONTROL!$C$38, 0.0357, 0)</f>
        <v>29.575999999999997</v>
      </c>
      <c r="F328" s="27">
        <f>29.5403 * CHOOSE(CONTROL!$C$15, $E$9, 100%, $G$9) + CHOOSE(CONTROL!$C$38, 0.0266, 0)</f>
        <v>29.566899999999997</v>
      </c>
      <c r="G328" s="10">
        <f>27.3324 * CHOOSE(CONTROL!$C$15, $E$9, 100%, $G$9) + CHOOSE(CONTROL!$C$38, 0.0357, 0)</f>
        <v>27.368099999999998</v>
      </c>
      <c r="H328" s="10">
        <f>27.3324 * CHOOSE(CONTROL!$C$15, $E$9, 100%, $G$9) + CHOOSE(CONTROL!$C$38, 0.0357, 0)</f>
        <v>27.368099999999998</v>
      </c>
      <c r="I328" s="10">
        <f>27.3339 * CHOOSE(CONTROL!$C$15, $E$9, 100%, $G$9) + CHOOSE(CONTROL!$C$38, 0.0357, 0)</f>
        <v>27.369599999999998</v>
      </c>
      <c r="J328" s="26">
        <f>200.1047</f>
        <v>200.10470000000001</v>
      </c>
    </row>
    <row r="329" spans="1:10" ht="15.75">
      <c r="A329" s="14">
        <v>51317</v>
      </c>
      <c r="B329" s="10">
        <f>29.3347 * CHOOSE(CONTROL!$C$15, $E$9, 100%, $G$9) + CHOOSE(CONTROL!$C$38, 0.0266, 0)</f>
        <v>29.3613</v>
      </c>
      <c r="C329" s="10">
        <f>26.9721 * CHOOSE(CONTROL!$C$15, $E$9, 100%, $G$9) + CHOOSE(CONTROL!$C$38, 0.0357, 0)</f>
        <v>27.0078</v>
      </c>
      <c r="D329" s="10">
        <f>26.9643 * CHOOSE(CONTROL!$C$15, $E$9, 100%, $G$9) + CHOOSE(CONTROL!$C$38, 0.0357, 0)</f>
        <v>27</v>
      </c>
      <c r="E329" s="28">
        <f>29.1785 * CHOOSE(CONTROL!$C$15, $E$9, 100%, $G$9) + CHOOSE(CONTROL!$C$38, 0.0357, 0)</f>
        <v>29.214199999999998</v>
      </c>
      <c r="F329" s="27">
        <f>29.1785 * CHOOSE(CONTROL!$C$15, $E$9, 100%, $G$9) + CHOOSE(CONTROL!$C$38, 0.0266, 0)</f>
        <v>29.205099999999998</v>
      </c>
      <c r="G329" s="10">
        <f>26.9705 * CHOOSE(CONTROL!$C$15, $E$9, 100%, $G$9) + CHOOSE(CONTROL!$C$38, 0.0357, 0)</f>
        <v>27.0062</v>
      </c>
      <c r="H329" s="10">
        <f>26.9705 * CHOOSE(CONTROL!$C$15, $E$9, 100%, $G$9) + CHOOSE(CONTROL!$C$38, 0.0357, 0)</f>
        <v>27.0062</v>
      </c>
      <c r="I329" s="10">
        <f>26.9721 * CHOOSE(CONTROL!$C$15, $E$9, 100%, $G$9) + CHOOSE(CONTROL!$C$38, 0.0357, 0)</f>
        <v>27.0078</v>
      </c>
      <c r="J329" s="26">
        <f>202.9879</f>
        <v>202.9879</v>
      </c>
    </row>
    <row r="330" spans="1:10" ht="15.75">
      <c r="A330" s="14">
        <v>51348</v>
      </c>
      <c r="B330" s="10">
        <f>29.1282 * CHOOSE(CONTROL!$C$15, $E$9, 100%, $G$9) + CHOOSE(CONTROL!$C$38, 0.0266, 0)</f>
        <v>29.154799999999998</v>
      </c>
      <c r="C330" s="10">
        <f>26.7656 * CHOOSE(CONTROL!$C$15, $E$9, 100%, $G$9) + CHOOSE(CONTROL!$C$38, 0.0357, 0)</f>
        <v>26.801299999999998</v>
      </c>
      <c r="D330" s="10">
        <f>26.7578 * CHOOSE(CONTROL!$C$15, $E$9, 100%, $G$9) + CHOOSE(CONTROL!$C$38, 0.0357, 0)</f>
        <v>26.793499999999998</v>
      </c>
      <c r="E330" s="28">
        <f>28.972 * CHOOSE(CONTROL!$C$15, $E$9, 100%, $G$9) + CHOOSE(CONTROL!$C$38, 0.0357, 0)</f>
        <v>29.0077</v>
      </c>
      <c r="F330" s="27">
        <f>28.972 * CHOOSE(CONTROL!$C$15, $E$9, 100%, $G$9) + CHOOSE(CONTROL!$C$38, 0.0266, 0)</f>
        <v>28.9986</v>
      </c>
      <c r="G330" s="10">
        <f>26.764 * CHOOSE(CONTROL!$C$15, $E$9, 100%, $G$9) + CHOOSE(CONTROL!$C$38, 0.0357, 0)</f>
        <v>26.799699999999998</v>
      </c>
      <c r="H330" s="10">
        <f>26.764 * CHOOSE(CONTROL!$C$15, $E$9, 100%, $G$9) + CHOOSE(CONTROL!$C$38, 0.0357, 0)</f>
        <v>26.799699999999998</v>
      </c>
      <c r="I330" s="10">
        <f>26.7656 * CHOOSE(CONTROL!$C$15, $E$9, 100%, $G$9) + CHOOSE(CONTROL!$C$38, 0.0357, 0)</f>
        <v>26.801299999999998</v>
      </c>
      <c r="J330" s="26">
        <f>202.0386</f>
        <v>202.0386</v>
      </c>
    </row>
    <row r="331" spans="1:10" ht="15.75">
      <c r="A331" s="14">
        <v>51379</v>
      </c>
      <c r="B331" s="10">
        <f>29.2301 * CHOOSE(CONTROL!$C$15, $E$9, 100%, $G$9) + CHOOSE(CONTROL!$C$38, 0.0266, 0)</f>
        <v>29.256699999999999</v>
      </c>
      <c r="C331" s="10">
        <f>26.8675 * CHOOSE(CONTROL!$C$15, $E$9, 100%, $G$9) + CHOOSE(CONTROL!$C$38, 0.0357, 0)</f>
        <v>26.903199999999998</v>
      </c>
      <c r="D331" s="10">
        <f>26.8597 * CHOOSE(CONTROL!$C$15, $E$9, 100%, $G$9) + CHOOSE(CONTROL!$C$38, 0.0357, 0)</f>
        <v>26.895399999999999</v>
      </c>
      <c r="E331" s="28">
        <f>29.0739 * CHOOSE(CONTROL!$C$15, $E$9, 100%, $G$9) + CHOOSE(CONTROL!$C$38, 0.0357, 0)</f>
        <v>29.109599999999997</v>
      </c>
      <c r="F331" s="27">
        <f>29.0739 * CHOOSE(CONTROL!$C$15, $E$9, 100%, $G$9) + CHOOSE(CONTROL!$C$38, 0.0266, 0)</f>
        <v>29.100499999999997</v>
      </c>
      <c r="G331" s="10">
        <f>26.8659 * CHOOSE(CONTROL!$C$15, $E$9, 100%, $G$9) + CHOOSE(CONTROL!$C$38, 0.0357, 0)</f>
        <v>26.901599999999998</v>
      </c>
      <c r="H331" s="10">
        <f>26.8659 * CHOOSE(CONTROL!$C$15, $E$9, 100%, $G$9) + CHOOSE(CONTROL!$C$38, 0.0357, 0)</f>
        <v>26.901599999999998</v>
      </c>
      <c r="I331" s="10">
        <f>26.8675 * CHOOSE(CONTROL!$C$15, $E$9, 100%, $G$9) + CHOOSE(CONTROL!$C$38, 0.0357, 0)</f>
        <v>26.903199999999998</v>
      </c>
      <c r="J331" s="26">
        <f>197.3353</f>
        <v>197.33529999999999</v>
      </c>
    </row>
    <row r="332" spans="1:10" ht="15.75">
      <c r="A332" s="14">
        <v>51409</v>
      </c>
      <c r="B332" s="10">
        <f>29.5069 * CHOOSE(CONTROL!$C$15, $E$9, 100%, $G$9) + CHOOSE(CONTROL!$C$38, 0.0266, 0)</f>
        <v>29.5335</v>
      </c>
      <c r="C332" s="10">
        <f>27.1443 * CHOOSE(CONTROL!$C$15, $E$9, 100%, $G$9) + CHOOSE(CONTROL!$C$38, 0.0357, 0)</f>
        <v>27.18</v>
      </c>
      <c r="D332" s="10">
        <f>27.1365 * CHOOSE(CONTROL!$C$15, $E$9, 100%, $G$9) + CHOOSE(CONTROL!$C$38, 0.0357, 0)</f>
        <v>27.1722</v>
      </c>
      <c r="E332" s="28">
        <f>29.3507 * CHOOSE(CONTROL!$C$15, $E$9, 100%, $G$9) + CHOOSE(CONTROL!$C$38, 0.0357, 0)</f>
        <v>29.386399999999998</v>
      </c>
      <c r="F332" s="27">
        <f>29.3507 * CHOOSE(CONTROL!$C$15, $E$9, 100%, $G$9) + CHOOSE(CONTROL!$C$38, 0.0266, 0)</f>
        <v>29.377299999999998</v>
      </c>
      <c r="G332" s="10">
        <f>27.1427 * CHOOSE(CONTROL!$C$15, $E$9, 100%, $G$9) + CHOOSE(CONTROL!$C$38, 0.0357, 0)</f>
        <v>27.1784</v>
      </c>
      <c r="H332" s="10">
        <f>27.1427 * CHOOSE(CONTROL!$C$15, $E$9, 100%, $G$9) + CHOOSE(CONTROL!$C$38, 0.0357, 0)</f>
        <v>27.1784</v>
      </c>
      <c r="I332" s="10">
        <f>27.1443 * CHOOSE(CONTROL!$C$15, $E$9, 100%, $G$9) + CHOOSE(CONTROL!$C$38, 0.0357, 0)</f>
        <v>27.18</v>
      </c>
      <c r="J332" s="26">
        <f>190.7762</f>
        <v>190.77619999999999</v>
      </c>
    </row>
    <row r="333" spans="1:10" ht="15.75">
      <c r="A333" s="14">
        <v>51440</v>
      </c>
      <c r="B333" s="10">
        <f>29.7388 * CHOOSE(CONTROL!$C$15, $E$9, 100%, $G$9) + CHOOSE(CONTROL!$C$38, 0.0266, 0)</f>
        <v>29.7654</v>
      </c>
      <c r="C333" s="10">
        <f>27.3761 * CHOOSE(CONTROL!$C$15, $E$9, 100%, $G$9) + CHOOSE(CONTROL!$C$38, 0.0357, 0)</f>
        <v>27.411799999999999</v>
      </c>
      <c r="D333" s="10">
        <f>27.3683 * CHOOSE(CONTROL!$C$15, $E$9, 100%, $G$9) + CHOOSE(CONTROL!$C$38, 0.0357, 0)</f>
        <v>27.404</v>
      </c>
      <c r="E333" s="28">
        <f>29.5825 * CHOOSE(CONTROL!$C$15, $E$9, 100%, $G$9) + CHOOSE(CONTROL!$C$38, 0.0357, 0)</f>
        <v>29.618199999999998</v>
      </c>
      <c r="F333" s="27">
        <f>29.5825 * CHOOSE(CONTROL!$C$15, $E$9, 100%, $G$9) + CHOOSE(CONTROL!$C$38, 0.0266, 0)</f>
        <v>29.609099999999998</v>
      </c>
      <c r="G333" s="10">
        <f>27.3746 * CHOOSE(CONTROL!$C$15, $E$9, 100%, $G$9) + CHOOSE(CONTROL!$C$38, 0.0357, 0)</f>
        <v>27.410299999999999</v>
      </c>
      <c r="H333" s="10">
        <f>27.3746 * CHOOSE(CONTROL!$C$15, $E$9, 100%, $G$9) + CHOOSE(CONTROL!$C$38, 0.0357, 0)</f>
        <v>27.410299999999999</v>
      </c>
      <c r="I333" s="10">
        <f>27.3761 * CHOOSE(CONTROL!$C$15, $E$9, 100%, $G$9) + CHOOSE(CONTROL!$C$38, 0.0357, 0)</f>
        <v>27.411799999999999</v>
      </c>
      <c r="J333" s="26">
        <f>184.1789</f>
        <v>184.1789</v>
      </c>
    </row>
    <row r="334" spans="1:10" ht="15.75">
      <c r="A334" s="14">
        <v>51470</v>
      </c>
      <c r="B334" s="10">
        <f>29.9322 * CHOOSE(CONTROL!$C$15, $E$9, 100%, $G$9) + CHOOSE(CONTROL!$C$38, 0.0266, 0)</f>
        <v>29.9588</v>
      </c>
      <c r="C334" s="10">
        <f>27.5696 * CHOOSE(CONTROL!$C$15, $E$9, 100%, $G$9) + CHOOSE(CONTROL!$C$38, 0.0357, 0)</f>
        <v>27.6053</v>
      </c>
      <c r="D334" s="10">
        <f>27.5617 * CHOOSE(CONTROL!$C$15, $E$9, 100%, $G$9) + CHOOSE(CONTROL!$C$38, 0.0357, 0)</f>
        <v>27.597399999999997</v>
      </c>
      <c r="E334" s="28">
        <f>29.776 * CHOOSE(CONTROL!$C$15, $E$9, 100%, $G$9) + CHOOSE(CONTROL!$C$38, 0.0357, 0)</f>
        <v>29.811699999999998</v>
      </c>
      <c r="F334" s="27">
        <f>29.776 * CHOOSE(CONTROL!$C$15, $E$9, 100%, $G$9) + CHOOSE(CONTROL!$C$38, 0.0266, 0)</f>
        <v>29.802599999999998</v>
      </c>
      <c r="G334" s="10">
        <f>27.568 * CHOOSE(CONTROL!$C$15, $E$9, 100%, $G$9) + CHOOSE(CONTROL!$C$38, 0.0357, 0)</f>
        <v>27.6037</v>
      </c>
      <c r="H334" s="10">
        <f>27.568 * CHOOSE(CONTROL!$C$15, $E$9, 100%, $G$9) + CHOOSE(CONTROL!$C$38, 0.0357, 0)</f>
        <v>27.6037</v>
      </c>
      <c r="I334" s="10">
        <f>27.5696 * CHOOSE(CONTROL!$C$15, $E$9, 100%, $G$9) + CHOOSE(CONTROL!$C$38, 0.0357, 0)</f>
        <v>27.6053</v>
      </c>
      <c r="J334" s="26">
        <f>182.8666</f>
        <v>182.86660000000001</v>
      </c>
    </row>
    <row r="335" spans="1:10" ht="15.75">
      <c r="A335" s="14">
        <v>51501</v>
      </c>
      <c r="B335" s="10">
        <f>30.5283 * CHOOSE(CONTROL!$C$15, $E$9, 100%, $G$9) + CHOOSE(CONTROL!$C$38, 0.0266, 0)</f>
        <v>30.5549</v>
      </c>
      <c r="C335" s="10">
        <f>28.1656 * CHOOSE(CONTROL!$C$15, $E$9, 100%, $G$9) + CHOOSE(CONTROL!$C$38, 0.0357, 0)</f>
        <v>28.2013</v>
      </c>
      <c r="D335" s="10">
        <f>28.1578 * CHOOSE(CONTROL!$C$15, $E$9, 100%, $G$9) + CHOOSE(CONTROL!$C$38, 0.0357, 0)</f>
        <v>28.1935</v>
      </c>
      <c r="E335" s="28">
        <f>30.372 * CHOOSE(CONTROL!$C$15, $E$9, 100%, $G$9) + CHOOSE(CONTROL!$C$38, 0.0357, 0)</f>
        <v>30.407699999999998</v>
      </c>
      <c r="F335" s="27">
        <f>30.372 * CHOOSE(CONTROL!$C$15, $E$9, 100%, $G$9) + CHOOSE(CONTROL!$C$38, 0.0266, 0)</f>
        <v>30.398599999999998</v>
      </c>
      <c r="G335" s="10">
        <f>28.1641 * CHOOSE(CONTROL!$C$15, $E$9, 100%, $G$9) + CHOOSE(CONTROL!$C$38, 0.0357, 0)</f>
        <v>28.1998</v>
      </c>
      <c r="H335" s="10">
        <f>28.1641 * CHOOSE(CONTROL!$C$15, $E$9, 100%, $G$9) + CHOOSE(CONTROL!$C$38, 0.0357, 0)</f>
        <v>28.1998</v>
      </c>
      <c r="I335" s="10">
        <f>28.1656 * CHOOSE(CONTROL!$C$15, $E$9, 100%, $G$9) + CHOOSE(CONTROL!$C$38, 0.0357, 0)</f>
        <v>28.2013</v>
      </c>
      <c r="J335" s="26">
        <f>177.44</f>
        <v>177.44</v>
      </c>
    </row>
    <row r="336" spans="1:10" ht="15.75">
      <c r="A336" s="14">
        <v>51532</v>
      </c>
      <c r="B336" s="10">
        <f>31.5176 * CHOOSE(CONTROL!$C$15, $E$9, 100%, $G$9) + CHOOSE(CONTROL!$C$38, 0.0266, 0)</f>
        <v>31.5442</v>
      </c>
      <c r="C336" s="10">
        <f>29.116 * CHOOSE(CONTROL!$C$15, $E$9, 100%, $G$9) + CHOOSE(CONTROL!$C$38, 0.0357, 0)</f>
        <v>29.151699999999998</v>
      </c>
      <c r="D336" s="10">
        <f>29.1082 * CHOOSE(CONTROL!$C$15, $E$9, 100%, $G$9) + CHOOSE(CONTROL!$C$38, 0.0357, 0)</f>
        <v>29.143899999999999</v>
      </c>
      <c r="E336" s="28">
        <f>31.3614 * CHOOSE(CONTROL!$C$15, $E$9, 100%, $G$9) + CHOOSE(CONTROL!$C$38, 0.0357, 0)</f>
        <v>31.397099999999998</v>
      </c>
      <c r="F336" s="27">
        <f>31.3614 * CHOOSE(CONTROL!$C$15, $E$9, 100%, $G$9) + CHOOSE(CONTROL!$C$38, 0.0266, 0)</f>
        <v>31.387999999999998</v>
      </c>
      <c r="G336" s="10">
        <f>29.1144 * CHOOSE(CONTROL!$C$15, $E$9, 100%, $G$9) + CHOOSE(CONTROL!$C$38, 0.0357, 0)</f>
        <v>29.150099999999998</v>
      </c>
      <c r="H336" s="10">
        <f>29.1144 * CHOOSE(CONTROL!$C$15, $E$9, 100%, $G$9) + CHOOSE(CONTROL!$C$38, 0.0357, 0)</f>
        <v>29.150099999999998</v>
      </c>
      <c r="I336" s="10">
        <f>29.116 * CHOOSE(CONTROL!$C$15, $E$9, 100%, $G$9) + CHOOSE(CONTROL!$C$38, 0.0357, 0)</f>
        <v>29.151699999999998</v>
      </c>
      <c r="J336" s="26">
        <f>176.2515</f>
        <v>176.25149999999999</v>
      </c>
    </row>
    <row r="337" spans="1:10" ht="15.75">
      <c r="A337" s="14">
        <v>51560</v>
      </c>
      <c r="B337" s="10">
        <f>31.7384 * CHOOSE(CONTROL!$C$15, $E$9, 100%, $G$9) + CHOOSE(CONTROL!$C$38, 0.0266, 0)</f>
        <v>31.764999999999997</v>
      </c>
      <c r="C337" s="10">
        <f>29.3367 * CHOOSE(CONTROL!$C$15, $E$9, 100%, $G$9) + CHOOSE(CONTROL!$C$38, 0.0357, 0)</f>
        <v>29.372399999999999</v>
      </c>
      <c r="D337" s="10">
        <f>29.3289 * CHOOSE(CONTROL!$C$15, $E$9, 100%, $G$9) + CHOOSE(CONTROL!$C$38, 0.0357, 0)</f>
        <v>29.364599999999999</v>
      </c>
      <c r="E337" s="28">
        <f>31.5821 * CHOOSE(CONTROL!$C$15, $E$9, 100%, $G$9) + CHOOSE(CONTROL!$C$38, 0.0357, 0)</f>
        <v>31.617799999999999</v>
      </c>
      <c r="F337" s="27">
        <f>31.5821 * CHOOSE(CONTROL!$C$15, $E$9, 100%, $G$9) + CHOOSE(CONTROL!$C$38, 0.0266, 0)</f>
        <v>31.608699999999999</v>
      </c>
      <c r="G337" s="10">
        <f>29.3352 * CHOOSE(CONTROL!$C$15, $E$9, 100%, $G$9) + CHOOSE(CONTROL!$C$38, 0.0357, 0)</f>
        <v>29.370899999999999</v>
      </c>
      <c r="H337" s="10">
        <f>29.3352 * CHOOSE(CONTROL!$C$15, $E$9, 100%, $G$9) + CHOOSE(CONTROL!$C$38, 0.0357, 0)</f>
        <v>29.370899999999999</v>
      </c>
      <c r="I337" s="10">
        <f>29.3367 * CHOOSE(CONTROL!$C$15, $E$9, 100%, $G$9) + CHOOSE(CONTROL!$C$38, 0.0357, 0)</f>
        <v>29.372399999999999</v>
      </c>
      <c r="J337" s="26">
        <f>175.7615</f>
        <v>175.76150000000001</v>
      </c>
    </row>
    <row r="338" spans="1:10" ht="15.75">
      <c r="A338" s="14">
        <v>51591</v>
      </c>
      <c r="B338" s="10">
        <f>31.2273 * CHOOSE(CONTROL!$C$15, $E$9, 100%, $G$9) + CHOOSE(CONTROL!$C$38, 0.0266, 0)</f>
        <v>31.253899999999998</v>
      </c>
      <c r="C338" s="10">
        <f>28.8257 * CHOOSE(CONTROL!$C$15, $E$9, 100%, $G$9) + CHOOSE(CONTROL!$C$38, 0.0357, 0)</f>
        <v>28.8614</v>
      </c>
      <c r="D338" s="10">
        <f>28.8179 * CHOOSE(CONTROL!$C$15, $E$9, 100%, $G$9) + CHOOSE(CONTROL!$C$38, 0.0357, 0)</f>
        <v>28.8536</v>
      </c>
      <c r="E338" s="28">
        <f>31.0711 * CHOOSE(CONTROL!$C$15, $E$9, 100%, $G$9) + CHOOSE(CONTROL!$C$38, 0.0357, 0)</f>
        <v>31.1068</v>
      </c>
      <c r="F338" s="27">
        <f>31.0711 * CHOOSE(CONTROL!$C$15, $E$9, 100%, $G$9) + CHOOSE(CONTROL!$C$38, 0.0266, 0)</f>
        <v>31.0977</v>
      </c>
      <c r="G338" s="10">
        <f>28.8241 * CHOOSE(CONTROL!$C$15, $E$9, 100%, $G$9) + CHOOSE(CONTROL!$C$38, 0.0357, 0)</f>
        <v>28.8598</v>
      </c>
      <c r="H338" s="10">
        <f>28.8241 * CHOOSE(CONTROL!$C$15, $E$9, 100%, $G$9) + CHOOSE(CONTROL!$C$38, 0.0357, 0)</f>
        <v>28.8598</v>
      </c>
      <c r="I338" s="10">
        <f>28.8257 * CHOOSE(CONTROL!$C$15, $E$9, 100%, $G$9) + CHOOSE(CONTROL!$C$38, 0.0357, 0)</f>
        <v>28.8614</v>
      </c>
      <c r="J338" s="26">
        <f>185.0252</f>
        <v>185.02520000000001</v>
      </c>
    </row>
    <row r="339" spans="1:10" ht="15.75">
      <c r="A339" s="14">
        <v>51621</v>
      </c>
      <c r="B339" s="10">
        <f>30.7322 * CHOOSE(CONTROL!$C$15, $E$9, 100%, $G$9) + CHOOSE(CONTROL!$C$38, 0.0266, 0)</f>
        <v>30.758799999999997</v>
      </c>
      <c r="C339" s="10">
        <f>28.3305 * CHOOSE(CONTROL!$C$15, $E$9, 100%, $G$9) + CHOOSE(CONTROL!$C$38, 0.0357, 0)</f>
        <v>28.366199999999999</v>
      </c>
      <c r="D339" s="10">
        <f>28.3227 * CHOOSE(CONTROL!$C$15, $E$9, 100%, $G$9) + CHOOSE(CONTROL!$C$38, 0.0357, 0)</f>
        <v>28.3584</v>
      </c>
      <c r="E339" s="28">
        <f>30.5759 * CHOOSE(CONTROL!$C$15, $E$9, 100%, $G$9) + CHOOSE(CONTROL!$C$38, 0.0357, 0)</f>
        <v>30.611599999999999</v>
      </c>
      <c r="F339" s="27">
        <f>30.5759 * CHOOSE(CONTROL!$C$15, $E$9, 100%, $G$9) + CHOOSE(CONTROL!$C$38, 0.0266, 0)</f>
        <v>30.602499999999999</v>
      </c>
      <c r="G339" s="10">
        <f>28.329 * CHOOSE(CONTROL!$C$15, $E$9, 100%, $G$9) + CHOOSE(CONTROL!$C$38, 0.0357, 0)</f>
        <v>28.364699999999999</v>
      </c>
      <c r="H339" s="10">
        <f>28.329 * CHOOSE(CONTROL!$C$15, $E$9, 100%, $G$9) + CHOOSE(CONTROL!$C$38, 0.0357, 0)</f>
        <v>28.364699999999999</v>
      </c>
      <c r="I339" s="10">
        <f>28.3305 * CHOOSE(CONTROL!$C$15, $E$9, 100%, $G$9) + CHOOSE(CONTROL!$C$38, 0.0357, 0)</f>
        <v>28.366199999999999</v>
      </c>
      <c r="J339" s="26">
        <f>197.0379</f>
        <v>197.03790000000001</v>
      </c>
    </row>
    <row r="340" spans="1:10" ht="15.75">
      <c r="A340" s="14">
        <v>51652</v>
      </c>
      <c r="B340" s="10">
        <f>30.216 * CHOOSE(CONTROL!$C$15, $E$9, 100%, $G$9) + CHOOSE(CONTROL!$C$38, 0.0266, 0)</f>
        <v>30.242599999999999</v>
      </c>
      <c r="C340" s="10">
        <f>27.8144 * CHOOSE(CONTROL!$C$15, $E$9, 100%, $G$9) + CHOOSE(CONTROL!$C$38, 0.0357, 0)</f>
        <v>27.850099999999998</v>
      </c>
      <c r="D340" s="10">
        <f>27.8066 * CHOOSE(CONTROL!$C$15, $E$9, 100%, $G$9) + CHOOSE(CONTROL!$C$38, 0.0357, 0)</f>
        <v>27.842299999999998</v>
      </c>
      <c r="E340" s="28">
        <f>30.0598 * CHOOSE(CONTROL!$C$15, $E$9, 100%, $G$9) + CHOOSE(CONTROL!$C$38, 0.0357, 0)</f>
        <v>30.095499999999998</v>
      </c>
      <c r="F340" s="27">
        <f>30.0598 * CHOOSE(CONTROL!$C$15, $E$9, 100%, $G$9) + CHOOSE(CONTROL!$C$38, 0.0266, 0)</f>
        <v>30.086399999999998</v>
      </c>
      <c r="G340" s="10">
        <f>27.8129 * CHOOSE(CONTROL!$C$15, $E$9, 100%, $G$9) + CHOOSE(CONTROL!$C$38, 0.0357, 0)</f>
        <v>27.848599999999998</v>
      </c>
      <c r="H340" s="10">
        <f>27.8129 * CHOOSE(CONTROL!$C$15, $E$9, 100%, $G$9) + CHOOSE(CONTROL!$C$38, 0.0357, 0)</f>
        <v>27.848599999999998</v>
      </c>
      <c r="I340" s="10">
        <f>27.8144 * CHOOSE(CONTROL!$C$15, $E$9, 100%, $G$9) + CHOOSE(CONTROL!$C$38, 0.0357, 0)</f>
        <v>27.850099999999998</v>
      </c>
      <c r="J340" s="26">
        <f>203.6501</f>
        <v>203.65010000000001</v>
      </c>
    </row>
    <row r="341" spans="1:10" ht="15.75">
      <c r="A341" s="14">
        <v>51682</v>
      </c>
      <c r="B341" s="10">
        <f>29.8542 * CHOOSE(CONTROL!$C$15, $E$9, 100%, $G$9) + CHOOSE(CONTROL!$C$38, 0.0266, 0)</f>
        <v>29.880799999999997</v>
      </c>
      <c r="C341" s="10">
        <f>27.4526 * CHOOSE(CONTROL!$C$15, $E$9, 100%, $G$9) + CHOOSE(CONTROL!$C$38, 0.0357, 0)</f>
        <v>27.488299999999999</v>
      </c>
      <c r="D341" s="10">
        <f>27.4448 * CHOOSE(CONTROL!$C$15, $E$9, 100%, $G$9) + CHOOSE(CONTROL!$C$38, 0.0357, 0)</f>
        <v>27.480499999999999</v>
      </c>
      <c r="E341" s="28">
        <f>29.698 * CHOOSE(CONTROL!$C$15, $E$9, 100%, $G$9) + CHOOSE(CONTROL!$C$38, 0.0357, 0)</f>
        <v>29.733699999999999</v>
      </c>
      <c r="F341" s="27">
        <f>29.698 * CHOOSE(CONTROL!$C$15, $E$9, 100%, $G$9) + CHOOSE(CONTROL!$C$38, 0.0266, 0)</f>
        <v>29.724599999999999</v>
      </c>
      <c r="G341" s="10">
        <f>27.451 * CHOOSE(CONTROL!$C$15, $E$9, 100%, $G$9) + CHOOSE(CONTROL!$C$38, 0.0357, 0)</f>
        <v>27.486699999999999</v>
      </c>
      <c r="H341" s="10">
        <f>27.451 * CHOOSE(CONTROL!$C$15, $E$9, 100%, $G$9) + CHOOSE(CONTROL!$C$38, 0.0357, 0)</f>
        <v>27.486699999999999</v>
      </c>
      <c r="I341" s="10">
        <f>27.4526 * CHOOSE(CONTROL!$C$15, $E$9, 100%, $G$9) + CHOOSE(CONTROL!$C$38, 0.0357, 0)</f>
        <v>27.488299999999999</v>
      </c>
      <c r="J341" s="26">
        <f>206.5845</f>
        <v>206.58449999999999</v>
      </c>
    </row>
    <row r="342" spans="1:10" ht="15.75">
      <c r="A342" s="14">
        <v>51713</v>
      </c>
      <c r="B342" s="10">
        <f>29.6477 * CHOOSE(CONTROL!$C$15, $E$9, 100%, $G$9) + CHOOSE(CONTROL!$C$38, 0.0266, 0)</f>
        <v>29.674299999999999</v>
      </c>
      <c r="C342" s="10">
        <f>27.2461 * CHOOSE(CONTROL!$C$15, $E$9, 100%, $G$9) + CHOOSE(CONTROL!$C$38, 0.0357, 0)</f>
        <v>27.281799999999997</v>
      </c>
      <c r="D342" s="10">
        <f>27.2383 * CHOOSE(CONTROL!$C$15, $E$9, 100%, $G$9) + CHOOSE(CONTROL!$C$38, 0.0357, 0)</f>
        <v>27.273999999999997</v>
      </c>
      <c r="E342" s="28">
        <f>29.4915 * CHOOSE(CONTROL!$C$15, $E$9, 100%, $G$9) + CHOOSE(CONTROL!$C$38, 0.0357, 0)</f>
        <v>29.527199999999997</v>
      </c>
      <c r="F342" s="27">
        <f>29.4915 * CHOOSE(CONTROL!$C$15, $E$9, 100%, $G$9) + CHOOSE(CONTROL!$C$38, 0.0266, 0)</f>
        <v>29.518099999999997</v>
      </c>
      <c r="G342" s="10">
        <f>27.2445 * CHOOSE(CONTROL!$C$15, $E$9, 100%, $G$9) + CHOOSE(CONTROL!$C$38, 0.0357, 0)</f>
        <v>27.280199999999997</v>
      </c>
      <c r="H342" s="10">
        <f>27.2445 * CHOOSE(CONTROL!$C$15, $E$9, 100%, $G$9) + CHOOSE(CONTROL!$C$38, 0.0357, 0)</f>
        <v>27.280199999999997</v>
      </c>
      <c r="I342" s="10">
        <f>27.2461 * CHOOSE(CONTROL!$C$15, $E$9, 100%, $G$9) + CHOOSE(CONTROL!$C$38, 0.0357, 0)</f>
        <v>27.281799999999997</v>
      </c>
      <c r="J342" s="26">
        <f>205.6184</f>
        <v>205.61840000000001</v>
      </c>
    </row>
    <row r="343" spans="1:10" ht="15.75">
      <c r="A343" s="14">
        <v>51744</v>
      </c>
      <c r="B343" s="10">
        <f>29.7496 * CHOOSE(CONTROL!$C$15, $E$9, 100%, $G$9) + CHOOSE(CONTROL!$C$38, 0.0266, 0)</f>
        <v>29.776199999999999</v>
      </c>
      <c r="C343" s="10">
        <f>27.348 * CHOOSE(CONTROL!$C$15, $E$9, 100%, $G$9) + CHOOSE(CONTROL!$C$38, 0.0357, 0)</f>
        <v>27.383699999999997</v>
      </c>
      <c r="D343" s="10">
        <f>27.3402 * CHOOSE(CONTROL!$C$15, $E$9, 100%, $G$9) + CHOOSE(CONTROL!$C$38, 0.0357, 0)</f>
        <v>27.375899999999998</v>
      </c>
      <c r="E343" s="28">
        <f>29.5934 * CHOOSE(CONTROL!$C$15, $E$9, 100%, $G$9) + CHOOSE(CONTROL!$C$38, 0.0357, 0)</f>
        <v>29.629099999999998</v>
      </c>
      <c r="F343" s="27">
        <f>29.5934 * CHOOSE(CONTROL!$C$15, $E$9, 100%, $G$9) + CHOOSE(CONTROL!$C$38, 0.0266, 0)</f>
        <v>29.619999999999997</v>
      </c>
      <c r="G343" s="10">
        <f>27.3464 * CHOOSE(CONTROL!$C$15, $E$9, 100%, $G$9) + CHOOSE(CONTROL!$C$38, 0.0357, 0)</f>
        <v>27.382099999999998</v>
      </c>
      <c r="H343" s="10">
        <f>27.3464 * CHOOSE(CONTROL!$C$15, $E$9, 100%, $G$9) + CHOOSE(CONTROL!$C$38, 0.0357, 0)</f>
        <v>27.382099999999998</v>
      </c>
      <c r="I343" s="10">
        <f>27.348 * CHOOSE(CONTROL!$C$15, $E$9, 100%, $G$9) + CHOOSE(CONTROL!$C$38, 0.0357, 0)</f>
        <v>27.383699999999997</v>
      </c>
      <c r="J343" s="26">
        <f>200.8317</f>
        <v>200.83170000000001</v>
      </c>
    </row>
    <row r="344" spans="1:10" ht="15.75">
      <c r="A344" s="14">
        <v>51774</v>
      </c>
      <c r="B344" s="10">
        <f>30.0264 * CHOOSE(CONTROL!$C$15, $E$9, 100%, $G$9) + CHOOSE(CONTROL!$C$38, 0.0266, 0)</f>
        <v>30.052999999999997</v>
      </c>
      <c r="C344" s="10">
        <f>27.6248 * CHOOSE(CONTROL!$C$15, $E$9, 100%, $G$9) + CHOOSE(CONTROL!$C$38, 0.0357, 0)</f>
        <v>27.660499999999999</v>
      </c>
      <c r="D344" s="10">
        <f>27.617 * CHOOSE(CONTROL!$C$15, $E$9, 100%, $G$9) + CHOOSE(CONTROL!$C$38, 0.0357, 0)</f>
        <v>27.652699999999999</v>
      </c>
      <c r="E344" s="28">
        <f>29.8702 * CHOOSE(CONTROL!$C$15, $E$9, 100%, $G$9) + CHOOSE(CONTROL!$C$38, 0.0357, 0)</f>
        <v>29.905899999999999</v>
      </c>
      <c r="F344" s="27">
        <f>29.8702 * CHOOSE(CONTROL!$C$15, $E$9, 100%, $G$9) + CHOOSE(CONTROL!$C$38, 0.0266, 0)</f>
        <v>29.896799999999999</v>
      </c>
      <c r="G344" s="10">
        <f>27.6232 * CHOOSE(CONTROL!$C$15, $E$9, 100%, $G$9) + CHOOSE(CONTROL!$C$38, 0.0357, 0)</f>
        <v>27.658899999999999</v>
      </c>
      <c r="H344" s="10">
        <f>27.6232 * CHOOSE(CONTROL!$C$15, $E$9, 100%, $G$9) + CHOOSE(CONTROL!$C$38, 0.0357, 0)</f>
        <v>27.658899999999999</v>
      </c>
      <c r="I344" s="10">
        <f>27.6248 * CHOOSE(CONTROL!$C$15, $E$9, 100%, $G$9) + CHOOSE(CONTROL!$C$38, 0.0357, 0)</f>
        <v>27.660499999999999</v>
      </c>
      <c r="J344" s="26">
        <f>194.1564</f>
        <v>194.15639999999999</v>
      </c>
    </row>
    <row r="345" spans="1:10" ht="15.75">
      <c r="A345" s="14">
        <v>51805</v>
      </c>
      <c r="B345" s="10">
        <f>30.2583 * CHOOSE(CONTROL!$C$15, $E$9, 100%, $G$9) + CHOOSE(CONTROL!$C$38, 0.0266, 0)</f>
        <v>30.284899999999997</v>
      </c>
      <c r="C345" s="10">
        <f>27.8566 * CHOOSE(CONTROL!$C$15, $E$9, 100%, $G$9) + CHOOSE(CONTROL!$C$38, 0.0357, 0)</f>
        <v>27.892299999999999</v>
      </c>
      <c r="D345" s="10">
        <f>27.8488 * CHOOSE(CONTROL!$C$15, $E$9, 100%, $G$9) + CHOOSE(CONTROL!$C$38, 0.0357, 0)</f>
        <v>27.884499999999999</v>
      </c>
      <c r="E345" s="28">
        <f>30.102 * CHOOSE(CONTROL!$C$15, $E$9, 100%, $G$9) + CHOOSE(CONTROL!$C$38, 0.0357, 0)</f>
        <v>30.137699999999999</v>
      </c>
      <c r="F345" s="27">
        <f>30.102 * CHOOSE(CONTROL!$C$15, $E$9, 100%, $G$9) + CHOOSE(CONTROL!$C$38, 0.0266, 0)</f>
        <v>30.128599999999999</v>
      </c>
      <c r="G345" s="10">
        <f>27.8551 * CHOOSE(CONTROL!$C$15, $E$9, 100%, $G$9) + CHOOSE(CONTROL!$C$38, 0.0357, 0)</f>
        <v>27.890799999999999</v>
      </c>
      <c r="H345" s="10">
        <f>27.8551 * CHOOSE(CONTROL!$C$15, $E$9, 100%, $G$9) + CHOOSE(CONTROL!$C$38, 0.0357, 0)</f>
        <v>27.890799999999999</v>
      </c>
      <c r="I345" s="10">
        <f>27.8566 * CHOOSE(CONTROL!$C$15, $E$9, 100%, $G$9) + CHOOSE(CONTROL!$C$38, 0.0357, 0)</f>
        <v>27.892299999999999</v>
      </c>
      <c r="J345" s="26">
        <f>187.4422</f>
        <v>187.44220000000001</v>
      </c>
    </row>
    <row r="346" spans="1:10" ht="15.75">
      <c r="A346" s="14">
        <v>51835</v>
      </c>
      <c r="B346" s="10">
        <f>30.4517 * CHOOSE(CONTROL!$C$15, $E$9, 100%, $G$9) + CHOOSE(CONTROL!$C$38, 0.0266, 0)</f>
        <v>30.478299999999997</v>
      </c>
      <c r="C346" s="10">
        <f>28.0501 * CHOOSE(CONTROL!$C$15, $E$9, 100%, $G$9) + CHOOSE(CONTROL!$C$38, 0.0357, 0)</f>
        <v>28.085799999999999</v>
      </c>
      <c r="D346" s="10">
        <f>28.0423 * CHOOSE(CONTROL!$C$15, $E$9, 100%, $G$9) + CHOOSE(CONTROL!$C$38, 0.0357, 0)</f>
        <v>28.077999999999999</v>
      </c>
      <c r="E346" s="28">
        <f>30.2954 * CHOOSE(CONTROL!$C$15, $E$9, 100%, $G$9) + CHOOSE(CONTROL!$C$38, 0.0357, 0)</f>
        <v>30.331099999999999</v>
      </c>
      <c r="F346" s="27">
        <f>30.2954 * CHOOSE(CONTROL!$C$15, $E$9, 100%, $G$9) + CHOOSE(CONTROL!$C$38, 0.0266, 0)</f>
        <v>30.321999999999999</v>
      </c>
      <c r="G346" s="10">
        <f>28.0485 * CHOOSE(CONTROL!$C$15, $E$9, 100%, $G$9) + CHOOSE(CONTROL!$C$38, 0.0357, 0)</f>
        <v>28.084199999999999</v>
      </c>
      <c r="H346" s="10">
        <f>28.0485 * CHOOSE(CONTROL!$C$15, $E$9, 100%, $G$9) + CHOOSE(CONTROL!$C$38, 0.0357, 0)</f>
        <v>28.084199999999999</v>
      </c>
      <c r="I346" s="10">
        <f>28.0501 * CHOOSE(CONTROL!$C$15, $E$9, 100%, $G$9) + CHOOSE(CONTROL!$C$38, 0.0357, 0)</f>
        <v>28.085799999999999</v>
      </c>
      <c r="J346" s="26">
        <f>186.1067</f>
        <v>186.10669999999999</v>
      </c>
    </row>
    <row r="347" spans="1:10" ht="15.75">
      <c r="A347" s="14">
        <v>51866</v>
      </c>
      <c r="B347" s="10">
        <f>31.0478 * CHOOSE(CONTROL!$C$15, $E$9, 100%, $G$9) + CHOOSE(CONTROL!$C$38, 0.0266, 0)</f>
        <v>31.074399999999997</v>
      </c>
      <c r="C347" s="10">
        <f>28.6461 * CHOOSE(CONTROL!$C$15, $E$9, 100%, $G$9) + CHOOSE(CONTROL!$C$38, 0.0357, 0)</f>
        <v>28.681799999999999</v>
      </c>
      <c r="D347" s="10">
        <f>28.6383 * CHOOSE(CONTROL!$C$15, $E$9, 100%, $G$9) + CHOOSE(CONTROL!$C$38, 0.0357, 0)</f>
        <v>28.673999999999999</v>
      </c>
      <c r="E347" s="28">
        <f>30.8915 * CHOOSE(CONTROL!$C$15, $E$9, 100%, $G$9) + CHOOSE(CONTROL!$C$38, 0.0357, 0)</f>
        <v>30.927199999999999</v>
      </c>
      <c r="F347" s="27">
        <f>30.8915 * CHOOSE(CONTROL!$C$15, $E$9, 100%, $G$9) + CHOOSE(CONTROL!$C$38, 0.0266, 0)</f>
        <v>30.918099999999999</v>
      </c>
      <c r="G347" s="10">
        <f>28.6446 * CHOOSE(CONTROL!$C$15, $E$9, 100%, $G$9) + CHOOSE(CONTROL!$C$38, 0.0357, 0)</f>
        <v>28.680299999999999</v>
      </c>
      <c r="H347" s="10">
        <f>28.6446 * CHOOSE(CONTROL!$C$15, $E$9, 100%, $G$9) + CHOOSE(CONTROL!$C$38, 0.0357, 0)</f>
        <v>28.680299999999999</v>
      </c>
      <c r="I347" s="10">
        <f>28.6461 * CHOOSE(CONTROL!$C$15, $E$9, 100%, $G$9) + CHOOSE(CONTROL!$C$38, 0.0357, 0)</f>
        <v>28.681799999999999</v>
      </c>
      <c r="J347" s="26">
        <f>180.5839</f>
        <v>180.5839</v>
      </c>
    </row>
    <row r="348" spans="1:10" ht="15.75">
      <c r="A348" s="14">
        <v>51897</v>
      </c>
      <c r="B348" s="10">
        <f>32.0463 * CHOOSE(CONTROL!$C$15, $E$9, 100%, $G$9) + CHOOSE(CONTROL!$C$38, 0.0266, 0)</f>
        <v>32.072900000000004</v>
      </c>
      <c r="C348" s="10">
        <f>29.605 * CHOOSE(CONTROL!$C$15, $E$9, 100%, $G$9) + CHOOSE(CONTROL!$C$38, 0.0357, 0)</f>
        <v>29.640699999999999</v>
      </c>
      <c r="D348" s="10">
        <f>29.5972 * CHOOSE(CONTROL!$C$15, $E$9, 100%, $G$9) + CHOOSE(CONTROL!$C$38, 0.0357, 0)</f>
        <v>29.632899999999999</v>
      </c>
      <c r="E348" s="28">
        <f>31.89 * CHOOSE(CONTROL!$C$15, $E$9, 100%, $G$9) + CHOOSE(CONTROL!$C$38, 0.0357, 0)</f>
        <v>31.925699999999999</v>
      </c>
      <c r="F348" s="27">
        <f>31.89 * CHOOSE(CONTROL!$C$15, $E$9, 100%, $G$9) + CHOOSE(CONTROL!$C$38, 0.0266, 0)</f>
        <v>31.916599999999999</v>
      </c>
      <c r="G348" s="10">
        <f>29.6034 * CHOOSE(CONTROL!$C$15, $E$9, 100%, $G$9) + CHOOSE(CONTROL!$C$38, 0.0357, 0)</f>
        <v>29.639099999999999</v>
      </c>
      <c r="H348" s="10">
        <f>29.6034 * CHOOSE(CONTROL!$C$15, $E$9, 100%, $G$9) + CHOOSE(CONTROL!$C$38, 0.0357, 0)</f>
        <v>29.639099999999999</v>
      </c>
      <c r="I348" s="10">
        <f>29.605 * CHOOSE(CONTROL!$C$15, $E$9, 100%, $G$9) + CHOOSE(CONTROL!$C$38, 0.0357, 0)</f>
        <v>29.640699999999999</v>
      </c>
      <c r="J348" s="26">
        <f>179.3743</f>
        <v>179.37430000000001</v>
      </c>
    </row>
    <row r="349" spans="1:10" ht="15.75">
      <c r="A349" s="14">
        <v>51925</v>
      </c>
      <c r="B349" s="10">
        <f>32.267 * CHOOSE(CONTROL!$C$15, $E$9, 100%, $G$9) + CHOOSE(CONTROL!$C$38, 0.0266, 0)</f>
        <v>32.293600000000005</v>
      </c>
      <c r="C349" s="10">
        <f>29.8257 * CHOOSE(CONTROL!$C$15, $E$9, 100%, $G$9) + CHOOSE(CONTROL!$C$38, 0.0357, 0)</f>
        <v>29.8614</v>
      </c>
      <c r="D349" s="10">
        <f>29.8179 * CHOOSE(CONTROL!$C$15, $E$9, 100%, $G$9) + CHOOSE(CONTROL!$C$38, 0.0357, 0)</f>
        <v>29.8536</v>
      </c>
      <c r="E349" s="28">
        <f>32.1108 * CHOOSE(CONTROL!$C$15, $E$9, 100%, $G$9) + CHOOSE(CONTROL!$C$38, 0.0357, 0)</f>
        <v>32.146499999999996</v>
      </c>
      <c r="F349" s="27">
        <f>32.1108 * CHOOSE(CONTROL!$C$15, $E$9, 100%, $G$9) + CHOOSE(CONTROL!$C$38, 0.0266, 0)</f>
        <v>32.1374</v>
      </c>
      <c r="G349" s="10">
        <f>29.8242 * CHOOSE(CONTROL!$C$15, $E$9, 100%, $G$9) + CHOOSE(CONTROL!$C$38, 0.0357, 0)</f>
        <v>29.8599</v>
      </c>
      <c r="H349" s="10">
        <f>29.8242 * CHOOSE(CONTROL!$C$15, $E$9, 100%, $G$9) + CHOOSE(CONTROL!$C$38, 0.0357, 0)</f>
        <v>29.8599</v>
      </c>
      <c r="I349" s="10">
        <f>29.8257 * CHOOSE(CONTROL!$C$15, $E$9, 100%, $G$9) + CHOOSE(CONTROL!$C$38, 0.0357, 0)</f>
        <v>29.8614</v>
      </c>
      <c r="J349" s="26">
        <f>178.8757</f>
        <v>178.87569999999999</v>
      </c>
    </row>
    <row r="350" spans="1:10" ht="15.75">
      <c r="A350" s="14">
        <v>51956</v>
      </c>
      <c r="B350" s="10">
        <f>31.756 * CHOOSE(CONTROL!$C$15, $E$9, 100%, $G$9) + CHOOSE(CONTROL!$C$38, 0.0266, 0)</f>
        <v>31.782599999999999</v>
      </c>
      <c r="C350" s="10">
        <f>29.3147 * CHOOSE(CONTROL!$C$15, $E$9, 100%, $G$9) + CHOOSE(CONTROL!$C$38, 0.0357, 0)</f>
        <v>29.350399999999997</v>
      </c>
      <c r="D350" s="10">
        <f>29.3069 * CHOOSE(CONTROL!$C$15, $E$9, 100%, $G$9) + CHOOSE(CONTROL!$C$38, 0.0357, 0)</f>
        <v>29.342599999999997</v>
      </c>
      <c r="E350" s="28">
        <f>31.5998 * CHOOSE(CONTROL!$C$15, $E$9, 100%, $G$9) + CHOOSE(CONTROL!$C$38, 0.0357, 0)</f>
        <v>31.635499999999997</v>
      </c>
      <c r="F350" s="27">
        <f>31.5998 * CHOOSE(CONTROL!$C$15, $E$9, 100%, $G$9) + CHOOSE(CONTROL!$C$38, 0.0266, 0)</f>
        <v>31.626399999999997</v>
      </c>
      <c r="G350" s="10">
        <f>29.3131 * CHOOSE(CONTROL!$C$15, $E$9, 100%, $G$9) + CHOOSE(CONTROL!$C$38, 0.0357, 0)</f>
        <v>29.348799999999997</v>
      </c>
      <c r="H350" s="10">
        <f>29.3131 * CHOOSE(CONTROL!$C$15, $E$9, 100%, $G$9) + CHOOSE(CONTROL!$C$38, 0.0357, 0)</f>
        <v>29.348799999999997</v>
      </c>
      <c r="I350" s="10">
        <f>29.3147 * CHOOSE(CONTROL!$C$15, $E$9, 100%, $G$9) + CHOOSE(CONTROL!$C$38, 0.0357, 0)</f>
        <v>29.350399999999997</v>
      </c>
      <c r="J350" s="26">
        <f>188.3035</f>
        <v>188.30350000000001</v>
      </c>
    </row>
    <row r="351" spans="1:10" ht="15.75">
      <c r="A351" s="14">
        <v>51986</v>
      </c>
      <c r="B351" s="10">
        <f>31.2608 * CHOOSE(CONTROL!$C$15, $E$9, 100%, $G$9) + CHOOSE(CONTROL!$C$38, 0.0266, 0)</f>
        <v>31.287399999999998</v>
      </c>
      <c r="C351" s="10">
        <f>28.8195 * CHOOSE(CONTROL!$C$15, $E$9, 100%, $G$9) + CHOOSE(CONTROL!$C$38, 0.0357, 0)</f>
        <v>28.8552</v>
      </c>
      <c r="D351" s="10">
        <f>28.8117 * CHOOSE(CONTROL!$C$15, $E$9, 100%, $G$9) + CHOOSE(CONTROL!$C$38, 0.0357, 0)</f>
        <v>28.847399999999997</v>
      </c>
      <c r="E351" s="28">
        <f>31.1046 * CHOOSE(CONTROL!$C$15, $E$9, 100%, $G$9) + CHOOSE(CONTROL!$C$38, 0.0357, 0)</f>
        <v>31.1403</v>
      </c>
      <c r="F351" s="27">
        <f>31.1046 * CHOOSE(CONTROL!$C$15, $E$9, 100%, $G$9) + CHOOSE(CONTROL!$C$38, 0.0266, 0)</f>
        <v>31.1312</v>
      </c>
      <c r="G351" s="10">
        <f>28.818 * CHOOSE(CONTROL!$C$15, $E$9, 100%, $G$9) + CHOOSE(CONTROL!$C$38, 0.0357, 0)</f>
        <v>28.8537</v>
      </c>
      <c r="H351" s="10">
        <f>28.818 * CHOOSE(CONTROL!$C$15, $E$9, 100%, $G$9) + CHOOSE(CONTROL!$C$38, 0.0357, 0)</f>
        <v>28.8537</v>
      </c>
      <c r="I351" s="10">
        <f>28.8195 * CHOOSE(CONTROL!$C$15, $E$9, 100%, $G$9) + CHOOSE(CONTROL!$C$38, 0.0357, 0)</f>
        <v>28.8552</v>
      </c>
      <c r="J351" s="26">
        <f>200.5291</f>
        <v>200.5291</v>
      </c>
    </row>
    <row r="352" spans="1:10" ht="15.75">
      <c r="A352" s="14">
        <v>52017</v>
      </c>
      <c r="B352" s="10">
        <f>30.7447 * CHOOSE(CONTROL!$C$15, $E$9, 100%, $G$9) + CHOOSE(CONTROL!$C$38, 0.0266, 0)</f>
        <v>30.7713</v>
      </c>
      <c r="C352" s="10">
        <f>28.3034 * CHOOSE(CONTROL!$C$15, $E$9, 100%, $G$9) + CHOOSE(CONTROL!$C$38, 0.0357, 0)</f>
        <v>28.339099999999998</v>
      </c>
      <c r="D352" s="10">
        <f>28.2956 * CHOOSE(CONTROL!$C$15, $E$9, 100%, $G$9) + CHOOSE(CONTROL!$C$38, 0.0357, 0)</f>
        <v>28.331299999999999</v>
      </c>
      <c r="E352" s="28">
        <f>30.5885 * CHOOSE(CONTROL!$C$15, $E$9, 100%, $G$9) + CHOOSE(CONTROL!$C$38, 0.0357, 0)</f>
        <v>30.624199999999998</v>
      </c>
      <c r="F352" s="27">
        <f>30.5885 * CHOOSE(CONTROL!$C$15, $E$9, 100%, $G$9) + CHOOSE(CONTROL!$C$38, 0.0266, 0)</f>
        <v>30.615099999999998</v>
      </c>
      <c r="G352" s="10">
        <f>28.3018 * CHOOSE(CONTROL!$C$15, $E$9, 100%, $G$9) + CHOOSE(CONTROL!$C$38, 0.0357, 0)</f>
        <v>28.337499999999999</v>
      </c>
      <c r="H352" s="10">
        <f>28.3018 * CHOOSE(CONTROL!$C$15, $E$9, 100%, $G$9) + CHOOSE(CONTROL!$C$38, 0.0357, 0)</f>
        <v>28.337499999999999</v>
      </c>
      <c r="I352" s="10">
        <f>28.3034 * CHOOSE(CONTROL!$C$15, $E$9, 100%, $G$9) + CHOOSE(CONTROL!$C$38, 0.0357, 0)</f>
        <v>28.339099999999998</v>
      </c>
      <c r="J352" s="26">
        <f>207.2584</f>
        <v>207.25839999999999</v>
      </c>
    </row>
    <row r="353" spans="1:10" ht="15.75">
      <c r="A353" s="14">
        <v>52047</v>
      </c>
      <c r="B353" s="10">
        <f>30.3829 * CHOOSE(CONTROL!$C$15, $E$9, 100%, $G$9) + CHOOSE(CONTROL!$C$38, 0.0266, 0)</f>
        <v>30.409499999999998</v>
      </c>
      <c r="C353" s="10">
        <f>27.9416 * CHOOSE(CONTROL!$C$15, $E$9, 100%, $G$9) + CHOOSE(CONTROL!$C$38, 0.0357, 0)</f>
        <v>27.9773</v>
      </c>
      <c r="D353" s="10">
        <f>27.9338 * CHOOSE(CONTROL!$C$15, $E$9, 100%, $G$9) + CHOOSE(CONTROL!$C$38, 0.0357, 0)</f>
        <v>27.9695</v>
      </c>
      <c r="E353" s="28">
        <f>30.2266 * CHOOSE(CONTROL!$C$15, $E$9, 100%, $G$9) + CHOOSE(CONTROL!$C$38, 0.0357, 0)</f>
        <v>30.2623</v>
      </c>
      <c r="F353" s="27">
        <f>30.2266 * CHOOSE(CONTROL!$C$15, $E$9, 100%, $G$9) + CHOOSE(CONTROL!$C$38, 0.0266, 0)</f>
        <v>30.2532</v>
      </c>
      <c r="G353" s="10">
        <f>27.94 * CHOOSE(CONTROL!$C$15, $E$9, 100%, $G$9) + CHOOSE(CONTROL!$C$38, 0.0357, 0)</f>
        <v>27.9757</v>
      </c>
      <c r="H353" s="10">
        <f>27.94 * CHOOSE(CONTROL!$C$15, $E$9, 100%, $G$9) + CHOOSE(CONTROL!$C$38, 0.0357, 0)</f>
        <v>27.9757</v>
      </c>
      <c r="I353" s="10">
        <f>27.9416 * CHOOSE(CONTROL!$C$15, $E$9, 100%, $G$9) + CHOOSE(CONTROL!$C$38, 0.0357, 0)</f>
        <v>27.9773</v>
      </c>
      <c r="J353" s="26">
        <f>210.2448</f>
        <v>210.2448</v>
      </c>
    </row>
    <row r="354" spans="1:10" ht="15.75">
      <c r="A354" s="14">
        <v>52078</v>
      </c>
      <c r="B354" s="10">
        <f>30.1764 * CHOOSE(CONTROL!$C$15, $E$9, 100%, $G$9) + CHOOSE(CONTROL!$C$38, 0.0266, 0)</f>
        <v>30.202999999999999</v>
      </c>
      <c r="C354" s="10">
        <f>27.7351 * CHOOSE(CONTROL!$C$15, $E$9, 100%, $G$9) + CHOOSE(CONTROL!$C$38, 0.0357, 0)</f>
        <v>27.770799999999998</v>
      </c>
      <c r="D354" s="10">
        <f>27.7273 * CHOOSE(CONTROL!$C$15, $E$9, 100%, $G$9) + CHOOSE(CONTROL!$C$38, 0.0357, 0)</f>
        <v>27.762999999999998</v>
      </c>
      <c r="E354" s="28">
        <f>30.0201 * CHOOSE(CONTROL!$C$15, $E$9, 100%, $G$9) + CHOOSE(CONTROL!$C$38, 0.0357, 0)</f>
        <v>30.055799999999998</v>
      </c>
      <c r="F354" s="27">
        <f>30.0201 * CHOOSE(CONTROL!$C$15, $E$9, 100%, $G$9) + CHOOSE(CONTROL!$C$38, 0.0266, 0)</f>
        <v>30.046699999999998</v>
      </c>
      <c r="G354" s="10">
        <f>27.7335 * CHOOSE(CONTROL!$C$15, $E$9, 100%, $G$9) + CHOOSE(CONTROL!$C$38, 0.0357, 0)</f>
        <v>27.769199999999998</v>
      </c>
      <c r="H354" s="10">
        <f>27.7335 * CHOOSE(CONTROL!$C$15, $E$9, 100%, $G$9) + CHOOSE(CONTROL!$C$38, 0.0357, 0)</f>
        <v>27.769199999999998</v>
      </c>
      <c r="I354" s="10">
        <f>27.7351 * CHOOSE(CONTROL!$C$15, $E$9, 100%, $G$9) + CHOOSE(CONTROL!$C$38, 0.0357, 0)</f>
        <v>27.770799999999998</v>
      </c>
      <c r="J354" s="26">
        <f>209.2615</f>
        <v>209.26150000000001</v>
      </c>
    </row>
    <row r="355" spans="1:10" ht="15.75">
      <c r="A355" s="14">
        <v>52109</v>
      </c>
      <c r="B355" s="10">
        <f>30.2783 * CHOOSE(CONTROL!$C$15, $E$9, 100%, $G$9) + CHOOSE(CONTROL!$C$38, 0.0266, 0)</f>
        <v>30.3049</v>
      </c>
      <c r="C355" s="10">
        <f>27.837 * CHOOSE(CONTROL!$C$15, $E$9, 100%, $G$9) + CHOOSE(CONTROL!$C$38, 0.0357, 0)</f>
        <v>27.872699999999998</v>
      </c>
      <c r="D355" s="10">
        <f>27.8292 * CHOOSE(CONTROL!$C$15, $E$9, 100%, $G$9) + CHOOSE(CONTROL!$C$38, 0.0357, 0)</f>
        <v>27.864899999999999</v>
      </c>
      <c r="E355" s="28">
        <f>30.122 * CHOOSE(CONTROL!$C$15, $E$9, 100%, $G$9) + CHOOSE(CONTROL!$C$38, 0.0357, 0)</f>
        <v>30.157699999999998</v>
      </c>
      <c r="F355" s="27">
        <f>30.122 * CHOOSE(CONTROL!$C$15, $E$9, 100%, $G$9) + CHOOSE(CONTROL!$C$38, 0.0266, 0)</f>
        <v>30.148599999999998</v>
      </c>
      <c r="G355" s="10">
        <f>27.8354 * CHOOSE(CONTROL!$C$15, $E$9, 100%, $G$9) + CHOOSE(CONTROL!$C$38, 0.0357, 0)</f>
        <v>27.871099999999998</v>
      </c>
      <c r="H355" s="10">
        <f>27.8354 * CHOOSE(CONTROL!$C$15, $E$9, 100%, $G$9) + CHOOSE(CONTROL!$C$38, 0.0357, 0)</f>
        <v>27.871099999999998</v>
      </c>
      <c r="I355" s="10">
        <f>27.837 * CHOOSE(CONTROL!$C$15, $E$9, 100%, $G$9) + CHOOSE(CONTROL!$C$38, 0.0357, 0)</f>
        <v>27.872699999999998</v>
      </c>
      <c r="J355" s="26">
        <f>204.39</f>
        <v>204.39</v>
      </c>
    </row>
    <row r="356" spans="1:10" ht="15.75">
      <c r="A356" s="14">
        <v>52139</v>
      </c>
      <c r="B356" s="10">
        <f>30.5551 * CHOOSE(CONTROL!$C$15, $E$9, 100%, $G$9) + CHOOSE(CONTROL!$C$38, 0.0266, 0)</f>
        <v>30.581699999999998</v>
      </c>
      <c r="C356" s="10">
        <f>28.1138 * CHOOSE(CONTROL!$C$15, $E$9, 100%, $G$9) + CHOOSE(CONTROL!$C$38, 0.0357, 0)</f>
        <v>28.1495</v>
      </c>
      <c r="D356" s="10">
        <f>28.106 * CHOOSE(CONTROL!$C$15, $E$9, 100%, $G$9) + CHOOSE(CONTROL!$C$38, 0.0357, 0)</f>
        <v>28.1417</v>
      </c>
      <c r="E356" s="28">
        <f>30.3988 * CHOOSE(CONTROL!$C$15, $E$9, 100%, $G$9) + CHOOSE(CONTROL!$C$38, 0.0357, 0)</f>
        <v>30.4345</v>
      </c>
      <c r="F356" s="27">
        <f>30.3988 * CHOOSE(CONTROL!$C$15, $E$9, 100%, $G$9) + CHOOSE(CONTROL!$C$38, 0.0266, 0)</f>
        <v>30.4254</v>
      </c>
      <c r="G356" s="10">
        <f>28.1122 * CHOOSE(CONTROL!$C$15, $E$9, 100%, $G$9) + CHOOSE(CONTROL!$C$38, 0.0357, 0)</f>
        <v>28.1479</v>
      </c>
      <c r="H356" s="10">
        <f>28.1122 * CHOOSE(CONTROL!$C$15, $E$9, 100%, $G$9) + CHOOSE(CONTROL!$C$38, 0.0357, 0)</f>
        <v>28.1479</v>
      </c>
      <c r="I356" s="10">
        <f>28.1138 * CHOOSE(CONTROL!$C$15, $E$9, 100%, $G$9) + CHOOSE(CONTROL!$C$38, 0.0357, 0)</f>
        <v>28.1495</v>
      </c>
      <c r="J356" s="26">
        <f>197.5964</f>
        <v>197.59639999999999</v>
      </c>
    </row>
    <row r="357" spans="1:10" ht="15.75">
      <c r="A357" s="14">
        <v>52170</v>
      </c>
      <c r="B357" s="10">
        <f>30.7869 * CHOOSE(CONTROL!$C$15, $E$9, 100%, $G$9) + CHOOSE(CONTROL!$C$38, 0.0266, 0)</f>
        <v>30.813499999999998</v>
      </c>
      <c r="C357" s="10">
        <f>28.3456 * CHOOSE(CONTROL!$C$15, $E$9, 100%, $G$9) + CHOOSE(CONTROL!$C$38, 0.0357, 0)</f>
        <v>28.3813</v>
      </c>
      <c r="D357" s="10">
        <f>28.3378 * CHOOSE(CONTROL!$C$15, $E$9, 100%, $G$9) + CHOOSE(CONTROL!$C$38, 0.0357, 0)</f>
        <v>28.3735</v>
      </c>
      <c r="E357" s="28">
        <f>30.6307 * CHOOSE(CONTROL!$C$15, $E$9, 100%, $G$9) + CHOOSE(CONTROL!$C$38, 0.0357, 0)</f>
        <v>30.666399999999999</v>
      </c>
      <c r="F357" s="27">
        <f>30.6307 * CHOOSE(CONTROL!$C$15, $E$9, 100%, $G$9) + CHOOSE(CONTROL!$C$38, 0.0266, 0)</f>
        <v>30.657299999999999</v>
      </c>
      <c r="G357" s="10">
        <f>28.3441 * CHOOSE(CONTROL!$C$15, $E$9, 100%, $G$9) + CHOOSE(CONTROL!$C$38, 0.0357, 0)</f>
        <v>28.379799999999999</v>
      </c>
      <c r="H357" s="10">
        <f>28.3441 * CHOOSE(CONTROL!$C$15, $E$9, 100%, $G$9) + CHOOSE(CONTROL!$C$38, 0.0357, 0)</f>
        <v>28.379799999999999</v>
      </c>
      <c r="I357" s="10">
        <f>28.3456 * CHOOSE(CONTROL!$C$15, $E$9, 100%, $G$9) + CHOOSE(CONTROL!$C$38, 0.0357, 0)</f>
        <v>28.3813</v>
      </c>
      <c r="J357" s="26">
        <f>190.7634</f>
        <v>190.76339999999999</v>
      </c>
    </row>
    <row r="358" spans="1:10" ht="15.75">
      <c r="A358" s="14">
        <v>52200</v>
      </c>
      <c r="B358" s="10">
        <f>30.9804 * CHOOSE(CONTROL!$C$15, $E$9, 100%, $G$9) + CHOOSE(CONTROL!$C$38, 0.0266, 0)</f>
        <v>31.006999999999998</v>
      </c>
      <c r="C358" s="10">
        <f>28.5391 * CHOOSE(CONTROL!$C$15, $E$9, 100%, $G$9) + CHOOSE(CONTROL!$C$38, 0.0357, 0)</f>
        <v>28.5748</v>
      </c>
      <c r="D358" s="10">
        <f>28.5312 * CHOOSE(CONTROL!$C$15, $E$9, 100%, $G$9) + CHOOSE(CONTROL!$C$38, 0.0357, 0)</f>
        <v>28.566899999999997</v>
      </c>
      <c r="E358" s="28">
        <f>30.8241 * CHOOSE(CONTROL!$C$15, $E$9, 100%, $G$9) + CHOOSE(CONTROL!$C$38, 0.0357, 0)</f>
        <v>30.8598</v>
      </c>
      <c r="F358" s="27">
        <f>30.8241 * CHOOSE(CONTROL!$C$15, $E$9, 100%, $G$9) + CHOOSE(CONTROL!$C$38, 0.0266, 0)</f>
        <v>30.8507</v>
      </c>
      <c r="G358" s="10">
        <f>28.5375 * CHOOSE(CONTROL!$C$15, $E$9, 100%, $G$9) + CHOOSE(CONTROL!$C$38, 0.0357, 0)</f>
        <v>28.5732</v>
      </c>
      <c r="H358" s="10">
        <f>28.5375 * CHOOSE(CONTROL!$C$15, $E$9, 100%, $G$9) + CHOOSE(CONTROL!$C$38, 0.0357, 0)</f>
        <v>28.5732</v>
      </c>
      <c r="I358" s="10">
        <f>28.5391 * CHOOSE(CONTROL!$C$15, $E$9, 100%, $G$9) + CHOOSE(CONTROL!$C$38, 0.0357, 0)</f>
        <v>28.5748</v>
      </c>
      <c r="J358" s="26">
        <f>189.4041</f>
        <v>189.4041</v>
      </c>
    </row>
    <row r="359" spans="1:10" ht="15.75">
      <c r="A359" s="14">
        <v>52231</v>
      </c>
      <c r="B359" s="10">
        <f>31.5764 * CHOOSE(CONTROL!$C$15, $E$9, 100%, $G$9) + CHOOSE(CONTROL!$C$38, 0.0266, 0)</f>
        <v>31.602999999999998</v>
      </c>
      <c r="C359" s="10">
        <f>29.1351 * CHOOSE(CONTROL!$C$15, $E$9, 100%, $G$9) + CHOOSE(CONTROL!$C$38, 0.0357, 0)</f>
        <v>29.1708</v>
      </c>
      <c r="D359" s="10">
        <f>29.1273 * CHOOSE(CONTROL!$C$15, $E$9, 100%, $G$9) + CHOOSE(CONTROL!$C$38, 0.0357, 0)</f>
        <v>29.163</v>
      </c>
      <c r="E359" s="28">
        <f>31.4202 * CHOOSE(CONTROL!$C$15, $E$9, 100%, $G$9) + CHOOSE(CONTROL!$C$38, 0.0357, 0)</f>
        <v>31.4559</v>
      </c>
      <c r="F359" s="27">
        <f>31.4202 * CHOOSE(CONTROL!$C$15, $E$9, 100%, $G$9) + CHOOSE(CONTROL!$C$38, 0.0266, 0)</f>
        <v>31.4468</v>
      </c>
      <c r="G359" s="10">
        <f>29.1336 * CHOOSE(CONTROL!$C$15, $E$9, 100%, $G$9) + CHOOSE(CONTROL!$C$38, 0.0357, 0)</f>
        <v>29.1693</v>
      </c>
      <c r="H359" s="10">
        <f>29.1336 * CHOOSE(CONTROL!$C$15, $E$9, 100%, $G$9) + CHOOSE(CONTROL!$C$38, 0.0357, 0)</f>
        <v>29.1693</v>
      </c>
      <c r="I359" s="10">
        <f>29.1351 * CHOOSE(CONTROL!$C$15, $E$9, 100%, $G$9) + CHOOSE(CONTROL!$C$38, 0.0357, 0)</f>
        <v>29.1708</v>
      </c>
      <c r="J359" s="26">
        <f>183.7835</f>
        <v>183.7835</v>
      </c>
    </row>
    <row r="360" spans="1:10" ht="15.75">
      <c r="A360" s="14">
        <v>52262</v>
      </c>
      <c r="B360" s="10">
        <f>32.5843 * CHOOSE(CONTROL!$C$15, $E$9, 100%, $G$9) + CHOOSE(CONTROL!$C$38, 0.0266, 0)</f>
        <v>32.610900000000001</v>
      </c>
      <c r="C360" s="10">
        <f>30.1026 * CHOOSE(CONTROL!$C$15, $E$9, 100%, $G$9) + CHOOSE(CONTROL!$C$38, 0.0357, 0)</f>
        <v>30.138299999999997</v>
      </c>
      <c r="D360" s="10">
        <f>30.0948 * CHOOSE(CONTROL!$C$15, $E$9, 100%, $G$9) + CHOOSE(CONTROL!$C$38, 0.0357, 0)</f>
        <v>30.130499999999998</v>
      </c>
      <c r="E360" s="28">
        <f>32.428 * CHOOSE(CONTROL!$C$15, $E$9, 100%, $G$9) + CHOOSE(CONTROL!$C$38, 0.0357, 0)</f>
        <v>32.463699999999996</v>
      </c>
      <c r="F360" s="27">
        <f>32.428 * CHOOSE(CONTROL!$C$15, $E$9, 100%, $G$9) + CHOOSE(CONTROL!$C$38, 0.0266, 0)</f>
        <v>32.454599999999999</v>
      </c>
      <c r="G360" s="10">
        <f>30.101 * CHOOSE(CONTROL!$C$15, $E$9, 100%, $G$9) + CHOOSE(CONTROL!$C$38, 0.0357, 0)</f>
        <v>30.136699999999998</v>
      </c>
      <c r="H360" s="10">
        <f>30.101 * CHOOSE(CONTROL!$C$15, $E$9, 100%, $G$9) + CHOOSE(CONTROL!$C$38, 0.0357, 0)</f>
        <v>30.136699999999998</v>
      </c>
      <c r="I360" s="10">
        <f>30.1026 * CHOOSE(CONTROL!$C$15, $E$9, 100%, $G$9) + CHOOSE(CONTROL!$C$38, 0.0357, 0)</f>
        <v>30.138299999999997</v>
      </c>
      <c r="J360" s="26">
        <f>182.5525</f>
        <v>182.55250000000001</v>
      </c>
    </row>
    <row r="361" spans="1:10" ht="15.75">
      <c r="A361" s="14">
        <v>52290</v>
      </c>
      <c r="B361" s="10">
        <f>32.805 * CHOOSE(CONTROL!$C$15, $E$9, 100%, $G$9) + CHOOSE(CONTROL!$C$38, 0.0266, 0)</f>
        <v>32.831600000000002</v>
      </c>
      <c r="C361" s="10">
        <f>30.3234 * CHOOSE(CONTROL!$C$15, $E$9, 100%, $G$9) + CHOOSE(CONTROL!$C$38, 0.0357, 0)</f>
        <v>30.359099999999998</v>
      </c>
      <c r="D361" s="10">
        <f>30.3156 * CHOOSE(CONTROL!$C$15, $E$9, 100%, $G$9) + CHOOSE(CONTROL!$C$38, 0.0357, 0)</f>
        <v>30.351299999999998</v>
      </c>
      <c r="E361" s="28">
        <f>32.6488 * CHOOSE(CONTROL!$C$15, $E$9, 100%, $G$9) + CHOOSE(CONTROL!$C$38, 0.0357, 0)</f>
        <v>32.6845</v>
      </c>
      <c r="F361" s="27">
        <f>32.6488 * CHOOSE(CONTROL!$C$15, $E$9, 100%, $G$9) + CHOOSE(CONTROL!$C$38, 0.0266, 0)</f>
        <v>32.675400000000003</v>
      </c>
      <c r="G361" s="10">
        <f>30.3218 * CHOOSE(CONTROL!$C$15, $E$9, 100%, $G$9) + CHOOSE(CONTROL!$C$38, 0.0357, 0)</f>
        <v>30.357499999999998</v>
      </c>
      <c r="H361" s="10">
        <f>30.3218 * CHOOSE(CONTROL!$C$15, $E$9, 100%, $G$9) + CHOOSE(CONTROL!$C$38, 0.0357, 0)</f>
        <v>30.357499999999998</v>
      </c>
      <c r="I361" s="10">
        <f>30.3234 * CHOOSE(CONTROL!$C$15, $E$9, 100%, $G$9) + CHOOSE(CONTROL!$C$38, 0.0357, 0)</f>
        <v>30.359099999999998</v>
      </c>
      <c r="J361" s="26">
        <f>182.045</f>
        <v>182.04499999999999</v>
      </c>
    </row>
    <row r="362" spans="1:10" ht="15.75">
      <c r="A362" s="14">
        <v>52321</v>
      </c>
      <c r="B362" s="10">
        <f>32.294 * CHOOSE(CONTROL!$C$15, $E$9, 100%, $G$9) + CHOOSE(CONTROL!$C$38, 0.0266, 0)</f>
        <v>32.320599999999999</v>
      </c>
      <c r="C362" s="10">
        <f>29.8123 * CHOOSE(CONTROL!$C$15, $E$9, 100%, $G$9) + CHOOSE(CONTROL!$C$38, 0.0357, 0)</f>
        <v>29.847999999999999</v>
      </c>
      <c r="D362" s="10">
        <f>29.8045 * CHOOSE(CONTROL!$C$15, $E$9, 100%, $G$9) + CHOOSE(CONTROL!$C$38, 0.0357, 0)</f>
        <v>29.840199999999999</v>
      </c>
      <c r="E362" s="28">
        <f>32.1378 * CHOOSE(CONTROL!$C$15, $E$9, 100%, $G$9) + CHOOSE(CONTROL!$C$38, 0.0357, 0)</f>
        <v>32.173499999999997</v>
      </c>
      <c r="F362" s="27">
        <f>32.1378 * CHOOSE(CONTROL!$C$15, $E$9, 100%, $G$9) + CHOOSE(CONTROL!$C$38, 0.0266, 0)</f>
        <v>32.164400000000001</v>
      </c>
      <c r="G362" s="10">
        <f>29.8108 * CHOOSE(CONTROL!$C$15, $E$9, 100%, $G$9) + CHOOSE(CONTROL!$C$38, 0.0357, 0)</f>
        <v>29.846499999999999</v>
      </c>
      <c r="H362" s="10">
        <f>29.8108 * CHOOSE(CONTROL!$C$15, $E$9, 100%, $G$9) + CHOOSE(CONTROL!$C$38, 0.0357, 0)</f>
        <v>29.846499999999999</v>
      </c>
      <c r="I362" s="10">
        <f>29.8123 * CHOOSE(CONTROL!$C$15, $E$9, 100%, $G$9) + CHOOSE(CONTROL!$C$38, 0.0357, 0)</f>
        <v>29.847999999999999</v>
      </c>
      <c r="J362" s="26">
        <f>191.6399</f>
        <v>191.63990000000001</v>
      </c>
    </row>
    <row r="363" spans="1:10" ht="15.75">
      <c r="A363" s="14">
        <v>52351</v>
      </c>
      <c r="B363" s="10">
        <f>31.7988 * CHOOSE(CONTROL!$C$15, $E$9, 100%, $G$9) + CHOOSE(CONTROL!$C$38, 0.0266, 0)</f>
        <v>31.825399999999998</v>
      </c>
      <c r="C363" s="10">
        <f>29.3172 * CHOOSE(CONTROL!$C$15, $E$9, 100%, $G$9) + CHOOSE(CONTROL!$C$38, 0.0357, 0)</f>
        <v>29.352899999999998</v>
      </c>
      <c r="D363" s="10">
        <f>29.3093 * CHOOSE(CONTROL!$C$15, $E$9, 100%, $G$9) + CHOOSE(CONTROL!$C$38, 0.0357, 0)</f>
        <v>29.344999999999999</v>
      </c>
      <c r="E363" s="28">
        <f>31.6426 * CHOOSE(CONTROL!$C$15, $E$9, 100%, $G$9) + CHOOSE(CONTROL!$C$38, 0.0357, 0)</f>
        <v>31.6783</v>
      </c>
      <c r="F363" s="27">
        <f>31.6426 * CHOOSE(CONTROL!$C$15, $E$9, 100%, $G$9) + CHOOSE(CONTROL!$C$38, 0.0266, 0)</f>
        <v>31.6692</v>
      </c>
      <c r="G363" s="10">
        <f>29.3156 * CHOOSE(CONTROL!$C$15, $E$9, 100%, $G$9) + CHOOSE(CONTROL!$C$38, 0.0357, 0)</f>
        <v>29.351299999999998</v>
      </c>
      <c r="H363" s="10">
        <f>29.3156 * CHOOSE(CONTROL!$C$15, $E$9, 100%, $G$9) + CHOOSE(CONTROL!$C$38, 0.0357, 0)</f>
        <v>29.351299999999998</v>
      </c>
      <c r="I363" s="10">
        <f>29.3172 * CHOOSE(CONTROL!$C$15, $E$9, 100%, $G$9) + CHOOSE(CONTROL!$C$38, 0.0357, 0)</f>
        <v>29.352899999999998</v>
      </c>
      <c r="J363" s="26">
        <f>204.0821</f>
        <v>204.0821</v>
      </c>
    </row>
    <row r="364" spans="1:10" ht="15.75">
      <c r="A364" s="14">
        <v>52382</v>
      </c>
      <c r="B364" s="10">
        <f>31.2827 * CHOOSE(CONTROL!$C$15, $E$9, 100%, $G$9) + CHOOSE(CONTROL!$C$38, 0.0266, 0)</f>
        <v>31.309299999999997</v>
      </c>
      <c r="C364" s="10">
        <f>28.801 * CHOOSE(CONTROL!$C$15, $E$9, 100%, $G$9) + CHOOSE(CONTROL!$C$38, 0.0357, 0)</f>
        <v>28.836699999999997</v>
      </c>
      <c r="D364" s="10">
        <f>28.7932 * CHOOSE(CONTROL!$C$15, $E$9, 100%, $G$9) + CHOOSE(CONTROL!$C$38, 0.0357, 0)</f>
        <v>28.828899999999997</v>
      </c>
      <c r="E364" s="28">
        <f>31.1265 * CHOOSE(CONTROL!$C$15, $E$9, 100%, $G$9) + CHOOSE(CONTROL!$C$38, 0.0357, 0)</f>
        <v>31.162199999999999</v>
      </c>
      <c r="F364" s="27">
        <f>31.1265 * CHOOSE(CONTROL!$C$15, $E$9, 100%, $G$9) + CHOOSE(CONTROL!$C$38, 0.0266, 0)</f>
        <v>31.153099999999998</v>
      </c>
      <c r="G364" s="10">
        <f>28.7995 * CHOOSE(CONTROL!$C$15, $E$9, 100%, $G$9) + CHOOSE(CONTROL!$C$38, 0.0357, 0)</f>
        <v>28.835199999999997</v>
      </c>
      <c r="H364" s="10">
        <f>28.7995 * CHOOSE(CONTROL!$C$15, $E$9, 100%, $G$9) + CHOOSE(CONTROL!$C$38, 0.0357, 0)</f>
        <v>28.835199999999997</v>
      </c>
      <c r="I364" s="10">
        <f>28.801 * CHOOSE(CONTROL!$C$15, $E$9, 100%, $G$9) + CHOOSE(CONTROL!$C$38, 0.0357, 0)</f>
        <v>28.836699999999997</v>
      </c>
      <c r="J364" s="26">
        <f>210.9307</f>
        <v>210.9307</v>
      </c>
    </row>
    <row r="365" spans="1:10" ht="15.75">
      <c r="A365" s="14">
        <v>52412</v>
      </c>
      <c r="B365" s="10">
        <f>30.9209 * CHOOSE(CONTROL!$C$15, $E$9, 100%, $G$9) + CHOOSE(CONTROL!$C$38, 0.0266, 0)</f>
        <v>30.947499999999998</v>
      </c>
      <c r="C365" s="10">
        <f>28.4392 * CHOOSE(CONTROL!$C$15, $E$9, 100%, $G$9) + CHOOSE(CONTROL!$C$38, 0.0357, 0)</f>
        <v>28.474899999999998</v>
      </c>
      <c r="D365" s="10">
        <f>28.4314 * CHOOSE(CONTROL!$C$15, $E$9, 100%, $G$9) + CHOOSE(CONTROL!$C$38, 0.0357, 0)</f>
        <v>28.467099999999999</v>
      </c>
      <c r="E365" s="28">
        <f>30.7646 * CHOOSE(CONTROL!$C$15, $E$9, 100%, $G$9) + CHOOSE(CONTROL!$C$38, 0.0357, 0)</f>
        <v>30.8003</v>
      </c>
      <c r="F365" s="27">
        <f>30.7646 * CHOOSE(CONTROL!$C$15, $E$9, 100%, $G$9) + CHOOSE(CONTROL!$C$38, 0.0266, 0)</f>
        <v>30.7912</v>
      </c>
      <c r="G365" s="10">
        <f>28.4376 * CHOOSE(CONTROL!$C$15, $E$9, 100%, $G$9) + CHOOSE(CONTROL!$C$38, 0.0357, 0)</f>
        <v>28.473299999999998</v>
      </c>
      <c r="H365" s="10">
        <f>28.4376 * CHOOSE(CONTROL!$C$15, $E$9, 100%, $G$9) + CHOOSE(CONTROL!$C$38, 0.0357, 0)</f>
        <v>28.473299999999998</v>
      </c>
      <c r="I365" s="10">
        <f>28.4392 * CHOOSE(CONTROL!$C$15, $E$9, 100%, $G$9) + CHOOSE(CONTROL!$C$38, 0.0357, 0)</f>
        <v>28.474899999999998</v>
      </c>
      <c r="J365" s="26">
        <f>213.9699</f>
        <v>213.9699</v>
      </c>
    </row>
    <row r="366" spans="1:10" ht="15.75">
      <c r="A366" s="14">
        <v>52443</v>
      </c>
      <c r="B366" s="10">
        <f>30.7144 * CHOOSE(CONTROL!$C$15, $E$9, 100%, $G$9) + CHOOSE(CONTROL!$C$38, 0.0266, 0)</f>
        <v>30.741</v>
      </c>
      <c r="C366" s="10">
        <f>28.2327 * CHOOSE(CONTROL!$C$15, $E$9, 100%, $G$9) + CHOOSE(CONTROL!$C$38, 0.0357, 0)</f>
        <v>28.2684</v>
      </c>
      <c r="D366" s="10">
        <f>28.2249 * CHOOSE(CONTROL!$C$15, $E$9, 100%, $G$9) + CHOOSE(CONTROL!$C$38, 0.0357, 0)</f>
        <v>28.2606</v>
      </c>
      <c r="E366" s="28">
        <f>30.5581 * CHOOSE(CONTROL!$C$15, $E$9, 100%, $G$9) + CHOOSE(CONTROL!$C$38, 0.0357, 0)</f>
        <v>30.593799999999998</v>
      </c>
      <c r="F366" s="27">
        <f>30.5581 * CHOOSE(CONTROL!$C$15, $E$9, 100%, $G$9) + CHOOSE(CONTROL!$C$38, 0.0266, 0)</f>
        <v>30.584699999999998</v>
      </c>
      <c r="G366" s="10">
        <f>28.2312 * CHOOSE(CONTROL!$C$15, $E$9, 100%, $G$9) + CHOOSE(CONTROL!$C$38, 0.0357, 0)</f>
        <v>28.2669</v>
      </c>
      <c r="H366" s="10">
        <f>28.2312 * CHOOSE(CONTROL!$C$15, $E$9, 100%, $G$9) + CHOOSE(CONTROL!$C$38, 0.0357, 0)</f>
        <v>28.2669</v>
      </c>
      <c r="I366" s="10">
        <f>28.2327 * CHOOSE(CONTROL!$C$15, $E$9, 100%, $G$9) + CHOOSE(CONTROL!$C$38, 0.0357, 0)</f>
        <v>28.2684</v>
      </c>
      <c r="J366" s="26">
        <f>212.9693</f>
        <v>212.9693</v>
      </c>
    </row>
    <row r="367" spans="1:10" ht="15.75">
      <c r="A367" s="14">
        <v>52474</v>
      </c>
      <c r="B367" s="10">
        <f>30.8163 * CHOOSE(CONTROL!$C$15, $E$9, 100%, $G$9) + CHOOSE(CONTROL!$C$38, 0.0266, 0)</f>
        <v>30.842899999999997</v>
      </c>
      <c r="C367" s="10">
        <f>28.3346 * CHOOSE(CONTROL!$C$15, $E$9, 100%, $G$9) + CHOOSE(CONTROL!$C$38, 0.0357, 0)</f>
        <v>28.370299999999997</v>
      </c>
      <c r="D367" s="10">
        <f>28.3268 * CHOOSE(CONTROL!$C$15, $E$9, 100%, $G$9) + CHOOSE(CONTROL!$C$38, 0.0357, 0)</f>
        <v>28.362499999999997</v>
      </c>
      <c r="E367" s="28">
        <f>30.6601 * CHOOSE(CONTROL!$C$15, $E$9, 100%, $G$9) + CHOOSE(CONTROL!$C$38, 0.0357, 0)</f>
        <v>30.695799999999998</v>
      </c>
      <c r="F367" s="27">
        <f>30.6601 * CHOOSE(CONTROL!$C$15, $E$9, 100%, $G$9) + CHOOSE(CONTROL!$C$38, 0.0266, 0)</f>
        <v>30.686699999999998</v>
      </c>
      <c r="G367" s="10">
        <f>28.3331 * CHOOSE(CONTROL!$C$15, $E$9, 100%, $G$9) + CHOOSE(CONTROL!$C$38, 0.0357, 0)</f>
        <v>28.3688</v>
      </c>
      <c r="H367" s="10">
        <f>28.3331 * CHOOSE(CONTROL!$C$15, $E$9, 100%, $G$9) + CHOOSE(CONTROL!$C$38, 0.0357, 0)</f>
        <v>28.3688</v>
      </c>
      <c r="I367" s="10">
        <f>28.3346 * CHOOSE(CONTROL!$C$15, $E$9, 100%, $G$9) + CHOOSE(CONTROL!$C$38, 0.0357, 0)</f>
        <v>28.370299999999997</v>
      </c>
      <c r="J367" s="26">
        <f>208.0114</f>
        <v>208.01140000000001</v>
      </c>
    </row>
    <row r="368" spans="1:10" ht="15.75">
      <c r="A368" s="14">
        <v>52504</v>
      </c>
      <c r="B368" s="10">
        <f>31.0931 * CHOOSE(CONTROL!$C$15, $E$9, 100%, $G$9) + CHOOSE(CONTROL!$C$38, 0.0266, 0)</f>
        <v>31.119699999999998</v>
      </c>
      <c r="C368" s="10">
        <f>28.6114 * CHOOSE(CONTROL!$C$15, $E$9, 100%, $G$9) + CHOOSE(CONTROL!$C$38, 0.0357, 0)</f>
        <v>28.647099999999998</v>
      </c>
      <c r="D368" s="10">
        <f>28.6036 * CHOOSE(CONTROL!$C$15, $E$9, 100%, $G$9) + CHOOSE(CONTROL!$C$38, 0.0357, 0)</f>
        <v>28.639299999999999</v>
      </c>
      <c r="E368" s="28">
        <f>30.9369 * CHOOSE(CONTROL!$C$15, $E$9, 100%, $G$9) + CHOOSE(CONTROL!$C$38, 0.0357, 0)</f>
        <v>30.9726</v>
      </c>
      <c r="F368" s="27">
        <f>30.9369 * CHOOSE(CONTROL!$C$15, $E$9, 100%, $G$9) + CHOOSE(CONTROL!$C$38, 0.0266, 0)</f>
        <v>30.9635</v>
      </c>
      <c r="G368" s="10">
        <f>28.6099 * CHOOSE(CONTROL!$C$15, $E$9, 100%, $G$9) + CHOOSE(CONTROL!$C$38, 0.0357, 0)</f>
        <v>28.645599999999998</v>
      </c>
      <c r="H368" s="10">
        <f>28.6099 * CHOOSE(CONTROL!$C$15, $E$9, 100%, $G$9) + CHOOSE(CONTROL!$C$38, 0.0357, 0)</f>
        <v>28.645599999999998</v>
      </c>
      <c r="I368" s="10">
        <f>28.6114 * CHOOSE(CONTROL!$C$15, $E$9, 100%, $G$9) + CHOOSE(CONTROL!$C$38, 0.0357, 0)</f>
        <v>28.647099999999998</v>
      </c>
      <c r="J368" s="26">
        <f>201.0975</f>
        <v>201.0975</v>
      </c>
    </row>
    <row r="369" spans="1:10" ht="15.75">
      <c r="A369" s="14">
        <v>52535</v>
      </c>
      <c r="B369" s="10">
        <f>31.3249 * CHOOSE(CONTROL!$C$15, $E$9, 100%, $G$9) + CHOOSE(CONTROL!$C$38, 0.0266, 0)</f>
        <v>31.351499999999998</v>
      </c>
      <c r="C369" s="10">
        <f>28.8433 * CHOOSE(CONTROL!$C$15, $E$9, 100%, $G$9) + CHOOSE(CONTROL!$C$38, 0.0357, 0)</f>
        <v>28.878999999999998</v>
      </c>
      <c r="D369" s="10">
        <f>28.8354 * CHOOSE(CONTROL!$C$15, $E$9, 100%, $G$9) + CHOOSE(CONTROL!$C$38, 0.0357, 0)</f>
        <v>28.871099999999998</v>
      </c>
      <c r="E369" s="28">
        <f>31.1687 * CHOOSE(CONTROL!$C$15, $E$9, 100%, $G$9) + CHOOSE(CONTROL!$C$38, 0.0357, 0)</f>
        <v>31.2044</v>
      </c>
      <c r="F369" s="27">
        <f>31.1687 * CHOOSE(CONTROL!$C$15, $E$9, 100%, $G$9) + CHOOSE(CONTROL!$C$38, 0.0266, 0)</f>
        <v>31.1953</v>
      </c>
      <c r="G369" s="10">
        <f>28.8417 * CHOOSE(CONTROL!$C$15, $E$9, 100%, $G$9) + CHOOSE(CONTROL!$C$38, 0.0357, 0)</f>
        <v>28.877399999999998</v>
      </c>
      <c r="H369" s="10">
        <f>28.8417 * CHOOSE(CONTROL!$C$15, $E$9, 100%, $G$9) + CHOOSE(CONTROL!$C$38, 0.0357, 0)</f>
        <v>28.877399999999998</v>
      </c>
      <c r="I369" s="10">
        <f>28.8433 * CHOOSE(CONTROL!$C$15, $E$9, 100%, $G$9) + CHOOSE(CONTROL!$C$38, 0.0357, 0)</f>
        <v>28.878999999999998</v>
      </c>
      <c r="J369" s="26">
        <f>194.1433</f>
        <v>194.14330000000001</v>
      </c>
    </row>
    <row r="370" spans="1:10" ht="15.75">
      <c r="A370" s="14">
        <v>52565</v>
      </c>
      <c r="B370" s="10">
        <f>31.5184 * CHOOSE(CONTROL!$C$15, $E$9, 100%, $G$9) + CHOOSE(CONTROL!$C$38, 0.0266, 0)</f>
        <v>31.544999999999998</v>
      </c>
      <c r="C370" s="10">
        <f>29.0367 * CHOOSE(CONTROL!$C$15, $E$9, 100%, $G$9) + CHOOSE(CONTROL!$C$38, 0.0357, 0)</f>
        <v>29.072399999999998</v>
      </c>
      <c r="D370" s="10">
        <f>29.0289 * CHOOSE(CONTROL!$C$15, $E$9, 100%, $G$9) + CHOOSE(CONTROL!$C$38, 0.0357, 0)</f>
        <v>29.064599999999999</v>
      </c>
      <c r="E370" s="28">
        <f>31.3621 * CHOOSE(CONTROL!$C$15, $E$9, 100%, $G$9) + CHOOSE(CONTROL!$C$38, 0.0357, 0)</f>
        <v>31.3978</v>
      </c>
      <c r="F370" s="27">
        <f>31.3621 * CHOOSE(CONTROL!$C$15, $E$9, 100%, $G$9) + CHOOSE(CONTROL!$C$38, 0.0266, 0)</f>
        <v>31.3887</v>
      </c>
      <c r="G370" s="10">
        <f>29.0351 * CHOOSE(CONTROL!$C$15, $E$9, 100%, $G$9) + CHOOSE(CONTROL!$C$38, 0.0357, 0)</f>
        <v>29.070799999999998</v>
      </c>
      <c r="H370" s="10">
        <f>29.0351 * CHOOSE(CONTROL!$C$15, $E$9, 100%, $G$9) + CHOOSE(CONTROL!$C$38, 0.0357, 0)</f>
        <v>29.070799999999998</v>
      </c>
      <c r="I370" s="10">
        <f>29.0367 * CHOOSE(CONTROL!$C$15, $E$9, 100%, $G$9) + CHOOSE(CONTROL!$C$38, 0.0357, 0)</f>
        <v>29.072399999999998</v>
      </c>
      <c r="J370" s="26">
        <f>192.76</f>
        <v>192.76</v>
      </c>
    </row>
    <row r="371" spans="1:10" ht="15.75">
      <c r="A371" s="14">
        <v>52596</v>
      </c>
      <c r="B371" s="10">
        <f>32.1144 * CHOOSE(CONTROL!$C$15, $E$9, 100%, $G$9) + CHOOSE(CONTROL!$C$38, 0.0266, 0)</f>
        <v>32.141000000000005</v>
      </c>
      <c r="C371" s="10">
        <f>29.6328 * CHOOSE(CONTROL!$C$15, $E$9, 100%, $G$9) + CHOOSE(CONTROL!$C$38, 0.0357, 0)</f>
        <v>29.668499999999998</v>
      </c>
      <c r="D371" s="10">
        <f>29.6249 * CHOOSE(CONTROL!$C$15, $E$9, 100%, $G$9) + CHOOSE(CONTROL!$C$38, 0.0357, 0)</f>
        <v>29.660599999999999</v>
      </c>
      <c r="E371" s="28">
        <f>31.9582 * CHOOSE(CONTROL!$C$15, $E$9, 100%, $G$9) + CHOOSE(CONTROL!$C$38, 0.0357, 0)</f>
        <v>31.9939</v>
      </c>
      <c r="F371" s="27">
        <f>31.9582 * CHOOSE(CONTROL!$C$15, $E$9, 100%, $G$9) + CHOOSE(CONTROL!$C$38, 0.0266, 0)</f>
        <v>31.9848</v>
      </c>
      <c r="G371" s="10">
        <f>29.6312 * CHOOSE(CONTROL!$C$15, $E$9, 100%, $G$9) + CHOOSE(CONTROL!$C$38, 0.0357, 0)</f>
        <v>29.666899999999998</v>
      </c>
      <c r="H371" s="10">
        <f>29.6312 * CHOOSE(CONTROL!$C$15, $E$9, 100%, $G$9) + CHOOSE(CONTROL!$C$38, 0.0357, 0)</f>
        <v>29.666899999999998</v>
      </c>
      <c r="I371" s="10">
        <f>29.6328 * CHOOSE(CONTROL!$C$15, $E$9, 100%, $G$9) + CHOOSE(CONTROL!$C$38, 0.0357, 0)</f>
        <v>29.668499999999998</v>
      </c>
      <c r="J371" s="26">
        <f>187.0398</f>
        <v>187.03980000000001</v>
      </c>
    </row>
    <row r="372" spans="1:10" ht="15.75">
      <c r="A372" s="14">
        <v>52627</v>
      </c>
      <c r="B372" s="10">
        <f>33.1318 * CHOOSE(CONTROL!$C$15, $E$9, 100%, $G$9) + CHOOSE(CONTROL!$C$38, 0.0266, 0)</f>
        <v>33.1584</v>
      </c>
      <c r="C372" s="10">
        <f>30.609 * CHOOSE(CONTROL!$C$15, $E$9, 100%, $G$9) + CHOOSE(CONTROL!$C$38, 0.0357, 0)</f>
        <v>30.6447</v>
      </c>
      <c r="D372" s="10">
        <f>30.6012 * CHOOSE(CONTROL!$C$15, $E$9, 100%, $G$9) + CHOOSE(CONTROL!$C$38, 0.0357, 0)</f>
        <v>30.636899999999997</v>
      </c>
      <c r="E372" s="28">
        <f>32.9755 * CHOOSE(CONTROL!$C$15, $E$9, 100%, $G$9) + CHOOSE(CONTROL!$C$38, 0.0357, 0)</f>
        <v>33.011199999999995</v>
      </c>
      <c r="F372" s="27">
        <f>32.9755 * CHOOSE(CONTROL!$C$15, $E$9, 100%, $G$9) + CHOOSE(CONTROL!$C$38, 0.0266, 0)</f>
        <v>33.002099999999999</v>
      </c>
      <c r="G372" s="10">
        <f>30.6075 * CHOOSE(CONTROL!$C$15, $E$9, 100%, $G$9) + CHOOSE(CONTROL!$C$38, 0.0357, 0)</f>
        <v>30.6432</v>
      </c>
      <c r="H372" s="10">
        <f>30.6075 * CHOOSE(CONTROL!$C$15, $E$9, 100%, $G$9) + CHOOSE(CONTROL!$C$38, 0.0357, 0)</f>
        <v>30.6432</v>
      </c>
      <c r="I372" s="10">
        <f>30.609 * CHOOSE(CONTROL!$C$15, $E$9, 100%, $G$9) + CHOOSE(CONTROL!$C$38, 0.0357, 0)</f>
        <v>30.6447</v>
      </c>
      <c r="J372" s="26">
        <f>185.787</f>
        <v>185.78700000000001</v>
      </c>
    </row>
    <row r="373" spans="1:10" ht="15.75">
      <c r="A373" s="14">
        <v>52655</v>
      </c>
      <c r="B373" s="10">
        <f>33.3526 * CHOOSE(CONTROL!$C$15, $E$9, 100%, $G$9) + CHOOSE(CONTROL!$C$38, 0.0266, 0)</f>
        <v>33.379200000000004</v>
      </c>
      <c r="C373" s="10">
        <f>30.8298 * CHOOSE(CONTROL!$C$15, $E$9, 100%, $G$9) + CHOOSE(CONTROL!$C$38, 0.0357, 0)</f>
        <v>30.865499999999997</v>
      </c>
      <c r="D373" s="10">
        <f>30.822 * CHOOSE(CONTROL!$C$15, $E$9, 100%, $G$9) + CHOOSE(CONTROL!$C$38, 0.0357, 0)</f>
        <v>30.857699999999998</v>
      </c>
      <c r="E373" s="28">
        <f>33.1963 * CHOOSE(CONTROL!$C$15, $E$9, 100%, $G$9) + CHOOSE(CONTROL!$C$38, 0.0357, 0)</f>
        <v>33.231999999999999</v>
      </c>
      <c r="F373" s="27">
        <f>33.1963 * CHOOSE(CONTROL!$C$15, $E$9, 100%, $G$9) + CHOOSE(CONTROL!$C$38, 0.0266, 0)</f>
        <v>33.222900000000003</v>
      </c>
      <c r="G373" s="10">
        <f>30.8282 * CHOOSE(CONTROL!$C$15, $E$9, 100%, $G$9) + CHOOSE(CONTROL!$C$38, 0.0357, 0)</f>
        <v>30.863899999999997</v>
      </c>
      <c r="H373" s="10">
        <f>30.8282 * CHOOSE(CONTROL!$C$15, $E$9, 100%, $G$9) + CHOOSE(CONTROL!$C$38, 0.0357, 0)</f>
        <v>30.863899999999997</v>
      </c>
      <c r="I373" s="10">
        <f>30.8298 * CHOOSE(CONTROL!$C$15, $E$9, 100%, $G$9) + CHOOSE(CONTROL!$C$38, 0.0357, 0)</f>
        <v>30.865499999999997</v>
      </c>
      <c r="J373" s="26">
        <f>185.2705</f>
        <v>185.2705</v>
      </c>
    </row>
    <row r="374" spans="1:10" ht="15.75">
      <c r="A374" s="14">
        <v>52687</v>
      </c>
      <c r="B374" s="10">
        <f>32.8415 * CHOOSE(CONTROL!$C$15, $E$9, 100%, $G$9) + CHOOSE(CONTROL!$C$38, 0.0266, 0)</f>
        <v>32.868100000000005</v>
      </c>
      <c r="C374" s="10">
        <f>30.3188 * CHOOSE(CONTROL!$C$15, $E$9, 100%, $G$9) + CHOOSE(CONTROL!$C$38, 0.0357, 0)</f>
        <v>30.354499999999998</v>
      </c>
      <c r="D374" s="10">
        <f>30.311 * CHOOSE(CONTROL!$C$15, $E$9, 100%, $G$9) + CHOOSE(CONTROL!$C$38, 0.0357, 0)</f>
        <v>30.346699999999998</v>
      </c>
      <c r="E374" s="28">
        <f>32.6853 * CHOOSE(CONTROL!$C$15, $E$9, 100%, $G$9) + CHOOSE(CONTROL!$C$38, 0.0357, 0)</f>
        <v>32.720999999999997</v>
      </c>
      <c r="F374" s="27">
        <f>32.6853 * CHOOSE(CONTROL!$C$15, $E$9, 100%, $G$9) + CHOOSE(CONTROL!$C$38, 0.0266, 0)</f>
        <v>32.7119</v>
      </c>
      <c r="G374" s="10">
        <f>30.3172 * CHOOSE(CONTROL!$C$15, $E$9, 100%, $G$9) + CHOOSE(CONTROL!$C$38, 0.0357, 0)</f>
        <v>30.352899999999998</v>
      </c>
      <c r="H374" s="10">
        <f>30.3172 * CHOOSE(CONTROL!$C$15, $E$9, 100%, $G$9) + CHOOSE(CONTROL!$C$38, 0.0357, 0)</f>
        <v>30.352899999999998</v>
      </c>
      <c r="I374" s="10">
        <f>30.3188 * CHOOSE(CONTROL!$C$15, $E$9, 100%, $G$9) + CHOOSE(CONTROL!$C$38, 0.0357, 0)</f>
        <v>30.354499999999998</v>
      </c>
      <c r="J374" s="26">
        <f>195.0354</f>
        <v>195.03540000000001</v>
      </c>
    </row>
    <row r="375" spans="1:10" ht="15.75">
      <c r="A375" s="14">
        <v>52717</v>
      </c>
      <c r="B375" s="10">
        <f>32.3463 * CHOOSE(CONTROL!$C$15, $E$9, 100%, $G$9) + CHOOSE(CONTROL!$C$38, 0.0266, 0)</f>
        <v>32.372900000000001</v>
      </c>
      <c r="C375" s="10">
        <f>29.8236 * CHOOSE(CONTROL!$C$15, $E$9, 100%, $G$9) + CHOOSE(CONTROL!$C$38, 0.0357, 0)</f>
        <v>29.859299999999998</v>
      </c>
      <c r="D375" s="10">
        <f>29.8158 * CHOOSE(CONTROL!$C$15, $E$9, 100%, $G$9) + CHOOSE(CONTROL!$C$38, 0.0357, 0)</f>
        <v>29.851499999999998</v>
      </c>
      <c r="E375" s="28">
        <f>32.1901 * CHOOSE(CONTROL!$C$15, $E$9, 100%, $G$9) + CHOOSE(CONTROL!$C$38, 0.0357, 0)</f>
        <v>32.2258</v>
      </c>
      <c r="F375" s="27">
        <f>32.1901 * CHOOSE(CONTROL!$C$15, $E$9, 100%, $G$9) + CHOOSE(CONTROL!$C$38, 0.0266, 0)</f>
        <v>32.216700000000003</v>
      </c>
      <c r="G375" s="10">
        <f>29.822 * CHOOSE(CONTROL!$C$15, $E$9, 100%, $G$9) + CHOOSE(CONTROL!$C$38, 0.0357, 0)</f>
        <v>29.857699999999998</v>
      </c>
      <c r="H375" s="10">
        <f>29.822 * CHOOSE(CONTROL!$C$15, $E$9, 100%, $G$9) + CHOOSE(CONTROL!$C$38, 0.0357, 0)</f>
        <v>29.857699999999998</v>
      </c>
      <c r="I375" s="10">
        <f>29.8236 * CHOOSE(CONTROL!$C$15, $E$9, 100%, $G$9) + CHOOSE(CONTROL!$C$38, 0.0357, 0)</f>
        <v>29.859299999999998</v>
      </c>
      <c r="J375" s="26">
        <f>207.698</f>
        <v>207.69800000000001</v>
      </c>
    </row>
    <row r="376" spans="1:10" ht="15.75">
      <c r="A376" s="14">
        <v>52748</v>
      </c>
      <c r="B376" s="10">
        <f>31.8302 * CHOOSE(CONTROL!$C$15, $E$9, 100%, $G$9) + CHOOSE(CONTROL!$C$38, 0.0266, 0)</f>
        <v>31.8568</v>
      </c>
      <c r="C376" s="10">
        <f>29.3075 * CHOOSE(CONTROL!$C$15, $E$9, 100%, $G$9) + CHOOSE(CONTROL!$C$38, 0.0357, 0)</f>
        <v>29.3432</v>
      </c>
      <c r="D376" s="10">
        <f>29.2997 * CHOOSE(CONTROL!$C$15, $E$9, 100%, $G$9) + CHOOSE(CONTROL!$C$38, 0.0357, 0)</f>
        <v>29.3354</v>
      </c>
      <c r="E376" s="28">
        <f>31.674 * CHOOSE(CONTROL!$C$15, $E$9, 100%, $G$9) + CHOOSE(CONTROL!$C$38, 0.0357, 0)</f>
        <v>31.709699999999998</v>
      </c>
      <c r="F376" s="27">
        <f>31.674 * CHOOSE(CONTROL!$C$15, $E$9, 100%, $G$9) + CHOOSE(CONTROL!$C$38, 0.0266, 0)</f>
        <v>31.700599999999998</v>
      </c>
      <c r="G376" s="10">
        <f>29.3059 * CHOOSE(CONTROL!$C$15, $E$9, 100%, $G$9) + CHOOSE(CONTROL!$C$38, 0.0357, 0)</f>
        <v>29.3416</v>
      </c>
      <c r="H376" s="10">
        <f>29.3059 * CHOOSE(CONTROL!$C$15, $E$9, 100%, $G$9) + CHOOSE(CONTROL!$C$38, 0.0357, 0)</f>
        <v>29.3416</v>
      </c>
      <c r="I376" s="10">
        <f>29.3075 * CHOOSE(CONTROL!$C$15, $E$9, 100%, $G$9) + CHOOSE(CONTROL!$C$38, 0.0357, 0)</f>
        <v>29.3432</v>
      </c>
      <c r="J376" s="26">
        <f>214.6679</f>
        <v>214.6679</v>
      </c>
    </row>
    <row r="377" spans="1:10" ht="15.75">
      <c r="A377" s="14">
        <v>52778</v>
      </c>
      <c r="B377" s="10">
        <f>31.4684 * CHOOSE(CONTROL!$C$15, $E$9, 100%, $G$9) + CHOOSE(CONTROL!$C$38, 0.0266, 0)</f>
        <v>31.494999999999997</v>
      </c>
      <c r="C377" s="10">
        <f>28.9456 * CHOOSE(CONTROL!$C$15, $E$9, 100%, $G$9) + CHOOSE(CONTROL!$C$38, 0.0357, 0)</f>
        <v>28.981299999999997</v>
      </c>
      <c r="D377" s="10">
        <f>28.9378 * CHOOSE(CONTROL!$C$15, $E$9, 100%, $G$9) + CHOOSE(CONTROL!$C$38, 0.0357, 0)</f>
        <v>28.973499999999998</v>
      </c>
      <c r="E377" s="28">
        <f>31.3121 * CHOOSE(CONTROL!$C$15, $E$9, 100%, $G$9) + CHOOSE(CONTROL!$C$38, 0.0357, 0)</f>
        <v>31.347799999999999</v>
      </c>
      <c r="F377" s="27">
        <f>31.3121 * CHOOSE(CONTROL!$C$15, $E$9, 100%, $G$9) + CHOOSE(CONTROL!$C$38, 0.0266, 0)</f>
        <v>31.338699999999999</v>
      </c>
      <c r="G377" s="10">
        <f>28.9441 * CHOOSE(CONTROL!$C$15, $E$9, 100%, $G$9) + CHOOSE(CONTROL!$C$38, 0.0357, 0)</f>
        <v>28.979799999999997</v>
      </c>
      <c r="H377" s="10">
        <f>28.9441 * CHOOSE(CONTROL!$C$15, $E$9, 100%, $G$9) + CHOOSE(CONTROL!$C$38, 0.0357, 0)</f>
        <v>28.979799999999997</v>
      </c>
      <c r="I377" s="10">
        <f>28.9456 * CHOOSE(CONTROL!$C$15, $E$9, 100%, $G$9) + CHOOSE(CONTROL!$C$38, 0.0357, 0)</f>
        <v>28.981299999999997</v>
      </c>
      <c r="J377" s="26">
        <f>217.7611</f>
        <v>217.7611</v>
      </c>
    </row>
    <row r="378" spans="1:10" ht="15.75">
      <c r="A378" s="14">
        <v>52809</v>
      </c>
      <c r="B378" s="10">
        <f>31.2619 * CHOOSE(CONTROL!$C$15, $E$9, 100%, $G$9) + CHOOSE(CONTROL!$C$38, 0.0266, 0)</f>
        <v>31.288499999999999</v>
      </c>
      <c r="C378" s="10">
        <f>28.7391 * CHOOSE(CONTROL!$C$15, $E$9, 100%, $G$9) + CHOOSE(CONTROL!$C$38, 0.0357, 0)</f>
        <v>28.774799999999999</v>
      </c>
      <c r="D378" s="10">
        <f>28.7313 * CHOOSE(CONTROL!$C$15, $E$9, 100%, $G$9) + CHOOSE(CONTROL!$C$38, 0.0357, 0)</f>
        <v>28.766999999999999</v>
      </c>
      <c r="E378" s="28">
        <f>31.1057 * CHOOSE(CONTROL!$C$15, $E$9, 100%, $G$9) + CHOOSE(CONTROL!$C$38, 0.0357, 0)</f>
        <v>31.141399999999997</v>
      </c>
      <c r="F378" s="27">
        <f>31.1057 * CHOOSE(CONTROL!$C$15, $E$9, 100%, $G$9) + CHOOSE(CONTROL!$C$38, 0.0266, 0)</f>
        <v>31.132299999999997</v>
      </c>
      <c r="G378" s="10">
        <f>28.7376 * CHOOSE(CONTROL!$C$15, $E$9, 100%, $G$9) + CHOOSE(CONTROL!$C$38, 0.0357, 0)</f>
        <v>28.773299999999999</v>
      </c>
      <c r="H378" s="10">
        <f>28.7376 * CHOOSE(CONTROL!$C$15, $E$9, 100%, $G$9) + CHOOSE(CONTROL!$C$38, 0.0357, 0)</f>
        <v>28.773299999999999</v>
      </c>
      <c r="I378" s="10">
        <f>28.7391 * CHOOSE(CONTROL!$C$15, $E$9, 100%, $G$9) + CHOOSE(CONTROL!$C$38, 0.0357, 0)</f>
        <v>28.774799999999999</v>
      </c>
      <c r="J378" s="26">
        <f>216.7427</f>
        <v>216.74270000000001</v>
      </c>
    </row>
    <row r="379" spans="1:10" ht="15.75">
      <c r="A379" s="14">
        <v>52840</v>
      </c>
      <c r="B379" s="10">
        <f>31.3638 * CHOOSE(CONTROL!$C$15, $E$9, 100%, $G$9) + CHOOSE(CONTROL!$C$38, 0.0266, 0)</f>
        <v>31.3904</v>
      </c>
      <c r="C379" s="10">
        <f>28.8411 * CHOOSE(CONTROL!$C$15, $E$9, 100%, $G$9) + CHOOSE(CONTROL!$C$38, 0.0357, 0)</f>
        <v>28.876799999999999</v>
      </c>
      <c r="D379" s="10">
        <f>28.8332 * CHOOSE(CONTROL!$C$15, $E$9, 100%, $G$9) + CHOOSE(CONTROL!$C$38, 0.0357, 0)</f>
        <v>28.8689</v>
      </c>
      <c r="E379" s="28">
        <f>31.2076 * CHOOSE(CONTROL!$C$15, $E$9, 100%, $G$9) + CHOOSE(CONTROL!$C$38, 0.0357, 0)</f>
        <v>31.243299999999998</v>
      </c>
      <c r="F379" s="27">
        <f>31.2076 * CHOOSE(CONTROL!$C$15, $E$9, 100%, $G$9) + CHOOSE(CONTROL!$C$38, 0.0266, 0)</f>
        <v>31.234199999999998</v>
      </c>
      <c r="G379" s="10">
        <f>28.8395 * CHOOSE(CONTROL!$C$15, $E$9, 100%, $G$9) + CHOOSE(CONTROL!$C$38, 0.0357, 0)</f>
        <v>28.8752</v>
      </c>
      <c r="H379" s="10">
        <f>28.8395 * CHOOSE(CONTROL!$C$15, $E$9, 100%, $G$9) + CHOOSE(CONTROL!$C$38, 0.0357, 0)</f>
        <v>28.8752</v>
      </c>
      <c r="I379" s="10">
        <f>28.8411 * CHOOSE(CONTROL!$C$15, $E$9, 100%, $G$9) + CHOOSE(CONTROL!$C$38, 0.0357, 0)</f>
        <v>28.876799999999999</v>
      </c>
      <c r="J379" s="26">
        <f>211.697</f>
        <v>211.697</v>
      </c>
    </row>
    <row r="380" spans="1:10" ht="15.75">
      <c r="A380" s="14">
        <v>52870</v>
      </c>
      <c r="B380" s="10">
        <f>31.6406 * CHOOSE(CONTROL!$C$15, $E$9, 100%, $G$9) + CHOOSE(CONTROL!$C$38, 0.0266, 0)</f>
        <v>31.667199999999998</v>
      </c>
      <c r="C380" s="10">
        <f>29.1179 * CHOOSE(CONTROL!$C$15, $E$9, 100%, $G$9) + CHOOSE(CONTROL!$C$38, 0.0357, 0)</f>
        <v>29.153599999999997</v>
      </c>
      <c r="D380" s="10">
        <f>29.11 * CHOOSE(CONTROL!$C$15, $E$9, 100%, $G$9) + CHOOSE(CONTROL!$C$38, 0.0357, 0)</f>
        <v>29.145699999999998</v>
      </c>
      <c r="E380" s="28">
        <f>31.4844 * CHOOSE(CONTROL!$C$15, $E$9, 100%, $G$9) + CHOOSE(CONTROL!$C$38, 0.0357, 0)</f>
        <v>31.520099999999999</v>
      </c>
      <c r="F380" s="27">
        <f>31.4844 * CHOOSE(CONTROL!$C$15, $E$9, 100%, $G$9) + CHOOSE(CONTROL!$C$38, 0.0266, 0)</f>
        <v>31.510999999999999</v>
      </c>
      <c r="G380" s="10">
        <f>29.1163 * CHOOSE(CONTROL!$C$15, $E$9, 100%, $G$9) + CHOOSE(CONTROL!$C$38, 0.0357, 0)</f>
        <v>29.151999999999997</v>
      </c>
      <c r="H380" s="10">
        <f>29.1163 * CHOOSE(CONTROL!$C$15, $E$9, 100%, $G$9) + CHOOSE(CONTROL!$C$38, 0.0357, 0)</f>
        <v>29.151999999999997</v>
      </c>
      <c r="I380" s="10">
        <f>29.1179 * CHOOSE(CONTROL!$C$15, $E$9, 100%, $G$9) + CHOOSE(CONTROL!$C$38, 0.0357, 0)</f>
        <v>29.153599999999997</v>
      </c>
      <c r="J380" s="26">
        <f>204.6606</f>
        <v>204.66059999999999</v>
      </c>
    </row>
    <row r="381" spans="1:10" ht="15.75">
      <c r="A381" s="14">
        <v>52901</v>
      </c>
      <c r="B381" s="10">
        <f>31.8724 * CHOOSE(CONTROL!$C$15, $E$9, 100%, $G$9) + CHOOSE(CONTROL!$C$38, 0.0266, 0)</f>
        <v>31.898999999999997</v>
      </c>
      <c r="C381" s="10">
        <f>29.3497 * CHOOSE(CONTROL!$C$15, $E$9, 100%, $G$9) + CHOOSE(CONTROL!$C$38, 0.0357, 0)</f>
        <v>29.385399999999997</v>
      </c>
      <c r="D381" s="10">
        <f>29.3419 * CHOOSE(CONTROL!$C$15, $E$9, 100%, $G$9) + CHOOSE(CONTROL!$C$38, 0.0357, 0)</f>
        <v>29.377599999999997</v>
      </c>
      <c r="E381" s="28">
        <f>31.7162 * CHOOSE(CONTROL!$C$15, $E$9, 100%, $G$9) + CHOOSE(CONTROL!$C$38, 0.0357, 0)</f>
        <v>31.751899999999999</v>
      </c>
      <c r="F381" s="27">
        <f>31.7162 * CHOOSE(CONTROL!$C$15, $E$9, 100%, $G$9) + CHOOSE(CONTROL!$C$38, 0.0266, 0)</f>
        <v>31.742799999999999</v>
      </c>
      <c r="G381" s="10">
        <f>29.3481 * CHOOSE(CONTROL!$C$15, $E$9, 100%, $G$9) + CHOOSE(CONTROL!$C$38, 0.0357, 0)</f>
        <v>29.383799999999997</v>
      </c>
      <c r="H381" s="10">
        <f>29.3481 * CHOOSE(CONTROL!$C$15, $E$9, 100%, $G$9) + CHOOSE(CONTROL!$C$38, 0.0357, 0)</f>
        <v>29.383799999999997</v>
      </c>
      <c r="I381" s="10">
        <f>29.3497 * CHOOSE(CONTROL!$C$15, $E$9, 100%, $G$9) + CHOOSE(CONTROL!$C$38, 0.0357, 0)</f>
        <v>29.385399999999997</v>
      </c>
      <c r="J381" s="26">
        <f>197.5832</f>
        <v>197.58320000000001</v>
      </c>
    </row>
    <row r="382" spans="1:10" ht="15.75">
      <c r="A382" s="14">
        <v>52931</v>
      </c>
      <c r="B382" s="10">
        <f>32.0659 * CHOOSE(CONTROL!$C$15, $E$9, 100%, $G$9) + CHOOSE(CONTROL!$C$38, 0.0266, 0)</f>
        <v>32.092500000000001</v>
      </c>
      <c r="C382" s="10">
        <f>29.5431 * CHOOSE(CONTROL!$C$15, $E$9, 100%, $G$9) + CHOOSE(CONTROL!$C$38, 0.0357, 0)</f>
        <v>29.578799999999998</v>
      </c>
      <c r="D382" s="10">
        <f>29.5353 * CHOOSE(CONTROL!$C$15, $E$9, 100%, $G$9) + CHOOSE(CONTROL!$C$38, 0.0357, 0)</f>
        <v>29.570999999999998</v>
      </c>
      <c r="E382" s="28">
        <f>31.9096 * CHOOSE(CONTROL!$C$15, $E$9, 100%, $G$9) + CHOOSE(CONTROL!$C$38, 0.0357, 0)</f>
        <v>31.9453</v>
      </c>
      <c r="F382" s="27">
        <f>31.9096 * CHOOSE(CONTROL!$C$15, $E$9, 100%, $G$9) + CHOOSE(CONTROL!$C$38, 0.0266, 0)</f>
        <v>31.936199999999999</v>
      </c>
      <c r="G382" s="10">
        <f>29.5416 * CHOOSE(CONTROL!$C$15, $E$9, 100%, $G$9) + CHOOSE(CONTROL!$C$38, 0.0357, 0)</f>
        <v>29.577299999999997</v>
      </c>
      <c r="H382" s="10">
        <f>29.5416 * CHOOSE(CONTROL!$C$15, $E$9, 100%, $G$9) + CHOOSE(CONTROL!$C$38, 0.0357, 0)</f>
        <v>29.577299999999997</v>
      </c>
      <c r="I382" s="10">
        <f>29.5431 * CHOOSE(CONTROL!$C$15, $E$9, 100%, $G$9) + CHOOSE(CONTROL!$C$38, 0.0357, 0)</f>
        <v>29.578799999999998</v>
      </c>
      <c r="J382" s="26">
        <f>196.1754</f>
        <v>196.1754</v>
      </c>
    </row>
    <row r="383" spans="1:10" ht="15.75">
      <c r="A383" s="14">
        <v>52962</v>
      </c>
      <c r="B383" s="10">
        <f>32.6619 * CHOOSE(CONTROL!$C$15, $E$9, 100%, $G$9) + CHOOSE(CONTROL!$C$38, 0.0266, 0)</f>
        <v>32.688500000000005</v>
      </c>
      <c r="C383" s="10">
        <f>30.1392 * CHOOSE(CONTROL!$C$15, $E$9, 100%, $G$9) + CHOOSE(CONTROL!$C$38, 0.0357, 0)</f>
        <v>30.174899999999997</v>
      </c>
      <c r="D383" s="10">
        <f>30.1314 * CHOOSE(CONTROL!$C$15, $E$9, 100%, $G$9) + CHOOSE(CONTROL!$C$38, 0.0357, 0)</f>
        <v>30.167099999999998</v>
      </c>
      <c r="E383" s="28">
        <f>32.5057 * CHOOSE(CONTROL!$C$15, $E$9, 100%, $G$9) + CHOOSE(CONTROL!$C$38, 0.0357, 0)</f>
        <v>32.541399999999996</v>
      </c>
      <c r="F383" s="27">
        <f>32.5057 * CHOOSE(CONTROL!$C$15, $E$9, 100%, $G$9) + CHOOSE(CONTROL!$C$38, 0.0266, 0)</f>
        <v>32.532299999999999</v>
      </c>
      <c r="G383" s="10">
        <f>30.1376 * CHOOSE(CONTROL!$C$15, $E$9, 100%, $G$9) + CHOOSE(CONTROL!$C$38, 0.0357, 0)</f>
        <v>30.173299999999998</v>
      </c>
      <c r="H383" s="10">
        <f>30.1376 * CHOOSE(CONTROL!$C$15, $E$9, 100%, $G$9) + CHOOSE(CONTROL!$C$38, 0.0357, 0)</f>
        <v>30.173299999999998</v>
      </c>
      <c r="I383" s="10">
        <f>30.1392 * CHOOSE(CONTROL!$C$15, $E$9, 100%, $G$9) + CHOOSE(CONTROL!$C$38, 0.0357, 0)</f>
        <v>30.174899999999997</v>
      </c>
      <c r="J383" s="26">
        <f>190.3538</f>
        <v>190.35380000000001</v>
      </c>
    </row>
    <row r="384" spans="1:10" ht="15.75">
      <c r="A384" s="14">
        <v>52993</v>
      </c>
      <c r="B384" s="10">
        <f>33.689 * CHOOSE(CONTROL!$C$15, $E$9, 100%, $G$9) + CHOOSE(CONTROL!$C$38, 0.0266, 0)</f>
        <v>33.715600000000002</v>
      </c>
      <c r="C384" s="10">
        <f>31.1244 * CHOOSE(CONTROL!$C$15, $E$9, 100%, $G$9) + CHOOSE(CONTROL!$C$38, 0.0357, 0)</f>
        <v>31.1601</v>
      </c>
      <c r="D384" s="10">
        <f>31.1166 * CHOOSE(CONTROL!$C$15, $E$9, 100%, $G$9) + CHOOSE(CONTROL!$C$38, 0.0357, 0)</f>
        <v>31.152299999999997</v>
      </c>
      <c r="E384" s="28">
        <f>33.5327 * CHOOSE(CONTROL!$C$15, $E$9, 100%, $G$9) + CHOOSE(CONTROL!$C$38, 0.0357, 0)</f>
        <v>33.568399999999997</v>
      </c>
      <c r="F384" s="27">
        <f>33.5327 * CHOOSE(CONTROL!$C$15, $E$9, 100%, $G$9) + CHOOSE(CONTROL!$C$38, 0.0266, 0)</f>
        <v>33.5593</v>
      </c>
      <c r="G384" s="10">
        <f>31.1228 * CHOOSE(CONTROL!$C$15, $E$9, 100%, $G$9) + CHOOSE(CONTROL!$C$38, 0.0357, 0)</f>
        <v>31.1585</v>
      </c>
      <c r="H384" s="10">
        <f>31.1228 * CHOOSE(CONTROL!$C$15, $E$9, 100%, $G$9) + CHOOSE(CONTROL!$C$38, 0.0357, 0)</f>
        <v>31.1585</v>
      </c>
      <c r="I384" s="10">
        <f>31.1244 * CHOOSE(CONTROL!$C$15, $E$9, 100%, $G$9) + CHOOSE(CONTROL!$C$38, 0.0357, 0)</f>
        <v>31.1601</v>
      </c>
      <c r="J384" s="26">
        <f>189.0788</f>
        <v>189.0788</v>
      </c>
    </row>
    <row r="385" spans="1:10" ht="15.75">
      <c r="A385" s="14">
        <v>53021</v>
      </c>
      <c r="B385" s="10">
        <f>33.9097 * CHOOSE(CONTROL!$C$15, $E$9, 100%, $G$9) + CHOOSE(CONTROL!$C$38, 0.0266, 0)</f>
        <v>33.936300000000003</v>
      </c>
      <c r="C385" s="10">
        <f>31.3452 * CHOOSE(CONTROL!$C$15, $E$9, 100%, $G$9) + CHOOSE(CONTROL!$C$38, 0.0357, 0)</f>
        <v>31.380899999999997</v>
      </c>
      <c r="D385" s="10">
        <f>31.3374 * CHOOSE(CONTROL!$C$15, $E$9, 100%, $G$9) + CHOOSE(CONTROL!$C$38, 0.0357, 0)</f>
        <v>31.373099999999997</v>
      </c>
      <c r="E385" s="28">
        <f>33.7535 * CHOOSE(CONTROL!$C$15, $E$9, 100%, $G$9) + CHOOSE(CONTROL!$C$38, 0.0357, 0)</f>
        <v>33.789200000000001</v>
      </c>
      <c r="F385" s="27">
        <f>33.7535 * CHOOSE(CONTROL!$C$15, $E$9, 100%, $G$9) + CHOOSE(CONTROL!$C$38, 0.0266, 0)</f>
        <v>33.780100000000004</v>
      </c>
      <c r="G385" s="10">
        <f>31.3436 * CHOOSE(CONTROL!$C$15, $E$9, 100%, $G$9) + CHOOSE(CONTROL!$C$38, 0.0357, 0)</f>
        <v>31.379299999999997</v>
      </c>
      <c r="H385" s="10">
        <f>31.3436 * CHOOSE(CONTROL!$C$15, $E$9, 100%, $G$9) + CHOOSE(CONTROL!$C$38, 0.0357, 0)</f>
        <v>31.379299999999997</v>
      </c>
      <c r="I385" s="10">
        <f>31.3452 * CHOOSE(CONTROL!$C$15, $E$9, 100%, $G$9) + CHOOSE(CONTROL!$C$38, 0.0357, 0)</f>
        <v>31.380899999999997</v>
      </c>
      <c r="J385" s="26">
        <f>188.5532</f>
        <v>188.5532</v>
      </c>
    </row>
    <row r="386" spans="1:10" ht="15.75">
      <c r="A386" s="14">
        <v>53052</v>
      </c>
      <c r="B386" s="10">
        <f>33.3987 * CHOOSE(CONTROL!$C$15, $E$9, 100%, $G$9) + CHOOSE(CONTROL!$C$38, 0.0266, 0)</f>
        <v>33.4253</v>
      </c>
      <c r="C386" s="10">
        <f>30.8341 * CHOOSE(CONTROL!$C$15, $E$9, 100%, $G$9) + CHOOSE(CONTROL!$C$38, 0.0357, 0)</f>
        <v>30.869799999999998</v>
      </c>
      <c r="D386" s="10">
        <f>30.8263 * CHOOSE(CONTROL!$C$15, $E$9, 100%, $G$9) + CHOOSE(CONTROL!$C$38, 0.0357, 0)</f>
        <v>30.861999999999998</v>
      </c>
      <c r="E386" s="28">
        <f>33.2425 * CHOOSE(CONTROL!$C$15, $E$9, 100%, $G$9) + CHOOSE(CONTROL!$C$38, 0.0357, 0)</f>
        <v>33.278199999999998</v>
      </c>
      <c r="F386" s="27">
        <f>33.2425 * CHOOSE(CONTROL!$C$15, $E$9, 100%, $G$9) + CHOOSE(CONTROL!$C$38, 0.0266, 0)</f>
        <v>33.269100000000002</v>
      </c>
      <c r="G386" s="10">
        <f>30.8326 * CHOOSE(CONTROL!$C$15, $E$9, 100%, $G$9) + CHOOSE(CONTROL!$C$38, 0.0357, 0)</f>
        <v>30.868299999999998</v>
      </c>
      <c r="H386" s="10">
        <f>30.8326 * CHOOSE(CONTROL!$C$15, $E$9, 100%, $G$9) + CHOOSE(CONTROL!$C$38, 0.0357, 0)</f>
        <v>30.868299999999998</v>
      </c>
      <c r="I386" s="10">
        <f>30.8341 * CHOOSE(CONTROL!$C$15, $E$9, 100%, $G$9) + CHOOSE(CONTROL!$C$38, 0.0357, 0)</f>
        <v>30.869799999999998</v>
      </c>
      <c r="J386" s="26">
        <f>198.491</f>
        <v>198.49100000000001</v>
      </c>
    </row>
    <row r="387" spans="1:10" ht="15.75">
      <c r="A387" s="14">
        <v>53082</v>
      </c>
      <c r="B387" s="10">
        <f>32.9035 * CHOOSE(CONTROL!$C$15, $E$9, 100%, $G$9) + CHOOSE(CONTROL!$C$38, 0.0266, 0)</f>
        <v>32.930100000000003</v>
      </c>
      <c r="C387" s="10">
        <f>30.339 * CHOOSE(CONTROL!$C$15, $E$9, 100%, $G$9) + CHOOSE(CONTROL!$C$38, 0.0357, 0)</f>
        <v>30.374699999999997</v>
      </c>
      <c r="D387" s="10">
        <f>30.3311 * CHOOSE(CONTROL!$C$15, $E$9, 100%, $G$9) + CHOOSE(CONTROL!$C$38, 0.0357, 0)</f>
        <v>30.366799999999998</v>
      </c>
      <c r="E387" s="28">
        <f>32.7473 * CHOOSE(CONTROL!$C$15, $E$9, 100%, $G$9) + CHOOSE(CONTROL!$C$38, 0.0357, 0)</f>
        <v>32.783000000000001</v>
      </c>
      <c r="F387" s="27">
        <f>32.7473 * CHOOSE(CONTROL!$C$15, $E$9, 100%, $G$9) + CHOOSE(CONTROL!$C$38, 0.0266, 0)</f>
        <v>32.773900000000005</v>
      </c>
      <c r="G387" s="10">
        <f>30.3374 * CHOOSE(CONTROL!$C$15, $E$9, 100%, $G$9) + CHOOSE(CONTROL!$C$38, 0.0357, 0)</f>
        <v>30.373099999999997</v>
      </c>
      <c r="H387" s="10">
        <f>30.3374 * CHOOSE(CONTROL!$C$15, $E$9, 100%, $G$9) + CHOOSE(CONTROL!$C$38, 0.0357, 0)</f>
        <v>30.373099999999997</v>
      </c>
      <c r="I387" s="10">
        <f>30.339 * CHOOSE(CONTROL!$C$15, $E$9, 100%, $G$9) + CHOOSE(CONTROL!$C$38, 0.0357, 0)</f>
        <v>30.374699999999997</v>
      </c>
      <c r="J387" s="26">
        <f>211.378</f>
        <v>211.37799999999999</v>
      </c>
    </row>
    <row r="388" spans="1:10" ht="15.75">
      <c r="A388" s="14">
        <v>53113</v>
      </c>
      <c r="B388" s="10">
        <f>32.3874 * CHOOSE(CONTROL!$C$15, $E$9, 100%, $G$9) + CHOOSE(CONTROL!$C$38, 0.0266, 0)</f>
        <v>32.414000000000001</v>
      </c>
      <c r="C388" s="10">
        <f>29.8228 * CHOOSE(CONTROL!$C$15, $E$9, 100%, $G$9) + CHOOSE(CONTROL!$C$38, 0.0357, 0)</f>
        <v>29.858499999999999</v>
      </c>
      <c r="D388" s="10">
        <f>29.815 * CHOOSE(CONTROL!$C$15, $E$9, 100%, $G$9) + CHOOSE(CONTROL!$C$38, 0.0357, 0)</f>
        <v>29.8507</v>
      </c>
      <c r="E388" s="28">
        <f>32.2312 * CHOOSE(CONTROL!$C$15, $E$9, 100%, $G$9) + CHOOSE(CONTROL!$C$38, 0.0357, 0)</f>
        <v>32.2669</v>
      </c>
      <c r="F388" s="27">
        <f>32.2312 * CHOOSE(CONTROL!$C$15, $E$9, 100%, $G$9) + CHOOSE(CONTROL!$C$38, 0.0266, 0)</f>
        <v>32.257800000000003</v>
      </c>
      <c r="G388" s="10">
        <f>29.8213 * CHOOSE(CONTROL!$C$15, $E$9, 100%, $G$9) + CHOOSE(CONTROL!$C$38, 0.0357, 0)</f>
        <v>29.856999999999999</v>
      </c>
      <c r="H388" s="10">
        <f>29.8213 * CHOOSE(CONTROL!$C$15, $E$9, 100%, $G$9) + CHOOSE(CONTROL!$C$38, 0.0357, 0)</f>
        <v>29.856999999999999</v>
      </c>
      <c r="I388" s="10">
        <f>29.8228 * CHOOSE(CONTROL!$C$15, $E$9, 100%, $G$9) + CHOOSE(CONTROL!$C$38, 0.0357, 0)</f>
        <v>29.858499999999999</v>
      </c>
      <c r="J388" s="26">
        <f>218.4715</f>
        <v>218.47149999999999</v>
      </c>
    </row>
    <row r="389" spans="1:10" ht="15.75">
      <c r="A389" s="14">
        <v>53143</v>
      </c>
      <c r="B389" s="10">
        <f>32.0256 * CHOOSE(CONTROL!$C$15, $E$9, 100%, $G$9) + CHOOSE(CONTROL!$C$38, 0.0266, 0)</f>
        <v>32.052199999999999</v>
      </c>
      <c r="C389" s="10">
        <f>29.461 * CHOOSE(CONTROL!$C$15, $E$9, 100%, $G$9) + CHOOSE(CONTROL!$C$38, 0.0357, 0)</f>
        <v>29.496699999999997</v>
      </c>
      <c r="D389" s="10">
        <f>29.4532 * CHOOSE(CONTROL!$C$15, $E$9, 100%, $G$9) + CHOOSE(CONTROL!$C$38, 0.0357, 0)</f>
        <v>29.488899999999997</v>
      </c>
      <c r="E389" s="28">
        <f>31.8693 * CHOOSE(CONTROL!$C$15, $E$9, 100%, $G$9) + CHOOSE(CONTROL!$C$38, 0.0357, 0)</f>
        <v>31.904999999999998</v>
      </c>
      <c r="F389" s="27">
        <f>31.8693 * CHOOSE(CONTROL!$C$15, $E$9, 100%, $G$9) + CHOOSE(CONTROL!$C$38, 0.0266, 0)</f>
        <v>31.895899999999997</v>
      </c>
      <c r="G389" s="10">
        <f>29.4594 * CHOOSE(CONTROL!$C$15, $E$9, 100%, $G$9) + CHOOSE(CONTROL!$C$38, 0.0357, 0)</f>
        <v>29.495099999999997</v>
      </c>
      <c r="H389" s="10">
        <f>29.4594 * CHOOSE(CONTROL!$C$15, $E$9, 100%, $G$9) + CHOOSE(CONTROL!$C$38, 0.0357, 0)</f>
        <v>29.495099999999997</v>
      </c>
      <c r="I389" s="10">
        <f>29.461 * CHOOSE(CONTROL!$C$15, $E$9, 100%, $G$9) + CHOOSE(CONTROL!$C$38, 0.0357, 0)</f>
        <v>29.496699999999997</v>
      </c>
      <c r="J389" s="26">
        <f>221.6194</f>
        <v>221.61940000000001</v>
      </c>
    </row>
    <row r="390" spans="1:10" ht="15.75">
      <c r="A390" s="14">
        <v>53174</v>
      </c>
      <c r="B390" s="10">
        <f>31.8191 * CHOOSE(CONTROL!$C$15, $E$9, 100%, $G$9) + CHOOSE(CONTROL!$C$38, 0.0266, 0)</f>
        <v>31.845699999999997</v>
      </c>
      <c r="C390" s="10">
        <f>29.2545 * CHOOSE(CONTROL!$C$15, $E$9, 100%, $G$9) + CHOOSE(CONTROL!$C$38, 0.0357, 0)</f>
        <v>29.290199999999999</v>
      </c>
      <c r="D390" s="10">
        <f>29.2467 * CHOOSE(CONTROL!$C$15, $E$9, 100%, $G$9) + CHOOSE(CONTROL!$C$38, 0.0357, 0)</f>
        <v>29.282399999999999</v>
      </c>
      <c r="E390" s="28">
        <f>31.6628 * CHOOSE(CONTROL!$C$15, $E$9, 100%, $G$9) + CHOOSE(CONTROL!$C$38, 0.0357, 0)</f>
        <v>31.698499999999999</v>
      </c>
      <c r="F390" s="27">
        <f>31.6628 * CHOOSE(CONTROL!$C$15, $E$9, 100%, $G$9) + CHOOSE(CONTROL!$C$38, 0.0266, 0)</f>
        <v>31.689399999999999</v>
      </c>
      <c r="G390" s="10">
        <f>29.253 * CHOOSE(CONTROL!$C$15, $E$9, 100%, $G$9) + CHOOSE(CONTROL!$C$38, 0.0357, 0)</f>
        <v>29.288699999999999</v>
      </c>
      <c r="H390" s="10">
        <f>29.253 * CHOOSE(CONTROL!$C$15, $E$9, 100%, $G$9) + CHOOSE(CONTROL!$C$38, 0.0357, 0)</f>
        <v>29.288699999999999</v>
      </c>
      <c r="I390" s="10">
        <f>29.2545 * CHOOSE(CONTROL!$C$15, $E$9, 100%, $G$9) + CHOOSE(CONTROL!$C$38, 0.0357, 0)</f>
        <v>29.290199999999999</v>
      </c>
      <c r="J390" s="26">
        <f>220.5829</f>
        <v>220.5829</v>
      </c>
    </row>
    <row r="391" spans="1:10" ht="15.75">
      <c r="A391" s="14">
        <v>53205</v>
      </c>
      <c r="B391" s="10">
        <f>31.921 * CHOOSE(CONTROL!$C$15, $E$9, 100%, $G$9) + CHOOSE(CONTROL!$C$38, 0.0266, 0)</f>
        <v>31.947599999999998</v>
      </c>
      <c r="C391" s="10">
        <f>29.3564 * CHOOSE(CONTROL!$C$15, $E$9, 100%, $G$9) + CHOOSE(CONTROL!$C$38, 0.0357, 0)</f>
        <v>29.392099999999999</v>
      </c>
      <c r="D391" s="10">
        <f>29.3486 * CHOOSE(CONTROL!$C$15, $E$9, 100%, $G$9) + CHOOSE(CONTROL!$C$38, 0.0357, 0)</f>
        <v>29.3843</v>
      </c>
      <c r="E391" s="28">
        <f>31.7648 * CHOOSE(CONTROL!$C$15, $E$9, 100%, $G$9) + CHOOSE(CONTROL!$C$38, 0.0357, 0)</f>
        <v>31.8005</v>
      </c>
      <c r="F391" s="27">
        <f>31.7648 * CHOOSE(CONTROL!$C$15, $E$9, 100%, $G$9) + CHOOSE(CONTROL!$C$38, 0.0266, 0)</f>
        <v>31.791399999999999</v>
      </c>
      <c r="G391" s="10">
        <f>29.3549 * CHOOSE(CONTROL!$C$15, $E$9, 100%, $G$9) + CHOOSE(CONTROL!$C$38, 0.0357, 0)</f>
        <v>29.390599999999999</v>
      </c>
      <c r="H391" s="10">
        <f>29.3549 * CHOOSE(CONTROL!$C$15, $E$9, 100%, $G$9) + CHOOSE(CONTROL!$C$38, 0.0357, 0)</f>
        <v>29.390599999999999</v>
      </c>
      <c r="I391" s="10">
        <f>29.3564 * CHOOSE(CONTROL!$C$15, $E$9, 100%, $G$9) + CHOOSE(CONTROL!$C$38, 0.0357, 0)</f>
        <v>29.392099999999999</v>
      </c>
      <c r="J391" s="26">
        <f>215.4479</f>
        <v>215.4479</v>
      </c>
    </row>
    <row r="392" spans="1:10" ht="15.75">
      <c r="A392" s="14">
        <v>53235</v>
      </c>
      <c r="B392" s="10">
        <f>32.1978 * CHOOSE(CONTROL!$C$15, $E$9, 100%, $G$9) + CHOOSE(CONTROL!$C$38, 0.0266, 0)</f>
        <v>32.224400000000003</v>
      </c>
      <c r="C392" s="10">
        <f>29.6332 * CHOOSE(CONTROL!$C$15, $E$9, 100%, $G$9) + CHOOSE(CONTROL!$C$38, 0.0357, 0)</f>
        <v>29.668899999999997</v>
      </c>
      <c r="D392" s="10">
        <f>29.6254 * CHOOSE(CONTROL!$C$15, $E$9, 100%, $G$9) + CHOOSE(CONTROL!$C$38, 0.0357, 0)</f>
        <v>29.661099999999998</v>
      </c>
      <c r="E392" s="28">
        <f>32.0415 * CHOOSE(CONTROL!$C$15, $E$9, 100%, $G$9) + CHOOSE(CONTROL!$C$38, 0.0357, 0)</f>
        <v>32.077199999999998</v>
      </c>
      <c r="F392" s="27">
        <f>32.0415 * CHOOSE(CONTROL!$C$15, $E$9, 100%, $G$9) + CHOOSE(CONTROL!$C$38, 0.0266, 0)</f>
        <v>32.068100000000001</v>
      </c>
      <c r="G392" s="10">
        <f>29.6317 * CHOOSE(CONTROL!$C$15, $E$9, 100%, $G$9) + CHOOSE(CONTROL!$C$38, 0.0357, 0)</f>
        <v>29.667399999999997</v>
      </c>
      <c r="H392" s="10">
        <f>29.6317 * CHOOSE(CONTROL!$C$15, $E$9, 100%, $G$9) + CHOOSE(CONTROL!$C$38, 0.0357, 0)</f>
        <v>29.667399999999997</v>
      </c>
      <c r="I392" s="10">
        <f>29.6332 * CHOOSE(CONTROL!$C$15, $E$9, 100%, $G$9) + CHOOSE(CONTROL!$C$38, 0.0357, 0)</f>
        <v>29.668899999999997</v>
      </c>
      <c r="J392" s="26">
        <f>208.2868</f>
        <v>208.2868</v>
      </c>
    </row>
    <row r="393" spans="1:10" ht="15.75">
      <c r="A393" s="14">
        <v>53266</v>
      </c>
      <c r="B393" s="10">
        <f>32.4296 * CHOOSE(CONTROL!$C$15, $E$9, 100%, $G$9) + CHOOSE(CONTROL!$C$38, 0.0266, 0)</f>
        <v>32.456200000000003</v>
      </c>
      <c r="C393" s="10">
        <f>29.8651 * CHOOSE(CONTROL!$C$15, $E$9, 100%, $G$9) + CHOOSE(CONTROL!$C$38, 0.0357, 0)</f>
        <v>29.9008</v>
      </c>
      <c r="D393" s="10">
        <f>29.8572 * CHOOSE(CONTROL!$C$15, $E$9, 100%, $G$9) + CHOOSE(CONTROL!$C$38, 0.0357, 0)</f>
        <v>29.892899999999997</v>
      </c>
      <c r="E393" s="28">
        <f>32.2734 * CHOOSE(CONTROL!$C$15, $E$9, 100%, $G$9) + CHOOSE(CONTROL!$C$38, 0.0357, 0)</f>
        <v>32.309100000000001</v>
      </c>
      <c r="F393" s="27">
        <f>32.2734 * CHOOSE(CONTROL!$C$15, $E$9, 100%, $G$9) + CHOOSE(CONTROL!$C$38, 0.0266, 0)</f>
        <v>32.300000000000004</v>
      </c>
      <c r="G393" s="10">
        <f>29.8635 * CHOOSE(CONTROL!$C$15, $E$9, 100%, $G$9) + CHOOSE(CONTROL!$C$38, 0.0357, 0)</f>
        <v>29.899199999999997</v>
      </c>
      <c r="H393" s="10">
        <f>29.8635 * CHOOSE(CONTROL!$C$15, $E$9, 100%, $G$9) + CHOOSE(CONTROL!$C$38, 0.0357, 0)</f>
        <v>29.899199999999997</v>
      </c>
      <c r="I393" s="10">
        <f>29.8651 * CHOOSE(CONTROL!$C$15, $E$9, 100%, $G$9) + CHOOSE(CONTROL!$C$38, 0.0357, 0)</f>
        <v>29.9008</v>
      </c>
      <c r="J393" s="26">
        <f>201.084</f>
        <v>201.084</v>
      </c>
    </row>
    <row r="394" spans="1:10" ht="15.75">
      <c r="A394" s="14">
        <v>53296</v>
      </c>
      <c r="B394" s="10">
        <f>32.6231 * CHOOSE(CONTROL!$C$15, $E$9, 100%, $G$9) + CHOOSE(CONTROL!$C$38, 0.0266, 0)</f>
        <v>32.649700000000003</v>
      </c>
      <c r="C394" s="10">
        <f>30.0585 * CHOOSE(CONTROL!$C$15, $E$9, 100%, $G$9) + CHOOSE(CONTROL!$C$38, 0.0357, 0)</f>
        <v>30.094199999999997</v>
      </c>
      <c r="D394" s="10">
        <f>30.0507 * CHOOSE(CONTROL!$C$15, $E$9, 100%, $G$9) + CHOOSE(CONTROL!$C$38, 0.0357, 0)</f>
        <v>30.086399999999998</v>
      </c>
      <c r="E394" s="28">
        <f>32.4668 * CHOOSE(CONTROL!$C$15, $E$9, 100%, $G$9) + CHOOSE(CONTROL!$C$38, 0.0357, 0)</f>
        <v>32.502499999999998</v>
      </c>
      <c r="F394" s="27">
        <f>32.4668 * CHOOSE(CONTROL!$C$15, $E$9, 100%, $G$9) + CHOOSE(CONTROL!$C$38, 0.0266, 0)</f>
        <v>32.493400000000001</v>
      </c>
      <c r="G394" s="10">
        <f>30.0569 * CHOOSE(CONTROL!$C$15, $E$9, 100%, $G$9) + CHOOSE(CONTROL!$C$38, 0.0357, 0)</f>
        <v>30.092599999999997</v>
      </c>
      <c r="H394" s="10">
        <f>30.0569 * CHOOSE(CONTROL!$C$15, $E$9, 100%, $G$9) + CHOOSE(CONTROL!$C$38, 0.0357, 0)</f>
        <v>30.092599999999997</v>
      </c>
      <c r="I394" s="10">
        <f>30.0585 * CHOOSE(CONTROL!$C$15, $E$9, 100%, $G$9) + CHOOSE(CONTROL!$C$38, 0.0357, 0)</f>
        <v>30.094199999999997</v>
      </c>
      <c r="J394" s="26">
        <f>199.6512</f>
        <v>199.65119999999999</v>
      </c>
    </row>
    <row r="395" spans="1:10" ht="15.75">
      <c r="A395" s="14">
        <v>53327</v>
      </c>
      <c r="B395" s="10">
        <f>33.2191 * CHOOSE(CONTROL!$C$15, $E$9, 100%, $G$9) + CHOOSE(CONTROL!$C$38, 0.0266, 0)</f>
        <v>33.245699999999999</v>
      </c>
      <c r="C395" s="10">
        <f>30.6546 * CHOOSE(CONTROL!$C$15, $E$9, 100%, $G$9) + CHOOSE(CONTROL!$C$38, 0.0357, 0)</f>
        <v>30.690299999999997</v>
      </c>
      <c r="D395" s="10">
        <f>30.6467 * CHOOSE(CONTROL!$C$15, $E$9, 100%, $G$9) + CHOOSE(CONTROL!$C$38, 0.0357, 0)</f>
        <v>30.682399999999998</v>
      </c>
      <c r="E395" s="28">
        <f>33.0629 * CHOOSE(CONTROL!$C$15, $E$9, 100%, $G$9) + CHOOSE(CONTROL!$C$38, 0.0357, 0)</f>
        <v>33.098599999999998</v>
      </c>
      <c r="F395" s="27">
        <f>33.0629 * CHOOSE(CONTROL!$C$15, $E$9, 100%, $G$9) + CHOOSE(CONTROL!$C$38, 0.0266, 0)</f>
        <v>33.089500000000001</v>
      </c>
      <c r="G395" s="10">
        <f>30.653 * CHOOSE(CONTROL!$C$15, $E$9, 100%, $G$9) + CHOOSE(CONTROL!$C$38, 0.0357, 0)</f>
        <v>30.688699999999997</v>
      </c>
      <c r="H395" s="10">
        <f>30.653 * CHOOSE(CONTROL!$C$15, $E$9, 100%, $G$9) + CHOOSE(CONTROL!$C$38, 0.0357, 0)</f>
        <v>30.688699999999997</v>
      </c>
      <c r="I395" s="10">
        <f>30.6546 * CHOOSE(CONTROL!$C$15, $E$9, 100%, $G$9) + CHOOSE(CONTROL!$C$38, 0.0357, 0)</f>
        <v>30.690299999999997</v>
      </c>
      <c r="J395" s="26">
        <f>193.7265</f>
        <v>193.72649999999999</v>
      </c>
    </row>
    <row r="396" spans="1:10" ht="15.75">
      <c r="A396" s="14">
        <v>53358</v>
      </c>
      <c r="B396" s="10">
        <f>34.256 * CHOOSE(CONTROL!$C$15, $E$9, 100%, $G$9) + CHOOSE(CONTROL!$C$38, 0.0266, 0)</f>
        <v>34.282600000000002</v>
      </c>
      <c r="C396" s="10">
        <f>31.6489 * CHOOSE(CONTROL!$C$15, $E$9, 100%, $G$9) + CHOOSE(CONTROL!$C$38, 0.0357, 0)</f>
        <v>31.6846</v>
      </c>
      <c r="D396" s="10">
        <f>31.6411 * CHOOSE(CONTROL!$C$15, $E$9, 100%, $G$9) + CHOOSE(CONTROL!$C$38, 0.0357, 0)</f>
        <v>31.6768</v>
      </c>
      <c r="E396" s="28">
        <f>34.0998 * CHOOSE(CONTROL!$C$15, $E$9, 100%, $G$9) + CHOOSE(CONTROL!$C$38, 0.0357, 0)</f>
        <v>34.1355</v>
      </c>
      <c r="F396" s="27">
        <f>34.0998 * CHOOSE(CONTROL!$C$15, $E$9, 100%, $G$9) + CHOOSE(CONTROL!$C$38, 0.0266, 0)</f>
        <v>34.126400000000004</v>
      </c>
      <c r="G396" s="10">
        <f>31.6473 * CHOOSE(CONTROL!$C$15, $E$9, 100%, $G$9) + CHOOSE(CONTROL!$C$38, 0.0357, 0)</f>
        <v>31.683</v>
      </c>
      <c r="H396" s="10">
        <f>31.6473 * CHOOSE(CONTROL!$C$15, $E$9, 100%, $G$9) + CHOOSE(CONTROL!$C$38, 0.0357, 0)</f>
        <v>31.683</v>
      </c>
      <c r="I396" s="10">
        <f>31.6489 * CHOOSE(CONTROL!$C$15, $E$9, 100%, $G$9) + CHOOSE(CONTROL!$C$38, 0.0357, 0)</f>
        <v>31.6846</v>
      </c>
      <c r="J396" s="26">
        <f>192.4289</f>
        <v>192.4289</v>
      </c>
    </row>
    <row r="397" spans="1:10" ht="15.75">
      <c r="A397" s="14">
        <v>53386</v>
      </c>
      <c r="B397" s="10">
        <f>34.4768 * CHOOSE(CONTROL!$C$15, $E$9, 100%, $G$9) + CHOOSE(CONTROL!$C$38, 0.0266, 0)</f>
        <v>34.503399999999999</v>
      </c>
      <c r="C397" s="10">
        <f>31.8696 * CHOOSE(CONTROL!$C$15, $E$9, 100%, $G$9) + CHOOSE(CONTROL!$C$38, 0.0357, 0)</f>
        <v>31.905299999999997</v>
      </c>
      <c r="D397" s="10">
        <f>31.8618 * CHOOSE(CONTROL!$C$15, $E$9, 100%, $G$9) + CHOOSE(CONTROL!$C$38, 0.0357, 0)</f>
        <v>31.897499999999997</v>
      </c>
      <c r="E397" s="28">
        <f>34.3205 * CHOOSE(CONTROL!$C$15, $E$9, 100%, $G$9) + CHOOSE(CONTROL!$C$38, 0.0357, 0)</f>
        <v>34.356200000000001</v>
      </c>
      <c r="F397" s="27">
        <f>34.3205 * CHOOSE(CONTROL!$C$15, $E$9, 100%, $G$9) + CHOOSE(CONTROL!$C$38, 0.0266, 0)</f>
        <v>34.347100000000005</v>
      </c>
      <c r="G397" s="10">
        <f>31.8681 * CHOOSE(CONTROL!$C$15, $E$9, 100%, $G$9) + CHOOSE(CONTROL!$C$38, 0.0357, 0)</f>
        <v>31.903799999999997</v>
      </c>
      <c r="H397" s="10">
        <f>31.8681 * CHOOSE(CONTROL!$C$15, $E$9, 100%, $G$9) + CHOOSE(CONTROL!$C$38, 0.0357, 0)</f>
        <v>31.903799999999997</v>
      </c>
      <c r="I397" s="10">
        <f>31.8696 * CHOOSE(CONTROL!$C$15, $E$9, 100%, $G$9) + CHOOSE(CONTROL!$C$38, 0.0357, 0)</f>
        <v>31.905299999999997</v>
      </c>
      <c r="J397" s="26">
        <f>191.894</f>
        <v>191.89400000000001</v>
      </c>
    </row>
    <row r="398" spans="1:10" ht="15.75">
      <c r="A398" s="14">
        <v>53417</v>
      </c>
      <c r="B398" s="10">
        <f>33.9657 * CHOOSE(CONTROL!$C$15, $E$9, 100%, $G$9) + CHOOSE(CONTROL!$C$38, 0.0266, 0)</f>
        <v>33.9923</v>
      </c>
      <c r="C398" s="10">
        <f>31.3586 * CHOOSE(CONTROL!$C$15, $E$9, 100%, $G$9) + CHOOSE(CONTROL!$C$38, 0.0357, 0)</f>
        <v>31.394299999999998</v>
      </c>
      <c r="D398" s="10">
        <f>31.3508 * CHOOSE(CONTROL!$C$15, $E$9, 100%, $G$9) + CHOOSE(CONTROL!$C$38, 0.0357, 0)</f>
        <v>31.386499999999998</v>
      </c>
      <c r="E398" s="28">
        <f>33.8095 * CHOOSE(CONTROL!$C$15, $E$9, 100%, $G$9) + CHOOSE(CONTROL!$C$38, 0.0357, 0)</f>
        <v>33.845199999999998</v>
      </c>
      <c r="F398" s="27">
        <f>33.8095 * CHOOSE(CONTROL!$C$15, $E$9, 100%, $G$9) + CHOOSE(CONTROL!$C$38, 0.0266, 0)</f>
        <v>33.836100000000002</v>
      </c>
      <c r="G398" s="10">
        <f>31.3571 * CHOOSE(CONTROL!$C$15, $E$9, 100%, $G$9) + CHOOSE(CONTROL!$C$38, 0.0357, 0)</f>
        <v>31.392799999999998</v>
      </c>
      <c r="H398" s="10">
        <f>31.3571 * CHOOSE(CONTROL!$C$15, $E$9, 100%, $G$9) + CHOOSE(CONTROL!$C$38, 0.0357, 0)</f>
        <v>31.392799999999998</v>
      </c>
      <c r="I398" s="10">
        <f>31.3586 * CHOOSE(CONTROL!$C$15, $E$9, 100%, $G$9) + CHOOSE(CONTROL!$C$38, 0.0357, 0)</f>
        <v>31.394299999999998</v>
      </c>
      <c r="J398" s="26">
        <f>202.0079</f>
        <v>202.00790000000001</v>
      </c>
    </row>
    <row r="399" spans="1:10" ht="15.75">
      <c r="A399" s="14">
        <v>53447</v>
      </c>
      <c r="B399" s="10">
        <f>33.4706 * CHOOSE(CONTROL!$C$15, $E$9, 100%, $G$9) + CHOOSE(CONTROL!$C$38, 0.0266, 0)</f>
        <v>33.497199999999999</v>
      </c>
      <c r="C399" s="10">
        <f>30.8634 * CHOOSE(CONTROL!$C$15, $E$9, 100%, $G$9) + CHOOSE(CONTROL!$C$38, 0.0357, 0)</f>
        <v>30.899099999999997</v>
      </c>
      <c r="D399" s="10">
        <f>30.8556 * CHOOSE(CONTROL!$C$15, $E$9, 100%, $G$9) + CHOOSE(CONTROL!$C$38, 0.0357, 0)</f>
        <v>30.891299999999998</v>
      </c>
      <c r="E399" s="28">
        <f>33.3143 * CHOOSE(CONTROL!$C$15, $E$9, 100%, $G$9) + CHOOSE(CONTROL!$C$38, 0.0357, 0)</f>
        <v>33.35</v>
      </c>
      <c r="F399" s="27">
        <f>33.3143 * CHOOSE(CONTROL!$C$15, $E$9, 100%, $G$9) + CHOOSE(CONTROL!$C$38, 0.0266, 0)</f>
        <v>33.340900000000005</v>
      </c>
      <c r="G399" s="10">
        <f>30.8619 * CHOOSE(CONTROL!$C$15, $E$9, 100%, $G$9) + CHOOSE(CONTROL!$C$38, 0.0357, 0)</f>
        <v>30.897599999999997</v>
      </c>
      <c r="H399" s="10">
        <f>30.8619 * CHOOSE(CONTROL!$C$15, $E$9, 100%, $G$9) + CHOOSE(CONTROL!$C$38, 0.0357, 0)</f>
        <v>30.897599999999997</v>
      </c>
      <c r="I399" s="10">
        <f>30.8634 * CHOOSE(CONTROL!$C$15, $E$9, 100%, $G$9) + CHOOSE(CONTROL!$C$38, 0.0357, 0)</f>
        <v>30.899099999999997</v>
      </c>
      <c r="J399" s="26">
        <f>215.1232</f>
        <v>215.1232</v>
      </c>
    </row>
    <row r="400" spans="1:10" ht="15.75">
      <c r="A400" s="14">
        <v>53478</v>
      </c>
      <c r="B400" s="10">
        <f>32.9544 * CHOOSE(CONTROL!$C$15, $E$9, 100%, $G$9) + CHOOSE(CONTROL!$C$38, 0.0266, 0)</f>
        <v>32.981000000000002</v>
      </c>
      <c r="C400" s="10">
        <f>30.3473 * CHOOSE(CONTROL!$C$15, $E$9, 100%, $G$9) + CHOOSE(CONTROL!$C$38, 0.0357, 0)</f>
        <v>30.382999999999999</v>
      </c>
      <c r="D400" s="10">
        <f>30.3395 * CHOOSE(CONTROL!$C$15, $E$9, 100%, $G$9) + CHOOSE(CONTROL!$C$38, 0.0357, 0)</f>
        <v>30.3752</v>
      </c>
      <c r="E400" s="28">
        <f>32.7982 * CHOOSE(CONTROL!$C$15, $E$9, 100%, $G$9) + CHOOSE(CONTROL!$C$38, 0.0357, 0)</f>
        <v>32.8339</v>
      </c>
      <c r="F400" s="27">
        <f>32.7982 * CHOOSE(CONTROL!$C$15, $E$9, 100%, $G$9) + CHOOSE(CONTROL!$C$38, 0.0266, 0)</f>
        <v>32.824800000000003</v>
      </c>
      <c r="G400" s="10">
        <f>30.3458 * CHOOSE(CONTROL!$C$15, $E$9, 100%, $G$9) + CHOOSE(CONTROL!$C$38, 0.0357, 0)</f>
        <v>30.381499999999999</v>
      </c>
      <c r="H400" s="10">
        <f>30.3458 * CHOOSE(CONTROL!$C$15, $E$9, 100%, $G$9) + CHOOSE(CONTROL!$C$38, 0.0357, 0)</f>
        <v>30.381499999999999</v>
      </c>
      <c r="I400" s="10">
        <f>30.3473 * CHOOSE(CONTROL!$C$15, $E$9, 100%, $G$9) + CHOOSE(CONTROL!$C$38, 0.0357, 0)</f>
        <v>30.382999999999999</v>
      </c>
      <c r="J400" s="26">
        <f>222.3424</f>
        <v>222.3424</v>
      </c>
    </row>
    <row r="401" spans="1:10" ht="15.75">
      <c r="A401" s="14">
        <v>53508</v>
      </c>
      <c r="B401" s="10">
        <f>32.5926 * CHOOSE(CONTROL!$C$15, $E$9, 100%, $G$9) + CHOOSE(CONTROL!$C$38, 0.0266, 0)</f>
        <v>32.619199999999999</v>
      </c>
      <c r="C401" s="10">
        <f>29.9855 * CHOOSE(CONTROL!$C$15, $E$9, 100%, $G$9) + CHOOSE(CONTROL!$C$38, 0.0357, 0)</f>
        <v>30.021199999999997</v>
      </c>
      <c r="D401" s="10">
        <f>29.9777 * CHOOSE(CONTROL!$C$15, $E$9, 100%, $G$9) + CHOOSE(CONTROL!$C$38, 0.0357, 0)</f>
        <v>30.013399999999997</v>
      </c>
      <c r="E401" s="28">
        <f>32.4364 * CHOOSE(CONTROL!$C$15, $E$9, 100%, $G$9) + CHOOSE(CONTROL!$C$38, 0.0357, 0)</f>
        <v>32.472099999999998</v>
      </c>
      <c r="F401" s="27">
        <f>32.4364 * CHOOSE(CONTROL!$C$15, $E$9, 100%, $G$9) + CHOOSE(CONTROL!$C$38, 0.0266, 0)</f>
        <v>32.463000000000001</v>
      </c>
      <c r="G401" s="10">
        <f>29.9839 * CHOOSE(CONTROL!$C$15, $E$9, 100%, $G$9) + CHOOSE(CONTROL!$C$38, 0.0357, 0)</f>
        <v>30.019599999999997</v>
      </c>
      <c r="H401" s="10">
        <f>29.9839 * CHOOSE(CONTROL!$C$15, $E$9, 100%, $G$9) + CHOOSE(CONTROL!$C$38, 0.0357, 0)</f>
        <v>30.019599999999997</v>
      </c>
      <c r="I401" s="10">
        <f>29.9855 * CHOOSE(CONTROL!$C$15, $E$9, 100%, $G$9) + CHOOSE(CONTROL!$C$38, 0.0357, 0)</f>
        <v>30.021199999999997</v>
      </c>
      <c r="J401" s="26">
        <f>225.5461</f>
        <v>225.5461</v>
      </c>
    </row>
    <row r="402" spans="1:10" ht="15.75">
      <c r="A402" s="14">
        <v>53539</v>
      </c>
      <c r="B402" s="10">
        <f>32.3861 * CHOOSE(CONTROL!$C$15, $E$9, 100%, $G$9) + CHOOSE(CONTROL!$C$38, 0.0266, 0)</f>
        <v>32.412700000000001</v>
      </c>
      <c r="C402" s="10">
        <f>29.779 * CHOOSE(CONTROL!$C$15, $E$9, 100%, $G$9) + CHOOSE(CONTROL!$C$38, 0.0357, 0)</f>
        <v>29.814699999999998</v>
      </c>
      <c r="D402" s="10">
        <f>29.7712 * CHOOSE(CONTROL!$C$15, $E$9, 100%, $G$9) + CHOOSE(CONTROL!$C$38, 0.0357, 0)</f>
        <v>29.806899999999999</v>
      </c>
      <c r="E402" s="28">
        <f>32.2299 * CHOOSE(CONTROL!$C$15, $E$9, 100%, $G$9) + CHOOSE(CONTROL!$C$38, 0.0357, 0)</f>
        <v>32.265599999999999</v>
      </c>
      <c r="F402" s="27">
        <f>32.2299 * CHOOSE(CONTROL!$C$15, $E$9, 100%, $G$9) + CHOOSE(CONTROL!$C$38, 0.0266, 0)</f>
        <v>32.256500000000003</v>
      </c>
      <c r="G402" s="10">
        <f>29.7774 * CHOOSE(CONTROL!$C$15, $E$9, 100%, $G$9) + CHOOSE(CONTROL!$C$38, 0.0357, 0)</f>
        <v>29.813099999999999</v>
      </c>
      <c r="H402" s="10">
        <f>29.7774 * CHOOSE(CONTROL!$C$15, $E$9, 100%, $G$9) + CHOOSE(CONTROL!$C$38, 0.0357, 0)</f>
        <v>29.813099999999999</v>
      </c>
      <c r="I402" s="10">
        <f>29.779 * CHOOSE(CONTROL!$C$15, $E$9, 100%, $G$9) + CHOOSE(CONTROL!$C$38, 0.0357, 0)</f>
        <v>29.814699999999998</v>
      </c>
      <c r="J402" s="26">
        <f>224.4913</f>
        <v>224.4913</v>
      </c>
    </row>
    <row r="403" spans="1:10" ht="15.75">
      <c r="A403" s="14">
        <v>53570</v>
      </c>
      <c r="B403" s="10">
        <f>32.488 * CHOOSE(CONTROL!$C$15, $E$9, 100%, $G$9) + CHOOSE(CONTROL!$C$38, 0.0266, 0)</f>
        <v>32.514600000000002</v>
      </c>
      <c r="C403" s="10">
        <f>29.8809 * CHOOSE(CONTROL!$C$15, $E$9, 100%, $G$9) + CHOOSE(CONTROL!$C$38, 0.0357, 0)</f>
        <v>29.916599999999999</v>
      </c>
      <c r="D403" s="10">
        <f>29.8731 * CHOOSE(CONTROL!$C$15, $E$9, 100%, $G$9) + CHOOSE(CONTROL!$C$38, 0.0357, 0)</f>
        <v>29.908799999999999</v>
      </c>
      <c r="E403" s="28">
        <f>32.3318 * CHOOSE(CONTROL!$C$15, $E$9, 100%, $G$9) + CHOOSE(CONTROL!$C$38, 0.0357, 0)</f>
        <v>32.3675</v>
      </c>
      <c r="F403" s="27">
        <f>32.3318 * CHOOSE(CONTROL!$C$15, $E$9, 100%, $G$9) + CHOOSE(CONTROL!$C$38, 0.0266, 0)</f>
        <v>32.358400000000003</v>
      </c>
      <c r="G403" s="10">
        <f>29.8793 * CHOOSE(CONTROL!$C$15, $E$9, 100%, $G$9) + CHOOSE(CONTROL!$C$38, 0.0357, 0)</f>
        <v>29.914999999999999</v>
      </c>
      <c r="H403" s="10">
        <f>29.8793 * CHOOSE(CONTROL!$C$15, $E$9, 100%, $G$9) + CHOOSE(CONTROL!$C$38, 0.0357, 0)</f>
        <v>29.914999999999999</v>
      </c>
      <c r="I403" s="10">
        <f>29.8809 * CHOOSE(CONTROL!$C$15, $E$9, 100%, $G$9) + CHOOSE(CONTROL!$C$38, 0.0357, 0)</f>
        <v>29.916599999999999</v>
      </c>
      <c r="J403" s="26">
        <f>219.2652</f>
        <v>219.26519999999999</v>
      </c>
    </row>
    <row r="404" spans="1:10" ht="15.75">
      <c r="A404" s="14">
        <v>53600</v>
      </c>
      <c r="B404" s="10">
        <f>32.7648 * CHOOSE(CONTROL!$C$15, $E$9, 100%, $G$9) + CHOOSE(CONTROL!$C$38, 0.0266, 0)</f>
        <v>32.791400000000003</v>
      </c>
      <c r="C404" s="10">
        <f>30.1577 * CHOOSE(CONTROL!$C$15, $E$9, 100%, $G$9) + CHOOSE(CONTROL!$C$38, 0.0357, 0)</f>
        <v>30.193399999999997</v>
      </c>
      <c r="D404" s="10">
        <f>30.1499 * CHOOSE(CONTROL!$C$15, $E$9, 100%, $G$9) + CHOOSE(CONTROL!$C$38, 0.0357, 0)</f>
        <v>30.185599999999997</v>
      </c>
      <c r="E404" s="28">
        <f>32.6086 * CHOOSE(CONTROL!$C$15, $E$9, 100%, $G$9) + CHOOSE(CONTROL!$C$38, 0.0357, 0)</f>
        <v>32.644300000000001</v>
      </c>
      <c r="F404" s="27">
        <f>32.6086 * CHOOSE(CONTROL!$C$15, $E$9, 100%, $G$9) + CHOOSE(CONTROL!$C$38, 0.0266, 0)</f>
        <v>32.635200000000005</v>
      </c>
      <c r="G404" s="10">
        <f>30.1561 * CHOOSE(CONTROL!$C$15, $E$9, 100%, $G$9) + CHOOSE(CONTROL!$C$38, 0.0357, 0)</f>
        <v>30.191799999999997</v>
      </c>
      <c r="H404" s="10">
        <f>30.1561 * CHOOSE(CONTROL!$C$15, $E$9, 100%, $G$9) + CHOOSE(CONTROL!$C$38, 0.0357, 0)</f>
        <v>30.191799999999997</v>
      </c>
      <c r="I404" s="10">
        <f>30.1577 * CHOOSE(CONTROL!$C$15, $E$9, 100%, $G$9) + CHOOSE(CONTROL!$C$38, 0.0357, 0)</f>
        <v>30.193399999999997</v>
      </c>
      <c r="J404" s="26">
        <f>211.9772</f>
        <v>211.97720000000001</v>
      </c>
    </row>
    <row r="405" spans="1:10" ht="15.75">
      <c r="A405" s="14">
        <v>53631</v>
      </c>
      <c r="B405" s="10">
        <f>32.9967 * CHOOSE(CONTROL!$C$15, $E$9, 100%, $G$9) + CHOOSE(CONTROL!$C$38, 0.0266, 0)</f>
        <v>33.023299999999999</v>
      </c>
      <c r="C405" s="10">
        <f>30.3895 * CHOOSE(CONTROL!$C$15, $E$9, 100%, $G$9) + CHOOSE(CONTROL!$C$38, 0.0357, 0)</f>
        <v>30.4252</v>
      </c>
      <c r="D405" s="10">
        <f>30.3817 * CHOOSE(CONTROL!$C$15, $E$9, 100%, $G$9) + CHOOSE(CONTROL!$C$38, 0.0357, 0)</f>
        <v>30.417399999999997</v>
      </c>
      <c r="E405" s="28">
        <f>32.8404 * CHOOSE(CONTROL!$C$15, $E$9, 100%, $G$9) + CHOOSE(CONTROL!$C$38, 0.0357, 0)</f>
        <v>32.876100000000001</v>
      </c>
      <c r="F405" s="27">
        <f>32.8404 * CHOOSE(CONTROL!$C$15, $E$9, 100%, $G$9) + CHOOSE(CONTROL!$C$38, 0.0266, 0)</f>
        <v>32.867000000000004</v>
      </c>
      <c r="G405" s="10">
        <f>30.388 * CHOOSE(CONTROL!$C$15, $E$9, 100%, $G$9) + CHOOSE(CONTROL!$C$38, 0.0357, 0)</f>
        <v>30.4237</v>
      </c>
      <c r="H405" s="10">
        <f>30.388 * CHOOSE(CONTROL!$C$15, $E$9, 100%, $G$9) + CHOOSE(CONTROL!$C$38, 0.0357, 0)</f>
        <v>30.4237</v>
      </c>
      <c r="I405" s="10">
        <f>30.3895 * CHOOSE(CONTROL!$C$15, $E$9, 100%, $G$9) + CHOOSE(CONTROL!$C$38, 0.0357, 0)</f>
        <v>30.4252</v>
      </c>
      <c r="J405" s="26">
        <f>204.6468</f>
        <v>204.64680000000001</v>
      </c>
    </row>
    <row r="406" spans="1:10" ht="15.75">
      <c r="A406" s="14">
        <v>53661</v>
      </c>
      <c r="B406" s="10">
        <f>33.1901 * CHOOSE(CONTROL!$C$15, $E$9, 100%, $G$9) + CHOOSE(CONTROL!$C$38, 0.0266, 0)</f>
        <v>33.216700000000003</v>
      </c>
      <c r="C406" s="10">
        <f>30.583 * CHOOSE(CONTROL!$C$15, $E$9, 100%, $G$9) + CHOOSE(CONTROL!$C$38, 0.0357, 0)</f>
        <v>30.618699999999997</v>
      </c>
      <c r="D406" s="10">
        <f>30.5752 * CHOOSE(CONTROL!$C$15, $E$9, 100%, $G$9) + CHOOSE(CONTROL!$C$38, 0.0357, 0)</f>
        <v>30.610899999999997</v>
      </c>
      <c r="E406" s="28">
        <f>33.0338 * CHOOSE(CONTROL!$C$15, $E$9, 100%, $G$9) + CHOOSE(CONTROL!$C$38, 0.0357, 0)</f>
        <v>33.069499999999998</v>
      </c>
      <c r="F406" s="27">
        <f>33.0338 * CHOOSE(CONTROL!$C$15, $E$9, 100%, $G$9) + CHOOSE(CONTROL!$C$38, 0.0266, 0)</f>
        <v>33.060400000000001</v>
      </c>
      <c r="G406" s="10">
        <f>30.5814 * CHOOSE(CONTROL!$C$15, $E$9, 100%, $G$9) + CHOOSE(CONTROL!$C$38, 0.0357, 0)</f>
        <v>30.617099999999997</v>
      </c>
      <c r="H406" s="10">
        <f>30.5814 * CHOOSE(CONTROL!$C$15, $E$9, 100%, $G$9) + CHOOSE(CONTROL!$C$38, 0.0357, 0)</f>
        <v>30.617099999999997</v>
      </c>
      <c r="I406" s="10">
        <f>30.583 * CHOOSE(CONTROL!$C$15, $E$9, 100%, $G$9) + CHOOSE(CONTROL!$C$38, 0.0357, 0)</f>
        <v>30.618699999999997</v>
      </c>
      <c r="J406" s="26">
        <f>203.1886</f>
        <v>203.18860000000001</v>
      </c>
    </row>
    <row r="407" spans="1:10" ht="15.75">
      <c r="A407" s="14">
        <v>53692</v>
      </c>
      <c r="B407" s="10">
        <f>33.7862 * CHOOSE(CONTROL!$C$15, $E$9, 100%, $G$9) + CHOOSE(CONTROL!$C$38, 0.0266, 0)</f>
        <v>33.812800000000003</v>
      </c>
      <c r="C407" s="10">
        <f>31.179 * CHOOSE(CONTROL!$C$15, $E$9, 100%, $G$9) + CHOOSE(CONTROL!$C$38, 0.0357, 0)</f>
        <v>31.214699999999997</v>
      </c>
      <c r="D407" s="10">
        <f>31.1712 * CHOOSE(CONTROL!$C$15, $E$9, 100%, $G$9) + CHOOSE(CONTROL!$C$38, 0.0357, 0)</f>
        <v>31.206899999999997</v>
      </c>
      <c r="E407" s="28">
        <f>33.6299 * CHOOSE(CONTROL!$C$15, $E$9, 100%, $G$9) + CHOOSE(CONTROL!$C$38, 0.0357, 0)</f>
        <v>33.665599999999998</v>
      </c>
      <c r="F407" s="27">
        <f>33.6299 * CHOOSE(CONTROL!$C$15, $E$9, 100%, $G$9) + CHOOSE(CONTROL!$C$38, 0.0266, 0)</f>
        <v>33.656500000000001</v>
      </c>
      <c r="G407" s="10">
        <f>31.1775 * CHOOSE(CONTROL!$C$15, $E$9, 100%, $G$9) + CHOOSE(CONTROL!$C$38, 0.0357, 0)</f>
        <v>31.213199999999997</v>
      </c>
      <c r="H407" s="10">
        <f>31.1775 * CHOOSE(CONTROL!$C$15, $E$9, 100%, $G$9) + CHOOSE(CONTROL!$C$38, 0.0357, 0)</f>
        <v>31.213199999999997</v>
      </c>
      <c r="I407" s="10">
        <f>31.179 * CHOOSE(CONTROL!$C$15, $E$9, 100%, $G$9) + CHOOSE(CONTROL!$C$38, 0.0357, 0)</f>
        <v>31.214699999999997</v>
      </c>
      <c r="J407" s="26">
        <f>197.159</f>
        <v>197.15899999999999</v>
      </c>
    </row>
    <row r="408" spans="1:10" ht="15.75">
      <c r="A408" s="14">
        <v>53723</v>
      </c>
      <c r="B408" s="10">
        <f>34.8331 * CHOOSE(CONTROL!$C$15, $E$9, 100%, $G$9) + CHOOSE(CONTROL!$C$38, 0.0266, 0)</f>
        <v>34.859700000000004</v>
      </c>
      <c r="C408" s="10">
        <f>32.1826 * CHOOSE(CONTROL!$C$15, $E$9, 100%, $G$9) + CHOOSE(CONTROL!$C$38, 0.0357, 0)</f>
        <v>32.218299999999999</v>
      </c>
      <c r="D408" s="10">
        <f>32.1748 * CHOOSE(CONTROL!$C$15, $E$9, 100%, $G$9) + CHOOSE(CONTROL!$C$38, 0.0357, 0)</f>
        <v>32.210499999999996</v>
      </c>
      <c r="E408" s="28">
        <f>34.6768 * CHOOSE(CONTROL!$C$15, $E$9, 100%, $G$9) + CHOOSE(CONTROL!$C$38, 0.0357, 0)</f>
        <v>34.712499999999999</v>
      </c>
      <c r="F408" s="27">
        <f>34.6768 * CHOOSE(CONTROL!$C$15, $E$9, 100%, $G$9) + CHOOSE(CONTROL!$C$38, 0.0266, 0)</f>
        <v>34.703400000000002</v>
      </c>
      <c r="G408" s="10">
        <f>32.1811 * CHOOSE(CONTROL!$C$15, $E$9, 100%, $G$9) + CHOOSE(CONTROL!$C$38, 0.0357, 0)</f>
        <v>32.216799999999999</v>
      </c>
      <c r="H408" s="10">
        <f>32.1811 * CHOOSE(CONTROL!$C$15, $E$9, 100%, $G$9) + CHOOSE(CONTROL!$C$38, 0.0357, 0)</f>
        <v>32.216799999999999</v>
      </c>
      <c r="I408" s="10">
        <f>32.1826 * CHOOSE(CONTROL!$C$15, $E$9, 100%, $G$9) + CHOOSE(CONTROL!$C$38, 0.0357, 0)</f>
        <v>32.218299999999999</v>
      </c>
      <c r="J408" s="26">
        <f>195.8383</f>
        <v>195.8383</v>
      </c>
    </row>
    <row r="409" spans="1:10" ht="15.75">
      <c r="A409" s="14">
        <v>53751</v>
      </c>
      <c r="B409" s="10">
        <f>35.0538 * CHOOSE(CONTROL!$C$15, $E$9, 100%, $G$9) + CHOOSE(CONTROL!$C$38, 0.0266, 0)</f>
        <v>35.080400000000004</v>
      </c>
      <c r="C409" s="10">
        <f>32.4034 * CHOOSE(CONTROL!$C$15, $E$9, 100%, $G$9) + CHOOSE(CONTROL!$C$38, 0.0357, 0)</f>
        <v>32.439099999999996</v>
      </c>
      <c r="D409" s="10">
        <f>32.3956 * CHOOSE(CONTROL!$C$15, $E$9, 100%, $G$9) + CHOOSE(CONTROL!$C$38, 0.0357, 0)</f>
        <v>32.4313</v>
      </c>
      <c r="E409" s="28">
        <f>34.8976 * CHOOSE(CONTROL!$C$15, $E$9, 100%, $G$9) + CHOOSE(CONTROL!$C$38, 0.0357, 0)</f>
        <v>34.933299999999996</v>
      </c>
      <c r="F409" s="27">
        <f>34.8976 * CHOOSE(CONTROL!$C$15, $E$9, 100%, $G$9) + CHOOSE(CONTROL!$C$38, 0.0266, 0)</f>
        <v>34.924199999999999</v>
      </c>
      <c r="G409" s="10">
        <f>32.4018 * CHOOSE(CONTROL!$C$15, $E$9, 100%, $G$9) + CHOOSE(CONTROL!$C$38, 0.0357, 0)</f>
        <v>32.4375</v>
      </c>
      <c r="H409" s="10">
        <f>32.4018 * CHOOSE(CONTROL!$C$15, $E$9, 100%, $G$9) + CHOOSE(CONTROL!$C$38, 0.0357, 0)</f>
        <v>32.4375</v>
      </c>
      <c r="I409" s="10">
        <f>32.4034 * CHOOSE(CONTROL!$C$15, $E$9, 100%, $G$9) + CHOOSE(CONTROL!$C$38, 0.0357, 0)</f>
        <v>32.439099999999996</v>
      </c>
      <c r="J409" s="26">
        <f>195.294</f>
        <v>195.29400000000001</v>
      </c>
    </row>
    <row r="410" spans="1:10" ht="15.75">
      <c r="A410" s="14">
        <v>53782</v>
      </c>
      <c r="B410" s="10">
        <f>34.5428 * CHOOSE(CONTROL!$C$15, $E$9, 100%, $G$9) + CHOOSE(CONTROL!$C$38, 0.0266, 0)</f>
        <v>34.569400000000002</v>
      </c>
      <c r="C410" s="10">
        <f>31.8924 * CHOOSE(CONTROL!$C$15, $E$9, 100%, $G$9) + CHOOSE(CONTROL!$C$38, 0.0357, 0)</f>
        <v>31.928099999999997</v>
      </c>
      <c r="D410" s="10">
        <f>31.8846 * CHOOSE(CONTROL!$C$15, $E$9, 100%, $G$9) + CHOOSE(CONTROL!$C$38, 0.0357, 0)</f>
        <v>31.920299999999997</v>
      </c>
      <c r="E410" s="28">
        <f>34.3865 * CHOOSE(CONTROL!$C$15, $E$9, 100%, $G$9) + CHOOSE(CONTROL!$C$38, 0.0357, 0)</f>
        <v>34.422199999999997</v>
      </c>
      <c r="F410" s="27">
        <f>34.3865 * CHOOSE(CONTROL!$C$15, $E$9, 100%, $G$9) + CHOOSE(CONTROL!$C$38, 0.0266, 0)</f>
        <v>34.4131</v>
      </c>
      <c r="G410" s="10">
        <f>31.8908 * CHOOSE(CONTROL!$C$15, $E$9, 100%, $G$9) + CHOOSE(CONTROL!$C$38, 0.0357, 0)</f>
        <v>31.926499999999997</v>
      </c>
      <c r="H410" s="10">
        <f>31.8908 * CHOOSE(CONTROL!$C$15, $E$9, 100%, $G$9) + CHOOSE(CONTROL!$C$38, 0.0357, 0)</f>
        <v>31.926499999999997</v>
      </c>
      <c r="I410" s="10">
        <f>31.8924 * CHOOSE(CONTROL!$C$15, $E$9, 100%, $G$9) + CHOOSE(CONTROL!$C$38, 0.0357, 0)</f>
        <v>31.928099999999997</v>
      </c>
      <c r="J410" s="26">
        <f>205.5871</f>
        <v>205.58709999999999</v>
      </c>
    </row>
    <row r="411" spans="1:10" ht="15.75">
      <c r="A411" s="14">
        <v>53812</v>
      </c>
      <c r="B411" s="10">
        <f>34.0476 * CHOOSE(CONTROL!$C$15, $E$9, 100%, $G$9) + CHOOSE(CONTROL!$C$38, 0.0266, 0)</f>
        <v>34.074200000000005</v>
      </c>
      <c r="C411" s="10">
        <f>31.3972 * CHOOSE(CONTROL!$C$15, $E$9, 100%, $G$9) + CHOOSE(CONTROL!$C$38, 0.0357, 0)</f>
        <v>31.4329</v>
      </c>
      <c r="D411" s="10">
        <f>31.3894 * CHOOSE(CONTROL!$C$15, $E$9, 100%, $G$9) + CHOOSE(CONTROL!$C$38, 0.0357, 0)</f>
        <v>31.425099999999997</v>
      </c>
      <c r="E411" s="28">
        <f>33.8914 * CHOOSE(CONTROL!$C$15, $E$9, 100%, $G$9) + CHOOSE(CONTROL!$C$38, 0.0357, 0)</f>
        <v>33.927099999999996</v>
      </c>
      <c r="F411" s="27">
        <f>33.8914 * CHOOSE(CONTROL!$C$15, $E$9, 100%, $G$9) + CHOOSE(CONTROL!$C$38, 0.0266, 0)</f>
        <v>33.917999999999999</v>
      </c>
      <c r="G411" s="10">
        <f>31.3956 * CHOOSE(CONTROL!$C$15, $E$9, 100%, $G$9) + CHOOSE(CONTROL!$C$38, 0.0357, 0)</f>
        <v>31.4313</v>
      </c>
      <c r="H411" s="10">
        <f>31.3956 * CHOOSE(CONTROL!$C$15, $E$9, 100%, $G$9) + CHOOSE(CONTROL!$C$38, 0.0357, 0)</f>
        <v>31.4313</v>
      </c>
      <c r="I411" s="10">
        <f>31.3972 * CHOOSE(CONTROL!$C$15, $E$9, 100%, $G$9) + CHOOSE(CONTROL!$C$38, 0.0357, 0)</f>
        <v>31.4329</v>
      </c>
      <c r="J411" s="26">
        <f>218.9348</f>
        <v>218.9348</v>
      </c>
    </row>
    <row r="412" spans="1:10" ht="15.75">
      <c r="A412" s="14">
        <v>53843</v>
      </c>
      <c r="B412" s="10">
        <f>33.5315 * CHOOSE(CONTROL!$C$15, $E$9, 100%, $G$9) + CHOOSE(CONTROL!$C$38, 0.0266, 0)</f>
        <v>33.558100000000003</v>
      </c>
      <c r="C412" s="10">
        <f>30.8811 * CHOOSE(CONTROL!$C$15, $E$9, 100%, $G$9) + CHOOSE(CONTROL!$C$38, 0.0357, 0)</f>
        <v>30.916799999999999</v>
      </c>
      <c r="D412" s="10">
        <f>30.8733 * CHOOSE(CONTROL!$C$15, $E$9, 100%, $G$9) + CHOOSE(CONTROL!$C$38, 0.0357, 0)</f>
        <v>30.908999999999999</v>
      </c>
      <c r="E412" s="28">
        <f>33.3752 * CHOOSE(CONTROL!$C$15, $E$9, 100%, $G$9) + CHOOSE(CONTROL!$C$38, 0.0357, 0)</f>
        <v>33.410899999999998</v>
      </c>
      <c r="F412" s="27">
        <f>33.3752 * CHOOSE(CONTROL!$C$15, $E$9, 100%, $G$9) + CHOOSE(CONTROL!$C$38, 0.0266, 0)</f>
        <v>33.401800000000001</v>
      </c>
      <c r="G412" s="10">
        <f>30.8795 * CHOOSE(CONTROL!$C$15, $E$9, 100%, $G$9) + CHOOSE(CONTROL!$C$38, 0.0357, 0)</f>
        <v>30.915199999999999</v>
      </c>
      <c r="H412" s="10">
        <f>30.8795 * CHOOSE(CONTROL!$C$15, $E$9, 100%, $G$9) + CHOOSE(CONTROL!$C$38, 0.0357, 0)</f>
        <v>30.915199999999999</v>
      </c>
      <c r="I412" s="10">
        <f>30.8811 * CHOOSE(CONTROL!$C$15, $E$9, 100%, $G$9) + CHOOSE(CONTROL!$C$38, 0.0357, 0)</f>
        <v>30.916799999999999</v>
      </c>
      <c r="J412" s="26">
        <f>226.2818</f>
        <v>226.2818</v>
      </c>
    </row>
    <row r="413" spans="1:10" ht="15.75">
      <c r="A413" s="14">
        <v>53873</v>
      </c>
      <c r="B413" s="10">
        <f>33.1697 * CHOOSE(CONTROL!$C$15, $E$9, 100%, $G$9) + CHOOSE(CONTROL!$C$38, 0.0266, 0)</f>
        <v>33.196300000000001</v>
      </c>
      <c r="C413" s="10">
        <f>30.5192 * CHOOSE(CONTROL!$C$15, $E$9, 100%, $G$9) + CHOOSE(CONTROL!$C$38, 0.0357, 0)</f>
        <v>30.5549</v>
      </c>
      <c r="D413" s="10">
        <f>30.5114 * CHOOSE(CONTROL!$C$15, $E$9, 100%, $G$9) + CHOOSE(CONTROL!$C$38, 0.0357, 0)</f>
        <v>30.547099999999997</v>
      </c>
      <c r="E413" s="28">
        <f>33.0134 * CHOOSE(CONTROL!$C$15, $E$9, 100%, $G$9) + CHOOSE(CONTROL!$C$38, 0.0357, 0)</f>
        <v>33.049099999999996</v>
      </c>
      <c r="F413" s="27">
        <f>33.0134 * CHOOSE(CONTROL!$C$15, $E$9, 100%, $G$9) + CHOOSE(CONTROL!$C$38, 0.0266, 0)</f>
        <v>33.04</v>
      </c>
      <c r="G413" s="10">
        <f>30.5177 * CHOOSE(CONTROL!$C$15, $E$9, 100%, $G$9) + CHOOSE(CONTROL!$C$38, 0.0357, 0)</f>
        <v>30.5534</v>
      </c>
      <c r="H413" s="10">
        <f>30.5177 * CHOOSE(CONTROL!$C$15, $E$9, 100%, $G$9) + CHOOSE(CONTROL!$C$38, 0.0357, 0)</f>
        <v>30.5534</v>
      </c>
      <c r="I413" s="10">
        <f>30.5192 * CHOOSE(CONTROL!$C$15, $E$9, 100%, $G$9) + CHOOSE(CONTROL!$C$38, 0.0357, 0)</f>
        <v>30.5549</v>
      </c>
      <c r="J413" s="26">
        <f>229.5423</f>
        <v>229.54230000000001</v>
      </c>
    </row>
    <row r="414" spans="1:10" ht="15.75">
      <c r="A414" s="14">
        <v>53904</v>
      </c>
      <c r="B414" s="10">
        <f>32.9632 * CHOOSE(CONTROL!$C$15, $E$9, 100%, $G$9) + CHOOSE(CONTROL!$C$38, 0.0266, 0)</f>
        <v>32.989800000000002</v>
      </c>
      <c r="C414" s="10">
        <f>30.3127 * CHOOSE(CONTROL!$C$15, $E$9, 100%, $G$9) + CHOOSE(CONTROL!$C$38, 0.0357, 0)</f>
        <v>30.348399999999998</v>
      </c>
      <c r="D414" s="10">
        <f>30.3049 * CHOOSE(CONTROL!$C$15, $E$9, 100%, $G$9) + CHOOSE(CONTROL!$C$38, 0.0357, 0)</f>
        <v>30.340599999999998</v>
      </c>
      <c r="E414" s="28">
        <f>32.8069 * CHOOSE(CONTROL!$C$15, $E$9, 100%, $G$9) + CHOOSE(CONTROL!$C$38, 0.0357, 0)</f>
        <v>32.842599999999997</v>
      </c>
      <c r="F414" s="27">
        <f>32.8069 * CHOOSE(CONTROL!$C$15, $E$9, 100%, $G$9) + CHOOSE(CONTROL!$C$38, 0.0266, 0)</f>
        <v>32.833500000000001</v>
      </c>
      <c r="G414" s="10">
        <f>30.3112 * CHOOSE(CONTROL!$C$15, $E$9, 100%, $G$9) + CHOOSE(CONTROL!$C$38, 0.0357, 0)</f>
        <v>30.346899999999998</v>
      </c>
      <c r="H414" s="10">
        <f>30.3112 * CHOOSE(CONTROL!$C$15, $E$9, 100%, $G$9) + CHOOSE(CONTROL!$C$38, 0.0357, 0)</f>
        <v>30.346899999999998</v>
      </c>
      <c r="I414" s="10">
        <f>30.3127 * CHOOSE(CONTROL!$C$15, $E$9, 100%, $G$9) + CHOOSE(CONTROL!$C$38, 0.0357, 0)</f>
        <v>30.348399999999998</v>
      </c>
      <c r="J414" s="26">
        <f>228.4688</f>
        <v>228.46879999999999</v>
      </c>
    </row>
    <row r="415" spans="1:10" ht="15.75">
      <c r="A415" s="14">
        <v>53935</v>
      </c>
      <c r="B415" s="10">
        <f>33.0651 * CHOOSE(CONTROL!$C$15, $E$9, 100%, $G$9) + CHOOSE(CONTROL!$C$38, 0.0266, 0)</f>
        <v>33.091700000000003</v>
      </c>
      <c r="C415" s="10">
        <f>30.4147 * CHOOSE(CONTROL!$C$15, $E$9, 100%, $G$9) + CHOOSE(CONTROL!$C$38, 0.0357, 0)</f>
        <v>30.450399999999998</v>
      </c>
      <c r="D415" s="10">
        <f>30.4068 * CHOOSE(CONTROL!$C$15, $E$9, 100%, $G$9) + CHOOSE(CONTROL!$C$38, 0.0357, 0)</f>
        <v>30.442499999999999</v>
      </c>
      <c r="E415" s="28">
        <f>32.9088 * CHOOSE(CONTROL!$C$15, $E$9, 100%, $G$9) + CHOOSE(CONTROL!$C$38, 0.0357, 0)</f>
        <v>32.944499999999998</v>
      </c>
      <c r="F415" s="27">
        <f>32.9088 * CHOOSE(CONTROL!$C$15, $E$9, 100%, $G$9) + CHOOSE(CONTROL!$C$38, 0.0266, 0)</f>
        <v>32.935400000000001</v>
      </c>
      <c r="G415" s="10">
        <f>30.4131 * CHOOSE(CONTROL!$C$15, $E$9, 100%, $G$9) + CHOOSE(CONTROL!$C$38, 0.0357, 0)</f>
        <v>30.448799999999999</v>
      </c>
      <c r="H415" s="10">
        <f>30.4131 * CHOOSE(CONTROL!$C$15, $E$9, 100%, $G$9) + CHOOSE(CONTROL!$C$38, 0.0357, 0)</f>
        <v>30.448799999999999</v>
      </c>
      <c r="I415" s="10">
        <f>30.4147 * CHOOSE(CONTROL!$C$15, $E$9, 100%, $G$9) + CHOOSE(CONTROL!$C$38, 0.0357, 0)</f>
        <v>30.450399999999998</v>
      </c>
      <c r="J415" s="26">
        <f>223.1502</f>
        <v>223.15020000000001</v>
      </c>
    </row>
    <row r="416" spans="1:10" ht="15.75">
      <c r="A416" s="14">
        <v>53965</v>
      </c>
      <c r="B416" s="10">
        <f>33.3419 * CHOOSE(CONTROL!$C$15, $E$9, 100%, $G$9) + CHOOSE(CONTROL!$C$38, 0.0266, 0)</f>
        <v>33.368500000000004</v>
      </c>
      <c r="C416" s="10">
        <f>30.6915 * CHOOSE(CONTROL!$C$15, $E$9, 100%, $G$9) + CHOOSE(CONTROL!$C$38, 0.0357, 0)</f>
        <v>30.7272</v>
      </c>
      <c r="D416" s="10">
        <f>30.6836 * CHOOSE(CONTROL!$C$15, $E$9, 100%, $G$9) + CHOOSE(CONTROL!$C$38, 0.0357, 0)</f>
        <v>30.719299999999997</v>
      </c>
      <c r="E416" s="28">
        <f>33.1856 * CHOOSE(CONTROL!$C$15, $E$9, 100%, $G$9) + CHOOSE(CONTROL!$C$38, 0.0357, 0)</f>
        <v>33.221299999999999</v>
      </c>
      <c r="F416" s="27">
        <f>33.1856 * CHOOSE(CONTROL!$C$15, $E$9, 100%, $G$9) + CHOOSE(CONTROL!$C$38, 0.0266, 0)</f>
        <v>33.212200000000003</v>
      </c>
      <c r="G416" s="10">
        <f>30.6899 * CHOOSE(CONTROL!$C$15, $E$9, 100%, $G$9) + CHOOSE(CONTROL!$C$38, 0.0357, 0)</f>
        <v>30.7256</v>
      </c>
      <c r="H416" s="10">
        <f>30.6899 * CHOOSE(CONTROL!$C$15, $E$9, 100%, $G$9) + CHOOSE(CONTROL!$C$38, 0.0357, 0)</f>
        <v>30.7256</v>
      </c>
      <c r="I416" s="10">
        <f>30.6915 * CHOOSE(CONTROL!$C$15, $E$9, 100%, $G$9) + CHOOSE(CONTROL!$C$38, 0.0357, 0)</f>
        <v>30.7272</v>
      </c>
      <c r="J416" s="26">
        <f>215.733</f>
        <v>215.733</v>
      </c>
    </row>
    <row r="417" spans="1:10" ht="15.75">
      <c r="A417" s="14">
        <v>53996</v>
      </c>
      <c r="B417" s="10">
        <f>33.5737 * CHOOSE(CONTROL!$C$15, $E$9, 100%, $G$9) + CHOOSE(CONTROL!$C$38, 0.0266, 0)</f>
        <v>33.600300000000004</v>
      </c>
      <c r="C417" s="10">
        <f>30.9233 * CHOOSE(CONTROL!$C$15, $E$9, 100%, $G$9) + CHOOSE(CONTROL!$C$38, 0.0357, 0)</f>
        <v>30.959</v>
      </c>
      <c r="D417" s="10">
        <f>30.9155 * CHOOSE(CONTROL!$C$15, $E$9, 100%, $G$9) + CHOOSE(CONTROL!$C$38, 0.0357, 0)</f>
        <v>30.9512</v>
      </c>
      <c r="E417" s="28">
        <f>33.4175 * CHOOSE(CONTROL!$C$15, $E$9, 100%, $G$9) + CHOOSE(CONTROL!$C$38, 0.0357, 0)</f>
        <v>33.453199999999995</v>
      </c>
      <c r="F417" s="27">
        <f>33.4175 * CHOOSE(CONTROL!$C$15, $E$9, 100%, $G$9) + CHOOSE(CONTROL!$C$38, 0.0266, 0)</f>
        <v>33.444099999999999</v>
      </c>
      <c r="G417" s="10">
        <f>30.9217 * CHOOSE(CONTROL!$C$15, $E$9, 100%, $G$9) + CHOOSE(CONTROL!$C$38, 0.0357, 0)</f>
        <v>30.9574</v>
      </c>
      <c r="H417" s="10">
        <f>30.9217 * CHOOSE(CONTROL!$C$15, $E$9, 100%, $G$9) + CHOOSE(CONTROL!$C$38, 0.0357, 0)</f>
        <v>30.9574</v>
      </c>
      <c r="I417" s="10">
        <f>30.9233 * CHOOSE(CONTROL!$C$15, $E$9, 100%, $G$9) + CHOOSE(CONTROL!$C$38, 0.0357, 0)</f>
        <v>30.959</v>
      </c>
      <c r="J417" s="26">
        <f>208.2728</f>
        <v>208.27279999999999</v>
      </c>
    </row>
    <row r="418" spans="1:10" ht="15.75">
      <c r="A418" s="14">
        <v>54026</v>
      </c>
      <c r="B418" s="10">
        <f>33.7671 * CHOOSE(CONTROL!$C$15, $E$9, 100%, $G$9) + CHOOSE(CONTROL!$C$38, 0.0266, 0)</f>
        <v>33.793700000000001</v>
      </c>
      <c r="C418" s="10">
        <f>31.1167 * CHOOSE(CONTROL!$C$15, $E$9, 100%, $G$9) + CHOOSE(CONTROL!$C$38, 0.0357, 0)</f>
        <v>31.1524</v>
      </c>
      <c r="D418" s="10">
        <f>31.1089 * CHOOSE(CONTROL!$C$15, $E$9, 100%, $G$9) + CHOOSE(CONTROL!$C$38, 0.0357, 0)</f>
        <v>31.144599999999997</v>
      </c>
      <c r="E418" s="28">
        <f>33.6109 * CHOOSE(CONTROL!$C$15, $E$9, 100%, $G$9) + CHOOSE(CONTROL!$C$38, 0.0357, 0)</f>
        <v>33.646599999999999</v>
      </c>
      <c r="F418" s="27">
        <f>33.6109 * CHOOSE(CONTROL!$C$15, $E$9, 100%, $G$9) + CHOOSE(CONTROL!$C$38, 0.0266, 0)</f>
        <v>33.637500000000003</v>
      </c>
      <c r="G418" s="10">
        <f>31.1152 * CHOOSE(CONTROL!$C$15, $E$9, 100%, $G$9) + CHOOSE(CONTROL!$C$38, 0.0357, 0)</f>
        <v>31.1509</v>
      </c>
      <c r="H418" s="10">
        <f>31.1152 * CHOOSE(CONTROL!$C$15, $E$9, 100%, $G$9) + CHOOSE(CONTROL!$C$38, 0.0357, 0)</f>
        <v>31.1509</v>
      </c>
      <c r="I418" s="10">
        <f>31.1167 * CHOOSE(CONTROL!$C$15, $E$9, 100%, $G$9) + CHOOSE(CONTROL!$C$38, 0.0357, 0)</f>
        <v>31.1524</v>
      </c>
      <c r="J418" s="26">
        <f>206.7888</f>
        <v>206.78880000000001</v>
      </c>
    </row>
    <row r="419" spans="1:10" ht="15.75">
      <c r="A419" s="14">
        <v>54057</v>
      </c>
      <c r="B419" s="10">
        <f>34.3632 * CHOOSE(CONTROL!$C$15, $E$9, 100%, $G$9) + CHOOSE(CONTROL!$C$38, 0.0266, 0)</f>
        <v>34.389800000000001</v>
      </c>
      <c r="C419" s="10">
        <f>31.7128 * CHOOSE(CONTROL!$C$15, $E$9, 100%, $G$9) + CHOOSE(CONTROL!$C$38, 0.0357, 0)</f>
        <v>31.7485</v>
      </c>
      <c r="D419" s="10">
        <f>31.705 * CHOOSE(CONTROL!$C$15, $E$9, 100%, $G$9) + CHOOSE(CONTROL!$C$38, 0.0357, 0)</f>
        <v>31.740699999999997</v>
      </c>
      <c r="E419" s="28">
        <f>34.207 * CHOOSE(CONTROL!$C$15, $E$9, 100%, $G$9) + CHOOSE(CONTROL!$C$38, 0.0357, 0)</f>
        <v>34.242699999999999</v>
      </c>
      <c r="F419" s="27">
        <f>34.207 * CHOOSE(CONTROL!$C$15, $E$9, 100%, $G$9) + CHOOSE(CONTROL!$C$38, 0.0266, 0)</f>
        <v>34.233600000000003</v>
      </c>
      <c r="G419" s="10">
        <f>31.7112 * CHOOSE(CONTROL!$C$15, $E$9, 100%, $G$9) + CHOOSE(CONTROL!$C$38, 0.0357, 0)</f>
        <v>31.7469</v>
      </c>
      <c r="H419" s="10">
        <f>31.7112 * CHOOSE(CONTROL!$C$15, $E$9, 100%, $G$9) + CHOOSE(CONTROL!$C$38, 0.0357, 0)</f>
        <v>31.7469</v>
      </c>
      <c r="I419" s="10">
        <f>31.7128 * CHOOSE(CONTROL!$C$15, $E$9, 100%, $G$9) + CHOOSE(CONTROL!$C$38, 0.0357, 0)</f>
        <v>31.7485</v>
      </c>
      <c r="J419" s="26">
        <f>200.6523</f>
        <v>200.6523</v>
      </c>
    </row>
    <row r="420" spans="1:10" ht="15.75">
      <c r="A420" s="14">
        <v>54088</v>
      </c>
      <c r="B420" s="10">
        <f>35.4203 * CHOOSE(CONTROL!$C$15, $E$9, 100%, $G$9) + CHOOSE(CONTROL!$C$38, 0.0266, 0)</f>
        <v>35.446899999999999</v>
      </c>
      <c r="C420" s="10">
        <f>32.7258 * CHOOSE(CONTROL!$C$15, $E$9, 100%, $G$9) + CHOOSE(CONTROL!$C$38, 0.0357, 0)</f>
        <v>32.761499999999998</v>
      </c>
      <c r="D420" s="10">
        <f>32.718 * CHOOSE(CONTROL!$C$15, $E$9, 100%, $G$9) + CHOOSE(CONTROL!$C$38, 0.0357, 0)</f>
        <v>32.753700000000002</v>
      </c>
      <c r="E420" s="28">
        <f>35.2641 * CHOOSE(CONTROL!$C$15, $E$9, 100%, $G$9) + CHOOSE(CONTROL!$C$38, 0.0357, 0)</f>
        <v>35.299799999999998</v>
      </c>
      <c r="F420" s="27">
        <f>35.2641 * CHOOSE(CONTROL!$C$15, $E$9, 100%, $G$9) + CHOOSE(CONTROL!$C$38, 0.0266, 0)</f>
        <v>35.290700000000001</v>
      </c>
      <c r="G420" s="10">
        <f>32.7242 * CHOOSE(CONTROL!$C$15, $E$9, 100%, $G$9) + CHOOSE(CONTROL!$C$38, 0.0357, 0)</f>
        <v>32.759900000000002</v>
      </c>
      <c r="H420" s="10">
        <f>32.7242 * CHOOSE(CONTROL!$C$15, $E$9, 100%, $G$9) + CHOOSE(CONTROL!$C$38, 0.0357, 0)</f>
        <v>32.759900000000002</v>
      </c>
      <c r="I420" s="10">
        <f>32.7258 * CHOOSE(CONTROL!$C$15, $E$9, 100%, $G$9) + CHOOSE(CONTROL!$C$38, 0.0357, 0)</f>
        <v>32.761499999999998</v>
      </c>
      <c r="J420" s="26">
        <f>199.3082</f>
        <v>199.3082</v>
      </c>
    </row>
    <row r="421" spans="1:10" ht="15.75">
      <c r="A421" s="14">
        <v>54116</v>
      </c>
      <c r="B421" s="10">
        <f>35.6411 * CHOOSE(CONTROL!$C$15, $E$9, 100%, $G$9) + CHOOSE(CONTROL!$C$38, 0.0266, 0)</f>
        <v>35.667700000000004</v>
      </c>
      <c r="C421" s="10">
        <f>32.9466 * CHOOSE(CONTROL!$C$15, $E$9, 100%, $G$9) + CHOOSE(CONTROL!$C$38, 0.0357, 0)</f>
        <v>32.982299999999995</v>
      </c>
      <c r="D421" s="10">
        <f>32.9388 * CHOOSE(CONTROL!$C$15, $E$9, 100%, $G$9) + CHOOSE(CONTROL!$C$38, 0.0357, 0)</f>
        <v>32.974499999999999</v>
      </c>
      <c r="E421" s="28">
        <f>35.4848 * CHOOSE(CONTROL!$C$15, $E$9, 100%, $G$9) + CHOOSE(CONTROL!$C$38, 0.0357, 0)</f>
        <v>35.520499999999998</v>
      </c>
      <c r="F421" s="27">
        <f>35.4848 * CHOOSE(CONTROL!$C$15, $E$9, 100%, $G$9) + CHOOSE(CONTROL!$C$38, 0.0266, 0)</f>
        <v>35.511400000000002</v>
      </c>
      <c r="G421" s="10">
        <f>32.945 * CHOOSE(CONTROL!$C$15, $E$9, 100%, $G$9) + CHOOSE(CONTROL!$C$38, 0.0357, 0)</f>
        <v>32.980699999999999</v>
      </c>
      <c r="H421" s="10">
        <f>32.945 * CHOOSE(CONTROL!$C$15, $E$9, 100%, $G$9) + CHOOSE(CONTROL!$C$38, 0.0357, 0)</f>
        <v>32.980699999999999</v>
      </c>
      <c r="I421" s="10">
        <f>32.9466 * CHOOSE(CONTROL!$C$15, $E$9, 100%, $G$9) + CHOOSE(CONTROL!$C$38, 0.0357, 0)</f>
        <v>32.982299999999995</v>
      </c>
      <c r="J421" s="26">
        <f>198.7542</f>
        <v>198.7542</v>
      </c>
    </row>
    <row r="422" spans="1:10" ht="15.75">
      <c r="A422" s="14">
        <v>54148</v>
      </c>
      <c r="B422" s="10">
        <f>35.13 * CHOOSE(CONTROL!$C$15, $E$9, 100%, $G$9) + CHOOSE(CONTROL!$C$38, 0.0266, 0)</f>
        <v>35.156600000000005</v>
      </c>
      <c r="C422" s="10">
        <f>32.4355 * CHOOSE(CONTROL!$C$15, $E$9, 100%, $G$9) + CHOOSE(CONTROL!$C$38, 0.0357, 0)</f>
        <v>32.471199999999996</v>
      </c>
      <c r="D422" s="10">
        <f>32.4277 * CHOOSE(CONTROL!$C$15, $E$9, 100%, $G$9) + CHOOSE(CONTROL!$C$38, 0.0357, 0)</f>
        <v>32.4634</v>
      </c>
      <c r="E422" s="28">
        <f>34.9738 * CHOOSE(CONTROL!$C$15, $E$9, 100%, $G$9) + CHOOSE(CONTROL!$C$38, 0.0357, 0)</f>
        <v>35.009499999999996</v>
      </c>
      <c r="F422" s="27">
        <f>34.9738 * CHOOSE(CONTROL!$C$15, $E$9, 100%, $G$9) + CHOOSE(CONTROL!$C$38, 0.0266, 0)</f>
        <v>35.000399999999999</v>
      </c>
      <c r="G422" s="10">
        <f>32.434 * CHOOSE(CONTROL!$C$15, $E$9, 100%, $G$9) + CHOOSE(CONTROL!$C$38, 0.0357, 0)</f>
        <v>32.469699999999996</v>
      </c>
      <c r="H422" s="10">
        <f>32.434 * CHOOSE(CONTROL!$C$15, $E$9, 100%, $G$9) + CHOOSE(CONTROL!$C$38, 0.0357, 0)</f>
        <v>32.469699999999996</v>
      </c>
      <c r="I422" s="10">
        <f>32.4355 * CHOOSE(CONTROL!$C$15, $E$9, 100%, $G$9) + CHOOSE(CONTROL!$C$38, 0.0357, 0)</f>
        <v>32.471199999999996</v>
      </c>
      <c r="J422" s="26">
        <f>209.2297</f>
        <v>209.22970000000001</v>
      </c>
    </row>
    <row r="423" spans="1:10" ht="15.75">
      <c r="A423" s="14">
        <v>54178</v>
      </c>
      <c r="B423" s="10">
        <f>34.6349 * CHOOSE(CONTROL!$C$15, $E$9, 100%, $G$9) + CHOOSE(CONTROL!$C$38, 0.0266, 0)</f>
        <v>34.661500000000004</v>
      </c>
      <c r="C423" s="10">
        <f>31.9404 * CHOOSE(CONTROL!$C$15, $E$9, 100%, $G$9) + CHOOSE(CONTROL!$C$38, 0.0357, 0)</f>
        <v>31.976099999999999</v>
      </c>
      <c r="D423" s="10">
        <f>31.9325 * CHOOSE(CONTROL!$C$15, $E$9, 100%, $G$9) + CHOOSE(CONTROL!$C$38, 0.0357, 0)</f>
        <v>31.9682</v>
      </c>
      <c r="E423" s="28">
        <f>34.4786 * CHOOSE(CONTROL!$C$15, $E$9, 100%, $G$9) + CHOOSE(CONTROL!$C$38, 0.0357, 0)</f>
        <v>34.514299999999999</v>
      </c>
      <c r="F423" s="27">
        <f>34.4786 * CHOOSE(CONTROL!$C$15, $E$9, 100%, $G$9) + CHOOSE(CONTROL!$C$38, 0.0266, 0)</f>
        <v>34.505200000000002</v>
      </c>
      <c r="G423" s="10">
        <f>31.9388 * CHOOSE(CONTROL!$C$15, $E$9, 100%, $G$9) + CHOOSE(CONTROL!$C$38, 0.0357, 0)</f>
        <v>31.974499999999999</v>
      </c>
      <c r="H423" s="10">
        <f>31.9388 * CHOOSE(CONTROL!$C$15, $E$9, 100%, $G$9) + CHOOSE(CONTROL!$C$38, 0.0357, 0)</f>
        <v>31.974499999999999</v>
      </c>
      <c r="I423" s="10">
        <f>31.9404 * CHOOSE(CONTROL!$C$15, $E$9, 100%, $G$9) + CHOOSE(CONTROL!$C$38, 0.0357, 0)</f>
        <v>31.976099999999999</v>
      </c>
      <c r="J423" s="26">
        <f>222.8139</f>
        <v>222.81389999999999</v>
      </c>
    </row>
    <row r="424" spans="1:10" ht="15.75">
      <c r="A424" s="14">
        <v>54209</v>
      </c>
      <c r="B424" s="10">
        <f>34.1187 * CHOOSE(CONTROL!$C$15, $E$9, 100%, $G$9) + CHOOSE(CONTROL!$C$38, 0.0266, 0)</f>
        <v>34.145299999999999</v>
      </c>
      <c r="C424" s="10">
        <f>31.4242 * CHOOSE(CONTROL!$C$15, $E$9, 100%, $G$9) + CHOOSE(CONTROL!$C$38, 0.0357, 0)</f>
        <v>31.459899999999998</v>
      </c>
      <c r="D424" s="10">
        <f>31.4164 * CHOOSE(CONTROL!$C$15, $E$9, 100%, $G$9) + CHOOSE(CONTROL!$C$38, 0.0357, 0)</f>
        <v>31.452099999999998</v>
      </c>
      <c r="E424" s="28">
        <f>33.9625 * CHOOSE(CONTROL!$C$15, $E$9, 100%, $G$9) + CHOOSE(CONTROL!$C$38, 0.0357, 0)</f>
        <v>33.998199999999997</v>
      </c>
      <c r="F424" s="27">
        <f>33.9625 * CHOOSE(CONTROL!$C$15, $E$9, 100%, $G$9) + CHOOSE(CONTROL!$C$38, 0.0266, 0)</f>
        <v>33.989100000000001</v>
      </c>
      <c r="G424" s="10">
        <f>31.4227 * CHOOSE(CONTROL!$C$15, $E$9, 100%, $G$9) + CHOOSE(CONTROL!$C$38, 0.0357, 0)</f>
        <v>31.458399999999997</v>
      </c>
      <c r="H424" s="10">
        <f>31.4227 * CHOOSE(CONTROL!$C$15, $E$9, 100%, $G$9) + CHOOSE(CONTROL!$C$38, 0.0357, 0)</f>
        <v>31.458399999999997</v>
      </c>
      <c r="I424" s="10">
        <f>31.4242 * CHOOSE(CONTROL!$C$15, $E$9, 100%, $G$9) + CHOOSE(CONTROL!$C$38, 0.0357, 0)</f>
        <v>31.459899999999998</v>
      </c>
      <c r="J424" s="26">
        <f>230.2911</f>
        <v>230.2911</v>
      </c>
    </row>
    <row r="425" spans="1:10" ht="15.75">
      <c r="A425" s="14">
        <v>54239</v>
      </c>
      <c r="B425" s="10">
        <f>33.7569 * CHOOSE(CONTROL!$C$15, $E$9, 100%, $G$9) + CHOOSE(CONTROL!$C$38, 0.0266, 0)</f>
        <v>33.783500000000004</v>
      </c>
      <c r="C425" s="10">
        <f>31.0624 * CHOOSE(CONTROL!$C$15, $E$9, 100%, $G$9) + CHOOSE(CONTROL!$C$38, 0.0357, 0)</f>
        <v>31.098099999999999</v>
      </c>
      <c r="D425" s="10">
        <f>31.0546 * CHOOSE(CONTROL!$C$15, $E$9, 100%, $G$9) + CHOOSE(CONTROL!$C$38, 0.0357, 0)</f>
        <v>31.090299999999999</v>
      </c>
      <c r="E425" s="28">
        <f>33.6007 * CHOOSE(CONTROL!$C$15, $E$9, 100%, $G$9) + CHOOSE(CONTROL!$C$38, 0.0357, 0)</f>
        <v>33.636400000000002</v>
      </c>
      <c r="F425" s="27">
        <f>33.6007 * CHOOSE(CONTROL!$C$15, $E$9, 100%, $G$9) + CHOOSE(CONTROL!$C$38, 0.0266, 0)</f>
        <v>33.627300000000005</v>
      </c>
      <c r="G425" s="10">
        <f>31.0609 * CHOOSE(CONTROL!$C$15, $E$9, 100%, $G$9) + CHOOSE(CONTROL!$C$38, 0.0357, 0)</f>
        <v>31.096599999999999</v>
      </c>
      <c r="H425" s="10">
        <f>31.0609 * CHOOSE(CONTROL!$C$15, $E$9, 100%, $G$9) + CHOOSE(CONTROL!$C$38, 0.0357, 0)</f>
        <v>31.096599999999999</v>
      </c>
      <c r="I425" s="10">
        <f>31.0624 * CHOOSE(CONTROL!$C$15, $E$9, 100%, $G$9) + CHOOSE(CONTROL!$C$38, 0.0357, 0)</f>
        <v>31.098099999999999</v>
      </c>
      <c r="J425" s="26">
        <f>233.6094</f>
        <v>233.60939999999999</v>
      </c>
    </row>
    <row r="426" spans="1:10" ht="15.75">
      <c r="A426" s="14">
        <v>54270</v>
      </c>
      <c r="B426" s="10">
        <f>33.5504 * CHOOSE(CONTROL!$C$15, $E$9, 100%, $G$9) + CHOOSE(CONTROL!$C$38, 0.0266, 0)</f>
        <v>33.577000000000005</v>
      </c>
      <c r="C426" s="10">
        <f>30.8559 * CHOOSE(CONTROL!$C$15, $E$9, 100%, $G$9) + CHOOSE(CONTROL!$C$38, 0.0357, 0)</f>
        <v>30.891599999999997</v>
      </c>
      <c r="D426" s="10">
        <f>30.8481 * CHOOSE(CONTROL!$C$15, $E$9, 100%, $G$9) + CHOOSE(CONTROL!$C$38, 0.0357, 0)</f>
        <v>30.883799999999997</v>
      </c>
      <c r="E426" s="28">
        <f>33.3942 * CHOOSE(CONTROL!$C$15, $E$9, 100%, $G$9) + CHOOSE(CONTROL!$C$38, 0.0357, 0)</f>
        <v>33.429899999999996</v>
      </c>
      <c r="F426" s="27">
        <f>33.3942 * CHOOSE(CONTROL!$C$15, $E$9, 100%, $G$9) + CHOOSE(CONTROL!$C$38, 0.0266, 0)</f>
        <v>33.4208</v>
      </c>
      <c r="G426" s="10">
        <f>30.8544 * CHOOSE(CONTROL!$C$15, $E$9, 100%, $G$9) + CHOOSE(CONTROL!$C$38, 0.0357, 0)</f>
        <v>30.890099999999997</v>
      </c>
      <c r="H426" s="10">
        <f>30.8544 * CHOOSE(CONTROL!$C$15, $E$9, 100%, $G$9) + CHOOSE(CONTROL!$C$38, 0.0357, 0)</f>
        <v>30.890099999999997</v>
      </c>
      <c r="I426" s="10">
        <f>30.8559 * CHOOSE(CONTROL!$C$15, $E$9, 100%, $G$9) + CHOOSE(CONTROL!$C$38, 0.0357, 0)</f>
        <v>30.891599999999997</v>
      </c>
      <c r="J426" s="26">
        <f>232.5169</f>
        <v>232.51689999999999</v>
      </c>
    </row>
    <row r="427" spans="1:10" ht="15.75">
      <c r="A427" s="14">
        <v>54301</v>
      </c>
      <c r="B427" s="10">
        <f>33.6523 * CHOOSE(CONTROL!$C$15, $E$9, 100%, $G$9) + CHOOSE(CONTROL!$C$38, 0.0266, 0)</f>
        <v>33.678899999999999</v>
      </c>
      <c r="C427" s="10">
        <f>30.9578 * CHOOSE(CONTROL!$C$15, $E$9, 100%, $G$9) + CHOOSE(CONTROL!$C$38, 0.0357, 0)</f>
        <v>30.993499999999997</v>
      </c>
      <c r="D427" s="10">
        <f>30.95 * CHOOSE(CONTROL!$C$15, $E$9, 100%, $G$9) + CHOOSE(CONTROL!$C$38, 0.0357, 0)</f>
        <v>30.985699999999998</v>
      </c>
      <c r="E427" s="28">
        <f>33.4961 * CHOOSE(CONTROL!$C$15, $E$9, 100%, $G$9) + CHOOSE(CONTROL!$C$38, 0.0357, 0)</f>
        <v>33.531799999999997</v>
      </c>
      <c r="F427" s="27">
        <f>33.4961 * CHOOSE(CONTROL!$C$15, $E$9, 100%, $G$9) + CHOOSE(CONTROL!$C$38, 0.0266, 0)</f>
        <v>33.5227</v>
      </c>
      <c r="G427" s="10">
        <f>30.9563 * CHOOSE(CONTROL!$C$15, $E$9, 100%, $G$9) + CHOOSE(CONTROL!$C$38, 0.0357, 0)</f>
        <v>30.991999999999997</v>
      </c>
      <c r="H427" s="10">
        <f>30.9563 * CHOOSE(CONTROL!$C$15, $E$9, 100%, $G$9) + CHOOSE(CONTROL!$C$38, 0.0357, 0)</f>
        <v>30.991999999999997</v>
      </c>
      <c r="I427" s="10">
        <f>30.9578 * CHOOSE(CONTROL!$C$15, $E$9, 100%, $G$9) + CHOOSE(CONTROL!$C$38, 0.0357, 0)</f>
        <v>30.993499999999997</v>
      </c>
      <c r="J427" s="26">
        <f>227.104</f>
        <v>227.10400000000001</v>
      </c>
    </row>
    <row r="428" spans="1:10" ht="15.75">
      <c r="A428" s="14">
        <v>54331</v>
      </c>
      <c r="B428" s="10">
        <f>33.9291 * CHOOSE(CONTROL!$C$15, $E$9, 100%, $G$9) + CHOOSE(CONTROL!$C$38, 0.0266, 0)</f>
        <v>33.9557</v>
      </c>
      <c r="C428" s="10">
        <f>31.2346 * CHOOSE(CONTROL!$C$15, $E$9, 100%, $G$9) + CHOOSE(CONTROL!$C$38, 0.0357, 0)</f>
        <v>31.270299999999999</v>
      </c>
      <c r="D428" s="10">
        <f>31.2268 * CHOOSE(CONTROL!$C$15, $E$9, 100%, $G$9) + CHOOSE(CONTROL!$C$38, 0.0357, 0)</f>
        <v>31.262499999999999</v>
      </c>
      <c r="E428" s="28">
        <f>33.7729 * CHOOSE(CONTROL!$C$15, $E$9, 100%, $G$9) + CHOOSE(CONTROL!$C$38, 0.0357, 0)</f>
        <v>33.808599999999998</v>
      </c>
      <c r="F428" s="27">
        <f>33.7729 * CHOOSE(CONTROL!$C$15, $E$9, 100%, $G$9) + CHOOSE(CONTROL!$C$38, 0.0266, 0)</f>
        <v>33.799500000000002</v>
      </c>
      <c r="G428" s="10">
        <f>31.2331 * CHOOSE(CONTROL!$C$15, $E$9, 100%, $G$9) + CHOOSE(CONTROL!$C$38, 0.0357, 0)</f>
        <v>31.268799999999999</v>
      </c>
      <c r="H428" s="10">
        <f>31.2331 * CHOOSE(CONTROL!$C$15, $E$9, 100%, $G$9) + CHOOSE(CONTROL!$C$38, 0.0357, 0)</f>
        <v>31.268799999999999</v>
      </c>
      <c r="I428" s="10">
        <f>31.2346 * CHOOSE(CONTROL!$C$15, $E$9, 100%, $G$9) + CHOOSE(CONTROL!$C$38, 0.0357, 0)</f>
        <v>31.270299999999999</v>
      </c>
      <c r="J428" s="26">
        <f>219.5554</f>
        <v>219.55539999999999</v>
      </c>
    </row>
    <row r="429" spans="1:10" ht="15.75">
      <c r="A429" s="14">
        <v>54362</v>
      </c>
      <c r="B429" s="10">
        <f>34.1609 * CHOOSE(CONTROL!$C$15, $E$9, 100%, $G$9) + CHOOSE(CONTROL!$C$38, 0.0266, 0)</f>
        <v>34.1875</v>
      </c>
      <c r="C429" s="10">
        <f>31.4665 * CHOOSE(CONTROL!$C$15, $E$9, 100%, $G$9) + CHOOSE(CONTROL!$C$38, 0.0357, 0)</f>
        <v>31.502199999999998</v>
      </c>
      <c r="D429" s="10">
        <f>31.4586 * CHOOSE(CONTROL!$C$15, $E$9, 100%, $G$9) + CHOOSE(CONTROL!$C$38, 0.0357, 0)</f>
        <v>31.494299999999999</v>
      </c>
      <c r="E429" s="28">
        <f>34.0047 * CHOOSE(CONTROL!$C$15, $E$9, 100%, $G$9) + CHOOSE(CONTROL!$C$38, 0.0357, 0)</f>
        <v>34.040399999999998</v>
      </c>
      <c r="F429" s="27">
        <f>34.0047 * CHOOSE(CONTROL!$C$15, $E$9, 100%, $G$9) + CHOOSE(CONTROL!$C$38, 0.0266, 0)</f>
        <v>34.031300000000002</v>
      </c>
      <c r="G429" s="10">
        <f>31.4649 * CHOOSE(CONTROL!$C$15, $E$9, 100%, $G$9) + CHOOSE(CONTROL!$C$38, 0.0357, 0)</f>
        <v>31.500599999999999</v>
      </c>
      <c r="H429" s="10">
        <f>31.4649 * CHOOSE(CONTROL!$C$15, $E$9, 100%, $G$9) + CHOOSE(CONTROL!$C$38, 0.0357, 0)</f>
        <v>31.500599999999999</v>
      </c>
      <c r="I429" s="10">
        <f>31.4665 * CHOOSE(CONTROL!$C$15, $E$9, 100%, $G$9) + CHOOSE(CONTROL!$C$38, 0.0357, 0)</f>
        <v>31.502199999999998</v>
      </c>
      <c r="J429" s="26">
        <f>211.963</f>
        <v>211.96299999999999</v>
      </c>
    </row>
    <row r="430" spans="1:10" ht="15.75">
      <c r="A430" s="14">
        <v>54392</v>
      </c>
      <c r="B430" s="10">
        <f>34.3544 * CHOOSE(CONTROL!$C$15, $E$9, 100%, $G$9) + CHOOSE(CONTROL!$C$38, 0.0266, 0)</f>
        <v>34.381</v>
      </c>
      <c r="C430" s="10">
        <f>31.6599 * CHOOSE(CONTROL!$C$15, $E$9, 100%, $G$9) + CHOOSE(CONTROL!$C$38, 0.0357, 0)</f>
        <v>31.695599999999999</v>
      </c>
      <c r="D430" s="10">
        <f>31.6521 * CHOOSE(CONTROL!$C$15, $E$9, 100%, $G$9) + CHOOSE(CONTROL!$C$38, 0.0357, 0)</f>
        <v>31.687799999999999</v>
      </c>
      <c r="E430" s="28">
        <f>34.1981 * CHOOSE(CONTROL!$C$15, $E$9, 100%, $G$9) + CHOOSE(CONTROL!$C$38, 0.0357, 0)</f>
        <v>34.233799999999995</v>
      </c>
      <c r="F430" s="27">
        <f>34.1981 * CHOOSE(CONTROL!$C$15, $E$9, 100%, $G$9) + CHOOSE(CONTROL!$C$38, 0.0266, 0)</f>
        <v>34.224699999999999</v>
      </c>
      <c r="G430" s="10">
        <f>31.6583 * CHOOSE(CONTROL!$C$15, $E$9, 100%, $G$9) + CHOOSE(CONTROL!$C$38, 0.0357, 0)</f>
        <v>31.693999999999999</v>
      </c>
      <c r="H430" s="10">
        <f>31.6583 * CHOOSE(CONTROL!$C$15, $E$9, 100%, $G$9) + CHOOSE(CONTROL!$C$38, 0.0357, 0)</f>
        <v>31.693999999999999</v>
      </c>
      <c r="I430" s="10">
        <f>31.6599 * CHOOSE(CONTROL!$C$15, $E$9, 100%, $G$9) + CHOOSE(CONTROL!$C$38, 0.0357, 0)</f>
        <v>31.695599999999999</v>
      </c>
      <c r="J430" s="26">
        <f>210.4527</f>
        <v>210.45269999999999</v>
      </c>
    </row>
    <row r="431" spans="1:10" ht="15.75">
      <c r="A431" s="14">
        <v>54423</v>
      </c>
      <c r="B431" s="10">
        <f>34.9505 * CHOOSE(CONTROL!$C$15, $E$9, 100%, $G$9) + CHOOSE(CONTROL!$C$38, 0.0266, 0)</f>
        <v>34.9771</v>
      </c>
      <c r="C431" s="10">
        <f>32.256 * CHOOSE(CONTROL!$C$15, $E$9, 100%, $G$9) + CHOOSE(CONTROL!$C$38, 0.0357, 0)</f>
        <v>32.291699999999999</v>
      </c>
      <c r="D431" s="10">
        <f>32.2482 * CHOOSE(CONTROL!$C$15, $E$9, 100%, $G$9) + CHOOSE(CONTROL!$C$38, 0.0357, 0)</f>
        <v>32.283899999999996</v>
      </c>
      <c r="E431" s="28">
        <f>34.7942 * CHOOSE(CONTROL!$C$15, $E$9, 100%, $G$9) + CHOOSE(CONTROL!$C$38, 0.0357, 0)</f>
        <v>34.829899999999995</v>
      </c>
      <c r="F431" s="27">
        <f>34.7942 * CHOOSE(CONTROL!$C$15, $E$9, 100%, $G$9) + CHOOSE(CONTROL!$C$38, 0.0266, 0)</f>
        <v>34.820799999999998</v>
      </c>
      <c r="G431" s="10">
        <f>32.2544 * CHOOSE(CONTROL!$C$15, $E$9, 100%, $G$9) + CHOOSE(CONTROL!$C$38, 0.0357, 0)</f>
        <v>32.290099999999995</v>
      </c>
      <c r="H431" s="10">
        <f>32.2544 * CHOOSE(CONTROL!$C$15, $E$9, 100%, $G$9) + CHOOSE(CONTROL!$C$38, 0.0357, 0)</f>
        <v>32.290099999999995</v>
      </c>
      <c r="I431" s="10">
        <f>32.256 * CHOOSE(CONTROL!$C$15, $E$9, 100%, $G$9) + CHOOSE(CONTROL!$C$38, 0.0357, 0)</f>
        <v>32.291699999999999</v>
      </c>
      <c r="J431" s="26">
        <f>204.2075</f>
        <v>204.20750000000001</v>
      </c>
    </row>
    <row r="432" spans="1:10" ht="15.75">
      <c r="A432" s="14">
        <v>54454</v>
      </c>
      <c r="B432" s="10">
        <f>36.0179 * CHOOSE(CONTROL!$C$15, $E$9, 100%, $G$9) + CHOOSE(CONTROL!$C$38, 0.0266, 0)</f>
        <v>36.044499999999999</v>
      </c>
      <c r="C432" s="10">
        <f>33.2786 * CHOOSE(CONTROL!$C$15, $E$9, 100%, $G$9) + CHOOSE(CONTROL!$C$38, 0.0357, 0)</f>
        <v>33.314299999999996</v>
      </c>
      <c r="D432" s="10">
        <f>33.2708 * CHOOSE(CONTROL!$C$15, $E$9, 100%, $G$9) + CHOOSE(CONTROL!$C$38, 0.0357, 0)</f>
        <v>33.3065</v>
      </c>
      <c r="E432" s="28">
        <f>35.8617 * CHOOSE(CONTROL!$C$15, $E$9, 100%, $G$9) + CHOOSE(CONTROL!$C$38, 0.0357, 0)</f>
        <v>35.897399999999998</v>
      </c>
      <c r="F432" s="27">
        <f>35.8617 * CHOOSE(CONTROL!$C$15, $E$9, 100%, $G$9) + CHOOSE(CONTROL!$C$38, 0.0266, 0)</f>
        <v>35.888300000000001</v>
      </c>
      <c r="G432" s="10">
        <f>33.277 * CHOOSE(CONTROL!$C$15, $E$9, 100%, $G$9) + CHOOSE(CONTROL!$C$38, 0.0357, 0)</f>
        <v>33.3127</v>
      </c>
      <c r="H432" s="10">
        <f>33.277 * CHOOSE(CONTROL!$C$15, $E$9, 100%, $G$9) + CHOOSE(CONTROL!$C$38, 0.0357, 0)</f>
        <v>33.3127</v>
      </c>
      <c r="I432" s="10">
        <f>33.2786 * CHOOSE(CONTROL!$C$15, $E$9, 100%, $G$9) + CHOOSE(CONTROL!$C$38, 0.0357, 0)</f>
        <v>33.314299999999996</v>
      </c>
      <c r="J432" s="26">
        <f>202.8396</f>
        <v>202.83959999999999</v>
      </c>
    </row>
    <row r="433" spans="1:10" ht="15.75">
      <c r="A433" s="14">
        <v>54482</v>
      </c>
      <c r="B433" s="10">
        <f>36.2387 * CHOOSE(CONTROL!$C$15, $E$9, 100%, $G$9) + CHOOSE(CONTROL!$C$38, 0.0266, 0)</f>
        <v>36.265300000000003</v>
      </c>
      <c r="C433" s="10">
        <f>33.4993 * CHOOSE(CONTROL!$C$15, $E$9, 100%, $G$9) + CHOOSE(CONTROL!$C$38, 0.0357, 0)</f>
        <v>33.534999999999997</v>
      </c>
      <c r="D433" s="10">
        <f>33.4915 * CHOOSE(CONTROL!$C$15, $E$9, 100%, $G$9) + CHOOSE(CONTROL!$C$38, 0.0357, 0)</f>
        <v>33.527200000000001</v>
      </c>
      <c r="E433" s="28">
        <f>36.0824 * CHOOSE(CONTROL!$C$15, $E$9, 100%, $G$9) + CHOOSE(CONTROL!$C$38, 0.0357, 0)</f>
        <v>36.118099999999998</v>
      </c>
      <c r="F433" s="27">
        <f>36.0824 * CHOOSE(CONTROL!$C$15, $E$9, 100%, $G$9) + CHOOSE(CONTROL!$C$38, 0.0266, 0)</f>
        <v>36.109000000000002</v>
      </c>
      <c r="G433" s="10">
        <f>33.4978 * CHOOSE(CONTROL!$C$15, $E$9, 100%, $G$9) + CHOOSE(CONTROL!$C$38, 0.0357, 0)</f>
        <v>33.533499999999997</v>
      </c>
      <c r="H433" s="10">
        <f>33.4978 * CHOOSE(CONTROL!$C$15, $E$9, 100%, $G$9) + CHOOSE(CONTROL!$C$38, 0.0357, 0)</f>
        <v>33.533499999999997</v>
      </c>
      <c r="I433" s="10">
        <f>33.4993 * CHOOSE(CONTROL!$C$15, $E$9, 100%, $G$9) + CHOOSE(CONTROL!$C$38, 0.0357, 0)</f>
        <v>33.534999999999997</v>
      </c>
      <c r="J433" s="26">
        <f>202.2758</f>
        <v>202.2758</v>
      </c>
    </row>
    <row r="434" spans="1:10" ht="15.75">
      <c r="A434" s="14">
        <v>54513</v>
      </c>
      <c r="B434" s="10">
        <f>35.7277 * CHOOSE(CONTROL!$C$15, $E$9, 100%, $G$9) + CHOOSE(CONTROL!$C$38, 0.0266, 0)</f>
        <v>35.754300000000001</v>
      </c>
      <c r="C434" s="10">
        <f>32.9883 * CHOOSE(CONTROL!$C$15, $E$9, 100%, $G$9) + CHOOSE(CONTROL!$C$38, 0.0357, 0)</f>
        <v>33.024000000000001</v>
      </c>
      <c r="D434" s="10">
        <f>32.9805 * CHOOSE(CONTROL!$C$15, $E$9, 100%, $G$9) + CHOOSE(CONTROL!$C$38, 0.0357, 0)</f>
        <v>33.016199999999998</v>
      </c>
      <c r="E434" s="28">
        <f>35.5714 * CHOOSE(CONTROL!$C$15, $E$9, 100%, $G$9) + CHOOSE(CONTROL!$C$38, 0.0357, 0)</f>
        <v>35.607099999999996</v>
      </c>
      <c r="F434" s="27">
        <f>35.5714 * CHOOSE(CONTROL!$C$15, $E$9, 100%, $G$9) + CHOOSE(CONTROL!$C$38, 0.0266, 0)</f>
        <v>35.597999999999999</v>
      </c>
      <c r="G434" s="10">
        <f>32.9868 * CHOOSE(CONTROL!$C$15, $E$9, 100%, $G$9) + CHOOSE(CONTROL!$C$38, 0.0357, 0)</f>
        <v>33.022500000000001</v>
      </c>
      <c r="H434" s="10">
        <f>32.9868 * CHOOSE(CONTROL!$C$15, $E$9, 100%, $G$9) + CHOOSE(CONTROL!$C$38, 0.0357, 0)</f>
        <v>33.022500000000001</v>
      </c>
      <c r="I434" s="10">
        <f>32.9883 * CHOOSE(CONTROL!$C$15, $E$9, 100%, $G$9) + CHOOSE(CONTROL!$C$38, 0.0357, 0)</f>
        <v>33.024000000000001</v>
      </c>
      <c r="J434" s="26">
        <f>212.9369</f>
        <v>212.93690000000001</v>
      </c>
    </row>
    <row r="435" spans="1:10" ht="15.75">
      <c r="A435" s="14">
        <v>54543</v>
      </c>
      <c r="B435" s="10">
        <f>35.2325 * CHOOSE(CONTROL!$C$15, $E$9, 100%, $G$9) + CHOOSE(CONTROL!$C$38, 0.0266, 0)</f>
        <v>35.259100000000004</v>
      </c>
      <c r="C435" s="10">
        <f>32.4931 * CHOOSE(CONTROL!$C$15, $E$9, 100%, $G$9) + CHOOSE(CONTROL!$C$38, 0.0357, 0)</f>
        <v>32.528799999999997</v>
      </c>
      <c r="D435" s="10">
        <f>32.4853 * CHOOSE(CONTROL!$C$15, $E$9, 100%, $G$9) + CHOOSE(CONTROL!$C$38, 0.0357, 0)</f>
        <v>32.521000000000001</v>
      </c>
      <c r="E435" s="28">
        <f>35.0762 * CHOOSE(CONTROL!$C$15, $E$9, 100%, $G$9) + CHOOSE(CONTROL!$C$38, 0.0357, 0)</f>
        <v>35.111899999999999</v>
      </c>
      <c r="F435" s="27">
        <f>35.0762 * CHOOSE(CONTROL!$C$15, $E$9, 100%, $G$9) + CHOOSE(CONTROL!$C$38, 0.0266, 0)</f>
        <v>35.102800000000002</v>
      </c>
      <c r="G435" s="10">
        <f>32.4916 * CHOOSE(CONTROL!$C$15, $E$9, 100%, $G$9) + CHOOSE(CONTROL!$C$38, 0.0357, 0)</f>
        <v>32.527299999999997</v>
      </c>
      <c r="H435" s="10">
        <f>32.4916 * CHOOSE(CONTROL!$C$15, $E$9, 100%, $G$9) + CHOOSE(CONTROL!$C$38, 0.0357, 0)</f>
        <v>32.527299999999997</v>
      </c>
      <c r="I435" s="10">
        <f>32.4931 * CHOOSE(CONTROL!$C$15, $E$9, 100%, $G$9) + CHOOSE(CONTROL!$C$38, 0.0357, 0)</f>
        <v>32.528799999999997</v>
      </c>
      <c r="J435" s="26">
        <f>226.7618</f>
        <v>226.76179999999999</v>
      </c>
    </row>
    <row r="436" spans="1:10" ht="15.75">
      <c r="A436" s="14">
        <v>54574</v>
      </c>
      <c r="B436" s="10">
        <f>34.7164 * CHOOSE(CONTROL!$C$15, $E$9, 100%, $G$9) + CHOOSE(CONTROL!$C$38, 0.0266, 0)</f>
        <v>34.743000000000002</v>
      </c>
      <c r="C436" s="10">
        <f>31.977 * CHOOSE(CONTROL!$C$15, $E$9, 100%, $G$9) + CHOOSE(CONTROL!$C$38, 0.0357, 0)</f>
        <v>32.012700000000002</v>
      </c>
      <c r="D436" s="10">
        <f>31.9692 * CHOOSE(CONTROL!$C$15, $E$9, 100%, $G$9) + CHOOSE(CONTROL!$C$38, 0.0357, 0)</f>
        <v>32.004899999999999</v>
      </c>
      <c r="E436" s="28">
        <f>34.5601 * CHOOSE(CONTROL!$C$15, $E$9, 100%, $G$9) + CHOOSE(CONTROL!$C$38, 0.0357, 0)</f>
        <v>34.595799999999997</v>
      </c>
      <c r="F436" s="27">
        <f>34.5601 * CHOOSE(CONTROL!$C$15, $E$9, 100%, $G$9) + CHOOSE(CONTROL!$C$38, 0.0266, 0)</f>
        <v>34.5867</v>
      </c>
      <c r="G436" s="10">
        <f>31.9755 * CHOOSE(CONTROL!$C$15, $E$9, 100%, $G$9) + CHOOSE(CONTROL!$C$38, 0.0357, 0)</f>
        <v>32.011200000000002</v>
      </c>
      <c r="H436" s="10">
        <f>31.9755 * CHOOSE(CONTROL!$C$15, $E$9, 100%, $G$9) + CHOOSE(CONTROL!$C$38, 0.0357, 0)</f>
        <v>32.011200000000002</v>
      </c>
      <c r="I436" s="10">
        <f>31.977 * CHOOSE(CONTROL!$C$15, $E$9, 100%, $G$9) + CHOOSE(CONTROL!$C$38, 0.0357, 0)</f>
        <v>32.012700000000002</v>
      </c>
      <c r="J436" s="26">
        <f>234.3715</f>
        <v>234.3715</v>
      </c>
    </row>
    <row r="437" spans="1:10" ht="15.75">
      <c r="A437" s="14">
        <v>54604</v>
      </c>
      <c r="B437" s="10">
        <f>34.3545 * CHOOSE(CONTROL!$C$15, $E$9, 100%, $G$9) + CHOOSE(CONTROL!$C$38, 0.0266, 0)</f>
        <v>34.381100000000004</v>
      </c>
      <c r="C437" s="10">
        <f>31.6152 * CHOOSE(CONTROL!$C$15, $E$9, 100%, $G$9) + CHOOSE(CONTROL!$C$38, 0.0357, 0)</f>
        <v>31.6509</v>
      </c>
      <c r="D437" s="10">
        <f>31.6074 * CHOOSE(CONTROL!$C$15, $E$9, 100%, $G$9) + CHOOSE(CONTROL!$C$38, 0.0357, 0)</f>
        <v>31.643099999999997</v>
      </c>
      <c r="E437" s="28">
        <f>34.1983 * CHOOSE(CONTROL!$C$15, $E$9, 100%, $G$9) + CHOOSE(CONTROL!$C$38, 0.0357, 0)</f>
        <v>34.234000000000002</v>
      </c>
      <c r="F437" s="27">
        <f>34.1983 * CHOOSE(CONTROL!$C$15, $E$9, 100%, $G$9) + CHOOSE(CONTROL!$C$38, 0.0266, 0)</f>
        <v>34.224900000000005</v>
      </c>
      <c r="G437" s="10">
        <f>31.6136 * CHOOSE(CONTROL!$C$15, $E$9, 100%, $G$9) + CHOOSE(CONTROL!$C$38, 0.0357, 0)</f>
        <v>31.6493</v>
      </c>
      <c r="H437" s="10">
        <f>31.6136 * CHOOSE(CONTROL!$C$15, $E$9, 100%, $G$9) + CHOOSE(CONTROL!$C$38, 0.0357, 0)</f>
        <v>31.6493</v>
      </c>
      <c r="I437" s="10">
        <f>31.6152 * CHOOSE(CONTROL!$C$15, $E$9, 100%, $G$9) + CHOOSE(CONTROL!$C$38, 0.0357, 0)</f>
        <v>31.6509</v>
      </c>
      <c r="J437" s="26">
        <f>237.7485</f>
        <v>237.74850000000001</v>
      </c>
    </row>
    <row r="438" spans="1:10" ht="15.75">
      <c r="A438" s="14">
        <v>54635</v>
      </c>
      <c r="B438" s="10">
        <f>34.148 * CHOOSE(CONTROL!$C$15, $E$9, 100%, $G$9) + CHOOSE(CONTROL!$C$38, 0.0266, 0)</f>
        <v>34.174600000000005</v>
      </c>
      <c r="C438" s="10">
        <f>31.4087 * CHOOSE(CONTROL!$C$15, $E$9, 100%, $G$9) + CHOOSE(CONTROL!$C$38, 0.0357, 0)</f>
        <v>31.444399999999998</v>
      </c>
      <c r="D438" s="10">
        <f>31.4009 * CHOOSE(CONTROL!$C$15, $E$9, 100%, $G$9) + CHOOSE(CONTROL!$C$38, 0.0357, 0)</f>
        <v>31.436599999999999</v>
      </c>
      <c r="E438" s="28">
        <f>33.9918 * CHOOSE(CONTROL!$C$15, $E$9, 100%, $G$9) + CHOOSE(CONTROL!$C$38, 0.0357, 0)</f>
        <v>34.027499999999996</v>
      </c>
      <c r="F438" s="27">
        <f>33.9918 * CHOOSE(CONTROL!$C$15, $E$9, 100%, $G$9) + CHOOSE(CONTROL!$C$38, 0.0266, 0)</f>
        <v>34.0184</v>
      </c>
      <c r="G438" s="10">
        <f>31.4071 * CHOOSE(CONTROL!$C$15, $E$9, 100%, $G$9) + CHOOSE(CONTROL!$C$38, 0.0357, 0)</f>
        <v>31.442799999999998</v>
      </c>
      <c r="H438" s="10">
        <f>31.4071 * CHOOSE(CONTROL!$C$15, $E$9, 100%, $G$9) + CHOOSE(CONTROL!$C$38, 0.0357, 0)</f>
        <v>31.442799999999998</v>
      </c>
      <c r="I438" s="10">
        <f>31.4087 * CHOOSE(CONTROL!$C$15, $E$9, 100%, $G$9) + CHOOSE(CONTROL!$C$38, 0.0357, 0)</f>
        <v>31.444399999999998</v>
      </c>
      <c r="J438" s="26">
        <f>236.6366</f>
        <v>236.63659999999999</v>
      </c>
    </row>
    <row r="439" spans="1:10" ht="15.75">
      <c r="A439" s="14">
        <v>54666</v>
      </c>
      <c r="B439" s="10">
        <f>34.2499 * CHOOSE(CONTROL!$C$15, $E$9, 100%, $G$9) + CHOOSE(CONTROL!$C$38, 0.0266, 0)</f>
        <v>34.276499999999999</v>
      </c>
      <c r="C439" s="10">
        <f>31.5106 * CHOOSE(CONTROL!$C$15, $E$9, 100%, $G$9) + CHOOSE(CONTROL!$C$38, 0.0357, 0)</f>
        <v>31.546299999999999</v>
      </c>
      <c r="D439" s="10">
        <f>31.5028 * CHOOSE(CONTROL!$C$15, $E$9, 100%, $G$9) + CHOOSE(CONTROL!$C$38, 0.0357, 0)</f>
        <v>31.538499999999999</v>
      </c>
      <c r="E439" s="28">
        <f>34.0937 * CHOOSE(CONTROL!$C$15, $E$9, 100%, $G$9) + CHOOSE(CONTROL!$C$38, 0.0357, 0)</f>
        <v>34.129399999999997</v>
      </c>
      <c r="F439" s="27">
        <f>34.0937 * CHOOSE(CONTROL!$C$15, $E$9, 100%, $G$9) + CHOOSE(CONTROL!$C$38, 0.0266, 0)</f>
        <v>34.1203</v>
      </c>
      <c r="G439" s="10">
        <f>31.509 * CHOOSE(CONTROL!$C$15, $E$9, 100%, $G$9) + CHOOSE(CONTROL!$C$38, 0.0357, 0)</f>
        <v>31.544699999999999</v>
      </c>
      <c r="H439" s="10">
        <f>31.509 * CHOOSE(CONTROL!$C$15, $E$9, 100%, $G$9) + CHOOSE(CONTROL!$C$38, 0.0357, 0)</f>
        <v>31.544699999999999</v>
      </c>
      <c r="I439" s="10">
        <f>31.5106 * CHOOSE(CONTROL!$C$15, $E$9, 100%, $G$9) + CHOOSE(CONTROL!$C$38, 0.0357, 0)</f>
        <v>31.546299999999999</v>
      </c>
      <c r="J439" s="26">
        <f>231.1278</f>
        <v>231.12780000000001</v>
      </c>
    </row>
    <row r="440" spans="1:10" ht="15.75">
      <c r="A440" s="14">
        <v>54696</v>
      </c>
      <c r="B440" s="10">
        <f>34.5267 * CHOOSE(CONTROL!$C$15, $E$9, 100%, $G$9) + CHOOSE(CONTROL!$C$38, 0.0266, 0)</f>
        <v>34.5533</v>
      </c>
      <c r="C440" s="10">
        <f>31.7874 * CHOOSE(CONTROL!$C$15, $E$9, 100%, $G$9) + CHOOSE(CONTROL!$C$38, 0.0357, 0)</f>
        <v>31.8231</v>
      </c>
      <c r="D440" s="10">
        <f>31.7796 * CHOOSE(CONTROL!$C$15, $E$9, 100%, $G$9) + CHOOSE(CONTROL!$C$38, 0.0357, 0)</f>
        <v>31.815299999999997</v>
      </c>
      <c r="E440" s="28">
        <f>34.3705 * CHOOSE(CONTROL!$C$15, $E$9, 100%, $G$9) + CHOOSE(CONTROL!$C$38, 0.0357, 0)</f>
        <v>34.406199999999998</v>
      </c>
      <c r="F440" s="27">
        <f>34.3705 * CHOOSE(CONTROL!$C$15, $E$9, 100%, $G$9) + CHOOSE(CONTROL!$C$38, 0.0266, 0)</f>
        <v>34.397100000000002</v>
      </c>
      <c r="G440" s="10">
        <f>31.7858 * CHOOSE(CONTROL!$C$15, $E$9, 100%, $G$9) + CHOOSE(CONTROL!$C$38, 0.0357, 0)</f>
        <v>31.821499999999997</v>
      </c>
      <c r="H440" s="10">
        <f>31.7858 * CHOOSE(CONTROL!$C$15, $E$9, 100%, $G$9) + CHOOSE(CONTROL!$C$38, 0.0357, 0)</f>
        <v>31.821499999999997</v>
      </c>
      <c r="I440" s="10">
        <f>31.7874 * CHOOSE(CONTROL!$C$15, $E$9, 100%, $G$9) + CHOOSE(CONTROL!$C$38, 0.0357, 0)</f>
        <v>31.8231</v>
      </c>
      <c r="J440" s="26">
        <f>223.4455</f>
        <v>223.44550000000001</v>
      </c>
    </row>
    <row r="441" spans="1:10" ht="15.75">
      <c r="A441" s="14">
        <v>54727</v>
      </c>
      <c r="B441" s="10">
        <f>34.7586 * CHOOSE(CONTROL!$C$15, $E$9, 100%, $G$9) + CHOOSE(CONTROL!$C$38, 0.0266, 0)</f>
        <v>34.785200000000003</v>
      </c>
      <c r="C441" s="10">
        <f>32.0192 * CHOOSE(CONTROL!$C$15, $E$9, 100%, $G$9) + CHOOSE(CONTROL!$C$38, 0.0357, 0)</f>
        <v>32.054899999999996</v>
      </c>
      <c r="D441" s="10">
        <f>32.0114 * CHOOSE(CONTROL!$C$15, $E$9, 100%, $G$9) + CHOOSE(CONTROL!$C$38, 0.0357, 0)</f>
        <v>32.0471</v>
      </c>
      <c r="E441" s="28">
        <f>34.6023 * CHOOSE(CONTROL!$C$15, $E$9, 100%, $G$9) + CHOOSE(CONTROL!$C$38, 0.0357, 0)</f>
        <v>34.637999999999998</v>
      </c>
      <c r="F441" s="27">
        <f>34.6023 * CHOOSE(CONTROL!$C$15, $E$9, 100%, $G$9) + CHOOSE(CONTROL!$C$38, 0.0266, 0)</f>
        <v>34.628900000000002</v>
      </c>
      <c r="G441" s="10">
        <f>32.0177 * CHOOSE(CONTROL!$C$15, $E$9, 100%, $G$9) + CHOOSE(CONTROL!$C$38, 0.0357, 0)</f>
        <v>32.053399999999996</v>
      </c>
      <c r="H441" s="10">
        <f>32.0177 * CHOOSE(CONTROL!$C$15, $E$9, 100%, $G$9) + CHOOSE(CONTROL!$C$38, 0.0357, 0)</f>
        <v>32.053399999999996</v>
      </c>
      <c r="I441" s="10">
        <f>32.0192 * CHOOSE(CONTROL!$C$15, $E$9, 100%, $G$9) + CHOOSE(CONTROL!$C$38, 0.0357, 0)</f>
        <v>32.054899999999996</v>
      </c>
      <c r="J441" s="26">
        <f>215.7185</f>
        <v>215.71850000000001</v>
      </c>
    </row>
    <row r="442" spans="1:10" ht="15.75">
      <c r="A442" s="14">
        <v>54757</v>
      </c>
      <c r="B442" s="10">
        <f>34.952 * CHOOSE(CONTROL!$C$15, $E$9, 100%, $G$9) + CHOOSE(CONTROL!$C$38, 0.0266, 0)</f>
        <v>34.9786</v>
      </c>
      <c r="C442" s="10">
        <f>32.2127 * CHOOSE(CONTROL!$C$15, $E$9, 100%, $G$9) + CHOOSE(CONTROL!$C$38, 0.0357, 0)</f>
        <v>32.248399999999997</v>
      </c>
      <c r="D442" s="10">
        <f>32.2049 * CHOOSE(CONTROL!$C$15, $E$9, 100%, $G$9) + CHOOSE(CONTROL!$C$38, 0.0357, 0)</f>
        <v>32.240600000000001</v>
      </c>
      <c r="E442" s="28">
        <f>34.7958 * CHOOSE(CONTROL!$C$15, $E$9, 100%, $G$9) + CHOOSE(CONTROL!$C$38, 0.0357, 0)</f>
        <v>34.831499999999998</v>
      </c>
      <c r="F442" s="27">
        <f>34.7958 * CHOOSE(CONTROL!$C$15, $E$9, 100%, $G$9) + CHOOSE(CONTROL!$C$38, 0.0266, 0)</f>
        <v>34.822400000000002</v>
      </c>
      <c r="G442" s="10">
        <f>32.2111 * CHOOSE(CONTROL!$C$15, $E$9, 100%, $G$9) + CHOOSE(CONTROL!$C$38, 0.0357, 0)</f>
        <v>32.2468</v>
      </c>
      <c r="H442" s="10">
        <f>32.2111 * CHOOSE(CONTROL!$C$15, $E$9, 100%, $G$9) + CHOOSE(CONTROL!$C$38, 0.0357, 0)</f>
        <v>32.2468</v>
      </c>
      <c r="I442" s="10">
        <f>32.2127 * CHOOSE(CONTROL!$C$15, $E$9, 100%, $G$9) + CHOOSE(CONTROL!$C$38, 0.0357, 0)</f>
        <v>32.248399999999997</v>
      </c>
      <c r="J442" s="26">
        <f>214.1815</f>
        <v>214.1815</v>
      </c>
    </row>
    <row r="443" spans="1:10" ht="15.75">
      <c r="A443" s="14">
        <v>54788</v>
      </c>
      <c r="B443" s="10">
        <f>35.5481 * CHOOSE(CONTROL!$C$15, $E$9, 100%, $G$9) + CHOOSE(CONTROL!$C$38, 0.0266, 0)</f>
        <v>35.5747</v>
      </c>
      <c r="C443" s="10">
        <f>32.8087 * CHOOSE(CONTROL!$C$15, $E$9, 100%, $G$9) + CHOOSE(CONTROL!$C$38, 0.0357, 0)</f>
        <v>32.8444</v>
      </c>
      <c r="D443" s="10">
        <f>32.8009 * CHOOSE(CONTROL!$C$15, $E$9, 100%, $G$9) + CHOOSE(CONTROL!$C$38, 0.0357, 0)</f>
        <v>32.836599999999997</v>
      </c>
      <c r="E443" s="28">
        <f>35.3918 * CHOOSE(CONTROL!$C$15, $E$9, 100%, $G$9) + CHOOSE(CONTROL!$C$38, 0.0357, 0)</f>
        <v>35.427500000000002</v>
      </c>
      <c r="F443" s="27">
        <f>35.3918 * CHOOSE(CONTROL!$C$15, $E$9, 100%, $G$9) + CHOOSE(CONTROL!$C$38, 0.0266, 0)</f>
        <v>35.418400000000005</v>
      </c>
      <c r="G443" s="10">
        <f>32.8072 * CHOOSE(CONTROL!$C$15, $E$9, 100%, $G$9) + CHOOSE(CONTROL!$C$38, 0.0357, 0)</f>
        <v>32.8429</v>
      </c>
      <c r="H443" s="10">
        <f>32.8072 * CHOOSE(CONTROL!$C$15, $E$9, 100%, $G$9) + CHOOSE(CONTROL!$C$38, 0.0357, 0)</f>
        <v>32.8429</v>
      </c>
      <c r="I443" s="10">
        <f>32.8087 * CHOOSE(CONTROL!$C$15, $E$9, 100%, $G$9) + CHOOSE(CONTROL!$C$38, 0.0357, 0)</f>
        <v>32.8444</v>
      </c>
      <c r="J443" s="26">
        <f>207.8256</f>
        <v>207.82560000000001</v>
      </c>
    </row>
    <row r="444" spans="1:10" ht="15.75">
      <c r="A444" s="14">
        <v>54819</v>
      </c>
      <c r="B444" s="10">
        <f>36.6261 * CHOOSE(CONTROL!$C$15, $E$9, 100%, $G$9) + CHOOSE(CONTROL!$C$38, 0.0266, 0)</f>
        <v>36.652700000000003</v>
      </c>
      <c r="C444" s="10">
        <f>33.8411 * CHOOSE(CONTROL!$C$15, $E$9, 100%, $G$9) + CHOOSE(CONTROL!$C$38, 0.0357, 0)</f>
        <v>33.876799999999996</v>
      </c>
      <c r="D444" s="10">
        <f>33.8333 * CHOOSE(CONTROL!$C$15, $E$9, 100%, $G$9) + CHOOSE(CONTROL!$C$38, 0.0357, 0)</f>
        <v>33.869</v>
      </c>
      <c r="E444" s="28">
        <f>36.4699 * CHOOSE(CONTROL!$C$15, $E$9, 100%, $G$9) + CHOOSE(CONTROL!$C$38, 0.0357, 0)</f>
        <v>36.505600000000001</v>
      </c>
      <c r="F444" s="27">
        <f>36.4699 * CHOOSE(CONTROL!$C$15, $E$9, 100%, $G$9) + CHOOSE(CONTROL!$C$38, 0.0266, 0)</f>
        <v>36.496500000000005</v>
      </c>
      <c r="G444" s="10">
        <f>33.8396 * CHOOSE(CONTROL!$C$15, $E$9, 100%, $G$9) + CHOOSE(CONTROL!$C$38, 0.0357, 0)</f>
        <v>33.875299999999996</v>
      </c>
      <c r="H444" s="10">
        <f>33.8396 * CHOOSE(CONTROL!$C$15, $E$9, 100%, $G$9) + CHOOSE(CONTROL!$C$38, 0.0357, 0)</f>
        <v>33.875299999999996</v>
      </c>
      <c r="I444" s="10">
        <f>33.8411 * CHOOSE(CONTROL!$C$15, $E$9, 100%, $G$9) + CHOOSE(CONTROL!$C$38, 0.0357, 0)</f>
        <v>33.876799999999996</v>
      </c>
      <c r="J444" s="26">
        <f>206.4335</f>
        <v>206.43350000000001</v>
      </c>
    </row>
    <row r="445" spans="1:10" ht="15.75">
      <c r="A445" s="14">
        <v>54847</v>
      </c>
      <c r="B445" s="10">
        <f>36.8469 * CHOOSE(CONTROL!$C$15, $E$9, 100%, $G$9) + CHOOSE(CONTROL!$C$38, 0.0266, 0)</f>
        <v>36.8735</v>
      </c>
      <c r="C445" s="10">
        <f>34.0619 * CHOOSE(CONTROL!$C$15, $E$9, 100%, $G$9) + CHOOSE(CONTROL!$C$38, 0.0357, 0)</f>
        <v>34.0976</v>
      </c>
      <c r="D445" s="10">
        <f>34.0541 * CHOOSE(CONTROL!$C$15, $E$9, 100%, $G$9) + CHOOSE(CONTROL!$C$38, 0.0357, 0)</f>
        <v>34.089799999999997</v>
      </c>
      <c r="E445" s="28">
        <f>36.6906 * CHOOSE(CONTROL!$C$15, $E$9, 100%, $G$9) + CHOOSE(CONTROL!$C$38, 0.0357, 0)</f>
        <v>36.726300000000002</v>
      </c>
      <c r="F445" s="27">
        <f>36.6906 * CHOOSE(CONTROL!$C$15, $E$9, 100%, $G$9) + CHOOSE(CONTROL!$C$38, 0.0266, 0)</f>
        <v>36.717200000000005</v>
      </c>
      <c r="G445" s="10">
        <f>34.0603 * CHOOSE(CONTROL!$C$15, $E$9, 100%, $G$9) + CHOOSE(CONTROL!$C$38, 0.0357, 0)</f>
        <v>34.095999999999997</v>
      </c>
      <c r="H445" s="10">
        <f>34.0603 * CHOOSE(CONTROL!$C$15, $E$9, 100%, $G$9) + CHOOSE(CONTROL!$C$38, 0.0357, 0)</f>
        <v>34.095999999999997</v>
      </c>
      <c r="I445" s="10">
        <f>34.0619 * CHOOSE(CONTROL!$C$15, $E$9, 100%, $G$9) + CHOOSE(CONTROL!$C$38, 0.0357, 0)</f>
        <v>34.0976</v>
      </c>
      <c r="J445" s="26">
        <f>205.8597</f>
        <v>205.8597</v>
      </c>
    </row>
    <row r="446" spans="1:10" ht="15.75">
      <c r="A446" s="14">
        <v>54878</v>
      </c>
      <c r="B446" s="10">
        <f>36.3358 * CHOOSE(CONTROL!$C$15, $E$9, 100%, $G$9) + CHOOSE(CONTROL!$C$38, 0.0266, 0)</f>
        <v>36.362400000000001</v>
      </c>
      <c r="C446" s="10">
        <f>33.5509 * CHOOSE(CONTROL!$C$15, $E$9, 100%, $G$9) + CHOOSE(CONTROL!$C$38, 0.0357, 0)</f>
        <v>33.586599999999997</v>
      </c>
      <c r="D446" s="10">
        <f>33.543 * CHOOSE(CONTROL!$C$15, $E$9, 100%, $G$9) + CHOOSE(CONTROL!$C$38, 0.0357, 0)</f>
        <v>33.578699999999998</v>
      </c>
      <c r="E446" s="28">
        <f>36.1796 * CHOOSE(CONTROL!$C$15, $E$9, 100%, $G$9) + CHOOSE(CONTROL!$C$38, 0.0357, 0)</f>
        <v>36.215299999999999</v>
      </c>
      <c r="F446" s="27">
        <f>36.1796 * CHOOSE(CONTROL!$C$15, $E$9, 100%, $G$9) + CHOOSE(CONTROL!$C$38, 0.0266, 0)</f>
        <v>36.206200000000003</v>
      </c>
      <c r="G446" s="10">
        <f>33.5493 * CHOOSE(CONTROL!$C$15, $E$9, 100%, $G$9) + CHOOSE(CONTROL!$C$38, 0.0357, 0)</f>
        <v>33.585000000000001</v>
      </c>
      <c r="H446" s="10">
        <f>33.5493 * CHOOSE(CONTROL!$C$15, $E$9, 100%, $G$9) + CHOOSE(CONTROL!$C$38, 0.0357, 0)</f>
        <v>33.585000000000001</v>
      </c>
      <c r="I446" s="10">
        <f>33.5509 * CHOOSE(CONTROL!$C$15, $E$9, 100%, $G$9) + CHOOSE(CONTROL!$C$38, 0.0357, 0)</f>
        <v>33.586599999999997</v>
      </c>
      <c r="J446" s="26">
        <f>216.7097</f>
        <v>216.7097</v>
      </c>
    </row>
    <row r="447" spans="1:10" ht="15.75">
      <c r="A447" s="14">
        <v>54908</v>
      </c>
      <c r="B447" s="10">
        <f>35.8407 * CHOOSE(CONTROL!$C$15, $E$9, 100%, $G$9) + CHOOSE(CONTROL!$C$38, 0.0266, 0)</f>
        <v>35.8673</v>
      </c>
      <c r="C447" s="10">
        <f>33.0557 * CHOOSE(CONTROL!$C$15, $E$9, 100%, $G$9) + CHOOSE(CONTROL!$C$38, 0.0357, 0)</f>
        <v>33.0914</v>
      </c>
      <c r="D447" s="10">
        <f>33.0479 * CHOOSE(CONTROL!$C$15, $E$9, 100%, $G$9) + CHOOSE(CONTROL!$C$38, 0.0357, 0)</f>
        <v>33.083599999999997</v>
      </c>
      <c r="E447" s="28">
        <f>35.6844 * CHOOSE(CONTROL!$C$15, $E$9, 100%, $G$9) + CHOOSE(CONTROL!$C$38, 0.0357, 0)</f>
        <v>35.720099999999995</v>
      </c>
      <c r="F447" s="27">
        <f>35.6844 * CHOOSE(CONTROL!$C$15, $E$9, 100%, $G$9) + CHOOSE(CONTROL!$C$38, 0.0266, 0)</f>
        <v>35.710999999999999</v>
      </c>
      <c r="G447" s="10">
        <f>33.0541 * CHOOSE(CONTROL!$C$15, $E$9, 100%, $G$9) + CHOOSE(CONTROL!$C$38, 0.0357, 0)</f>
        <v>33.089799999999997</v>
      </c>
      <c r="H447" s="10">
        <f>33.0541 * CHOOSE(CONTROL!$C$15, $E$9, 100%, $G$9) + CHOOSE(CONTROL!$C$38, 0.0357, 0)</f>
        <v>33.089799999999997</v>
      </c>
      <c r="I447" s="10">
        <f>33.0557 * CHOOSE(CONTROL!$C$15, $E$9, 100%, $G$9) + CHOOSE(CONTROL!$C$38, 0.0357, 0)</f>
        <v>33.0914</v>
      </c>
      <c r="J447" s="26">
        <f>230.7796</f>
        <v>230.77959999999999</v>
      </c>
    </row>
    <row r="448" spans="1:10" ht="15.75">
      <c r="A448" s="14">
        <v>54939</v>
      </c>
      <c r="B448" s="10">
        <f>35.3245 * CHOOSE(CONTROL!$C$15, $E$9, 100%, $G$9) + CHOOSE(CONTROL!$C$38, 0.0266, 0)</f>
        <v>35.351100000000002</v>
      </c>
      <c r="C448" s="10">
        <f>32.5396 * CHOOSE(CONTROL!$C$15, $E$9, 100%, $G$9) + CHOOSE(CONTROL!$C$38, 0.0357, 0)</f>
        <v>32.575299999999999</v>
      </c>
      <c r="D448" s="10">
        <f>32.5317 * CHOOSE(CONTROL!$C$15, $E$9, 100%, $G$9) + CHOOSE(CONTROL!$C$38, 0.0357, 0)</f>
        <v>32.567399999999999</v>
      </c>
      <c r="E448" s="28">
        <f>35.1683 * CHOOSE(CONTROL!$C$15, $E$9, 100%, $G$9) + CHOOSE(CONTROL!$C$38, 0.0357, 0)</f>
        <v>35.204000000000001</v>
      </c>
      <c r="F448" s="27">
        <f>35.1683 * CHOOSE(CONTROL!$C$15, $E$9, 100%, $G$9) + CHOOSE(CONTROL!$C$38, 0.0266, 0)</f>
        <v>35.194900000000004</v>
      </c>
      <c r="G448" s="10">
        <f>32.538 * CHOOSE(CONTROL!$C$15, $E$9, 100%, $G$9) + CHOOSE(CONTROL!$C$38, 0.0357, 0)</f>
        <v>32.573699999999995</v>
      </c>
      <c r="H448" s="10">
        <f>32.538 * CHOOSE(CONTROL!$C$15, $E$9, 100%, $G$9) + CHOOSE(CONTROL!$C$38, 0.0357, 0)</f>
        <v>32.573699999999995</v>
      </c>
      <c r="I448" s="10">
        <f>32.5396 * CHOOSE(CONTROL!$C$15, $E$9, 100%, $G$9) + CHOOSE(CONTROL!$C$38, 0.0357, 0)</f>
        <v>32.575299999999999</v>
      </c>
      <c r="J448" s="26">
        <f>238.5241</f>
        <v>238.5241</v>
      </c>
    </row>
    <row r="449" spans="1:10" ht="15.75">
      <c r="A449" s="14">
        <v>54969</v>
      </c>
      <c r="B449" s="10">
        <f>34.9627 * CHOOSE(CONTROL!$C$15, $E$9, 100%, $G$9) + CHOOSE(CONTROL!$C$38, 0.0266, 0)</f>
        <v>34.9893</v>
      </c>
      <c r="C449" s="10">
        <f>32.1777 * CHOOSE(CONTROL!$C$15, $E$9, 100%, $G$9) + CHOOSE(CONTROL!$C$38, 0.0357, 0)</f>
        <v>32.2134</v>
      </c>
      <c r="D449" s="10">
        <f>32.1699 * CHOOSE(CONTROL!$C$15, $E$9, 100%, $G$9) + CHOOSE(CONTROL!$C$38, 0.0357, 0)</f>
        <v>32.205599999999997</v>
      </c>
      <c r="E449" s="28">
        <f>34.8065 * CHOOSE(CONTROL!$C$15, $E$9, 100%, $G$9) + CHOOSE(CONTROL!$C$38, 0.0357, 0)</f>
        <v>34.842199999999998</v>
      </c>
      <c r="F449" s="27">
        <f>34.8065 * CHOOSE(CONTROL!$C$15, $E$9, 100%, $G$9) + CHOOSE(CONTROL!$C$38, 0.0266, 0)</f>
        <v>34.833100000000002</v>
      </c>
      <c r="G449" s="10">
        <f>32.1762 * CHOOSE(CONTROL!$C$15, $E$9, 100%, $G$9) + CHOOSE(CONTROL!$C$38, 0.0357, 0)</f>
        <v>32.2119</v>
      </c>
      <c r="H449" s="10">
        <f>32.1762 * CHOOSE(CONTROL!$C$15, $E$9, 100%, $G$9) + CHOOSE(CONTROL!$C$38, 0.0357, 0)</f>
        <v>32.2119</v>
      </c>
      <c r="I449" s="10">
        <f>32.1777 * CHOOSE(CONTROL!$C$15, $E$9, 100%, $G$9) + CHOOSE(CONTROL!$C$38, 0.0357, 0)</f>
        <v>32.2134</v>
      </c>
      <c r="J449" s="26">
        <f>241.9609</f>
        <v>241.96090000000001</v>
      </c>
    </row>
    <row r="450" spans="1:10" ht="15.75">
      <c r="A450" s="14">
        <v>55000</v>
      </c>
      <c r="B450" s="10">
        <f>34.7562 * CHOOSE(CONTROL!$C$15, $E$9, 100%, $G$9) + CHOOSE(CONTROL!$C$38, 0.0266, 0)</f>
        <v>34.782800000000002</v>
      </c>
      <c r="C450" s="10">
        <f>31.9712 * CHOOSE(CONTROL!$C$15, $E$9, 100%, $G$9) + CHOOSE(CONTROL!$C$38, 0.0357, 0)</f>
        <v>32.006900000000002</v>
      </c>
      <c r="D450" s="10">
        <f>31.9634 * CHOOSE(CONTROL!$C$15, $E$9, 100%, $G$9) + CHOOSE(CONTROL!$C$38, 0.0357, 0)</f>
        <v>31.999099999999999</v>
      </c>
      <c r="E450" s="28">
        <f>34.6 * CHOOSE(CONTROL!$C$15, $E$9, 100%, $G$9) + CHOOSE(CONTROL!$C$38, 0.0357, 0)</f>
        <v>34.6357</v>
      </c>
      <c r="F450" s="27">
        <f>34.6 * CHOOSE(CONTROL!$C$15, $E$9, 100%, $G$9) + CHOOSE(CONTROL!$C$38, 0.0266, 0)</f>
        <v>34.626600000000003</v>
      </c>
      <c r="G450" s="10">
        <f>31.9697 * CHOOSE(CONTROL!$C$15, $E$9, 100%, $G$9) + CHOOSE(CONTROL!$C$38, 0.0357, 0)</f>
        <v>32.005400000000002</v>
      </c>
      <c r="H450" s="10">
        <f>31.9697 * CHOOSE(CONTROL!$C$15, $E$9, 100%, $G$9) + CHOOSE(CONTROL!$C$38, 0.0357, 0)</f>
        <v>32.005400000000002</v>
      </c>
      <c r="I450" s="10">
        <f>31.9712 * CHOOSE(CONTROL!$C$15, $E$9, 100%, $G$9) + CHOOSE(CONTROL!$C$38, 0.0357, 0)</f>
        <v>32.006900000000002</v>
      </c>
      <c r="J450" s="26">
        <f>240.8294</f>
        <v>240.82939999999999</v>
      </c>
    </row>
    <row r="451" spans="1:10" ht="15.75">
      <c r="A451" s="14">
        <v>55031</v>
      </c>
      <c r="B451" s="10">
        <f>34.8581 * CHOOSE(CONTROL!$C$15, $E$9, 100%, $G$9) + CHOOSE(CONTROL!$C$38, 0.0266, 0)</f>
        <v>34.884700000000002</v>
      </c>
      <c r="C451" s="10">
        <f>32.0731 * CHOOSE(CONTROL!$C$15, $E$9, 100%, $G$9) + CHOOSE(CONTROL!$C$38, 0.0357, 0)</f>
        <v>32.108799999999995</v>
      </c>
      <c r="D451" s="10">
        <f>32.0653 * CHOOSE(CONTROL!$C$15, $E$9, 100%, $G$9) + CHOOSE(CONTROL!$C$38, 0.0357, 0)</f>
        <v>32.100999999999999</v>
      </c>
      <c r="E451" s="28">
        <f>34.7019 * CHOOSE(CONTROL!$C$15, $E$9, 100%, $G$9) + CHOOSE(CONTROL!$C$38, 0.0357, 0)</f>
        <v>34.7376</v>
      </c>
      <c r="F451" s="27">
        <f>34.7019 * CHOOSE(CONTROL!$C$15, $E$9, 100%, $G$9) + CHOOSE(CONTROL!$C$38, 0.0266, 0)</f>
        <v>34.728500000000004</v>
      </c>
      <c r="G451" s="10">
        <f>32.0716 * CHOOSE(CONTROL!$C$15, $E$9, 100%, $G$9) + CHOOSE(CONTROL!$C$38, 0.0357, 0)</f>
        <v>32.107299999999995</v>
      </c>
      <c r="H451" s="10">
        <f>32.0716 * CHOOSE(CONTROL!$C$15, $E$9, 100%, $G$9) + CHOOSE(CONTROL!$C$38, 0.0357, 0)</f>
        <v>32.107299999999995</v>
      </c>
      <c r="I451" s="10">
        <f>32.0731 * CHOOSE(CONTROL!$C$15, $E$9, 100%, $G$9) + CHOOSE(CONTROL!$C$38, 0.0357, 0)</f>
        <v>32.108799999999995</v>
      </c>
      <c r="J451" s="26">
        <f>235.223</f>
        <v>235.22300000000001</v>
      </c>
    </row>
    <row r="452" spans="1:10" ht="15.75">
      <c r="A452" s="14">
        <v>55061</v>
      </c>
      <c r="B452" s="10">
        <f>35.1349 * CHOOSE(CONTROL!$C$15, $E$9, 100%, $G$9) + CHOOSE(CONTROL!$C$38, 0.0266, 0)</f>
        <v>35.161500000000004</v>
      </c>
      <c r="C452" s="10">
        <f>32.3499 * CHOOSE(CONTROL!$C$15, $E$9, 100%, $G$9) + CHOOSE(CONTROL!$C$38, 0.0357, 0)</f>
        <v>32.385599999999997</v>
      </c>
      <c r="D452" s="10">
        <f>32.3421 * CHOOSE(CONTROL!$C$15, $E$9, 100%, $G$9) + CHOOSE(CONTROL!$C$38, 0.0357, 0)</f>
        <v>32.377800000000001</v>
      </c>
      <c r="E452" s="28">
        <f>34.9787 * CHOOSE(CONTROL!$C$15, $E$9, 100%, $G$9) + CHOOSE(CONTROL!$C$38, 0.0357, 0)</f>
        <v>35.014400000000002</v>
      </c>
      <c r="F452" s="27">
        <f>34.9787 * CHOOSE(CONTROL!$C$15, $E$9, 100%, $G$9) + CHOOSE(CONTROL!$C$38, 0.0266, 0)</f>
        <v>35.005300000000005</v>
      </c>
      <c r="G452" s="10">
        <f>32.3484 * CHOOSE(CONTROL!$C$15, $E$9, 100%, $G$9) + CHOOSE(CONTROL!$C$38, 0.0357, 0)</f>
        <v>32.384099999999997</v>
      </c>
      <c r="H452" s="10">
        <f>32.3484 * CHOOSE(CONTROL!$C$15, $E$9, 100%, $G$9) + CHOOSE(CONTROL!$C$38, 0.0357, 0)</f>
        <v>32.384099999999997</v>
      </c>
      <c r="I452" s="10">
        <f>32.3499 * CHOOSE(CONTROL!$C$15, $E$9, 100%, $G$9) + CHOOSE(CONTROL!$C$38, 0.0357, 0)</f>
        <v>32.385599999999997</v>
      </c>
      <c r="J452" s="26">
        <f>227.4046</f>
        <v>227.40459999999999</v>
      </c>
    </row>
    <row r="453" spans="1:10" ht="15.75">
      <c r="A453" s="14">
        <v>55092</v>
      </c>
      <c r="B453" s="10">
        <f>35.3667 * CHOOSE(CONTROL!$C$15, $E$9, 100%, $G$9) + CHOOSE(CONTROL!$C$38, 0.0266, 0)</f>
        <v>35.393300000000004</v>
      </c>
      <c r="C453" s="10">
        <f>32.5818 * CHOOSE(CONTROL!$C$15, $E$9, 100%, $G$9) + CHOOSE(CONTROL!$C$38, 0.0357, 0)</f>
        <v>32.6175</v>
      </c>
      <c r="D453" s="10">
        <f>32.574 * CHOOSE(CONTROL!$C$15, $E$9, 100%, $G$9) + CHOOSE(CONTROL!$C$38, 0.0357, 0)</f>
        <v>32.609699999999997</v>
      </c>
      <c r="E453" s="28">
        <f>35.2105 * CHOOSE(CONTROL!$C$15, $E$9, 100%, $G$9) + CHOOSE(CONTROL!$C$38, 0.0357, 0)</f>
        <v>35.246200000000002</v>
      </c>
      <c r="F453" s="27">
        <f>35.2105 * CHOOSE(CONTROL!$C$15, $E$9, 100%, $G$9) + CHOOSE(CONTROL!$C$38, 0.0266, 0)</f>
        <v>35.237100000000005</v>
      </c>
      <c r="G453" s="10">
        <f>32.5802 * CHOOSE(CONTROL!$C$15, $E$9, 100%, $G$9) + CHOOSE(CONTROL!$C$38, 0.0357, 0)</f>
        <v>32.615899999999996</v>
      </c>
      <c r="H453" s="10">
        <f>32.5802 * CHOOSE(CONTROL!$C$15, $E$9, 100%, $G$9) + CHOOSE(CONTROL!$C$38, 0.0357, 0)</f>
        <v>32.615899999999996</v>
      </c>
      <c r="I453" s="10">
        <f>32.5818 * CHOOSE(CONTROL!$C$15, $E$9, 100%, $G$9) + CHOOSE(CONTROL!$C$38, 0.0357, 0)</f>
        <v>32.6175</v>
      </c>
      <c r="J453" s="26">
        <f>219.5407</f>
        <v>219.54069999999999</v>
      </c>
    </row>
    <row r="454" spans="1:10" ht="15.75">
      <c r="A454" s="14">
        <v>55122</v>
      </c>
      <c r="B454" s="10">
        <f>35.5602 * CHOOSE(CONTROL!$C$15, $E$9, 100%, $G$9) + CHOOSE(CONTROL!$C$38, 0.0266, 0)</f>
        <v>35.586800000000004</v>
      </c>
      <c r="C454" s="10">
        <f>32.7752 * CHOOSE(CONTROL!$C$15, $E$9, 100%, $G$9) + CHOOSE(CONTROL!$C$38, 0.0357, 0)</f>
        <v>32.810899999999997</v>
      </c>
      <c r="D454" s="10">
        <f>32.7674 * CHOOSE(CONTROL!$C$15, $E$9, 100%, $G$9) + CHOOSE(CONTROL!$C$38, 0.0357, 0)</f>
        <v>32.803100000000001</v>
      </c>
      <c r="E454" s="28">
        <f>35.4039 * CHOOSE(CONTROL!$C$15, $E$9, 100%, $G$9) + CHOOSE(CONTROL!$C$38, 0.0357, 0)</f>
        <v>35.439599999999999</v>
      </c>
      <c r="F454" s="27">
        <f>35.4039 * CHOOSE(CONTROL!$C$15, $E$9, 100%, $G$9) + CHOOSE(CONTROL!$C$38, 0.0266, 0)</f>
        <v>35.430500000000002</v>
      </c>
      <c r="G454" s="10">
        <f>32.7736 * CHOOSE(CONTROL!$C$15, $E$9, 100%, $G$9) + CHOOSE(CONTROL!$C$38, 0.0357, 0)</f>
        <v>32.8093</v>
      </c>
      <c r="H454" s="10">
        <f>32.7736 * CHOOSE(CONTROL!$C$15, $E$9, 100%, $G$9) + CHOOSE(CONTROL!$C$38, 0.0357, 0)</f>
        <v>32.8093</v>
      </c>
      <c r="I454" s="10">
        <f>32.7752 * CHOOSE(CONTROL!$C$15, $E$9, 100%, $G$9) + CHOOSE(CONTROL!$C$38, 0.0357, 0)</f>
        <v>32.810899999999997</v>
      </c>
      <c r="J454" s="26">
        <f>217.9764</f>
        <v>217.97640000000001</v>
      </c>
    </row>
    <row r="455" spans="1:10" ht="15.75">
      <c r="A455" s="14">
        <v>55153</v>
      </c>
      <c r="B455" s="10">
        <f>36.1563 * CHOOSE(CONTROL!$C$15, $E$9, 100%, $G$9) + CHOOSE(CONTROL!$C$38, 0.0266, 0)</f>
        <v>36.182900000000004</v>
      </c>
      <c r="C455" s="10">
        <f>33.3713 * CHOOSE(CONTROL!$C$15, $E$9, 100%, $G$9) + CHOOSE(CONTROL!$C$38, 0.0357, 0)</f>
        <v>33.406999999999996</v>
      </c>
      <c r="D455" s="10">
        <f>33.3635 * CHOOSE(CONTROL!$C$15, $E$9, 100%, $G$9) + CHOOSE(CONTROL!$C$38, 0.0357, 0)</f>
        <v>33.3992</v>
      </c>
      <c r="E455" s="28">
        <f>36 * CHOOSE(CONTROL!$C$15, $E$9, 100%, $G$9) + CHOOSE(CONTROL!$C$38, 0.0357, 0)</f>
        <v>36.035699999999999</v>
      </c>
      <c r="F455" s="27">
        <f>36 * CHOOSE(CONTROL!$C$15, $E$9, 100%, $G$9) + CHOOSE(CONTROL!$C$38, 0.0266, 0)</f>
        <v>36.026600000000002</v>
      </c>
      <c r="G455" s="10">
        <f>33.3697 * CHOOSE(CONTROL!$C$15, $E$9, 100%, $G$9) + CHOOSE(CONTROL!$C$38, 0.0357, 0)</f>
        <v>33.4054</v>
      </c>
      <c r="H455" s="10">
        <f>33.3697 * CHOOSE(CONTROL!$C$15, $E$9, 100%, $G$9) + CHOOSE(CONTROL!$C$38, 0.0357, 0)</f>
        <v>33.4054</v>
      </c>
      <c r="I455" s="10">
        <f>33.3713 * CHOOSE(CONTROL!$C$15, $E$9, 100%, $G$9) + CHOOSE(CONTROL!$C$38, 0.0357, 0)</f>
        <v>33.406999999999996</v>
      </c>
      <c r="J455" s="26">
        <f>211.5079</f>
        <v>211.50790000000001</v>
      </c>
    </row>
    <row r="456" spans="1:10" ht="15.75">
      <c r="A456" s="14">
        <v>55184</v>
      </c>
      <c r="B456" s="10">
        <f>37.245 * CHOOSE(CONTROL!$C$15, $E$9, 100%, $G$9) + CHOOSE(CONTROL!$C$38, 0.0266, 0)</f>
        <v>37.271599999999999</v>
      </c>
      <c r="C456" s="10">
        <f>34.4136 * CHOOSE(CONTROL!$C$15, $E$9, 100%, $G$9) + CHOOSE(CONTROL!$C$38, 0.0357, 0)</f>
        <v>34.449300000000001</v>
      </c>
      <c r="D456" s="10">
        <f>34.4058 * CHOOSE(CONTROL!$C$15, $E$9, 100%, $G$9) + CHOOSE(CONTROL!$C$38, 0.0357, 0)</f>
        <v>34.441499999999998</v>
      </c>
      <c r="E456" s="28">
        <f>37.0888 * CHOOSE(CONTROL!$C$15, $E$9, 100%, $G$9) + CHOOSE(CONTROL!$C$38, 0.0357, 0)</f>
        <v>37.124499999999998</v>
      </c>
      <c r="F456" s="27">
        <f>37.0888 * CHOOSE(CONTROL!$C$15, $E$9, 100%, $G$9) + CHOOSE(CONTROL!$C$38, 0.0266, 0)</f>
        <v>37.115400000000001</v>
      </c>
      <c r="G456" s="10">
        <f>34.412 * CHOOSE(CONTROL!$C$15, $E$9, 100%, $G$9) + CHOOSE(CONTROL!$C$38, 0.0357, 0)</f>
        <v>34.447699999999998</v>
      </c>
      <c r="H456" s="10">
        <f>34.412 * CHOOSE(CONTROL!$C$15, $E$9, 100%, $G$9) + CHOOSE(CONTROL!$C$38, 0.0357, 0)</f>
        <v>34.447699999999998</v>
      </c>
      <c r="I456" s="10">
        <f>34.4136 * CHOOSE(CONTROL!$C$15, $E$9, 100%, $G$9) + CHOOSE(CONTROL!$C$38, 0.0357, 0)</f>
        <v>34.449300000000001</v>
      </c>
      <c r="J456" s="26">
        <f>210.0911</f>
        <v>210.09110000000001</v>
      </c>
    </row>
    <row r="457" spans="1:10" ht="15.75">
      <c r="A457" s="14">
        <v>55212</v>
      </c>
      <c r="B457" s="10">
        <f>37.4658 * CHOOSE(CONTROL!$C$15, $E$9, 100%, $G$9) + CHOOSE(CONTROL!$C$38, 0.0266, 0)</f>
        <v>37.492400000000004</v>
      </c>
      <c r="C457" s="10">
        <f>34.6344 * CHOOSE(CONTROL!$C$15, $E$9, 100%, $G$9) + CHOOSE(CONTROL!$C$38, 0.0357, 0)</f>
        <v>34.670099999999998</v>
      </c>
      <c r="D457" s="10">
        <f>34.6266 * CHOOSE(CONTROL!$C$15, $E$9, 100%, $G$9) + CHOOSE(CONTROL!$C$38, 0.0357, 0)</f>
        <v>34.662300000000002</v>
      </c>
      <c r="E457" s="28">
        <f>37.3095 * CHOOSE(CONTROL!$C$15, $E$9, 100%, $G$9) + CHOOSE(CONTROL!$C$38, 0.0357, 0)</f>
        <v>37.345199999999998</v>
      </c>
      <c r="F457" s="27">
        <f>37.3095 * CHOOSE(CONTROL!$C$15, $E$9, 100%, $G$9) + CHOOSE(CONTROL!$C$38, 0.0266, 0)</f>
        <v>37.336100000000002</v>
      </c>
      <c r="G457" s="10">
        <f>34.6328 * CHOOSE(CONTROL!$C$15, $E$9, 100%, $G$9) + CHOOSE(CONTROL!$C$38, 0.0357, 0)</f>
        <v>34.668500000000002</v>
      </c>
      <c r="H457" s="10">
        <f>34.6328 * CHOOSE(CONTROL!$C$15, $E$9, 100%, $G$9) + CHOOSE(CONTROL!$C$38, 0.0357, 0)</f>
        <v>34.668500000000002</v>
      </c>
      <c r="I457" s="10">
        <f>34.6344 * CHOOSE(CONTROL!$C$15, $E$9, 100%, $G$9) + CHOOSE(CONTROL!$C$38, 0.0357, 0)</f>
        <v>34.670099999999998</v>
      </c>
      <c r="J457" s="26">
        <f>209.5072</f>
        <v>209.50720000000001</v>
      </c>
    </row>
    <row r="458" spans="1:10" ht="15.75">
      <c r="A458" s="14">
        <v>55243</v>
      </c>
      <c r="B458" s="10">
        <f>36.9548 * CHOOSE(CONTROL!$C$15, $E$9, 100%, $G$9) + CHOOSE(CONTROL!$C$38, 0.0266, 0)</f>
        <v>36.981400000000001</v>
      </c>
      <c r="C458" s="10">
        <f>34.1233 * CHOOSE(CONTROL!$C$15, $E$9, 100%, $G$9) + CHOOSE(CONTROL!$C$38, 0.0357, 0)</f>
        <v>34.158999999999999</v>
      </c>
      <c r="D458" s="10">
        <f>34.1155 * CHOOSE(CONTROL!$C$15, $E$9, 100%, $G$9) + CHOOSE(CONTROL!$C$38, 0.0357, 0)</f>
        <v>34.151199999999996</v>
      </c>
      <c r="E458" s="28">
        <f>36.7985 * CHOOSE(CONTROL!$C$15, $E$9, 100%, $G$9) + CHOOSE(CONTROL!$C$38, 0.0357, 0)</f>
        <v>36.834199999999996</v>
      </c>
      <c r="F458" s="27">
        <f>36.7985 * CHOOSE(CONTROL!$C$15, $E$9, 100%, $G$9) + CHOOSE(CONTROL!$C$38, 0.0266, 0)</f>
        <v>36.825099999999999</v>
      </c>
      <c r="G458" s="10">
        <f>34.1218 * CHOOSE(CONTROL!$C$15, $E$9, 100%, $G$9) + CHOOSE(CONTROL!$C$38, 0.0357, 0)</f>
        <v>34.157499999999999</v>
      </c>
      <c r="H458" s="10">
        <f>34.1218 * CHOOSE(CONTROL!$C$15, $E$9, 100%, $G$9) + CHOOSE(CONTROL!$C$38, 0.0357, 0)</f>
        <v>34.157499999999999</v>
      </c>
      <c r="I458" s="10">
        <f>34.1233 * CHOOSE(CONTROL!$C$15, $E$9, 100%, $G$9) + CHOOSE(CONTROL!$C$38, 0.0357, 0)</f>
        <v>34.158999999999999</v>
      </c>
      <c r="J458" s="26">
        <f>220.5494</f>
        <v>220.54939999999999</v>
      </c>
    </row>
    <row r="459" spans="1:10" ht="15.75">
      <c r="A459" s="14">
        <v>55273</v>
      </c>
      <c r="B459" s="10">
        <f>36.4596 * CHOOSE(CONTROL!$C$15, $E$9, 100%, $G$9) + CHOOSE(CONTROL!$C$38, 0.0266, 0)</f>
        <v>36.486200000000004</v>
      </c>
      <c r="C459" s="10">
        <f>33.6282 * CHOOSE(CONTROL!$C$15, $E$9, 100%, $G$9) + CHOOSE(CONTROL!$C$38, 0.0357, 0)</f>
        <v>33.663899999999998</v>
      </c>
      <c r="D459" s="10">
        <f>33.6203 * CHOOSE(CONTROL!$C$15, $E$9, 100%, $G$9) + CHOOSE(CONTROL!$C$38, 0.0357, 0)</f>
        <v>33.655999999999999</v>
      </c>
      <c r="E459" s="28">
        <f>36.3033 * CHOOSE(CONTROL!$C$15, $E$9, 100%, $G$9) + CHOOSE(CONTROL!$C$38, 0.0357, 0)</f>
        <v>36.338999999999999</v>
      </c>
      <c r="F459" s="27">
        <f>36.3033 * CHOOSE(CONTROL!$C$15, $E$9, 100%, $G$9) + CHOOSE(CONTROL!$C$38, 0.0266, 0)</f>
        <v>36.329900000000002</v>
      </c>
      <c r="G459" s="10">
        <f>33.6266 * CHOOSE(CONTROL!$C$15, $E$9, 100%, $G$9) + CHOOSE(CONTROL!$C$38, 0.0357, 0)</f>
        <v>33.662300000000002</v>
      </c>
      <c r="H459" s="10">
        <f>33.6266 * CHOOSE(CONTROL!$C$15, $E$9, 100%, $G$9) + CHOOSE(CONTROL!$C$38, 0.0357, 0)</f>
        <v>33.662300000000002</v>
      </c>
      <c r="I459" s="10">
        <f>33.6282 * CHOOSE(CONTROL!$C$15, $E$9, 100%, $G$9) + CHOOSE(CONTROL!$C$38, 0.0357, 0)</f>
        <v>33.663899999999998</v>
      </c>
      <c r="J459" s="26">
        <f>234.8685</f>
        <v>234.86850000000001</v>
      </c>
    </row>
    <row r="460" spans="1:10" ht="15.75">
      <c r="A460" s="14">
        <v>55304</v>
      </c>
      <c r="B460" s="10">
        <f>35.9435 * CHOOSE(CONTROL!$C$15, $E$9, 100%, $G$9) + CHOOSE(CONTROL!$C$38, 0.0266, 0)</f>
        <v>35.970100000000002</v>
      </c>
      <c r="C460" s="10">
        <f>33.112 * CHOOSE(CONTROL!$C$15, $E$9, 100%, $G$9) + CHOOSE(CONTROL!$C$38, 0.0357, 0)</f>
        <v>33.1477</v>
      </c>
      <c r="D460" s="10">
        <f>33.1042 * CHOOSE(CONTROL!$C$15, $E$9, 100%, $G$9) + CHOOSE(CONTROL!$C$38, 0.0357, 0)</f>
        <v>33.139899999999997</v>
      </c>
      <c r="E460" s="28">
        <f>35.7872 * CHOOSE(CONTROL!$C$15, $E$9, 100%, $G$9) + CHOOSE(CONTROL!$C$38, 0.0357, 0)</f>
        <v>35.822899999999997</v>
      </c>
      <c r="F460" s="27">
        <f>35.7872 * CHOOSE(CONTROL!$C$15, $E$9, 100%, $G$9) + CHOOSE(CONTROL!$C$38, 0.0266, 0)</f>
        <v>35.813800000000001</v>
      </c>
      <c r="G460" s="10">
        <f>33.1105 * CHOOSE(CONTROL!$C$15, $E$9, 100%, $G$9) + CHOOSE(CONTROL!$C$38, 0.0357, 0)</f>
        <v>33.1462</v>
      </c>
      <c r="H460" s="10">
        <f>33.1105 * CHOOSE(CONTROL!$C$15, $E$9, 100%, $G$9) + CHOOSE(CONTROL!$C$38, 0.0357, 0)</f>
        <v>33.1462</v>
      </c>
      <c r="I460" s="10">
        <f>33.112 * CHOOSE(CONTROL!$C$15, $E$9, 100%, $G$9) + CHOOSE(CONTROL!$C$38, 0.0357, 0)</f>
        <v>33.1477</v>
      </c>
      <c r="J460" s="26">
        <f>242.7503</f>
        <v>242.75030000000001</v>
      </c>
    </row>
    <row r="461" spans="1:10" ht="15.75">
      <c r="A461" s="14">
        <v>55334</v>
      </c>
      <c r="B461" s="10">
        <f>35.5816 * CHOOSE(CONTROL!$C$15, $E$9, 100%, $G$9) + CHOOSE(CONTROL!$C$38, 0.0266, 0)</f>
        <v>35.608200000000004</v>
      </c>
      <c r="C461" s="10">
        <f>32.7502 * CHOOSE(CONTROL!$C$15, $E$9, 100%, $G$9) + CHOOSE(CONTROL!$C$38, 0.0357, 0)</f>
        <v>32.785899999999998</v>
      </c>
      <c r="D461" s="10">
        <f>32.7424 * CHOOSE(CONTROL!$C$15, $E$9, 100%, $G$9) + CHOOSE(CONTROL!$C$38, 0.0357, 0)</f>
        <v>32.778100000000002</v>
      </c>
      <c r="E461" s="28">
        <f>35.4254 * CHOOSE(CONTROL!$C$15, $E$9, 100%, $G$9) + CHOOSE(CONTROL!$C$38, 0.0357, 0)</f>
        <v>35.461100000000002</v>
      </c>
      <c r="F461" s="27">
        <f>35.4254 * CHOOSE(CONTROL!$C$15, $E$9, 100%, $G$9) + CHOOSE(CONTROL!$C$38, 0.0266, 0)</f>
        <v>35.452000000000005</v>
      </c>
      <c r="G461" s="10">
        <f>32.7486 * CHOOSE(CONTROL!$C$15, $E$9, 100%, $G$9) + CHOOSE(CONTROL!$C$38, 0.0357, 0)</f>
        <v>32.784300000000002</v>
      </c>
      <c r="H461" s="10">
        <f>32.7486 * CHOOSE(CONTROL!$C$15, $E$9, 100%, $G$9) + CHOOSE(CONTROL!$C$38, 0.0357, 0)</f>
        <v>32.784300000000002</v>
      </c>
      <c r="I461" s="10">
        <f>32.7502 * CHOOSE(CONTROL!$C$15, $E$9, 100%, $G$9) + CHOOSE(CONTROL!$C$38, 0.0357, 0)</f>
        <v>32.785899999999998</v>
      </c>
      <c r="J461" s="26">
        <f>246.248</f>
        <v>246.24799999999999</v>
      </c>
    </row>
    <row r="462" spans="1:10" ht="15.75">
      <c r="A462" s="14">
        <v>55365</v>
      </c>
      <c r="B462" s="10">
        <f>35.3751 * CHOOSE(CONTROL!$C$15, $E$9, 100%, $G$9) + CHOOSE(CONTROL!$C$38, 0.0266, 0)</f>
        <v>35.401700000000005</v>
      </c>
      <c r="C462" s="10">
        <f>32.5437 * CHOOSE(CONTROL!$C$15, $E$9, 100%, $G$9) + CHOOSE(CONTROL!$C$38, 0.0357, 0)</f>
        <v>32.5794</v>
      </c>
      <c r="D462" s="10">
        <f>32.5359 * CHOOSE(CONTROL!$C$15, $E$9, 100%, $G$9) + CHOOSE(CONTROL!$C$38, 0.0357, 0)</f>
        <v>32.571599999999997</v>
      </c>
      <c r="E462" s="28">
        <f>35.2189 * CHOOSE(CONTROL!$C$15, $E$9, 100%, $G$9) + CHOOSE(CONTROL!$C$38, 0.0357, 0)</f>
        <v>35.254599999999996</v>
      </c>
      <c r="F462" s="27">
        <f>35.2189 * CHOOSE(CONTROL!$C$15, $E$9, 100%, $G$9) + CHOOSE(CONTROL!$C$38, 0.0266, 0)</f>
        <v>35.2455</v>
      </c>
      <c r="G462" s="10">
        <f>32.5422 * CHOOSE(CONTROL!$C$15, $E$9, 100%, $G$9) + CHOOSE(CONTROL!$C$38, 0.0357, 0)</f>
        <v>32.5779</v>
      </c>
      <c r="H462" s="10">
        <f>32.5422 * CHOOSE(CONTROL!$C$15, $E$9, 100%, $G$9) + CHOOSE(CONTROL!$C$38, 0.0357, 0)</f>
        <v>32.5779</v>
      </c>
      <c r="I462" s="10">
        <f>32.5437 * CHOOSE(CONTROL!$C$15, $E$9, 100%, $G$9) + CHOOSE(CONTROL!$C$38, 0.0357, 0)</f>
        <v>32.5794</v>
      </c>
      <c r="J462" s="26">
        <f>245.0964</f>
        <v>245.09639999999999</v>
      </c>
    </row>
    <row r="463" spans="1:10" ht="15.75">
      <c r="A463" s="14">
        <v>55396</v>
      </c>
      <c r="B463" s="10">
        <f>35.477 * CHOOSE(CONTROL!$C$15, $E$9, 100%, $G$9) + CHOOSE(CONTROL!$C$38, 0.0266, 0)</f>
        <v>35.503599999999999</v>
      </c>
      <c r="C463" s="10">
        <f>32.6456 * CHOOSE(CONTROL!$C$15, $E$9, 100%, $G$9) + CHOOSE(CONTROL!$C$38, 0.0357, 0)</f>
        <v>32.6813</v>
      </c>
      <c r="D463" s="10">
        <f>32.6378 * CHOOSE(CONTROL!$C$15, $E$9, 100%, $G$9) + CHOOSE(CONTROL!$C$38, 0.0357, 0)</f>
        <v>32.673499999999997</v>
      </c>
      <c r="E463" s="28">
        <f>35.3208 * CHOOSE(CONTROL!$C$15, $E$9, 100%, $G$9) + CHOOSE(CONTROL!$C$38, 0.0357, 0)</f>
        <v>35.356499999999997</v>
      </c>
      <c r="F463" s="27">
        <f>35.3208 * CHOOSE(CONTROL!$C$15, $E$9, 100%, $G$9) + CHOOSE(CONTROL!$C$38, 0.0266, 0)</f>
        <v>35.3474</v>
      </c>
      <c r="G463" s="10">
        <f>32.6441 * CHOOSE(CONTROL!$C$15, $E$9, 100%, $G$9) + CHOOSE(CONTROL!$C$38, 0.0357, 0)</f>
        <v>32.6798</v>
      </c>
      <c r="H463" s="10">
        <f>32.6441 * CHOOSE(CONTROL!$C$15, $E$9, 100%, $G$9) + CHOOSE(CONTROL!$C$38, 0.0357, 0)</f>
        <v>32.6798</v>
      </c>
      <c r="I463" s="10">
        <f>32.6456 * CHOOSE(CONTROL!$C$15, $E$9, 100%, $G$9) + CHOOSE(CONTROL!$C$38, 0.0357, 0)</f>
        <v>32.6813</v>
      </c>
      <c r="J463" s="26">
        <f>239.3907</f>
        <v>239.39070000000001</v>
      </c>
    </row>
    <row r="464" spans="1:10" ht="15.75">
      <c r="A464" s="14">
        <v>55426</v>
      </c>
      <c r="B464" s="10">
        <f>35.7538 * CHOOSE(CONTROL!$C$15, $E$9, 100%, $G$9) + CHOOSE(CONTROL!$C$38, 0.0266, 0)</f>
        <v>35.7804</v>
      </c>
      <c r="C464" s="10">
        <f>32.9224 * CHOOSE(CONTROL!$C$15, $E$9, 100%, $G$9) + CHOOSE(CONTROL!$C$38, 0.0357, 0)</f>
        <v>32.958100000000002</v>
      </c>
      <c r="D464" s="10">
        <f>32.9146 * CHOOSE(CONTROL!$C$15, $E$9, 100%, $G$9) + CHOOSE(CONTROL!$C$38, 0.0357, 0)</f>
        <v>32.950299999999999</v>
      </c>
      <c r="E464" s="28">
        <f>35.5976 * CHOOSE(CONTROL!$C$15, $E$9, 100%, $G$9) + CHOOSE(CONTROL!$C$38, 0.0357, 0)</f>
        <v>35.633299999999998</v>
      </c>
      <c r="F464" s="27">
        <f>35.5976 * CHOOSE(CONTROL!$C$15, $E$9, 100%, $G$9) + CHOOSE(CONTROL!$C$38, 0.0266, 0)</f>
        <v>35.624200000000002</v>
      </c>
      <c r="G464" s="10">
        <f>32.9209 * CHOOSE(CONTROL!$C$15, $E$9, 100%, $G$9) + CHOOSE(CONTROL!$C$38, 0.0357, 0)</f>
        <v>32.956600000000002</v>
      </c>
      <c r="H464" s="10">
        <f>32.9209 * CHOOSE(CONTROL!$C$15, $E$9, 100%, $G$9) + CHOOSE(CONTROL!$C$38, 0.0357, 0)</f>
        <v>32.956600000000002</v>
      </c>
      <c r="I464" s="10">
        <f>32.9224 * CHOOSE(CONTROL!$C$15, $E$9, 100%, $G$9) + CHOOSE(CONTROL!$C$38, 0.0357, 0)</f>
        <v>32.958100000000002</v>
      </c>
      <c r="J464" s="26">
        <f>231.4337</f>
        <v>231.43369999999999</v>
      </c>
    </row>
    <row r="465" spans="1:10" ht="15.75">
      <c r="A465" s="14">
        <v>55457</v>
      </c>
      <c r="B465" s="10">
        <f>35.9857 * CHOOSE(CONTROL!$C$15, $E$9, 100%, $G$9) + CHOOSE(CONTROL!$C$38, 0.0266, 0)</f>
        <v>36.012300000000003</v>
      </c>
      <c r="C465" s="10">
        <f>33.1542 * CHOOSE(CONTROL!$C$15, $E$9, 100%, $G$9) + CHOOSE(CONTROL!$C$38, 0.0357, 0)</f>
        <v>33.189900000000002</v>
      </c>
      <c r="D465" s="10">
        <f>33.1464 * CHOOSE(CONTROL!$C$15, $E$9, 100%, $G$9) + CHOOSE(CONTROL!$C$38, 0.0357, 0)</f>
        <v>33.182099999999998</v>
      </c>
      <c r="E465" s="28">
        <f>35.8294 * CHOOSE(CONTROL!$C$15, $E$9, 100%, $G$9) + CHOOSE(CONTROL!$C$38, 0.0357, 0)</f>
        <v>35.865099999999998</v>
      </c>
      <c r="F465" s="27">
        <f>35.8294 * CHOOSE(CONTROL!$C$15, $E$9, 100%, $G$9) + CHOOSE(CONTROL!$C$38, 0.0266, 0)</f>
        <v>35.856000000000002</v>
      </c>
      <c r="G465" s="10">
        <f>33.1527 * CHOOSE(CONTROL!$C$15, $E$9, 100%, $G$9) + CHOOSE(CONTROL!$C$38, 0.0357, 0)</f>
        <v>33.188400000000001</v>
      </c>
      <c r="H465" s="10">
        <f>33.1527 * CHOOSE(CONTROL!$C$15, $E$9, 100%, $G$9) + CHOOSE(CONTROL!$C$38, 0.0357, 0)</f>
        <v>33.188400000000001</v>
      </c>
      <c r="I465" s="10">
        <f>33.1542 * CHOOSE(CONTROL!$C$15, $E$9, 100%, $G$9) + CHOOSE(CONTROL!$C$38, 0.0357, 0)</f>
        <v>33.189900000000002</v>
      </c>
      <c r="J465" s="26">
        <f>223.4305</f>
        <v>223.43049999999999</v>
      </c>
    </row>
    <row r="466" spans="1:10" ht="15.75">
      <c r="A466" s="14">
        <v>55487</v>
      </c>
      <c r="B466" s="10">
        <f>36.1791 * CHOOSE(CONTROL!$C$15, $E$9, 100%, $G$9) + CHOOSE(CONTROL!$C$38, 0.0266, 0)</f>
        <v>36.2057</v>
      </c>
      <c r="C466" s="10">
        <f>33.3477 * CHOOSE(CONTROL!$C$15, $E$9, 100%, $G$9) + CHOOSE(CONTROL!$C$38, 0.0357, 0)</f>
        <v>33.383400000000002</v>
      </c>
      <c r="D466" s="10">
        <f>33.3399 * CHOOSE(CONTROL!$C$15, $E$9, 100%, $G$9) + CHOOSE(CONTROL!$C$38, 0.0357, 0)</f>
        <v>33.375599999999999</v>
      </c>
      <c r="E466" s="28">
        <f>36.0229 * CHOOSE(CONTROL!$C$15, $E$9, 100%, $G$9) + CHOOSE(CONTROL!$C$38, 0.0357, 0)</f>
        <v>36.058599999999998</v>
      </c>
      <c r="F466" s="27">
        <f>36.0229 * CHOOSE(CONTROL!$C$15, $E$9, 100%, $G$9) + CHOOSE(CONTROL!$C$38, 0.0266, 0)</f>
        <v>36.049500000000002</v>
      </c>
      <c r="G466" s="10">
        <f>33.3461 * CHOOSE(CONTROL!$C$15, $E$9, 100%, $G$9) + CHOOSE(CONTROL!$C$38, 0.0357, 0)</f>
        <v>33.381799999999998</v>
      </c>
      <c r="H466" s="10">
        <f>33.3461 * CHOOSE(CONTROL!$C$15, $E$9, 100%, $G$9) + CHOOSE(CONTROL!$C$38, 0.0357, 0)</f>
        <v>33.381799999999998</v>
      </c>
      <c r="I466" s="10">
        <f>33.3477 * CHOOSE(CONTROL!$C$15, $E$9, 100%, $G$9) + CHOOSE(CONTROL!$C$38, 0.0357, 0)</f>
        <v>33.383400000000002</v>
      </c>
      <c r="J466" s="26">
        <f>221.8385</f>
        <v>221.83850000000001</v>
      </c>
    </row>
    <row r="467" spans="1:10" ht="15.75">
      <c r="A467" s="14">
        <v>55518</v>
      </c>
      <c r="B467" s="10">
        <f>36.7752 * CHOOSE(CONTROL!$C$15, $E$9, 100%, $G$9) + CHOOSE(CONTROL!$C$38, 0.0266, 0)</f>
        <v>36.8018</v>
      </c>
      <c r="C467" s="10">
        <f>33.9438 * CHOOSE(CONTROL!$C$15, $E$9, 100%, $G$9) + CHOOSE(CONTROL!$C$38, 0.0357, 0)</f>
        <v>33.979500000000002</v>
      </c>
      <c r="D467" s="10">
        <f>33.9359 * CHOOSE(CONTROL!$C$15, $E$9, 100%, $G$9) + CHOOSE(CONTROL!$C$38, 0.0357, 0)</f>
        <v>33.971599999999995</v>
      </c>
      <c r="E467" s="28">
        <f>36.6189 * CHOOSE(CONTROL!$C$15, $E$9, 100%, $G$9) + CHOOSE(CONTROL!$C$38, 0.0357, 0)</f>
        <v>36.654599999999995</v>
      </c>
      <c r="F467" s="27">
        <f>36.6189 * CHOOSE(CONTROL!$C$15, $E$9, 100%, $G$9) + CHOOSE(CONTROL!$C$38, 0.0266, 0)</f>
        <v>36.645499999999998</v>
      </c>
      <c r="G467" s="10">
        <f>33.9422 * CHOOSE(CONTROL!$C$15, $E$9, 100%, $G$9) + CHOOSE(CONTROL!$C$38, 0.0357, 0)</f>
        <v>33.977899999999998</v>
      </c>
      <c r="H467" s="10">
        <f>33.9422 * CHOOSE(CONTROL!$C$15, $E$9, 100%, $G$9) + CHOOSE(CONTROL!$C$38, 0.0357, 0)</f>
        <v>33.977899999999998</v>
      </c>
      <c r="I467" s="10">
        <f>33.9438 * CHOOSE(CONTROL!$C$15, $E$9, 100%, $G$9) + CHOOSE(CONTROL!$C$38, 0.0357, 0)</f>
        <v>33.979500000000002</v>
      </c>
      <c r="J467" s="26">
        <f>215.2554</f>
        <v>215.25540000000001</v>
      </c>
    </row>
    <row r="468" spans="1:10" ht="15.75">
      <c r="A468" s="14">
        <v>55549</v>
      </c>
      <c r="B468" s="10">
        <f>37.8749 * CHOOSE(CONTROL!$C$15, $E$9, 100%, $G$9) + CHOOSE(CONTROL!$C$38, 0.0266, 0)</f>
        <v>37.901499999999999</v>
      </c>
      <c r="C468" s="10">
        <f>34.9962 * CHOOSE(CONTROL!$C$15, $E$9, 100%, $G$9) + CHOOSE(CONTROL!$C$38, 0.0357, 0)</f>
        <v>35.0319</v>
      </c>
      <c r="D468" s="10">
        <f>34.9884 * CHOOSE(CONTROL!$C$15, $E$9, 100%, $G$9) + CHOOSE(CONTROL!$C$38, 0.0357, 0)</f>
        <v>35.024099999999997</v>
      </c>
      <c r="E468" s="28">
        <f>37.7186 * CHOOSE(CONTROL!$C$15, $E$9, 100%, $G$9) + CHOOSE(CONTROL!$C$38, 0.0357, 0)</f>
        <v>37.754300000000001</v>
      </c>
      <c r="F468" s="27">
        <f>37.7186 * CHOOSE(CONTROL!$C$15, $E$9, 100%, $G$9) + CHOOSE(CONTROL!$C$38, 0.0266, 0)</f>
        <v>37.745200000000004</v>
      </c>
      <c r="G468" s="10">
        <f>34.9946 * CHOOSE(CONTROL!$C$15, $E$9, 100%, $G$9) + CHOOSE(CONTROL!$C$38, 0.0357, 0)</f>
        <v>35.030299999999997</v>
      </c>
      <c r="H468" s="10">
        <f>34.9946 * CHOOSE(CONTROL!$C$15, $E$9, 100%, $G$9) + CHOOSE(CONTROL!$C$38, 0.0357, 0)</f>
        <v>35.030299999999997</v>
      </c>
      <c r="I468" s="10">
        <f>34.9962 * CHOOSE(CONTROL!$C$15, $E$9, 100%, $G$9) + CHOOSE(CONTROL!$C$38, 0.0357, 0)</f>
        <v>35.0319</v>
      </c>
      <c r="J468" s="26">
        <f>213.8136</f>
        <v>213.81360000000001</v>
      </c>
    </row>
    <row r="469" spans="1:10" ht="15.75">
      <c r="A469" s="14">
        <v>55577</v>
      </c>
      <c r="B469" s="10">
        <f>38.0956 * CHOOSE(CONTROL!$C$15, $E$9, 100%, $G$9) + CHOOSE(CONTROL!$C$38, 0.0266, 0)</f>
        <v>38.122199999999999</v>
      </c>
      <c r="C469" s="10">
        <f>35.217 * CHOOSE(CONTROL!$C$15, $E$9, 100%, $G$9) + CHOOSE(CONTROL!$C$38, 0.0357, 0)</f>
        <v>35.252699999999997</v>
      </c>
      <c r="D469" s="10">
        <f>35.2091 * CHOOSE(CONTROL!$C$15, $E$9, 100%, $G$9) + CHOOSE(CONTROL!$C$38, 0.0357, 0)</f>
        <v>35.244799999999998</v>
      </c>
      <c r="E469" s="28">
        <f>37.9394 * CHOOSE(CONTROL!$C$15, $E$9, 100%, $G$9) + CHOOSE(CONTROL!$C$38, 0.0357, 0)</f>
        <v>37.975099999999998</v>
      </c>
      <c r="F469" s="27">
        <f>37.9394 * CHOOSE(CONTROL!$C$15, $E$9, 100%, $G$9) + CHOOSE(CONTROL!$C$38, 0.0266, 0)</f>
        <v>37.966000000000001</v>
      </c>
      <c r="G469" s="10">
        <f>35.2154 * CHOOSE(CONTROL!$C$15, $E$9, 100%, $G$9) + CHOOSE(CONTROL!$C$38, 0.0357, 0)</f>
        <v>35.251100000000001</v>
      </c>
      <c r="H469" s="10">
        <f>35.2154 * CHOOSE(CONTROL!$C$15, $E$9, 100%, $G$9) + CHOOSE(CONTROL!$C$38, 0.0357, 0)</f>
        <v>35.251100000000001</v>
      </c>
      <c r="I469" s="10">
        <f>35.217 * CHOOSE(CONTROL!$C$15, $E$9, 100%, $G$9) + CHOOSE(CONTROL!$C$38, 0.0357, 0)</f>
        <v>35.252699999999997</v>
      </c>
      <c r="J469" s="26">
        <f>213.2192</f>
        <v>213.2192</v>
      </c>
    </row>
    <row r="470" spans="1:10" ht="15.75">
      <c r="A470" s="14">
        <v>55609</v>
      </c>
      <c r="B470" s="10">
        <f>37.5846 * CHOOSE(CONTROL!$C$15, $E$9, 100%, $G$9) + CHOOSE(CONTROL!$C$38, 0.0266, 0)</f>
        <v>37.611200000000004</v>
      </c>
      <c r="C470" s="10">
        <f>34.7059 * CHOOSE(CONTROL!$C$15, $E$9, 100%, $G$9) + CHOOSE(CONTROL!$C$38, 0.0357, 0)</f>
        <v>34.741599999999998</v>
      </c>
      <c r="D470" s="10">
        <f>34.6981 * CHOOSE(CONTROL!$C$15, $E$9, 100%, $G$9) + CHOOSE(CONTROL!$C$38, 0.0357, 0)</f>
        <v>34.733799999999995</v>
      </c>
      <c r="E470" s="28">
        <f>37.4284 * CHOOSE(CONTROL!$C$15, $E$9, 100%, $G$9) + CHOOSE(CONTROL!$C$38, 0.0357, 0)</f>
        <v>37.464100000000002</v>
      </c>
      <c r="F470" s="27">
        <f>37.4284 * CHOOSE(CONTROL!$C$15, $E$9, 100%, $G$9) + CHOOSE(CONTROL!$C$38, 0.0266, 0)</f>
        <v>37.455000000000005</v>
      </c>
      <c r="G470" s="10">
        <f>34.7044 * CHOOSE(CONTROL!$C$15, $E$9, 100%, $G$9) + CHOOSE(CONTROL!$C$38, 0.0357, 0)</f>
        <v>34.740099999999998</v>
      </c>
      <c r="H470" s="10">
        <f>34.7044 * CHOOSE(CONTROL!$C$15, $E$9, 100%, $G$9) + CHOOSE(CONTROL!$C$38, 0.0357, 0)</f>
        <v>34.740099999999998</v>
      </c>
      <c r="I470" s="10">
        <f>34.7059 * CHOOSE(CONTROL!$C$15, $E$9, 100%, $G$9) + CHOOSE(CONTROL!$C$38, 0.0357, 0)</f>
        <v>34.741599999999998</v>
      </c>
      <c r="J470" s="26">
        <f>224.4571</f>
        <v>224.4571</v>
      </c>
    </row>
    <row r="471" spans="1:10" ht="15.75">
      <c r="A471" s="14">
        <v>55639</v>
      </c>
      <c r="B471" s="10">
        <f>37.0894 * CHOOSE(CONTROL!$C$15, $E$9, 100%, $G$9) + CHOOSE(CONTROL!$C$38, 0.0266, 0)</f>
        <v>37.116</v>
      </c>
      <c r="C471" s="10">
        <f>34.2107 * CHOOSE(CONTROL!$C$15, $E$9, 100%, $G$9) + CHOOSE(CONTROL!$C$38, 0.0357, 0)</f>
        <v>34.246400000000001</v>
      </c>
      <c r="D471" s="10">
        <f>34.2029 * CHOOSE(CONTROL!$C$15, $E$9, 100%, $G$9) + CHOOSE(CONTROL!$C$38, 0.0357, 0)</f>
        <v>34.238599999999998</v>
      </c>
      <c r="E471" s="28">
        <f>36.9332 * CHOOSE(CONTROL!$C$15, $E$9, 100%, $G$9) + CHOOSE(CONTROL!$C$38, 0.0357, 0)</f>
        <v>36.968899999999998</v>
      </c>
      <c r="F471" s="27">
        <f>36.9332 * CHOOSE(CONTROL!$C$15, $E$9, 100%, $G$9) + CHOOSE(CONTROL!$C$38, 0.0266, 0)</f>
        <v>36.959800000000001</v>
      </c>
      <c r="G471" s="10">
        <f>34.2092 * CHOOSE(CONTROL!$C$15, $E$9, 100%, $G$9) + CHOOSE(CONTROL!$C$38, 0.0357, 0)</f>
        <v>34.244900000000001</v>
      </c>
      <c r="H471" s="10">
        <f>34.2092 * CHOOSE(CONTROL!$C$15, $E$9, 100%, $G$9) + CHOOSE(CONTROL!$C$38, 0.0357, 0)</f>
        <v>34.244900000000001</v>
      </c>
      <c r="I471" s="10">
        <f>34.2107 * CHOOSE(CONTROL!$C$15, $E$9, 100%, $G$9) + CHOOSE(CONTROL!$C$38, 0.0357, 0)</f>
        <v>34.246400000000001</v>
      </c>
      <c r="J471" s="26">
        <f>239.03</f>
        <v>239.03</v>
      </c>
    </row>
    <row r="472" spans="1:10" ht="15.75">
      <c r="A472" s="14">
        <v>55670</v>
      </c>
      <c r="B472" s="10">
        <f>36.5733 * CHOOSE(CONTROL!$C$15, $E$9, 100%, $G$9) + CHOOSE(CONTROL!$C$38, 0.0266, 0)</f>
        <v>36.599900000000005</v>
      </c>
      <c r="C472" s="10">
        <f>33.6946 * CHOOSE(CONTROL!$C$15, $E$9, 100%, $G$9) + CHOOSE(CONTROL!$C$38, 0.0357, 0)</f>
        <v>33.7303</v>
      </c>
      <c r="D472" s="10">
        <f>33.6868 * CHOOSE(CONTROL!$C$15, $E$9, 100%, $G$9) + CHOOSE(CONTROL!$C$38, 0.0357, 0)</f>
        <v>33.722499999999997</v>
      </c>
      <c r="E472" s="28">
        <f>36.4171 * CHOOSE(CONTROL!$C$15, $E$9, 100%, $G$9) + CHOOSE(CONTROL!$C$38, 0.0357, 0)</f>
        <v>36.452799999999996</v>
      </c>
      <c r="F472" s="27">
        <f>36.4171 * CHOOSE(CONTROL!$C$15, $E$9, 100%, $G$9) + CHOOSE(CONTROL!$C$38, 0.0266, 0)</f>
        <v>36.4437</v>
      </c>
      <c r="G472" s="10">
        <f>33.6931 * CHOOSE(CONTROL!$C$15, $E$9, 100%, $G$9) + CHOOSE(CONTROL!$C$38, 0.0357, 0)</f>
        <v>33.7288</v>
      </c>
      <c r="H472" s="10">
        <f>33.6931 * CHOOSE(CONTROL!$C$15, $E$9, 100%, $G$9) + CHOOSE(CONTROL!$C$38, 0.0357, 0)</f>
        <v>33.7288</v>
      </c>
      <c r="I472" s="10">
        <f>33.6946 * CHOOSE(CONTROL!$C$15, $E$9, 100%, $G$9) + CHOOSE(CONTROL!$C$38, 0.0357, 0)</f>
        <v>33.7303</v>
      </c>
      <c r="J472" s="26">
        <f>247.0513</f>
        <v>247.0513</v>
      </c>
    </row>
    <row r="473" spans="1:10" ht="15.75">
      <c r="A473" s="14">
        <v>55700</v>
      </c>
      <c r="B473" s="10">
        <f>36.2115 * CHOOSE(CONTROL!$C$15, $E$9, 100%, $G$9) + CHOOSE(CONTROL!$C$38, 0.0266, 0)</f>
        <v>36.238100000000003</v>
      </c>
      <c r="C473" s="10">
        <f>33.3328 * CHOOSE(CONTROL!$C$15, $E$9, 100%, $G$9) + CHOOSE(CONTROL!$C$38, 0.0357, 0)</f>
        <v>33.368499999999997</v>
      </c>
      <c r="D473" s="10">
        <f>33.325 * CHOOSE(CONTROL!$C$15, $E$9, 100%, $G$9) + CHOOSE(CONTROL!$C$38, 0.0357, 0)</f>
        <v>33.360700000000001</v>
      </c>
      <c r="E473" s="28">
        <f>36.0552 * CHOOSE(CONTROL!$C$15, $E$9, 100%, $G$9) + CHOOSE(CONTROL!$C$38, 0.0357, 0)</f>
        <v>36.090899999999998</v>
      </c>
      <c r="F473" s="27">
        <f>36.0552 * CHOOSE(CONTROL!$C$15, $E$9, 100%, $G$9) + CHOOSE(CONTROL!$C$38, 0.0266, 0)</f>
        <v>36.081800000000001</v>
      </c>
      <c r="G473" s="10">
        <f>33.3312 * CHOOSE(CONTROL!$C$15, $E$9, 100%, $G$9) + CHOOSE(CONTROL!$C$38, 0.0357, 0)</f>
        <v>33.366900000000001</v>
      </c>
      <c r="H473" s="10">
        <f>33.3312 * CHOOSE(CONTROL!$C$15, $E$9, 100%, $G$9) + CHOOSE(CONTROL!$C$38, 0.0357, 0)</f>
        <v>33.366900000000001</v>
      </c>
      <c r="I473" s="10">
        <f>33.3328 * CHOOSE(CONTROL!$C$15, $E$9, 100%, $G$9) + CHOOSE(CONTROL!$C$38, 0.0357, 0)</f>
        <v>33.368499999999997</v>
      </c>
      <c r="J473" s="26">
        <f>250.6111</f>
        <v>250.61109999999999</v>
      </c>
    </row>
    <row r="474" spans="1:10" ht="15.75">
      <c r="A474" s="14">
        <v>55731</v>
      </c>
      <c r="B474" s="10">
        <f>36.005 * CHOOSE(CONTROL!$C$15, $E$9, 100%, $G$9) + CHOOSE(CONTROL!$C$38, 0.0266, 0)</f>
        <v>36.031600000000005</v>
      </c>
      <c r="C474" s="10">
        <f>33.1263 * CHOOSE(CONTROL!$C$15, $E$9, 100%, $G$9) + CHOOSE(CONTROL!$C$38, 0.0357, 0)</f>
        <v>33.161999999999999</v>
      </c>
      <c r="D474" s="10">
        <f>33.1185 * CHOOSE(CONTROL!$C$15, $E$9, 100%, $G$9) + CHOOSE(CONTROL!$C$38, 0.0357, 0)</f>
        <v>33.154199999999996</v>
      </c>
      <c r="E474" s="28">
        <f>35.8487 * CHOOSE(CONTROL!$C$15, $E$9, 100%, $G$9) + CHOOSE(CONTROL!$C$38, 0.0357, 0)</f>
        <v>35.884399999999999</v>
      </c>
      <c r="F474" s="27">
        <f>35.8487 * CHOOSE(CONTROL!$C$15, $E$9, 100%, $G$9) + CHOOSE(CONTROL!$C$38, 0.0266, 0)</f>
        <v>35.875300000000003</v>
      </c>
      <c r="G474" s="10">
        <f>33.1247 * CHOOSE(CONTROL!$C$15, $E$9, 100%, $G$9) + CHOOSE(CONTROL!$C$38, 0.0357, 0)</f>
        <v>33.160399999999996</v>
      </c>
      <c r="H474" s="10">
        <f>33.1247 * CHOOSE(CONTROL!$C$15, $E$9, 100%, $G$9) + CHOOSE(CONTROL!$C$38, 0.0357, 0)</f>
        <v>33.160399999999996</v>
      </c>
      <c r="I474" s="10">
        <f>33.1263 * CHOOSE(CONTROL!$C$15, $E$9, 100%, $G$9) + CHOOSE(CONTROL!$C$38, 0.0357, 0)</f>
        <v>33.161999999999999</v>
      </c>
      <c r="J474" s="26">
        <f>249.4391</f>
        <v>249.4391</v>
      </c>
    </row>
    <row r="475" spans="1:10" ht="15.75">
      <c r="A475" s="14">
        <v>55762</v>
      </c>
      <c r="B475" s="10">
        <f>36.1069 * CHOOSE(CONTROL!$C$15, $E$9, 100%, $G$9) + CHOOSE(CONTROL!$C$38, 0.0266, 0)</f>
        <v>36.133500000000005</v>
      </c>
      <c r="C475" s="10">
        <f>33.2282 * CHOOSE(CONTROL!$C$15, $E$9, 100%, $G$9) + CHOOSE(CONTROL!$C$38, 0.0357, 0)</f>
        <v>33.2639</v>
      </c>
      <c r="D475" s="10">
        <f>33.2204 * CHOOSE(CONTROL!$C$15, $E$9, 100%, $G$9) + CHOOSE(CONTROL!$C$38, 0.0357, 0)</f>
        <v>33.256099999999996</v>
      </c>
      <c r="E475" s="28">
        <f>35.9507 * CHOOSE(CONTROL!$C$15, $E$9, 100%, $G$9) + CHOOSE(CONTROL!$C$38, 0.0357, 0)</f>
        <v>35.986399999999996</v>
      </c>
      <c r="F475" s="27">
        <f>35.9507 * CHOOSE(CONTROL!$C$15, $E$9, 100%, $G$9) + CHOOSE(CONTROL!$C$38, 0.0266, 0)</f>
        <v>35.9773</v>
      </c>
      <c r="G475" s="10">
        <f>33.2267 * CHOOSE(CONTROL!$C$15, $E$9, 100%, $G$9) + CHOOSE(CONTROL!$C$38, 0.0357, 0)</f>
        <v>33.2624</v>
      </c>
      <c r="H475" s="10">
        <f>33.2267 * CHOOSE(CONTROL!$C$15, $E$9, 100%, $G$9) + CHOOSE(CONTROL!$C$38, 0.0357, 0)</f>
        <v>33.2624</v>
      </c>
      <c r="I475" s="10">
        <f>33.2282 * CHOOSE(CONTROL!$C$15, $E$9, 100%, $G$9) + CHOOSE(CONTROL!$C$38, 0.0357, 0)</f>
        <v>33.2639</v>
      </c>
      <c r="J475" s="26">
        <f>243.6322</f>
        <v>243.63220000000001</v>
      </c>
    </row>
    <row r="476" spans="1:10" ht="15.75">
      <c r="A476" s="14">
        <v>55792</v>
      </c>
      <c r="B476" s="10">
        <f>36.3837 * CHOOSE(CONTROL!$C$15, $E$9, 100%, $G$9) + CHOOSE(CONTROL!$C$38, 0.0266, 0)</f>
        <v>36.410299999999999</v>
      </c>
      <c r="C476" s="10">
        <f>33.505 * CHOOSE(CONTROL!$C$15, $E$9, 100%, $G$9) + CHOOSE(CONTROL!$C$38, 0.0357, 0)</f>
        <v>33.540700000000001</v>
      </c>
      <c r="D476" s="10">
        <f>33.4972 * CHOOSE(CONTROL!$C$15, $E$9, 100%, $G$9) + CHOOSE(CONTROL!$C$38, 0.0357, 0)</f>
        <v>33.532899999999998</v>
      </c>
      <c r="E476" s="28">
        <f>36.2275 * CHOOSE(CONTROL!$C$15, $E$9, 100%, $G$9) + CHOOSE(CONTROL!$C$38, 0.0357, 0)</f>
        <v>36.263199999999998</v>
      </c>
      <c r="F476" s="27">
        <f>36.2275 * CHOOSE(CONTROL!$C$15, $E$9, 100%, $G$9) + CHOOSE(CONTROL!$C$38, 0.0266, 0)</f>
        <v>36.254100000000001</v>
      </c>
      <c r="G476" s="10">
        <f>33.5035 * CHOOSE(CONTROL!$C$15, $E$9, 100%, $G$9) + CHOOSE(CONTROL!$C$38, 0.0357, 0)</f>
        <v>33.539200000000001</v>
      </c>
      <c r="H476" s="10">
        <f>33.5035 * CHOOSE(CONTROL!$C$15, $E$9, 100%, $G$9) + CHOOSE(CONTROL!$C$38, 0.0357, 0)</f>
        <v>33.539200000000001</v>
      </c>
      <c r="I476" s="10">
        <f>33.505 * CHOOSE(CONTROL!$C$15, $E$9, 100%, $G$9) + CHOOSE(CONTROL!$C$38, 0.0357, 0)</f>
        <v>33.540700000000001</v>
      </c>
      <c r="J476" s="26">
        <f>235.5343</f>
        <v>235.5343</v>
      </c>
    </row>
    <row r="477" spans="1:10" ht="15.75">
      <c r="A477" s="14">
        <v>55823</v>
      </c>
      <c r="B477" s="10">
        <f>36.6155 * CHOOSE(CONTROL!$C$15, $E$9, 100%, $G$9) + CHOOSE(CONTROL!$C$38, 0.0266, 0)</f>
        <v>36.642099999999999</v>
      </c>
      <c r="C477" s="10">
        <f>33.7368 * CHOOSE(CONTROL!$C$15, $E$9, 100%, $G$9) + CHOOSE(CONTROL!$C$38, 0.0357, 0)</f>
        <v>33.772500000000001</v>
      </c>
      <c r="D477" s="10">
        <f>33.729 * CHOOSE(CONTROL!$C$15, $E$9, 100%, $G$9) + CHOOSE(CONTROL!$C$38, 0.0357, 0)</f>
        <v>33.764699999999998</v>
      </c>
      <c r="E477" s="28">
        <f>36.4593 * CHOOSE(CONTROL!$C$15, $E$9, 100%, $G$9) + CHOOSE(CONTROL!$C$38, 0.0357, 0)</f>
        <v>36.494999999999997</v>
      </c>
      <c r="F477" s="27">
        <f>36.4593 * CHOOSE(CONTROL!$C$15, $E$9, 100%, $G$9) + CHOOSE(CONTROL!$C$38, 0.0266, 0)</f>
        <v>36.485900000000001</v>
      </c>
      <c r="G477" s="10">
        <f>33.7353 * CHOOSE(CONTROL!$C$15, $E$9, 100%, $G$9) + CHOOSE(CONTROL!$C$38, 0.0357, 0)</f>
        <v>33.771000000000001</v>
      </c>
      <c r="H477" s="10">
        <f>33.7353 * CHOOSE(CONTROL!$C$15, $E$9, 100%, $G$9) + CHOOSE(CONTROL!$C$38, 0.0357, 0)</f>
        <v>33.771000000000001</v>
      </c>
      <c r="I477" s="10">
        <f>33.7368 * CHOOSE(CONTROL!$C$15, $E$9, 100%, $G$9) + CHOOSE(CONTROL!$C$38, 0.0357, 0)</f>
        <v>33.772500000000001</v>
      </c>
      <c r="J477" s="26">
        <f>227.3893</f>
        <v>227.38929999999999</v>
      </c>
    </row>
    <row r="478" spans="1:10" ht="15.75">
      <c r="A478" s="14">
        <v>55853</v>
      </c>
      <c r="B478" s="10">
        <f>36.809 * CHOOSE(CONTROL!$C$15, $E$9, 100%, $G$9) + CHOOSE(CONTROL!$C$38, 0.0266, 0)</f>
        <v>36.835599999999999</v>
      </c>
      <c r="C478" s="10">
        <f>33.9303 * CHOOSE(CONTROL!$C$15, $E$9, 100%, $G$9) + CHOOSE(CONTROL!$C$38, 0.0357, 0)</f>
        <v>33.966000000000001</v>
      </c>
      <c r="D478" s="10">
        <f>33.9225 * CHOOSE(CONTROL!$C$15, $E$9, 100%, $G$9) + CHOOSE(CONTROL!$C$38, 0.0357, 0)</f>
        <v>33.958199999999998</v>
      </c>
      <c r="E478" s="28">
        <f>36.6527 * CHOOSE(CONTROL!$C$15, $E$9, 100%, $G$9) + CHOOSE(CONTROL!$C$38, 0.0357, 0)</f>
        <v>36.688400000000001</v>
      </c>
      <c r="F478" s="27">
        <f>36.6527 * CHOOSE(CONTROL!$C$15, $E$9, 100%, $G$9) + CHOOSE(CONTROL!$C$38, 0.0266, 0)</f>
        <v>36.679300000000005</v>
      </c>
      <c r="G478" s="10">
        <f>33.9287 * CHOOSE(CONTROL!$C$15, $E$9, 100%, $G$9) + CHOOSE(CONTROL!$C$38, 0.0357, 0)</f>
        <v>33.964399999999998</v>
      </c>
      <c r="H478" s="10">
        <f>33.9287 * CHOOSE(CONTROL!$C$15, $E$9, 100%, $G$9) + CHOOSE(CONTROL!$C$38, 0.0357, 0)</f>
        <v>33.964399999999998</v>
      </c>
      <c r="I478" s="10">
        <f>33.9303 * CHOOSE(CONTROL!$C$15, $E$9, 100%, $G$9) + CHOOSE(CONTROL!$C$38, 0.0357, 0)</f>
        <v>33.966000000000001</v>
      </c>
      <c r="J478" s="26">
        <f>225.7691</f>
        <v>225.76910000000001</v>
      </c>
    </row>
    <row r="479" spans="1:10" ht="15.75">
      <c r="A479" s="14">
        <v>55884</v>
      </c>
      <c r="B479" s="10">
        <f>37.405 * CHOOSE(CONTROL!$C$15, $E$9, 100%, $G$9) + CHOOSE(CONTROL!$C$38, 0.0266, 0)</f>
        <v>37.431600000000003</v>
      </c>
      <c r="C479" s="10">
        <f>34.5263 * CHOOSE(CONTROL!$C$15, $E$9, 100%, $G$9) + CHOOSE(CONTROL!$C$38, 0.0357, 0)</f>
        <v>34.561999999999998</v>
      </c>
      <c r="D479" s="10">
        <f>34.5185 * CHOOSE(CONTROL!$C$15, $E$9, 100%, $G$9) + CHOOSE(CONTROL!$C$38, 0.0357, 0)</f>
        <v>34.554200000000002</v>
      </c>
      <c r="E479" s="28">
        <f>37.2488 * CHOOSE(CONTROL!$C$15, $E$9, 100%, $G$9) + CHOOSE(CONTROL!$C$38, 0.0357, 0)</f>
        <v>37.284500000000001</v>
      </c>
      <c r="F479" s="27">
        <f>37.2488 * CHOOSE(CONTROL!$C$15, $E$9, 100%, $G$9) + CHOOSE(CONTROL!$C$38, 0.0266, 0)</f>
        <v>37.275400000000005</v>
      </c>
      <c r="G479" s="10">
        <f>34.5248 * CHOOSE(CONTROL!$C$15, $E$9, 100%, $G$9) + CHOOSE(CONTROL!$C$38, 0.0357, 0)</f>
        <v>34.560499999999998</v>
      </c>
      <c r="H479" s="10">
        <f>34.5248 * CHOOSE(CONTROL!$C$15, $E$9, 100%, $G$9) + CHOOSE(CONTROL!$C$38, 0.0357, 0)</f>
        <v>34.560499999999998</v>
      </c>
      <c r="I479" s="10">
        <f>34.5263 * CHOOSE(CONTROL!$C$15, $E$9, 100%, $G$9) + CHOOSE(CONTROL!$C$38, 0.0357, 0)</f>
        <v>34.561999999999998</v>
      </c>
      <c r="J479" s="26">
        <f>219.0694</f>
        <v>219.0694</v>
      </c>
    </row>
    <row r="480" spans="1:10" ht="15.75">
      <c r="A480" s="14">
        <v>55915</v>
      </c>
      <c r="B480" s="10">
        <f>38.5159 * CHOOSE(CONTROL!$C$15, $E$9, 100%, $G$9) + CHOOSE(CONTROL!$C$38, 0.0266, 0)</f>
        <v>38.542500000000004</v>
      </c>
      <c r="C480" s="10">
        <f>35.5891 * CHOOSE(CONTROL!$C$15, $E$9, 100%, $G$9) + CHOOSE(CONTROL!$C$38, 0.0357, 0)</f>
        <v>35.6248</v>
      </c>
      <c r="D480" s="10">
        <f>35.5813 * CHOOSE(CONTROL!$C$15, $E$9, 100%, $G$9) + CHOOSE(CONTROL!$C$38, 0.0357, 0)</f>
        <v>35.616999999999997</v>
      </c>
      <c r="E480" s="28">
        <f>38.3596 * CHOOSE(CONTROL!$C$15, $E$9, 100%, $G$9) + CHOOSE(CONTROL!$C$38, 0.0357, 0)</f>
        <v>38.395299999999999</v>
      </c>
      <c r="F480" s="27">
        <f>38.3596 * CHOOSE(CONTROL!$C$15, $E$9, 100%, $G$9) + CHOOSE(CONTROL!$C$38, 0.0266, 0)</f>
        <v>38.386200000000002</v>
      </c>
      <c r="G480" s="10">
        <f>35.5875 * CHOOSE(CONTROL!$C$15, $E$9, 100%, $G$9) + CHOOSE(CONTROL!$C$38, 0.0357, 0)</f>
        <v>35.623199999999997</v>
      </c>
      <c r="H480" s="10">
        <f>35.5875 * CHOOSE(CONTROL!$C$15, $E$9, 100%, $G$9) + CHOOSE(CONTROL!$C$38, 0.0357, 0)</f>
        <v>35.623199999999997</v>
      </c>
      <c r="I480" s="10">
        <f>35.5891 * CHOOSE(CONTROL!$C$15, $E$9, 100%, $G$9) + CHOOSE(CONTROL!$C$38, 0.0357, 0)</f>
        <v>35.6248</v>
      </c>
      <c r="J480" s="26">
        <f>217.6019</f>
        <v>217.6019</v>
      </c>
    </row>
    <row r="481" spans="1:10" ht="15.75">
      <c r="A481" s="14">
        <v>55943</v>
      </c>
      <c r="B481" s="10">
        <f>38.7366 * CHOOSE(CONTROL!$C$15, $E$9, 100%, $G$9) + CHOOSE(CONTROL!$C$38, 0.0266, 0)</f>
        <v>38.763200000000005</v>
      </c>
      <c r="C481" s="10">
        <f>35.8098 * CHOOSE(CONTROL!$C$15, $E$9, 100%, $G$9) + CHOOSE(CONTROL!$C$38, 0.0357, 0)</f>
        <v>35.845500000000001</v>
      </c>
      <c r="D481" s="10">
        <f>35.802 * CHOOSE(CONTROL!$C$15, $E$9, 100%, $G$9) + CHOOSE(CONTROL!$C$38, 0.0357, 0)</f>
        <v>35.837699999999998</v>
      </c>
      <c r="E481" s="28">
        <f>38.5804 * CHOOSE(CONTROL!$C$15, $E$9, 100%, $G$9) + CHOOSE(CONTROL!$C$38, 0.0357, 0)</f>
        <v>38.616099999999996</v>
      </c>
      <c r="F481" s="27">
        <f>38.5804 * CHOOSE(CONTROL!$C$15, $E$9, 100%, $G$9) + CHOOSE(CONTROL!$C$38, 0.0266, 0)</f>
        <v>38.606999999999999</v>
      </c>
      <c r="G481" s="10">
        <f>35.8083 * CHOOSE(CONTROL!$C$15, $E$9, 100%, $G$9) + CHOOSE(CONTROL!$C$38, 0.0357, 0)</f>
        <v>35.844000000000001</v>
      </c>
      <c r="H481" s="10">
        <f>35.8083 * CHOOSE(CONTROL!$C$15, $E$9, 100%, $G$9) + CHOOSE(CONTROL!$C$38, 0.0357, 0)</f>
        <v>35.844000000000001</v>
      </c>
      <c r="I481" s="10">
        <f>35.8098 * CHOOSE(CONTROL!$C$15, $E$9, 100%, $G$9) + CHOOSE(CONTROL!$C$38, 0.0357, 0)</f>
        <v>35.845500000000001</v>
      </c>
      <c r="J481" s="26">
        <f>216.9971</f>
        <v>216.99709999999999</v>
      </c>
    </row>
    <row r="482" spans="1:10" ht="15.75">
      <c r="A482" s="14">
        <v>55974</v>
      </c>
      <c r="B482" s="10">
        <f>38.2256 * CHOOSE(CONTROL!$C$15, $E$9, 100%, $G$9) + CHOOSE(CONTROL!$C$38, 0.0266, 0)</f>
        <v>38.252200000000002</v>
      </c>
      <c r="C482" s="10">
        <f>35.2988 * CHOOSE(CONTROL!$C$15, $E$9, 100%, $G$9) + CHOOSE(CONTROL!$C$38, 0.0357, 0)</f>
        <v>35.334499999999998</v>
      </c>
      <c r="D482" s="10">
        <f>35.291 * CHOOSE(CONTROL!$C$15, $E$9, 100%, $G$9) + CHOOSE(CONTROL!$C$38, 0.0357, 0)</f>
        <v>35.326699999999995</v>
      </c>
      <c r="E482" s="28">
        <f>38.0694 * CHOOSE(CONTROL!$C$15, $E$9, 100%, $G$9) + CHOOSE(CONTROL!$C$38, 0.0357, 0)</f>
        <v>38.1051</v>
      </c>
      <c r="F482" s="27">
        <f>38.0694 * CHOOSE(CONTROL!$C$15, $E$9, 100%, $G$9) + CHOOSE(CONTROL!$C$38, 0.0266, 0)</f>
        <v>38.096000000000004</v>
      </c>
      <c r="G482" s="10">
        <f>35.2973 * CHOOSE(CONTROL!$C$15, $E$9, 100%, $G$9) + CHOOSE(CONTROL!$C$38, 0.0357, 0)</f>
        <v>35.332999999999998</v>
      </c>
      <c r="H482" s="10">
        <f>35.2973 * CHOOSE(CONTROL!$C$15, $E$9, 100%, $G$9) + CHOOSE(CONTROL!$C$38, 0.0357, 0)</f>
        <v>35.332999999999998</v>
      </c>
      <c r="I482" s="10">
        <f>35.2988 * CHOOSE(CONTROL!$C$15, $E$9, 100%, $G$9) + CHOOSE(CONTROL!$C$38, 0.0357, 0)</f>
        <v>35.334499999999998</v>
      </c>
      <c r="J482" s="26">
        <f>228.4341</f>
        <v>228.4341</v>
      </c>
    </row>
    <row r="483" spans="1:10" ht="15.75">
      <c r="A483" s="14">
        <v>56004</v>
      </c>
      <c r="B483" s="10">
        <f>37.7304 * CHOOSE(CONTROL!$C$15, $E$9, 100%, $G$9) + CHOOSE(CONTROL!$C$38, 0.0266, 0)</f>
        <v>37.757000000000005</v>
      </c>
      <c r="C483" s="10">
        <f>34.8036 * CHOOSE(CONTROL!$C$15, $E$9, 100%, $G$9) + CHOOSE(CONTROL!$C$38, 0.0357, 0)</f>
        <v>34.839300000000001</v>
      </c>
      <c r="D483" s="10">
        <f>34.7958 * CHOOSE(CONTROL!$C$15, $E$9, 100%, $G$9) + CHOOSE(CONTROL!$C$38, 0.0357, 0)</f>
        <v>34.831499999999998</v>
      </c>
      <c r="E483" s="28">
        <f>37.5742 * CHOOSE(CONTROL!$C$15, $E$9, 100%, $G$9) + CHOOSE(CONTROL!$C$38, 0.0357, 0)</f>
        <v>37.609899999999996</v>
      </c>
      <c r="F483" s="27">
        <f>37.5742 * CHOOSE(CONTROL!$C$15, $E$9, 100%, $G$9) + CHOOSE(CONTROL!$C$38, 0.0266, 0)</f>
        <v>37.6008</v>
      </c>
      <c r="G483" s="10">
        <f>34.8021 * CHOOSE(CONTROL!$C$15, $E$9, 100%, $G$9) + CHOOSE(CONTROL!$C$38, 0.0357, 0)</f>
        <v>34.837800000000001</v>
      </c>
      <c r="H483" s="10">
        <f>34.8021 * CHOOSE(CONTROL!$C$15, $E$9, 100%, $G$9) + CHOOSE(CONTROL!$C$38, 0.0357, 0)</f>
        <v>34.837800000000001</v>
      </c>
      <c r="I483" s="10">
        <f>34.8036 * CHOOSE(CONTROL!$C$15, $E$9, 100%, $G$9) + CHOOSE(CONTROL!$C$38, 0.0357, 0)</f>
        <v>34.839300000000001</v>
      </c>
      <c r="J483" s="26">
        <f>243.2651</f>
        <v>243.26509999999999</v>
      </c>
    </row>
    <row r="484" spans="1:10" ht="15.75">
      <c r="A484" s="14">
        <v>56035</v>
      </c>
      <c r="B484" s="10">
        <f>37.2143 * CHOOSE(CONTROL!$C$15, $E$9, 100%, $G$9) + CHOOSE(CONTROL!$C$38, 0.0266, 0)</f>
        <v>37.240900000000003</v>
      </c>
      <c r="C484" s="10">
        <f>34.2875 * CHOOSE(CONTROL!$C$15, $E$9, 100%, $G$9) + CHOOSE(CONTROL!$C$38, 0.0357, 0)</f>
        <v>34.3232</v>
      </c>
      <c r="D484" s="10">
        <f>34.2797 * CHOOSE(CONTROL!$C$15, $E$9, 100%, $G$9) + CHOOSE(CONTROL!$C$38, 0.0357, 0)</f>
        <v>34.315399999999997</v>
      </c>
      <c r="E484" s="28">
        <f>37.0581 * CHOOSE(CONTROL!$C$15, $E$9, 100%, $G$9) + CHOOSE(CONTROL!$C$38, 0.0357, 0)</f>
        <v>37.093800000000002</v>
      </c>
      <c r="F484" s="27">
        <f>37.0581 * CHOOSE(CONTROL!$C$15, $E$9, 100%, $G$9) + CHOOSE(CONTROL!$C$38, 0.0266, 0)</f>
        <v>37.084700000000005</v>
      </c>
      <c r="G484" s="10">
        <f>34.286 * CHOOSE(CONTROL!$C$15, $E$9, 100%, $G$9) + CHOOSE(CONTROL!$C$38, 0.0357, 0)</f>
        <v>34.3217</v>
      </c>
      <c r="H484" s="10">
        <f>34.286 * CHOOSE(CONTROL!$C$15, $E$9, 100%, $G$9) + CHOOSE(CONTROL!$C$38, 0.0357, 0)</f>
        <v>34.3217</v>
      </c>
      <c r="I484" s="10">
        <f>34.2875 * CHOOSE(CONTROL!$C$15, $E$9, 100%, $G$9) + CHOOSE(CONTROL!$C$38, 0.0357, 0)</f>
        <v>34.3232</v>
      </c>
      <c r="J484" s="26">
        <f>251.4286</f>
        <v>251.42859999999999</v>
      </c>
    </row>
    <row r="485" spans="1:10" ht="15.75">
      <c r="A485" s="14">
        <v>56065</v>
      </c>
      <c r="B485" s="10">
        <f>36.8525 * CHOOSE(CONTROL!$C$15, $E$9, 100%, $G$9) + CHOOSE(CONTROL!$C$38, 0.0266, 0)</f>
        <v>36.879100000000001</v>
      </c>
      <c r="C485" s="10">
        <f>33.9257 * CHOOSE(CONTROL!$C$15, $E$9, 100%, $G$9) + CHOOSE(CONTROL!$C$38, 0.0357, 0)</f>
        <v>33.961399999999998</v>
      </c>
      <c r="D485" s="10">
        <f>33.9179 * CHOOSE(CONTROL!$C$15, $E$9, 100%, $G$9) + CHOOSE(CONTROL!$C$38, 0.0357, 0)</f>
        <v>33.953600000000002</v>
      </c>
      <c r="E485" s="28">
        <f>36.6962 * CHOOSE(CONTROL!$C$15, $E$9, 100%, $G$9) + CHOOSE(CONTROL!$C$38, 0.0357, 0)</f>
        <v>36.731899999999996</v>
      </c>
      <c r="F485" s="27">
        <f>36.6962 * CHOOSE(CONTROL!$C$15, $E$9, 100%, $G$9) + CHOOSE(CONTROL!$C$38, 0.0266, 0)</f>
        <v>36.722799999999999</v>
      </c>
      <c r="G485" s="10">
        <f>33.9241 * CHOOSE(CONTROL!$C$15, $E$9, 100%, $G$9) + CHOOSE(CONTROL!$C$38, 0.0357, 0)</f>
        <v>33.959800000000001</v>
      </c>
      <c r="H485" s="10">
        <f>33.9241 * CHOOSE(CONTROL!$C$15, $E$9, 100%, $G$9) + CHOOSE(CONTROL!$C$38, 0.0357, 0)</f>
        <v>33.959800000000001</v>
      </c>
      <c r="I485" s="10">
        <f>33.9257 * CHOOSE(CONTROL!$C$15, $E$9, 100%, $G$9) + CHOOSE(CONTROL!$C$38, 0.0357, 0)</f>
        <v>33.961399999999998</v>
      </c>
      <c r="J485" s="26">
        <f>255.0514</f>
        <v>255.0514</v>
      </c>
    </row>
    <row r="486" spans="1:10" ht="15.75">
      <c r="A486" s="14">
        <v>56096</v>
      </c>
      <c r="B486" s="10">
        <f>36.646 * CHOOSE(CONTROL!$C$15, $E$9, 100%, $G$9) + CHOOSE(CONTROL!$C$38, 0.0266, 0)</f>
        <v>36.672600000000003</v>
      </c>
      <c r="C486" s="10">
        <f>33.7192 * CHOOSE(CONTROL!$C$15, $E$9, 100%, $G$9) + CHOOSE(CONTROL!$C$38, 0.0357, 0)</f>
        <v>33.754899999999999</v>
      </c>
      <c r="D486" s="10">
        <f>33.7114 * CHOOSE(CONTROL!$C$15, $E$9, 100%, $G$9) + CHOOSE(CONTROL!$C$38, 0.0357, 0)</f>
        <v>33.747099999999996</v>
      </c>
      <c r="E486" s="28">
        <f>36.4897 * CHOOSE(CONTROL!$C$15, $E$9, 100%, $G$9) + CHOOSE(CONTROL!$C$38, 0.0357, 0)</f>
        <v>36.525399999999998</v>
      </c>
      <c r="F486" s="27">
        <f>36.4897 * CHOOSE(CONTROL!$C$15, $E$9, 100%, $G$9) + CHOOSE(CONTROL!$C$38, 0.0266, 0)</f>
        <v>36.516300000000001</v>
      </c>
      <c r="G486" s="10">
        <f>33.7176 * CHOOSE(CONTROL!$C$15, $E$9, 100%, $G$9) + CHOOSE(CONTROL!$C$38, 0.0357, 0)</f>
        <v>33.753299999999996</v>
      </c>
      <c r="H486" s="10">
        <f>33.7176 * CHOOSE(CONTROL!$C$15, $E$9, 100%, $G$9) + CHOOSE(CONTROL!$C$38, 0.0357, 0)</f>
        <v>33.753299999999996</v>
      </c>
      <c r="I486" s="10">
        <f>33.7192 * CHOOSE(CONTROL!$C$15, $E$9, 100%, $G$9) + CHOOSE(CONTROL!$C$38, 0.0357, 0)</f>
        <v>33.754899999999999</v>
      </c>
      <c r="J486" s="26">
        <f>253.8586</f>
        <v>253.8586</v>
      </c>
    </row>
    <row r="487" spans="1:10" ht="15.75">
      <c r="A487" s="14">
        <v>56127</v>
      </c>
      <c r="B487" s="10">
        <f>36.7479 * CHOOSE(CONTROL!$C$15, $E$9, 100%, $G$9) + CHOOSE(CONTROL!$C$38, 0.0266, 0)</f>
        <v>36.774500000000003</v>
      </c>
      <c r="C487" s="10">
        <f>33.8211 * CHOOSE(CONTROL!$C$15, $E$9, 100%, $G$9) + CHOOSE(CONTROL!$C$38, 0.0357, 0)</f>
        <v>33.8568</v>
      </c>
      <c r="D487" s="10">
        <f>33.8133 * CHOOSE(CONTROL!$C$15, $E$9, 100%, $G$9) + CHOOSE(CONTROL!$C$38, 0.0357, 0)</f>
        <v>33.848999999999997</v>
      </c>
      <c r="E487" s="28">
        <f>36.5916 * CHOOSE(CONTROL!$C$15, $E$9, 100%, $G$9) + CHOOSE(CONTROL!$C$38, 0.0357, 0)</f>
        <v>36.627299999999998</v>
      </c>
      <c r="F487" s="27">
        <f>36.5916 * CHOOSE(CONTROL!$C$15, $E$9, 100%, $G$9) + CHOOSE(CONTROL!$C$38, 0.0266, 0)</f>
        <v>36.618200000000002</v>
      </c>
      <c r="G487" s="10">
        <f>33.8195 * CHOOSE(CONTROL!$C$15, $E$9, 100%, $G$9) + CHOOSE(CONTROL!$C$38, 0.0357, 0)</f>
        <v>33.855199999999996</v>
      </c>
      <c r="H487" s="10">
        <f>33.8195 * CHOOSE(CONTROL!$C$15, $E$9, 100%, $G$9) + CHOOSE(CONTROL!$C$38, 0.0357, 0)</f>
        <v>33.855199999999996</v>
      </c>
      <c r="I487" s="10">
        <f>33.8211 * CHOOSE(CONTROL!$C$15, $E$9, 100%, $G$9) + CHOOSE(CONTROL!$C$38, 0.0357, 0)</f>
        <v>33.8568</v>
      </c>
      <c r="J487" s="26">
        <f>247.9489</f>
        <v>247.94890000000001</v>
      </c>
    </row>
    <row r="488" spans="1:10" ht="15.75">
      <c r="A488" s="14">
        <v>56157</v>
      </c>
      <c r="B488" s="10">
        <f>37.0247 * CHOOSE(CONTROL!$C$15, $E$9, 100%, $G$9) + CHOOSE(CONTROL!$C$38, 0.0266, 0)</f>
        <v>37.051300000000005</v>
      </c>
      <c r="C488" s="10">
        <f>34.0979 * CHOOSE(CONTROL!$C$15, $E$9, 100%, $G$9) + CHOOSE(CONTROL!$C$38, 0.0357, 0)</f>
        <v>34.133600000000001</v>
      </c>
      <c r="D488" s="10">
        <f>34.0901 * CHOOSE(CONTROL!$C$15, $E$9, 100%, $G$9) + CHOOSE(CONTROL!$C$38, 0.0357, 0)</f>
        <v>34.125799999999998</v>
      </c>
      <c r="E488" s="28">
        <f>36.8684 * CHOOSE(CONTROL!$C$15, $E$9, 100%, $G$9) + CHOOSE(CONTROL!$C$38, 0.0357, 0)</f>
        <v>36.9041</v>
      </c>
      <c r="F488" s="27">
        <f>36.8684 * CHOOSE(CONTROL!$C$15, $E$9, 100%, $G$9) + CHOOSE(CONTROL!$C$38, 0.0266, 0)</f>
        <v>36.895000000000003</v>
      </c>
      <c r="G488" s="10">
        <f>34.0963 * CHOOSE(CONTROL!$C$15, $E$9, 100%, $G$9) + CHOOSE(CONTROL!$C$38, 0.0357, 0)</f>
        <v>34.131999999999998</v>
      </c>
      <c r="H488" s="10">
        <f>34.0963 * CHOOSE(CONTROL!$C$15, $E$9, 100%, $G$9) + CHOOSE(CONTROL!$C$38, 0.0357, 0)</f>
        <v>34.131999999999998</v>
      </c>
      <c r="I488" s="10">
        <f>34.0979 * CHOOSE(CONTROL!$C$15, $E$9, 100%, $G$9) + CHOOSE(CONTROL!$C$38, 0.0357, 0)</f>
        <v>34.133600000000001</v>
      </c>
      <c r="J488" s="26">
        <f>239.7075</f>
        <v>239.70750000000001</v>
      </c>
    </row>
    <row r="489" spans="1:10" ht="15.75">
      <c r="A489" s="14">
        <v>56188</v>
      </c>
      <c r="B489" s="10">
        <f>37.2565 * CHOOSE(CONTROL!$C$15, $E$9, 100%, $G$9) + CHOOSE(CONTROL!$C$38, 0.0266, 0)</f>
        <v>37.283100000000005</v>
      </c>
      <c r="C489" s="10">
        <f>34.3297 * CHOOSE(CONTROL!$C$15, $E$9, 100%, $G$9) + CHOOSE(CONTROL!$C$38, 0.0357, 0)</f>
        <v>34.365400000000001</v>
      </c>
      <c r="D489" s="10">
        <f>34.3219 * CHOOSE(CONTROL!$C$15, $E$9, 100%, $G$9) + CHOOSE(CONTROL!$C$38, 0.0357, 0)</f>
        <v>34.357599999999998</v>
      </c>
      <c r="E489" s="28">
        <f>37.1003 * CHOOSE(CONTROL!$C$15, $E$9, 100%, $G$9) + CHOOSE(CONTROL!$C$38, 0.0357, 0)</f>
        <v>37.135999999999996</v>
      </c>
      <c r="F489" s="27">
        <f>37.1003 * CHOOSE(CONTROL!$C$15, $E$9, 100%, $G$9) + CHOOSE(CONTROL!$C$38, 0.0266, 0)</f>
        <v>37.126899999999999</v>
      </c>
      <c r="G489" s="10">
        <f>34.3282 * CHOOSE(CONTROL!$C$15, $E$9, 100%, $G$9) + CHOOSE(CONTROL!$C$38, 0.0357, 0)</f>
        <v>34.363900000000001</v>
      </c>
      <c r="H489" s="10">
        <f>34.3282 * CHOOSE(CONTROL!$C$15, $E$9, 100%, $G$9) + CHOOSE(CONTROL!$C$38, 0.0357, 0)</f>
        <v>34.363900000000001</v>
      </c>
      <c r="I489" s="10">
        <f>34.3297 * CHOOSE(CONTROL!$C$15, $E$9, 100%, $G$9) + CHOOSE(CONTROL!$C$38, 0.0357, 0)</f>
        <v>34.365400000000001</v>
      </c>
      <c r="J489" s="26">
        <f>231.4182</f>
        <v>231.41820000000001</v>
      </c>
    </row>
    <row r="490" spans="1:10" ht="15.75">
      <c r="A490" s="14">
        <v>56218</v>
      </c>
      <c r="B490" s="10">
        <f>37.45 * CHOOSE(CONTROL!$C$15, $E$9, 100%, $G$9) + CHOOSE(CONTROL!$C$38, 0.0266, 0)</f>
        <v>37.476600000000005</v>
      </c>
      <c r="C490" s="10">
        <f>34.5232 * CHOOSE(CONTROL!$C$15, $E$9, 100%, $G$9) + CHOOSE(CONTROL!$C$38, 0.0357, 0)</f>
        <v>34.558900000000001</v>
      </c>
      <c r="D490" s="10">
        <f>34.5154 * CHOOSE(CONTROL!$C$15, $E$9, 100%, $G$9) + CHOOSE(CONTROL!$C$38, 0.0357, 0)</f>
        <v>34.551099999999998</v>
      </c>
      <c r="E490" s="28">
        <f>37.2937 * CHOOSE(CONTROL!$C$15, $E$9, 100%, $G$9) + CHOOSE(CONTROL!$C$38, 0.0357, 0)</f>
        <v>37.3294</v>
      </c>
      <c r="F490" s="27">
        <f>37.2937 * CHOOSE(CONTROL!$C$15, $E$9, 100%, $G$9) + CHOOSE(CONTROL!$C$38, 0.0266, 0)</f>
        <v>37.320300000000003</v>
      </c>
      <c r="G490" s="10">
        <f>34.5216 * CHOOSE(CONTROL!$C$15, $E$9, 100%, $G$9) + CHOOSE(CONTROL!$C$38, 0.0357, 0)</f>
        <v>34.557299999999998</v>
      </c>
      <c r="H490" s="10">
        <f>34.5216 * CHOOSE(CONTROL!$C$15, $E$9, 100%, $G$9) + CHOOSE(CONTROL!$C$38, 0.0357, 0)</f>
        <v>34.557299999999998</v>
      </c>
      <c r="I490" s="10">
        <f>34.5232 * CHOOSE(CONTROL!$C$15, $E$9, 100%, $G$9) + CHOOSE(CONTROL!$C$38, 0.0357, 0)</f>
        <v>34.558900000000001</v>
      </c>
      <c r="J490" s="26">
        <f>229.7693</f>
        <v>229.76929999999999</v>
      </c>
    </row>
    <row r="491" spans="1:10" ht="15.75">
      <c r="A491" s="14">
        <v>56249</v>
      </c>
      <c r="B491" s="10">
        <f>38.046 * CHOOSE(CONTROL!$C$15, $E$9, 100%, $G$9) + CHOOSE(CONTROL!$C$38, 0.0266, 0)</f>
        <v>38.072600000000001</v>
      </c>
      <c r="C491" s="10">
        <f>35.1192 * CHOOSE(CONTROL!$C$15, $E$9, 100%, $G$9) + CHOOSE(CONTROL!$C$38, 0.0357, 0)</f>
        <v>35.154899999999998</v>
      </c>
      <c r="D491" s="10">
        <f>35.1114 * CHOOSE(CONTROL!$C$15, $E$9, 100%, $G$9) + CHOOSE(CONTROL!$C$38, 0.0357, 0)</f>
        <v>35.147100000000002</v>
      </c>
      <c r="E491" s="28">
        <f>37.8898 * CHOOSE(CONTROL!$C$15, $E$9, 100%, $G$9) + CHOOSE(CONTROL!$C$38, 0.0357, 0)</f>
        <v>37.9255</v>
      </c>
      <c r="F491" s="27">
        <f>37.8898 * CHOOSE(CONTROL!$C$15, $E$9, 100%, $G$9) + CHOOSE(CONTROL!$C$38, 0.0266, 0)</f>
        <v>37.916400000000003</v>
      </c>
      <c r="G491" s="10">
        <f>35.1177 * CHOOSE(CONTROL!$C$15, $E$9, 100%, $G$9) + CHOOSE(CONTROL!$C$38, 0.0357, 0)</f>
        <v>35.153399999999998</v>
      </c>
      <c r="H491" s="10">
        <f>35.1177 * CHOOSE(CONTROL!$C$15, $E$9, 100%, $G$9) + CHOOSE(CONTROL!$C$38, 0.0357, 0)</f>
        <v>35.153399999999998</v>
      </c>
      <c r="I491" s="10">
        <f>35.1192 * CHOOSE(CONTROL!$C$15, $E$9, 100%, $G$9) + CHOOSE(CONTROL!$C$38, 0.0357, 0)</f>
        <v>35.154899999999998</v>
      </c>
      <c r="J491" s="26">
        <f>222.9509</f>
        <v>222.95089999999999</v>
      </c>
    </row>
    <row r="492" spans="1:10" ht="15.75">
      <c r="A492" s="14">
        <v>56280</v>
      </c>
      <c r="B492" s="10">
        <f>39.1682 * CHOOSE(CONTROL!$C$15, $E$9, 100%, $G$9) + CHOOSE(CONTROL!$C$38, 0.0266, 0)</f>
        <v>39.194800000000001</v>
      </c>
      <c r="C492" s="10">
        <f>36.1924 * CHOOSE(CONTROL!$C$15, $E$9, 100%, $G$9) + CHOOSE(CONTROL!$C$38, 0.0357, 0)</f>
        <v>36.228099999999998</v>
      </c>
      <c r="D492" s="10">
        <f>36.1846 * CHOOSE(CONTROL!$C$15, $E$9, 100%, $G$9) + CHOOSE(CONTROL!$C$38, 0.0357, 0)</f>
        <v>36.220300000000002</v>
      </c>
      <c r="E492" s="28">
        <f>39.0119 * CHOOSE(CONTROL!$C$15, $E$9, 100%, $G$9) + CHOOSE(CONTROL!$C$38, 0.0357, 0)</f>
        <v>39.047599999999996</v>
      </c>
      <c r="F492" s="27">
        <f>39.0119 * CHOOSE(CONTROL!$C$15, $E$9, 100%, $G$9) + CHOOSE(CONTROL!$C$38, 0.0266, 0)</f>
        <v>39.038499999999999</v>
      </c>
      <c r="G492" s="10">
        <f>36.1909 * CHOOSE(CONTROL!$C$15, $E$9, 100%, $G$9) + CHOOSE(CONTROL!$C$38, 0.0357, 0)</f>
        <v>36.226599999999998</v>
      </c>
      <c r="H492" s="10">
        <f>36.1909 * CHOOSE(CONTROL!$C$15, $E$9, 100%, $G$9) + CHOOSE(CONTROL!$C$38, 0.0357, 0)</f>
        <v>36.226599999999998</v>
      </c>
      <c r="I492" s="10">
        <f>36.1924 * CHOOSE(CONTROL!$C$15, $E$9, 100%, $G$9) + CHOOSE(CONTROL!$C$38, 0.0357, 0)</f>
        <v>36.228099999999998</v>
      </c>
      <c r="J492" s="26">
        <f>221.4574</f>
        <v>221.45740000000001</v>
      </c>
    </row>
    <row r="493" spans="1:10" ht="15.75">
      <c r="A493" s="14">
        <v>56308</v>
      </c>
      <c r="B493" s="10">
        <f>39.3889 * CHOOSE(CONTROL!$C$15, $E$9, 100%, $G$9) + CHOOSE(CONTROL!$C$38, 0.0266, 0)</f>
        <v>39.415500000000002</v>
      </c>
      <c r="C493" s="10">
        <f>36.4132 * CHOOSE(CONTROL!$C$15, $E$9, 100%, $G$9) + CHOOSE(CONTROL!$C$38, 0.0357, 0)</f>
        <v>36.448900000000002</v>
      </c>
      <c r="D493" s="10">
        <f>36.4054 * CHOOSE(CONTROL!$C$15, $E$9, 100%, $G$9) + CHOOSE(CONTROL!$C$38, 0.0357, 0)</f>
        <v>36.441099999999999</v>
      </c>
      <c r="E493" s="28">
        <f>39.2327 * CHOOSE(CONTROL!$C$15, $E$9, 100%, $G$9) + CHOOSE(CONTROL!$C$38, 0.0357, 0)</f>
        <v>39.2684</v>
      </c>
      <c r="F493" s="27">
        <f>39.2327 * CHOOSE(CONTROL!$C$15, $E$9, 100%, $G$9) + CHOOSE(CONTROL!$C$38, 0.0266, 0)</f>
        <v>39.259300000000003</v>
      </c>
      <c r="G493" s="10">
        <f>36.4116 * CHOOSE(CONTROL!$C$15, $E$9, 100%, $G$9) + CHOOSE(CONTROL!$C$38, 0.0357, 0)</f>
        <v>36.447299999999998</v>
      </c>
      <c r="H493" s="10">
        <f>36.4116 * CHOOSE(CONTROL!$C$15, $E$9, 100%, $G$9) + CHOOSE(CONTROL!$C$38, 0.0357, 0)</f>
        <v>36.447299999999998</v>
      </c>
      <c r="I493" s="10">
        <f>36.4132 * CHOOSE(CONTROL!$C$15, $E$9, 100%, $G$9) + CHOOSE(CONTROL!$C$38, 0.0357, 0)</f>
        <v>36.448900000000002</v>
      </c>
      <c r="J493" s="26">
        <f>220.8419</f>
        <v>220.84190000000001</v>
      </c>
    </row>
    <row r="494" spans="1:10" ht="15.75">
      <c r="A494" s="14">
        <v>56339</v>
      </c>
      <c r="B494" s="10">
        <f>38.8779 * CHOOSE(CONTROL!$C$15, $E$9, 100%, $G$9) + CHOOSE(CONTROL!$C$38, 0.0266, 0)</f>
        <v>38.904499999999999</v>
      </c>
      <c r="C494" s="10">
        <f>35.9022 * CHOOSE(CONTROL!$C$15, $E$9, 100%, $G$9) + CHOOSE(CONTROL!$C$38, 0.0357, 0)</f>
        <v>35.937899999999999</v>
      </c>
      <c r="D494" s="10">
        <f>35.8944 * CHOOSE(CONTROL!$C$15, $E$9, 100%, $G$9) + CHOOSE(CONTROL!$C$38, 0.0357, 0)</f>
        <v>35.930099999999996</v>
      </c>
      <c r="E494" s="28">
        <f>38.7217 * CHOOSE(CONTROL!$C$15, $E$9, 100%, $G$9) + CHOOSE(CONTROL!$C$38, 0.0357, 0)</f>
        <v>38.757399999999997</v>
      </c>
      <c r="F494" s="27">
        <f>38.7217 * CHOOSE(CONTROL!$C$15, $E$9, 100%, $G$9) + CHOOSE(CONTROL!$C$38, 0.0266, 0)</f>
        <v>38.7483</v>
      </c>
      <c r="G494" s="10">
        <f>35.9006 * CHOOSE(CONTROL!$C$15, $E$9, 100%, $G$9) + CHOOSE(CONTROL!$C$38, 0.0357, 0)</f>
        <v>35.936299999999996</v>
      </c>
      <c r="H494" s="10">
        <f>35.9006 * CHOOSE(CONTROL!$C$15, $E$9, 100%, $G$9) + CHOOSE(CONTROL!$C$38, 0.0357, 0)</f>
        <v>35.936299999999996</v>
      </c>
      <c r="I494" s="10">
        <f>35.9022 * CHOOSE(CONTROL!$C$15, $E$9, 100%, $G$9) + CHOOSE(CONTROL!$C$38, 0.0357, 0)</f>
        <v>35.937899999999999</v>
      </c>
      <c r="J494" s="26">
        <f>232.4815</f>
        <v>232.48150000000001</v>
      </c>
    </row>
    <row r="495" spans="1:10" ht="15.75">
      <c r="A495" s="14">
        <v>56369</v>
      </c>
      <c r="B495" s="10">
        <f>38.3827 * CHOOSE(CONTROL!$C$15, $E$9, 100%, $G$9) + CHOOSE(CONTROL!$C$38, 0.0266, 0)</f>
        <v>38.409300000000002</v>
      </c>
      <c r="C495" s="10">
        <f>35.407 * CHOOSE(CONTROL!$C$15, $E$9, 100%, $G$9) + CHOOSE(CONTROL!$C$38, 0.0357, 0)</f>
        <v>35.442699999999995</v>
      </c>
      <c r="D495" s="10">
        <f>35.3992 * CHOOSE(CONTROL!$C$15, $E$9, 100%, $G$9) + CHOOSE(CONTROL!$C$38, 0.0357, 0)</f>
        <v>35.434899999999999</v>
      </c>
      <c r="E495" s="28">
        <f>38.2265 * CHOOSE(CONTROL!$C$15, $E$9, 100%, $G$9) + CHOOSE(CONTROL!$C$38, 0.0357, 0)</f>
        <v>38.2622</v>
      </c>
      <c r="F495" s="27">
        <f>38.2265 * CHOOSE(CONTROL!$C$15, $E$9, 100%, $G$9) + CHOOSE(CONTROL!$C$38, 0.0266, 0)</f>
        <v>38.253100000000003</v>
      </c>
      <c r="G495" s="10">
        <f>35.4054 * CHOOSE(CONTROL!$C$15, $E$9, 100%, $G$9) + CHOOSE(CONTROL!$C$38, 0.0357, 0)</f>
        <v>35.441099999999999</v>
      </c>
      <c r="H495" s="10">
        <f>35.4054 * CHOOSE(CONTROL!$C$15, $E$9, 100%, $G$9) + CHOOSE(CONTROL!$C$38, 0.0357, 0)</f>
        <v>35.441099999999999</v>
      </c>
      <c r="I495" s="10">
        <f>35.407 * CHOOSE(CONTROL!$C$15, $E$9, 100%, $G$9) + CHOOSE(CONTROL!$C$38, 0.0357, 0)</f>
        <v>35.442699999999995</v>
      </c>
      <c r="J495" s="26">
        <f>247.5753</f>
        <v>247.5753</v>
      </c>
    </row>
    <row r="496" spans="1:10" ht="15.75">
      <c r="A496" s="14">
        <v>56400</v>
      </c>
      <c r="B496" s="10">
        <f>37.8666 * CHOOSE(CONTROL!$C$15, $E$9, 100%, $G$9) + CHOOSE(CONTROL!$C$38, 0.0266, 0)</f>
        <v>37.8932</v>
      </c>
      <c r="C496" s="10">
        <f>34.8909 * CHOOSE(CONTROL!$C$15, $E$9, 100%, $G$9) + CHOOSE(CONTROL!$C$38, 0.0357, 0)</f>
        <v>34.926600000000001</v>
      </c>
      <c r="D496" s="10">
        <f>34.8831 * CHOOSE(CONTROL!$C$15, $E$9, 100%, $G$9) + CHOOSE(CONTROL!$C$38, 0.0357, 0)</f>
        <v>34.918799999999997</v>
      </c>
      <c r="E496" s="28">
        <f>37.7104 * CHOOSE(CONTROL!$C$15, $E$9, 100%, $G$9) + CHOOSE(CONTROL!$C$38, 0.0357, 0)</f>
        <v>37.746099999999998</v>
      </c>
      <c r="F496" s="27">
        <f>37.7104 * CHOOSE(CONTROL!$C$15, $E$9, 100%, $G$9) + CHOOSE(CONTROL!$C$38, 0.0266, 0)</f>
        <v>37.737000000000002</v>
      </c>
      <c r="G496" s="10">
        <f>34.8893 * CHOOSE(CONTROL!$C$15, $E$9, 100%, $G$9) + CHOOSE(CONTROL!$C$38, 0.0357, 0)</f>
        <v>34.924999999999997</v>
      </c>
      <c r="H496" s="10">
        <f>34.8893 * CHOOSE(CONTROL!$C$15, $E$9, 100%, $G$9) + CHOOSE(CONTROL!$C$38, 0.0357, 0)</f>
        <v>34.924999999999997</v>
      </c>
      <c r="I496" s="10">
        <f>34.8909 * CHOOSE(CONTROL!$C$15, $E$9, 100%, $G$9) + CHOOSE(CONTROL!$C$38, 0.0357, 0)</f>
        <v>34.926600000000001</v>
      </c>
      <c r="J496" s="26">
        <f>255.8835</f>
        <v>255.8835</v>
      </c>
    </row>
    <row r="497" spans="1:10" ht="15.75">
      <c r="A497" s="14">
        <v>56430</v>
      </c>
      <c r="B497" s="10">
        <f>37.5048 * CHOOSE(CONTROL!$C$15, $E$9, 100%, $G$9) + CHOOSE(CONTROL!$C$38, 0.0266, 0)</f>
        <v>37.531400000000005</v>
      </c>
      <c r="C497" s="10">
        <f>34.529 * CHOOSE(CONTROL!$C$15, $E$9, 100%, $G$9) + CHOOSE(CONTROL!$C$38, 0.0357, 0)</f>
        <v>34.564700000000002</v>
      </c>
      <c r="D497" s="10">
        <f>34.5212 * CHOOSE(CONTROL!$C$15, $E$9, 100%, $G$9) + CHOOSE(CONTROL!$C$38, 0.0357, 0)</f>
        <v>34.556899999999999</v>
      </c>
      <c r="E497" s="28">
        <f>37.3485 * CHOOSE(CONTROL!$C$15, $E$9, 100%, $G$9) + CHOOSE(CONTROL!$C$38, 0.0357, 0)</f>
        <v>37.3842</v>
      </c>
      <c r="F497" s="27">
        <f>37.3485 * CHOOSE(CONTROL!$C$15, $E$9, 100%, $G$9) + CHOOSE(CONTROL!$C$38, 0.0266, 0)</f>
        <v>37.375100000000003</v>
      </c>
      <c r="G497" s="10">
        <f>34.5275 * CHOOSE(CONTROL!$C$15, $E$9, 100%, $G$9) + CHOOSE(CONTROL!$C$38, 0.0357, 0)</f>
        <v>34.563200000000002</v>
      </c>
      <c r="H497" s="10">
        <f>34.5275 * CHOOSE(CONTROL!$C$15, $E$9, 100%, $G$9) + CHOOSE(CONTROL!$C$38, 0.0357, 0)</f>
        <v>34.563200000000002</v>
      </c>
      <c r="I497" s="10">
        <f>34.529 * CHOOSE(CONTROL!$C$15, $E$9, 100%, $G$9) + CHOOSE(CONTROL!$C$38, 0.0357, 0)</f>
        <v>34.564700000000002</v>
      </c>
      <c r="J497" s="26">
        <f>259.5705</f>
        <v>259.57049999999998</v>
      </c>
    </row>
    <row r="498" spans="1:10" ht="15.75">
      <c r="A498" s="14">
        <v>56461</v>
      </c>
      <c r="B498" s="10">
        <f>37.2983 * CHOOSE(CONTROL!$C$15, $E$9, 100%, $G$9) + CHOOSE(CONTROL!$C$38, 0.0266, 0)</f>
        <v>37.3249</v>
      </c>
      <c r="C498" s="10">
        <f>34.3226 * CHOOSE(CONTROL!$C$15, $E$9, 100%, $G$9) + CHOOSE(CONTROL!$C$38, 0.0357, 0)</f>
        <v>34.3583</v>
      </c>
      <c r="D498" s="10">
        <f>34.3147 * CHOOSE(CONTROL!$C$15, $E$9, 100%, $G$9) + CHOOSE(CONTROL!$C$38, 0.0357, 0)</f>
        <v>34.3504</v>
      </c>
      <c r="E498" s="28">
        <f>37.142 * CHOOSE(CONTROL!$C$15, $E$9, 100%, $G$9) + CHOOSE(CONTROL!$C$38, 0.0357, 0)</f>
        <v>37.177700000000002</v>
      </c>
      <c r="F498" s="27">
        <f>37.142 * CHOOSE(CONTROL!$C$15, $E$9, 100%, $G$9) + CHOOSE(CONTROL!$C$38, 0.0266, 0)</f>
        <v>37.168600000000005</v>
      </c>
      <c r="G498" s="10">
        <f>34.321 * CHOOSE(CONTROL!$C$15, $E$9, 100%, $G$9) + CHOOSE(CONTROL!$C$38, 0.0357, 0)</f>
        <v>34.356699999999996</v>
      </c>
      <c r="H498" s="10">
        <f>34.321 * CHOOSE(CONTROL!$C$15, $E$9, 100%, $G$9) + CHOOSE(CONTROL!$C$38, 0.0357, 0)</f>
        <v>34.356699999999996</v>
      </c>
      <c r="I498" s="10">
        <f>34.3226 * CHOOSE(CONTROL!$C$15, $E$9, 100%, $G$9) + CHOOSE(CONTROL!$C$38, 0.0357, 0)</f>
        <v>34.3583</v>
      </c>
      <c r="J498" s="26">
        <f>258.3565</f>
        <v>258.35649999999998</v>
      </c>
    </row>
    <row r="499" spans="1:10" ht="15.75">
      <c r="A499" s="14">
        <v>56492</v>
      </c>
      <c r="B499" s="10">
        <f>37.4002 * CHOOSE(CONTROL!$C$15, $E$9, 100%, $G$9) + CHOOSE(CONTROL!$C$38, 0.0266, 0)</f>
        <v>37.4268</v>
      </c>
      <c r="C499" s="10">
        <f>34.4245 * CHOOSE(CONTROL!$C$15, $E$9, 100%, $G$9) + CHOOSE(CONTROL!$C$38, 0.0357, 0)</f>
        <v>34.4602</v>
      </c>
      <c r="D499" s="10">
        <f>34.4167 * CHOOSE(CONTROL!$C$15, $E$9, 100%, $G$9) + CHOOSE(CONTROL!$C$38, 0.0357, 0)</f>
        <v>34.452399999999997</v>
      </c>
      <c r="E499" s="28">
        <f>37.244 * CHOOSE(CONTROL!$C$15, $E$9, 100%, $G$9) + CHOOSE(CONTROL!$C$38, 0.0357, 0)</f>
        <v>37.279699999999998</v>
      </c>
      <c r="F499" s="27">
        <f>37.244 * CHOOSE(CONTROL!$C$15, $E$9, 100%, $G$9) + CHOOSE(CONTROL!$C$38, 0.0266, 0)</f>
        <v>37.270600000000002</v>
      </c>
      <c r="G499" s="10">
        <f>34.4229 * CHOOSE(CONTROL!$C$15, $E$9, 100%, $G$9) + CHOOSE(CONTROL!$C$38, 0.0357, 0)</f>
        <v>34.458599999999997</v>
      </c>
      <c r="H499" s="10">
        <f>34.4229 * CHOOSE(CONTROL!$C$15, $E$9, 100%, $G$9) + CHOOSE(CONTROL!$C$38, 0.0357, 0)</f>
        <v>34.458599999999997</v>
      </c>
      <c r="I499" s="10">
        <f>34.4245 * CHOOSE(CONTROL!$C$15, $E$9, 100%, $G$9) + CHOOSE(CONTROL!$C$38, 0.0357, 0)</f>
        <v>34.4602</v>
      </c>
      <c r="J499" s="26">
        <f>252.3421</f>
        <v>252.34209999999999</v>
      </c>
    </row>
    <row r="500" spans="1:10" ht="15.75">
      <c r="A500" s="14">
        <v>56522</v>
      </c>
      <c r="B500" s="10">
        <f>37.677 * CHOOSE(CONTROL!$C$15, $E$9, 100%, $G$9) + CHOOSE(CONTROL!$C$38, 0.0266, 0)</f>
        <v>37.703600000000002</v>
      </c>
      <c r="C500" s="10">
        <f>34.7013 * CHOOSE(CONTROL!$C$15, $E$9, 100%, $G$9) + CHOOSE(CONTROL!$C$38, 0.0357, 0)</f>
        <v>34.737000000000002</v>
      </c>
      <c r="D500" s="10">
        <f>34.6935 * CHOOSE(CONTROL!$C$15, $E$9, 100%, $G$9) + CHOOSE(CONTROL!$C$38, 0.0357, 0)</f>
        <v>34.729199999999999</v>
      </c>
      <c r="E500" s="28">
        <f>37.5208 * CHOOSE(CONTROL!$C$15, $E$9, 100%, $G$9) + CHOOSE(CONTROL!$C$38, 0.0357, 0)</f>
        <v>37.5565</v>
      </c>
      <c r="F500" s="27">
        <f>37.5208 * CHOOSE(CONTROL!$C$15, $E$9, 100%, $G$9) + CHOOSE(CONTROL!$C$38, 0.0266, 0)</f>
        <v>37.547400000000003</v>
      </c>
      <c r="G500" s="10">
        <f>34.6997 * CHOOSE(CONTROL!$C$15, $E$9, 100%, $G$9) + CHOOSE(CONTROL!$C$38, 0.0357, 0)</f>
        <v>34.735399999999998</v>
      </c>
      <c r="H500" s="10">
        <f>34.6997 * CHOOSE(CONTROL!$C$15, $E$9, 100%, $G$9) + CHOOSE(CONTROL!$C$38, 0.0357, 0)</f>
        <v>34.735399999999998</v>
      </c>
      <c r="I500" s="10">
        <f>34.7013 * CHOOSE(CONTROL!$C$15, $E$9, 100%, $G$9) + CHOOSE(CONTROL!$C$38, 0.0357, 0)</f>
        <v>34.737000000000002</v>
      </c>
      <c r="J500" s="26">
        <f>243.9547</f>
        <v>243.9547</v>
      </c>
    </row>
    <row r="501" spans="1:10" ht="15.75">
      <c r="A501" s="14">
        <v>56553</v>
      </c>
      <c r="B501" s="10">
        <f>37.9088 * CHOOSE(CONTROL!$C$15, $E$9, 100%, $G$9) + CHOOSE(CONTROL!$C$38, 0.0266, 0)</f>
        <v>37.935400000000001</v>
      </c>
      <c r="C501" s="10">
        <f>34.9331 * CHOOSE(CONTROL!$C$15, $E$9, 100%, $G$9) + CHOOSE(CONTROL!$C$38, 0.0357, 0)</f>
        <v>34.968800000000002</v>
      </c>
      <c r="D501" s="10">
        <f>34.9253 * CHOOSE(CONTROL!$C$15, $E$9, 100%, $G$9) + CHOOSE(CONTROL!$C$38, 0.0357, 0)</f>
        <v>34.960999999999999</v>
      </c>
      <c r="E501" s="28">
        <f>37.7526 * CHOOSE(CONTROL!$C$15, $E$9, 100%, $G$9) + CHOOSE(CONTROL!$C$38, 0.0357, 0)</f>
        <v>37.7883</v>
      </c>
      <c r="F501" s="27">
        <f>37.7526 * CHOOSE(CONTROL!$C$15, $E$9, 100%, $G$9) + CHOOSE(CONTROL!$C$38, 0.0266, 0)</f>
        <v>37.779200000000003</v>
      </c>
      <c r="G501" s="10">
        <f>34.9315 * CHOOSE(CONTROL!$C$15, $E$9, 100%, $G$9) + CHOOSE(CONTROL!$C$38, 0.0357, 0)</f>
        <v>34.967199999999998</v>
      </c>
      <c r="H501" s="10">
        <f>34.9315 * CHOOSE(CONTROL!$C$15, $E$9, 100%, $G$9) + CHOOSE(CONTROL!$C$38, 0.0357, 0)</f>
        <v>34.967199999999998</v>
      </c>
      <c r="I501" s="10">
        <f>34.9331 * CHOOSE(CONTROL!$C$15, $E$9, 100%, $G$9) + CHOOSE(CONTROL!$C$38, 0.0357, 0)</f>
        <v>34.968800000000002</v>
      </c>
      <c r="J501" s="26">
        <f>235.5185</f>
        <v>235.51849999999999</v>
      </c>
    </row>
    <row r="502" spans="1:10" ht="15.75">
      <c r="A502" s="14">
        <v>56583</v>
      </c>
      <c r="B502" s="10">
        <f>38.1023 * CHOOSE(CONTROL!$C$15, $E$9, 100%, $G$9) + CHOOSE(CONTROL!$C$38, 0.0266, 0)</f>
        <v>38.128900000000002</v>
      </c>
      <c r="C502" s="10">
        <f>35.1265 * CHOOSE(CONTROL!$C$15, $E$9, 100%, $G$9) + CHOOSE(CONTROL!$C$38, 0.0357, 0)</f>
        <v>35.162199999999999</v>
      </c>
      <c r="D502" s="10">
        <f>35.1187 * CHOOSE(CONTROL!$C$15, $E$9, 100%, $G$9) + CHOOSE(CONTROL!$C$38, 0.0357, 0)</f>
        <v>35.154399999999995</v>
      </c>
      <c r="E502" s="28">
        <f>37.946 * CHOOSE(CONTROL!$C$15, $E$9, 100%, $G$9) + CHOOSE(CONTROL!$C$38, 0.0357, 0)</f>
        <v>37.981699999999996</v>
      </c>
      <c r="F502" s="27">
        <f>37.946 * CHOOSE(CONTROL!$C$15, $E$9, 100%, $G$9) + CHOOSE(CONTROL!$C$38, 0.0266, 0)</f>
        <v>37.9726</v>
      </c>
      <c r="G502" s="10">
        <f>35.125 * CHOOSE(CONTROL!$C$15, $E$9, 100%, $G$9) + CHOOSE(CONTROL!$C$38, 0.0357, 0)</f>
        <v>35.160699999999999</v>
      </c>
      <c r="H502" s="10">
        <f>35.125 * CHOOSE(CONTROL!$C$15, $E$9, 100%, $G$9) + CHOOSE(CONTROL!$C$38, 0.0357, 0)</f>
        <v>35.160699999999999</v>
      </c>
      <c r="I502" s="10">
        <f>35.1265 * CHOOSE(CONTROL!$C$15, $E$9, 100%, $G$9) + CHOOSE(CONTROL!$C$38, 0.0357, 0)</f>
        <v>35.162199999999999</v>
      </c>
      <c r="J502" s="26">
        <f>233.8404</f>
        <v>233.84039999999999</v>
      </c>
    </row>
    <row r="503" spans="1:10" ht="15.75">
      <c r="A503" s="14">
        <v>56614</v>
      </c>
      <c r="B503" s="10">
        <f>38.6983 * CHOOSE(CONTROL!$C$15, $E$9, 100%, $G$9) + CHOOSE(CONTROL!$C$38, 0.0266, 0)</f>
        <v>38.724900000000005</v>
      </c>
      <c r="C503" s="10">
        <f>35.7226 * CHOOSE(CONTROL!$C$15, $E$9, 100%, $G$9) + CHOOSE(CONTROL!$C$38, 0.0357, 0)</f>
        <v>35.758299999999998</v>
      </c>
      <c r="D503" s="10">
        <f>35.7148 * CHOOSE(CONTROL!$C$15, $E$9, 100%, $G$9) + CHOOSE(CONTROL!$C$38, 0.0357, 0)</f>
        <v>35.750499999999995</v>
      </c>
      <c r="E503" s="28">
        <f>38.5421 * CHOOSE(CONTROL!$C$15, $E$9, 100%, $G$9) + CHOOSE(CONTROL!$C$38, 0.0357, 0)</f>
        <v>38.577799999999996</v>
      </c>
      <c r="F503" s="27">
        <f>38.5421 * CHOOSE(CONTROL!$C$15, $E$9, 100%, $G$9) + CHOOSE(CONTROL!$C$38, 0.0266, 0)</f>
        <v>38.5687</v>
      </c>
      <c r="G503" s="10">
        <f>35.721 * CHOOSE(CONTROL!$C$15, $E$9, 100%, $G$9) + CHOOSE(CONTROL!$C$38, 0.0357, 0)</f>
        <v>35.756699999999995</v>
      </c>
      <c r="H503" s="10">
        <f>35.721 * CHOOSE(CONTROL!$C$15, $E$9, 100%, $G$9) + CHOOSE(CONTROL!$C$38, 0.0357, 0)</f>
        <v>35.756699999999995</v>
      </c>
      <c r="I503" s="10">
        <f>35.7226 * CHOOSE(CONTROL!$C$15, $E$9, 100%, $G$9) + CHOOSE(CONTROL!$C$38, 0.0357, 0)</f>
        <v>35.758299999999998</v>
      </c>
      <c r="J503" s="26">
        <f>226.9011</f>
        <v>226.90110000000001</v>
      </c>
    </row>
    <row r="504" spans="1:10" ht="15.75">
      <c r="A504" s="13">
        <v>56645</v>
      </c>
      <c r="B504" s="10">
        <f>39.832 * CHOOSE(CONTROL!$C$15, $E$9, 100%, $G$9) + CHOOSE(CONTROL!$C$38, 0.0266, 0)</f>
        <v>39.858600000000003</v>
      </c>
      <c r="C504" s="10">
        <f>36.8065 * CHOOSE(CONTROL!$C$15, $E$9, 100%, $G$9) + CHOOSE(CONTROL!$C$38, 0.0357, 0)</f>
        <v>36.842199999999998</v>
      </c>
      <c r="D504" s="10">
        <f>36.7987 * CHOOSE(CONTROL!$C$15, $E$9, 100%, $G$9) + CHOOSE(CONTROL!$C$38, 0.0357, 0)</f>
        <v>36.834399999999995</v>
      </c>
      <c r="E504" s="28">
        <f>39.6758 * CHOOSE(CONTROL!$C$15, $E$9, 100%, $G$9) + CHOOSE(CONTROL!$C$38, 0.0357, 0)</f>
        <v>39.711500000000001</v>
      </c>
      <c r="F504" s="27">
        <f>39.6758 * CHOOSE(CONTROL!$C$15, $E$9, 100%, $G$9) + CHOOSE(CONTROL!$C$38, 0.0266, 0)</f>
        <v>39.702400000000004</v>
      </c>
      <c r="G504" s="10">
        <f>36.8049 * CHOOSE(CONTROL!$C$15, $E$9, 100%, $G$9) + CHOOSE(CONTROL!$C$38, 0.0357, 0)</f>
        <v>36.840600000000002</v>
      </c>
      <c r="H504" s="10">
        <f>36.8049 * CHOOSE(CONTROL!$C$15, $E$9, 100%, $G$9) + CHOOSE(CONTROL!$C$38, 0.0357, 0)</f>
        <v>36.840600000000002</v>
      </c>
      <c r="I504" s="10">
        <f>36.8065 * CHOOSE(CONTROL!$C$15, $E$9, 100%, $G$9) + CHOOSE(CONTROL!$C$38, 0.0357, 0)</f>
        <v>36.842199999999998</v>
      </c>
      <c r="J504" s="26">
        <f>225.3812</f>
        <v>225.38120000000001</v>
      </c>
    </row>
    <row r="505" spans="1:10" ht="15.75">
      <c r="A505" s="13">
        <v>56673</v>
      </c>
      <c r="B505" s="10">
        <f>40.0528 * CHOOSE(CONTROL!$C$15, $E$9, 100%, $G$9) + CHOOSE(CONTROL!$C$38, 0.0266, 0)</f>
        <v>40.0794</v>
      </c>
      <c r="C505" s="10">
        <f>37.0272 * CHOOSE(CONTROL!$C$15, $E$9, 100%, $G$9) + CHOOSE(CONTROL!$C$38, 0.0357, 0)</f>
        <v>37.062899999999999</v>
      </c>
      <c r="D505" s="10">
        <f>37.0194 * CHOOSE(CONTROL!$C$15, $E$9, 100%, $G$9) + CHOOSE(CONTROL!$C$38, 0.0357, 0)</f>
        <v>37.055099999999996</v>
      </c>
      <c r="E505" s="28">
        <f>39.8965 * CHOOSE(CONTROL!$C$15, $E$9, 100%, $G$9) + CHOOSE(CONTROL!$C$38, 0.0357, 0)</f>
        <v>39.932200000000002</v>
      </c>
      <c r="F505" s="27">
        <f>39.8965 * CHOOSE(CONTROL!$C$15, $E$9, 100%, $G$9) + CHOOSE(CONTROL!$C$38, 0.0266, 0)</f>
        <v>39.923100000000005</v>
      </c>
      <c r="G505" s="10">
        <f>37.0257 * CHOOSE(CONTROL!$C$15, $E$9, 100%, $G$9) + CHOOSE(CONTROL!$C$38, 0.0357, 0)</f>
        <v>37.061399999999999</v>
      </c>
      <c r="H505" s="10">
        <f>37.0257 * CHOOSE(CONTROL!$C$15, $E$9, 100%, $G$9) + CHOOSE(CONTROL!$C$38, 0.0357, 0)</f>
        <v>37.061399999999999</v>
      </c>
      <c r="I505" s="10">
        <f>37.0272 * CHOOSE(CONTROL!$C$15, $E$9, 100%, $G$9) + CHOOSE(CONTROL!$C$38, 0.0357, 0)</f>
        <v>37.062899999999999</v>
      </c>
      <c r="J505" s="26">
        <f>224.7548</f>
        <v>224.75479999999999</v>
      </c>
    </row>
    <row r="506" spans="1:10" ht="15.75">
      <c r="A506" s="13">
        <v>56704</v>
      </c>
      <c r="B506" s="10">
        <f>39.5418 * CHOOSE(CONTROL!$C$15, $E$9, 100%, $G$9) + CHOOSE(CONTROL!$C$38, 0.0266, 0)</f>
        <v>39.568400000000004</v>
      </c>
      <c r="C506" s="10">
        <f>36.5162 * CHOOSE(CONTROL!$C$15, $E$9, 100%, $G$9) + CHOOSE(CONTROL!$C$38, 0.0357, 0)</f>
        <v>36.551899999999996</v>
      </c>
      <c r="D506" s="10">
        <f>36.5084 * CHOOSE(CONTROL!$C$15, $E$9, 100%, $G$9) + CHOOSE(CONTROL!$C$38, 0.0357, 0)</f>
        <v>36.5441</v>
      </c>
      <c r="E506" s="28">
        <f>39.3855 * CHOOSE(CONTROL!$C$15, $E$9, 100%, $G$9) + CHOOSE(CONTROL!$C$38, 0.0357, 0)</f>
        <v>39.421199999999999</v>
      </c>
      <c r="F506" s="27">
        <f>39.3855 * CHOOSE(CONTROL!$C$15, $E$9, 100%, $G$9) + CHOOSE(CONTROL!$C$38, 0.0266, 0)</f>
        <v>39.412100000000002</v>
      </c>
      <c r="G506" s="10">
        <f>36.5146 * CHOOSE(CONTROL!$C$15, $E$9, 100%, $G$9) + CHOOSE(CONTROL!$C$38, 0.0357, 0)</f>
        <v>36.5503</v>
      </c>
      <c r="H506" s="10">
        <f>36.5146 * CHOOSE(CONTROL!$C$15, $E$9, 100%, $G$9) + CHOOSE(CONTROL!$C$38, 0.0357, 0)</f>
        <v>36.5503</v>
      </c>
      <c r="I506" s="10">
        <f>36.5162 * CHOOSE(CONTROL!$C$15, $E$9, 100%, $G$9) + CHOOSE(CONTROL!$C$38, 0.0357, 0)</f>
        <v>36.551899999999996</v>
      </c>
      <c r="J506" s="26">
        <f>236.6006</f>
        <v>236.60059999999999</v>
      </c>
    </row>
    <row r="507" spans="1:10" ht="15.75">
      <c r="A507" s="13">
        <v>56734</v>
      </c>
      <c r="B507" s="10">
        <f>39.0466 * CHOOSE(CONTROL!$C$15, $E$9, 100%, $G$9) + CHOOSE(CONTROL!$C$38, 0.0266, 0)</f>
        <v>39.0732</v>
      </c>
      <c r="C507" s="10">
        <f>36.021 * CHOOSE(CONTROL!$C$15, $E$9, 100%, $G$9) + CHOOSE(CONTROL!$C$38, 0.0357, 0)</f>
        <v>36.056699999999999</v>
      </c>
      <c r="D507" s="10">
        <f>36.0132 * CHOOSE(CONTROL!$C$15, $E$9, 100%, $G$9) + CHOOSE(CONTROL!$C$38, 0.0357, 0)</f>
        <v>36.048899999999996</v>
      </c>
      <c r="E507" s="28">
        <f>38.8903 * CHOOSE(CONTROL!$C$15, $E$9, 100%, $G$9) + CHOOSE(CONTROL!$C$38, 0.0357, 0)</f>
        <v>38.926000000000002</v>
      </c>
      <c r="F507" s="27">
        <f>38.8903 * CHOOSE(CONTROL!$C$15, $E$9, 100%, $G$9) + CHOOSE(CONTROL!$C$38, 0.0266, 0)</f>
        <v>38.916900000000005</v>
      </c>
      <c r="G507" s="10">
        <f>36.0195 * CHOOSE(CONTROL!$C$15, $E$9, 100%, $G$9) + CHOOSE(CONTROL!$C$38, 0.0357, 0)</f>
        <v>36.055199999999999</v>
      </c>
      <c r="H507" s="10">
        <f>36.0195 * CHOOSE(CONTROL!$C$15, $E$9, 100%, $G$9) + CHOOSE(CONTROL!$C$38, 0.0357, 0)</f>
        <v>36.055199999999999</v>
      </c>
      <c r="I507" s="10">
        <f>36.021 * CHOOSE(CONTROL!$C$15, $E$9, 100%, $G$9) + CHOOSE(CONTROL!$C$38, 0.0357, 0)</f>
        <v>36.056699999999999</v>
      </c>
      <c r="J507" s="26">
        <f>251.9619</f>
        <v>251.96190000000001</v>
      </c>
    </row>
    <row r="508" spans="1:10" ht="15.75">
      <c r="A508" s="13">
        <v>56765</v>
      </c>
      <c r="B508" s="10">
        <f>38.5305 * CHOOSE(CONTROL!$C$15, $E$9, 100%, $G$9) + CHOOSE(CONTROL!$C$38, 0.0266, 0)</f>
        <v>38.557100000000005</v>
      </c>
      <c r="C508" s="10">
        <f>35.5049 * CHOOSE(CONTROL!$C$15, $E$9, 100%, $G$9) + CHOOSE(CONTROL!$C$38, 0.0357, 0)</f>
        <v>35.540599999999998</v>
      </c>
      <c r="D508" s="10">
        <f>35.4971 * CHOOSE(CONTROL!$C$15, $E$9, 100%, $G$9) + CHOOSE(CONTROL!$C$38, 0.0357, 0)</f>
        <v>35.532800000000002</v>
      </c>
      <c r="E508" s="28">
        <f>38.3742 * CHOOSE(CONTROL!$C$15, $E$9, 100%, $G$9) + CHOOSE(CONTROL!$C$38, 0.0357, 0)</f>
        <v>38.4099</v>
      </c>
      <c r="F508" s="27">
        <f>38.3742 * CHOOSE(CONTROL!$C$15, $E$9, 100%, $G$9) + CHOOSE(CONTROL!$C$38, 0.0266, 0)</f>
        <v>38.400800000000004</v>
      </c>
      <c r="G508" s="10">
        <f>35.5033 * CHOOSE(CONTROL!$C$15, $E$9, 100%, $G$9) + CHOOSE(CONTROL!$C$38, 0.0357, 0)</f>
        <v>35.539000000000001</v>
      </c>
      <c r="H508" s="10">
        <f>35.5033 * CHOOSE(CONTROL!$C$15, $E$9, 100%, $G$9) + CHOOSE(CONTROL!$C$38, 0.0357, 0)</f>
        <v>35.539000000000001</v>
      </c>
      <c r="I508" s="10">
        <f>35.5049 * CHOOSE(CONTROL!$C$15, $E$9, 100%, $G$9) + CHOOSE(CONTROL!$C$38, 0.0357, 0)</f>
        <v>35.540599999999998</v>
      </c>
      <c r="J508" s="26">
        <f>260.4172</f>
        <v>260.41719999999998</v>
      </c>
    </row>
    <row r="509" spans="1:10" ht="15.75">
      <c r="A509" s="13">
        <v>56795</v>
      </c>
      <c r="B509" s="10">
        <f>38.1686 * CHOOSE(CONTROL!$C$15, $E$9, 100%, $G$9) + CHOOSE(CONTROL!$C$38, 0.0266, 0)</f>
        <v>38.1952</v>
      </c>
      <c r="C509" s="10">
        <f>35.1431 * CHOOSE(CONTROL!$C$15, $E$9, 100%, $G$9) + CHOOSE(CONTROL!$C$38, 0.0357, 0)</f>
        <v>35.178799999999995</v>
      </c>
      <c r="D509" s="10">
        <f>35.1353 * CHOOSE(CONTROL!$C$15, $E$9, 100%, $G$9) + CHOOSE(CONTROL!$C$38, 0.0357, 0)</f>
        <v>35.170999999999999</v>
      </c>
      <c r="E509" s="28">
        <f>38.0124 * CHOOSE(CONTROL!$C$15, $E$9, 100%, $G$9) + CHOOSE(CONTROL!$C$38, 0.0357, 0)</f>
        <v>38.048099999999998</v>
      </c>
      <c r="F509" s="27">
        <f>38.0124 * CHOOSE(CONTROL!$C$15, $E$9, 100%, $G$9) + CHOOSE(CONTROL!$C$38, 0.0266, 0)</f>
        <v>38.039000000000001</v>
      </c>
      <c r="G509" s="10">
        <f>35.1415 * CHOOSE(CONTROL!$C$15, $E$9, 100%, $G$9) + CHOOSE(CONTROL!$C$38, 0.0357, 0)</f>
        <v>35.177199999999999</v>
      </c>
      <c r="H509" s="10">
        <f>35.1415 * CHOOSE(CONTROL!$C$15, $E$9, 100%, $G$9) + CHOOSE(CONTROL!$C$38, 0.0357, 0)</f>
        <v>35.177199999999999</v>
      </c>
      <c r="I509" s="10">
        <f>35.1431 * CHOOSE(CONTROL!$C$15, $E$9, 100%, $G$9) + CHOOSE(CONTROL!$C$38, 0.0357, 0)</f>
        <v>35.178799999999995</v>
      </c>
      <c r="J509" s="26">
        <f>264.1696</f>
        <v>264.1696</v>
      </c>
    </row>
    <row r="510" spans="1:10" ht="15.75">
      <c r="A510" s="13">
        <v>56826</v>
      </c>
      <c r="B510" s="10">
        <f>37.9621 * CHOOSE(CONTROL!$C$15, $E$9, 100%, $G$9) + CHOOSE(CONTROL!$C$38, 0.0266, 0)</f>
        <v>37.988700000000001</v>
      </c>
      <c r="C510" s="10">
        <f>34.9366 * CHOOSE(CONTROL!$C$15, $E$9, 100%, $G$9) + CHOOSE(CONTROL!$C$38, 0.0357, 0)</f>
        <v>34.972299999999997</v>
      </c>
      <c r="D510" s="10">
        <f>34.9288 * CHOOSE(CONTROL!$C$15, $E$9, 100%, $G$9) + CHOOSE(CONTROL!$C$38, 0.0357, 0)</f>
        <v>34.964500000000001</v>
      </c>
      <c r="E510" s="28">
        <f>37.8059 * CHOOSE(CONTROL!$C$15, $E$9, 100%, $G$9) + CHOOSE(CONTROL!$C$38, 0.0357, 0)</f>
        <v>37.8416</v>
      </c>
      <c r="F510" s="27">
        <f>37.8059 * CHOOSE(CONTROL!$C$15, $E$9, 100%, $G$9) + CHOOSE(CONTROL!$C$38, 0.0266, 0)</f>
        <v>37.832500000000003</v>
      </c>
      <c r="G510" s="10">
        <f>34.935 * CHOOSE(CONTROL!$C$15, $E$9, 100%, $G$9) + CHOOSE(CONTROL!$C$38, 0.0357, 0)</f>
        <v>34.970700000000001</v>
      </c>
      <c r="H510" s="10">
        <f>34.935 * CHOOSE(CONTROL!$C$15, $E$9, 100%, $G$9) + CHOOSE(CONTROL!$C$38, 0.0357, 0)</f>
        <v>34.970700000000001</v>
      </c>
      <c r="I510" s="10">
        <f>34.9366 * CHOOSE(CONTROL!$C$15, $E$9, 100%, $G$9) + CHOOSE(CONTROL!$C$38, 0.0357, 0)</f>
        <v>34.972299999999997</v>
      </c>
      <c r="J510" s="26">
        <f>262.9341</f>
        <v>262.9341</v>
      </c>
    </row>
    <row r="511" spans="1:10" ht="15.75">
      <c r="A511" s="13">
        <v>56857</v>
      </c>
      <c r="B511" s="10">
        <f>38.064 * CHOOSE(CONTROL!$C$15, $E$9, 100%, $G$9) + CHOOSE(CONTROL!$C$38, 0.0266, 0)</f>
        <v>38.090600000000002</v>
      </c>
      <c r="C511" s="10">
        <f>35.0385 * CHOOSE(CONTROL!$C$15, $E$9, 100%, $G$9) + CHOOSE(CONTROL!$C$38, 0.0357, 0)</f>
        <v>35.074199999999998</v>
      </c>
      <c r="D511" s="10">
        <f>35.0307 * CHOOSE(CONTROL!$C$15, $E$9, 100%, $G$9) + CHOOSE(CONTROL!$C$38, 0.0357, 0)</f>
        <v>35.066400000000002</v>
      </c>
      <c r="E511" s="28">
        <f>37.9078 * CHOOSE(CONTROL!$C$15, $E$9, 100%, $G$9) + CHOOSE(CONTROL!$C$38, 0.0357, 0)</f>
        <v>37.9435</v>
      </c>
      <c r="F511" s="27">
        <f>37.9078 * CHOOSE(CONTROL!$C$15, $E$9, 100%, $G$9) + CHOOSE(CONTROL!$C$38, 0.0266, 0)</f>
        <v>37.934400000000004</v>
      </c>
      <c r="G511" s="10">
        <f>35.0369 * CHOOSE(CONTROL!$C$15, $E$9, 100%, $G$9) + CHOOSE(CONTROL!$C$38, 0.0357, 0)</f>
        <v>35.072600000000001</v>
      </c>
      <c r="H511" s="10">
        <f>35.0369 * CHOOSE(CONTROL!$C$15, $E$9, 100%, $G$9) + CHOOSE(CONTROL!$C$38, 0.0357, 0)</f>
        <v>35.072600000000001</v>
      </c>
      <c r="I511" s="10">
        <f>35.0385 * CHOOSE(CONTROL!$C$15, $E$9, 100%, $G$9) + CHOOSE(CONTROL!$C$38, 0.0357, 0)</f>
        <v>35.074199999999998</v>
      </c>
      <c r="J511" s="26">
        <f>256.8131</f>
        <v>256.81310000000002</v>
      </c>
    </row>
    <row r="512" spans="1:10" ht="15.75">
      <c r="A512" s="13">
        <v>56887</v>
      </c>
      <c r="B512" s="10">
        <f>38.3408 * CHOOSE(CONTROL!$C$15, $E$9, 100%, $G$9) + CHOOSE(CONTROL!$C$38, 0.0266, 0)</f>
        <v>38.367400000000004</v>
      </c>
      <c r="C512" s="10">
        <f>35.3153 * CHOOSE(CONTROL!$C$15, $E$9, 100%, $G$9) + CHOOSE(CONTROL!$C$38, 0.0357, 0)</f>
        <v>35.350999999999999</v>
      </c>
      <c r="D512" s="10">
        <f>35.3075 * CHOOSE(CONTROL!$C$15, $E$9, 100%, $G$9) + CHOOSE(CONTROL!$C$38, 0.0357, 0)</f>
        <v>35.343199999999996</v>
      </c>
      <c r="E512" s="28">
        <f>38.1846 * CHOOSE(CONTROL!$C$15, $E$9, 100%, $G$9) + CHOOSE(CONTROL!$C$38, 0.0357, 0)</f>
        <v>38.220300000000002</v>
      </c>
      <c r="F512" s="27">
        <f>38.1846 * CHOOSE(CONTROL!$C$15, $E$9, 100%, $G$9) + CHOOSE(CONTROL!$C$38, 0.0266, 0)</f>
        <v>38.211200000000005</v>
      </c>
      <c r="G512" s="10">
        <f>35.3137 * CHOOSE(CONTROL!$C$15, $E$9, 100%, $G$9) + CHOOSE(CONTROL!$C$38, 0.0357, 0)</f>
        <v>35.349399999999996</v>
      </c>
      <c r="H512" s="10">
        <f>35.3137 * CHOOSE(CONTROL!$C$15, $E$9, 100%, $G$9) + CHOOSE(CONTROL!$C$38, 0.0357, 0)</f>
        <v>35.349399999999996</v>
      </c>
      <c r="I512" s="10">
        <f>35.3153 * CHOOSE(CONTROL!$C$15, $E$9, 100%, $G$9) + CHOOSE(CONTROL!$C$38, 0.0357, 0)</f>
        <v>35.350999999999999</v>
      </c>
      <c r="J512" s="26">
        <f>248.2771</f>
        <v>248.27709999999999</v>
      </c>
    </row>
    <row r="513" spans="1:10" ht="15.75">
      <c r="A513" s="13">
        <v>56918</v>
      </c>
      <c r="B513" s="10">
        <f>38.5727 * CHOOSE(CONTROL!$C$15, $E$9, 100%, $G$9) + CHOOSE(CONTROL!$C$38, 0.0266, 0)</f>
        <v>38.599299999999999</v>
      </c>
      <c r="C513" s="10">
        <f>35.5471 * CHOOSE(CONTROL!$C$15, $E$9, 100%, $G$9) + CHOOSE(CONTROL!$C$38, 0.0357, 0)</f>
        <v>35.582799999999999</v>
      </c>
      <c r="D513" s="10">
        <f>35.5393 * CHOOSE(CONTROL!$C$15, $E$9, 100%, $G$9) + CHOOSE(CONTROL!$C$38, 0.0357, 0)</f>
        <v>35.574999999999996</v>
      </c>
      <c r="E513" s="28">
        <f>38.4164 * CHOOSE(CONTROL!$C$15, $E$9, 100%, $G$9) + CHOOSE(CONTROL!$C$38, 0.0357, 0)</f>
        <v>38.452100000000002</v>
      </c>
      <c r="F513" s="27">
        <f>38.4164 * CHOOSE(CONTROL!$C$15, $E$9, 100%, $G$9) + CHOOSE(CONTROL!$C$38, 0.0266, 0)</f>
        <v>38.443000000000005</v>
      </c>
      <c r="G513" s="10">
        <f>35.5455 * CHOOSE(CONTROL!$C$15, $E$9, 100%, $G$9) + CHOOSE(CONTROL!$C$38, 0.0357, 0)</f>
        <v>35.581199999999995</v>
      </c>
      <c r="H513" s="10">
        <f>35.5455 * CHOOSE(CONTROL!$C$15, $E$9, 100%, $G$9) + CHOOSE(CONTROL!$C$38, 0.0357, 0)</f>
        <v>35.581199999999995</v>
      </c>
      <c r="I513" s="10">
        <f>35.5471 * CHOOSE(CONTROL!$C$15, $E$9, 100%, $G$9) + CHOOSE(CONTROL!$C$38, 0.0357, 0)</f>
        <v>35.582799999999999</v>
      </c>
      <c r="J513" s="26">
        <f>239.6914</f>
        <v>239.69139999999999</v>
      </c>
    </row>
    <row r="514" spans="1:10" ht="15.75">
      <c r="A514" s="13">
        <v>56948</v>
      </c>
      <c r="B514" s="10">
        <f>38.7661 * CHOOSE(CONTROL!$C$15, $E$9, 100%, $G$9) + CHOOSE(CONTROL!$C$38, 0.0266, 0)</f>
        <v>38.792700000000004</v>
      </c>
      <c r="C514" s="10">
        <f>35.7406 * CHOOSE(CONTROL!$C$15, $E$9, 100%, $G$9) + CHOOSE(CONTROL!$C$38, 0.0357, 0)</f>
        <v>35.776299999999999</v>
      </c>
      <c r="D514" s="10">
        <f>35.7327 * CHOOSE(CONTROL!$C$15, $E$9, 100%, $G$9) + CHOOSE(CONTROL!$C$38, 0.0357, 0)</f>
        <v>35.7684</v>
      </c>
      <c r="E514" s="28">
        <f>38.6099 * CHOOSE(CONTROL!$C$15, $E$9, 100%, $G$9) + CHOOSE(CONTROL!$C$38, 0.0357, 0)</f>
        <v>38.645600000000002</v>
      </c>
      <c r="F514" s="27">
        <f>38.6099 * CHOOSE(CONTROL!$C$15, $E$9, 100%, $G$9) + CHOOSE(CONTROL!$C$38, 0.0266, 0)</f>
        <v>38.636500000000005</v>
      </c>
      <c r="G514" s="10">
        <f>35.739 * CHOOSE(CONTROL!$C$15, $E$9, 100%, $G$9) + CHOOSE(CONTROL!$C$38, 0.0357, 0)</f>
        <v>35.774699999999996</v>
      </c>
      <c r="H514" s="10">
        <f>35.739 * CHOOSE(CONTROL!$C$15, $E$9, 100%, $G$9) + CHOOSE(CONTROL!$C$38, 0.0357, 0)</f>
        <v>35.774699999999996</v>
      </c>
      <c r="I514" s="10">
        <f>35.7406 * CHOOSE(CONTROL!$C$15, $E$9, 100%, $G$9) + CHOOSE(CONTROL!$C$38, 0.0357, 0)</f>
        <v>35.776299999999999</v>
      </c>
      <c r="J514" s="26">
        <f>237.9836</f>
        <v>237.9836</v>
      </c>
    </row>
    <row r="515" spans="1:10" ht="15.75">
      <c r="A515" s="13">
        <v>56979</v>
      </c>
      <c r="B515" s="10">
        <f>39.3622 * CHOOSE(CONTROL!$C$15, $E$9, 100%, $G$9) + CHOOSE(CONTROL!$C$38, 0.0266, 0)</f>
        <v>39.388800000000003</v>
      </c>
      <c r="C515" s="10">
        <f>36.3366 * CHOOSE(CONTROL!$C$15, $E$9, 100%, $G$9) + CHOOSE(CONTROL!$C$38, 0.0357, 0)</f>
        <v>36.372299999999996</v>
      </c>
      <c r="D515" s="10">
        <f>36.3288 * CHOOSE(CONTROL!$C$15, $E$9, 100%, $G$9) + CHOOSE(CONTROL!$C$38, 0.0357, 0)</f>
        <v>36.3645</v>
      </c>
      <c r="E515" s="28">
        <f>39.2059 * CHOOSE(CONTROL!$C$15, $E$9, 100%, $G$9) + CHOOSE(CONTROL!$C$38, 0.0357, 0)</f>
        <v>39.241599999999998</v>
      </c>
      <c r="F515" s="27">
        <f>39.2059 * CHOOSE(CONTROL!$C$15, $E$9, 100%, $G$9) + CHOOSE(CONTROL!$C$38, 0.0266, 0)</f>
        <v>39.232500000000002</v>
      </c>
      <c r="G515" s="10">
        <f>36.3351 * CHOOSE(CONTROL!$C$15, $E$9, 100%, $G$9) + CHOOSE(CONTROL!$C$38, 0.0357, 0)</f>
        <v>36.370799999999996</v>
      </c>
      <c r="H515" s="10">
        <f>36.3351 * CHOOSE(CONTROL!$C$15, $E$9, 100%, $G$9) + CHOOSE(CONTROL!$C$38, 0.0357, 0)</f>
        <v>36.370799999999996</v>
      </c>
      <c r="I515" s="10">
        <f>36.3366 * CHOOSE(CONTROL!$C$15, $E$9, 100%, $G$9) + CHOOSE(CONTROL!$C$38, 0.0357, 0)</f>
        <v>36.372299999999996</v>
      </c>
      <c r="J515" s="26">
        <f>230.9214</f>
        <v>230.92140000000001</v>
      </c>
    </row>
    <row r="516" spans="1:10" ht="15.75">
      <c r="A516" s="13">
        <v>57010</v>
      </c>
      <c r="B516" s="10">
        <f>40.5076 * CHOOSE(CONTROL!$C$15, $E$9, 100%, $G$9) + CHOOSE(CONTROL!$C$38, 0.0266, 0)</f>
        <v>40.534199999999998</v>
      </c>
      <c r="C516" s="10">
        <f>37.4313 * CHOOSE(CONTROL!$C$15, $E$9, 100%, $G$9) + CHOOSE(CONTROL!$C$38, 0.0357, 0)</f>
        <v>37.466999999999999</v>
      </c>
      <c r="D516" s="10">
        <f>37.4235 * CHOOSE(CONTROL!$C$15, $E$9, 100%, $G$9) + CHOOSE(CONTROL!$C$38, 0.0357, 0)</f>
        <v>37.459199999999996</v>
      </c>
      <c r="E516" s="28">
        <f>40.3513 * CHOOSE(CONTROL!$C$15, $E$9, 100%, $G$9) + CHOOSE(CONTROL!$C$38, 0.0357, 0)</f>
        <v>40.387</v>
      </c>
      <c r="F516" s="27">
        <f>40.3513 * CHOOSE(CONTROL!$C$15, $E$9, 100%, $G$9) + CHOOSE(CONTROL!$C$38, 0.0266, 0)</f>
        <v>40.377900000000004</v>
      </c>
      <c r="G516" s="10">
        <f>37.4298 * CHOOSE(CONTROL!$C$15, $E$9, 100%, $G$9) + CHOOSE(CONTROL!$C$38, 0.0357, 0)</f>
        <v>37.465499999999999</v>
      </c>
      <c r="H516" s="10">
        <f>37.4298 * CHOOSE(CONTROL!$C$15, $E$9, 100%, $G$9) + CHOOSE(CONTROL!$C$38, 0.0357, 0)</f>
        <v>37.465499999999999</v>
      </c>
      <c r="I516" s="10">
        <f>37.4313 * CHOOSE(CONTROL!$C$15, $E$9, 100%, $G$9) + CHOOSE(CONTROL!$C$38, 0.0357, 0)</f>
        <v>37.466999999999999</v>
      </c>
      <c r="J516" s="26">
        <f>229.3746</f>
        <v>229.37459999999999</v>
      </c>
    </row>
    <row r="517" spans="1:10" ht="15.75">
      <c r="A517" s="13">
        <v>57038</v>
      </c>
      <c r="B517" s="10">
        <f>40.7284 * CHOOSE(CONTROL!$C$15, $E$9, 100%, $G$9) + CHOOSE(CONTROL!$C$38, 0.0266, 0)</f>
        <v>40.755000000000003</v>
      </c>
      <c r="C517" s="10">
        <f>37.6521 * CHOOSE(CONTROL!$C$15, $E$9, 100%, $G$9) + CHOOSE(CONTROL!$C$38, 0.0357, 0)</f>
        <v>37.687799999999996</v>
      </c>
      <c r="D517" s="10">
        <f>37.6443 * CHOOSE(CONTROL!$C$15, $E$9, 100%, $G$9) + CHOOSE(CONTROL!$C$38, 0.0357, 0)</f>
        <v>37.68</v>
      </c>
      <c r="E517" s="28">
        <f>40.5721 * CHOOSE(CONTROL!$C$15, $E$9, 100%, $G$9) + CHOOSE(CONTROL!$C$38, 0.0357, 0)</f>
        <v>40.607799999999997</v>
      </c>
      <c r="F517" s="27">
        <f>40.5721 * CHOOSE(CONTROL!$C$15, $E$9, 100%, $G$9) + CHOOSE(CONTROL!$C$38, 0.0266, 0)</f>
        <v>40.598700000000001</v>
      </c>
      <c r="G517" s="10">
        <f>37.6505 * CHOOSE(CONTROL!$C$15, $E$9, 100%, $G$9) + CHOOSE(CONTROL!$C$38, 0.0357, 0)</f>
        <v>37.686199999999999</v>
      </c>
      <c r="H517" s="10">
        <f>37.6505 * CHOOSE(CONTROL!$C$15, $E$9, 100%, $G$9) + CHOOSE(CONTROL!$C$38, 0.0357, 0)</f>
        <v>37.686199999999999</v>
      </c>
      <c r="I517" s="10">
        <f>37.6521 * CHOOSE(CONTROL!$C$15, $E$9, 100%, $G$9) + CHOOSE(CONTROL!$C$38, 0.0357, 0)</f>
        <v>37.687799999999996</v>
      </c>
      <c r="J517" s="26">
        <f>228.737</f>
        <v>228.73699999999999</v>
      </c>
    </row>
    <row r="518" spans="1:10" ht="15.75">
      <c r="A518" s="13">
        <v>57070</v>
      </c>
      <c r="B518" s="10">
        <f>40.2173 * CHOOSE(CONTROL!$C$15, $E$9, 100%, $G$9) + CHOOSE(CONTROL!$C$38, 0.0266, 0)</f>
        <v>40.243900000000004</v>
      </c>
      <c r="C518" s="10">
        <f>37.1411 * CHOOSE(CONTROL!$C$15, $E$9, 100%, $G$9) + CHOOSE(CONTROL!$C$38, 0.0357, 0)</f>
        <v>37.1768</v>
      </c>
      <c r="D518" s="10">
        <f>37.1333 * CHOOSE(CONTROL!$C$15, $E$9, 100%, $G$9) + CHOOSE(CONTROL!$C$38, 0.0357, 0)</f>
        <v>37.168999999999997</v>
      </c>
      <c r="E518" s="28">
        <f>40.0611 * CHOOSE(CONTROL!$C$15, $E$9, 100%, $G$9) + CHOOSE(CONTROL!$C$38, 0.0357, 0)</f>
        <v>40.096800000000002</v>
      </c>
      <c r="F518" s="27">
        <f>40.0611 * CHOOSE(CONTROL!$C$15, $E$9, 100%, $G$9) + CHOOSE(CONTROL!$C$38, 0.0266, 0)</f>
        <v>40.087700000000005</v>
      </c>
      <c r="G518" s="10">
        <f>37.1395 * CHOOSE(CONTROL!$C$15, $E$9, 100%, $G$9) + CHOOSE(CONTROL!$C$38, 0.0357, 0)</f>
        <v>37.175199999999997</v>
      </c>
      <c r="H518" s="10">
        <f>37.1395 * CHOOSE(CONTROL!$C$15, $E$9, 100%, $G$9) + CHOOSE(CONTROL!$C$38, 0.0357, 0)</f>
        <v>37.175199999999997</v>
      </c>
      <c r="I518" s="10">
        <f>37.1411 * CHOOSE(CONTROL!$C$15, $E$9, 100%, $G$9) + CHOOSE(CONTROL!$C$38, 0.0357, 0)</f>
        <v>37.1768</v>
      </c>
      <c r="J518" s="26">
        <f>240.7927</f>
        <v>240.7927</v>
      </c>
    </row>
    <row r="519" spans="1:10" ht="15.75">
      <c r="A519" s="13">
        <v>57100</v>
      </c>
      <c r="B519" s="10">
        <f>39.7221 * CHOOSE(CONTROL!$C$15, $E$9, 100%, $G$9) + CHOOSE(CONTROL!$C$38, 0.0266, 0)</f>
        <v>39.748699999999999</v>
      </c>
      <c r="C519" s="10">
        <f>36.6459 * CHOOSE(CONTROL!$C$15, $E$9, 100%, $G$9) + CHOOSE(CONTROL!$C$38, 0.0357, 0)</f>
        <v>36.681599999999996</v>
      </c>
      <c r="D519" s="10">
        <f>36.6381 * CHOOSE(CONTROL!$C$15, $E$9, 100%, $G$9) + CHOOSE(CONTROL!$C$38, 0.0357, 0)</f>
        <v>36.6738</v>
      </c>
      <c r="E519" s="28">
        <f>39.5659 * CHOOSE(CONTROL!$C$15, $E$9, 100%, $G$9) + CHOOSE(CONTROL!$C$38, 0.0357, 0)</f>
        <v>39.601599999999998</v>
      </c>
      <c r="F519" s="27">
        <f>39.5659 * CHOOSE(CONTROL!$C$15, $E$9, 100%, $G$9) + CHOOSE(CONTROL!$C$38, 0.0266, 0)</f>
        <v>39.592500000000001</v>
      </c>
      <c r="G519" s="10">
        <f>36.6443 * CHOOSE(CONTROL!$C$15, $E$9, 100%, $G$9) + CHOOSE(CONTROL!$C$38, 0.0357, 0)</f>
        <v>36.68</v>
      </c>
      <c r="H519" s="10">
        <f>36.6443 * CHOOSE(CONTROL!$C$15, $E$9, 100%, $G$9) + CHOOSE(CONTROL!$C$38, 0.0357, 0)</f>
        <v>36.68</v>
      </c>
      <c r="I519" s="10">
        <f>36.6459 * CHOOSE(CONTROL!$C$15, $E$9, 100%, $G$9) + CHOOSE(CONTROL!$C$38, 0.0357, 0)</f>
        <v>36.681599999999996</v>
      </c>
      <c r="J519" s="26">
        <f>256.4262</f>
        <v>256.42619999999999</v>
      </c>
    </row>
    <row r="520" spans="1:10" ht="15.75">
      <c r="A520" s="13">
        <v>57131</v>
      </c>
      <c r="B520" s="10">
        <f>39.206 * CHOOSE(CONTROL!$C$15, $E$9, 100%, $G$9) + CHOOSE(CONTROL!$C$38, 0.0266, 0)</f>
        <v>39.232600000000005</v>
      </c>
      <c r="C520" s="10">
        <f>36.1298 * CHOOSE(CONTROL!$C$15, $E$9, 100%, $G$9) + CHOOSE(CONTROL!$C$38, 0.0357, 0)</f>
        <v>36.165500000000002</v>
      </c>
      <c r="D520" s="10">
        <f>36.122 * CHOOSE(CONTROL!$C$15, $E$9, 100%, $G$9) + CHOOSE(CONTROL!$C$38, 0.0357, 0)</f>
        <v>36.157699999999998</v>
      </c>
      <c r="E520" s="28">
        <f>39.0498 * CHOOSE(CONTROL!$C$15, $E$9, 100%, $G$9) + CHOOSE(CONTROL!$C$38, 0.0357, 0)</f>
        <v>39.085499999999996</v>
      </c>
      <c r="F520" s="27">
        <f>39.0498 * CHOOSE(CONTROL!$C$15, $E$9, 100%, $G$9) + CHOOSE(CONTROL!$C$38, 0.0266, 0)</f>
        <v>39.0764</v>
      </c>
      <c r="G520" s="10">
        <f>36.1282 * CHOOSE(CONTROL!$C$15, $E$9, 100%, $G$9) + CHOOSE(CONTROL!$C$38, 0.0357, 0)</f>
        <v>36.163899999999998</v>
      </c>
      <c r="H520" s="10">
        <f>36.1282 * CHOOSE(CONTROL!$C$15, $E$9, 100%, $G$9) + CHOOSE(CONTROL!$C$38, 0.0357, 0)</f>
        <v>36.163899999999998</v>
      </c>
      <c r="I520" s="10">
        <f>36.1298 * CHOOSE(CONTROL!$C$15, $E$9, 100%, $G$9) + CHOOSE(CONTROL!$C$38, 0.0357, 0)</f>
        <v>36.165500000000002</v>
      </c>
      <c r="J520" s="26">
        <f>265.0313</f>
        <v>265.03129999999999</v>
      </c>
    </row>
    <row r="521" spans="1:10" ht="15.75">
      <c r="A521" s="13">
        <v>57161</v>
      </c>
      <c r="B521" s="10">
        <f>38.8442 * CHOOSE(CONTROL!$C$15, $E$9, 100%, $G$9) + CHOOSE(CONTROL!$C$38, 0.0266, 0)</f>
        <v>38.870800000000003</v>
      </c>
      <c r="C521" s="10">
        <f>35.7679 * CHOOSE(CONTROL!$C$15, $E$9, 100%, $G$9) + CHOOSE(CONTROL!$C$38, 0.0357, 0)</f>
        <v>35.803599999999996</v>
      </c>
      <c r="D521" s="10">
        <f>35.7601 * CHOOSE(CONTROL!$C$15, $E$9, 100%, $G$9) + CHOOSE(CONTROL!$C$38, 0.0357, 0)</f>
        <v>35.7958</v>
      </c>
      <c r="E521" s="28">
        <f>38.6879 * CHOOSE(CONTROL!$C$15, $E$9, 100%, $G$9) + CHOOSE(CONTROL!$C$38, 0.0357, 0)</f>
        <v>38.723599999999998</v>
      </c>
      <c r="F521" s="27">
        <f>38.6879 * CHOOSE(CONTROL!$C$15, $E$9, 100%, $G$9) + CHOOSE(CONTROL!$C$38, 0.0266, 0)</f>
        <v>38.714500000000001</v>
      </c>
      <c r="G521" s="10">
        <f>35.7664 * CHOOSE(CONTROL!$C$15, $E$9, 100%, $G$9) + CHOOSE(CONTROL!$C$38, 0.0357, 0)</f>
        <v>35.802099999999996</v>
      </c>
      <c r="H521" s="10">
        <f>35.7664 * CHOOSE(CONTROL!$C$15, $E$9, 100%, $G$9) + CHOOSE(CONTROL!$C$38, 0.0357, 0)</f>
        <v>35.802099999999996</v>
      </c>
      <c r="I521" s="10">
        <f>35.7679 * CHOOSE(CONTROL!$C$15, $E$9, 100%, $G$9) + CHOOSE(CONTROL!$C$38, 0.0357, 0)</f>
        <v>35.803599999999996</v>
      </c>
      <c r="J521" s="26">
        <f>268.8502</f>
        <v>268.85019999999997</v>
      </c>
    </row>
    <row r="522" spans="1:10" ht="15.75">
      <c r="A522" s="13">
        <v>57192</v>
      </c>
      <c r="B522" s="10">
        <f>38.6377 * CHOOSE(CONTROL!$C$15, $E$9, 100%, $G$9) + CHOOSE(CONTROL!$C$38, 0.0266, 0)</f>
        <v>38.664300000000004</v>
      </c>
      <c r="C522" s="10">
        <f>35.5615 * CHOOSE(CONTROL!$C$15, $E$9, 100%, $G$9) + CHOOSE(CONTROL!$C$38, 0.0357, 0)</f>
        <v>35.597200000000001</v>
      </c>
      <c r="D522" s="10">
        <f>35.5536 * CHOOSE(CONTROL!$C$15, $E$9, 100%, $G$9) + CHOOSE(CONTROL!$C$38, 0.0357, 0)</f>
        <v>35.589300000000001</v>
      </c>
      <c r="E522" s="28">
        <f>38.4815 * CHOOSE(CONTROL!$C$15, $E$9, 100%, $G$9) + CHOOSE(CONTROL!$C$38, 0.0357, 0)</f>
        <v>38.517199999999995</v>
      </c>
      <c r="F522" s="27">
        <f>38.4815 * CHOOSE(CONTROL!$C$15, $E$9, 100%, $G$9) + CHOOSE(CONTROL!$C$38, 0.0266, 0)</f>
        <v>38.508099999999999</v>
      </c>
      <c r="G522" s="10">
        <f>35.5599 * CHOOSE(CONTROL!$C$15, $E$9, 100%, $G$9) + CHOOSE(CONTROL!$C$38, 0.0357, 0)</f>
        <v>35.595599999999997</v>
      </c>
      <c r="H522" s="10">
        <f>35.5599 * CHOOSE(CONTROL!$C$15, $E$9, 100%, $G$9) + CHOOSE(CONTROL!$C$38, 0.0357, 0)</f>
        <v>35.595599999999997</v>
      </c>
      <c r="I522" s="10">
        <f>35.5615 * CHOOSE(CONTROL!$C$15, $E$9, 100%, $G$9) + CHOOSE(CONTROL!$C$38, 0.0357, 0)</f>
        <v>35.597200000000001</v>
      </c>
      <c r="J522" s="26">
        <f>267.5928</f>
        <v>267.59280000000001</v>
      </c>
    </row>
    <row r="523" spans="1:10" ht="15.75">
      <c r="A523" s="13">
        <v>57223</v>
      </c>
      <c r="B523" s="10">
        <f>38.7396 * CHOOSE(CONTROL!$C$15, $E$9, 100%, $G$9) + CHOOSE(CONTROL!$C$38, 0.0266, 0)</f>
        <v>38.766200000000005</v>
      </c>
      <c r="C523" s="10">
        <f>35.6634 * CHOOSE(CONTROL!$C$15, $E$9, 100%, $G$9) + CHOOSE(CONTROL!$C$38, 0.0357, 0)</f>
        <v>35.699100000000001</v>
      </c>
      <c r="D523" s="10">
        <f>35.6556 * CHOOSE(CONTROL!$C$15, $E$9, 100%, $G$9) + CHOOSE(CONTROL!$C$38, 0.0357, 0)</f>
        <v>35.691299999999998</v>
      </c>
      <c r="E523" s="28">
        <f>38.5834 * CHOOSE(CONTROL!$C$15, $E$9, 100%, $G$9) + CHOOSE(CONTROL!$C$38, 0.0357, 0)</f>
        <v>38.619099999999996</v>
      </c>
      <c r="F523" s="27">
        <f>38.5834 * CHOOSE(CONTROL!$C$15, $E$9, 100%, $G$9) + CHOOSE(CONTROL!$C$38, 0.0266, 0)</f>
        <v>38.61</v>
      </c>
      <c r="G523" s="10">
        <f>35.6618 * CHOOSE(CONTROL!$C$15, $E$9, 100%, $G$9) + CHOOSE(CONTROL!$C$38, 0.0357, 0)</f>
        <v>35.697499999999998</v>
      </c>
      <c r="H523" s="10">
        <f>35.6618 * CHOOSE(CONTROL!$C$15, $E$9, 100%, $G$9) + CHOOSE(CONTROL!$C$38, 0.0357, 0)</f>
        <v>35.697499999999998</v>
      </c>
      <c r="I523" s="10">
        <f>35.6634 * CHOOSE(CONTROL!$C$15, $E$9, 100%, $G$9) + CHOOSE(CONTROL!$C$38, 0.0357, 0)</f>
        <v>35.699100000000001</v>
      </c>
      <c r="J523" s="26">
        <f>261.3634</f>
        <v>261.36340000000001</v>
      </c>
    </row>
    <row r="524" spans="1:10" ht="15.75">
      <c r="A524" s="13">
        <v>57253</v>
      </c>
      <c r="B524" s="10">
        <f>39.0164 * CHOOSE(CONTROL!$C$15, $E$9, 100%, $G$9) + CHOOSE(CONTROL!$C$38, 0.0266, 0)</f>
        <v>39.042999999999999</v>
      </c>
      <c r="C524" s="10">
        <f>35.9402 * CHOOSE(CONTROL!$C$15, $E$9, 100%, $G$9) + CHOOSE(CONTROL!$C$38, 0.0357, 0)</f>
        <v>35.975899999999996</v>
      </c>
      <c r="D524" s="10">
        <f>35.9323 * CHOOSE(CONTROL!$C$15, $E$9, 100%, $G$9) + CHOOSE(CONTROL!$C$38, 0.0357, 0)</f>
        <v>35.967999999999996</v>
      </c>
      <c r="E524" s="28">
        <f>38.8602 * CHOOSE(CONTROL!$C$15, $E$9, 100%, $G$9) + CHOOSE(CONTROL!$C$38, 0.0357, 0)</f>
        <v>38.895899999999997</v>
      </c>
      <c r="F524" s="27">
        <f>38.8602 * CHOOSE(CONTROL!$C$15, $E$9, 100%, $G$9) + CHOOSE(CONTROL!$C$38, 0.0266, 0)</f>
        <v>38.886800000000001</v>
      </c>
      <c r="G524" s="10">
        <f>35.9386 * CHOOSE(CONTROL!$C$15, $E$9, 100%, $G$9) + CHOOSE(CONTROL!$C$38, 0.0357, 0)</f>
        <v>35.974299999999999</v>
      </c>
      <c r="H524" s="10">
        <f>35.9386 * CHOOSE(CONTROL!$C$15, $E$9, 100%, $G$9) + CHOOSE(CONTROL!$C$38, 0.0357, 0)</f>
        <v>35.974299999999999</v>
      </c>
      <c r="I524" s="10">
        <f>35.9402 * CHOOSE(CONTROL!$C$15, $E$9, 100%, $G$9) + CHOOSE(CONTROL!$C$38, 0.0357, 0)</f>
        <v>35.975899999999996</v>
      </c>
      <c r="J524" s="26">
        <f>252.6761</f>
        <v>252.67609999999999</v>
      </c>
    </row>
    <row r="525" spans="1:10" ht="15.75">
      <c r="A525" s="13">
        <v>57284</v>
      </c>
      <c r="B525" s="10">
        <f>39.2482 * CHOOSE(CONTROL!$C$15, $E$9, 100%, $G$9) + CHOOSE(CONTROL!$C$38, 0.0266, 0)</f>
        <v>39.274799999999999</v>
      </c>
      <c r="C525" s="10">
        <f>36.172 * CHOOSE(CONTROL!$C$15, $E$9, 100%, $G$9) + CHOOSE(CONTROL!$C$38, 0.0357, 0)</f>
        <v>36.207699999999996</v>
      </c>
      <c r="D525" s="10">
        <f>36.1642 * CHOOSE(CONTROL!$C$15, $E$9, 100%, $G$9) + CHOOSE(CONTROL!$C$38, 0.0357, 0)</f>
        <v>36.1999</v>
      </c>
      <c r="E525" s="28">
        <f>39.092 * CHOOSE(CONTROL!$C$15, $E$9, 100%, $G$9) + CHOOSE(CONTROL!$C$38, 0.0357, 0)</f>
        <v>39.127699999999997</v>
      </c>
      <c r="F525" s="27">
        <f>39.092 * CHOOSE(CONTROL!$C$15, $E$9, 100%, $G$9) + CHOOSE(CONTROL!$C$38, 0.0266, 0)</f>
        <v>39.118600000000001</v>
      </c>
      <c r="G525" s="10">
        <f>36.1704 * CHOOSE(CONTROL!$C$15, $E$9, 100%, $G$9) + CHOOSE(CONTROL!$C$38, 0.0357, 0)</f>
        <v>36.206099999999999</v>
      </c>
      <c r="H525" s="10">
        <f>36.1704 * CHOOSE(CONTROL!$C$15, $E$9, 100%, $G$9) + CHOOSE(CONTROL!$C$38, 0.0357, 0)</f>
        <v>36.206099999999999</v>
      </c>
      <c r="I525" s="10">
        <f>36.172 * CHOOSE(CONTROL!$C$15, $E$9, 100%, $G$9) + CHOOSE(CONTROL!$C$38, 0.0357, 0)</f>
        <v>36.207699999999996</v>
      </c>
      <c r="J525" s="26">
        <f>243.9383</f>
        <v>243.9383</v>
      </c>
    </row>
    <row r="526" spans="1:10" ht="15.75">
      <c r="A526" s="13">
        <v>57314</v>
      </c>
      <c r="B526" s="10">
        <f>39.4417 * CHOOSE(CONTROL!$C$15, $E$9, 100%, $G$9) + CHOOSE(CONTROL!$C$38, 0.0266, 0)</f>
        <v>39.468299999999999</v>
      </c>
      <c r="C526" s="10">
        <f>36.3654 * CHOOSE(CONTROL!$C$15, $E$9, 100%, $G$9) + CHOOSE(CONTROL!$C$38, 0.0357, 0)</f>
        <v>36.4011</v>
      </c>
      <c r="D526" s="10">
        <f>36.3576 * CHOOSE(CONTROL!$C$15, $E$9, 100%, $G$9) + CHOOSE(CONTROL!$C$38, 0.0357, 0)</f>
        <v>36.393299999999996</v>
      </c>
      <c r="E526" s="28">
        <f>39.2854 * CHOOSE(CONTROL!$C$15, $E$9, 100%, $G$9) + CHOOSE(CONTROL!$C$38, 0.0357, 0)</f>
        <v>39.321100000000001</v>
      </c>
      <c r="F526" s="27">
        <f>39.2854 * CHOOSE(CONTROL!$C$15, $E$9, 100%, $G$9) + CHOOSE(CONTROL!$C$38, 0.0266, 0)</f>
        <v>39.312000000000005</v>
      </c>
      <c r="G526" s="10">
        <f>36.3639 * CHOOSE(CONTROL!$C$15, $E$9, 100%, $G$9) + CHOOSE(CONTROL!$C$38, 0.0357, 0)</f>
        <v>36.3996</v>
      </c>
      <c r="H526" s="10">
        <f>36.3639 * CHOOSE(CONTROL!$C$15, $E$9, 100%, $G$9) + CHOOSE(CONTROL!$C$38, 0.0357, 0)</f>
        <v>36.3996</v>
      </c>
      <c r="I526" s="10">
        <f>36.3654 * CHOOSE(CONTROL!$C$15, $E$9, 100%, $G$9) + CHOOSE(CONTROL!$C$38, 0.0357, 0)</f>
        <v>36.4011</v>
      </c>
      <c r="J526" s="26">
        <f>242.2002</f>
        <v>242.2002</v>
      </c>
    </row>
    <row r="527" spans="1:10" ht="15.75">
      <c r="A527" s="13">
        <v>57345</v>
      </c>
      <c r="B527" s="10">
        <f>40.0377 * CHOOSE(CONTROL!$C$15, $E$9, 100%, $G$9) + CHOOSE(CONTROL!$C$38, 0.0266, 0)</f>
        <v>40.064300000000003</v>
      </c>
      <c r="C527" s="10">
        <f>36.9615 * CHOOSE(CONTROL!$C$15, $E$9, 100%, $G$9) + CHOOSE(CONTROL!$C$38, 0.0357, 0)</f>
        <v>36.997199999999999</v>
      </c>
      <c r="D527" s="10">
        <f>36.9537 * CHOOSE(CONTROL!$C$15, $E$9, 100%, $G$9) + CHOOSE(CONTROL!$C$38, 0.0357, 0)</f>
        <v>36.989399999999996</v>
      </c>
      <c r="E527" s="28">
        <f>39.8815 * CHOOSE(CONTROL!$C$15, $E$9, 100%, $G$9) + CHOOSE(CONTROL!$C$38, 0.0357, 0)</f>
        <v>39.917200000000001</v>
      </c>
      <c r="F527" s="27">
        <f>39.8815 * CHOOSE(CONTROL!$C$15, $E$9, 100%, $G$9) + CHOOSE(CONTROL!$C$38, 0.0266, 0)</f>
        <v>39.908100000000005</v>
      </c>
      <c r="G527" s="10">
        <f>36.9599 * CHOOSE(CONTROL!$C$15, $E$9, 100%, $G$9) + CHOOSE(CONTROL!$C$38, 0.0357, 0)</f>
        <v>36.995599999999996</v>
      </c>
      <c r="H527" s="10">
        <f>36.9599 * CHOOSE(CONTROL!$C$15, $E$9, 100%, $G$9) + CHOOSE(CONTROL!$C$38, 0.0357, 0)</f>
        <v>36.995599999999996</v>
      </c>
      <c r="I527" s="10">
        <f>36.9615 * CHOOSE(CONTROL!$C$15, $E$9, 100%, $G$9) + CHOOSE(CONTROL!$C$38, 0.0357, 0)</f>
        <v>36.997199999999999</v>
      </c>
      <c r="J527" s="26">
        <f>235.0129</f>
        <v>235.0129</v>
      </c>
    </row>
    <row r="528" spans="1:10" ht="15.75">
      <c r="A528" s="13">
        <v>57376</v>
      </c>
      <c r="B528" s="10">
        <f>41.1951 * CHOOSE(CONTROL!$C$15, $E$9, 100%, $G$9) + CHOOSE(CONTROL!$C$38, 0.0266, 0)</f>
        <v>41.221699999999998</v>
      </c>
      <c r="C528" s="10">
        <f>38.0673 * CHOOSE(CONTROL!$C$15, $E$9, 100%, $G$9) + CHOOSE(CONTROL!$C$38, 0.0357, 0)</f>
        <v>38.103000000000002</v>
      </c>
      <c r="D528" s="10">
        <f>38.0594 * CHOOSE(CONTROL!$C$15, $E$9, 100%, $G$9) + CHOOSE(CONTROL!$C$38, 0.0357, 0)</f>
        <v>38.095099999999995</v>
      </c>
      <c r="E528" s="28">
        <f>41.0388 * CHOOSE(CONTROL!$C$15, $E$9, 100%, $G$9) + CHOOSE(CONTROL!$C$38, 0.0357, 0)</f>
        <v>41.0745</v>
      </c>
      <c r="F528" s="27">
        <f>41.0388 * CHOOSE(CONTROL!$C$15, $E$9, 100%, $G$9) + CHOOSE(CONTROL!$C$38, 0.0266, 0)</f>
        <v>41.065400000000004</v>
      </c>
      <c r="G528" s="10">
        <f>38.0657 * CHOOSE(CONTROL!$C$15, $E$9, 100%, $G$9) + CHOOSE(CONTROL!$C$38, 0.0357, 0)</f>
        <v>38.101399999999998</v>
      </c>
      <c r="H528" s="10">
        <f>38.0657 * CHOOSE(CONTROL!$C$15, $E$9, 100%, $G$9) + CHOOSE(CONTROL!$C$38, 0.0357, 0)</f>
        <v>38.101399999999998</v>
      </c>
      <c r="I528" s="10">
        <f>38.0673 * CHOOSE(CONTROL!$C$15, $E$9, 100%, $G$9) + CHOOSE(CONTROL!$C$38, 0.0357, 0)</f>
        <v>38.103000000000002</v>
      </c>
      <c r="J528" s="26">
        <f>233.4387</f>
        <v>233.43870000000001</v>
      </c>
    </row>
    <row r="529" spans="1:10" ht="15.75">
      <c r="A529" s="13">
        <v>57404</v>
      </c>
      <c r="B529" s="10">
        <f>41.4159 * CHOOSE(CONTROL!$C$15, $E$9, 100%, $G$9) + CHOOSE(CONTROL!$C$38, 0.0266, 0)</f>
        <v>41.442500000000003</v>
      </c>
      <c r="C529" s="10">
        <f>38.288 * CHOOSE(CONTROL!$C$15, $E$9, 100%, $G$9) + CHOOSE(CONTROL!$C$38, 0.0357, 0)</f>
        <v>38.323699999999995</v>
      </c>
      <c r="D529" s="10">
        <f>38.2802 * CHOOSE(CONTROL!$C$15, $E$9, 100%, $G$9) + CHOOSE(CONTROL!$C$38, 0.0357, 0)</f>
        <v>38.315899999999999</v>
      </c>
      <c r="E529" s="28">
        <f>41.2596 * CHOOSE(CONTROL!$C$15, $E$9, 100%, $G$9) + CHOOSE(CONTROL!$C$38, 0.0357, 0)</f>
        <v>41.295299999999997</v>
      </c>
      <c r="F529" s="27">
        <f>41.2596 * CHOOSE(CONTROL!$C$15, $E$9, 100%, $G$9) + CHOOSE(CONTROL!$C$38, 0.0266, 0)</f>
        <v>41.286200000000001</v>
      </c>
      <c r="G529" s="10">
        <f>38.2865 * CHOOSE(CONTROL!$C$15, $E$9, 100%, $G$9) + CHOOSE(CONTROL!$C$38, 0.0357, 0)</f>
        <v>38.322199999999995</v>
      </c>
      <c r="H529" s="10">
        <f>38.2865 * CHOOSE(CONTROL!$C$15, $E$9, 100%, $G$9) + CHOOSE(CONTROL!$C$38, 0.0357, 0)</f>
        <v>38.322199999999995</v>
      </c>
      <c r="I529" s="10">
        <f>38.288 * CHOOSE(CONTROL!$C$15, $E$9, 100%, $G$9) + CHOOSE(CONTROL!$C$38, 0.0357, 0)</f>
        <v>38.323699999999995</v>
      </c>
      <c r="J529" s="26">
        <f>232.7898</f>
        <v>232.78980000000001</v>
      </c>
    </row>
    <row r="530" spans="1:10" ht="15.75">
      <c r="A530" s="13">
        <v>57435</v>
      </c>
      <c r="B530" s="10">
        <f>40.9048 * CHOOSE(CONTROL!$C$15, $E$9, 100%, $G$9) + CHOOSE(CONTROL!$C$38, 0.0266, 0)</f>
        <v>40.931400000000004</v>
      </c>
      <c r="C530" s="10">
        <f>37.777 * CHOOSE(CONTROL!$C$15, $E$9, 100%, $G$9) + CHOOSE(CONTROL!$C$38, 0.0357, 0)</f>
        <v>37.8127</v>
      </c>
      <c r="D530" s="10">
        <f>37.7692 * CHOOSE(CONTROL!$C$15, $E$9, 100%, $G$9) + CHOOSE(CONTROL!$C$38, 0.0357, 0)</f>
        <v>37.804899999999996</v>
      </c>
      <c r="E530" s="28">
        <f>40.7486 * CHOOSE(CONTROL!$C$15, $E$9, 100%, $G$9) + CHOOSE(CONTROL!$C$38, 0.0357, 0)</f>
        <v>40.784300000000002</v>
      </c>
      <c r="F530" s="27">
        <f>40.7486 * CHOOSE(CONTROL!$C$15, $E$9, 100%, $G$9) + CHOOSE(CONTROL!$C$38, 0.0266, 0)</f>
        <v>40.775200000000005</v>
      </c>
      <c r="G530" s="10">
        <f>37.7754 * CHOOSE(CONTROL!$C$15, $E$9, 100%, $G$9) + CHOOSE(CONTROL!$C$38, 0.0357, 0)</f>
        <v>37.811099999999996</v>
      </c>
      <c r="H530" s="10">
        <f>37.7754 * CHOOSE(CONTROL!$C$15, $E$9, 100%, $G$9) + CHOOSE(CONTROL!$C$38, 0.0357, 0)</f>
        <v>37.811099999999996</v>
      </c>
      <c r="I530" s="10">
        <f>37.777 * CHOOSE(CONTROL!$C$15, $E$9, 100%, $G$9) + CHOOSE(CONTROL!$C$38, 0.0357, 0)</f>
        <v>37.8127</v>
      </c>
      <c r="J530" s="26">
        <f>245.0591</f>
        <v>245.0591</v>
      </c>
    </row>
    <row r="531" spans="1:10" ht="15.75">
      <c r="A531" s="13">
        <v>57465</v>
      </c>
      <c r="B531" s="10">
        <f>40.4096 * CHOOSE(CONTROL!$C$15, $E$9, 100%, $G$9) + CHOOSE(CONTROL!$C$38, 0.0266, 0)</f>
        <v>40.436199999999999</v>
      </c>
      <c r="C531" s="10">
        <f>37.2818 * CHOOSE(CONTROL!$C$15, $E$9, 100%, $G$9) + CHOOSE(CONTROL!$C$38, 0.0357, 0)</f>
        <v>37.317499999999995</v>
      </c>
      <c r="D531" s="10">
        <f>37.274 * CHOOSE(CONTROL!$C$15, $E$9, 100%, $G$9) + CHOOSE(CONTROL!$C$38, 0.0357, 0)</f>
        <v>37.309699999999999</v>
      </c>
      <c r="E531" s="28">
        <f>40.2534 * CHOOSE(CONTROL!$C$15, $E$9, 100%, $G$9) + CHOOSE(CONTROL!$C$38, 0.0357, 0)</f>
        <v>40.289099999999998</v>
      </c>
      <c r="F531" s="27">
        <f>40.2534 * CHOOSE(CONTROL!$C$15, $E$9, 100%, $G$9) + CHOOSE(CONTROL!$C$38, 0.0266, 0)</f>
        <v>40.28</v>
      </c>
      <c r="G531" s="10">
        <f>37.2802 * CHOOSE(CONTROL!$C$15, $E$9, 100%, $G$9) + CHOOSE(CONTROL!$C$38, 0.0357, 0)</f>
        <v>37.315899999999999</v>
      </c>
      <c r="H531" s="10">
        <f>37.2802 * CHOOSE(CONTROL!$C$15, $E$9, 100%, $G$9) + CHOOSE(CONTROL!$C$38, 0.0357, 0)</f>
        <v>37.315899999999999</v>
      </c>
      <c r="I531" s="10">
        <f>37.2818 * CHOOSE(CONTROL!$C$15, $E$9, 100%, $G$9) + CHOOSE(CONTROL!$C$38, 0.0357, 0)</f>
        <v>37.317499999999995</v>
      </c>
      <c r="J531" s="26">
        <f>260.9696</f>
        <v>260.96960000000001</v>
      </c>
    </row>
    <row r="532" spans="1:10" ht="15.75">
      <c r="A532" s="13">
        <v>57496</v>
      </c>
      <c r="B532" s="10">
        <f>39.8935 * CHOOSE(CONTROL!$C$15, $E$9, 100%, $G$9) + CHOOSE(CONTROL!$C$38, 0.0266, 0)</f>
        <v>39.920100000000005</v>
      </c>
      <c r="C532" s="10">
        <f>36.7657 * CHOOSE(CONTROL!$C$15, $E$9, 100%, $G$9) + CHOOSE(CONTROL!$C$38, 0.0357, 0)</f>
        <v>36.801400000000001</v>
      </c>
      <c r="D532" s="10">
        <f>36.7579 * CHOOSE(CONTROL!$C$15, $E$9, 100%, $G$9) + CHOOSE(CONTROL!$C$38, 0.0357, 0)</f>
        <v>36.793599999999998</v>
      </c>
      <c r="E532" s="28">
        <f>39.7373 * CHOOSE(CONTROL!$C$15, $E$9, 100%, $G$9) + CHOOSE(CONTROL!$C$38, 0.0357, 0)</f>
        <v>39.772999999999996</v>
      </c>
      <c r="F532" s="27">
        <f>39.7373 * CHOOSE(CONTROL!$C$15, $E$9, 100%, $G$9) + CHOOSE(CONTROL!$C$38, 0.0266, 0)</f>
        <v>39.7639</v>
      </c>
      <c r="G532" s="10">
        <f>36.7641 * CHOOSE(CONTROL!$C$15, $E$9, 100%, $G$9) + CHOOSE(CONTROL!$C$38, 0.0357, 0)</f>
        <v>36.799799999999998</v>
      </c>
      <c r="H532" s="10">
        <f>36.7641 * CHOOSE(CONTROL!$C$15, $E$9, 100%, $G$9) + CHOOSE(CONTROL!$C$38, 0.0357, 0)</f>
        <v>36.799799999999998</v>
      </c>
      <c r="I532" s="10">
        <f>36.7657 * CHOOSE(CONTROL!$C$15, $E$9, 100%, $G$9) + CHOOSE(CONTROL!$C$38, 0.0357, 0)</f>
        <v>36.801400000000001</v>
      </c>
      <c r="J532" s="26">
        <f>269.7272</f>
        <v>269.72719999999998</v>
      </c>
    </row>
    <row r="533" spans="1:10" ht="15.75">
      <c r="A533" s="13">
        <v>57526</v>
      </c>
      <c r="B533" s="10">
        <f>39.5317 * CHOOSE(CONTROL!$C$15, $E$9, 100%, $G$9) + CHOOSE(CONTROL!$C$38, 0.0266, 0)</f>
        <v>39.558300000000003</v>
      </c>
      <c r="C533" s="10">
        <f>36.4039 * CHOOSE(CONTROL!$C$15, $E$9, 100%, $G$9) + CHOOSE(CONTROL!$C$38, 0.0357, 0)</f>
        <v>36.439599999999999</v>
      </c>
      <c r="D533" s="10">
        <f>36.396 * CHOOSE(CONTROL!$C$15, $E$9, 100%, $G$9) + CHOOSE(CONTROL!$C$38, 0.0357, 0)</f>
        <v>36.431699999999999</v>
      </c>
      <c r="E533" s="28">
        <f>39.3754 * CHOOSE(CONTROL!$C$15, $E$9, 100%, $G$9) + CHOOSE(CONTROL!$C$38, 0.0357, 0)</f>
        <v>39.411099999999998</v>
      </c>
      <c r="F533" s="27">
        <f>39.3754 * CHOOSE(CONTROL!$C$15, $E$9, 100%, $G$9) + CHOOSE(CONTROL!$C$38, 0.0266, 0)</f>
        <v>39.402000000000001</v>
      </c>
      <c r="G533" s="10">
        <f>36.4023 * CHOOSE(CONTROL!$C$15, $E$9, 100%, $G$9) + CHOOSE(CONTROL!$C$38, 0.0357, 0)</f>
        <v>36.437999999999995</v>
      </c>
      <c r="H533" s="10">
        <f>36.4023 * CHOOSE(CONTROL!$C$15, $E$9, 100%, $G$9) + CHOOSE(CONTROL!$C$38, 0.0357, 0)</f>
        <v>36.437999999999995</v>
      </c>
      <c r="I533" s="10">
        <f>36.4039 * CHOOSE(CONTROL!$C$15, $E$9, 100%, $G$9) + CHOOSE(CONTROL!$C$38, 0.0357, 0)</f>
        <v>36.439599999999999</v>
      </c>
      <c r="J533" s="26">
        <f>273.6137</f>
        <v>273.61369999999999</v>
      </c>
    </row>
    <row r="534" spans="1:10" ht="15.75">
      <c r="A534" s="13">
        <v>57557</v>
      </c>
      <c r="B534" s="10">
        <f>39.3252 * CHOOSE(CONTROL!$C$15, $E$9, 100%, $G$9) + CHOOSE(CONTROL!$C$38, 0.0266, 0)</f>
        <v>39.351800000000004</v>
      </c>
      <c r="C534" s="10">
        <f>36.1974 * CHOOSE(CONTROL!$C$15, $E$9, 100%, $G$9) + CHOOSE(CONTROL!$C$38, 0.0357, 0)</f>
        <v>36.2331</v>
      </c>
      <c r="D534" s="10">
        <f>36.1896 * CHOOSE(CONTROL!$C$15, $E$9, 100%, $G$9) + CHOOSE(CONTROL!$C$38, 0.0357, 0)</f>
        <v>36.225299999999997</v>
      </c>
      <c r="E534" s="28">
        <f>39.169 * CHOOSE(CONTROL!$C$15, $E$9, 100%, $G$9) + CHOOSE(CONTROL!$C$38, 0.0357, 0)</f>
        <v>39.204699999999995</v>
      </c>
      <c r="F534" s="27">
        <f>39.169 * CHOOSE(CONTROL!$C$15, $E$9, 100%, $G$9) + CHOOSE(CONTROL!$C$38, 0.0266, 0)</f>
        <v>39.195599999999999</v>
      </c>
      <c r="G534" s="10">
        <f>36.1958 * CHOOSE(CONTROL!$C$15, $E$9, 100%, $G$9) + CHOOSE(CONTROL!$C$38, 0.0357, 0)</f>
        <v>36.231499999999997</v>
      </c>
      <c r="H534" s="10">
        <f>36.1958 * CHOOSE(CONTROL!$C$15, $E$9, 100%, $G$9) + CHOOSE(CONTROL!$C$38, 0.0357, 0)</f>
        <v>36.231499999999997</v>
      </c>
      <c r="I534" s="10">
        <f>36.1974 * CHOOSE(CONTROL!$C$15, $E$9, 100%, $G$9) + CHOOSE(CONTROL!$C$38, 0.0357, 0)</f>
        <v>36.2331</v>
      </c>
      <c r="J534" s="26">
        <f>272.3341</f>
        <v>272.33409999999998</v>
      </c>
    </row>
    <row r="535" spans="1:10" ht="15.75">
      <c r="A535" s="13">
        <v>57588</v>
      </c>
      <c r="B535" s="10">
        <f>39.4271 * CHOOSE(CONTROL!$C$15, $E$9, 100%, $G$9) + CHOOSE(CONTROL!$C$38, 0.0266, 0)</f>
        <v>39.453700000000005</v>
      </c>
      <c r="C535" s="10">
        <f>36.2993 * CHOOSE(CONTROL!$C$15, $E$9, 100%, $G$9) + CHOOSE(CONTROL!$C$38, 0.0357, 0)</f>
        <v>36.335000000000001</v>
      </c>
      <c r="D535" s="10">
        <f>36.2915 * CHOOSE(CONTROL!$C$15, $E$9, 100%, $G$9) + CHOOSE(CONTROL!$C$38, 0.0357, 0)</f>
        <v>36.327199999999998</v>
      </c>
      <c r="E535" s="28">
        <f>39.2709 * CHOOSE(CONTROL!$C$15, $E$9, 100%, $G$9) + CHOOSE(CONTROL!$C$38, 0.0357, 0)</f>
        <v>39.306599999999996</v>
      </c>
      <c r="F535" s="27">
        <f>39.2709 * CHOOSE(CONTROL!$C$15, $E$9, 100%, $G$9) + CHOOSE(CONTROL!$C$38, 0.0266, 0)</f>
        <v>39.297499999999999</v>
      </c>
      <c r="G535" s="10">
        <f>36.2977 * CHOOSE(CONTROL!$C$15, $E$9, 100%, $G$9) + CHOOSE(CONTROL!$C$38, 0.0357, 0)</f>
        <v>36.333399999999997</v>
      </c>
      <c r="H535" s="10">
        <f>36.2977 * CHOOSE(CONTROL!$C$15, $E$9, 100%, $G$9) + CHOOSE(CONTROL!$C$38, 0.0357, 0)</f>
        <v>36.333399999999997</v>
      </c>
      <c r="I535" s="10">
        <f>36.2993 * CHOOSE(CONTROL!$C$15, $E$9, 100%, $G$9) + CHOOSE(CONTROL!$C$38, 0.0357, 0)</f>
        <v>36.335000000000001</v>
      </c>
      <c r="J535" s="26">
        <f>265.9942</f>
        <v>265.99419999999998</v>
      </c>
    </row>
    <row r="536" spans="1:10" ht="15.75">
      <c r="A536" s="13">
        <v>57618</v>
      </c>
      <c r="B536" s="10">
        <f>39.7039 * CHOOSE(CONTROL!$C$15, $E$9, 100%, $G$9) + CHOOSE(CONTROL!$C$38, 0.0266, 0)</f>
        <v>39.730499999999999</v>
      </c>
      <c r="C536" s="10">
        <f>36.5761 * CHOOSE(CONTROL!$C$15, $E$9, 100%, $G$9) + CHOOSE(CONTROL!$C$38, 0.0357, 0)</f>
        <v>36.611799999999995</v>
      </c>
      <c r="D536" s="10">
        <f>36.5683 * CHOOSE(CONTROL!$C$15, $E$9, 100%, $G$9) + CHOOSE(CONTROL!$C$38, 0.0357, 0)</f>
        <v>36.603999999999999</v>
      </c>
      <c r="E536" s="28">
        <f>39.5477 * CHOOSE(CONTROL!$C$15, $E$9, 100%, $G$9) + CHOOSE(CONTROL!$C$38, 0.0357, 0)</f>
        <v>39.583399999999997</v>
      </c>
      <c r="F536" s="27">
        <f>39.5477 * CHOOSE(CONTROL!$C$15, $E$9, 100%, $G$9) + CHOOSE(CONTROL!$C$38, 0.0266, 0)</f>
        <v>39.574300000000001</v>
      </c>
      <c r="G536" s="10">
        <f>36.5745 * CHOOSE(CONTROL!$C$15, $E$9, 100%, $G$9) + CHOOSE(CONTROL!$C$38, 0.0357, 0)</f>
        <v>36.610199999999999</v>
      </c>
      <c r="H536" s="10">
        <f>36.5745 * CHOOSE(CONTROL!$C$15, $E$9, 100%, $G$9) + CHOOSE(CONTROL!$C$38, 0.0357, 0)</f>
        <v>36.610199999999999</v>
      </c>
      <c r="I536" s="10">
        <f>36.5761 * CHOOSE(CONTROL!$C$15, $E$9, 100%, $G$9) + CHOOSE(CONTROL!$C$38, 0.0357, 0)</f>
        <v>36.611799999999995</v>
      </c>
      <c r="J536" s="26">
        <f>257.1531</f>
        <v>257.15309999999999</v>
      </c>
    </row>
    <row r="537" spans="1:10" ht="15.75">
      <c r="A537" s="13">
        <v>57649</v>
      </c>
      <c r="B537" s="10">
        <f>39.9357 * CHOOSE(CONTROL!$C$15, $E$9, 100%, $G$9) + CHOOSE(CONTROL!$C$38, 0.0266, 0)</f>
        <v>39.962299999999999</v>
      </c>
      <c r="C537" s="10">
        <f>36.8079 * CHOOSE(CONTROL!$C$15, $E$9, 100%, $G$9) + CHOOSE(CONTROL!$C$38, 0.0357, 0)</f>
        <v>36.843599999999995</v>
      </c>
      <c r="D537" s="10">
        <f>36.8001 * CHOOSE(CONTROL!$C$15, $E$9, 100%, $G$9) + CHOOSE(CONTROL!$C$38, 0.0357, 0)</f>
        <v>36.835799999999999</v>
      </c>
      <c r="E537" s="28">
        <f>39.7795 * CHOOSE(CONTROL!$C$15, $E$9, 100%, $G$9) + CHOOSE(CONTROL!$C$38, 0.0357, 0)</f>
        <v>39.815199999999997</v>
      </c>
      <c r="F537" s="27">
        <f>39.7795 * CHOOSE(CONTROL!$C$15, $E$9, 100%, $G$9) + CHOOSE(CONTROL!$C$38, 0.0266, 0)</f>
        <v>39.806100000000001</v>
      </c>
      <c r="G537" s="10">
        <f>36.8063 * CHOOSE(CONTROL!$C$15, $E$9, 100%, $G$9) + CHOOSE(CONTROL!$C$38, 0.0357, 0)</f>
        <v>36.841999999999999</v>
      </c>
      <c r="H537" s="10">
        <f>36.8063 * CHOOSE(CONTROL!$C$15, $E$9, 100%, $G$9) + CHOOSE(CONTROL!$C$38, 0.0357, 0)</f>
        <v>36.841999999999999</v>
      </c>
      <c r="I537" s="10">
        <f>36.8079 * CHOOSE(CONTROL!$C$15, $E$9, 100%, $G$9) + CHOOSE(CONTROL!$C$38, 0.0357, 0)</f>
        <v>36.843599999999995</v>
      </c>
      <c r="J537" s="26">
        <f>248.2604</f>
        <v>248.2604</v>
      </c>
    </row>
    <row r="538" spans="1:10" ht="15.75">
      <c r="A538" s="13">
        <v>57679</v>
      </c>
      <c r="B538" s="10">
        <f>40.1292 * CHOOSE(CONTROL!$C$15, $E$9, 100%, $G$9) + CHOOSE(CONTROL!$C$38, 0.0266, 0)</f>
        <v>40.155799999999999</v>
      </c>
      <c r="C538" s="10">
        <f>37.0013 * CHOOSE(CONTROL!$C$15, $E$9, 100%, $G$9) + CHOOSE(CONTROL!$C$38, 0.0357, 0)</f>
        <v>37.036999999999999</v>
      </c>
      <c r="D538" s="10">
        <f>36.9935 * CHOOSE(CONTROL!$C$15, $E$9, 100%, $G$9) + CHOOSE(CONTROL!$C$38, 0.0357, 0)</f>
        <v>37.029199999999996</v>
      </c>
      <c r="E538" s="28">
        <f>39.9729 * CHOOSE(CONTROL!$C$15, $E$9, 100%, $G$9) + CHOOSE(CONTROL!$C$38, 0.0357, 0)</f>
        <v>40.008600000000001</v>
      </c>
      <c r="F538" s="27">
        <f>39.9729 * CHOOSE(CONTROL!$C$15, $E$9, 100%, $G$9) + CHOOSE(CONTROL!$C$38, 0.0266, 0)</f>
        <v>39.999500000000005</v>
      </c>
      <c r="G538" s="10">
        <f>36.9998 * CHOOSE(CONTROL!$C$15, $E$9, 100%, $G$9) + CHOOSE(CONTROL!$C$38, 0.0357, 0)</f>
        <v>37.035499999999999</v>
      </c>
      <c r="H538" s="10">
        <f>36.9998 * CHOOSE(CONTROL!$C$15, $E$9, 100%, $G$9) + CHOOSE(CONTROL!$C$38, 0.0357, 0)</f>
        <v>37.035499999999999</v>
      </c>
      <c r="I538" s="10">
        <f>37.0013 * CHOOSE(CONTROL!$C$15, $E$9, 100%, $G$9) + CHOOSE(CONTROL!$C$38, 0.0357, 0)</f>
        <v>37.036999999999999</v>
      </c>
      <c r="J538" s="26">
        <f>246.4915</f>
        <v>246.4915</v>
      </c>
    </row>
    <row r="539" spans="1:10" ht="15.75">
      <c r="A539" s="13">
        <v>57710</v>
      </c>
      <c r="B539" s="10">
        <f>40.7252 * CHOOSE(CONTROL!$C$15, $E$9, 100%, $G$9) + CHOOSE(CONTROL!$C$38, 0.0266, 0)</f>
        <v>40.751800000000003</v>
      </c>
      <c r="C539" s="10">
        <f>37.5974 * CHOOSE(CONTROL!$C$15, $E$9, 100%, $G$9) + CHOOSE(CONTROL!$C$38, 0.0357, 0)</f>
        <v>37.633099999999999</v>
      </c>
      <c r="D539" s="10">
        <f>37.5896 * CHOOSE(CONTROL!$C$15, $E$9, 100%, $G$9) + CHOOSE(CONTROL!$C$38, 0.0357, 0)</f>
        <v>37.625299999999996</v>
      </c>
      <c r="E539" s="28">
        <f>40.569 * CHOOSE(CONTROL!$C$15, $E$9, 100%, $G$9) + CHOOSE(CONTROL!$C$38, 0.0357, 0)</f>
        <v>40.604700000000001</v>
      </c>
      <c r="F539" s="27">
        <f>40.569 * CHOOSE(CONTROL!$C$15, $E$9, 100%, $G$9) + CHOOSE(CONTROL!$C$38, 0.0266, 0)</f>
        <v>40.595600000000005</v>
      </c>
      <c r="G539" s="10">
        <f>37.5958 * CHOOSE(CONTROL!$C$15, $E$9, 100%, $G$9) + CHOOSE(CONTROL!$C$38, 0.0357, 0)</f>
        <v>37.631499999999996</v>
      </c>
      <c r="H539" s="10">
        <f>37.5958 * CHOOSE(CONTROL!$C$15, $E$9, 100%, $G$9) + CHOOSE(CONTROL!$C$38, 0.0357, 0)</f>
        <v>37.631499999999996</v>
      </c>
      <c r="I539" s="10">
        <f>37.5974 * CHOOSE(CONTROL!$C$15, $E$9, 100%, $G$9) + CHOOSE(CONTROL!$C$38, 0.0357, 0)</f>
        <v>37.633099999999999</v>
      </c>
      <c r="J539" s="26">
        <f>239.1769</f>
        <v>239.17689999999999</v>
      </c>
    </row>
    <row r="540" spans="1:10" ht="15.75">
      <c r="A540" s="13">
        <v>57741</v>
      </c>
      <c r="B540" s="10">
        <f>41.8947 * CHOOSE(CONTROL!$C$15, $E$9, 100%, $G$9) + CHOOSE(CONTROL!$C$38, 0.0266, 0)</f>
        <v>41.921300000000002</v>
      </c>
      <c r="C540" s="10">
        <f>38.7144 * CHOOSE(CONTROL!$C$15, $E$9, 100%, $G$9) + CHOOSE(CONTROL!$C$38, 0.0357, 0)</f>
        <v>38.750099999999996</v>
      </c>
      <c r="D540" s="10">
        <f>38.7066 * CHOOSE(CONTROL!$C$15, $E$9, 100%, $G$9) + CHOOSE(CONTROL!$C$38, 0.0357, 0)</f>
        <v>38.7423</v>
      </c>
      <c r="E540" s="28">
        <f>41.7385 * CHOOSE(CONTROL!$C$15, $E$9, 100%, $G$9) + CHOOSE(CONTROL!$C$38, 0.0357, 0)</f>
        <v>41.7742</v>
      </c>
      <c r="F540" s="27">
        <f>41.7385 * CHOOSE(CONTROL!$C$15, $E$9, 100%, $G$9) + CHOOSE(CONTROL!$C$38, 0.0266, 0)</f>
        <v>41.765100000000004</v>
      </c>
      <c r="G540" s="10">
        <f>38.7128 * CHOOSE(CONTROL!$C$15, $E$9, 100%, $G$9) + CHOOSE(CONTROL!$C$38, 0.0357, 0)</f>
        <v>38.7485</v>
      </c>
      <c r="H540" s="10">
        <f>38.7128 * CHOOSE(CONTROL!$C$15, $E$9, 100%, $G$9) + CHOOSE(CONTROL!$C$38, 0.0357, 0)</f>
        <v>38.7485</v>
      </c>
      <c r="I540" s="10">
        <f>38.7144 * CHOOSE(CONTROL!$C$15, $E$9, 100%, $G$9) + CHOOSE(CONTROL!$C$38, 0.0357, 0)</f>
        <v>38.750099999999996</v>
      </c>
      <c r="J540" s="26">
        <f>237.5747</f>
        <v>237.57470000000001</v>
      </c>
    </row>
    <row r="541" spans="1:10" ht="15.75">
      <c r="A541" s="13">
        <v>57769</v>
      </c>
      <c r="B541" s="10">
        <f>42.1155 * CHOOSE(CONTROL!$C$15, $E$9, 100%, $G$9) + CHOOSE(CONTROL!$C$38, 0.0266, 0)</f>
        <v>42.142099999999999</v>
      </c>
      <c r="C541" s="10">
        <f>38.9352 * CHOOSE(CONTROL!$C$15, $E$9, 100%, $G$9) + CHOOSE(CONTROL!$C$38, 0.0357, 0)</f>
        <v>38.9709</v>
      </c>
      <c r="D541" s="10">
        <f>38.9273 * CHOOSE(CONTROL!$C$15, $E$9, 100%, $G$9) + CHOOSE(CONTROL!$C$38, 0.0357, 0)</f>
        <v>38.963000000000001</v>
      </c>
      <c r="E541" s="28">
        <f>41.9593 * CHOOSE(CONTROL!$C$15, $E$9, 100%, $G$9) + CHOOSE(CONTROL!$C$38, 0.0357, 0)</f>
        <v>41.994999999999997</v>
      </c>
      <c r="F541" s="27">
        <f>41.9593 * CHOOSE(CONTROL!$C$15, $E$9, 100%, $G$9) + CHOOSE(CONTROL!$C$38, 0.0266, 0)</f>
        <v>41.985900000000001</v>
      </c>
      <c r="G541" s="10">
        <f>38.9336 * CHOOSE(CONTROL!$C$15, $E$9, 100%, $G$9) + CHOOSE(CONTROL!$C$38, 0.0357, 0)</f>
        <v>38.969299999999997</v>
      </c>
      <c r="H541" s="10">
        <f>38.9336 * CHOOSE(CONTROL!$C$15, $E$9, 100%, $G$9) + CHOOSE(CONTROL!$C$38, 0.0357, 0)</f>
        <v>38.969299999999997</v>
      </c>
      <c r="I541" s="10">
        <f>38.9352 * CHOOSE(CONTROL!$C$15, $E$9, 100%, $G$9) + CHOOSE(CONTROL!$C$38, 0.0357, 0)</f>
        <v>38.9709</v>
      </c>
      <c r="J541" s="26">
        <f>236.9144</f>
        <v>236.9144</v>
      </c>
    </row>
    <row r="542" spans="1:10" ht="15.75">
      <c r="A542" s="13">
        <v>57800</v>
      </c>
      <c r="B542" s="10">
        <f>41.6045 * CHOOSE(CONTROL!$C$15, $E$9, 100%, $G$9) + CHOOSE(CONTROL!$C$38, 0.0266, 0)</f>
        <v>41.631100000000004</v>
      </c>
      <c r="C542" s="10">
        <f>38.4241 * CHOOSE(CONTROL!$C$15, $E$9, 100%, $G$9) + CHOOSE(CONTROL!$C$38, 0.0357, 0)</f>
        <v>38.459800000000001</v>
      </c>
      <c r="D542" s="10">
        <f>38.4163 * CHOOSE(CONTROL!$C$15, $E$9, 100%, $G$9) + CHOOSE(CONTROL!$C$38, 0.0357, 0)</f>
        <v>38.451999999999998</v>
      </c>
      <c r="E542" s="28">
        <f>41.4482 * CHOOSE(CONTROL!$C$15, $E$9, 100%, $G$9) + CHOOSE(CONTROL!$C$38, 0.0357, 0)</f>
        <v>41.483899999999998</v>
      </c>
      <c r="F542" s="27">
        <f>41.4482 * CHOOSE(CONTROL!$C$15, $E$9, 100%, $G$9) + CHOOSE(CONTROL!$C$38, 0.0266, 0)</f>
        <v>41.474800000000002</v>
      </c>
      <c r="G542" s="10">
        <f>38.4226 * CHOOSE(CONTROL!$C$15, $E$9, 100%, $G$9) + CHOOSE(CONTROL!$C$38, 0.0357, 0)</f>
        <v>38.458300000000001</v>
      </c>
      <c r="H542" s="10">
        <f>38.4226 * CHOOSE(CONTROL!$C$15, $E$9, 100%, $G$9) + CHOOSE(CONTROL!$C$38, 0.0357, 0)</f>
        <v>38.458300000000001</v>
      </c>
      <c r="I542" s="10">
        <f>38.4241 * CHOOSE(CONTROL!$C$15, $E$9, 100%, $G$9) + CHOOSE(CONTROL!$C$38, 0.0357, 0)</f>
        <v>38.459800000000001</v>
      </c>
      <c r="J542" s="26">
        <f>249.4011</f>
        <v>249.40110000000001</v>
      </c>
    </row>
    <row r="543" spans="1:10" ht="15.75">
      <c r="A543" s="13">
        <v>57830</v>
      </c>
      <c r="B543" s="10">
        <f>41.1093 * CHOOSE(CONTROL!$C$15, $E$9, 100%, $G$9) + CHOOSE(CONTROL!$C$38, 0.0266, 0)</f>
        <v>41.135899999999999</v>
      </c>
      <c r="C543" s="10">
        <f>37.9289 * CHOOSE(CONTROL!$C$15, $E$9, 100%, $G$9) + CHOOSE(CONTROL!$C$38, 0.0357, 0)</f>
        <v>37.964599999999997</v>
      </c>
      <c r="D543" s="10">
        <f>37.9211 * CHOOSE(CONTROL!$C$15, $E$9, 100%, $G$9) + CHOOSE(CONTROL!$C$38, 0.0357, 0)</f>
        <v>37.956800000000001</v>
      </c>
      <c r="E543" s="28">
        <f>40.953 * CHOOSE(CONTROL!$C$15, $E$9, 100%, $G$9) + CHOOSE(CONTROL!$C$38, 0.0357, 0)</f>
        <v>40.988700000000001</v>
      </c>
      <c r="F543" s="27">
        <f>40.953 * CHOOSE(CONTROL!$C$15, $E$9, 100%, $G$9) + CHOOSE(CONTROL!$C$38, 0.0266, 0)</f>
        <v>40.979600000000005</v>
      </c>
      <c r="G543" s="10">
        <f>37.9274 * CHOOSE(CONTROL!$C$15, $E$9, 100%, $G$9) + CHOOSE(CONTROL!$C$38, 0.0357, 0)</f>
        <v>37.963099999999997</v>
      </c>
      <c r="H543" s="10">
        <f>37.9274 * CHOOSE(CONTROL!$C$15, $E$9, 100%, $G$9) + CHOOSE(CONTROL!$C$38, 0.0357, 0)</f>
        <v>37.963099999999997</v>
      </c>
      <c r="I543" s="10">
        <f>37.9289 * CHOOSE(CONTROL!$C$15, $E$9, 100%, $G$9) + CHOOSE(CONTROL!$C$38, 0.0357, 0)</f>
        <v>37.964599999999997</v>
      </c>
      <c r="J543" s="26">
        <f>265.5935</f>
        <v>265.59350000000001</v>
      </c>
    </row>
    <row r="544" spans="1:10" ht="15.75">
      <c r="A544" s="13">
        <v>57861</v>
      </c>
      <c r="B544" s="10">
        <f>40.5932 * CHOOSE(CONTROL!$C$15, $E$9, 100%, $G$9) + CHOOSE(CONTROL!$C$38, 0.0266, 0)</f>
        <v>40.619800000000005</v>
      </c>
      <c r="C544" s="10">
        <f>37.4128 * CHOOSE(CONTROL!$C$15, $E$9, 100%, $G$9) + CHOOSE(CONTROL!$C$38, 0.0357, 0)</f>
        <v>37.448499999999996</v>
      </c>
      <c r="D544" s="10">
        <f>37.405 * CHOOSE(CONTROL!$C$15, $E$9, 100%, $G$9) + CHOOSE(CONTROL!$C$38, 0.0357, 0)</f>
        <v>37.4407</v>
      </c>
      <c r="E544" s="28">
        <f>40.4369 * CHOOSE(CONTROL!$C$15, $E$9, 100%, $G$9) + CHOOSE(CONTROL!$C$38, 0.0357, 0)</f>
        <v>40.4726</v>
      </c>
      <c r="F544" s="27">
        <f>40.4369 * CHOOSE(CONTROL!$C$15, $E$9, 100%, $G$9) + CHOOSE(CONTROL!$C$38, 0.0266, 0)</f>
        <v>40.463500000000003</v>
      </c>
      <c r="G544" s="10">
        <f>37.4113 * CHOOSE(CONTROL!$C$15, $E$9, 100%, $G$9) + CHOOSE(CONTROL!$C$38, 0.0357, 0)</f>
        <v>37.446999999999996</v>
      </c>
      <c r="H544" s="10">
        <f>37.4113 * CHOOSE(CONTROL!$C$15, $E$9, 100%, $G$9) + CHOOSE(CONTROL!$C$38, 0.0357, 0)</f>
        <v>37.446999999999996</v>
      </c>
      <c r="I544" s="10">
        <f>37.4128 * CHOOSE(CONTROL!$C$15, $E$9, 100%, $G$9) + CHOOSE(CONTROL!$C$38, 0.0357, 0)</f>
        <v>37.448499999999996</v>
      </c>
      <c r="J544" s="26">
        <f>274.5063</f>
        <v>274.50630000000001</v>
      </c>
    </row>
    <row r="545" spans="1:10" ht="15.75">
      <c r="A545" s="13">
        <v>57891</v>
      </c>
      <c r="B545" s="10">
        <f>40.2313 * CHOOSE(CONTROL!$C$15, $E$9, 100%, $G$9) + CHOOSE(CONTROL!$C$38, 0.0266, 0)</f>
        <v>40.257899999999999</v>
      </c>
      <c r="C545" s="10">
        <f>37.051 * CHOOSE(CONTROL!$C$15, $E$9, 100%, $G$9) + CHOOSE(CONTROL!$C$38, 0.0357, 0)</f>
        <v>37.0867</v>
      </c>
      <c r="D545" s="10">
        <f>37.0432 * CHOOSE(CONTROL!$C$15, $E$9, 100%, $G$9) + CHOOSE(CONTROL!$C$38, 0.0357, 0)</f>
        <v>37.078899999999997</v>
      </c>
      <c r="E545" s="28">
        <f>40.0751 * CHOOSE(CONTROL!$C$15, $E$9, 100%, $G$9) + CHOOSE(CONTROL!$C$38, 0.0357, 0)</f>
        <v>40.110799999999998</v>
      </c>
      <c r="F545" s="27">
        <f>40.0751 * CHOOSE(CONTROL!$C$15, $E$9, 100%, $G$9) + CHOOSE(CONTROL!$C$38, 0.0266, 0)</f>
        <v>40.101700000000001</v>
      </c>
      <c r="G545" s="10">
        <f>37.0494 * CHOOSE(CONTROL!$C$15, $E$9, 100%, $G$9) + CHOOSE(CONTROL!$C$38, 0.0357, 0)</f>
        <v>37.085099999999997</v>
      </c>
      <c r="H545" s="10">
        <f>37.0494 * CHOOSE(CONTROL!$C$15, $E$9, 100%, $G$9) + CHOOSE(CONTROL!$C$38, 0.0357, 0)</f>
        <v>37.085099999999997</v>
      </c>
      <c r="I545" s="10">
        <f>37.051 * CHOOSE(CONTROL!$C$15, $E$9, 100%, $G$9) + CHOOSE(CONTROL!$C$38, 0.0357, 0)</f>
        <v>37.0867</v>
      </c>
      <c r="J545" s="26">
        <f>278.4616</f>
        <v>278.46159999999998</v>
      </c>
    </row>
    <row r="546" spans="1:10" ht="15.75">
      <c r="A546" s="13">
        <v>57922</v>
      </c>
      <c r="B546" s="10">
        <f>40.0249 * CHOOSE(CONTROL!$C$15, $E$9, 100%, $G$9) + CHOOSE(CONTROL!$C$38, 0.0266, 0)</f>
        <v>40.051500000000004</v>
      </c>
      <c r="C546" s="10">
        <f>36.8445 * CHOOSE(CONTROL!$C$15, $E$9, 100%, $G$9) + CHOOSE(CONTROL!$C$38, 0.0357, 0)</f>
        <v>36.880199999999995</v>
      </c>
      <c r="D546" s="10">
        <f>36.8367 * CHOOSE(CONTROL!$C$15, $E$9, 100%, $G$9) + CHOOSE(CONTROL!$C$38, 0.0357, 0)</f>
        <v>36.872399999999999</v>
      </c>
      <c r="E546" s="28">
        <f>39.8686 * CHOOSE(CONTROL!$C$15, $E$9, 100%, $G$9) + CHOOSE(CONTROL!$C$38, 0.0357, 0)</f>
        <v>39.904299999999999</v>
      </c>
      <c r="F546" s="27">
        <f>39.8686 * CHOOSE(CONTROL!$C$15, $E$9, 100%, $G$9) + CHOOSE(CONTROL!$C$38, 0.0266, 0)</f>
        <v>39.895200000000003</v>
      </c>
      <c r="G546" s="10">
        <f>36.843 * CHOOSE(CONTROL!$C$15, $E$9, 100%, $G$9) + CHOOSE(CONTROL!$C$38, 0.0357, 0)</f>
        <v>36.878700000000002</v>
      </c>
      <c r="H546" s="10">
        <f>36.843 * CHOOSE(CONTROL!$C$15, $E$9, 100%, $G$9) + CHOOSE(CONTROL!$C$38, 0.0357, 0)</f>
        <v>36.878700000000002</v>
      </c>
      <c r="I546" s="10">
        <f>36.8445 * CHOOSE(CONTROL!$C$15, $E$9, 100%, $G$9) + CHOOSE(CONTROL!$C$38, 0.0357, 0)</f>
        <v>36.880199999999995</v>
      </c>
      <c r="J546" s="26">
        <f>277.1593</f>
        <v>277.15929999999997</v>
      </c>
    </row>
    <row r="547" spans="1:10" ht="15.75">
      <c r="A547" s="13">
        <v>57953</v>
      </c>
      <c r="B547" s="10">
        <f>40.1268 * CHOOSE(CONTROL!$C$15, $E$9, 100%, $G$9) + CHOOSE(CONTROL!$C$38, 0.0266, 0)</f>
        <v>40.153400000000005</v>
      </c>
      <c r="C547" s="10">
        <f>36.9464 * CHOOSE(CONTROL!$C$15, $E$9, 100%, $G$9) + CHOOSE(CONTROL!$C$38, 0.0357, 0)</f>
        <v>36.982099999999996</v>
      </c>
      <c r="D547" s="10">
        <f>36.9386 * CHOOSE(CONTROL!$C$15, $E$9, 100%, $G$9) + CHOOSE(CONTROL!$C$38, 0.0357, 0)</f>
        <v>36.974299999999999</v>
      </c>
      <c r="E547" s="28">
        <f>39.9705 * CHOOSE(CONTROL!$C$15, $E$9, 100%, $G$9) + CHOOSE(CONTROL!$C$38, 0.0357, 0)</f>
        <v>40.0062</v>
      </c>
      <c r="F547" s="27">
        <f>39.9705 * CHOOSE(CONTROL!$C$15, $E$9, 100%, $G$9) + CHOOSE(CONTROL!$C$38, 0.0266, 0)</f>
        <v>39.997100000000003</v>
      </c>
      <c r="G547" s="10">
        <f>36.9449 * CHOOSE(CONTROL!$C$15, $E$9, 100%, $G$9) + CHOOSE(CONTROL!$C$38, 0.0357, 0)</f>
        <v>36.980599999999995</v>
      </c>
      <c r="H547" s="10">
        <f>36.9449 * CHOOSE(CONTROL!$C$15, $E$9, 100%, $G$9) + CHOOSE(CONTROL!$C$38, 0.0357, 0)</f>
        <v>36.980599999999995</v>
      </c>
      <c r="I547" s="10">
        <f>36.9464 * CHOOSE(CONTROL!$C$15, $E$9, 100%, $G$9) + CHOOSE(CONTROL!$C$38, 0.0357, 0)</f>
        <v>36.982099999999996</v>
      </c>
      <c r="J547" s="26">
        <f>270.7072</f>
        <v>270.7072</v>
      </c>
    </row>
    <row r="548" spans="1:10" ht="15.75">
      <c r="A548" s="13">
        <v>57983</v>
      </c>
      <c r="B548" s="10">
        <f>40.4036 * CHOOSE(CONTROL!$C$15, $E$9, 100%, $G$9) + CHOOSE(CONTROL!$C$38, 0.0266, 0)</f>
        <v>40.430199999999999</v>
      </c>
      <c r="C548" s="10">
        <f>37.2232 * CHOOSE(CONTROL!$C$15, $E$9, 100%, $G$9) + CHOOSE(CONTROL!$C$38, 0.0357, 0)</f>
        <v>37.258899999999997</v>
      </c>
      <c r="D548" s="10">
        <f>37.2154 * CHOOSE(CONTROL!$C$15, $E$9, 100%, $G$9) + CHOOSE(CONTROL!$C$38, 0.0357, 0)</f>
        <v>37.251100000000001</v>
      </c>
      <c r="E548" s="28">
        <f>40.2473 * CHOOSE(CONTROL!$C$15, $E$9, 100%, $G$9) + CHOOSE(CONTROL!$C$38, 0.0357, 0)</f>
        <v>40.283000000000001</v>
      </c>
      <c r="F548" s="27">
        <f>40.2473 * CHOOSE(CONTROL!$C$15, $E$9, 100%, $G$9) + CHOOSE(CONTROL!$C$38, 0.0266, 0)</f>
        <v>40.273900000000005</v>
      </c>
      <c r="G548" s="10">
        <f>37.2217 * CHOOSE(CONTROL!$C$15, $E$9, 100%, $G$9) + CHOOSE(CONTROL!$C$38, 0.0357, 0)</f>
        <v>37.257399999999997</v>
      </c>
      <c r="H548" s="10">
        <f>37.2217 * CHOOSE(CONTROL!$C$15, $E$9, 100%, $G$9) + CHOOSE(CONTROL!$C$38, 0.0357, 0)</f>
        <v>37.257399999999997</v>
      </c>
      <c r="I548" s="10">
        <f>37.2232 * CHOOSE(CONTROL!$C$15, $E$9, 100%, $G$9) + CHOOSE(CONTROL!$C$38, 0.0357, 0)</f>
        <v>37.258899999999997</v>
      </c>
      <c r="J548" s="26">
        <f>261.7093</f>
        <v>261.70929999999998</v>
      </c>
    </row>
    <row r="549" spans="1:10" ht="15.75">
      <c r="A549" s="13">
        <v>58014</v>
      </c>
      <c r="B549" s="10">
        <f>40.6354 * CHOOSE(CONTROL!$C$15, $E$9, 100%, $G$9) + CHOOSE(CONTROL!$C$38, 0.0266, 0)</f>
        <v>40.661999999999999</v>
      </c>
      <c r="C549" s="10">
        <f>37.455 * CHOOSE(CONTROL!$C$15, $E$9, 100%, $G$9) + CHOOSE(CONTROL!$C$38, 0.0357, 0)</f>
        <v>37.490699999999997</v>
      </c>
      <c r="D549" s="10">
        <f>37.4472 * CHOOSE(CONTROL!$C$15, $E$9, 100%, $G$9) + CHOOSE(CONTROL!$C$38, 0.0357, 0)</f>
        <v>37.482900000000001</v>
      </c>
      <c r="E549" s="28">
        <f>40.4791 * CHOOSE(CONTROL!$C$15, $E$9, 100%, $G$9) + CHOOSE(CONTROL!$C$38, 0.0357, 0)</f>
        <v>40.514800000000001</v>
      </c>
      <c r="F549" s="27">
        <f>40.4791 * CHOOSE(CONTROL!$C$15, $E$9, 100%, $G$9) + CHOOSE(CONTROL!$C$38, 0.0266, 0)</f>
        <v>40.505700000000004</v>
      </c>
      <c r="G549" s="10">
        <f>37.4535 * CHOOSE(CONTROL!$C$15, $E$9, 100%, $G$9) + CHOOSE(CONTROL!$C$38, 0.0357, 0)</f>
        <v>37.489199999999997</v>
      </c>
      <c r="H549" s="10">
        <f>37.4535 * CHOOSE(CONTROL!$C$15, $E$9, 100%, $G$9) + CHOOSE(CONTROL!$C$38, 0.0357, 0)</f>
        <v>37.489199999999997</v>
      </c>
      <c r="I549" s="10">
        <f>37.455 * CHOOSE(CONTROL!$C$15, $E$9, 100%, $G$9) + CHOOSE(CONTROL!$C$38, 0.0357, 0)</f>
        <v>37.490699999999997</v>
      </c>
      <c r="J549" s="26">
        <f>252.6591</f>
        <v>252.6591</v>
      </c>
    </row>
    <row r="550" spans="1:10" ht="15.75">
      <c r="A550" s="13">
        <v>58044</v>
      </c>
      <c r="B550" s="10">
        <f>40.8288 * CHOOSE(CONTROL!$C$15, $E$9, 100%, $G$9) + CHOOSE(CONTROL!$C$38, 0.0266, 0)</f>
        <v>40.855400000000003</v>
      </c>
      <c r="C550" s="10">
        <f>37.6485 * CHOOSE(CONTROL!$C$15, $E$9, 100%, $G$9) + CHOOSE(CONTROL!$C$38, 0.0357, 0)</f>
        <v>37.684199999999997</v>
      </c>
      <c r="D550" s="10">
        <f>37.6407 * CHOOSE(CONTROL!$C$15, $E$9, 100%, $G$9) + CHOOSE(CONTROL!$C$38, 0.0357, 0)</f>
        <v>37.676400000000001</v>
      </c>
      <c r="E550" s="28">
        <f>40.6726 * CHOOSE(CONTROL!$C$15, $E$9, 100%, $G$9) + CHOOSE(CONTROL!$C$38, 0.0357, 0)</f>
        <v>40.708300000000001</v>
      </c>
      <c r="F550" s="27">
        <f>40.6726 * CHOOSE(CONTROL!$C$15, $E$9, 100%, $G$9) + CHOOSE(CONTROL!$C$38, 0.0266, 0)</f>
        <v>40.699200000000005</v>
      </c>
      <c r="G550" s="10">
        <f>37.6469 * CHOOSE(CONTROL!$C$15, $E$9, 100%, $G$9) + CHOOSE(CONTROL!$C$38, 0.0357, 0)</f>
        <v>37.682600000000001</v>
      </c>
      <c r="H550" s="10">
        <f>37.6469 * CHOOSE(CONTROL!$C$15, $E$9, 100%, $G$9) + CHOOSE(CONTROL!$C$38, 0.0357, 0)</f>
        <v>37.682600000000001</v>
      </c>
      <c r="I550" s="10">
        <f>37.6485 * CHOOSE(CONTROL!$C$15, $E$9, 100%, $G$9) + CHOOSE(CONTROL!$C$38, 0.0357, 0)</f>
        <v>37.684199999999997</v>
      </c>
      <c r="J550" s="26">
        <f>250.8589</f>
        <v>250.85890000000001</v>
      </c>
    </row>
    <row r="551" spans="1:10" ht="15.75">
      <c r="A551" s="13">
        <v>58075</v>
      </c>
      <c r="B551" s="10">
        <f>41.4249 * CHOOSE(CONTROL!$C$15, $E$9, 100%, $G$9) + CHOOSE(CONTROL!$C$38, 0.0266, 0)</f>
        <v>41.451500000000003</v>
      </c>
      <c r="C551" s="10">
        <f>38.2446 * CHOOSE(CONTROL!$C$15, $E$9, 100%, $G$9) + CHOOSE(CONTROL!$C$38, 0.0357, 0)</f>
        <v>38.280299999999997</v>
      </c>
      <c r="D551" s="10">
        <f>38.2367 * CHOOSE(CONTROL!$C$15, $E$9, 100%, $G$9) + CHOOSE(CONTROL!$C$38, 0.0357, 0)</f>
        <v>38.272399999999998</v>
      </c>
      <c r="E551" s="28">
        <f>41.2686 * CHOOSE(CONTROL!$C$15, $E$9, 100%, $G$9) + CHOOSE(CONTROL!$C$38, 0.0357, 0)</f>
        <v>41.304299999999998</v>
      </c>
      <c r="F551" s="27">
        <f>41.2686 * CHOOSE(CONTROL!$C$15, $E$9, 100%, $G$9) + CHOOSE(CONTROL!$C$38, 0.0266, 0)</f>
        <v>41.295200000000001</v>
      </c>
      <c r="G551" s="10">
        <f>38.243 * CHOOSE(CONTROL!$C$15, $E$9, 100%, $G$9) + CHOOSE(CONTROL!$C$38, 0.0357, 0)</f>
        <v>38.278700000000001</v>
      </c>
      <c r="H551" s="10">
        <f>38.243 * CHOOSE(CONTROL!$C$15, $E$9, 100%, $G$9) + CHOOSE(CONTROL!$C$38, 0.0357, 0)</f>
        <v>38.278700000000001</v>
      </c>
      <c r="I551" s="10">
        <f>38.2446 * CHOOSE(CONTROL!$C$15, $E$9, 100%, $G$9) + CHOOSE(CONTROL!$C$38, 0.0357, 0)</f>
        <v>38.280299999999997</v>
      </c>
      <c r="J551" s="26">
        <f>243.4146</f>
        <v>243.41460000000001</v>
      </c>
    </row>
    <row r="552" spans="1:10" ht="15.75">
      <c r="A552" s="13">
        <v>58106</v>
      </c>
      <c r="B552" s="10">
        <f>42.6068 * CHOOSE(CONTROL!$C$15, $E$9, 100%, $G$9) + CHOOSE(CONTROL!$C$38, 0.0266, 0)</f>
        <v>42.633400000000002</v>
      </c>
      <c r="C552" s="10">
        <f>39.373 * CHOOSE(CONTROL!$C$15, $E$9, 100%, $G$9) + CHOOSE(CONTROL!$C$38, 0.0357, 0)</f>
        <v>39.408699999999996</v>
      </c>
      <c r="D552" s="10">
        <f>39.3652 * CHOOSE(CONTROL!$C$15, $E$9, 100%, $G$9) + CHOOSE(CONTROL!$C$38, 0.0357, 0)</f>
        <v>39.4009</v>
      </c>
      <c r="E552" s="28">
        <f>42.4505 * CHOOSE(CONTROL!$C$15, $E$9, 100%, $G$9) + CHOOSE(CONTROL!$C$38, 0.0357, 0)</f>
        <v>42.486199999999997</v>
      </c>
      <c r="F552" s="27">
        <f>42.4505 * CHOOSE(CONTROL!$C$15, $E$9, 100%, $G$9) + CHOOSE(CONTROL!$C$38, 0.0266, 0)</f>
        <v>42.4771</v>
      </c>
      <c r="G552" s="10">
        <f>39.3714 * CHOOSE(CONTROL!$C$15, $E$9, 100%, $G$9) + CHOOSE(CONTROL!$C$38, 0.0357, 0)</f>
        <v>39.4071</v>
      </c>
      <c r="H552" s="10">
        <f>39.3714 * CHOOSE(CONTROL!$C$15, $E$9, 100%, $G$9) + CHOOSE(CONTROL!$C$38, 0.0357, 0)</f>
        <v>39.4071</v>
      </c>
      <c r="I552" s="10">
        <f>39.373 * CHOOSE(CONTROL!$C$15, $E$9, 100%, $G$9) + CHOOSE(CONTROL!$C$38, 0.0357, 0)</f>
        <v>39.408699999999996</v>
      </c>
      <c r="J552" s="26">
        <f>241.7841</f>
        <v>241.7841</v>
      </c>
    </row>
    <row r="553" spans="1:10" ht="15.75">
      <c r="A553" s="13">
        <v>58134</v>
      </c>
      <c r="B553" s="10">
        <f>42.8275 * CHOOSE(CONTROL!$C$15, $E$9, 100%, $G$9) + CHOOSE(CONTROL!$C$38, 0.0266, 0)</f>
        <v>42.854100000000003</v>
      </c>
      <c r="C553" s="10">
        <f>39.5937 * CHOOSE(CONTROL!$C$15, $E$9, 100%, $G$9) + CHOOSE(CONTROL!$C$38, 0.0357, 0)</f>
        <v>39.629399999999997</v>
      </c>
      <c r="D553" s="10">
        <f>39.5859 * CHOOSE(CONTROL!$C$15, $E$9, 100%, $G$9) + CHOOSE(CONTROL!$C$38, 0.0357, 0)</f>
        <v>39.621600000000001</v>
      </c>
      <c r="E553" s="28">
        <f>42.6713 * CHOOSE(CONTROL!$C$15, $E$9, 100%, $G$9) + CHOOSE(CONTROL!$C$38, 0.0357, 0)</f>
        <v>42.707000000000001</v>
      </c>
      <c r="F553" s="27">
        <f>42.6713 * CHOOSE(CONTROL!$C$15, $E$9, 100%, $G$9) + CHOOSE(CONTROL!$C$38, 0.0266, 0)</f>
        <v>42.697900000000004</v>
      </c>
      <c r="G553" s="10">
        <f>39.5922 * CHOOSE(CONTROL!$C$15, $E$9, 100%, $G$9) + CHOOSE(CONTROL!$C$38, 0.0357, 0)</f>
        <v>39.627899999999997</v>
      </c>
      <c r="H553" s="10">
        <f>39.5922 * CHOOSE(CONTROL!$C$15, $E$9, 100%, $G$9) + CHOOSE(CONTROL!$C$38, 0.0357, 0)</f>
        <v>39.627899999999997</v>
      </c>
      <c r="I553" s="10">
        <f>39.5937 * CHOOSE(CONTROL!$C$15, $E$9, 100%, $G$9) + CHOOSE(CONTROL!$C$38, 0.0357, 0)</f>
        <v>39.629399999999997</v>
      </c>
      <c r="J553" s="26">
        <f>241.112</f>
        <v>241.11199999999999</v>
      </c>
    </row>
    <row r="554" spans="1:10" ht="15.75">
      <c r="A554" s="13">
        <v>58165</v>
      </c>
      <c r="B554" s="10">
        <f>42.3165 * CHOOSE(CONTROL!$C$15, $E$9, 100%, $G$9) + CHOOSE(CONTROL!$C$38, 0.0266, 0)</f>
        <v>42.3431</v>
      </c>
      <c r="C554" s="10">
        <f>39.0827 * CHOOSE(CONTROL!$C$15, $E$9, 100%, $G$9) + CHOOSE(CONTROL!$C$38, 0.0357, 0)</f>
        <v>39.118400000000001</v>
      </c>
      <c r="D554" s="10">
        <f>39.0749 * CHOOSE(CONTROL!$C$15, $E$9, 100%, $G$9) + CHOOSE(CONTROL!$C$38, 0.0357, 0)</f>
        <v>39.110599999999998</v>
      </c>
      <c r="E554" s="28">
        <f>42.1602 * CHOOSE(CONTROL!$C$15, $E$9, 100%, $G$9) + CHOOSE(CONTROL!$C$38, 0.0357, 0)</f>
        <v>42.195900000000002</v>
      </c>
      <c r="F554" s="27">
        <f>42.1602 * CHOOSE(CONTROL!$C$15, $E$9, 100%, $G$9) + CHOOSE(CONTROL!$C$38, 0.0266, 0)</f>
        <v>42.186800000000005</v>
      </c>
      <c r="G554" s="10">
        <f>39.0811 * CHOOSE(CONTROL!$C$15, $E$9, 100%, $G$9) + CHOOSE(CONTROL!$C$38, 0.0357, 0)</f>
        <v>39.116799999999998</v>
      </c>
      <c r="H554" s="10">
        <f>39.0811 * CHOOSE(CONTROL!$C$15, $E$9, 100%, $G$9) + CHOOSE(CONTROL!$C$38, 0.0357, 0)</f>
        <v>39.116799999999998</v>
      </c>
      <c r="I554" s="10">
        <f>39.0827 * CHOOSE(CONTROL!$C$15, $E$9, 100%, $G$9) + CHOOSE(CONTROL!$C$38, 0.0357, 0)</f>
        <v>39.118400000000001</v>
      </c>
      <c r="J554" s="26">
        <f>253.82</f>
        <v>253.82</v>
      </c>
    </row>
    <row r="555" spans="1:10" ht="15.75">
      <c r="A555" s="13">
        <v>58195</v>
      </c>
      <c r="B555" s="10">
        <f>41.8213 * CHOOSE(CONTROL!$C$15, $E$9, 100%, $G$9) + CHOOSE(CONTROL!$C$38, 0.0266, 0)</f>
        <v>41.847900000000003</v>
      </c>
      <c r="C555" s="10">
        <f>38.5875 * CHOOSE(CONTROL!$C$15, $E$9, 100%, $G$9) + CHOOSE(CONTROL!$C$38, 0.0357, 0)</f>
        <v>38.623199999999997</v>
      </c>
      <c r="D555" s="10">
        <f>38.5797 * CHOOSE(CONTROL!$C$15, $E$9, 100%, $G$9) + CHOOSE(CONTROL!$C$38, 0.0357, 0)</f>
        <v>38.615400000000001</v>
      </c>
      <c r="E555" s="28">
        <f>41.6651 * CHOOSE(CONTROL!$C$15, $E$9, 100%, $G$9) + CHOOSE(CONTROL!$C$38, 0.0357, 0)</f>
        <v>41.700800000000001</v>
      </c>
      <c r="F555" s="27">
        <f>41.6651 * CHOOSE(CONTROL!$C$15, $E$9, 100%, $G$9) + CHOOSE(CONTROL!$C$38, 0.0266, 0)</f>
        <v>41.691700000000004</v>
      </c>
      <c r="G555" s="10">
        <f>38.586 * CHOOSE(CONTROL!$C$15, $E$9, 100%, $G$9) + CHOOSE(CONTROL!$C$38, 0.0357, 0)</f>
        <v>38.621699999999997</v>
      </c>
      <c r="H555" s="10">
        <f>38.586 * CHOOSE(CONTROL!$C$15, $E$9, 100%, $G$9) + CHOOSE(CONTROL!$C$38, 0.0357, 0)</f>
        <v>38.621699999999997</v>
      </c>
      <c r="I555" s="10">
        <f>38.5875 * CHOOSE(CONTROL!$C$15, $E$9, 100%, $G$9) + CHOOSE(CONTROL!$C$38, 0.0357, 0)</f>
        <v>38.623199999999997</v>
      </c>
      <c r="J555" s="26">
        <f>270.2993</f>
        <v>270.29930000000002</v>
      </c>
    </row>
    <row r="556" spans="1:10" ht="15.75">
      <c r="A556" s="13">
        <v>58226</v>
      </c>
      <c r="B556" s="10">
        <f>41.3052 * CHOOSE(CONTROL!$C$15, $E$9, 100%, $G$9) + CHOOSE(CONTROL!$C$38, 0.0266, 0)</f>
        <v>41.331800000000001</v>
      </c>
      <c r="C556" s="10">
        <f>38.0714 * CHOOSE(CONTROL!$C$15, $E$9, 100%, $G$9) + CHOOSE(CONTROL!$C$38, 0.0357, 0)</f>
        <v>38.107099999999996</v>
      </c>
      <c r="D556" s="10">
        <f>38.0636 * CHOOSE(CONTROL!$C$15, $E$9, 100%, $G$9) + CHOOSE(CONTROL!$C$38, 0.0357, 0)</f>
        <v>38.099299999999999</v>
      </c>
      <c r="E556" s="28">
        <f>41.1489 * CHOOSE(CONTROL!$C$15, $E$9, 100%, $G$9) + CHOOSE(CONTROL!$C$38, 0.0357, 0)</f>
        <v>41.184599999999996</v>
      </c>
      <c r="F556" s="27">
        <f>41.1489 * CHOOSE(CONTROL!$C$15, $E$9, 100%, $G$9) + CHOOSE(CONTROL!$C$38, 0.0266, 0)</f>
        <v>41.1755</v>
      </c>
      <c r="G556" s="10">
        <f>38.0699 * CHOOSE(CONTROL!$C$15, $E$9, 100%, $G$9) + CHOOSE(CONTROL!$C$38, 0.0357, 0)</f>
        <v>38.105599999999995</v>
      </c>
      <c r="H556" s="10">
        <f>38.0699 * CHOOSE(CONTROL!$C$15, $E$9, 100%, $G$9) + CHOOSE(CONTROL!$C$38, 0.0357, 0)</f>
        <v>38.105599999999995</v>
      </c>
      <c r="I556" s="10">
        <f>38.0714 * CHOOSE(CONTROL!$C$15, $E$9, 100%, $G$9) + CHOOSE(CONTROL!$C$38, 0.0357, 0)</f>
        <v>38.107099999999996</v>
      </c>
      <c r="J556" s="26">
        <f>279.37</f>
        <v>279.37</v>
      </c>
    </row>
    <row r="557" spans="1:10" ht="15.75">
      <c r="A557" s="13">
        <v>58256</v>
      </c>
      <c r="B557" s="10">
        <f>40.9434 * CHOOSE(CONTROL!$C$15, $E$9, 100%, $G$9) + CHOOSE(CONTROL!$C$38, 0.0266, 0)</f>
        <v>40.97</v>
      </c>
      <c r="C557" s="10">
        <f>37.7096 * CHOOSE(CONTROL!$C$15, $E$9, 100%, $G$9) + CHOOSE(CONTROL!$C$38, 0.0357, 0)</f>
        <v>37.7453</v>
      </c>
      <c r="D557" s="10">
        <f>37.7018 * CHOOSE(CONTROL!$C$15, $E$9, 100%, $G$9) + CHOOSE(CONTROL!$C$38, 0.0357, 0)</f>
        <v>37.737499999999997</v>
      </c>
      <c r="E557" s="28">
        <f>40.7871 * CHOOSE(CONTROL!$C$15, $E$9, 100%, $G$9) + CHOOSE(CONTROL!$C$38, 0.0357, 0)</f>
        <v>40.822800000000001</v>
      </c>
      <c r="F557" s="27">
        <f>40.7871 * CHOOSE(CONTROL!$C$15, $E$9, 100%, $G$9) + CHOOSE(CONTROL!$C$38, 0.0266, 0)</f>
        <v>40.813700000000004</v>
      </c>
      <c r="G557" s="10">
        <f>37.708 * CHOOSE(CONTROL!$C$15, $E$9, 100%, $G$9) + CHOOSE(CONTROL!$C$38, 0.0357, 0)</f>
        <v>37.743699999999997</v>
      </c>
      <c r="H557" s="10">
        <f>37.708 * CHOOSE(CONTROL!$C$15, $E$9, 100%, $G$9) + CHOOSE(CONTROL!$C$38, 0.0357, 0)</f>
        <v>37.743699999999997</v>
      </c>
      <c r="I557" s="10">
        <f>37.7096 * CHOOSE(CONTROL!$C$15, $E$9, 100%, $G$9) + CHOOSE(CONTROL!$C$38, 0.0357, 0)</f>
        <v>37.7453</v>
      </c>
      <c r="J557" s="26">
        <f>283.3954</f>
        <v>283.3954</v>
      </c>
    </row>
    <row r="558" spans="1:10" ht="15.75">
      <c r="A558" s="13">
        <v>58287</v>
      </c>
      <c r="B558" s="10">
        <f>40.7369 * CHOOSE(CONTROL!$C$15, $E$9, 100%, $G$9) + CHOOSE(CONTROL!$C$38, 0.0266, 0)</f>
        <v>40.763500000000001</v>
      </c>
      <c r="C558" s="10">
        <f>37.5031 * CHOOSE(CONTROL!$C$15, $E$9, 100%, $G$9) + CHOOSE(CONTROL!$C$38, 0.0357, 0)</f>
        <v>37.538800000000002</v>
      </c>
      <c r="D558" s="10">
        <f>37.4953 * CHOOSE(CONTROL!$C$15, $E$9, 100%, $G$9) + CHOOSE(CONTROL!$C$38, 0.0357, 0)</f>
        <v>37.530999999999999</v>
      </c>
      <c r="E558" s="28">
        <f>40.5806 * CHOOSE(CONTROL!$C$15, $E$9, 100%, $G$9) + CHOOSE(CONTROL!$C$38, 0.0357, 0)</f>
        <v>40.616299999999995</v>
      </c>
      <c r="F558" s="27">
        <f>40.5806 * CHOOSE(CONTROL!$C$15, $E$9, 100%, $G$9) + CHOOSE(CONTROL!$C$38, 0.0266, 0)</f>
        <v>40.607199999999999</v>
      </c>
      <c r="G558" s="10">
        <f>37.5015 * CHOOSE(CONTROL!$C$15, $E$9, 100%, $G$9) + CHOOSE(CONTROL!$C$38, 0.0357, 0)</f>
        <v>37.537199999999999</v>
      </c>
      <c r="H558" s="10">
        <f>37.5015 * CHOOSE(CONTROL!$C$15, $E$9, 100%, $G$9) + CHOOSE(CONTROL!$C$38, 0.0357, 0)</f>
        <v>37.537199999999999</v>
      </c>
      <c r="I558" s="10">
        <f>37.5031 * CHOOSE(CONTROL!$C$15, $E$9, 100%, $G$9) + CHOOSE(CONTROL!$C$38, 0.0357, 0)</f>
        <v>37.538800000000002</v>
      </c>
      <c r="J558" s="26">
        <f>282.07</f>
        <v>282.07</v>
      </c>
    </row>
    <row r="559" spans="1:10" ht="15.75">
      <c r="A559" s="13">
        <v>58318</v>
      </c>
      <c r="B559" s="10">
        <f>40.8388 * CHOOSE(CONTROL!$C$15, $E$9, 100%, $G$9) + CHOOSE(CONTROL!$C$38, 0.0266, 0)</f>
        <v>40.865400000000001</v>
      </c>
      <c r="C559" s="10">
        <f>37.605 * CHOOSE(CONTROL!$C$15, $E$9, 100%, $G$9) + CHOOSE(CONTROL!$C$38, 0.0357, 0)</f>
        <v>37.640699999999995</v>
      </c>
      <c r="D559" s="10">
        <f>37.5972 * CHOOSE(CONTROL!$C$15, $E$9, 100%, $G$9) + CHOOSE(CONTROL!$C$38, 0.0357, 0)</f>
        <v>37.632899999999999</v>
      </c>
      <c r="E559" s="28">
        <f>40.6825 * CHOOSE(CONTROL!$C$15, $E$9, 100%, $G$9) + CHOOSE(CONTROL!$C$38, 0.0357, 0)</f>
        <v>40.718199999999996</v>
      </c>
      <c r="F559" s="27">
        <f>40.6825 * CHOOSE(CONTROL!$C$15, $E$9, 100%, $G$9) + CHOOSE(CONTROL!$C$38, 0.0266, 0)</f>
        <v>40.709099999999999</v>
      </c>
      <c r="G559" s="10">
        <f>37.6034 * CHOOSE(CONTROL!$C$15, $E$9, 100%, $G$9) + CHOOSE(CONTROL!$C$38, 0.0357, 0)</f>
        <v>37.639099999999999</v>
      </c>
      <c r="H559" s="10">
        <f>37.6034 * CHOOSE(CONTROL!$C$15, $E$9, 100%, $G$9) + CHOOSE(CONTROL!$C$38, 0.0357, 0)</f>
        <v>37.639099999999999</v>
      </c>
      <c r="I559" s="10">
        <f>37.605 * CHOOSE(CONTROL!$C$15, $E$9, 100%, $G$9) + CHOOSE(CONTROL!$C$38, 0.0357, 0)</f>
        <v>37.640699999999995</v>
      </c>
      <c r="J559" s="26">
        <f>275.5036</f>
        <v>275.50360000000001</v>
      </c>
    </row>
    <row r="560" spans="1:10" ht="15.75">
      <c r="A560" s="13">
        <v>58348</v>
      </c>
      <c r="B560" s="10">
        <f>41.1156 * CHOOSE(CONTROL!$C$15, $E$9, 100%, $G$9) + CHOOSE(CONTROL!$C$38, 0.0266, 0)</f>
        <v>41.142200000000003</v>
      </c>
      <c r="C560" s="10">
        <f>37.8818 * CHOOSE(CONTROL!$C$15, $E$9, 100%, $G$9) + CHOOSE(CONTROL!$C$38, 0.0357, 0)</f>
        <v>37.917499999999997</v>
      </c>
      <c r="D560" s="10">
        <f>37.874 * CHOOSE(CONTROL!$C$15, $E$9, 100%, $G$9) + CHOOSE(CONTROL!$C$38, 0.0357, 0)</f>
        <v>37.909700000000001</v>
      </c>
      <c r="E560" s="28">
        <f>40.9593 * CHOOSE(CONTROL!$C$15, $E$9, 100%, $G$9) + CHOOSE(CONTROL!$C$38, 0.0357, 0)</f>
        <v>40.994999999999997</v>
      </c>
      <c r="F560" s="27">
        <f>40.9593 * CHOOSE(CONTROL!$C$15, $E$9, 100%, $G$9) + CHOOSE(CONTROL!$C$38, 0.0266, 0)</f>
        <v>40.985900000000001</v>
      </c>
      <c r="G560" s="10">
        <f>37.8802 * CHOOSE(CONTROL!$C$15, $E$9, 100%, $G$9) + CHOOSE(CONTROL!$C$38, 0.0357, 0)</f>
        <v>37.915900000000001</v>
      </c>
      <c r="H560" s="10">
        <f>37.8802 * CHOOSE(CONTROL!$C$15, $E$9, 100%, $G$9) + CHOOSE(CONTROL!$C$38, 0.0357, 0)</f>
        <v>37.915900000000001</v>
      </c>
      <c r="I560" s="10">
        <f>37.8818 * CHOOSE(CONTROL!$C$15, $E$9, 100%, $G$9) + CHOOSE(CONTROL!$C$38, 0.0357, 0)</f>
        <v>37.917499999999997</v>
      </c>
      <c r="J560" s="26">
        <f>266.3463</f>
        <v>266.34629999999999</v>
      </c>
    </row>
    <row r="561" spans="1:10" ht="15.75">
      <c r="A561" s="13">
        <v>58379</v>
      </c>
      <c r="B561" s="10">
        <f>41.3474 * CHOOSE(CONTROL!$C$15, $E$9, 100%, $G$9) + CHOOSE(CONTROL!$C$38, 0.0266, 0)</f>
        <v>41.374000000000002</v>
      </c>
      <c r="C561" s="10">
        <f>38.1136 * CHOOSE(CONTROL!$C$15, $E$9, 100%, $G$9) + CHOOSE(CONTROL!$C$38, 0.0357, 0)</f>
        <v>38.149299999999997</v>
      </c>
      <c r="D561" s="10">
        <f>38.1058 * CHOOSE(CONTROL!$C$15, $E$9, 100%, $G$9) + CHOOSE(CONTROL!$C$38, 0.0357, 0)</f>
        <v>38.141500000000001</v>
      </c>
      <c r="E561" s="28">
        <f>41.1911 * CHOOSE(CONTROL!$C$15, $E$9, 100%, $G$9) + CHOOSE(CONTROL!$C$38, 0.0357, 0)</f>
        <v>41.226799999999997</v>
      </c>
      <c r="F561" s="27">
        <f>41.1911 * CHOOSE(CONTROL!$C$15, $E$9, 100%, $G$9) + CHOOSE(CONTROL!$C$38, 0.0266, 0)</f>
        <v>41.217700000000001</v>
      </c>
      <c r="G561" s="10">
        <f>38.1121 * CHOOSE(CONTROL!$C$15, $E$9, 100%, $G$9) + CHOOSE(CONTROL!$C$38, 0.0357, 0)</f>
        <v>38.147799999999997</v>
      </c>
      <c r="H561" s="10">
        <f>38.1121 * CHOOSE(CONTROL!$C$15, $E$9, 100%, $G$9) + CHOOSE(CONTROL!$C$38, 0.0357, 0)</f>
        <v>38.147799999999997</v>
      </c>
      <c r="I561" s="10">
        <f>38.1136 * CHOOSE(CONTROL!$C$15, $E$9, 100%, $G$9) + CHOOSE(CONTROL!$C$38, 0.0357, 0)</f>
        <v>38.149299999999997</v>
      </c>
      <c r="J561" s="26">
        <f>257.1358</f>
        <v>257.13580000000002</v>
      </c>
    </row>
    <row r="562" spans="1:10" ht="15.75">
      <c r="A562" s="13">
        <v>58409</v>
      </c>
      <c r="B562" s="10">
        <f>41.5408 * CHOOSE(CONTROL!$C$15, $E$9, 100%, $G$9) + CHOOSE(CONTROL!$C$38, 0.0266, 0)</f>
        <v>41.567399999999999</v>
      </c>
      <c r="C562" s="10">
        <f>38.3071 * CHOOSE(CONTROL!$C$15, $E$9, 100%, $G$9) + CHOOSE(CONTROL!$C$38, 0.0357, 0)</f>
        <v>38.342799999999997</v>
      </c>
      <c r="D562" s="10">
        <f>38.2993 * CHOOSE(CONTROL!$C$15, $E$9, 100%, $G$9) + CHOOSE(CONTROL!$C$38, 0.0357, 0)</f>
        <v>38.335000000000001</v>
      </c>
      <c r="E562" s="28">
        <f>41.3846 * CHOOSE(CONTROL!$C$15, $E$9, 100%, $G$9) + CHOOSE(CONTROL!$C$38, 0.0357, 0)</f>
        <v>41.420299999999997</v>
      </c>
      <c r="F562" s="27">
        <f>41.3846 * CHOOSE(CONTROL!$C$15, $E$9, 100%, $G$9) + CHOOSE(CONTROL!$C$38, 0.0266, 0)</f>
        <v>41.411200000000001</v>
      </c>
      <c r="G562" s="10">
        <f>38.3055 * CHOOSE(CONTROL!$C$15, $E$9, 100%, $G$9) + CHOOSE(CONTROL!$C$38, 0.0357, 0)</f>
        <v>38.341200000000001</v>
      </c>
      <c r="H562" s="10">
        <f>38.3055 * CHOOSE(CONTROL!$C$15, $E$9, 100%, $G$9) + CHOOSE(CONTROL!$C$38, 0.0357, 0)</f>
        <v>38.341200000000001</v>
      </c>
      <c r="I562" s="10">
        <f>38.3071 * CHOOSE(CONTROL!$C$15, $E$9, 100%, $G$9) + CHOOSE(CONTROL!$C$38, 0.0357, 0)</f>
        <v>38.342799999999997</v>
      </c>
      <c r="J562" s="26">
        <f>255.3036</f>
        <v>255.30359999999999</v>
      </c>
    </row>
    <row r="563" spans="1:10" ht="15.75">
      <c r="A563" s="13">
        <v>58440</v>
      </c>
      <c r="B563" s="10">
        <f>42.1369 * CHOOSE(CONTROL!$C$15, $E$9, 100%, $G$9) + CHOOSE(CONTROL!$C$38, 0.0266, 0)</f>
        <v>42.163499999999999</v>
      </c>
      <c r="C563" s="10">
        <f>38.9031 * CHOOSE(CONTROL!$C$15, $E$9, 100%, $G$9) + CHOOSE(CONTROL!$C$38, 0.0357, 0)</f>
        <v>38.938800000000001</v>
      </c>
      <c r="D563" s="10">
        <f>38.8953 * CHOOSE(CONTROL!$C$15, $E$9, 100%, $G$9) + CHOOSE(CONTROL!$C$38, 0.0357, 0)</f>
        <v>38.930999999999997</v>
      </c>
      <c r="E563" s="28">
        <f>41.9807 * CHOOSE(CONTROL!$C$15, $E$9, 100%, $G$9) + CHOOSE(CONTROL!$C$38, 0.0357, 0)</f>
        <v>42.016399999999997</v>
      </c>
      <c r="F563" s="27">
        <f>41.9807 * CHOOSE(CONTROL!$C$15, $E$9, 100%, $G$9) + CHOOSE(CONTROL!$C$38, 0.0266, 0)</f>
        <v>42.007300000000001</v>
      </c>
      <c r="G563" s="10">
        <f>38.9016 * CHOOSE(CONTROL!$C$15, $E$9, 100%, $G$9) + CHOOSE(CONTROL!$C$38, 0.0357, 0)</f>
        <v>38.9373</v>
      </c>
      <c r="H563" s="10">
        <f>38.9016 * CHOOSE(CONTROL!$C$15, $E$9, 100%, $G$9) + CHOOSE(CONTROL!$C$38, 0.0357, 0)</f>
        <v>38.9373</v>
      </c>
      <c r="I563" s="10">
        <f>38.9031 * CHOOSE(CONTROL!$C$15, $E$9, 100%, $G$9) + CHOOSE(CONTROL!$C$38, 0.0357, 0)</f>
        <v>38.938800000000001</v>
      </c>
      <c r="J563" s="26">
        <f>247.7275</f>
        <v>247.72749999999999</v>
      </c>
    </row>
    <row r="564" spans="1:10" ht="15.75">
      <c r="A564" s="13">
        <v>58471</v>
      </c>
      <c r="B564" s="10">
        <f>43.3313 * CHOOSE(CONTROL!$C$15, $E$9, 100%, $G$9) + CHOOSE(CONTROL!$C$38, 0.0266, 0)</f>
        <v>43.357900000000001</v>
      </c>
      <c r="C564" s="10">
        <f>40.0432 * CHOOSE(CONTROL!$C$15, $E$9, 100%, $G$9) + CHOOSE(CONTROL!$C$38, 0.0357, 0)</f>
        <v>40.078899999999997</v>
      </c>
      <c r="D564" s="10">
        <f>40.0354 * CHOOSE(CONTROL!$C$15, $E$9, 100%, $G$9) + CHOOSE(CONTROL!$C$38, 0.0357, 0)</f>
        <v>40.071100000000001</v>
      </c>
      <c r="E564" s="28">
        <f>43.1751 * CHOOSE(CONTROL!$C$15, $E$9, 100%, $G$9) + CHOOSE(CONTROL!$C$38, 0.0357, 0)</f>
        <v>43.210799999999999</v>
      </c>
      <c r="F564" s="27">
        <f>43.1751 * CHOOSE(CONTROL!$C$15, $E$9, 100%, $G$9) + CHOOSE(CONTROL!$C$38, 0.0266, 0)</f>
        <v>43.201700000000002</v>
      </c>
      <c r="G564" s="10">
        <f>40.0416 * CHOOSE(CONTROL!$C$15, $E$9, 100%, $G$9) + CHOOSE(CONTROL!$C$38, 0.0357, 0)</f>
        <v>40.077300000000001</v>
      </c>
      <c r="H564" s="10">
        <f>40.0416 * CHOOSE(CONTROL!$C$15, $E$9, 100%, $G$9) + CHOOSE(CONTROL!$C$38, 0.0357, 0)</f>
        <v>40.077300000000001</v>
      </c>
      <c r="I564" s="10">
        <f>40.0432 * CHOOSE(CONTROL!$C$15, $E$9, 100%, $G$9) + CHOOSE(CONTROL!$C$38, 0.0357, 0)</f>
        <v>40.078899999999997</v>
      </c>
      <c r="J564" s="26">
        <f>246.0681</f>
        <v>246.06809999999999</v>
      </c>
    </row>
    <row r="565" spans="1:10" ht="15.75">
      <c r="A565" s="13">
        <v>58499</v>
      </c>
      <c r="B565" s="10">
        <f>43.5521 * CHOOSE(CONTROL!$C$15, $E$9, 100%, $G$9) + CHOOSE(CONTROL!$C$38, 0.0266, 0)</f>
        <v>43.578700000000005</v>
      </c>
      <c r="C565" s="10">
        <f>40.264 * CHOOSE(CONTROL!$C$15, $E$9, 100%, $G$9) + CHOOSE(CONTROL!$C$38, 0.0357, 0)</f>
        <v>40.299700000000001</v>
      </c>
      <c r="D565" s="10">
        <f>40.2561 * CHOOSE(CONTROL!$C$15, $E$9, 100%, $G$9) + CHOOSE(CONTROL!$C$38, 0.0357, 0)</f>
        <v>40.291800000000002</v>
      </c>
      <c r="E565" s="28">
        <f>43.3959 * CHOOSE(CONTROL!$C$15, $E$9, 100%, $G$9) + CHOOSE(CONTROL!$C$38, 0.0357, 0)</f>
        <v>43.431599999999996</v>
      </c>
      <c r="F565" s="27">
        <f>43.3959 * CHOOSE(CONTROL!$C$15, $E$9, 100%, $G$9) + CHOOSE(CONTROL!$C$38, 0.0266, 0)</f>
        <v>43.422499999999999</v>
      </c>
      <c r="G565" s="10">
        <f>40.2624 * CHOOSE(CONTROL!$C$15, $E$9, 100%, $G$9) + CHOOSE(CONTROL!$C$38, 0.0357, 0)</f>
        <v>40.298099999999998</v>
      </c>
      <c r="H565" s="10">
        <f>40.2624 * CHOOSE(CONTROL!$C$15, $E$9, 100%, $G$9) + CHOOSE(CONTROL!$C$38, 0.0357, 0)</f>
        <v>40.298099999999998</v>
      </c>
      <c r="I565" s="10">
        <f>40.264 * CHOOSE(CONTROL!$C$15, $E$9, 100%, $G$9) + CHOOSE(CONTROL!$C$38, 0.0357, 0)</f>
        <v>40.299700000000001</v>
      </c>
      <c r="J565" s="26">
        <f>245.3841</f>
        <v>245.38409999999999</v>
      </c>
    </row>
    <row r="566" spans="1:10" ht="15.75">
      <c r="A566" s="13">
        <v>58531</v>
      </c>
      <c r="B566" s="10">
        <f>43.0411 * CHOOSE(CONTROL!$C$15, $E$9, 100%, $G$9) + CHOOSE(CONTROL!$C$38, 0.0266, 0)</f>
        <v>43.067700000000002</v>
      </c>
      <c r="C566" s="10">
        <f>39.7529 * CHOOSE(CONTROL!$C$15, $E$9, 100%, $G$9) + CHOOSE(CONTROL!$C$38, 0.0357, 0)</f>
        <v>39.788599999999995</v>
      </c>
      <c r="D566" s="10">
        <f>39.7451 * CHOOSE(CONTROL!$C$15, $E$9, 100%, $G$9) + CHOOSE(CONTROL!$C$38, 0.0357, 0)</f>
        <v>39.780799999999999</v>
      </c>
      <c r="E566" s="28">
        <f>42.8848 * CHOOSE(CONTROL!$C$15, $E$9, 100%, $G$9) + CHOOSE(CONTROL!$C$38, 0.0357, 0)</f>
        <v>42.920499999999997</v>
      </c>
      <c r="F566" s="27">
        <f>42.8848 * CHOOSE(CONTROL!$C$15, $E$9, 100%, $G$9) + CHOOSE(CONTROL!$C$38, 0.0266, 0)</f>
        <v>42.9114</v>
      </c>
      <c r="G566" s="10">
        <f>39.7514 * CHOOSE(CONTROL!$C$15, $E$9, 100%, $G$9) + CHOOSE(CONTROL!$C$38, 0.0357, 0)</f>
        <v>39.787099999999995</v>
      </c>
      <c r="H566" s="10">
        <f>39.7514 * CHOOSE(CONTROL!$C$15, $E$9, 100%, $G$9) + CHOOSE(CONTROL!$C$38, 0.0357, 0)</f>
        <v>39.787099999999995</v>
      </c>
      <c r="I566" s="10">
        <f>39.7529 * CHOOSE(CONTROL!$C$15, $E$9, 100%, $G$9) + CHOOSE(CONTROL!$C$38, 0.0357, 0)</f>
        <v>39.788599999999995</v>
      </c>
      <c r="J566" s="26">
        <f>258.3173</f>
        <v>258.31729999999999</v>
      </c>
    </row>
    <row r="567" spans="1:10" ht="15.75">
      <c r="A567" s="13">
        <v>58561</v>
      </c>
      <c r="B567" s="10">
        <f>42.5459 * CHOOSE(CONTROL!$C$15, $E$9, 100%, $G$9) + CHOOSE(CONTROL!$C$38, 0.0266, 0)</f>
        <v>42.572500000000005</v>
      </c>
      <c r="C567" s="10">
        <f>39.2577 * CHOOSE(CONTROL!$C$15, $E$9, 100%, $G$9) + CHOOSE(CONTROL!$C$38, 0.0357, 0)</f>
        <v>39.293399999999998</v>
      </c>
      <c r="D567" s="10">
        <f>39.2499 * CHOOSE(CONTROL!$C$15, $E$9, 100%, $G$9) + CHOOSE(CONTROL!$C$38, 0.0357, 0)</f>
        <v>39.285599999999995</v>
      </c>
      <c r="E567" s="28">
        <f>42.3896 * CHOOSE(CONTROL!$C$15, $E$9, 100%, $G$9) + CHOOSE(CONTROL!$C$38, 0.0357, 0)</f>
        <v>42.4253</v>
      </c>
      <c r="F567" s="27">
        <f>42.3896 * CHOOSE(CONTROL!$C$15, $E$9, 100%, $G$9) + CHOOSE(CONTROL!$C$38, 0.0266, 0)</f>
        <v>42.416200000000003</v>
      </c>
      <c r="G567" s="10">
        <f>39.2562 * CHOOSE(CONTROL!$C$15, $E$9, 100%, $G$9) + CHOOSE(CONTROL!$C$38, 0.0357, 0)</f>
        <v>39.291899999999998</v>
      </c>
      <c r="H567" s="10">
        <f>39.2562 * CHOOSE(CONTROL!$C$15, $E$9, 100%, $G$9) + CHOOSE(CONTROL!$C$38, 0.0357, 0)</f>
        <v>39.291899999999998</v>
      </c>
      <c r="I567" s="10">
        <f>39.2577 * CHOOSE(CONTROL!$C$15, $E$9, 100%, $G$9) + CHOOSE(CONTROL!$C$38, 0.0357, 0)</f>
        <v>39.293399999999998</v>
      </c>
      <c r="J567" s="26">
        <f>275.0885</f>
        <v>275.08850000000001</v>
      </c>
    </row>
    <row r="568" spans="1:10" ht="15.75">
      <c r="A568" s="13">
        <v>58592</v>
      </c>
      <c r="B568" s="10">
        <f>42.0298 * CHOOSE(CONTROL!$C$15, $E$9, 100%, $G$9) + CHOOSE(CONTROL!$C$38, 0.0266, 0)</f>
        <v>42.056400000000004</v>
      </c>
      <c r="C568" s="10">
        <f>38.7416 * CHOOSE(CONTROL!$C$15, $E$9, 100%, $G$9) + CHOOSE(CONTROL!$C$38, 0.0357, 0)</f>
        <v>38.777299999999997</v>
      </c>
      <c r="D568" s="10">
        <f>38.7338 * CHOOSE(CONTROL!$C$15, $E$9, 100%, $G$9) + CHOOSE(CONTROL!$C$38, 0.0357, 0)</f>
        <v>38.769500000000001</v>
      </c>
      <c r="E568" s="28">
        <f>41.8735 * CHOOSE(CONTROL!$C$15, $E$9, 100%, $G$9) + CHOOSE(CONTROL!$C$38, 0.0357, 0)</f>
        <v>41.909199999999998</v>
      </c>
      <c r="F568" s="27">
        <f>41.8735 * CHOOSE(CONTROL!$C$15, $E$9, 100%, $G$9) + CHOOSE(CONTROL!$C$38, 0.0266, 0)</f>
        <v>41.900100000000002</v>
      </c>
      <c r="G568" s="10">
        <f>38.7401 * CHOOSE(CONTROL!$C$15, $E$9, 100%, $G$9) + CHOOSE(CONTROL!$C$38, 0.0357, 0)</f>
        <v>38.775799999999997</v>
      </c>
      <c r="H568" s="10">
        <f>38.7401 * CHOOSE(CONTROL!$C$15, $E$9, 100%, $G$9) + CHOOSE(CONTROL!$C$38, 0.0357, 0)</f>
        <v>38.775799999999997</v>
      </c>
      <c r="I568" s="10">
        <f>38.7416 * CHOOSE(CONTROL!$C$15, $E$9, 100%, $G$9) + CHOOSE(CONTROL!$C$38, 0.0357, 0)</f>
        <v>38.777299999999997</v>
      </c>
      <c r="J568" s="26">
        <f>284.3199</f>
        <v>284.31990000000002</v>
      </c>
    </row>
    <row r="569" spans="1:10" ht="15.75">
      <c r="A569" s="13">
        <v>58622</v>
      </c>
      <c r="B569" s="10">
        <f>41.668 * CHOOSE(CONTROL!$C$15, $E$9, 100%, $G$9) + CHOOSE(CONTROL!$C$38, 0.0266, 0)</f>
        <v>41.694600000000001</v>
      </c>
      <c r="C569" s="10">
        <f>38.3798 * CHOOSE(CONTROL!$C$15, $E$9, 100%, $G$9) + CHOOSE(CONTROL!$C$38, 0.0357, 0)</f>
        <v>38.415500000000002</v>
      </c>
      <c r="D569" s="10">
        <f>38.372 * CHOOSE(CONTROL!$C$15, $E$9, 100%, $G$9) + CHOOSE(CONTROL!$C$38, 0.0357, 0)</f>
        <v>38.407699999999998</v>
      </c>
      <c r="E569" s="28">
        <f>41.5117 * CHOOSE(CONTROL!$C$15, $E$9, 100%, $G$9) + CHOOSE(CONTROL!$C$38, 0.0357, 0)</f>
        <v>41.547399999999996</v>
      </c>
      <c r="F569" s="27">
        <f>41.5117 * CHOOSE(CONTROL!$C$15, $E$9, 100%, $G$9) + CHOOSE(CONTROL!$C$38, 0.0266, 0)</f>
        <v>41.5383</v>
      </c>
      <c r="G569" s="10">
        <f>38.3782 * CHOOSE(CONTROL!$C$15, $E$9, 100%, $G$9) + CHOOSE(CONTROL!$C$38, 0.0357, 0)</f>
        <v>38.413899999999998</v>
      </c>
      <c r="H569" s="10">
        <f>38.3782 * CHOOSE(CONTROL!$C$15, $E$9, 100%, $G$9) + CHOOSE(CONTROL!$C$38, 0.0357, 0)</f>
        <v>38.413899999999998</v>
      </c>
      <c r="I569" s="10">
        <f>38.3798 * CHOOSE(CONTROL!$C$15, $E$9, 100%, $G$9) + CHOOSE(CONTROL!$C$38, 0.0357, 0)</f>
        <v>38.415500000000002</v>
      </c>
      <c r="J569" s="26">
        <f>288.4166</f>
        <v>288.41660000000002</v>
      </c>
    </row>
    <row r="570" spans="1:10" ht="15.75">
      <c r="A570" s="13">
        <v>58653</v>
      </c>
      <c r="B570" s="10">
        <f>41.4615 * CHOOSE(CONTROL!$C$15, $E$9, 100%, $G$9) + CHOOSE(CONTROL!$C$38, 0.0266, 0)</f>
        <v>41.488100000000003</v>
      </c>
      <c r="C570" s="10">
        <f>38.1733 * CHOOSE(CONTROL!$C$15, $E$9, 100%, $G$9) + CHOOSE(CONTROL!$C$38, 0.0357, 0)</f>
        <v>38.208999999999996</v>
      </c>
      <c r="D570" s="10">
        <f>38.1655 * CHOOSE(CONTROL!$C$15, $E$9, 100%, $G$9) + CHOOSE(CONTROL!$C$38, 0.0357, 0)</f>
        <v>38.2012</v>
      </c>
      <c r="E570" s="28">
        <f>41.3052 * CHOOSE(CONTROL!$C$15, $E$9, 100%, $G$9) + CHOOSE(CONTROL!$C$38, 0.0357, 0)</f>
        <v>41.340899999999998</v>
      </c>
      <c r="F570" s="27">
        <f>41.3052 * CHOOSE(CONTROL!$C$15, $E$9, 100%, $G$9) + CHOOSE(CONTROL!$C$38, 0.0266, 0)</f>
        <v>41.331800000000001</v>
      </c>
      <c r="G570" s="10">
        <f>38.1717 * CHOOSE(CONTROL!$C$15, $E$9, 100%, $G$9) + CHOOSE(CONTROL!$C$38, 0.0357, 0)</f>
        <v>38.2074</v>
      </c>
      <c r="H570" s="10">
        <f>38.1717 * CHOOSE(CONTROL!$C$15, $E$9, 100%, $G$9) + CHOOSE(CONTROL!$C$38, 0.0357, 0)</f>
        <v>38.2074</v>
      </c>
      <c r="I570" s="10">
        <f>38.1733 * CHOOSE(CONTROL!$C$15, $E$9, 100%, $G$9) + CHOOSE(CONTROL!$C$38, 0.0357, 0)</f>
        <v>38.208999999999996</v>
      </c>
      <c r="J570" s="26">
        <f>287.0678</f>
        <v>287.06779999999998</v>
      </c>
    </row>
    <row r="571" spans="1:10" ht="15.75">
      <c r="A571" s="13">
        <v>58684</v>
      </c>
      <c r="B571" s="10">
        <f>41.5634 * CHOOSE(CONTROL!$C$15, $E$9, 100%, $G$9) + CHOOSE(CONTROL!$C$38, 0.0266, 0)</f>
        <v>41.59</v>
      </c>
      <c r="C571" s="10">
        <f>38.2752 * CHOOSE(CONTROL!$C$15, $E$9, 100%, $G$9) + CHOOSE(CONTROL!$C$38, 0.0357, 0)</f>
        <v>38.310899999999997</v>
      </c>
      <c r="D571" s="10">
        <f>38.2674 * CHOOSE(CONTROL!$C$15, $E$9, 100%, $G$9) + CHOOSE(CONTROL!$C$38, 0.0357, 0)</f>
        <v>38.303100000000001</v>
      </c>
      <c r="E571" s="28">
        <f>41.4071 * CHOOSE(CONTROL!$C$15, $E$9, 100%, $G$9) + CHOOSE(CONTROL!$C$38, 0.0357, 0)</f>
        <v>41.442799999999998</v>
      </c>
      <c r="F571" s="27">
        <f>41.4071 * CHOOSE(CONTROL!$C$15, $E$9, 100%, $G$9) + CHOOSE(CONTROL!$C$38, 0.0266, 0)</f>
        <v>41.433700000000002</v>
      </c>
      <c r="G571" s="10">
        <f>38.2737 * CHOOSE(CONTROL!$C$15, $E$9, 100%, $G$9) + CHOOSE(CONTROL!$C$38, 0.0357, 0)</f>
        <v>38.309399999999997</v>
      </c>
      <c r="H571" s="10">
        <f>38.2737 * CHOOSE(CONTROL!$C$15, $E$9, 100%, $G$9) + CHOOSE(CONTROL!$C$38, 0.0357, 0)</f>
        <v>38.309399999999997</v>
      </c>
      <c r="I571" s="10">
        <f>38.2752 * CHOOSE(CONTROL!$C$15, $E$9, 100%, $G$9) + CHOOSE(CONTROL!$C$38, 0.0357, 0)</f>
        <v>38.310899999999997</v>
      </c>
      <c r="J571" s="26">
        <f>280.385</f>
        <v>280.38499999999999</v>
      </c>
    </row>
    <row r="572" spans="1:10" ht="15.75">
      <c r="A572" s="13">
        <v>58714</v>
      </c>
      <c r="B572" s="10">
        <f>41.8402 * CHOOSE(CONTROL!$C$15, $E$9, 100%, $G$9) + CHOOSE(CONTROL!$C$38, 0.0266, 0)</f>
        <v>41.866800000000005</v>
      </c>
      <c r="C572" s="10">
        <f>38.552 * CHOOSE(CONTROL!$C$15, $E$9, 100%, $G$9) + CHOOSE(CONTROL!$C$38, 0.0357, 0)</f>
        <v>38.587699999999998</v>
      </c>
      <c r="D572" s="10">
        <f>38.5442 * CHOOSE(CONTROL!$C$15, $E$9, 100%, $G$9) + CHOOSE(CONTROL!$C$38, 0.0357, 0)</f>
        <v>38.579899999999995</v>
      </c>
      <c r="E572" s="28">
        <f>41.6839 * CHOOSE(CONTROL!$C$15, $E$9, 100%, $G$9) + CHOOSE(CONTROL!$C$38, 0.0357, 0)</f>
        <v>41.7196</v>
      </c>
      <c r="F572" s="27">
        <f>41.6839 * CHOOSE(CONTROL!$C$15, $E$9, 100%, $G$9) + CHOOSE(CONTROL!$C$38, 0.0266, 0)</f>
        <v>41.710500000000003</v>
      </c>
      <c r="G572" s="10">
        <f>38.5505 * CHOOSE(CONTROL!$C$15, $E$9, 100%, $G$9) + CHOOSE(CONTROL!$C$38, 0.0357, 0)</f>
        <v>38.586199999999998</v>
      </c>
      <c r="H572" s="10">
        <f>38.5505 * CHOOSE(CONTROL!$C$15, $E$9, 100%, $G$9) + CHOOSE(CONTROL!$C$38, 0.0357, 0)</f>
        <v>38.586199999999998</v>
      </c>
      <c r="I572" s="10">
        <f>38.552 * CHOOSE(CONTROL!$C$15, $E$9, 100%, $G$9) + CHOOSE(CONTROL!$C$38, 0.0357, 0)</f>
        <v>38.587699999999998</v>
      </c>
      <c r="J572" s="26">
        <f>271.0655</f>
        <v>271.06549999999999</v>
      </c>
    </row>
    <row r="573" spans="1:10" ht="15.75">
      <c r="A573" s="13">
        <v>58745</v>
      </c>
      <c r="B573" s="10">
        <f>42.072 * CHOOSE(CONTROL!$C$15, $E$9, 100%, $G$9) + CHOOSE(CONTROL!$C$38, 0.0266, 0)</f>
        <v>42.098600000000005</v>
      </c>
      <c r="C573" s="10">
        <f>38.7838 * CHOOSE(CONTROL!$C$15, $E$9, 100%, $G$9) + CHOOSE(CONTROL!$C$38, 0.0357, 0)</f>
        <v>38.819499999999998</v>
      </c>
      <c r="D573" s="10">
        <f>38.776 * CHOOSE(CONTROL!$C$15, $E$9, 100%, $G$9) + CHOOSE(CONTROL!$C$38, 0.0357, 0)</f>
        <v>38.811700000000002</v>
      </c>
      <c r="E573" s="28">
        <f>41.9157 * CHOOSE(CONTROL!$C$15, $E$9, 100%, $G$9) + CHOOSE(CONTROL!$C$38, 0.0357, 0)</f>
        <v>41.9514</v>
      </c>
      <c r="F573" s="27">
        <f>41.9157 * CHOOSE(CONTROL!$C$15, $E$9, 100%, $G$9) + CHOOSE(CONTROL!$C$38, 0.0266, 0)</f>
        <v>41.942300000000003</v>
      </c>
      <c r="G573" s="10">
        <f>38.7823 * CHOOSE(CONTROL!$C$15, $E$9, 100%, $G$9) + CHOOSE(CONTROL!$C$38, 0.0357, 0)</f>
        <v>38.817999999999998</v>
      </c>
      <c r="H573" s="10">
        <f>38.7823 * CHOOSE(CONTROL!$C$15, $E$9, 100%, $G$9) + CHOOSE(CONTROL!$C$38, 0.0357, 0)</f>
        <v>38.817999999999998</v>
      </c>
      <c r="I573" s="10">
        <f>38.7838 * CHOOSE(CONTROL!$C$15, $E$9, 100%, $G$9) + CHOOSE(CONTROL!$C$38, 0.0357, 0)</f>
        <v>38.819499999999998</v>
      </c>
      <c r="J573" s="26">
        <f>261.6917</f>
        <v>261.69170000000003</v>
      </c>
    </row>
    <row r="574" spans="1:10" ht="15.75">
      <c r="A574" s="13">
        <v>58775</v>
      </c>
      <c r="B574" s="10">
        <f>42.2654 * CHOOSE(CONTROL!$C$15, $E$9, 100%, $G$9) + CHOOSE(CONTROL!$C$38, 0.0266, 0)</f>
        <v>42.292000000000002</v>
      </c>
      <c r="C574" s="10">
        <f>38.9773 * CHOOSE(CONTROL!$C$15, $E$9, 100%, $G$9) + CHOOSE(CONTROL!$C$38, 0.0357, 0)</f>
        <v>39.012999999999998</v>
      </c>
      <c r="D574" s="10">
        <f>38.9695 * CHOOSE(CONTROL!$C$15, $E$9, 100%, $G$9) + CHOOSE(CONTROL!$C$38, 0.0357, 0)</f>
        <v>39.005199999999995</v>
      </c>
      <c r="E574" s="28">
        <f>42.1092 * CHOOSE(CONTROL!$C$15, $E$9, 100%, $G$9) + CHOOSE(CONTROL!$C$38, 0.0357, 0)</f>
        <v>42.1449</v>
      </c>
      <c r="F574" s="27">
        <f>42.1092 * CHOOSE(CONTROL!$C$15, $E$9, 100%, $G$9) + CHOOSE(CONTROL!$C$38, 0.0266, 0)</f>
        <v>42.135800000000003</v>
      </c>
      <c r="G574" s="10">
        <f>38.9757 * CHOOSE(CONTROL!$C$15, $E$9, 100%, $G$9) + CHOOSE(CONTROL!$C$38, 0.0357, 0)</f>
        <v>39.011400000000002</v>
      </c>
      <c r="H574" s="10">
        <f>38.9757 * CHOOSE(CONTROL!$C$15, $E$9, 100%, $G$9) + CHOOSE(CONTROL!$C$38, 0.0357, 0)</f>
        <v>39.011400000000002</v>
      </c>
      <c r="I574" s="10">
        <f>38.9773 * CHOOSE(CONTROL!$C$15, $E$9, 100%, $G$9) + CHOOSE(CONTROL!$C$38, 0.0357, 0)</f>
        <v>39.012999999999998</v>
      </c>
      <c r="J574" s="26">
        <f>259.8271</f>
        <v>259.82709999999997</v>
      </c>
    </row>
    <row r="575" spans="1:10" ht="15.75">
      <c r="A575" s="13">
        <v>58806</v>
      </c>
      <c r="B575" s="10">
        <f>42.8615 * CHOOSE(CONTROL!$C$15, $E$9, 100%, $G$9) + CHOOSE(CONTROL!$C$38, 0.0266, 0)</f>
        <v>42.888100000000001</v>
      </c>
      <c r="C575" s="10">
        <f>39.5734 * CHOOSE(CONTROL!$C$15, $E$9, 100%, $G$9) + CHOOSE(CONTROL!$C$38, 0.0357, 0)</f>
        <v>39.609099999999998</v>
      </c>
      <c r="D575" s="10">
        <f>39.5655 * CHOOSE(CONTROL!$C$15, $E$9, 100%, $G$9) + CHOOSE(CONTROL!$C$38, 0.0357, 0)</f>
        <v>39.601199999999999</v>
      </c>
      <c r="E575" s="28">
        <f>42.7053 * CHOOSE(CONTROL!$C$15, $E$9, 100%, $G$9) + CHOOSE(CONTROL!$C$38, 0.0357, 0)</f>
        <v>42.741</v>
      </c>
      <c r="F575" s="27">
        <f>42.7053 * CHOOSE(CONTROL!$C$15, $E$9, 100%, $G$9) + CHOOSE(CONTROL!$C$38, 0.0266, 0)</f>
        <v>42.731900000000003</v>
      </c>
      <c r="G575" s="10">
        <f>39.5718 * CHOOSE(CONTROL!$C$15, $E$9, 100%, $G$9) + CHOOSE(CONTROL!$C$38, 0.0357, 0)</f>
        <v>39.607500000000002</v>
      </c>
      <c r="H575" s="10">
        <f>39.5718 * CHOOSE(CONTROL!$C$15, $E$9, 100%, $G$9) + CHOOSE(CONTROL!$C$38, 0.0357, 0)</f>
        <v>39.607500000000002</v>
      </c>
      <c r="I575" s="10">
        <f>39.5734 * CHOOSE(CONTROL!$C$15, $E$9, 100%, $G$9) + CHOOSE(CONTROL!$C$38, 0.0357, 0)</f>
        <v>39.609099999999998</v>
      </c>
      <c r="J575" s="26">
        <f>252.1167</f>
        <v>252.11670000000001</v>
      </c>
    </row>
    <row r="576" spans="1:10" ht="15.75">
      <c r="A576" s="13">
        <v>58837</v>
      </c>
      <c r="B576" s="10">
        <f>44.0687 * CHOOSE(CONTROL!$C$15, $E$9, 100%, $G$9) + CHOOSE(CONTROL!$C$38, 0.0266, 0)</f>
        <v>44.095300000000002</v>
      </c>
      <c r="C576" s="10">
        <f>40.7253 * CHOOSE(CONTROL!$C$15, $E$9, 100%, $G$9) + CHOOSE(CONTROL!$C$38, 0.0357, 0)</f>
        <v>40.760999999999996</v>
      </c>
      <c r="D576" s="10">
        <f>40.7174 * CHOOSE(CONTROL!$C$15, $E$9, 100%, $G$9) + CHOOSE(CONTROL!$C$38, 0.0357, 0)</f>
        <v>40.753099999999996</v>
      </c>
      <c r="E576" s="28">
        <f>43.9125 * CHOOSE(CONTROL!$C$15, $E$9, 100%, $G$9) + CHOOSE(CONTROL!$C$38, 0.0357, 0)</f>
        <v>43.9482</v>
      </c>
      <c r="F576" s="27">
        <f>43.9125 * CHOOSE(CONTROL!$C$15, $E$9, 100%, $G$9) + CHOOSE(CONTROL!$C$38, 0.0266, 0)</f>
        <v>43.939100000000003</v>
      </c>
      <c r="G576" s="10">
        <f>40.7237 * CHOOSE(CONTROL!$C$15, $E$9, 100%, $G$9) + CHOOSE(CONTROL!$C$38, 0.0357, 0)</f>
        <v>40.759399999999999</v>
      </c>
      <c r="H576" s="10">
        <f>40.7237 * CHOOSE(CONTROL!$C$15, $E$9, 100%, $G$9) + CHOOSE(CONTROL!$C$38, 0.0357, 0)</f>
        <v>40.759399999999999</v>
      </c>
      <c r="I576" s="10">
        <f>40.7253 * CHOOSE(CONTROL!$C$15, $E$9, 100%, $G$9) + CHOOSE(CONTROL!$C$38, 0.0357, 0)</f>
        <v>40.760999999999996</v>
      </c>
      <c r="J576" s="26">
        <f>250.4279</f>
        <v>250.42789999999999</v>
      </c>
    </row>
    <row r="577" spans="1:10" ht="15.75">
      <c r="A577" s="13">
        <v>58865</v>
      </c>
      <c r="B577" s="10">
        <f>44.2895 * CHOOSE(CONTROL!$C$15, $E$9, 100%, $G$9) + CHOOSE(CONTROL!$C$38, 0.0266, 0)</f>
        <v>44.316099999999999</v>
      </c>
      <c r="C577" s="10">
        <f>40.946 * CHOOSE(CONTROL!$C$15, $E$9, 100%, $G$9) + CHOOSE(CONTROL!$C$38, 0.0357, 0)</f>
        <v>40.981699999999996</v>
      </c>
      <c r="D577" s="10">
        <f>40.9382 * CHOOSE(CONTROL!$C$15, $E$9, 100%, $G$9) + CHOOSE(CONTROL!$C$38, 0.0357, 0)</f>
        <v>40.9739</v>
      </c>
      <c r="E577" s="28">
        <f>44.1333 * CHOOSE(CONTROL!$C$15, $E$9, 100%, $G$9) + CHOOSE(CONTROL!$C$38, 0.0357, 0)</f>
        <v>44.168999999999997</v>
      </c>
      <c r="F577" s="27">
        <f>44.1333 * CHOOSE(CONTROL!$C$15, $E$9, 100%, $G$9) + CHOOSE(CONTROL!$C$38, 0.0266, 0)</f>
        <v>44.1599</v>
      </c>
      <c r="G577" s="10">
        <f>40.9445 * CHOOSE(CONTROL!$C$15, $E$9, 100%, $G$9) + CHOOSE(CONTROL!$C$38, 0.0357, 0)</f>
        <v>40.980199999999996</v>
      </c>
      <c r="H577" s="10">
        <f>40.9445 * CHOOSE(CONTROL!$C$15, $E$9, 100%, $G$9) + CHOOSE(CONTROL!$C$38, 0.0357, 0)</f>
        <v>40.980199999999996</v>
      </c>
      <c r="I577" s="10">
        <f>40.946 * CHOOSE(CONTROL!$C$15, $E$9, 100%, $G$9) + CHOOSE(CONTROL!$C$38, 0.0357, 0)</f>
        <v>40.981699999999996</v>
      </c>
      <c r="J577" s="26">
        <f>249.7318</f>
        <v>249.73179999999999</v>
      </c>
    </row>
    <row r="578" spans="1:10" ht="15.75">
      <c r="A578" s="13">
        <v>58893</v>
      </c>
      <c r="B578" s="10">
        <f>43.7785 * CHOOSE(CONTROL!$C$15, $E$9, 100%, $G$9) + CHOOSE(CONTROL!$C$38, 0.0266, 0)</f>
        <v>43.805100000000003</v>
      </c>
      <c r="C578" s="10">
        <f>40.435 * CHOOSE(CONTROL!$C$15, $E$9, 100%, $G$9) + CHOOSE(CONTROL!$C$38, 0.0357, 0)</f>
        <v>40.470700000000001</v>
      </c>
      <c r="D578" s="10">
        <f>40.4272 * CHOOSE(CONTROL!$C$15, $E$9, 100%, $G$9) + CHOOSE(CONTROL!$C$38, 0.0357, 0)</f>
        <v>40.462899999999998</v>
      </c>
      <c r="E578" s="28">
        <f>43.6222 * CHOOSE(CONTROL!$C$15, $E$9, 100%, $G$9) + CHOOSE(CONTROL!$C$38, 0.0357, 0)</f>
        <v>43.657899999999998</v>
      </c>
      <c r="F578" s="27">
        <f>43.6222 * CHOOSE(CONTROL!$C$15, $E$9, 100%, $G$9) + CHOOSE(CONTROL!$C$38, 0.0266, 0)</f>
        <v>43.648800000000001</v>
      </c>
      <c r="G578" s="10">
        <f>40.4334 * CHOOSE(CONTROL!$C$15, $E$9, 100%, $G$9) + CHOOSE(CONTROL!$C$38, 0.0357, 0)</f>
        <v>40.469099999999997</v>
      </c>
      <c r="H578" s="10">
        <f>40.4334 * CHOOSE(CONTROL!$C$15, $E$9, 100%, $G$9) + CHOOSE(CONTROL!$C$38, 0.0357, 0)</f>
        <v>40.469099999999997</v>
      </c>
      <c r="I578" s="10">
        <f>40.435 * CHOOSE(CONTROL!$C$15, $E$9, 100%, $G$9) + CHOOSE(CONTROL!$C$38, 0.0357, 0)</f>
        <v>40.470700000000001</v>
      </c>
      <c r="J578" s="26">
        <f>262.8941</f>
        <v>262.89409999999998</v>
      </c>
    </row>
    <row r="579" spans="1:10" ht="15.75">
      <c r="A579" s="13">
        <v>58926</v>
      </c>
      <c r="B579" s="10">
        <f>43.2833 * CHOOSE(CONTROL!$C$15, $E$9, 100%, $G$9) + CHOOSE(CONTROL!$C$38, 0.0266, 0)</f>
        <v>43.309899999999999</v>
      </c>
      <c r="C579" s="10">
        <f>39.9398 * CHOOSE(CONTROL!$C$15, $E$9, 100%, $G$9) + CHOOSE(CONTROL!$C$38, 0.0357, 0)</f>
        <v>39.975499999999997</v>
      </c>
      <c r="D579" s="10">
        <f>39.932 * CHOOSE(CONTROL!$C$15, $E$9, 100%, $G$9) + CHOOSE(CONTROL!$C$38, 0.0357, 0)</f>
        <v>39.967700000000001</v>
      </c>
      <c r="E579" s="28">
        <f>43.127 * CHOOSE(CONTROL!$C$15, $E$9, 100%, $G$9) + CHOOSE(CONTROL!$C$38, 0.0357, 0)</f>
        <v>43.162700000000001</v>
      </c>
      <c r="F579" s="27">
        <f>43.127 * CHOOSE(CONTROL!$C$15, $E$9, 100%, $G$9) + CHOOSE(CONTROL!$C$38, 0.0266, 0)</f>
        <v>43.153600000000004</v>
      </c>
      <c r="G579" s="10">
        <f>39.9382 * CHOOSE(CONTROL!$C$15, $E$9, 100%, $G$9) + CHOOSE(CONTROL!$C$38, 0.0357, 0)</f>
        <v>39.9739</v>
      </c>
      <c r="H579" s="10">
        <f>39.9382 * CHOOSE(CONTROL!$C$15, $E$9, 100%, $G$9) + CHOOSE(CONTROL!$C$38, 0.0357, 0)</f>
        <v>39.9739</v>
      </c>
      <c r="I579" s="10">
        <f>39.9398 * CHOOSE(CONTROL!$C$15, $E$9, 100%, $G$9) + CHOOSE(CONTROL!$C$38, 0.0357, 0)</f>
        <v>39.975499999999997</v>
      </c>
      <c r="J579" s="26">
        <f>279.9625</f>
        <v>279.96249999999998</v>
      </c>
    </row>
    <row r="580" spans="1:10" ht="15.75">
      <c r="A580" s="13">
        <v>58957</v>
      </c>
      <c r="B580" s="10">
        <f>42.7672 * CHOOSE(CONTROL!$C$15, $E$9, 100%, $G$9) + CHOOSE(CONTROL!$C$38, 0.0266, 0)</f>
        <v>42.793800000000005</v>
      </c>
      <c r="C580" s="10">
        <f>39.4237 * CHOOSE(CONTROL!$C$15, $E$9, 100%, $G$9) + CHOOSE(CONTROL!$C$38, 0.0357, 0)</f>
        <v>39.459399999999995</v>
      </c>
      <c r="D580" s="10">
        <f>39.4159 * CHOOSE(CONTROL!$C$15, $E$9, 100%, $G$9) + CHOOSE(CONTROL!$C$38, 0.0357, 0)</f>
        <v>39.451599999999999</v>
      </c>
      <c r="E580" s="28">
        <f>42.6109 * CHOOSE(CONTROL!$C$15, $E$9, 100%, $G$9) + CHOOSE(CONTROL!$C$38, 0.0357, 0)</f>
        <v>42.646599999999999</v>
      </c>
      <c r="F580" s="27">
        <f>42.6109 * CHOOSE(CONTROL!$C$15, $E$9, 100%, $G$9) + CHOOSE(CONTROL!$C$38, 0.0266, 0)</f>
        <v>42.637500000000003</v>
      </c>
      <c r="G580" s="10">
        <f>39.4221 * CHOOSE(CONTROL!$C$15, $E$9, 100%, $G$9) + CHOOSE(CONTROL!$C$38, 0.0357, 0)</f>
        <v>39.457799999999999</v>
      </c>
      <c r="H580" s="10">
        <f>39.4221 * CHOOSE(CONTROL!$C$15, $E$9, 100%, $G$9) + CHOOSE(CONTROL!$C$38, 0.0357, 0)</f>
        <v>39.457799999999999</v>
      </c>
      <c r="I580" s="10">
        <f>39.4237 * CHOOSE(CONTROL!$C$15, $E$9, 100%, $G$9) + CHOOSE(CONTROL!$C$38, 0.0357, 0)</f>
        <v>39.459399999999995</v>
      </c>
      <c r="J580" s="26">
        <f>289.3575</f>
        <v>289.35750000000002</v>
      </c>
    </row>
    <row r="581" spans="1:10" ht="15.75">
      <c r="A581" s="13">
        <v>58987</v>
      </c>
      <c r="B581" s="10">
        <f>42.4053 * CHOOSE(CONTROL!$C$15, $E$9, 100%, $G$9) + CHOOSE(CONTROL!$C$38, 0.0266, 0)</f>
        <v>42.431899999999999</v>
      </c>
      <c r="C581" s="10">
        <f>39.0619 * CHOOSE(CONTROL!$C$15, $E$9, 100%, $G$9) + CHOOSE(CONTROL!$C$38, 0.0357, 0)</f>
        <v>39.0976</v>
      </c>
      <c r="D581" s="10">
        <f>39.054 * CHOOSE(CONTROL!$C$15, $E$9, 100%, $G$9) + CHOOSE(CONTROL!$C$38, 0.0357, 0)</f>
        <v>39.089700000000001</v>
      </c>
      <c r="E581" s="28">
        <f>42.2491 * CHOOSE(CONTROL!$C$15, $E$9, 100%, $G$9) + CHOOSE(CONTROL!$C$38, 0.0357, 0)</f>
        <v>42.284799999999997</v>
      </c>
      <c r="F581" s="27">
        <f>42.2491 * CHOOSE(CONTROL!$C$15, $E$9, 100%, $G$9) + CHOOSE(CONTROL!$C$38, 0.0266, 0)</f>
        <v>42.275700000000001</v>
      </c>
      <c r="G581" s="10">
        <f>39.0603 * CHOOSE(CONTROL!$C$15, $E$9, 100%, $G$9) + CHOOSE(CONTROL!$C$38, 0.0357, 0)</f>
        <v>39.095999999999997</v>
      </c>
      <c r="H581" s="10">
        <f>39.0603 * CHOOSE(CONTROL!$C$15, $E$9, 100%, $G$9) + CHOOSE(CONTROL!$C$38, 0.0357, 0)</f>
        <v>39.095999999999997</v>
      </c>
      <c r="I581" s="10">
        <f>39.0619 * CHOOSE(CONTROL!$C$15, $E$9, 100%, $G$9) + CHOOSE(CONTROL!$C$38, 0.0357, 0)</f>
        <v>39.0976</v>
      </c>
      <c r="J581" s="26">
        <f>293.5268</f>
        <v>293.52679999999998</v>
      </c>
    </row>
    <row r="582" spans="1:10" ht="15.75">
      <c r="A582" s="13">
        <v>59018</v>
      </c>
      <c r="B582" s="10">
        <f>42.1989 * CHOOSE(CONTROL!$C$15, $E$9, 100%, $G$9) + CHOOSE(CONTROL!$C$38, 0.0266, 0)</f>
        <v>42.225500000000004</v>
      </c>
      <c r="C582" s="10">
        <f>38.8554 * CHOOSE(CONTROL!$C$15, $E$9, 100%, $G$9) + CHOOSE(CONTROL!$C$38, 0.0357, 0)</f>
        <v>38.891100000000002</v>
      </c>
      <c r="D582" s="10">
        <f>38.8476 * CHOOSE(CONTROL!$C$15, $E$9, 100%, $G$9) + CHOOSE(CONTROL!$C$38, 0.0357, 0)</f>
        <v>38.883299999999998</v>
      </c>
      <c r="E582" s="28">
        <f>42.0426 * CHOOSE(CONTROL!$C$15, $E$9, 100%, $G$9) + CHOOSE(CONTROL!$C$38, 0.0357, 0)</f>
        <v>42.078299999999999</v>
      </c>
      <c r="F582" s="27">
        <f>42.0426 * CHOOSE(CONTROL!$C$15, $E$9, 100%, $G$9) + CHOOSE(CONTROL!$C$38, 0.0266, 0)</f>
        <v>42.069200000000002</v>
      </c>
      <c r="G582" s="10">
        <f>38.8538 * CHOOSE(CONTROL!$C$15, $E$9, 100%, $G$9) + CHOOSE(CONTROL!$C$38, 0.0357, 0)</f>
        <v>38.889499999999998</v>
      </c>
      <c r="H582" s="10">
        <f>38.8538 * CHOOSE(CONTROL!$C$15, $E$9, 100%, $G$9) + CHOOSE(CONTROL!$C$38, 0.0357, 0)</f>
        <v>38.889499999999998</v>
      </c>
      <c r="I582" s="10">
        <f>38.8554 * CHOOSE(CONTROL!$C$15, $E$9, 100%, $G$9) + CHOOSE(CONTROL!$C$38, 0.0357, 0)</f>
        <v>38.891100000000002</v>
      </c>
      <c r="J582" s="26">
        <f>292.1541</f>
        <v>292.15410000000003</v>
      </c>
    </row>
    <row r="583" spans="1:10" ht="15.75">
      <c r="A583" s="13">
        <v>59049</v>
      </c>
      <c r="B583" s="10">
        <f>42.3008 * CHOOSE(CONTROL!$C$15, $E$9, 100%, $G$9) + CHOOSE(CONTROL!$C$38, 0.0266, 0)</f>
        <v>42.327400000000004</v>
      </c>
      <c r="C583" s="10">
        <f>38.9573 * CHOOSE(CONTROL!$C$15, $E$9, 100%, $G$9) + CHOOSE(CONTROL!$C$38, 0.0357, 0)</f>
        <v>38.992999999999995</v>
      </c>
      <c r="D583" s="10">
        <f>38.9495 * CHOOSE(CONTROL!$C$15, $E$9, 100%, $G$9) + CHOOSE(CONTROL!$C$38, 0.0357, 0)</f>
        <v>38.985199999999999</v>
      </c>
      <c r="E583" s="28">
        <f>42.1445 * CHOOSE(CONTROL!$C$15, $E$9, 100%, $G$9) + CHOOSE(CONTROL!$C$38, 0.0357, 0)</f>
        <v>42.180199999999999</v>
      </c>
      <c r="F583" s="27">
        <f>42.1445 * CHOOSE(CONTROL!$C$15, $E$9, 100%, $G$9) + CHOOSE(CONTROL!$C$38, 0.0266, 0)</f>
        <v>42.171100000000003</v>
      </c>
      <c r="G583" s="10">
        <f>38.9557 * CHOOSE(CONTROL!$C$15, $E$9, 100%, $G$9) + CHOOSE(CONTROL!$C$38, 0.0357, 0)</f>
        <v>38.991399999999999</v>
      </c>
      <c r="H583" s="10">
        <f>38.9557 * CHOOSE(CONTROL!$C$15, $E$9, 100%, $G$9) + CHOOSE(CONTROL!$C$38, 0.0357, 0)</f>
        <v>38.991399999999999</v>
      </c>
      <c r="I583" s="10">
        <f>38.9573 * CHOOSE(CONTROL!$C$15, $E$9, 100%, $G$9) + CHOOSE(CONTROL!$C$38, 0.0357, 0)</f>
        <v>38.992999999999995</v>
      </c>
      <c r="J583" s="26">
        <f>285.3529</f>
        <v>285.35289999999998</v>
      </c>
    </row>
    <row r="584" spans="1:10" ht="15.75">
      <c r="A584" s="13">
        <v>59079</v>
      </c>
      <c r="B584" s="10">
        <f>42.5776 * CHOOSE(CONTROL!$C$15, $E$9, 100%, $G$9) + CHOOSE(CONTROL!$C$38, 0.0266, 0)</f>
        <v>42.604199999999999</v>
      </c>
      <c r="C584" s="10">
        <f>39.2341 * CHOOSE(CONTROL!$C$15, $E$9, 100%, $G$9) + CHOOSE(CONTROL!$C$38, 0.0357, 0)</f>
        <v>39.269799999999996</v>
      </c>
      <c r="D584" s="10">
        <f>39.2263 * CHOOSE(CONTROL!$C$15, $E$9, 100%, $G$9) + CHOOSE(CONTROL!$C$38, 0.0357, 0)</f>
        <v>39.262</v>
      </c>
      <c r="E584" s="28">
        <f>42.4213 * CHOOSE(CONTROL!$C$15, $E$9, 100%, $G$9) + CHOOSE(CONTROL!$C$38, 0.0357, 0)</f>
        <v>42.457000000000001</v>
      </c>
      <c r="F584" s="27">
        <f>42.4213 * CHOOSE(CONTROL!$C$15, $E$9, 100%, $G$9) + CHOOSE(CONTROL!$C$38, 0.0266, 0)</f>
        <v>42.447900000000004</v>
      </c>
      <c r="G584" s="10">
        <f>39.2325 * CHOOSE(CONTROL!$C$15, $E$9, 100%, $G$9) + CHOOSE(CONTROL!$C$38, 0.0357, 0)</f>
        <v>39.2682</v>
      </c>
      <c r="H584" s="10">
        <f>39.2325 * CHOOSE(CONTROL!$C$15, $E$9, 100%, $G$9) + CHOOSE(CONTROL!$C$38, 0.0357, 0)</f>
        <v>39.2682</v>
      </c>
      <c r="I584" s="10">
        <f>39.2341 * CHOOSE(CONTROL!$C$15, $E$9, 100%, $G$9) + CHOOSE(CONTROL!$C$38, 0.0357, 0)</f>
        <v>39.269799999999996</v>
      </c>
      <c r="J584" s="26">
        <f>275.8682</f>
        <v>275.8682</v>
      </c>
    </row>
    <row r="585" spans="1:10" ht="15.75">
      <c r="A585" s="13">
        <v>59110</v>
      </c>
      <c r="B585" s="10">
        <f>42.8094 * CHOOSE(CONTROL!$C$15, $E$9, 100%, $G$9) + CHOOSE(CONTROL!$C$38, 0.0266, 0)</f>
        <v>42.835999999999999</v>
      </c>
      <c r="C585" s="10">
        <f>39.4659 * CHOOSE(CONTROL!$C$15, $E$9, 100%, $G$9) + CHOOSE(CONTROL!$C$38, 0.0357, 0)</f>
        <v>39.501599999999996</v>
      </c>
      <c r="D585" s="10">
        <f>39.4581 * CHOOSE(CONTROL!$C$15, $E$9, 100%, $G$9) + CHOOSE(CONTROL!$C$38, 0.0357, 0)</f>
        <v>39.4938</v>
      </c>
      <c r="E585" s="28">
        <f>42.6531 * CHOOSE(CONTROL!$C$15, $E$9, 100%, $G$9) + CHOOSE(CONTROL!$C$38, 0.0357, 0)</f>
        <v>42.688800000000001</v>
      </c>
      <c r="F585" s="27">
        <f>42.6531 * CHOOSE(CONTROL!$C$15, $E$9, 100%, $G$9) + CHOOSE(CONTROL!$C$38, 0.0266, 0)</f>
        <v>42.679700000000004</v>
      </c>
      <c r="G585" s="10">
        <f>39.4643 * CHOOSE(CONTROL!$C$15, $E$9, 100%, $G$9) + CHOOSE(CONTROL!$C$38, 0.0357, 0)</f>
        <v>39.5</v>
      </c>
      <c r="H585" s="10">
        <f>39.4643 * CHOOSE(CONTROL!$C$15, $E$9, 100%, $G$9) + CHOOSE(CONTROL!$C$38, 0.0357, 0)</f>
        <v>39.5</v>
      </c>
      <c r="I585" s="10">
        <f>39.4659 * CHOOSE(CONTROL!$C$15, $E$9, 100%, $G$9) + CHOOSE(CONTROL!$C$38, 0.0357, 0)</f>
        <v>39.501599999999996</v>
      </c>
      <c r="J585" s="26">
        <f>266.3284</f>
        <v>266.32839999999999</v>
      </c>
    </row>
    <row r="586" spans="1:10" ht="15.75">
      <c r="A586" s="13">
        <v>59140</v>
      </c>
      <c r="B586" s="10">
        <f>43.0028 * CHOOSE(CONTROL!$C$15, $E$9, 100%, $G$9) + CHOOSE(CONTROL!$C$38, 0.0266, 0)</f>
        <v>43.029400000000003</v>
      </c>
      <c r="C586" s="10">
        <f>39.6593 * CHOOSE(CONTROL!$C$15, $E$9, 100%, $G$9) + CHOOSE(CONTROL!$C$38, 0.0357, 0)</f>
        <v>39.695</v>
      </c>
      <c r="D586" s="10">
        <f>39.6515 * CHOOSE(CONTROL!$C$15, $E$9, 100%, $G$9) + CHOOSE(CONTROL!$C$38, 0.0357, 0)</f>
        <v>39.687199999999997</v>
      </c>
      <c r="E586" s="28">
        <f>42.8466 * CHOOSE(CONTROL!$C$15, $E$9, 100%, $G$9) + CHOOSE(CONTROL!$C$38, 0.0357, 0)</f>
        <v>42.882300000000001</v>
      </c>
      <c r="F586" s="27">
        <f>42.8466 * CHOOSE(CONTROL!$C$15, $E$9, 100%, $G$9) + CHOOSE(CONTROL!$C$38, 0.0266, 0)</f>
        <v>42.873200000000004</v>
      </c>
      <c r="G586" s="10">
        <f>39.6578 * CHOOSE(CONTROL!$C$15, $E$9, 100%, $G$9) + CHOOSE(CONTROL!$C$38, 0.0357, 0)</f>
        <v>39.6935</v>
      </c>
      <c r="H586" s="10">
        <f>39.6578 * CHOOSE(CONTROL!$C$15, $E$9, 100%, $G$9) + CHOOSE(CONTROL!$C$38, 0.0357, 0)</f>
        <v>39.6935</v>
      </c>
      <c r="I586" s="10">
        <f>39.6593 * CHOOSE(CONTROL!$C$15, $E$9, 100%, $G$9) + CHOOSE(CONTROL!$C$38, 0.0357, 0)</f>
        <v>39.695</v>
      </c>
      <c r="J586" s="26">
        <f>264.4308</f>
        <v>264.43079999999998</v>
      </c>
    </row>
    <row r="587" spans="1:10" ht="15.75">
      <c r="A587" s="13">
        <v>59171</v>
      </c>
      <c r="B587" s="10">
        <f>43.5989 * CHOOSE(CONTROL!$C$15, $E$9, 100%, $G$9) + CHOOSE(CONTROL!$C$38, 0.0266, 0)</f>
        <v>43.625500000000002</v>
      </c>
      <c r="C587" s="10">
        <f>40.2554 * CHOOSE(CONTROL!$C$15, $E$9, 100%, $G$9) + CHOOSE(CONTROL!$C$38, 0.0357, 0)</f>
        <v>40.2911</v>
      </c>
      <c r="D587" s="10">
        <f>40.2476 * CHOOSE(CONTROL!$C$15, $E$9, 100%, $G$9) + CHOOSE(CONTROL!$C$38, 0.0357, 0)</f>
        <v>40.283299999999997</v>
      </c>
      <c r="E587" s="28">
        <f>43.4426 * CHOOSE(CONTROL!$C$15, $E$9, 100%, $G$9) + CHOOSE(CONTROL!$C$38, 0.0357, 0)</f>
        <v>43.478299999999997</v>
      </c>
      <c r="F587" s="27">
        <f>43.4426 * CHOOSE(CONTROL!$C$15, $E$9, 100%, $G$9) + CHOOSE(CONTROL!$C$38, 0.0266, 0)</f>
        <v>43.469200000000001</v>
      </c>
      <c r="G587" s="10">
        <f>40.2538 * CHOOSE(CONTROL!$C$15, $E$9, 100%, $G$9) + CHOOSE(CONTROL!$C$38, 0.0357, 0)</f>
        <v>40.289499999999997</v>
      </c>
      <c r="H587" s="10">
        <f>40.2538 * CHOOSE(CONTROL!$C$15, $E$9, 100%, $G$9) + CHOOSE(CONTROL!$C$38, 0.0357, 0)</f>
        <v>40.289499999999997</v>
      </c>
      <c r="I587" s="10">
        <f>40.2554 * CHOOSE(CONTROL!$C$15, $E$9, 100%, $G$9) + CHOOSE(CONTROL!$C$38, 0.0357, 0)</f>
        <v>40.2911</v>
      </c>
      <c r="J587" s="26">
        <f>256.5838</f>
        <v>256.5838</v>
      </c>
    </row>
    <row r="588" spans="1:10" ht="15.75">
      <c r="A588" s="13">
        <v>59202</v>
      </c>
      <c r="B588" s="10">
        <f>44.8192 * CHOOSE(CONTROL!$C$15, $E$9, 100%, $G$9) + CHOOSE(CONTROL!$C$38, 0.0266, 0)</f>
        <v>44.845800000000004</v>
      </c>
      <c r="C588" s="10">
        <f>41.4194 * CHOOSE(CONTROL!$C$15, $E$9, 100%, $G$9) + CHOOSE(CONTROL!$C$38, 0.0357, 0)</f>
        <v>41.455100000000002</v>
      </c>
      <c r="D588" s="10">
        <f>41.4116 * CHOOSE(CONTROL!$C$15, $E$9, 100%, $G$9) + CHOOSE(CONTROL!$C$38, 0.0357, 0)</f>
        <v>41.447299999999998</v>
      </c>
      <c r="E588" s="28">
        <f>44.6629 * CHOOSE(CONTROL!$C$15, $E$9, 100%, $G$9) + CHOOSE(CONTROL!$C$38, 0.0357, 0)</f>
        <v>44.698599999999999</v>
      </c>
      <c r="F588" s="27">
        <f>44.6629 * CHOOSE(CONTROL!$C$15, $E$9, 100%, $G$9) + CHOOSE(CONTROL!$C$38, 0.0266, 0)</f>
        <v>44.689500000000002</v>
      </c>
      <c r="G588" s="10">
        <f>41.4178 * CHOOSE(CONTROL!$C$15, $E$9, 100%, $G$9) + CHOOSE(CONTROL!$C$38, 0.0357, 0)</f>
        <v>41.453499999999998</v>
      </c>
      <c r="H588" s="10">
        <f>41.4178 * CHOOSE(CONTROL!$C$15, $E$9, 100%, $G$9) + CHOOSE(CONTROL!$C$38, 0.0357, 0)</f>
        <v>41.453499999999998</v>
      </c>
      <c r="I588" s="10">
        <f>41.4194 * CHOOSE(CONTROL!$C$15, $E$9, 100%, $G$9) + CHOOSE(CONTROL!$C$38, 0.0357, 0)</f>
        <v>41.455100000000002</v>
      </c>
      <c r="J588" s="26">
        <f>254.865</f>
        <v>254.86500000000001</v>
      </c>
    </row>
    <row r="589" spans="1:10" ht="15.75">
      <c r="A589" s="13">
        <v>59230</v>
      </c>
      <c r="B589" s="10">
        <f>45.0399 * CHOOSE(CONTROL!$C$15, $E$9, 100%, $G$9) + CHOOSE(CONTROL!$C$38, 0.0266, 0)</f>
        <v>45.066500000000005</v>
      </c>
      <c r="C589" s="10">
        <f>41.6401 * CHOOSE(CONTROL!$C$15, $E$9, 100%, $G$9) + CHOOSE(CONTROL!$C$38, 0.0357, 0)</f>
        <v>41.675799999999995</v>
      </c>
      <c r="D589" s="10">
        <f>41.6323 * CHOOSE(CONTROL!$C$15, $E$9, 100%, $G$9) + CHOOSE(CONTROL!$C$38, 0.0357, 0)</f>
        <v>41.667999999999999</v>
      </c>
      <c r="E589" s="28">
        <f>44.8837 * CHOOSE(CONTROL!$C$15, $E$9, 100%, $G$9) + CHOOSE(CONTROL!$C$38, 0.0357, 0)</f>
        <v>44.919399999999996</v>
      </c>
      <c r="F589" s="27">
        <f>44.8837 * CHOOSE(CONTROL!$C$15, $E$9, 100%, $G$9) + CHOOSE(CONTROL!$C$38, 0.0266, 0)</f>
        <v>44.910299999999999</v>
      </c>
      <c r="G589" s="10">
        <f>41.6386 * CHOOSE(CONTROL!$C$15, $E$9, 100%, $G$9) + CHOOSE(CONTROL!$C$38, 0.0357, 0)</f>
        <v>41.674299999999995</v>
      </c>
      <c r="H589" s="10">
        <f>41.6386 * CHOOSE(CONTROL!$C$15, $E$9, 100%, $G$9) + CHOOSE(CONTROL!$C$38, 0.0357, 0)</f>
        <v>41.674299999999995</v>
      </c>
      <c r="I589" s="10">
        <f>41.6401 * CHOOSE(CONTROL!$C$15, $E$9, 100%, $G$9) + CHOOSE(CONTROL!$C$38, 0.0357, 0)</f>
        <v>41.675799999999995</v>
      </c>
      <c r="J589" s="26">
        <f>254.1566</f>
        <v>254.1566</v>
      </c>
    </row>
    <row r="590" spans="1:10" ht="15.75">
      <c r="A590" s="13">
        <v>59261</v>
      </c>
      <c r="B590" s="10">
        <f>44.5289 * CHOOSE(CONTROL!$C$15, $E$9, 100%, $G$9) + CHOOSE(CONTROL!$C$38, 0.0266, 0)</f>
        <v>44.555500000000002</v>
      </c>
      <c r="C590" s="10">
        <f>41.1291 * CHOOSE(CONTROL!$C$15, $E$9, 100%, $G$9) + CHOOSE(CONTROL!$C$38, 0.0357, 0)</f>
        <v>41.1648</v>
      </c>
      <c r="D590" s="10">
        <f>41.1213 * CHOOSE(CONTROL!$C$15, $E$9, 100%, $G$9) + CHOOSE(CONTROL!$C$38, 0.0357, 0)</f>
        <v>41.156999999999996</v>
      </c>
      <c r="E590" s="28">
        <f>44.3726 * CHOOSE(CONTROL!$C$15, $E$9, 100%, $G$9) + CHOOSE(CONTROL!$C$38, 0.0357, 0)</f>
        <v>44.408299999999997</v>
      </c>
      <c r="F590" s="27">
        <f>44.3726 * CHOOSE(CONTROL!$C$15, $E$9, 100%, $G$9) + CHOOSE(CONTROL!$C$38, 0.0266, 0)</f>
        <v>44.3992</v>
      </c>
      <c r="G590" s="10">
        <f>41.1275 * CHOOSE(CONTROL!$C$15, $E$9, 100%, $G$9) + CHOOSE(CONTROL!$C$38, 0.0357, 0)</f>
        <v>41.163199999999996</v>
      </c>
      <c r="H590" s="10">
        <f>41.1275 * CHOOSE(CONTROL!$C$15, $E$9, 100%, $G$9) + CHOOSE(CONTROL!$C$38, 0.0357, 0)</f>
        <v>41.163199999999996</v>
      </c>
      <c r="I590" s="10">
        <f>41.1291 * CHOOSE(CONTROL!$C$15, $E$9, 100%, $G$9) + CHOOSE(CONTROL!$C$38, 0.0357, 0)</f>
        <v>41.1648</v>
      </c>
      <c r="J590" s="26">
        <f>267.5521</f>
        <v>267.5521</v>
      </c>
    </row>
    <row r="591" spans="1:10" ht="15.75">
      <c r="A591" s="13">
        <v>59291</v>
      </c>
      <c r="B591" s="10">
        <f>44.0337 * CHOOSE(CONTROL!$C$15, $E$9, 100%, $G$9) + CHOOSE(CONTROL!$C$38, 0.0266, 0)</f>
        <v>44.060300000000005</v>
      </c>
      <c r="C591" s="10">
        <f>40.6339 * CHOOSE(CONTROL!$C$15, $E$9, 100%, $G$9) + CHOOSE(CONTROL!$C$38, 0.0357, 0)</f>
        <v>40.669599999999996</v>
      </c>
      <c r="D591" s="10">
        <f>40.6261 * CHOOSE(CONTROL!$C$15, $E$9, 100%, $G$9) + CHOOSE(CONTROL!$C$38, 0.0357, 0)</f>
        <v>40.661799999999999</v>
      </c>
      <c r="E591" s="28">
        <f>43.8775 * CHOOSE(CONTROL!$C$15, $E$9, 100%, $G$9) + CHOOSE(CONTROL!$C$38, 0.0357, 0)</f>
        <v>43.913199999999996</v>
      </c>
      <c r="F591" s="27">
        <f>43.8775 * CHOOSE(CONTROL!$C$15, $E$9, 100%, $G$9) + CHOOSE(CONTROL!$C$38, 0.0266, 0)</f>
        <v>43.9041</v>
      </c>
      <c r="G591" s="10">
        <f>40.6324 * CHOOSE(CONTROL!$C$15, $E$9, 100%, $G$9) + CHOOSE(CONTROL!$C$38, 0.0357, 0)</f>
        <v>40.668099999999995</v>
      </c>
      <c r="H591" s="10">
        <f>40.6324 * CHOOSE(CONTROL!$C$15, $E$9, 100%, $G$9) + CHOOSE(CONTROL!$C$38, 0.0357, 0)</f>
        <v>40.668099999999995</v>
      </c>
      <c r="I591" s="10">
        <f>40.6339 * CHOOSE(CONTROL!$C$15, $E$9, 100%, $G$9) + CHOOSE(CONTROL!$C$38, 0.0357, 0)</f>
        <v>40.669599999999996</v>
      </c>
      <c r="J591" s="26">
        <f>284.9229</f>
        <v>284.92290000000003</v>
      </c>
    </row>
    <row r="592" spans="1:10" ht="15.75">
      <c r="A592" s="13">
        <v>59322</v>
      </c>
      <c r="B592" s="10">
        <f>43.5176 * CHOOSE(CONTROL!$C$15, $E$9, 100%, $G$9) + CHOOSE(CONTROL!$C$38, 0.0266, 0)</f>
        <v>43.544200000000004</v>
      </c>
      <c r="C592" s="10">
        <f>40.1178 * CHOOSE(CONTROL!$C$15, $E$9, 100%, $G$9) + CHOOSE(CONTROL!$C$38, 0.0357, 0)</f>
        <v>40.153500000000001</v>
      </c>
      <c r="D592" s="10">
        <f>40.11 * CHOOSE(CONTROL!$C$15, $E$9, 100%, $G$9) + CHOOSE(CONTROL!$C$38, 0.0357, 0)</f>
        <v>40.145699999999998</v>
      </c>
      <c r="E592" s="28">
        <f>43.3614 * CHOOSE(CONTROL!$C$15, $E$9, 100%, $G$9) + CHOOSE(CONTROL!$C$38, 0.0357, 0)</f>
        <v>43.397100000000002</v>
      </c>
      <c r="F592" s="27">
        <f>43.3614 * CHOOSE(CONTROL!$C$15, $E$9, 100%, $G$9) + CHOOSE(CONTROL!$C$38, 0.0266, 0)</f>
        <v>43.388000000000005</v>
      </c>
      <c r="G592" s="10">
        <f>40.1162 * CHOOSE(CONTROL!$C$15, $E$9, 100%, $G$9) + CHOOSE(CONTROL!$C$38, 0.0357, 0)</f>
        <v>40.151899999999998</v>
      </c>
      <c r="H592" s="10">
        <f>40.1162 * CHOOSE(CONTROL!$C$15, $E$9, 100%, $G$9) + CHOOSE(CONTROL!$C$38, 0.0357, 0)</f>
        <v>40.151899999999998</v>
      </c>
      <c r="I592" s="10">
        <f>40.1178 * CHOOSE(CONTROL!$C$15, $E$9, 100%, $G$9) + CHOOSE(CONTROL!$C$38, 0.0357, 0)</f>
        <v>40.153500000000001</v>
      </c>
      <c r="J592" s="26">
        <f>294.4844</f>
        <v>294.48439999999999</v>
      </c>
    </row>
    <row r="593" spans="1:10" ht="15.75">
      <c r="A593" s="13">
        <v>59352</v>
      </c>
      <c r="B593" s="10">
        <f>43.1558 * CHOOSE(CONTROL!$C$15, $E$9, 100%, $G$9) + CHOOSE(CONTROL!$C$38, 0.0266, 0)</f>
        <v>43.182400000000001</v>
      </c>
      <c r="C593" s="10">
        <f>39.756 * CHOOSE(CONTROL!$C$15, $E$9, 100%, $G$9) + CHOOSE(CONTROL!$C$38, 0.0357, 0)</f>
        <v>39.791699999999999</v>
      </c>
      <c r="D593" s="10">
        <f>39.7482 * CHOOSE(CONTROL!$C$15, $E$9, 100%, $G$9) + CHOOSE(CONTROL!$C$38, 0.0357, 0)</f>
        <v>39.783899999999996</v>
      </c>
      <c r="E593" s="28">
        <f>42.9995 * CHOOSE(CONTROL!$C$15, $E$9, 100%, $G$9) + CHOOSE(CONTROL!$C$38, 0.0357, 0)</f>
        <v>43.035199999999996</v>
      </c>
      <c r="F593" s="27">
        <f>42.9995 * CHOOSE(CONTROL!$C$15, $E$9, 100%, $G$9) + CHOOSE(CONTROL!$C$38, 0.0266, 0)</f>
        <v>43.0261</v>
      </c>
      <c r="G593" s="10">
        <f>39.7544 * CHOOSE(CONTROL!$C$15, $E$9, 100%, $G$9) + CHOOSE(CONTROL!$C$38, 0.0357, 0)</f>
        <v>39.790099999999995</v>
      </c>
      <c r="H593" s="10">
        <f>39.7544 * CHOOSE(CONTROL!$C$15, $E$9, 100%, $G$9) + CHOOSE(CONTROL!$C$38, 0.0357, 0)</f>
        <v>39.790099999999995</v>
      </c>
      <c r="I593" s="10">
        <f>39.756 * CHOOSE(CONTROL!$C$15, $E$9, 100%, $G$9) + CHOOSE(CONTROL!$C$38, 0.0357, 0)</f>
        <v>39.791699999999999</v>
      </c>
      <c r="J593" s="26">
        <f>298.7276</f>
        <v>298.7276</v>
      </c>
    </row>
    <row r="594" spans="1:10" ht="15.75">
      <c r="A594" s="13">
        <v>59383</v>
      </c>
      <c r="B594" s="10">
        <f>42.9493 * CHOOSE(CONTROL!$C$15, $E$9, 100%, $G$9) + CHOOSE(CONTROL!$C$38, 0.0266, 0)</f>
        <v>42.975900000000003</v>
      </c>
      <c r="C594" s="10">
        <f>39.5495 * CHOOSE(CONTROL!$C$15, $E$9, 100%, $G$9) + CHOOSE(CONTROL!$C$38, 0.0357, 0)</f>
        <v>39.5852</v>
      </c>
      <c r="D594" s="10">
        <f>39.5417 * CHOOSE(CONTROL!$C$15, $E$9, 100%, $G$9) + CHOOSE(CONTROL!$C$38, 0.0357, 0)</f>
        <v>39.577399999999997</v>
      </c>
      <c r="E594" s="28">
        <f>42.793 * CHOOSE(CONTROL!$C$15, $E$9, 100%, $G$9) + CHOOSE(CONTROL!$C$38, 0.0357, 0)</f>
        <v>42.828699999999998</v>
      </c>
      <c r="F594" s="27">
        <f>42.793 * CHOOSE(CONTROL!$C$15, $E$9, 100%, $G$9) + CHOOSE(CONTROL!$C$38, 0.0266, 0)</f>
        <v>42.819600000000001</v>
      </c>
      <c r="G594" s="10">
        <f>39.5479 * CHOOSE(CONTROL!$C$15, $E$9, 100%, $G$9) + CHOOSE(CONTROL!$C$38, 0.0357, 0)</f>
        <v>39.583599999999997</v>
      </c>
      <c r="H594" s="10">
        <f>39.5479 * CHOOSE(CONTROL!$C$15, $E$9, 100%, $G$9) + CHOOSE(CONTROL!$C$38, 0.0357, 0)</f>
        <v>39.583599999999997</v>
      </c>
      <c r="I594" s="10">
        <f>39.5495 * CHOOSE(CONTROL!$C$15, $E$9, 100%, $G$9) + CHOOSE(CONTROL!$C$38, 0.0357, 0)</f>
        <v>39.5852</v>
      </c>
      <c r="J594" s="26">
        <f>297.3305</f>
        <v>297.33049999999997</v>
      </c>
    </row>
    <row r="595" spans="1:10" ht="15.75">
      <c r="A595" s="13">
        <v>59414</v>
      </c>
      <c r="B595" s="10">
        <f>43.0512 * CHOOSE(CONTROL!$C$15, $E$9, 100%, $G$9) + CHOOSE(CONTROL!$C$38, 0.0266, 0)</f>
        <v>43.077800000000003</v>
      </c>
      <c r="C595" s="10">
        <f>39.6514 * CHOOSE(CONTROL!$C$15, $E$9, 100%, $G$9) + CHOOSE(CONTROL!$C$38, 0.0357, 0)</f>
        <v>39.687100000000001</v>
      </c>
      <c r="D595" s="10">
        <f>39.6436 * CHOOSE(CONTROL!$C$15, $E$9, 100%, $G$9) + CHOOSE(CONTROL!$C$38, 0.0357, 0)</f>
        <v>39.679299999999998</v>
      </c>
      <c r="E595" s="28">
        <f>42.8949 * CHOOSE(CONTROL!$C$15, $E$9, 100%, $G$9) + CHOOSE(CONTROL!$C$38, 0.0357, 0)</f>
        <v>42.930599999999998</v>
      </c>
      <c r="F595" s="27">
        <f>42.8949 * CHOOSE(CONTROL!$C$15, $E$9, 100%, $G$9) + CHOOSE(CONTROL!$C$38, 0.0266, 0)</f>
        <v>42.921500000000002</v>
      </c>
      <c r="G595" s="10">
        <f>39.6498 * CHOOSE(CONTROL!$C$15, $E$9, 100%, $G$9) + CHOOSE(CONTROL!$C$38, 0.0357, 0)</f>
        <v>39.685499999999998</v>
      </c>
      <c r="H595" s="10">
        <f>39.6498 * CHOOSE(CONTROL!$C$15, $E$9, 100%, $G$9) + CHOOSE(CONTROL!$C$38, 0.0357, 0)</f>
        <v>39.685499999999998</v>
      </c>
      <c r="I595" s="10">
        <f>39.6514 * CHOOSE(CONTROL!$C$15, $E$9, 100%, $G$9) + CHOOSE(CONTROL!$C$38, 0.0357, 0)</f>
        <v>39.687100000000001</v>
      </c>
      <c r="J595" s="26">
        <f>290.4088</f>
        <v>290.40879999999999</v>
      </c>
    </row>
    <row r="596" spans="1:10" ht="15.75">
      <c r="A596" s="13">
        <v>59444</v>
      </c>
      <c r="B596" s="10">
        <f>43.328 * CHOOSE(CONTROL!$C$15, $E$9, 100%, $G$9) + CHOOSE(CONTROL!$C$38, 0.0266, 0)</f>
        <v>43.354600000000005</v>
      </c>
      <c r="C596" s="10">
        <f>39.9282 * CHOOSE(CONTROL!$C$15, $E$9, 100%, $G$9) + CHOOSE(CONTROL!$C$38, 0.0357, 0)</f>
        <v>39.963899999999995</v>
      </c>
      <c r="D596" s="10">
        <f>39.9204 * CHOOSE(CONTROL!$C$15, $E$9, 100%, $G$9) + CHOOSE(CONTROL!$C$38, 0.0357, 0)</f>
        <v>39.956099999999999</v>
      </c>
      <c r="E596" s="28">
        <f>43.1717 * CHOOSE(CONTROL!$C$15, $E$9, 100%, $G$9) + CHOOSE(CONTROL!$C$38, 0.0357, 0)</f>
        <v>43.2074</v>
      </c>
      <c r="F596" s="27">
        <f>43.1717 * CHOOSE(CONTROL!$C$15, $E$9, 100%, $G$9) + CHOOSE(CONTROL!$C$38, 0.0266, 0)</f>
        <v>43.198300000000003</v>
      </c>
      <c r="G596" s="10">
        <f>39.9266 * CHOOSE(CONTROL!$C$15, $E$9, 100%, $G$9) + CHOOSE(CONTROL!$C$38, 0.0357, 0)</f>
        <v>39.962299999999999</v>
      </c>
      <c r="H596" s="10">
        <f>39.9266 * CHOOSE(CONTROL!$C$15, $E$9, 100%, $G$9) + CHOOSE(CONTROL!$C$38, 0.0357, 0)</f>
        <v>39.962299999999999</v>
      </c>
      <c r="I596" s="10">
        <f>39.9282 * CHOOSE(CONTROL!$C$15, $E$9, 100%, $G$9) + CHOOSE(CONTROL!$C$38, 0.0357, 0)</f>
        <v>39.963899999999995</v>
      </c>
      <c r="J596" s="26">
        <f>280.7561</f>
        <v>280.7561</v>
      </c>
    </row>
    <row r="597" spans="1:10" ht="15.75">
      <c r="A597" s="13">
        <v>59475</v>
      </c>
      <c r="B597" s="10">
        <f>43.5598 * CHOOSE(CONTROL!$C$15, $E$9, 100%, $G$9) + CHOOSE(CONTROL!$C$38, 0.0266, 0)</f>
        <v>43.586400000000005</v>
      </c>
      <c r="C597" s="10">
        <f>40.16 * CHOOSE(CONTROL!$C$15, $E$9, 100%, $G$9) + CHOOSE(CONTROL!$C$38, 0.0357, 0)</f>
        <v>40.195699999999995</v>
      </c>
      <c r="D597" s="10">
        <f>40.1522 * CHOOSE(CONTROL!$C$15, $E$9, 100%, $G$9) + CHOOSE(CONTROL!$C$38, 0.0357, 0)</f>
        <v>40.187899999999999</v>
      </c>
      <c r="E597" s="28">
        <f>43.4036 * CHOOSE(CONTROL!$C$15, $E$9, 100%, $G$9) + CHOOSE(CONTROL!$C$38, 0.0357, 0)</f>
        <v>43.439299999999996</v>
      </c>
      <c r="F597" s="27">
        <f>43.4036 * CHOOSE(CONTROL!$C$15, $E$9, 100%, $G$9) + CHOOSE(CONTROL!$C$38, 0.0266, 0)</f>
        <v>43.430199999999999</v>
      </c>
      <c r="G597" s="10">
        <f>40.1584 * CHOOSE(CONTROL!$C$15, $E$9, 100%, $G$9) + CHOOSE(CONTROL!$C$38, 0.0357, 0)</f>
        <v>40.194099999999999</v>
      </c>
      <c r="H597" s="10">
        <f>40.1584 * CHOOSE(CONTROL!$C$15, $E$9, 100%, $G$9) + CHOOSE(CONTROL!$C$38, 0.0357, 0)</f>
        <v>40.194099999999999</v>
      </c>
      <c r="I597" s="10">
        <f>40.16 * CHOOSE(CONTROL!$C$15, $E$9, 100%, $G$9) + CHOOSE(CONTROL!$C$38, 0.0357, 0)</f>
        <v>40.195699999999995</v>
      </c>
      <c r="J597" s="26">
        <f>271.0473</f>
        <v>271.04730000000001</v>
      </c>
    </row>
    <row r="598" spans="1:10" ht="15.75">
      <c r="A598" s="13">
        <v>59505</v>
      </c>
      <c r="B598" s="10">
        <f>43.7533 * CHOOSE(CONTROL!$C$15, $E$9, 100%, $G$9) + CHOOSE(CONTROL!$C$38, 0.0266, 0)</f>
        <v>43.779900000000005</v>
      </c>
      <c r="C598" s="10">
        <f>40.3535 * CHOOSE(CONTROL!$C$15, $E$9, 100%, $G$9) + CHOOSE(CONTROL!$C$38, 0.0357, 0)</f>
        <v>40.389199999999995</v>
      </c>
      <c r="D598" s="10">
        <f>40.3456 * CHOOSE(CONTROL!$C$15, $E$9, 100%, $G$9) + CHOOSE(CONTROL!$C$38, 0.0357, 0)</f>
        <v>40.381299999999996</v>
      </c>
      <c r="E598" s="28">
        <f>43.597 * CHOOSE(CONTROL!$C$15, $E$9, 100%, $G$9) + CHOOSE(CONTROL!$C$38, 0.0357, 0)</f>
        <v>43.6327</v>
      </c>
      <c r="F598" s="27">
        <f>43.597 * CHOOSE(CONTROL!$C$15, $E$9, 100%, $G$9) + CHOOSE(CONTROL!$C$38, 0.0266, 0)</f>
        <v>43.623600000000003</v>
      </c>
      <c r="G598" s="10">
        <f>40.3519 * CHOOSE(CONTROL!$C$15, $E$9, 100%, $G$9) + CHOOSE(CONTROL!$C$38, 0.0357, 0)</f>
        <v>40.387599999999999</v>
      </c>
      <c r="H598" s="10">
        <f>40.3519 * CHOOSE(CONTROL!$C$15, $E$9, 100%, $G$9) + CHOOSE(CONTROL!$C$38, 0.0357, 0)</f>
        <v>40.387599999999999</v>
      </c>
      <c r="I598" s="10">
        <f>40.3535 * CHOOSE(CONTROL!$C$15, $E$9, 100%, $G$9) + CHOOSE(CONTROL!$C$38, 0.0357, 0)</f>
        <v>40.389199999999995</v>
      </c>
      <c r="J598" s="26">
        <f>269.116</f>
        <v>269.11599999999999</v>
      </c>
    </row>
    <row r="599" spans="1:10" ht="15.75">
      <c r="A599" s="13">
        <v>59536</v>
      </c>
      <c r="B599" s="10">
        <f>44.3493 * CHOOSE(CONTROL!$C$15, $E$9, 100%, $G$9) + CHOOSE(CONTROL!$C$38, 0.0266, 0)</f>
        <v>44.375900000000001</v>
      </c>
      <c r="C599" s="10">
        <f>40.9495 * CHOOSE(CONTROL!$C$15, $E$9, 100%, $G$9) + CHOOSE(CONTROL!$C$38, 0.0357, 0)</f>
        <v>40.985199999999999</v>
      </c>
      <c r="D599" s="10">
        <f>40.9417 * CHOOSE(CONTROL!$C$15, $E$9, 100%, $G$9) + CHOOSE(CONTROL!$C$38, 0.0357, 0)</f>
        <v>40.977399999999996</v>
      </c>
      <c r="E599" s="28">
        <f>44.1931 * CHOOSE(CONTROL!$C$15, $E$9, 100%, $G$9) + CHOOSE(CONTROL!$C$38, 0.0357, 0)</f>
        <v>44.2288</v>
      </c>
      <c r="F599" s="27">
        <f>44.1931 * CHOOSE(CONTROL!$C$15, $E$9, 100%, $G$9) + CHOOSE(CONTROL!$C$38, 0.0266, 0)</f>
        <v>44.219700000000003</v>
      </c>
      <c r="G599" s="10">
        <f>40.948 * CHOOSE(CONTROL!$C$15, $E$9, 100%, $G$9) + CHOOSE(CONTROL!$C$38, 0.0357, 0)</f>
        <v>40.983699999999999</v>
      </c>
      <c r="H599" s="10">
        <f>40.948 * CHOOSE(CONTROL!$C$15, $E$9, 100%, $G$9) + CHOOSE(CONTROL!$C$38, 0.0357, 0)</f>
        <v>40.983699999999999</v>
      </c>
      <c r="I599" s="10">
        <f>40.9495 * CHOOSE(CONTROL!$C$15, $E$9, 100%, $G$9) + CHOOSE(CONTROL!$C$38, 0.0357, 0)</f>
        <v>40.985199999999999</v>
      </c>
      <c r="J599" s="26">
        <f>261.1299</f>
        <v>261.12990000000002</v>
      </c>
    </row>
    <row r="600" spans="1:10" ht="15.75">
      <c r="A600" s="13">
        <v>59567</v>
      </c>
      <c r="B600" s="10">
        <f>45.5828 * CHOOSE(CONTROL!$C$15, $E$9, 100%, $G$9) + CHOOSE(CONTROL!$C$38, 0.0266, 0)</f>
        <v>45.609400000000001</v>
      </c>
      <c r="C600" s="10">
        <f>42.1257 * CHOOSE(CONTROL!$C$15, $E$9, 100%, $G$9) + CHOOSE(CONTROL!$C$38, 0.0357, 0)</f>
        <v>42.1614</v>
      </c>
      <c r="D600" s="10">
        <f>42.1179 * CHOOSE(CONTROL!$C$15, $E$9, 100%, $G$9) + CHOOSE(CONTROL!$C$38, 0.0357, 0)</f>
        <v>42.153599999999997</v>
      </c>
      <c r="E600" s="28">
        <f>45.4266 * CHOOSE(CONTROL!$C$15, $E$9, 100%, $G$9) + CHOOSE(CONTROL!$C$38, 0.0357, 0)</f>
        <v>45.462299999999999</v>
      </c>
      <c r="F600" s="27">
        <f>45.4266 * CHOOSE(CONTROL!$C$15, $E$9, 100%, $G$9) + CHOOSE(CONTROL!$C$38, 0.0266, 0)</f>
        <v>45.453200000000002</v>
      </c>
      <c r="G600" s="10">
        <f>42.1242 * CHOOSE(CONTROL!$C$15, $E$9, 100%, $G$9) + CHOOSE(CONTROL!$C$38, 0.0357, 0)</f>
        <v>42.1599</v>
      </c>
      <c r="H600" s="10">
        <f>42.1242 * CHOOSE(CONTROL!$C$15, $E$9, 100%, $G$9) + CHOOSE(CONTROL!$C$38, 0.0357, 0)</f>
        <v>42.1599</v>
      </c>
      <c r="I600" s="10">
        <f>42.1257 * CHOOSE(CONTROL!$C$15, $E$9, 100%, $G$9) + CHOOSE(CONTROL!$C$38, 0.0357, 0)</f>
        <v>42.1614</v>
      </c>
      <c r="J600" s="26">
        <f>259.3808</f>
        <v>259.38080000000002</v>
      </c>
    </row>
    <row r="601" spans="1:10" ht="15.75">
      <c r="A601" s="13">
        <v>59595</v>
      </c>
      <c r="B601" s="10">
        <f>45.8036 * CHOOSE(CONTROL!$C$15, $E$9, 100%, $G$9) + CHOOSE(CONTROL!$C$38, 0.0266, 0)</f>
        <v>45.830200000000005</v>
      </c>
      <c r="C601" s="10">
        <f>42.3465 * CHOOSE(CONTROL!$C$15, $E$9, 100%, $G$9) + CHOOSE(CONTROL!$C$38, 0.0357, 0)</f>
        <v>42.382199999999997</v>
      </c>
      <c r="D601" s="10">
        <f>42.3387 * CHOOSE(CONTROL!$C$15, $E$9, 100%, $G$9) + CHOOSE(CONTROL!$C$38, 0.0357, 0)</f>
        <v>42.374400000000001</v>
      </c>
      <c r="E601" s="28">
        <f>45.6474 * CHOOSE(CONTROL!$C$15, $E$9, 100%, $G$9) + CHOOSE(CONTROL!$C$38, 0.0357, 0)</f>
        <v>45.683099999999996</v>
      </c>
      <c r="F601" s="27">
        <f>45.6474 * CHOOSE(CONTROL!$C$15, $E$9, 100%, $G$9) + CHOOSE(CONTROL!$C$38, 0.0266, 0)</f>
        <v>45.673999999999999</v>
      </c>
      <c r="G601" s="10">
        <f>42.3449 * CHOOSE(CONTROL!$C$15, $E$9, 100%, $G$9) + CHOOSE(CONTROL!$C$38, 0.0357, 0)</f>
        <v>42.380600000000001</v>
      </c>
      <c r="H601" s="10">
        <f>42.3449 * CHOOSE(CONTROL!$C$15, $E$9, 100%, $G$9) + CHOOSE(CONTROL!$C$38, 0.0357, 0)</f>
        <v>42.380600000000001</v>
      </c>
      <c r="I601" s="10">
        <f>42.3465 * CHOOSE(CONTROL!$C$15, $E$9, 100%, $G$9) + CHOOSE(CONTROL!$C$38, 0.0357, 0)</f>
        <v>42.382199999999997</v>
      </c>
      <c r="J601" s="26">
        <f>258.6598</f>
        <v>258.65980000000002</v>
      </c>
    </row>
    <row r="602" spans="1:10" ht="15.75">
      <c r="A602" s="13">
        <v>59626</v>
      </c>
      <c r="B602" s="10">
        <f>45.2926 * CHOOSE(CONTROL!$C$15, $E$9, 100%, $G$9) + CHOOSE(CONTROL!$C$38, 0.0266, 0)</f>
        <v>45.319200000000002</v>
      </c>
      <c r="C602" s="10">
        <f>41.8355 * CHOOSE(CONTROL!$C$15, $E$9, 100%, $G$9) + CHOOSE(CONTROL!$C$38, 0.0357, 0)</f>
        <v>41.871200000000002</v>
      </c>
      <c r="D602" s="10">
        <f>41.8277 * CHOOSE(CONTROL!$C$15, $E$9, 100%, $G$9) + CHOOSE(CONTROL!$C$38, 0.0357, 0)</f>
        <v>41.863399999999999</v>
      </c>
      <c r="E602" s="28">
        <f>45.1363 * CHOOSE(CONTROL!$C$15, $E$9, 100%, $G$9) + CHOOSE(CONTROL!$C$38, 0.0357, 0)</f>
        <v>45.171999999999997</v>
      </c>
      <c r="F602" s="27">
        <f>45.1363 * CHOOSE(CONTROL!$C$15, $E$9, 100%, $G$9) + CHOOSE(CONTROL!$C$38, 0.0266, 0)</f>
        <v>45.1629</v>
      </c>
      <c r="G602" s="10">
        <f>41.8339 * CHOOSE(CONTROL!$C$15, $E$9, 100%, $G$9) + CHOOSE(CONTROL!$C$38, 0.0357, 0)</f>
        <v>41.869599999999998</v>
      </c>
      <c r="H602" s="10">
        <f>41.8339 * CHOOSE(CONTROL!$C$15, $E$9, 100%, $G$9) + CHOOSE(CONTROL!$C$38, 0.0357, 0)</f>
        <v>41.869599999999998</v>
      </c>
      <c r="I602" s="10">
        <f>41.8355 * CHOOSE(CONTROL!$C$15, $E$9, 100%, $G$9) + CHOOSE(CONTROL!$C$38, 0.0357, 0)</f>
        <v>41.871200000000002</v>
      </c>
      <c r="J602" s="26">
        <f>272.2927</f>
        <v>272.29270000000002</v>
      </c>
    </row>
    <row r="603" spans="1:10" ht="15.75">
      <c r="A603" s="13">
        <v>59656</v>
      </c>
      <c r="B603" s="10">
        <f>44.7974 * CHOOSE(CONTROL!$C$15, $E$9, 100%, $G$9) + CHOOSE(CONTROL!$C$38, 0.0266, 0)</f>
        <v>44.824000000000005</v>
      </c>
      <c r="C603" s="10">
        <f>41.3403 * CHOOSE(CONTROL!$C$15, $E$9, 100%, $G$9) + CHOOSE(CONTROL!$C$38, 0.0357, 0)</f>
        <v>41.375999999999998</v>
      </c>
      <c r="D603" s="10">
        <f>41.3325 * CHOOSE(CONTROL!$C$15, $E$9, 100%, $G$9) + CHOOSE(CONTROL!$C$38, 0.0357, 0)</f>
        <v>41.368200000000002</v>
      </c>
      <c r="E603" s="28">
        <f>44.6411 * CHOOSE(CONTROL!$C$15, $E$9, 100%, $G$9) + CHOOSE(CONTROL!$C$38, 0.0357, 0)</f>
        <v>44.6768</v>
      </c>
      <c r="F603" s="27">
        <f>44.6411 * CHOOSE(CONTROL!$C$15, $E$9, 100%, $G$9) + CHOOSE(CONTROL!$C$38, 0.0266, 0)</f>
        <v>44.667700000000004</v>
      </c>
      <c r="G603" s="10">
        <f>41.3387 * CHOOSE(CONTROL!$C$15, $E$9, 100%, $G$9) + CHOOSE(CONTROL!$C$38, 0.0357, 0)</f>
        <v>41.374400000000001</v>
      </c>
      <c r="H603" s="10">
        <f>41.3387 * CHOOSE(CONTROL!$C$15, $E$9, 100%, $G$9) + CHOOSE(CONTROL!$C$38, 0.0357, 0)</f>
        <v>41.374400000000001</v>
      </c>
      <c r="I603" s="10">
        <f>41.3403 * CHOOSE(CONTROL!$C$15, $E$9, 100%, $G$9) + CHOOSE(CONTROL!$C$38, 0.0357, 0)</f>
        <v>41.375999999999998</v>
      </c>
      <c r="J603" s="26">
        <f>289.9712</f>
        <v>289.97120000000001</v>
      </c>
    </row>
    <row r="604" spans="1:10" ht="15.75">
      <c r="A604" s="13">
        <v>59687</v>
      </c>
      <c r="B604" s="10">
        <f>44.2813 * CHOOSE(CONTROL!$C$15, $E$9, 100%, $G$9) + CHOOSE(CONTROL!$C$38, 0.0266, 0)</f>
        <v>44.307900000000004</v>
      </c>
      <c r="C604" s="10">
        <f>40.8242 * CHOOSE(CONTROL!$C$15, $E$9, 100%, $G$9) + CHOOSE(CONTROL!$C$38, 0.0357, 0)</f>
        <v>40.859899999999996</v>
      </c>
      <c r="D604" s="10">
        <f>40.8164 * CHOOSE(CONTROL!$C$15, $E$9, 100%, $G$9) + CHOOSE(CONTROL!$C$38, 0.0357, 0)</f>
        <v>40.8521</v>
      </c>
      <c r="E604" s="28">
        <f>44.125 * CHOOSE(CONTROL!$C$15, $E$9, 100%, $G$9) + CHOOSE(CONTROL!$C$38, 0.0357, 0)</f>
        <v>44.160699999999999</v>
      </c>
      <c r="F604" s="27">
        <f>44.125 * CHOOSE(CONTROL!$C$15, $E$9, 100%, $G$9) + CHOOSE(CONTROL!$C$38, 0.0266, 0)</f>
        <v>44.151600000000002</v>
      </c>
      <c r="G604" s="10">
        <f>40.8226 * CHOOSE(CONTROL!$C$15, $E$9, 100%, $G$9) + CHOOSE(CONTROL!$C$38, 0.0357, 0)</f>
        <v>40.8583</v>
      </c>
      <c r="H604" s="10">
        <f>40.8226 * CHOOSE(CONTROL!$C$15, $E$9, 100%, $G$9) + CHOOSE(CONTROL!$C$38, 0.0357, 0)</f>
        <v>40.8583</v>
      </c>
      <c r="I604" s="10">
        <f>40.8242 * CHOOSE(CONTROL!$C$15, $E$9, 100%, $G$9) + CHOOSE(CONTROL!$C$38, 0.0357, 0)</f>
        <v>40.859899999999996</v>
      </c>
      <c r="J604" s="26">
        <f>299.7021</f>
        <v>299.70209999999997</v>
      </c>
    </row>
    <row r="605" spans="1:10" ht="15.75">
      <c r="A605" s="13">
        <v>59717</v>
      </c>
      <c r="B605" s="10">
        <f>43.9195 * CHOOSE(CONTROL!$C$15, $E$9, 100%, $G$9) + CHOOSE(CONTROL!$C$38, 0.0266, 0)</f>
        <v>43.946100000000001</v>
      </c>
      <c r="C605" s="10">
        <f>40.4623 * CHOOSE(CONTROL!$C$15, $E$9, 100%, $G$9) + CHOOSE(CONTROL!$C$38, 0.0357, 0)</f>
        <v>40.497999999999998</v>
      </c>
      <c r="D605" s="10">
        <f>40.4545 * CHOOSE(CONTROL!$C$15, $E$9, 100%, $G$9) + CHOOSE(CONTROL!$C$38, 0.0357, 0)</f>
        <v>40.490200000000002</v>
      </c>
      <c r="E605" s="28">
        <f>43.7632 * CHOOSE(CONTROL!$C$15, $E$9, 100%, $G$9) + CHOOSE(CONTROL!$C$38, 0.0357, 0)</f>
        <v>43.798899999999996</v>
      </c>
      <c r="F605" s="27">
        <f>43.7632 * CHOOSE(CONTROL!$C$15, $E$9, 100%, $G$9) + CHOOSE(CONTROL!$C$38, 0.0266, 0)</f>
        <v>43.7898</v>
      </c>
      <c r="G605" s="10">
        <f>40.4608 * CHOOSE(CONTROL!$C$15, $E$9, 100%, $G$9) + CHOOSE(CONTROL!$C$38, 0.0357, 0)</f>
        <v>40.496499999999997</v>
      </c>
      <c r="H605" s="10">
        <f>40.4608 * CHOOSE(CONTROL!$C$15, $E$9, 100%, $G$9) + CHOOSE(CONTROL!$C$38, 0.0357, 0)</f>
        <v>40.496499999999997</v>
      </c>
      <c r="I605" s="10">
        <f>40.4623 * CHOOSE(CONTROL!$C$15, $E$9, 100%, $G$9) + CHOOSE(CONTROL!$C$38, 0.0357, 0)</f>
        <v>40.497999999999998</v>
      </c>
      <c r="J605" s="26">
        <f>304.0205</f>
        <v>304.02050000000003</v>
      </c>
    </row>
    <row r="606" spans="1:10" ht="15.75">
      <c r="A606" s="13">
        <v>59748</v>
      </c>
      <c r="B606" s="10">
        <f>43.713 * CHOOSE(CONTROL!$C$15, $E$9, 100%, $G$9) + CHOOSE(CONTROL!$C$38, 0.0266, 0)</f>
        <v>43.739600000000003</v>
      </c>
      <c r="C606" s="10">
        <f>40.2559 * CHOOSE(CONTROL!$C$15, $E$9, 100%, $G$9) + CHOOSE(CONTROL!$C$38, 0.0357, 0)</f>
        <v>40.291599999999995</v>
      </c>
      <c r="D606" s="10">
        <f>40.248 * CHOOSE(CONTROL!$C$15, $E$9, 100%, $G$9) + CHOOSE(CONTROL!$C$38, 0.0357, 0)</f>
        <v>40.283699999999996</v>
      </c>
      <c r="E606" s="28">
        <f>43.5567 * CHOOSE(CONTROL!$C$15, $E$9, 100%, $G$9) + CHOOSE(CONTROL!$C$38, 0.0357, 0)</f>
        <v>43.592399999999998</v>
      </c>
      <c r="F606" s="27">
        <f>43.5567 * CHOOSE(CONTROL!$C$15, $E$9, 100%, $G$9) + CHOOSE(CONTROL!$C$38, 0.0266, 0)</f>
        <v>43.583300000000001</v>
      </c>
      <c r="G606" s="10">
        <f>40.2543 * CHOOSE(CONTROL!$C$15, $E$9, 100%, $G$9) + CHOOSE(CONTROL!$C$38, 0.0357, 0)</f>
        <v>40.29</v>
      </c>
      <c r="H606" s="10">
        <f>40.2543 * CHOOSE(CONTROL!$C$15, $E$9, 100%, $G$9) + CHOOSE(CONTROL!$C$38, 0.0357, 0)</f>
        <v>40.29</v>
      </c>
      <c r="I606" s="10">
        <f>40.2559 * CHOOSE(CONTROL!$C$15, $E$9, 100%, $G$9) + CHOOSE(CONTROL!$C$38, 0.0357, 0)</f>
        <v>40.291599999999995</v>
      </c>
      <c r="J606" s="26">
        <f>302.5987</f>
        <v>302.59870000000001</v>
      </c>
    </row>
    <row r="607" spans="1:10" ht="15.75">
      <c r="A607" s="13">
        <v>59779</v>
      </c>
      <c r="B607" s="10">
        <f>43.8149 * CHOOSE(CONTROL!$C$15, $E$9, 100%, $G$9) + CHOOSE(CONTROL!$C$38, 0.0266, 0)</f>
        <v>43.841500000000003</v>
      </c>
      <c r="C607" s="10">
        <f>40.3578 * CHOOSE(CONTROL!$C$15, $E$9, 100%, $G$9) + CHOOSE(CONTROL!$C$38, 0.0357, 0)</f>
        <v>40.393499999999996</v>
      </c>
      <c r="D607" s="10">
        <f>40.35 * CHOOSE(CONTROL!$C$15, $E$9, 100%, $G$9) + CHOOSE(CONTROL!$C$38, 0.0357, 0)</f>
        <v>40.3857</v>
      </c>
      <c r="E607" s="28">
        <f>43.6586 * CHOOSE(CONTROL!$C$15, $E$9, 100%, $G$9) + CHOOSE(CONTROL!$C$38, 0.0357, 0)</f>
        <v>43.694299999999998</v>
      </c>
      <c r="F607" s="27">
        <f>43.6586 * CHOOSE(CONTROL!$C$15, $E$9, 100%, $G$9) + CHOOSE(CONTROL!$C$38, 0.0266, 0)</f>
        <v>43.685200000000002</v>
      </c>
      <c r="G607" s="10">
        <f>40.3562 * CHOOSE(CONTROL!$C$15, $E$9, 100%, $G$9) + CHOOSE(CONTROL!$C$38, 0.0357, 0)</f>
        <v>40.3919</v>
      </c>
      <c r="H607" s="10">
        <f>40.3562 * CHOOSE(CONTROL!$C$15, $E$9, 100%, $G$9) + CHOOSE(CONTROL!$C$38, 0.0357, 0)</f>
        <v>40.3919</v>
      </c>
      <c r="I607" s="10">
        <f>40.3578 * CHOOSE(CONTROL!$C$15, $E$9, 100%, $G$9) + CHOOSE(CONTROL!$C$38, 0.0357, 0)</f>
        <v>40.393499999999996</v>
      </c>
      <c r="J607" s="26">
        <f>295.5543</f>
        <v>295.55430000000001</v>
      </c>
    </row>
    <row r="608" spans="1:10" ht="15.75">
      <c r="A608" s="13">
        <v>59809</v>
      </c>
      <c r="B608" s="10">
        <f>44.0917 * CHOOSE(CONTROL!$C$15, $E$9, 100%, $G$9) + CHOOSE(CONTROL!$C$38, 0.0266, 0)</f>
        <v>44.118300000000005</v>
      </c>
      <c r="C608" s="10">
        <f>40.6346 * CHOOSE(CONTROL!$C$15, $E$9, 100%, $G$9) + CHOOSE(CONTROL!$C$38, 0.0357, 0)</f>
        <v>40.670299999999997</v>
      </c>
      <c r="D608" s="10">
        <f>40.6267 * CHOOSE(CONTROL!$C$15, $E$9, 100%, $G$9) + CHOOSE(CONTROL!$C$38, 0.0357, 0)</f>
        <v>40.662399999999998</v>
      </c>
      <c r="E608" s="28">
        <f>43.9354 * CHOOSE(CONTROL!$C$15, $E$9, 100%, $G$9) + CHOOSE(CONTROL!$C$38, 0.0357, 0)</f>
        <v>43.9711</v>
      </c>
      <c r="F608" s="27">
        <f>43.9354 * CHOOSE(CONTROL!$C$15, $E$9, 100%, $G$9) + CHOOSE(CONTROL!$C$38, 0.0266, 0)</f>
        <v>43.962000000000003</v>
      </c>
      <c r="G608" s="10">
        <f>40.633 * CHOOSE(CONTROL!$C$15, $E$9, 100%, $G$9) + CHOOSE(CONTROL!$C$38, 0.0357, 0)</f>
        <v>40.668700000000001</v>
      </c>
      <c r="H608" s="10">
        <f>40.633 * CHOOSE(CONTROL!$C$15, $E$9, 100%, $G$9) + CHOOSE(CONTROL!$C$38, 0.0357, 0)</f>
        <v>40.668700000000001</v>
      </c>
      <c r="I608" s="10">
        <f>40.6346 * CHOOSE(CONTROL!$C$15, $E$9, 100%, $G$9) + CHOOSE(CONTROL!$C$38, 0.0357, 0)</f>
        <v>40.670299999999997</v>
      </c>
      <c r="J608" s="26">
        <f>285.7306</f>
        <v>285.73059999999998</v>
      </c>
    </row>
    <row r="609" spans="1:10" ht="15.75">
      <c r="A609" s="13">
        <v>59840</v>
      </c>
      <c r="B609" s="10">
        <f>44.3235 * CHOOSE(CONTROL!$C$15, $E$9, 100%, $G$9) + CHOOSE(CONTROL!$C$38, 0.0266, 0)</f>
        <v>44.350100000000005</v>
      </c>
      <c r="C609" s="10">
        <f>40.8664 * CHOOSE(CONTROL!$C$15, $E$9, 100%, $G$9) + CHOOSE(CONTROL!$C$38, 0.0357, 0)</f>
        <v>40.902099999999997</v>
      </c>
      <c r="D609" s="10">
        <f>40.8586 * CHOOSE(CONTROL!$C$15, $E$9, 100%, $G$9) + CHOOSE(CONTROL!$C$38, 0.0357, 0)</f>
        <v>40.894300000000001</v>
      </c>
      <c r="E609" s="28">
        <f>44.1672 * CHOOSE(CONTROL!$C$15, $E$9, 100%, $G$9) + CHOOSE(CONTROL!$C$38, 0.0357, 0)</f>
        <v>44.2029</v>
      </c>
      <c r="F609" s="27">
        <f>44.1672 * CHOOSE(CONTROL!$C$15, $E$9, 100%, $G$9) + CHOOSE(CONTROL!$C$38, 0.0266, 0)</f>
        <v>44.193800000000003</v>
      </c>
      <c r="G609" s="10">
        <f>40.8648 * CHOOSE(CONTROL!$C$15, $E$9, 100%, $G$9) + CHOOSE(CONTROL!$C$38, 0.0357, 0)</f>
        <v>40.900500000000001</v>
      </c>
      <c r="H609" s="10">
        <f>40.8648 * CHOOSE(CONTROL!$C$15, $E$9, 100%, $G$9) + CHOOSE(CONTROL!$C$38, 0.0357, 0)</f>
        <v>40.900500000000001</v>
      </c>
      <c r="I609" s="10">
        <f>40.8664 * CHOOSE(CONTROL!$C$15, $E$9, 100%, $G$9) + CHOOSE(CONTROL!$C$38, 0.0357, 0)</f>
        <v>40.902099999999997</v>
      </c>
      <c r="J609" s="26">
        <f>275.8497</f>
        <v>275.84969999999998</v>
      </c>
    </row>
    <row r="610" spans="1:10" ht="15.75">
      <c r="A610" s="13">
        <v>59870</v>
      </c>
      <c r="B610" s="10">
        <f>44.5169 * CHOOSE(CONTROL!$C$15, $E$9, 100%, $G$9) + CHOOSE(CONTROL!$C$38, 0.0266, 0)</f>
        <v>44.543500000000002</v>
      </c>
      <c r="C610" s="10">
        <f>41.0598 * CHOOSE(CONTROL!$C$15, $E$9, 100%, $G$9) + CHOOSE(CONTROL!$C$38, 0.0357, 0)</f>
        <v>41.095500000000001</v>
      </c>
      <c r="D610" s="10">
        <f>41.052 * CHOOSE(CONTROL!$C$15, $E$9, 100%, $G$9) + CHOOSE(CONTROL!$C$38, 0.0357, 0)</f>
        <v>41.087699999999998</v>
      </c>
      <c r="E610" s="28">
        <f>44.3607 * CHOOSE(CONTROL!$C$15, $E$9, 100%, $G$9) + CHOOSE(CONTROL!$C$38, 0.0357, 0)</f>
        <v>44.3964</v>
      </c>
      <c r="F610" s="27">
        <f>44.3607 * CHOOSE(CONTROL!$C$15, $E$9, 100%, $G$9) + CHOOSE(CONTROL!$C$38, 0.0266, 0)</f>
        <v>44.387300000000003</v>
      </c>
      <c r="G610" s="10">
        <f>41.0583 * CHOOSE(CONTROL!$C$15, $E$9, 100%, $G$9) + CHOOSE(CONTROL!$C$38, 0.0357, 0)</f>
        <v>41.094000000000001</v>
      </c>
      <c r="H610" s="10">
        <f>41.0583 * CHOOSE(CONTROL!$C$15, $E$9, 100%, $G$9) + CHOOSE(CONTROL!$C$38, 0.0357, 0)</f>
        <v>41.094000000000001</v>
      </c>
      <c r="I610" s="10">
        <f>41.0598 * CHOOSE(CONTROL!$C$15, $E$9, 100%, $G$9) + CHOOSE(CONTROL!$C$38, 0.0357, 0)</f>
        <v>41.095500000000001</v>
      </c>
      <c r="J610" s="26">
        <f>273.8842</f>
        <v>273.88420000000002</v>
      </c>
    </row>
    <row r="611" spans="1:10" ht="15.75">
      <c r="A611" s="13">
        <v>59901</v>
      </c>
      <c r="B611" s="10">
        <f>45.113 * CHOOSE(CONTROL!$C$15, $E$9, 100%, $G$9) + CHOOSE(CONTROL!$C$38, 0.0266, 0)</f>
        <v>45.139600000000002</v>
      </c>
      <c r="C611" s="10">
        <f>41.6559 * CHOOSE(CONTROL!$C$15, $E$9, 100%, $G$9) + CHOOSE(CONTROL!$C$38, 0.0357, 0)</f>
        <v>41.691600000000001</v>
      </c>
      <c r="D611" s="10">
        <f>41.6481 * CHOOSE(CONTROL!$C$15, $E$9, 100%, $G$9) + CHOOSE(CONTROL!$C$38, 0.0357, 0)</f>
        <v>41.683799999999998</v>
      </c>
      <c r="E611" s="28">
        <f>44.9568 * CHOOSE(CONTROL!$C$15, $E$9, 100%, $G$9) + CHOOSE(CONTROL!$C$38, 0.0357, 0)</f>
        <v>44.9925</v>
      </c>
      <c r="F611" s="27">
        <f>44.9568 * CHOOSE(CONTROL!$C$15, $E$9, 100%, $G$9) + CHOOSE(CONTROL!$C$38, 0.0266, 0)</f>
        <v>44.983400000000003</v>
      </c>
      <c r="G611" s="10">
        <f>41.6543 * CHOOSE(CONTROL!$C$15, $E$9, 100%, $G$9) + CHOOSE(CONTROL!$C$38, 0.0357, 0)</f>
        <v>41.69</v>
      </c>
      <c r="H611" s="10">
        <f>41.6543 * CHOOSE(CONTROL!$C$15, $E$9, 100%, $G$9) + CHOOSE(CONTROL!$C$38, 0.0357, 0)</f>
        <v>41.69</v>
      </c>
      <c r="I611" s="10">
        <f>41.6559 * CHOOSE(CONTROL!$C$15, $E$9, 100%, $G$9) + CHOOSE(CONTROL!$C$38, 0.0357, 0)</f>
        <v>41.691600000000001</v>
      </c>
      <c r="J611" s="26">
        <f>265.7567</f>
        <v>265.75670000000002</v>
      </c>
    </row>
    <row r="612" spans="1:10" ht="15.75">
      <c r="A612" s="13">
        <v>59932</v>
      </c>
      <c r="B612" s="10">
        <f>46.36 * CHOOSE(CONTROL!$C$15, $E$9, 100%, $G$9) + CHOOSE(CONTROL!$C$38, 0.0266, 0)</f>
        <v>46.386600000000001</v>
      </c>
      <c r="C612" s="10">
        <f>42.8446 * CHOOSE(CONTROL!$C$15, $E$9, 100%, $G$9) + CHOOSE(CONTROL!$C$38, 0.0357, 0)</f>
        <v>42.880299999999998</v>
      </c>
      <c r="D612" s="10">
        <f>42.8368 * CHOOSE(CONTROL!$C$15, $E$9, 100%, $G$9) + CHOOSE(CONTROL!$C$38, 0.0357, 0)</f>
        <v>42.872499999999995</v>
      </c>
      <c r="E612" s="28">
        <f>46.2038 * CHOOSE(CONTROL!$C$15, $E$9, 100%, $G$9) + CHOOSE(CONTROL!$C$38, 0.0357, 0)</f>
        <v>46.2395</v>
      </c>
      <c r="F612" s="27">
        <f>46.2038 * CHOOSE(CONTROL!$C$15, $E$9, 100%, $G$9) + CHOOSE(CONTROL!$C$38, 0.0266, 0)</f>
        <v>46.230400000000003</v>
      </c>
      <c r="G612" s="10">
        <f>42.843 * CHOOSE(CONTROL!$C$15, $E$9, 100%, $G$9) + CHOOSE(CONTROL!$C$38, 0.0357, 0)</f>
        <v>42.878700000000002</v>
      </c>
      <c r="H612" s="10">
        <f>42.843 * CHOOSE(CONTROL!$C$15, $E$9, 100%, $G$9) + CHOOSE(CONTROL!$C$38, 0.0357, 0)</f>
        <v>42.878700000000002</v>
      </c>
      <c r="I612" s="10">
        <f>42.8446 * CHOOSE(CONTROL!$C$15, $E$9, 100%, $G$9) + CHOOSE(CONTROL!$C$38, 0.0357, 0)</f>
        <v>42.880299999999998</v>
      </c>
      <c r="J612" s="26">
        <f>263.9765</f>
        <v>263.97649999999999</v>
      </c>
    </row>
    <row r="613" spans="1:10" ht="15.75">
      <c r="A613" s="13">
        <v>59961</v>
      </c>
      <c r="B613" s="10">
        <f>46.5808 * CHOOSE(CONTROL!$C$15, $E$9, 100%, $G$9) + CHOOSE(CONTROL!$C$38, 0.0266, 0)</f>
        <v>46.607400000000005</v>
      </c>
      <c r="C613" s="10">
        <f>43.0654 * CHOOSE(CONTROL!$C$15, $E$9, 100%, $G$9) + CHOOSE(CONTROL!$C$38, 0.0357, 0)</f>
        <v>43.101099999999995</v>
      </c>
      <c r="D613" s="10">
        <f>43.0575 * CHOOSE(CONTROL!$C$15, $E$9, 100%, $G$9) + CHOOSE(CONTROL!$C$38, 0.0357, 0)</f>
        <v>43.093199999999996</v>
      </c>
      <c r="E613" s="28">
        <f>46.4245 * CHOOSE(CONTROL!$C$15, $E$9, 100%, $G$9) + CHOOSE(CONTROL!$C$38, 0.0357, 0)</f>
        <v>46.4602</v>
      </c>
      <c r="F613" s="27">
        <f>46.4245 * CHOOSE(CONTROL!$C$15, $E$9, 100%, $G$9) + CHOOSE(CONTROL!$C$38, 0.0266, 0)</f>
        <v>46.451100000000004</v>
      </c>
      <c r="G613" s="10">
        <f>43.0638 * CHOOSE(CONTROL!$C$15, $E$9, 100%, $G$9) + CHOOSE(CONTROL!$C$38, 0.0357, 0)</f>
        <v>43.099499999999999</v>
      </c>
      <c r="H613" s="10">
        <f>43.0638 * CHOOSE(CONTROL!$C$15, $E$9, 100%, $G$9) + CHOOSE(CONTROL!$C$38, 0.0357, 0)</f>
        <v>43.099499999999999</v>
      </c>
      <c r="I613" s="10">
        <f>43.0654 * CHOOSE(CONTROL!$C$15, $E$9, 100%, $G$9) + CHOOSE(CONTROL!$C$38, 0.0357, 0)</f>
        <v>43.101099999999995</v>
      </c>
      <c r="J613" s="26">
        <f>263.2427</f>
        <v>263.24270000000001</v>
      </c>
    </row>
    <row r="614" spans="1:10" ht="15.75">
      <c r="A614" s="13">
        <v>59992</v>
      </c>
      <c r="B614" s="10">
        <f>46.0698 * CHOOSE(CONTROL!$C$15, $E$9, 100%, $G$9) + CHOOSE(CONTROL!$C$38, 0.0266, 0)</f>
        <v>46.096400000000003</v>
      </c>
      <c r="C614" s="10">
        <f>42.5543 * CHOOSE(CONTROL!$C$15, $E$9, 100%, $G$9) + CHOOSE(CONTROL!$C$38, 0.0357, 0)</f>
        <v>42.589999999999996</v>
      </c>
      <c r="D614" s="10">
        <f>42.5465 * CHOOSE(CONTROL!$C$15, $E$9, 100%, $G$9) + CHOOSE(CONTROL!$C$38, 0.0357, 0)</f>
        <v>42.5822</v>
      </c>
      <c r="E614" s="28">
        <f>45.9135 * CHOOSE(CONTROL!$C$15, $E$9, 100%, $G$9) + CHOOSE(CONTROL!$C$38, 0.0357, 0)</f>
        <v>45.949199999999998</v>
      </c>
      <c r="F614" s="27">
        <f>45.9135 * CHOOSE(CONTROL!$C$15, $E$9, 100%, $G$9) + CHOOSE(CONTROL!$C$38, 0.0266, 0)</f>
        <v>45.940100000000001</v>
      </c>
      <c r="G614" s="10">
        <f>42.5528 * CHOOSE(CONTROL!$C$15, $E$9, 100%, $G$9) + CHOOSE(CONTROL!$C$38, 0.0357, 0)</f>
        <v>42.588499999999996</v>
      </c>
      <c r="H614" s="10">
        <f>42.5528 * CHOOSE(CONTROL!$C$15, $E$9, 100%, $G$9) + CHOOSE(CONTROL!$C$38, 0.0357, 0)</f>
        <v>42.588499999999996</v>
      </c>
      <c r="I614" s="10">
        <f>42.5543 * CHOOSE(CONTROL!$C$15, $E$9, 100%, $G$9) + CHOOSE(CONTROL!$C$38, 0.0357, 0)</f>
        <v>42.589999999999996</v>
      </c>
      <c r="J614" s="26">
        <f>277.1172</f>
        <v>277.11720000000003</v>
      </c>
    </row>
    <row r="615" spans="1:10" ht="15.75">
      <c r="A615" s="13">
        <v>60022</v>
      </c>
      <c r="B615" s="10">
        <f>45.5746 * CHOOSE(CONTROL!$C$15, $E$9, 100%, $G$9) + CHOOSE(CONTROL!$C$38, 0.0266, 0)</f>
        <v>45.601199999999999</v>
      </c>
      <c r="C615" s="10">
        <f>42.0591 * CHOOSE(CONTROL!$C$15, $E$9, 100%, $G$9) + CHOOSE(CONTROL!$C$38, 0.0357, 0)</f>
        <v>42.094799999999999</v>
      </c>
      <c r="D615" s="10">
        <f>42.0513 * CHOOSE(CONTROL!$C$15, $E$9, 100%, $G$9) + CHOOSE(CONTROL!$C$38, 0.0357, 0)</f>
        <v>42.086999999999996</v>
      </c>
      <c r="E615" s="28">
        <f>45.4183 * CHOOSE(CONTROL!$C$15, $E$9, 100%, $G$9) + CHOOSE(CONTROL!$C$38, 0.0357, 0)</f>
        <v>45.454000000000001</v>
      </c>
      <c r="F615" s="27">
        <f>45.4183 * CHOOSE(CONTROL!$C$15, $E$9, 100%, $G$9) + CHOOSE(CONTROL!$C$38, 0.0266, 0)</f>
        <v>45.444900000000004</v>
      </c>
      <c r="G615" s="10">
        <f>42.0576 * CHOOSE(CONTROL!$C$15, $E$9, 100%, $G$9) + CHOOSE(CONTROL!$C$38, 0.0357, 0)</f>
        <v>42.093299999999999</v>
      </c>
      <c r="H615" s="10">
        <f>42.0576 * CHOOSE(CONTROL!$C$15, $E$9, 100%, $G$9) + CHOOSE(CONTROL!$C$38, 0.0357, 0)</f>
        <v>42.093299999999999</v>
      </c>
      <c r="I615" s="10">
        <f>42.0591 * CHOOSE(CONTROL!$C$15, $E$9, 100%, $G$9) + CHOOSE(CONTROL!$C$38, 0.0357, 0)</f>
        <v>42.094799999999999</v>
      </c>
      <c r="J615" s="26">
        <f>295.109</f>
        <v>295.10899999999998</v>
      </c>
    </row>
    <row r="616" spans="1:10" ht="15.75">
      <c r="A616" s="13">
        <v>60053</v>
      </c>
      <c r="B616" s="10">
        <f>45.0585 * CHOOSE(CONTROL!$C$15, $E$9, 100%, $G$9) + CHOOSE(CONTROL!$C$38, 0.0266, 0)</f>
        <v>45.085100000000004</v>
      </c>
      <c r="C616" s="10">
        <f>41.543 * CHOOSE(CONTROL!$C$15, $E$9, 100%, $G$9) + CHOOSE(CONTROL!$C$38, 0.0357, 0)</f>
        <v>41.578699999999998</v>
      </c>
      <c r="D616" s="10">
        <f>41.5352 * CHOOSE(CONTROL!$C$15, $E$9, 100%, $G$9) + CHOOSE(CONTROL!$C$38, 0.0357, 0)</f>
        <v>41.570900000000002</v>
      </c>
      <c r="E616" s="28">
        <f>44.9022 * CHOOSE(CONTROL!$C$15, $E$9, 100%, $G$9) + CHOOSE(CONTROL!$C$38, 0.0357, 0)</f>
        <v>44.937899999999999</v>
      </c>
      <c r="F616" s="27">
        <f>44.9022 * CHOOSE(CONTROL!$C$15, $E$9, 100%, $G$9) + CHOOSE(CONTROL!$C$38, 0.0266, 0)</f>
        <v>44.928800000000003</v>
      </c>
      <c r="G616" s="10">
        <f>41.5415 * CHOOSE(CONTROL!$C$15, $E$9, 100%, $G$9) + CHOOSE(CONTROL!$C$38, 0.0357, 0)</f>
        <v>41.577199999999998</v>
      </c>
      <c r="H616" s="10">
        <f>41.5415 * CHOOSE(CONTROL!$C$15, $E$9, 100%, $G$9) + CHOOSE(CONTROL!$C$38, 0.0357, 0)</f>
        <v>41.577199999999998</v>
      </c>
      <c r="I616" s="10">
        <f>41.543 * CHOOSE(CONTROL!$C$15, $E$9, 100%, $G$9) + CHOOSE(CONTROL!$C$38, 0.0357, 0)</f>
        <v>41.578699999999998</v>
      </c>
      <c r="J616" s="26">
        <f>305.0122</f>
        <v>305.01220000000001</v>
      </c>
    </row>
    <row r="617" spans="1:10" ht="15.75">
      <c r="A617" s="13">
        <v>60083</v>
      </c>
      <c r="B617" s="10">
        <f>44.6966 * CHOOSE(CONTROL!$C$15, $E$9, 100%, $G$9) + CHOOSE(CONTROL!$C$38, 0.0266, 0)</f>
        <v>44.723199999999999</v>
      </c>
      <c r="C617" s="10">
        <f>41.1812 * CHOOSE(CONTROL!$C$15, $E$9, 100%, $G$9) + CHOOSE(CONTROL!$C$38, 0.0357, 0)</f>
        <v>41.216899999999995</v>
      </c>
      <c r="D617" s="10">
        <f>41.1734 * CHOOSE(CONTROL!$C$15, $E$9, 100%, $G$9) + CHOOSE(CONTROL!$C$38, 0.0357, 0)</f>
        <v>41.209099999999999</v>
      </c>
      <c r="E617" s="28">
        <f>44.5404 * CHOOSE(CONTROL!$C$15, $E$9, 100%, $G$9) + CHOOSE(CONTROL!$C$38, 0.0357, 0)</f>
        <v>44.576099999999997</v>
      </c>
      <c r="F617" s="27">
        <f>44.5404 * CHOOSE(CONTROL!$C$15, $E$9, 100%, $G$9) + CHOOSE(CONTROL!$C$38, 0.0266, 0)</f>
        <v>44.567</v>
      </c>
      <c r="G617" s="10">
        <f>41.1796 * CHOOSE(CONTROL!$C$15, $E$9, 100%, $G$9) + CHOOSE(CONTROL!$C$38, 0.0357, 0)</f>
        <v>41.215299999999999</v>
      </c>
      <c r="H617" s="10">
        <f>41.1796 * CHOOSE(CONTROL!$C$15, $E$9, 100%, $G$9) + CHOOSE(CONTROL!$C$38, 0.0357, 0)</f>
        <v>41.215299999999999</v>
      </c>
      <c r="I617" s="10">
        <f>41.1812 * CHOOSE(CONTROL!$C$15, $E$9, 100%, $G$9) + CHOOSE(CONTROL!$C$38, 0.0357, 0)</f>
        <v>41.216899999999995</v>
      </c>
      <c r="J617" s="26">
        <f>309.4071</f>
        <v>309.40710000000001</v>
      </c>
    </row>
    <row r="618" spans="1:10" ht="15.75">
      <c r="A618" s="13">
        <v>60114</v>
      </c>
      <c r="B618" s="10">
        <f>44.4901 * CHOOSE(CONTROL!$C$15, $E$9, 100%, $G$9) + CHOOSE(CONTROL!$C$38, 0.0266, 0)</f>
        <v>44.5167</v>
      </c>
      <c r="C618" s="10">
        <f>40.9747 * CHOOSE(CONTROL!$C$15, $E$9, 100%, $G$9) + CHOOSE(CONTROL!$C$38, 0.0357, 0)</f>
        <v>41.010399999999997</v>
      </c>
      <c r="D618" s="10">
        <f>40.9669 * CHOOSE(CONTROL!$C$15, $E$9, 100%, $G$9) + CHOOSE(CONTROL!$C$38, 0.0357, 0)</f>
        <v>41.002600000000001</v>
      </c>
      <c r="E618" s="28">
        <f>44.3339 * CHOOSE(CONTROL!$C$15, $E$9, 100%, $G$9) + CHOOSE(CONTROL!$C$38, 0.0357, 0)</f>
        <v>44.369599999999998</v>
      </c>
      <c r="F618" s="27">
        <f>44.3339 * CHOOSE(CONTROL!$C$15, $E$9, 100%, $G$9) + CHOOSE(CONTROL!$C$38, 0.0266, 0)</f>
        <v>44.360500000000002</v>
      </c>
      <c r="G618" s="10">
        <f>40.9731 * CHOOSE(CONTROL!$C$15, $E$9, 100%, $G$9) + CHOOSE(CONTROL!$C$38, 0.0357, 0)</f>
        <v>41.008800000000001</v>
      </c>
      <c r="H618" s="10">
        <f>40.9731 * CHOOSE(CONTROL!$C$15, $E$9, 100%, $G$9) + CHOOSE(CONTROL!$C$38, 0.0357, 0)</f>
        <v>41.008800000000001</v>
      </c>
      <c r="I618" s="10">
        <f>40.9747 * CHOOSE(CONTROL!$C$15, $E$9, 100%, $G$9) + CHOOSE(CONTROL!$C$38, 0.0357, 0)</f>
        <v>41.010399999999997</v>
      </c>
      <c r="J618" s="26">
        <f>307.9601</f>
        <v>307.96010000000001</v>
      </c>
    </row>
    <row r="619" spans="1:10" ht="15.75">
      <c r="A619" s="13">
        <v>60145</v>
      </c>
      <c r="B619" s="10">
        <f>44.592 * CHOOSE(CONTROL!$C$15, $E$9, 100%, $G$9) + CHOOSE(CONTROL!$C$38, 0.0266, 0)</f>
        <v>44.618600000000001</v>
      </c>
      <c r="C619" s="10">
        <f>41.0766 * CHOOSE(CONTROL!$C$15, $E$9, 100%, $G$9) + CHOOSE(CONTROL!$C$38, 0.0357, 0)</f>
        <v>41.112299999999998</v>
      </c>
      <c r="D619" s="10">
        <f>41.0688 * CHOOSE(CONTROL!$C$15, $E$9, 100%, $G$9) + CHOOSE(CONTROL!$C$38, 0.0357, 0)</f>
        <v>41.104500000000002</v>
      </c>
      <c r="E619" s="28">
        <f>44.4358 * CHOOSE(CONTROL!$C$15, $E$9, 100%, $G$9) + CHOOSE(CONTROL!$C$38, 0.0357, 0)</f>
        <v>44.471499999999999</v>
      </c>
      <c r="F619" s="27">
        <f>44.4358 * CHOOSE(CONTROL!$C$15, $E$9, 100%, $G$9) + CHOOSE(CONTROL!$C$38, 0.0266, 0)</f>
        <v>44.462400000000002</v>
      </c>
      <c r="G619" s="10">
        <f>41.0751 * CHOOSE(CONTROL!$C$15, $E$9, 100%, $G$9) + CHOOSE(CONTROL!$C$38, 0.0357, 0)</f>
        <v>41.110799999999998</v>
      </c>
      <c r="H619" s="10">
        <f>41.0751 * CHOOSE(CONTROL!$C$15, $E$9, 100%, $G$9) + CHOOSE(CONTROL!$C$38, 0.0357, 0)</f>
        <v>41.110799999999998</v>
      </c>
      <c r="I619" s="10">
        <f>41.0766 * CHOOSE(CONTROL!$C$15, $E$9, 100%, $G$9) + CHOOSE(CONTROL!$C$38, 0.0357, 0)</f>
        <v>41.112299999999998</v>
      </c>
      <c r="J619" s="26">
        <f>300.7909</f>
        <v>300.79090000000002</v>
      </c>
    </row>
    <row r="620" spans="1:10" ht="15.75">
      <c r="A620" s="13">
        <v>60175</v>
      </c>
      <c r="B620" s="10">
        <f>44.8688 * CHOOSE(CONTROL!$C$15, $E$9, 100%, $G$9) + CHOOSE(CONTROL!$C$38, 0.0266, 0)</f>
        <v>44.895400000000002</v>
      </c>
      <c r="C620" s="10">
        <f>41.3534 * CHOOSE(CONTROL!$C$15, $E$9, 100%, $G$9) + CHOOSE(CONTROL!$C$38, 0.0357, 0)</f>
        <v>41.389099999999999</v>
      </c>
      <c r="D620" s="10">
        <f>41.3456 * CHOOSE(CONTROL!$C$15, $E$9, 100%, $G$9) + CHOOSE(CONTROL!$C$38, 0.0357, 0)</f>
        <v>41.381299999999996</v>
      </c>
      <c r="E620" s="28">
        <f>44.7126 * CHOOSE(CONTROL!$C$15, $E$9, 100%, $G$9) + CHOOSE(CONTROL!$C$38, 0.0357, 0)</f>
        <v>44.7483</v>
      </c>
      <c r="F620" s="27">
        <f>44.7126 * CHOOSE(CONTROL!$C$15, $E$9, 100%, $G$9) + CHOOSE(CONTROL!$C$38, 0.0266, 0)</f>
        <v>44.739200000000004</v>
      </c>
      <c r="G620" s="10">
        <f>41.3519 * CHOOSE(CONTROL!$C$15, $E$9, 100%, $G$9) + CHOOSE(CONTROL!$C$38, 0.0357, 0)</f>
        <v>41.387599999999999</v>
      </c>
      <c r="H620" s="10">
        <f>41.3519 * CHOOSE(CONTROL!$C$15, $E$9, 100%, $G$9) + CHOOSE(CONTROL!$C$38, 0.0357, 0)</f>
        <v>41.387599999999999</v>
      </c>
      <c r="I620" s="10">
        <f>41.3534 * CHOOSE(CONTROL!$C$15, $E$9, 100%, $G$9) + CHOOSE(CONTROL!$C$38, 0.0357, 0)</f>
        <v>41.389099999999999</v>
      </c>
      <c r="J620" s="26">
        <f>290.7932</f>
        <v>290.79320000000001</v>
      </c>
    </row>
    <row r="621" spans="1:10" ht="15.75">
      <c r="A621" s="13">
        <v>60206</v>
      </c>
      <c r="B621" s="10">
        <f>45.1007 * CHOOSE(CONTROL!$C$15, $E$9, 100%, $G$9) + CHOOSE(CONTROL!$C$38, 0.0266, 0)</f>
        <v>45.127300000000005</v>
      </c>
      <c r="C621" s="10">
        <f>41.5852 * CHOOSE(CONTROL!$C$15, $E$9, 100%, $G$9) + CHOOSE(CONTROL!$C$38, 0.0357, 0)</f>
        <v>41.620899999999999</v>
      </c>
      <c r="D621" s="10">
        <f>41.5774 * CHOOSE(CONTROL!$C$15, $E$9, 100%, $G$9) + CHOOSE(CONTROL!$C$38, 0.0357, 0)</f>
        <v>41.613099999999996</v>
      </c>
      <c r="E621" s="28">
        <f>44.9444 * CHOOSE(CONTROL!$C$15, $E$9, 100%, $G$9) + CHOOSE(CONTROL!$C$38, 0.0357, 0)</f>
        <v>44.9801</v>
      </c>
      <c r="F621" s="27">
        <f>44.9444 * CHOOSE(CONTROL!$C$15, $E$9, 100%, $G$9) + CHOOSE(CONTROL!$C$38, 0.0266, 0)</f>
        <v>44.971000000000004</v>
      </c>
      <c r="G621" s="10">
        <f>41.5837 * CHOOSE(CONTROL!$C$15, $E$9, 100%, $G$9) + CHOOSE(CONTROL!$C$38, 0.0357, 0)</f>
        <v>41.619399999999999</v>
      </c>
      <c r="H621" s="10">
        <f>41.5837 * CHOOSE(CONTROL!$C$15, $E$9, 100%, $G$9) + CHOOSE(CONTROL!$C$38, 0.0357, 0)</f>
        <v>41.619399999999999</v>
      </c>
      <c r="I621" s="10">
        <f>41.5852 * CHOOSE(CONTROL!$C$15, $E$9, 100%, $G$9) + CHOOSE(CONTROL!$C$38, 0.0357, 0)</f>
        <v>41.620899999999999</v>
      </c>
      <c r="J621" s="26">
        <f>280.7372</f>
        <v>280.73719999999997</v>
      </c>
    </row>
    <row r="622" spans="1:10" ht="15.75">
      <c r="A622" s="13">
        <v>60236</v>
      </c>
      <c r="B622" s="10">
        <f>45.2941 * CHOOSE(CONTROL!$C$15, $E$9, 100%, $G$9) + CHOOSE(CONTROL!$C$38, 0.0266, 0)</f>
        <v>45.320700000000002</v>
      </c>
      <c r="C622" s="10">
        <f>41.7787 * CHOOSE(CONTROL!$C$15, $E$9, 100%, $G$9) + CHOOSE(CONTROL!$C$38, 0.0357, 0)</f>
        <v>41.814399999999999</v>
      </c>
      <c r="D622" s="10">
        <f>41.7709 * CHOOSE(CONTROL!$C$15, $E$9, 100%, $G$9) + CHOOSE(CONTROL!$C$38, 0.0357, 0)</f>
        <v>41.806599999999996</v>
      </c>
      <c r="E622" s="28">
        <f>45.1379 * CHOOSE(CONTROL!$C$15, $E$9, 100%, $G$9) + CHOOSE(CONTROL!$C$38, 0.0357, 0)</f>
        <v>45.1736</v>
      </c>
      <c r="F622" s="27">
        <f>45.1379 * CHOOSE(CONTROL!$C$15, $E$9, 100%, $G$9) + CHOOSE(CONTROL!$C$38, 0.0266, 0)</f>
        <v>45.164500000000004</v>
      </c>
      <c r="G622" s="10">
        <f>41.7771 * CHOOSE(CONTROL!$C$15, $E$9, 100%, $G$9) + CHOOSE(CONTROL!$C$38, 0.0357, 0)</f>
        <v>41.812799999999996</v>
      </c>
      <c r="H622" s="10">
        <f>41.7771 * CHOOSE(CONTROL!$C$15, $E$9, 100%, $G$9) + CHOOSE(CONTROL!$C$38, 0.0357, 0)</f>
        <v>41.812799999999996</v>
      </c>
      <c r="I622" s="10">
        <f>41.7787 * CHOOSE(CONTROL!$C$15, $E$9, 100%, $G$9) + CHOOSE(CONTROL!$C$38, 0.0357, 0)</f>
        <v>41.814399999999999</v>
      </c>
      <c r="J622" s="26">
        <f>278.7369</f>
        <v>278.73689999999999</v>
      </c>
    </row>
    <row r="623" spans="1:10" ht="15.75">
      <c r="A623" s="13">
        <v>60267</v>
      </c>
      <c r="B623" s="10">
        <f>45.8902 * CHOOSE(CONTROL!$C$15, $E$9, 100%, $G$9) + CHOOSE(CONTROL!$C$38, 0.0266, 0)</f>
        <v>45.916800000000002</v>
      </c>
      <c r="C623" s="10">
        <f>42.3747 * CHOOSE(CONTROL!$C$15, $E$9, 100%, $G$9) + CHOOSE(CONTROL!$C$38, 0.0357, 0)</f>
        <v>42.410399999999996</v>
      </c>
      <c r="D623" s="10">
        <f>42.3669 * CHOOSE(CONTROL!$C$15, $E$9, 100%, $G$9) + CHOOSE(CONTROL!$C$38, 0.0357, 0)</f>
        <v>42.4026</v>
      </c>
      <c r="E623" s="28">
        <f>45.7339 * CHOOSE(CONTROL!$C$15, $E$9, 100%, $G$9) + CHOOSE(CONTROL!$C$38, 0.0357, 0)</f>
        <v>45.769599999999997</v>
      </c>
      <c r="F623" s="27">
        <f>45.7339 * CHOOSE(CONTROL!$C$15, $E$9, 100%, $G$9) + CHOOSE(CONTROL!$C$38, 0.0266, 0)</f>
        <v>45.7605</v>
      </c>
      <c r="G623" s="10">
        <f>42.3732 * CHOOSE(CONTROL!$C$15, $E$9, 100%, $G$9) + CHOOSE(CONTROL!$C$38, 0.0357, 0)</f>
        <v>42.408899999999996</v>
      </c>
      <c r="H623" s="10">
        <f>42.3732 * CHOOSE(CONTROL!$C$15, $E$9, 100%, $G$9) + CHOOSE(CONTROL!$C$38, 0.0357, 0)</f>
        <v>42.408899999999996</v>
      </c>
      <c r="I623" s="10">
        <f>42.3747 * CHOOSE(CONTROL!$C$15, $E$9, 100%, $G$9) + CHOOSE(CONTROL!$C$38, 0.0357, 0)</f>
        <v>42.410399999999996</v>
      </c>
      <c r="J623" s="26">
        <f>270.4654</f>
        <v>270.46539999999999</v>
      </c>
    </row>
    <row r="624" spans="1:10" ht="15.75">
      <c r="A624" s="13">
        <v>60298</v>
      </c>
      <c r="B624" s="10">
        <f>47.1509 * CHOOSE(CONTROL!$C$15, $E$9, 100%, $G$9) + CHOOSE(CONTROL!$C$38, 0.0266, 0)</f>
        <v>47.177500000000002</v>
      </c>
      <c r="C624" s="10">
        <f>43.5761 * CHOOSE(CONTROL!$C$15, $E$9, 100%, $G$9) + CHOOSE(CONTROL!$C$38, 0.0357, 0)</f>
        <v>43.611799999999995</v>
      </c>
      <c r="D624" s="10">
        <f>43.5683 * CHOOSE(CONTROL!$C$15, $E$9, 100%, $G$9) + CHOOSE(CONTROL!$C$38, 0.0357, 0)</f>
        <v>43.603999999999999</v>
      </c>
      <c r="E624" s="28">
        <f>46.9947 * CHOOSE(CONTROL!$C$15, $E$9, 100%, $G$9) + CHOOSE(CONTROL!$C$38, 0.0357, 0)</f>
        <v>47.0304</v>
      </c>
      <c r="F624" s="27">
        <f>46.9947 * CHOOSE(CONTROL!$C$15, $E$9, 100%, $G$9) + CHOOSE(CONTROL!$C$38, 0.0266, 0)</f>
        <v>47.021300000000004</v>
      </c>
      <c r="G624" s="10">
        <f>43.5746 * CHOOSE(CONTROL!$C$15, $E$9, 100%, $G$9) + CHOOSE(CONTROL!$C$38, 0.0357, 0)</f>
        <v>43.610299999999995</v>
      </c>
      <c r="H624" s="10">
        <f>43.5746 * CHOOSE(CONTROL!$C$15, $E$9, 100%, $G$9) + CHOOSE(CONTROL!$C$38, 0.0357, 0)</f>
        <v>43.610299999999995</v>
      </c>
      <c r="I624" s="10">
        <f>43.5761 * CHOOSE(CONTROL!$C$15, $E$9, 100%, $G$9) + CHOOSE(CONTROL!$C$38, 0.0357, 0)</f>
        <v>43.611799999999995</v>
      </c>
      <c r="J624" s="26">
        <f>268.6537</f>
        <v>268.65370000000001</v>
      </c>
    </row>
    <row r="625" spans="1:10" ht="15.75">
      <c r="A625" s="13">
        <v>60326</v>
      </c>
      <c r="B625" s="10">
        <f>47.3717 * CHOOSE(CONTROL!$C$15, $E$9, 100%, $G$9) + CHOOSE(CONTROL!$C$38, 0.0266, 0)</f>
        <v>47.398299999999999</v>
      </c>
      <c r="C625" s="10">
        <f>43.7969 * CHOOSE(CONTROL!$C$15, $E$9, 100%, $G$9) + CHOOSE(CONTROL!$C$38, 0.0357, 0)</f>
        <v>43.832599999999999</v>
      </c>
      <c r="D625" s="10">
        <f>43.7891 * CHOOSE(CONTROL!$C$15, $E$9, 100%, $G$9) + CHOOSE(CONTROL!$C$38, 0.0357, 0)</f>
        <v>43.824799999999996</v>
      </c>
      <c r="E625" s="28">
        <f>47.2154 * CHOOSE(CONTROL!$C$15, $E$9, 100%, $G$9) + CHOOSE(CONTROL!$C$38, 0.0357, 0)</f>
        <v>47.251100000000001</v>
      </c>
      <c r="F625" s="27">
        <f>47.2154 * CHOOSE(CONTROL!$C$15, $E$9, 100%, $G$9) + CHOOSE(CONTROL!$C$38, 0.0266, 0)</f>
        <v>47.242000000000004</v>
      </c>
      <c r="G625" s="10">
        <f>43.7953 * CHOOSE(CONTROL!$C$15, $E$9, 100%, $G$9) + CHOOSE(CONTROL!$C$38, 0.0357, 0)</f>
        <v>43.830999999999996</v>
      </c>
      <c r="H625" s="10">
        <f>43.7953 * CHOOSE(CONTROL!$C$15, $E$9, 100%, $G$9) + CHOOSE(CONTROL!$C$38, 0.0357, 0)</f>
        <v>43.830999999999996</v>
      </c>
      <c r="I625" s="10">
        <f>43.7969 * CHOOSE(CONTROL!$C$15, $E$9, 100%, $G$9) + CHOOSE(CONTROL!$C$38, 0.0357, 0)</f>
        <v>43.832599999999999</v>
      </c>
      <c r="J625" s="26">
        <f>267.9069</f>
        <v>267.90690000000001</v>
      </c>
    </row>
    <row r="626" spans="1:10" ht="15.75">
      <c r="A626" s="13">
        <v>60357</v>
      </c>
      <c r="B626" s="10">
        <f>46.8607 * CHOOSE(CONTROL!$C$15, $E$9, 100%, $G$9) + CHOOSE(CONTROL!$C$38, 0.0266, 0)</f>
        <v>46.887300000000003</v>
      </c>
      <c r="C626" s="10">
        <f>43.2859 * CHOOSE(CONTROL!$C$15, $E$9, 100%, $G$9) + CHOOSE(CONTROL!$C$38, 0.0357, 0)</f>
        <v>43.321599999999997</v>
      </c>
      <c r="D626" s="10">
        <f>43.2781 * CHOOSE(CONTROL!$C$15, $E$9, 100%, $G$9) + CHOOSE(CONTROL!$C$38, 0.0357, 0)</f>
        <v>43.313800000000001</v>
      </c>
      <c r="E626" s="28">
        <f>46.7044 * CHOOSE(CONTROL!$C$15, $E$9, 100%, $G$9) + CHOOSE(CONTROL!$C$38, 0.0357, 0)</f>
        <v>46.740099999999998</v>
      </c>
      <c r="F626" s="27">
        <f>46.7044 * CHOOSE(CONTROL!$C$15, $E$9, 100%, $G$9) + CHOOSE(CONTROL!$C$38, 0.0266, 0)</f>
        <v>46.731000000000002</v>
      </c>
      <c r="G626" s="10">
        <f>43.2843 * CHOOSE(CONTROL!$C$15, $E$9, 100%, $G$9) + CHOOSE(CONTROL!$C$38, 0.0357, 0)</f>
        <v>43.32</v>
      </c>
      <c r="H626" s="10">
        <f>43.2843 * CHOOSE(CONTROL!$C$15, $E$9, 100%, $G$9) + CHOOSE(CONTROL!$C$38, 0.0357, 0)</f>
        <v>43.32</v>
      </c>
      <c r="I626" s="10">
        <f>43.2859 * CHOOSE(CONTROL!$C$15, $E$9, 100%, $G$9) + CHOOSE(CONTROL!$C$38, 0.0357, 0)</f>
        <v>43.321599999999997</v>
      </c>
      <c r="J626" s="26">
        <f>282.0272</f>
        <v>282.02719999999999</v>
      </c>
    </row>
    <row r="627" spans="1:10" ht="15.75">
      <c r="A627" s="13">
        <v>60387</v>
      </c>
      <c r="B627" s="10">
        <f>46.3655 * CHOOSE(CONTROL!$C$15, $E$9, 100%, $G$9) + CHOOSE(CONTROL!$C$38, 0.0266, 0)</f>
        <v>46.392099999999999</v>
      </c>
      <c r="C627" s="10">
        <f>42.7907 * CHOOSE(CONTROL!$C$15, $E$9, 100%, $G$9) + CHOOSE(CONTROL!$C$38, 0.0357, 0)</f>
        <v>42.8264</v>
      </c>
      <c r="D627" s="10">
        <f>42.7829 * CHOOSE(CONTROL!$C$15, $E$9, 100%, $G$9) + CHOOSE(CONTROL!$C$38, 0.0357, 0)</f>
        <v>42.818599999999996</v>
      </c>
      <c r="E627" s="28">
        <f>46.2092 * CHOOSE(CONTROL!$C$15, $E$9, 100%, $G$9) + CHOOSE(CONTROL!$C$38, 0.0357, 0)</f>
        <v>46.244900000000001</v>
      </c>
      <c r="F627" s="27">
        <f>46.2092 * CHOOSE(CONTROL!$C$15, $E$9, 100%, $G$9) + CHOOSE(CONTROL!$C$38, 0.0266, 0)</f>
        <v>46.235800000000005</v>
      </c>
      <c r="G627" s="10">
        <f>42.7891 * CHOOSE(CONTROL!$C$15, $E$9, 100%, $G$9) + CHOOSE(CONTROL!$C$38, 0.0357, 0)</f>
        <v>42.824799999999996</v>
      </c>
      <c r="H627" s="10">
        <f>42.7891 * CHOOSE(CONTROL!$C$15, $E$9, 100%, $G$9) + CHOOSE(CONTROL!$C$38, 0.0357, 0)</f>
        <v>42.824799999999996</v>
      </c>
      <c r="I627" s="10">
        <f>42.7907 * CHOOSE(CONTROL!$C$15, $E$9, 100%, $G$9) + CHOOSE(CONTROL!$C$38, 0.0357, 0)</f>
        <v>42.8264</v>
      </c>
      <c r="J627" s="26">
        <f>300.3377</f>
        <v>300.33769999999998</v>
      </c>
    </row>
    <row r="628" spans="1:10" ht="15.75">
      <c r="A628" s="13">
        <v>60418</v>
      </c>
      <c r="B628" s="10">
        <f>45.8494 * CHOOSE(CONTROL!$C$15, $E$9, 100%, $G$9) + CHOOSE(CONTROL!$C$38, 0.0266, 0)</f>
        <v>45.876000000000005</v>
      </c>
      <c r="C628" s="10">
        <f>42.2746 * CHOOSE(CONTROL!$C$15, $E$9, 100%, $G$9) + CHOOSE(CONTROL!$C$38, 0.0357, 0)</f>
        <v>42.310299999999998</v>
      </c>
      <c r="D628" s="10">
        <f>42.2668 * CHOOSE(CONTROL!$C$15, $E$9, 100%, $G$9) + CHOOSE(CONTROL!$C$38, 0.0357, 0)</f>
        <v>42.302500000000002</v>
      </c>
      <c r="E628" s="28">
        <f>45.6931 * CHOOSE(CONTROL!$C$15, $E$9, 100%, $G$9) + CHOOSE(CONTROL!$C$38, 0.0357, 0)</f>
        <v>45.7288</v>
      </c>
      <c r="F628" s="27">
        <f>45.6931 * CHOOSE(CONTROL!$C$15, $E$9, 100%, $G$9) + CHOOSE(CONTROL!$C$38, 0.0266, 0)</f>
        <v>45.719700000000003</v>
      </c>
      <c r="G628" s="10">
        <f>42.273 * CHOOSE(CONTROL!$C$15, $E$9, 100%, $G$9) + CHOOSE(CONTROL!$C$38, 0.0357, 0)</f>
        <v>42.308700000000002</v>
      </c>
      <c r="H628" s="10">
        <f>42.273 * CHOOSE(CONTROL!$C$15, $E$9, 100%, $G$9) + CHOOSE(CONTROL!$C$38, 0.0357, 0)</f>
        <v>42.308700000000002</v>
      </c>
      <c r="I628" s="10">
        <f>42.2746 * CHOOSE(CONTROL!$C$15, $E$9, 100%, $G$9) + CHOOSE(CONTROL!$C$38, 0.0357, 0)</f>
        <v>42.310299999999998</v>
      </c>
      <c r="J628" s="26">
        <f>310.4165</f>
        <v>310.41649999999998</v>
      </c>
    </row>
    <row r="629" spans="1:10" ht="15.75">
      <c r="A629" s="13">
        <v>60448</v>
      </c>
      <c r="B629" s="10">
        <f>45.4875 * CHOOSE(CONTROL!$C$15, $E$9, 100%, $G$9) + CHOOSE(CONTROL!$C$38, 0.0266, 0)</f>
        <v>45.514099999999999</v>
      </c>
      <c r="C629" s="10">
        <f>41.9128 * CHOOSE(CONTROL!$C$15, $E$9, 100%, $G$9) + CHOOSE(CONTROL!$C$38, 0.0357, 0)</f>
        <v>41.948499999999996</v>
      </c>
      <c r="D629" s="10">
        <f>41.9049 * CHOOSE(CONTROL!$C$15, $E$9, 100%, $G$9) + CHOOSE(CONTROL!$C$38, 0.0357, 0)</f>
        <v>41.940599999999996</v>
      </c>
      <c r="E629" s="28">
        <f>45.3313 * CHOOSE(CONTROL!$C$15, $E$9, 100%, $G$9) + CHOOSE(CONTROL!$C$38, 0.0357, 0)</f>
        <v>45.366999999999997</v>
      </c>
      <c r="F629" s="27">
        <f>45.3313 * CHOOSE(CONTROL!$C$15, $E$9, 100%, $G$9) + CHOOSE(CONTROL!$C$38, 0.0266, 0)</f>
        <v>45.357900000000001</v>
      </c>
      <c r="G629" s="10">
        <f>41.9112 * CHOOSE(CONTROL!$C$15, $E$9, 100%, $G$9) + CHOOSE(CONTROL!$C$38, 0.0357, 0)</f>
        <v>41.946899999999999</v>
      </c>
      <c r="H629" s="10">
        <f>41.9112 * CHOOSE(CONTROL!$C$15, $E$9, 100%, $G$9) + CHOOSE(CONTROL!$C$38, 0.0357, 0)</f>
        <v>41.946899999999999</v>
      </c>
      <c r="I629" s="10">
        <f>41.9128 * CHOOSE(CONTROL!$C$15, $E$9, 100%, $G$9) + CHOOSE(CONTROL!$C$38, 0.0357, 0)</f>
        <v>41.948499999999996</v>
      </c>
      <c r="J629" s="26">
        <f>314.8892</f>
        <v>314.88920000000002</v>
      </c>
    </row>
    <row r="630" spans="1:10" ht="15.75">
      <c r="A630" s="13">
        <v>60479</v>
      </c>
      <c r="B630" s="10">
        <f>45.281 * CHOOSE(CONTROL!$C$15, $E$9, 100%, $G$9) + CHOOSE(CONTROL!$C$38, 0.0266, 0)</f>
        <v>45.307600000000001</v>
      </c>
      <c r="C630" s="10">
        <f>41.7063 * CHOOSE(CONTROL!$C$15, $E$9, 100%, $G$9) + CHOOSE(CONTROL!$C$38, 0.0357, 0)</f>
        <v>41.741999999999997</v>
      </c>
      <c r="D630" s="10">
        <f>41.6985 * CHOOSE(CONTROL!$C$15, $E$9, 100%, $G$9) + CHOOSE(CONTROL!$C$38, 0.0357, 0)</f>
        <v>41.734200000000001</v>
      </c>
      <c r="E630" s="28">
        <f>45.1248 * CHOOSE(CONTROL!$C$15, $E$9, 100%, $G$9) + CHOOSE(CONTROL!$C$38, 0.0357, 0)</f>
        <v>45.160499999999999</v>
      </c>
      <c r="F630" s="27">
        <f>45.1248 * CHOOSE(CONTROL!$C$15, $E$9, 100%, $G$9) + CHOOSE(CONTROL!$C$38, 0.0266, 0)</f>
        <v>45.151400000000002</v>
      </c>
      <c r="G630" s="10">
        <f>41.7047 * CHOOSE(CONTROL!$C$15, $E$9, 100%, $G$9) + CHOOSE(CONTROL!$C$38, 0.0357, 0)</f>
        <v>41.740400000000001</v>
      </c>
      <c r="H630" s="10">
        <f>41.7047 * CHOOSE(CONTROL!$C$15, $E$9, 100%, $G$9) + CHOOSE(CONTROL!$C$38, 0.0357, 0)</f>
        <v>41.740400000000001</v>
      </c>
      <c r="I630" s="10">
        <f>41.7063 * CHOOSE(CONTROL!$C$15, $E$9, 100%, $G$9) + CHOOSE(CONTROL!$C$38, 0.0357, 0)</f>
        <v>41.741999999999997</v>
      </c>
      <c r="J630" s="26">
        <f>313.4166</f>
        <v>313.41660000000002</v>
      </c>
    </row>
    <row r="631" spans="1:10" ht="15.75">
      <c r="A631" s="13">
        <v>60510</v>
      </c>
      <c r="B631" s="10">
        <f>45.383 * CHOOSE(CONTROL!$C$15, $E$9, 100%, $G$9) + CHOOSE(CONTROL!$C$38, 0.0266, 0)</f>
        <v>45.409600000000005</v>
      </c>
      <c r="C631" s="10">
        <f>41.8082 * CHOOSE(CONTROL!$C$15, $E$9, 100%, $G$9) + CHOOSE(CONTROL!$C$38, 0.0357, 0)</f>
        <v>41.843899999999998</v>
      </c>
      <c r="D631" s="10">
        <f>41.8004 * CHOOSE(CONTROL!$C$15, $E$9, 100%, $G$9) + CHOOSE(CONTROL!$C$38, 0.0357, 0)</f>
        <v>41.836100000000002</v>
      </c>
      <c r="E631" s="28">
        <f>45.2267 * CHOOSE(CONTROL!$C$15, $E$9, 100%, $G$9) + CHOOSE(CONTROL!$C$38, 0.0357, 0)</f>
        <v>45.2624</v>
      </c>
      <c r="F631" s="27">
        <f>45.2267 * CHOOSE(CONTROL!$C$15, $E$9, 100%, $G$9) + CHOOSE(CONTROL!$C$38, 0.0266, 0)</f>
        <v>45.253300000000003</v>
      </c>
      <c r="G631" s="10">
        <f>41.8066 * CHOOSE(CONTROL!$C$15, $E$9, 100%, $G$9) + CHOOSE(CONTROL!$C$38, 0.0357, 0)</f>
        <v>41.842300000000002</v>
      </c>
      <c r="H631" s="10">
        <f>41.8066 * CHOOSE(CONTROL!$C$15, $E$9, 100%, $G$9) + CHOOSE(CONTROL!$C$38, 0.0357, 0)</f>
        <v>41.842300000000002</v>
      </c>
      <c r="I631" s="10">
        <f>41.8082 * CHOOSE(CONTROL!$C$15, $E$9, 100%, $G$9) + CHOOSE(CONTROL!$C$38, 0.0357, 0)</f>
        <v>41.843899999999998</v>
      </c>
      <c r="J631" s="26">
        <f>306.1204</f>
        <v>306.12040000000002</v>
      </c>
    </row>
    <row r="632" spans="1:10" ht="15.75">
      <c r="A632" s="13">
        <v>60540</v>
      </c>
      <c r="B632" s="10">
        <f>45.6597 * CHOOSE(CONTROL!$C$15, $E$9, 100%, $G$9) + CHOOSE(CONTROL!$C$38, 0.0266, 0)</f>
        <v>45.686300000000003</v>
      </c>
      <c r="C632" s="10">
        <f>42.085 * CHOOSE(CONTROL!$C$15, $E$9, 100%, $G$9) + CHOOSE(CONTROL!$C$38, 0.0357, 0)</f>
        <v>42.120699999999999</v>
      </c>
      <c r="D632" s="10">
        <f>42.0772 * CHOOSE(CONTROL!$C$15, $E$9, 100%, $G$9) + CHOOSE(CONTROL!$C$38, 0.0357, 0)</f>
        <v>42.112899999999996</v>
      </c>
      <c r="E632" s="28">
        <f>45.5035 * CHOOSE(CONTROL!$C$15, $E$9, 100%, $G$9) + CHOOSE(CONTROL!$C$38, 0.0357, 0)</f>
        <v>45.539200000000001</v>
      </c>
      <c r="F632" s="27">
        <f>45.5035 * CHOOSE(CONTROL!$C$15, $E$9, 100%, $G$9) + CHOOSE(CONTROL!$C$38, 0.0266, 0)</f>
        <v>45.530100000000004</v>
      </c>
      <c r="G632" s="10">
        <f>42.0834 * CHOOSE(CONTROL!$C$15, $E$9, 100%, $G$9) + CHOOSE(CONTROL!$C$38, 0.0357, 0)</f>
        <v>42.119099999999996</v>
      </c>
      <c r="H632" s="10">
        <f>42.0834 * CHOOSE(CONTROL!$C$15, $E$9, 100%, $G$9) + CHOOSE(CONTROL!$C$38, 0.0357, 0)</f>
        <v>42.119099999999996</v>
      </c>
      <c r="I632" s="10">
        <f>42.085 * CHOOSE(CONTROL!$C$15, $E$9, 100%, $G$9) + CHOOSE(CONTROL!$C$38, 0.0357, 0)</f>
        <v>42.120699999999999</v>
      </c>
      <c r="J632" s="26">
        <f>295.9455</f>
        <v>295.94549999999998</v>
      </c>
    </row>
    <row r="633" spans="1:10" ht="15.75">
      <c r="A633" s="13">
        <v>60571</v>
      </c>
      <c r="B633" s="10">
        <f>45.8916 * CHOOSE(CONTROL!$C$15, $E$9, 100%, $G$9) + CHOOSE(CONTROL!$C$38, 0.0266, 0)</f>
        <v>45.918199999999999</v>
      </c>
      <c r="C633" s="10">
        <f>42.3168 * CHOOSE(CONTROL!$C$15, $E$9, 100%, $G$9) + CHOOSE(CONTROL!$C$38, 0.0357, 0)</f>
        <v>42.352499999999999</v>
      </c>
      <c r="D633" s="10">
        <f>42.309 * CHOOSE(CONTROL!$C$15, $E$9, 100%, $G$9) + CHOOSE(CONTROL!$C$38, 0.0357, 0)</f>
        <v>42.344699999999996</v>
      </c>
      <c r="E633" s="28">
        <f>45.7353 * CHOOSE(CONTROL!$C$15, $E$9, 100%, $G$9) + CHOOSE(CONTROL!$C$38, 0.0357, 0)</f>
        <v>45.771000000000001</v>
      </c>
      <c r="F633" s="27">
        <f>45.7353 * CHOOSE(CONTROL!$C$15, $E$9, 100%, $G$9) + CHOOSE(CONTROL!$C$38, 0.0266, 0)</f>
        <v>45.761900000000004</v>
      </c>
      <c r="G633" s="10">
        <f>42.3152 * CHOOSE(CONTROL!$C$15, $E$9, 100%, $G$9) + CHOOSE(CONTROL!$C$38, 0.0357, 0)</f>
        <v>42.350899999999996</v>
      </c>
      <c r="H633" s="10">
        <f>42.3152 * CHOOSE(CONTROL!$C$15, $E$9, 100%, $G$9) + CHOOSE(CONTROL!$C$38, 0.0357, 0)</f>
        <v>42.350899999999996</v>
      </c>
      <c r="I633" s="10">
        <f>42.3168 * CHOOSE(CONTROL!$C$15, $E$9, 100%, $G$9) + CHOOSE(CONTROL!$C$38, 0.0357, 0)</f>
        <v>42.352499999999999</v>
      </c>
      <c r="J633" s="26">
        <f>285.7114</f>
        <v>285.71140000000003</v>
      </c>
    </row>
    <row r="634" spans="1:10" ht="15.75">
      <c r="A634" s="13">
        <v>60601</v>
      </c>
      <c r="B634" s="10">
        <f>46.085 * CHOOSE(CONTROL!$C$15, $E$9, 100%, $G$9) + CHOOSE(CONTROL!$C$38, 0.0266, 0)</f>
        <v>46.111600000000003</v>
      </c>
      <c r="C634" s="10">
        <f>42.5102 * CHOOSE(CONTROL!$C$15, $E$9, 100%, $G$9) + CHOOSE(CONTROL!$C$38, 0.0357, 0)</f>
        <v>42.545899999999996</v>
      </c>
      <c r="D634" s="10">
        <f>42.5024 * CHOOSE(CONTROL!$C$15, $E$9, 100%, $G$9) + CHOOSE(CONTROL!$C$38, 0.0357, 0)</f>
        <v>42.5381</v>
      </c>
      <c r="E634" s="28">
        <f>45.9288 * CHOOSE(CONTROL!$C$15, $E$9, 100%, $G$9) + CHOOSE(CONTROL!$C$38, 0.0357, 0)</f>
        <v>45.964500000000001</v>
      </c>
      <c r="F634" s="27">
        <f>45.9288 * CHOOSE(CONTROL!$C$15, $E$9, 100%, $G$9) + CHOOSE(CONTROL!$C$38, 0.0266, 0)</f>
        <v>45.955400000000004</v>
      </c>
      <c r="G634" s="10">
        <f>42.5087 * CHOOSE(CONTROL!$C$15, $E$9, 100%, $G$9) + CHOOSE(CONTROL!$C$38, 0.0357, 0)</f>
        <v>42.544399999999996</v>
      </c>
      <c r="H634" s="10">
        <f>42.5087 * CHOOSE(CONTROL!$C$15, $E$9, 100%, $G$9) + CHOOSE(CONTROL!$C$38, 0.0357, 0)</f>
        <v>42.544399999999996</v>
      </c>
      <c r="I634" s="10">
        <f>42.5102 * CHOOSE(CONTROL!$C$15, $E$9, 100%, $G$9) + CHOOSE(CONTROL!$C$38, 0.0357, 0)</f>
        <v>42.545899999999996</v>
      </c>
      <c r="J634" s="26">
        <f>283.6756</f>
        <v>283.67559999999997</v>
      </c>
    </row>
    <row r="635" spans="1:10" ht="15.75">
      <c r="A635" s="13">
        <v>60632</v>
      </c>
      <c r="B635" s="10">
        <f>46.6811 * CHOOSE(CONTROL!$C$15, $E$9, 100%, $G$9) + CHOOSE(CONTROL!$C$38, 0.0266, 0)</f>
        <v>46.707700000000003</v>
      </c>
      <c r="C635" s="10">
        <f>43.1063 * CHOOSE(CONTROL!$C$15, $E$9, 100%, $G$9) + CHOOSE(CONTROL!$C$38, 0.0357, 0)</f>
        <v>43.141999999999996</v>
      </c>
      <c r="D635" s="10">
        <f>43.0985 * CHOOSE(CONTROL!$C$15, $E$9, 100%, $G$9) + CHOOSE(CONTROL!$C$38, 0.0357, 0)</f>
        <v>43.1342</v>
      </c>
      <c r="E635" s="28">
        <f>46.5248 * CHOOSE(CONTROL!$C$15, $E$9, 100%, $G$9) + CHOOSE(CONTROL!$C$38, 0.0357, 0)</f>
        <v>46.560499999999998</v>
      </c>
      <c r="F635" s="27">
        <f>46.5248 * CHOOSE(CONTROL!$C$15, $E$9, 100%, $G$9) + CHOOSE(CONTROL!$C$38, 0.0266, 0)</f>
        <v>46.551400000000001</v>
      </c>
      <c r="G635" s="10">
        <f>43.1047 * CHOOSE(CONTROL!$C$15, $E$9, 100%, $G$9) + CHOOSE(CONTROL!$C$38, 0.0357, 0)</f>
        <v>43.1404</v>
      </c>
      <c r="H635" s="10">
        <f>43.1047 * CHOOSE(CONTROL!$C$15, $E$9, 100%, $G$9) + CHOOSE(CONTROL!$C$38, 0.0357, 0)</f>
        <v>43.1404</v>
      </c>
      <c r="I635" s="10">
        <f>43.1063 * CHOOSE(CONTROL!$C$15, $E$9, 100%, $G$9) + CHOOSE(CONTROL!$C$38, 0.0357, 0)</f>
        <v>43.141999999999996</v>
      </c>
      <c r="J635" s="26">
        <f>275.2575</f>
        <v>275.25749999999999</v>
      </c>
    </row>
    <row r="636" spans="1:10" ht="15.75">
      <c r="A636" s="13">
        <v>60663</v>
      </c>
      <c r="B636" s="10">
        <f>47.9558 * CHOOSE(CONTROL!$C$15, $E$9, 100%, $G$9) + CHOOSE(CONTROL!$C$38, 0.0266, 0)</f>
        <v>47.982400000000005</v>
      </c>
      <c r="C636" s="10">
        <f>44.3206 * CHOOSE(CONTROL!$C$15, $E$9, 100%, $G$9) + CHOOSE(CONTROL!$C$38, 0.0357, 0)</f>
        <v>44.356299999999997</v>
      </c>
      <c r="D636" s="10">
        <f>44.3128 * CHOOSE(CONTROL!$C$15, $E$9, 100%, $G$9) + CHOOSE(CONTROL!$C$38, 0.0357, 0)</f>
        <v>44.348500000000001</v>
      </c>
      <c r="E636" s="28">
        <f>47.7996 * CHOOSE(CONTROL!$C$15, $E$9, 100%, $G$9) + CHOOSE(CONTROL!$C$38, 0.0357, 0)</f>
        <v>47.835299999999997</v>
      </c>
      <c r="F636" s="27">
        <f>47.7996 * CHOOSE(CONTROL!$C$15, $E$9, 100%, $G$9) + CHOOSE(CONTROL!$C$38, 0.0266, 0)</f>
        <v>47.8262</v>
      </c>
      <c r="G636" s="10">
        <f>44.3191 * CHOOSE(CONTROL!$C$15, $E$9, 100%, $G$9) + CHOOSE(CONTROL!$C$38, 0.0357, 0)</f>
        <v>44.354799999999997</v>
      </c>
      <c r="H636" s="10">
        <f>44.3191 * CHOOSE(CONTROL!$C$15, $E$9, 100%, $G$9) + CHOOSE(CONTROL!$C$38, 0.0357, 0)</f>
        <v>44.354799999999997</v>
      </c>
      <c r="I636" s="10">
        <f>44.3206 * CHOOSE(CONTROL!$C$15, $E$9, 100%, $G$9) + CHOOSE(CONTROL!$C$38, 0.0357, 0)</f>
        <v>44.356299999999997</v>
      </c>
      <c r="J636" s="26">
        <f>273.4137</f>
        <v>273.41370000000001</v>
      </c>
    </row>
    <row r="637" spans="1:10" ht="15.75">
      <c r="A637" s="13">
        <v>60691</v>
      </c>
      <c r="B637" s="10">
        <f>48.1766 * CHOOSE(CONTROL!$C$15, $E$9, 100%, $G$9) + CHOOSE(CONTROL!$C$38, 0.0266, 0)</f>
        <v>48.203200000000002</v>
      </c>
      <c r="C637" s="10">
        <f>44.5414 * CHOOSE(CONTROL!$C$15, $E$9, 100%, $G$9) + CHOOSE(CONTROL!$C$38, 0.0357, 0)</f>
        <v>44.577100000000002</v>
      </c>
      <c r="D637" s="10">
        <f>44.5336 * CHOOSE(CONTROL!$C$15, $E$9, 100%, $G$9) + CHOOSE(CONTROL!$C$38, 0.0357, 0)</f>
        <v>44.569299999999998</v>
      </c>
      <c r="E637" s="28">
        <f>48.0203 * CHOOSE(CONTROL!$C$15, $E$9, 100%, $G$9) + CHOOSE(CONTROL!$C$38, 0.0357, 0)</f>
        <v>48.055999999999997</v>
      </c>
      <c r="F637" s="27">
        <f>48.0203 * CHOOSE(CONTROL!$C$15, $E$9, 100%, $G$9) + CHOOSE(CONTROL!$C$38, 0.0266, 0)</f>
        <v>48.046900000000001</v>
      </c>
      <c r="G637" s="10">
        <f>44.5398 * CHOOSE(CONTROL!$C$15, $E$9, 100%, $G$9) + CHOOSE(CONTROL!$C$38, 0.0357, 0)</f>
        <v>44.575499999999998</v>
      </c>
      <c r="H637" s="10">
        <f>44.5398 * CHOOSE(CONTROL!$C$15, $E$9, 100%, $G$9) + CHOOSE(CONTROL!$C$38, 0.0357, 0)</f>
        <v>44.575499999999998</v>
      </c>
      <c r="I637" s="10">
        <f>44.5414 * CHOOSE(CONTROL!$C$15, $E$9, 100%, $G$9) + CHOOSE(CONTROL!$C$38, 0.0357, 0)</f>
        <v>44.577100000000002</v>
      </c>
      <c r="J637" s="26">
        <f>272.6537</f>
        <v>272.65370000000001</v>
      </c>
    </row>
    <row r="638" spans="1:10" ht="15.75">
      <c r="A638" s="13">
        <v>60722</v>
      </c>
      <c r="B638" s="10">
        <f>47.6655 * CHOOSE(CONTROL!$C$15, $E$9, 100%, $G$9) + CHOOSE(CONTROL!$C$38, 0.0266, 0)</f>
        <v>47.692100000000003</v>
      </c>
      <c r="C638" s="10">
        <f>44.0304 * CHOOSE(CONTROL!$C$15, $E$9, 100%, $G$9) + CHOOSE(CONTROL!$C$38, 0.0357, 0)</f>
        <v>44.066099999999999</v>
      </c>
      <c r="D638" s="10">
        <f>44.0225 * CHOOSE(CONTROL!$C$15, $E$9, 100%, $G$9) + CHOOSE(CONTROL!$C$38, 0.0357, 0)</f>
        <v>44.058199999999999</v>
      </c>
      <c r="E638" s="28">
        <f>47.5093 * CHOOSE(CONTROL!$C$15, $E$9, 100%, $G$9) + CHOOSE(CONTROL!$C$38, 0.0357, 0)</f>
        <v>47.545000000000002</v>
      </c>
      <c r="F638" s="27">
        <f>47.5093 * CHOOSE(CONTROL!$C$15, $E$9, 100%, $G$9) + CHOOSE(CONTROL!$C$38, 0.0266, 0)</f>
        <v>47.535900000000005</v>
      </c>
      <c r="G638" s="10">
        <f>44.0288 * CHOOSE(CONTROL!$C$15, $E$9, 100%, $G$9) + CHOOSE(CONTROL!$C$38, 0.0357, 0)</f>
        <v>44.064499999999995</v>
      </c>
      <c r="H638" s="10">
        <f>44.0288 * CHOOSE(CONTROL!$C$15, $E$9, 100%, $G$9) + CHOOSE(CONTROL!$C$38, 0.0357, 0)</f>
        <v>44.064499999999995</v>
      </c>
      <c r="I638" s="10">
        <f>44.0304 * CHOOSE(CONTROL!$C$15, $E$9, 100%, $G$9) + CHOOSE(CONTROL!$C$38, 0.0357, 0)</f>
        <v>44.066099999999999</v>
      </c>
      <c r="J638" s="26">
        <f>287.0241</f>
        <v>287.02409999999998</v>
      </c>
    </row>
    <row r="639" spans="1:10" ht="15.75">
      <c r="A639" s="13">
        <v>60752</v>
      </c>
      <c r="B639" s="10">
        <f>47.1704 * CHOOSE(CONTROL!$C$15, $E$9, 100%, $G$9) + CHOOSE(CONTROL!$C$38, 0.0266, 0)</f>
        <v>47.197000000000003</v>
      </c>
      <c r="C639" s="10">
        <f>43.5352 * CHOOSE(CONTROL!$C$15, $E$9, 100%, $G$9) + CHOOSE(CONTROL!$C$38, 0.0357, 0)</f>
        <v>43.570900000000002</v>
      </c>
      <c r="D639" s="10">
        <f>43.5274 * CHOOSE(CONTROL!$C$15, $E$9, 100%, $G$9) + CHOOSE(CONTROL!$C$38, 0.0357, 0)</f>
        <v>43.563099999999999</v>
      </c>
      <c r="E639" s="28">
        <f>47.0141 * CHOOSE(CONTROL!$C$15, $E$9, 100%, $G$9) + CHOOSE(CONTROL!$C$38, 0.0357, 0)</f>
        <v>47.049799999999998</v>
      </c>
      <c r="F639" s="27">
        <f>47.0141 * CHOOSE(CONTROL!$C$15, $E$9, 100%, $G$9) + CHOOSE(CONTROL!$C$38, 0.0266, 0)</f>
        <v>47.040700000000001</v>
      </c>
      <c r="G639" s="10">
        <f>43.5336 * CHOOSE(CONTROL!$C$15, $E$9, 100%, $G$9) + CHOOSE(CONTROL!$C$38, 0.0357, 0)</f>
        <v>43.569299999999998</v>
      </c>
      <c r="H639" s="10">
        <f>43.5336 * CHOOSE(CONTROL!$C$15, $E$9, 100%, $G$9) + CHOOSE(CONTROL!$C$38, 0.0357, 0)</f>
        <v>43.569299999999998</v>
      </c>
      <c r="I639" s="10">
        <f>43.5352 * CHOOSE(CONTROL!$C$15, $E$9, 100%, $G$9) + CHOOSE(CONTROL!$C$38, 0.0357, 0)</f>
        <v>43.570900000000002</v>
      </c>
      <c r="J639" s="26">
        <f>305.6592</f>
        <v>305.6592</v>
      </c>
    </row>
    <row r="640" spans="1:10" ht="15.75">
      <c r="A640" s="13">
        <v>60783</v>
      </c>
      <c r="B640" s="10">
        <f>46.6542 * CHOOSE(CONTROL!$C$15, $E$9, 100%, $G$9) + CHOOSE(CONTROL!$C$38, 0.0266, 0)</f>
        <v>46.680800000000005</v>
      </c>
      <c r="C640" s="10">
        <f>43.0191 * CHOOSE(CONTROL!$C$15, $E$9, 100%, $G$9) + CHOOSE(CONTROL!$C$38, 0.0357, 0)</f>
        <v>43.0548</v>
      </c>
      <c r="D640" s="10">
        <f>43.0113 * CHOOSE(CONTROL!$C$15, $E$9, 100%, $G$9) + CHOOSE(CONTROL!$C$38, 0.0357, 0)</f>
        <v>43.046999999999997</v>
      </c>
      <c r="E640" s="28">
        <f>46.498 * CHOOSE(CONTROL!$C$15, $E$9, 100%, $G$9) + CHOOSE(CONTROL!$C$38, 0.0357, 0)</f>
        <v>46.533699999999996</v>
      </c>
      <c r="F640" s="27">
        <f>46.498 * CHOOSE(CONTROL!$C$15, $E$9, 100%, $G$9) + CHOOSE(CONTROL!$C$38, 0.0266, 0)</f>
        <v>46.5246</v>
      </c>
      <c r="G640" s="10">
        <f>43.0175 * CHOOSE(CONTROL!$C$15, $E$9, 100%, $G$9) + CHOOSE(CONTROL!$C$38, 0.0357, 0)</f>
        <v>43.053199999999997</v>
      </c>
      <c r="H640" s="10">
        <f>43.0175 * CHOOSE(CONTROL!$C$15, $E$9, 100%, $G$9) + CHOOSE(CONTROL!$C$38, 0.0357, 0)</f>
        <v>43.053199999999997</v>
      </c>
      <c r="I640" s="10">
        <f>43.0191 * CHOOSE(CONTROL!$C$15, $E$9, 100%, $G$9) + CHOOSE(CONTROL!$C$38, 0.0357, 0)</f>
        <v>43.0548</v>
      </c>
      <c r="J640" s="26">
        <f>315.9165</f>
        <v>315.91649999999998</v>
      </c>
    </row>
    <row r="641" spans="1:10" ht="15.75">
      <c r="A641" s="13">
        <v>60813</v>
      </c>
      <c r="B641" s="10">
        <f>46.2924 * CHOOSE(CONTROL!$C$15, $E$9, 100%, $G$9) + CHOOSE(CONTROL!$C$38, 0.0266, 0)</f>
        <v>46.319000000000003</v>
      </c>
      <c r="C641" s="10">
        <f>42.6572 * CHOOSE(CONTROL!$C$15, $E$9, 100%, $G$9) + CHOOSE(CONTROL!$C$38, 0.0357, 0)</f>
        <v>42.692900000000002</v>
      </c>
      <c r="D641" s="10">
        <f>42.6494 * CHOOSE(CONTROL!$C$15, $E$9, 100%, $G$9) + CHOOSE(CONTROL!$C$38, 0.0357, 0)</f>
        <v>42.685099999999998</v>
      </c>
      <c r="E641" s="28">
        <f>46.1362 * CHOOSE(CONTROL!$C$15, $E$9, 100%, $G$9) + CHOOSE(CONTROL!$C$38, 0.0357, 0)</f>
        <v>46.171900000000001</v>
      </c>
      <c r="F641" s="27">
        <f>46.1362 * CHOOSE(CONTROL!$C$15, $E$9, 100%, $G$9) + CHOOSE(CONTROL!$C$38, 0.0266, 0)</f>
        <v>46.162800000000004</v>
      </c>
      <c r="G641" s="10">
        <f>42.6557 * CHOOSE(CONTROL!$C$15, $E$9, 100%, $G$9) + CHOOSE(CONTROL!$C$38, 0.0357, 0)</f>
        <v>42.691400000000002</v>
      </c>
      <c r="H641" s="10">
        <f>42.6557 * CHOOSE(CONTROL!$C$15, $E$9, 100%, $G$9) + CHOOSE(CONTROL!$C$38, 0.0357, 0)</f>
        <v>42.691400000000002</v>
      </c>
      <c r="I641" s="10">
        <f>42.6572 * CHOOSE(CONTROL!$C$15, $E$9, 100%, $G$9) + CHOOSE(CONTROL!$C$38, 0.0357, 0)</f>
        <v>42.692900000000002</v>
      </c>
      <c r="J641" s="26">
        <f>320.4685</f>
        <v>320.46850000000001</v>
      </c>
    </row>
    <row r="642" spans="1:10" ht="15.75">
      <c r="A642" s="13">
        <v>60844</v>
      </c>
      <c r="B642" s="10">
        <f>46.0859 * CHOOSE(CONTROL!$C$15, $E$9, 100%, $G$9) + CHOOSE(CONTROL!$C$38, 0.0266, 0)</f>
        <v>46.112500000000004</v>
      </c>
      <c r="C642" s="10">
        <f>42.4507 * CHOOSE(CONTROL!$C$15, $E$9, 100%, $G$9) + CHOOSE(CONTROL!$C$38, 0.0357, 0)</f>
        <v>42.486399999999996</v>
      </c>
      <c r="D642" s="10">
        <f>42.4429 * CHOOSE(CONTROL!$C$15, $E$9, 100%, $G$9) + CHOOSE(CONTROL!$C$38, 0.0357, 0)</f>
        <v>42.4786</v>
      </c>
      <c r="E642" s="28">
        <f>45.9297 * CHOOSE(CONTROL!$C$15, $E$9, 100%, $G$9) + CHOOSE(CONTROL!$C$38, 0.0357, 0)</f>
        <v>45.965399999999995</v>
      </c>
      <c r="F642" s="27">
        <f>45.9297 * CHOOSE(CONTROL!$C$15, $E$9, 100%, $G$9) + CHOOSE(CONTROL!$C$38, 0.0266, 0)</f>
        <v>45.956299999999999</v>
      </c>
      <c r="G642" s="10">
        <f>42.4492 * CHOOSE(CONTROL!$C$15, $E$9, 100%, $G$9) + CHOOSE(CONTROL!$C$38, 0.0357, 0)</f>
        <v>42.484899999999996</v>
      </c>
      <c r="H642" s="10">
        <f>42.4492 * CHOOSE(CONTROL!$C$15, $E$9, 100%, $G$9) + CHOOSE(CONTROL!$C$38, 0.0357, 0)</f>
        <v>42.484899999999996</v>
      </c>
      <c r="I642" s="10">
        <f>42.4507 * CHOOSE(CONTROL!$C$15, $E$9, 100%, $G$9) + CHOOSE(CONTROL!$C$38, 0.0357, 0)</f>
        <v>42.486399999999996</v>
      </c>
      <c r="J642" s="26">
        <f>318.9697</f>
        <v>318.96969999999999</v>
      </c>
    </row>
    <row r="643" spans="1:10" ht="15.75">
      <c r="A643" s="13">
        <v>60875</v>
      </c>
      <c r="B643" s="10">
        <f>46.1878 * CHOOSE(CONTROL!$C$15, $E$9, 100%, $G$9) + CHOOSE(CONTROL!$C$38, 0.0266, 0)</f>
        <v>46.214400000000005</v>
      </c>
      <c r="C643" s="10">
        <f>42.5527 * CHOOSE(CONTROL!$C$15, $E$9, 100%, $G$9) + CHOOSE(CONTROL!$C$38, 0.0357, 0)</f>
        <v>42.5884</v>
      </c>
      <c r="D643" s="10">
        <f>42.5448 * CHOOSE(CONTROL!$C$15, $E$9, 100%, $G$9) + CHOOSE(CONTROL!$C$38, 0.0357, 0)</f>
        <v>42.580500000000001</v>
      </c>
      <c r="E643" s="28">
        <f>46.0316 * CHOOSE(CONTROL!$C$15, $E$9, 100%, $G$9) + CHOOSE(CONTROL!$C$38, 0.0357, 0)</f>
        <v>46.067299999999996</v>
      </c>
      <c r="F643" s="27">
        <f>46.0316 * CHOOSE(CONTROL!$C$15, $E$9, 100%, $G$9) + CHOOSE(CONTROL!$C$38, 0.0266, 0)</f>
        <v>46.058199999999999</v>
      </c>
      <c r="G643" s="10">
        <f>42.5511 * CHOOSE(CONTROL!$C$15, $E$9, 100%, $G$9) + CHOOSE(CONTROL!$C$38, 0.0357, 0)</f>
        <v>42.586799999999997</v>
      </c>
      <c r="H643" s="10">
        <f>42.5511 * CHOOSE(CONTROL!$C$15, $E$9, 100%, $G$9) + CHOOSE(CONTROL!$C$38, 0.0357, 0)</f>
        <v>42.586799999999997</v>
      </c>
      <c r="I643" s="10">
        <f>42.5527 * CHOOSE(CONTROL!$C$15, $E$9, 100%, $G$9) + CHOOSE(CONTROL!$C$38, 0.0357, 0)</f>
        <v>42.5884</v>
      </c>
      <c r="J643" s="26">
        <f>311.5443</f>
        <v>311.54430000000002</v>
      </c>
    </row>
    <row r="644" spans="1:10" ht="15.75">
      <c r="A644" s="13">
        <v>60905</v>
      </c>
      <c r="B644" s="10">
        <f>46.4646 * CHOOSE(CONTROL!$C$15, $E$9, 100%, $G$9) + CHOOSE(CONTROL!$C$38, 0.0266, 0)</f>
        <v>46.491199999999999</v>
      </c>
      <c r="C644" s="10">
        <f>42.8294 * CHOOSE(CONTROL!$C$15, $E$9, 100%, $G$9) + CHOOSE(CONTROL!$C$38, 0.0357, 0)</f>
        <v>42.865099999999998</v>
      </c>
      <c r="D644" s="10">
        <f>42.8216 * CHOOSE(CONTROL!$C$15, $E$9, 100%, $G$9) + CHOOSE(CONTROL!$C$38, 0.0357, 0)</f>
        <v>42.857299999999995</v>
      </c>
      <c r="E644" s="28">
        <f>46.3084 * CHOOSE(CONTROL!$C$15, $E$9, 100%, $G$9) + CHOOSE(CONTROL!$C$38, 0.0357, 0)</f>
        <v>46.344099999999997</v>
      </c>
      <c r="F644" s="27">
        <f>46.3084 * CHOOSE(CONTROL!$C$15, $E$9, 100%, $G$9) + CHOOSE(CONTROL!$C$38, 0.0266, 0)</f>
        <v>46.335000000000001</v>
      </c>
      <c r="G644" s="10">
        <f>42.8279 * CHOOSE(CONTROL!$C$15, $E$9, 100%, $G$9) + CHOOSE(CONTROL!$C$38, 0.0357, 0)</f>
        <v>42.863599999999998</v>
      </c>
      <c r="H644" s="10">
        <f>42.8279 * CHOOSE(CONTROL!$C$15, $E$9, 100%, $G$9) + CHOOSE(CONTROL!$C$38, 0.0357, 0)</f>
        <v>42.863599999999998</v>
      </c>
      <c r="I644" s="10">
        <f>42.8294 * CHOOSE(CONTROL!$C$15, $E$9, 100%, $G$9) + CHOOSE(CONTROL!$C$38, 0.0357, 0)</f>
        <v>42.865099999999998</v>
      </c>
      <c r="J644" s="26">
        <f>301.1891</f>
        <v>301.1891</v>
      </c>
    </row>
    <row r="645" spans="1:10" ht="15.75">
      <c r="A645" s="13">
        <v>60936</v>
      </c>
      <c r="B645" s="10">
        <f>46.6965 * CHOOSE(CONTROL!$C$15, $E$9, 100%, $G$9) + CHOOSE(CONTROL!$C$38, 0.0266, 0)</f>
        <v>46.723100000000002</v>
      </c>
      <c r="C645" s="10">
        <f>43.0613 * CHOOSE(CONTROL!$C$15, $E$9, 100%, $G$9) + CHOOSE(CONTROL!$C$38, 0.0357, 0)</f>
        <v>43.097000000000001</v>
      </c>
      <c r="D645" s="10">
        <f>43.0535 * CHOOSE(CONTROL!$C$15, $E$9, 100%, $G$9) + CHOOSE(CONTROL!$C$38, 0.0357, 0)</f>
        <v>43.089199999999998</v>
      </c>
      <c r="E645" s="28">
        <f>46.5402 * CHOOSE(CONTROL!$C$15, $E$9, 100%, $G$9) + CHOOSE(CONTROL!$C$38, 0.0357, 0)</f>
        <v>46.575899999999997</v>
      </c>
      <c r="F645" s="27">
        <f>46.5402 * CHOOSE(CONTROL!$C$15, $E$9, 100%, $G$9) + CHOOSE(CONTROL!$C$38, 0.0266, 0)</f>
        <v>46.566800000000001</v>
      </c>
      <c r="G645" s="10">
        <f>43.0597 * CHOOSE(CONTROL!$C$15, $E$9, 100%, $G$9) + CHOOSE(CONTROL!$C$38, 0.0357, 0)</f>
        <v>43.095399999999998</v>
      </c>
      <c r="H645" s="10">
        <f>43.0597 * CHOOSE(CONTROL!$C$15, $E$9, 100%, $G$9) + CHOOSE(CONTROL!$C$38, 0.0357, 0)</f>
        <v>43.095399999999998</v>
      </c>
      <c r="I645" s="10">
        <f>43.0613 * CHOOSE(CONTROL!$C$15, $E$9, 100%, $G$9) + CHOOSE(CONTROL!$C$38, 0.0357, 0)</f>
        <v>43.097000000000001</v>
      </c>
      <c r="J645" s="26">
        <f>290.7736</f>
        <v>290.77359999999999</v>
      </c>
    </row>
    <row r="646" spans="1:10" ht="15.75">
      <c r="A646" s="13">
        <v>60966</v>
      </c>
      <c r="B646" s="10">
        <f>46.8899 * CHOOSE(CONTROL!$C$15, $E$9, 100%, $G$9) + CHOOSE(CONTROL!$C$38, 0.0266, 0)</f>
        <v>46.916499999999999</v>
      </c>
      <c r="C646" s="10">
        <f>43.2547 * CHOOSE(CONTROL!$C$15, $E$9, 100%, $G$9) + CHOOSE(CONTROL!$C$38, 0.0357, 0)</f>
        <v>43.290399999999998</v>
      </c>
      <c r="D646" s="10">
        <f>43.2469 * CHOOSE(CONTROL!$C$15, $E$9, 100%, $G$9) + CHOOSE(CONTROL!$C$38, 0.0357, 0)</f>
        <v>43.282599999999995</v>
      </c>
      <c r="E646" s="28">
        <f>46.7336 * CHOOSE(CONTROL!$C$15, $E$9, 100%, $G$9) + CHOOSE(CONTROL!$C$38, 0.0357, 0)</f>
        <v>46.769300000000001</v>
      </c>
      <c r="F646" s="27">
        <f>46.7336 * CHOOSE(CONTROL!$C$15, $E$9, 100%, $G$9) + CHOOSE(CONTROL!$C$38, 0.0266, 0)</f>
        <v>46.760200000000005</v>
      </c>
      <c r="G646" s="10">
        <f>43.2532 * CHOOSE(CONTROL!$C$15, $E$9, 100%, $G$9) + CHOOSE(CONTROL!$C$38, 0.0357, 0)</f>
        <v>43.288899999999998</v>
      </c>
      <c r="H646" s="10">
        <f>43.2532 * CHOOSE(CONTROL!$C$15, $E$9, 100%, $G$9) + CHOOSE(CONTROL!$C$38, 0.0357, 0)</f>
        <v>43.288899999999998</v>
      </c>
      <c r="I646" s="10">
        <f>43.2547 * CHOOSE(CONTROL!$C$15, $E$9, 100%, $G$9) + CHOOSE(CONTROL!$C$38, 0.0357, 0)</f>
        <v>43.290399999999998</v>
      </c>
      <c r="J646" s="26">
        <f>288.7018</f>
        <v>288.70179999999999</v>
      </c>
    </row>
    <row r="647" spans="1:10" ht="15.75">
      <c r="A647" s="13">
        <v>60997</v>
      </c>
      <c r="B647" s="10">
        <f>47.486 * CHOOSE(CONTROL!$C$15, $E$9, 100%, $G$9) + CHOOSE(CONTROL!$C$38, 0.0266, 0)</f>
        <v>47.512599999999999</v>
      </c>
      <c r="C647" s="10">
        <f>43.8508 * CHOOSE(CONTROL!$C$15, $E$9, 100%, $G$9) + CHOOSE(CONTROL!$C$38, 0.0357, 0)</f>
        <v>43.886499999999998</v>
      </c>
      <c r="D647" s="10">
        <f>43.843 * CHOOSE(CONTROL!$C$15, $E$9, 100%, $G$9) + CHOOSE(CONTROL!$C$38, 0.0357, 0)</f>
        <v>43.878700000000002</v>
      </c>
      <c r="E647" s="28">
        <f>47.3297 * CHOOSE(CONTROL!$C$15, $E$9, 100%, $G$9) + CHOOSE(CONTROL!$C$38, 0.0357, 0)</f>
        <v>47.365400000000001</v>
      </c>
      <c r="F647" s="27">
        <f>47.3297 * CHOOSE(CONTROL!$C$15, $E$9, 100%, $G$9) + CHOOSE(CONTROL!$C$38, 0.0266, 0)</f>
        <v>47.356300000000005</v>
      </c>
      <c r="G647" s="10">
        <f>43.8492 * CHOOSE(CONTROL!$C$15, $E$9, 100%, $G$9) + CHOOSE(CONTROL!$C$38, 0.0357, 0)</f>
        <v>43.884900000000002</v>
      </c>
      <c r="H647" s="10">
        <f>43.8492 * CHOOSE(CONTROL!$C$15, $E$9, 100%, $G$9) + CHOOSE(CONTROL!$C$38, 0.0357, 0)</f>
        <v>43.884900000000002</v>
      </c>
      <c r="I647" s="10">
        <f>43.8508 * CHOOSE(CONTROL!$C$15, $E$9, 100%, $G$9) + CHOOSE(CONTROL!$C$38, 0.0357, 0)</f>
        <v>43.886499999999998</v>
      </c>
      <c r="J647" s="26">
        <f>280.1346</f>
        <v>280.13459999999998</v>
      </c>
    </row>
    <row r="648" spans="1:10" ht="15.75">
      <c r="A648" s="13">
        <v>61028</v>
      </c>
      <c r="B648" s="10">
        <f>48.7749 * CHOOSE(CONTROL!$C$15, $E$9, 100%, $G$9) + CHOOSE(CONTROL!$C$38, 0.0266, 0)</f>
        <v>48.801500000000004</v>
      </c>
      <c r="C648" s="10">
        <f>45.0783 * CHOOSE(CONTROL!$C$15, $E$9, 100%, $G$9) + CHOOSE(CONTROL!$C$38, 0.0357, 0)</f>
        <v>45.113999999999997</v>
      </c>
      <c r="D648" s="10">
        <f>45.0705 * CHOOSE(CONTROL!$C$15, $E$9, 100%, $G$9) + CHOOSE(CONTROL!$C$38, 0.0357, 0)</f>
        <v>45.106200000000001</v>
      </c>
      <c r="E648" s="28">
        <f>48.6187 * CHOOSE(CONTROL!$C$15, $E$9, 100%, $G$9) + CHOOSE(CONTROL!$C$38, 0.0357, 0)</f>
        <v>48.654399999999995</v>
      </c>
      <c r="F648" s="27">
        <f>48.6187 * CHOOSE(CONTROL!$C$15, $E$9, 100%, $G$9) + CHOOSE(CONTROL!$C$38, 0.0266, 0)</f>
        <v>48.645299999999999</v>
      </c>
      <c r="G648" s="10">
        <f>45.0767 * CHOOSE(CONTROL!$C$15, $E$9, 100%, $G$9) + CHOOSE(CONTROL!$C$38, 0.0357, 0)</f>
        <v>45.112400000000001</v>
      </c>
      <c r="H648" s="10">
        <f>45.0767 * CHOOSE(CONTROL!$C$15, $E$9, 100%, $G$9) + CHOOSE(CONTROL!$C$38, 0.0357, 0)</f>
        <v>45.112400000000001</v>
      </c>
      <c r="I648" s="10">
        <f>45.0783 * CHOOSE(CONTROL!$C$15, $E$9, 100%, $G$9) + CHOOSE(CONTROL!$C$38, 0.0357, 0)</f>
        <v>45.113999999999997</v>
      </c>
      <c r="J648" s="26">
        <f>278.2581</f>
        <v>278.25810000000001</v>
      </c>
    </row>
    <row r="649" spans="1:10" ht="15.75">
      <c r="A649" s="13">
        <v>61056</v>
      </c>
      <c r="B649" s="10">
        <f>48.9957 * CHOOSE(CONTROL!$C$15, $E$9, 100%, $G$9) + CHOOSE(CONTROL!$C$38, 0.0266, 0)</f>
        <v>49.022300000000001</v>
      </c>
      <c r="C649" s="10">
        <f>45.299 * CHOOSE(CONTROL!$C$15, $E$9, 100%, $G$9) + CHOOSE(CONTROL!$C$38, 0.0357, 0)</f>
        <v>45.334699999999998</v>
      </c>
      <c r="D649" s="10">
        <f>45.2912 * CHOOSE(CONTROL!$C$15, $E$9, 100%, $G$9) + CHOOSE(CONTROL!$C$38, 0.0357, 0)</f>
        <v>45.326900000000002</v>
      </c>
      <c r="E649" s="28">
        <f>48.8394 * CHOOSE(CONTROL!$C$15, $E$9, 100%, $G$9) + CHOOSE(CONTROL!$C$38, 0.0357, 0)</f>
        <v>48.875099999999996</v>
      </c>
      <c r="F649" s="27">
        <f>48.8394 * CHOOSE(CONTROL!$C$15, $E$9, 100%, $G$9) + CHOOSE(CONTROL!$C$38, 0.0266, 0)</f>
        <v>48.866</v>
      </c>
      <c r="G649" s="10">
        <f>45.2975 * CHOOSE(CONTROL!$C$15, $E$9, 100%, $G$9) + CHOOSE(CONTROL!$C$38, 0.0357, 0)</f>
        <v>45.333199999999998</v>
      </c>
      <c r="H649" s="10">
        <f>45.2975 * CHOOSE(CONTROL!$C$15, $E$9, 100%, $G$9) + CHOOSE(CONTROL!$C$38, 0.0357, 0)</f>
        <v>45.333199999999998</v>
      </c>
      <c r="I649" s="10">
        <f>45.299 * CHOOSE(CONTROL!$C$15, $E$9, 100%, $G$9) + CHOOSE(CONTROL!$C$38, 0.0357, 0)</f>
        <v>45.334699999999998</v>
      </c>
      <c r="J649" s="26">
        <f>277.4846</f>
        <v>277.4846</v>
      </c>
    </row>
    <row r="650" spans="1:10" ht="15.75">
      <c r="A650" s="13">
        <v>61087</v>
      </c>
      <c r="B650" s="10">
        <f>48.4846 * CHOOSE(CONTROL!$C$15, $E$9, 100%, $G$9) + CHOOSE(CONTROL!$C$38, 0.0266, 0)</f>
        <v>48.511200000000002</v>
      </c>
      <c r="C650" s="10">
        <f>44.788 * CHOOSE(CONTROL!$C$15, $E$9, 100%, $G$9) + CHOOSE(CONTROL!$C$38, 0.0357, 0)</f>
        <v>44.823699999999995</v>
      </c>
      <c r="D650" s="10">
        <f>44.7802 * CHOOSE(CONTROL!$C$15, $E$9, 100%, $G$9) + CHOOSE(CONTROL!$C$38, 0.0357, 0)</f>
        <v>44.815899999999999</v>
      </c>
      <c r="E650" s="28">
        <f>48.3284 * CHOOSE(CONTROL!$C$15, $E$9, 100%, $G$9) + CHOOSE(CONTROL!$C$38, 0.0357, 0)</f>
        <v>48.364100000000001</v>
      </c>
      <c r="F650" s="27">
        <f>48.3284 * CHOOSE(CONTROL!$C$15, $E$9, 100%, $G$9) + CHOOSE(CONTROL!$C$38, 0.0266, 0)</f>
        <v>48.355000000000004</v>
      </c>
      <c r="G650" s="10">
        <f>44.7864 * CHOOSE(CONTROL!$C$15, $E$9, 100%, $G$9) + CHOOSE(CONTROL!$C$38, 0.0357, 0)</f>
        <v>44.822099999999999</v>
      </c>
      <c r="H650" s="10">
        <f>44.7864 * CHOOSE(CONTROL!$C$15, $E$9, 100%, $G$9) + CHOOSE(CONTROL!$C$38, 0.0357, 0)</f>
        <v>44.822099999999999</v>
      </c>
      <c r="I650" s="10">
        <f>44.788 * CHOOSE(CONTROL!$C$15, $E$9, 100%, $G$9) + CHOOSE(CONTROL!$C$38, 0.0357, 0)</f>
        <v>44.823699999999995</v>
      </c>
      <c r="J650" s="26">
        <f>292.1097</f>
        <v>292.10969999999998</v>
      </c>
    </row>
    <row r="651" spans="1:10" ht="15.75">
      <c r="A651" s="13">
        <v>61117</v>
      </c>
      <c r="B651" s="10">
        <f>47.9895 * CHOOSE(CONTROL!$C$15, $E$9, 100%, $G$9) + CHOOSE(CONTROL!$C$38, 0.0266, 0)</f>
        <v>48.016100000000002</v>
      </c>
      <c r="C651" s="10">
        <f>44.2928 * CHOOSE(CONTROL!$C$15, $E$9, 100%, $G$9) + CHOOSE(CONTROL!$C$38, 0.0357, 0)</f>
        <v>44.328499999999998</v>
      </c>
      <c r="D651" s="10">
        <f>44.285 * CHOOSE(CONTROL!$C$15, $E$9, 100%, $G$9) + CHOOSE(CONTROL!$C$38, 0.0357, 0)</f>
        <v>44.320699999999995</v>
      </c>
      <c r="E651" s="28">
        <f>47.8332 * CHOOSE(CONTROL!$C$15, $E$9, 100%, $G$9) + CHOOSE(CONTROL!$C$38, 0.0357, 0)</f>
        <v>47.868899999999996</v>
      </c>
      <c r="F651" s="27">
        <f>47.8332 * CHOOSE(CONTROL!$C$15, $E$9, 100%, $G$9) + CHOOSE(CONTROL!$C$38, 0.0266, 0)</f>
        <v>47.8598</v>
      </c>
      <c r="G651" s="10">
        <f>44.2913 * CHOOSE(CONTROL!$C$15, $E$9, 100%, $G$9) + CHOOSE(CONTROL!$C$38, 0.0357, 0)</f>
        <v>44.326999999999998</v>
      </c>
      <c r="H651" s="10">
        <f>44.2913 * CHOOSE(CONTROL!$C$15, $E$9, 100%, $G$9) + CHOOSE(CONTROL!$C$38, 0.0357, 0)</f>
        <v>44.326999999999998</v>
      </c>
      <c r="I651" s="10">
        <f>44.2928 * CHOOSE(CONTROL!$C$15, $E$9, 100%, $G$9) + CHOOSE(CONTROL!$C$38, 0.0357, 0)</f>
        <v>44.328499999999998</v>
      </c>
      <c r="J651" s="26">
        <f>311.0749</f>
        <v>311.07490000000001</v>
      </c>
    </row>
    <row r="652" spans="1:10" ht="15.75">
      <c r="A652" s="13">
        <v>61148</v>
      </c>
      <c r="B652" s="10">
        <f>47.4733 * CHOOSE(CONTROL!$C$15, $E$9, 100%, $G$9) + CHOOSE(CONTROL!$C$38, 0.0266, 0)</f>
        <v>47.499900000000004</v>
      </c>
      <c r="C652" s="10">
        <f>43.7767 * CHOOSE(CONTROL!$C$15, $E$9, 100%, $G$9) + CHOOSE(CONTROL!$C$38, 0.0357, 0)</f>
        <v>43.812399999999997</v>
      </c>
      <c r="D652" s="10">
        <f>43.7689 * CHOOSE(CONTROL!$C$15, $E$9, 100%, $G$9) + CHOOSE(CONTROL!$C$38, 0.0357, 0)</f>
        <v>43.804600000000001</v>
      </c>
      <c r="E652" s="28">
        <f>47.3171 * CHOOSE(CONTROL!$C$15, $E$9, 100%, $G$9) + CHOOSE(CONTROL!$C$38, 0.0357, 0)</f>
        <v>47.352800000000002</v>
      </c>
      <c r="F652" s="27">
        <f>47.3171 * CHOOSE(CONTROL!$C$15, $E$9, 100%, $G$9) + CHOOSE(CONTROL!$C$38, 0.0266, 0)</f>
        <v>47.343700000000005</v>
      </c>
      <c r="G652" s="10">
        <f>43.7751 * CHOOSE(CONTROL!$C$15, $E$9, 100%, $G$9) + CHOOSE(CONTROL!$C$38, 0.0357, 0)</f>
        <v>43.8108</v>
      </c>
      <c r="H652" s="10">
        <f>43.7751 * CHOOSE(CONTROL!$C$15, $E$9, 100%, $G$9) + CHOOSE(CONTROL!$C$38, 0.0357, 0)</f>
        <v>43.8108</v>
      </c>
      <c r="I652" s="10">
        <f>43.7767 * CHOOSE(CONTROL!$C$15, $E$9, 100%, $G$9) + CHOOSE(CONTROL!$C$38, 0.0357, 0)</f>
        <v>43.812399999999997</v>
      </c>
      <c r="J652" s="26">
        <f>321.5139</f>
        <v>321.51389999999998</v>
      </c>
    </row>
    <row r="653" spans="1:10" ht="15.75">
      <c r="A653" s="13">
        <v>61178</v>
      </c>
      <c r="B653" s="10">
        <f>47.1115 * CHOOSE(CONTROL!$C$15, $E$9, 100%, $G$9) + CHOOSE(CONTROL!$C$38, 0.0266, 0)</f>
        <v>47.138100000000001</v>
      </c>
      <c r="C653" s="10">
        <f>43.4149 * CHOOSE(CONTROL!$C$15, $E$9, 100%, $G$9) + CHOOSE(CONTROL!$C$38, 0.0357, 0)</f>
        <v>43.450600000000001</v>
      </c>
      <c r="D653" s="10">
        <f>43.4071 * CHOOSE(CONTROL!$C$15, $E$9, 100%, $G$9) + CHOOSE(CONTROL!$C$38, 0.0357, 0)</f>
        <v>43.442799999999998</v>
      </c>
      <c r="E653" s="28">
        <f>46.9553 * CHOOSE(CONTROL!$C$15, $E$9, 100%, $G$9) + CHOOSE(CONTROL!$C$38, 0.0357, 0)</f>
        <v>46.991</v>
      </c>
      <c r="F653" s="27">
        <f>46.9553 * CHOOSE(CONTROL!$C$15, $E$9, 100%, $G$9) + CHOOSE(CONTROL!$C$38, 0.0266, 0)</f>
        <v>46.981900000000003</v>
      </c>
      <c r="G653" s="10">
        <f>43.4133 * CHOOSE(CONTROL!$C$15, $E$9, 100%, $G$9) + CHOOSE(CONTROL!$C$38, 0.0357, 0)</f>
        <v>43.448999999999998</v>
      </c>
      <c r="H653" s="10">
        <f>43.4133 * CHOOSE(CONTROL!$C$15, $E$9, 100%, $G$9) + CHOOSE(CONTROL!$C$38, 0.0357, 0)</f>
        <v>43.448999999999998</v>
      </c>
      <c r="I653" s="10">
        <f>43.4149 * CHOOSE(CONTROL!$C$15, $E$9, 100%, $G$9) + CHOOSE(CONTROL!$C$38, 0.0357, 0)</f>
        <v>43.450600000000001</v>
      </c>
      <c r="J653" s="26">
        <f>326.1466</f>
        <v>326.14659999999998</v>
      </c>
    </row>
    <row r="654" spans="1:10" ht="15.75">
      <c r="A654" s="13">
        <v>61209</v>
      </c>
      <c r="B654" s="10">
        <f>46.905 * CHOOSE(CONTROL!$C$15, $E$9, 100%, $G$9) + CHOOSE(CONTROL!$C$38, 0.0266, 0)</f>
        <v>46.931600000000003</v>
      </c>
      <c r="C654" s="10">
        <f>43.2084 * CHOOSE(CONTROL!$C$15, $E$9, 100%, $G$9) + CHOOSE(CONTROL!$C$38, 0.0357, 0)</f>
        <v>43.244099999999996</v>
      </c>
      <c r="D654" s="10">
        <f>43.2006 * CHOOSE(CONTROL!$C$15, $E$9, 100%, $G$9) + CHOOSE(CONTROL!$C$38, 0.0357, 0)</f>
        <v>43.2363</v>
      </c>
      <c r="E654" s="28">
        <f>46.7488 * CHOOSE(CONTROL!$C$15, $E$9, 100%, $G$9) + CHOOSE(CONTROL!$C$38, 0.0357, 0)</f>
        <v>46.784500000000001</v>
      </c>
      <c r="F654" s="27">
        <f>46.7488 * CHOOSE(CONTROL!$C$15, $E$9, 100%, $G$9) + CHOOSE(CONTROL!$C$38, 0.0266, 0)</f>
        <v>46.775400000000005</v>
      </c>
      <c r="G654" s="10">
        <f>43.2068 * CHOOSE(CONTROL!$C$15, $E$9, 100%, $G$9) + CHOOSE(CONTROL!$C$38, 0.0357, 0)</f>
        <v>43.2425</v>
      </c>
      <c r="H654" s="10">
        <f>43.2068 * CHOOSE(CONTROL!$C$15, $E$9, 100%, $G$9) + CHOOSE(CONTROL!$C$38, 0.0357, 0)</f>
        <v>43.2425</v>
      </c>
      <c r="I654" s="10">
        <f>43.2084 * CHOOSE(CONTROL!$C$15, $E$9, 100%, $G$9) + CHOOSE(CONTROL!$C$38, 0.0357, 0)</f>
        <v>43.244099999999996</v>
      </c>
      <c r="J654" s="26">
        <f>324.6213</f>
        <v>324.62130000000002</v>
      </c>
    </row>
    <row r="655" spans="1:10" ht="15.75">
      <c r="A655" s="13">
        <v>61240</v>
      </c>
      <c r="B655" s="10">
        <f>47.0069 * CHOOSE(CONTROL!$C$15, $E$9, 100%, $G$9) + CHOOSE(CONTROL!$C$38, 0.0266, 0)</f>
        <v>47.033500000000004</v>
      </c>
      <c r="C655" s="10">
        <f>43.3103 * CHOOSE(CONTROL!$C$15, $E$9, 100%, $G$9) + CHOOSE(CONTROL!$C$38, 0.0357, 0)</f>
        <v>43.345999999999997</v>
      </c>
      <c r="D655" s="10">
        <f>43.3025 * CHOOSE(CONTROL!$C$15, $E$9, 100%, $G$9) + CHOOSE(CONTROL!$C$38, 0.0357, 0)</f>
        <v>43.338200000000001</v>
      </c>
      <c r="E655" s="28">
        <f>46.8507 * CHOOSE(CONTROL!$C$15, $E$9, 100%, $G$9) + CHOOSE(CONTROL!$C$38, 0.0357, 0)</f>
        <v>46.886400000000002</v>
      </c>
      <c r="F655" s="27">
        <f>46.8507 * CHOOSE(CONTROL!$C$15, $E$9, 100%, $G$9) + CHOOSE(CONTROL!$C$38, 0.0266, 0)</f>
        <v>46.877300000000005</v>
      </c>
      <c r="G655" s="10">
        <f>43.3087 * CHOOSE(CONTROL!$C$15, $E$9, 100%, $G$9) + CHOOSE(CONTROL!$C$38, 0.0357, 0)</f>
        <v>43.3444</v>
      </c>
      <c r="H655" s="10">
        <f>43.3087 * CHOOSE(CONTROL!$C$15, $E$9, 100%, $G$9) + CHOOSE(CONTROL!$C$38, 0.0357, 0)</f>
        <v>43.3444</v>
      </c>
      <c r="I655" s="10">
        <f>43.3103 * CHOOSE(CONTROL!$C$15, $E$9, 100%, $G$9) + CHOOSE(CONTROL!$C$38, 0.0357, 0)</f>
        <v>43.345999999999997</v>
      </c>
      <c r="J655" s="26">
        <f>317.0642</f>
        <v>317.06420000000003</v>
      </c>
    </row>
    <row r="656" spans="1:10" ht="15.75">
      <c r="A656" s="13">
        <v>61270</v>
      </c>
      <c r="B656" s="10">
        <f>47.2837 * CHOOSE(CONTROL!$C$15, $E$9, 100%, $G$9) + CHOOSE(CONTROL!$C$38, 0.0266, 0)</f>
        <v>47.310300000000005</v>
      </c>
      <c r="C656" s="10">
        <f>43.5871 * CHOOSE(CONTROL!$C$15, $E$9, 100%, $G$9) + CHOOSE(CONTROL!$C$38, 0.0357, 0)</f>
        <v>43.622799999999998</v>
      </c>
      <c r="D656" s="10">
        <f>43.5793 * CHOOSE(CONTROL!$C$15, $E$9, 100%, $G$9) + CHOOSE(CONTROL!$C$38, 0.0357, 0)</f>
        <v>43.615000000000002</v>
      </c>
      <c r="E656" s="28">
        <f>47.1275 * CHOOSE(CONTROL!$C$15, $E$9, 100%, $G$9) + CHOOSE(CONTROL!$C$38, 0.0357, 0)</f>
        <v>47.163199999999996</v>
      </c>
      <c r="F656" s="27">
        <f>47.1275 * CHOOSE(CONTROL!$C$15, $E$9, 100%, $G$9) + CHOOSE(CONTROL!$C$38, 0.0266, 0)</f>
        <v>47.1541</v>
      </c>
      <c r="G656" s="10">
        <f>43.5855 * CHOOSE(CONTROL!$C$15, $E$9, 100%, $G$9) + CHOOSE(CONTROL!$C$38, 0.0357, 0)</f>
        <v>43.621200000000002</v>
      </c>
      <c r="H656" s="10">
        <f>43.5855 * CHOOSE(CONTROL!$C$15, $E$9, 100%, $G$9) + CHOOSE(CONTROL!$C$38, 0.0357, 0)</f>
        <v>43.621200000000002</v>
      </c>
      <c r="I656" s="10">
        <f>43.5871 * CHOOSE(CONTROL!$C$15, $E$9, 100%, $G$9) + CHOOSE(CONTROL!$C$38, 0.0357, 0)</f>
        <v>43.622799999999998</v>
      </c>
      <c r="J656" s="26">
        <f>306.5256</f>
        <v>306.5256</v>
      </c>
    </row>
    <row r="657" spans="1:10" ht="15.75">
      <c r="A657" s="13">
        <v>61301</v>
      </c>
      <c r="B657" s="10">
        <f>47.5156 * CHOOSE(CONTROL!$C$15, $E$9, 100%, $G$9) + CHOOSE(CONTROL!$C$38, 0.0266, 0)</f>
        <v>47.542200000000001</v>
      </c>
      <c r="C657" s="10">
        <f>43.8189 * CHOOSE(CONTROL!$C$15, $E$9, 100%, $G$9) + CHOOSE(CONTROL!$C$38, 0.0357, 0)</f>
        <v>43.854599999999998</v>
      </c>
      <c r="D657" s="10">
        <f>43.8111 * CHOOSE(CONTROL!$C$15, $E$9, 100%, $G$9) + CHOOSE(CONTROL!$C$38, 0.0357, 0)</f>
        <v>43.846800000000002</v>
      </c>
      <c r="E657" s="28">
        <f>47.3593 * CHOOSE(CONTROL!$C$15, $E$9, 100%, $G$9) + CHOOSE(CONTROL!$C$38, 0.0357, 0)</f>
        <v>47.394999999999996</v>
      </c>
      <c r="F657" s="27">
        <f>47.3593 * CHOOSE(CONTROL!$C$15, $E$9, 100%, $G$9) + CHOOSE(CONTROL!$C$38, 0.0266, 0)</f>
        <v>47.385899999999999</v>
      </c>
      <c r="G657" s="10">
        <f>43.8173 * CHOOSE(CONTROL!$C$15, $E$9, 100%, $G$9) + CHOOSE(CONTROL!$C$38, 0.0357, 0)</f>
        <v>43.853000000000002</v>
      </c>
      <c r="H657" s="10">
        <f>43.8173 * CHOOSE(CONTROL!$C$15, $E$9, 100%, $G$9) + CHOOSE(CONTROL!$C$38, 0.0357, 0)</f>
        <v>43.853000000000002</v>
      </c>
      <c r="I657" s="10">
        <f>43.8189 * CHOOSE(CONTROL!$C$15, $E$9, 100%, $G$9) + CHOOSE(CONTROL!$C$38, 0.0357, 0)</f>
        <v>43.854599999999998</v>
      </c>
      <c r="J657" s="26">
        <f>295.9256</f>
        <v>295.92559999999997</v>
      </c>
    </row>
    <row r="658" spans="1:10" ht="15.75">
      <c r="A658" s="13">
        <v>61331</v>
      </c>
      <c r="B658" s="10">
        <f>47.709 * CHOOSE(CONTROL!$C$15, $E$9, 100%, $G$9) + CHOOSE(CONTROL!$C$38, 0.0266, 0)</f>
        <v>47.735600000000005</v>
      </c>
      <c r="C658" s="10">
        <f>44.0123 * CHOOSE(CONTROL!$C$15, $E$9, 100%, $G$9) + CHOOSE(CONTROL!$C$38, 0.0357, 0)</f>
        <v>44.048000000000002</v>
      </c>
      <c r="D658" s="10">
        <f>44.0045 * CHOOSE(CONTROL!$C$15, $E$9, 100%, $G$9) + CHOOSE(CONTROL!$C$38, 0.0357, 0)</f>
        <v>44.040199999999999</v>
      </c>
      <c r="E658" s="28">
        <f>47.5527 * CHOOSE(CONTROL!$C$15, $E$9, 100%, $G$9) + CHOOSE(CONTROL!$C$38, 0.0357, 0)</f>
        <v>47.5884</v>
      </c>
      <c r="F658" s="27">
        <f>47.5527 * CHOOSE(CONTROL!$C$15, $E$9, 100%, $G$9) + CHOOSE(CONTROL!$C$38, 0.0266, 0)</f>
        <v>47.579300000000003</v>
      </c>
      <c r="G658" s="10">
        <f>44.0108 * CHOOSE(CONTROL!$C$15, $E$9, 100%, $G$9) + CHOOSE(CONTROL!$C$38, 0.0357, 0)</f>
        <v>44.046500000000002</v>
      </c>
      <c r="H658" s="10">
        <f>44.0108 * CHOOSE(CONTROL!$C$15, $E$9, 100%, $G$9) + CHOOSE(CONTROL!$C$38, 0.0357, 0)</f>
        <v>44.046500000000002</v>
      </c>
      <c r="I658" s="10">
        <f>44.0123 * CHOOSE(CONTROL!$C$15, $E$9, 100%, $G$9) + CHOOSE(CONTROL!$C$38, 0.0357, 0)</f>
        <v>44.048000000000002</v>
      </c>
      <c r="J658" s="26">
        <f>293.8171</f>
        <v>293.81709999999998</v>
      </c>
    </row>
    <row r="659" spans="1:10" ht="15.75">
      <c r="A659" s="13">
        <v>61362</v>
      </c>
      <c r="B659" s="10">
        <f>48.3051 * CHOOSE(CONTROL!$C$15, $E$9, 100%, $G$9) + CHOOSE(CONTROL!$C$38, 0.0266, 0)</f>
        <v>48.331700000000005</v>
      </c>
      <c r="C659" s="10">
        <f>44.6084 * CHOOSE(CONTROL!$C$15, $E$9, 100%, $G$9) + CHOOSE(CONTROL!$C$38, 0.0357, 0)</f>
        <v>44.644100000000002</v>
      </c>
      <c r="D659" s="10">
        <f>44.6006 * CHOOSE(CONTROL!$C$15, $E$9, 100%, $G$9) + CHOOSE(CONTROL!$C$38, 0.0357, 0)</f>
        <v>44.636299999999999</v>
      </c>
      <c r="E659" s="28">
        <f>48.1488 * CHOOSE(CONTROL!$C$15, $E$9, 100%, $G$9) + CHOOSE(CONTROL!$C$38, 0.0357, 0)</f>
        <v>48.1845</v>
      </c>
      <c r="F659" s="27">
        <f>48.1488 * CHOOSE(CONTROL!$C$15, $E$9, 100%, $G$9) + CHOOSE(CONTROL!$C$38, 0.0266, 0)</f>
        <v>48.175400000000003</v>
      </c>
      <c r="G659" s="10">
        <f>44.6069 * CHOOSE(CONTROL!$C$15, $E$9, 100%, $G$9) + CHOOSE(CONTROL!$C$38, 0.0357, 0)</f>
        <v>44.642600000000002</v>
      </c>
      <c r="H659" s="10">
        <f>44.6069 * CHOOSE(CONTROL!$C$15, $E$9, 100%, $G$9) + CHOOSE(CONTROL!$C$38, 0.0357, 0)</f>
        <v>44.642600000000002</v>
      </c>
      <c r="I659" s="10">
        <f>44.6084 * CHOOSE(CONTROL!$C$15, $E$9, 100%, $G$9) + CHOOSE(CONTROL!$C$38, 0.0357, 0)</f>
        <v>44.644100000000002</v>
      </c>
      <c r="J659" s="26">
        <f>285.098</f>
        <v>285.09800000000001</v>
      </c>
    </row>
    <row r="660" spans="1:10" ht="15.75">
      <c r="A660" s="13">
        <v>61393</v>
      </c>
      <c r="B660" s="10">
        <f>49.6085 * CHOOSE(CONTROL!$C$15, $E$9, 100%, $G$9) + CHOOSE(CONTROL!$C$38, 0.0266, 0)</f>
        <v>49.635100000000001</v>
      </c>
      <c r="C660" s="10">
        <f>45.8493 * CHOOSE(CONTROL!$C$15, $E$9, 100%, $G$9) + CHOOSE(CONTROL!$C$38, 0.0357, 0)</f>
        <v>45.884999999999998</v>
      </c>
      <c r="D660" s="10">
        <f>45.8415 * CHOOSE(CONTROL!$C$15, $E$9, 100%, $G$9) + CHOOSE(CONTROL!$C$38, 0.0357, 0)</f>
        <v>45.877200000000002</v>
      </c>
      <c r="E660" s="28">
        <f>49.4522 * CHOOSE(CONTROL!$C$15, $E$9, 100%, $G$9) + CHOOSE(CONTROL!$C$38, 0.0357, 0)</f>
        <v>49.487899999999996</v>
      </c>
      <c r="F660" s="27">
        <f>49.4522 * CHOOSE(CONTROL!$C$15, $E$9, 100%, $G$9) + CHOOSE(CONTROL!$C$38, 0.0266, 0)</f>
        <v>49.4788</v>
      </c>
      <c r="G660" s="10">
        <f>45.8477 * CHOOSE(CONTROL!$C$15, $E$9, 100%, $G$9) + CHOOSE(CONTROL!$C$38, 0.0357, 0)</f>
        <v>45.883400000000002</v>
      </c>
      <c r="H660" s="10">
        <f>45.8477 * CHOOSE(CONTROL!$C$15, $E$9, 100%, $G$9) + CHOOSE(CONTROL!$C$38, 0.0357, 0)</f>
        <v>45.883400000000002</v>
      </c>
      <c r="I660" s="10">
        <f>45.8493 * CHOOSE(CONTROL!$C$15, $E$9, 100%, $G$9) + CHOOSE(CONTROL!$C$38, 0.0357, 0)</f>
        <v>45.884999999999998</v>
      </c>
      <c r="J660" s="26">
        <f>283.1883</f>
        <v>283.18830000000003</v>
      </c>
    </row>
    <row r="661" spans="1:10" ht="15.75">
      <c r="A661" s="13">
        <v>61422</v>
      </c>
      <c r="B661" s="10">
        <f>49.8292 * CHOOSE(CONTROL!$C$15, $E$9, 100%, $G$9) + CHOOSE(CONTROL!$C$38, 0.0266, 0)</f>
        <v>49.855800000000002</v>
      </c>
      <c r="C661" s="10">
        <f>46.07 * CHOOSE(CONTROL!$C$15, $E$9, 100%, $G$9) + CHOOSE(CONTROL!$C$38, 0.0357, 0)</f>
        <v>46.105699999999999</v>
      </c>
      <c r="D661" s="10">
        <f>46.0622 * CHOOSE(CONTROL!$C$15, $E$9, 100%, $G$9) + CHOOSE(CONTROL!$C$38, 0.0357, 0)</f>
        <v>46.097899999999996</v>
      </c>
      <c r="E661" s="28">
        <f>49.673 * CHOOSE(CONTROL!$C$15, $E$9, 100%, $G$9) + CHOOSE(CONTROL!$C$38, 0.0357, 0)</f>
        <v>49.7087</v>
      </c>
      <c r="F661" s="27">
        <f>49.673 * CHOOSE(CONTROL!$C$15, $E$9, 100%, $G$9) + CHOOSE(CONTROL!$C$38, 0.0266, 0)</f>
        <v>49.699600000000004</v>
      </c>
      <c r="G661" s="10">
        <f>46.0685 * CHOOSE(CONTROL!$C$15, $E$9, 100%, $G$9) + CHOOSE(CONTROL!$C$38, 0.0357, 0)</f>
        <v>46.104199999999999</v>
      </c>
      <c r="H661" s="10">
        <f>46.0685 * CHOOSE(CONTROL!$C$15, $E$9, 100%, $G$9) + CHOOSE(CONTROL!$C$38, 0.0357, 0)</f>
        <v>46.104199999999999</v>
      </c>
      <c r="I661" s="10">
        <f>46.07 * CHOOSE(CONTROL!$C$15, $E$9, 100%, $G$9) + CHOOSE(CONTROL!$C$38, 0.0357, 0)</f>
        <v>46.105699999999999</v>
      </c>
      <c r="J661" s="26">
        <f>282.4011</f>
        <v>282.40109999999999</v>
      </c>
    </row>
    <row r="662" spans="1:10" ht="15.75">
      <c r="A662" s="13">
        <v>61453</v>
      </c>
      <c r="B662" s="10">
        <f>49.3182 * CHOOSE(CONTROL!$C$15, $E$9, 100%, $G$9) + CHOOSE(CONTROL!$C$38, 0.0266, 0)</f>
        <v>49.344799999999999</v>
      </c>
      <c r="C662" s="10">
        <f>45.559 * CHOOSE(CONTROL!$C$15, $E$9, 100%, $G$9) + CHOOSE(CONTROL!$C$38, 0.0357, 0)</f>
        <v>45.594699999999996</v>
      </c>
      <c r="D662" s="10">
        <f>45.5512 * CHOOSE(CONTROL!$C$15, $E$9, 100%, $G$9) + CHOOSE(CONTROL!$C$38, 0.0357, 0)</f>
        <v>45.5869</v>
      </c>
      <c r="E662" s="28">
        <f>49.162 * CHOOSE(CONTROL!$C$15, $E$9, 100%, $G$9) + CHOOSE(CONTROL!$C$38, 0.0357, 0)</f>
        <v>49.197699999999998</v>
      </c>
      <c r="F662" s="27">
        <f>49.162 * CHOOSE(CONTROL!$C$15, $E$9, 100%, $G$9) + CHOOSE(CONTROL!$C$38, 0.0266, 0)</f>
        <v>49.188600000000001</v>
      </c>
      <c r="G662" s="10">
        <f>45.5575 * CHOOSE(CONTROL!$C$15, $E$9, 100%, $G$9) + CHOOSE(CONTROL!$C$38, 0.0357, 0)</f>
        <v>45.593199999999996</v>
      </c>
      <c r="H662" s="10">
        <f>45.5575 * CHOOSE(CONTROL!$C$15, $E$9, 100%, $G$9) + CHOOSE(CONTROL!$C$38, 0.0357, 0)</f>
        <v>45.593199999999996</v>
      </c>
      <c r="I662" s="10">
        <f>45.559 * CHOOSE(CONTROL!$C$15, $E$9, 100%, $G$9) + CHOOSE(CONTROL!$C$38, 0.0357, 0)</f>
        <v>45.594699999999996</v>
      </c>
      <c r="J662" s="26">
        <f>297.2853</f>
        <v>297.28530000000001</v>
      </c>
    </row>
    <row r="663" spans="1:10" ht="15.75">
      <c r="A663" s="13">
        <v>61483</v>
      </c>
      <c r="B663" s="10">
        <f>48.823 * CHOOSE(CONTROL!$C$15, $E$9, 100%, $G$9) + CHOOSE(CONTROL!$C$38, 0.0266, 0)</f>
        <v>48.849600000000002</v>
      </c>
      <c r="C663" s="10">
        <f>45.0638 * CHOOSE(CONTROL!$C$15, $E$9, 100%, $G$9) + CHOOSE(CONTROL!$C$38, 0.0357, 0)</f>
        <v>45.099499999999999</v>
      </c>
      <c r="D663" s="10">
        <f>45.056 * CHOOSE(CONTROL!$C$15, $E$9, 100%, $G$9) + CHOOSE(CONTROL!$C$38, 0.0357, 0)</f>
        <v>45.091699999999996</v>
      </c>
      <c r="E663" s="28">
        <f>48.6668 * CHOOSE(CONTROL!$C$15, $E$9, 100%, $G$9) + CHOOSE(CONTROL!$C$38, 0.0357, 0)</f>
        <v>48.702500000000001</v>
      </c>
      <c r="F663" s="27">
        <f>48.6668 * CHOOSE(CONTROL!$C$15, $E$9, 100%, $G$9) + CHOOSE(CONTROL!$C$38, 0.0266, 0)</f>
        <v>48.693400000000004</v>
      </c>
      <c r="G663" s="10">
        <f>45.0623 * CHOOSE(CONTROL!$C$15, $E$9, 100%, $G$9) + CHOOSE(CONTROL!$C$38, 0.0357, 0)</f>
        <v>45.097999999999999</v>
      </c>
      <c r="H663" s="10">
        <f>45.0623 * CHOOSE(CONTROL!$C$15, $E$9, 100%, $G$9) + CHOOSE(CONTROL!$C$38, 0.0357, 0)</f>
        <v>45.097999999999999</v>
      </c>
      <c r="I663" s="10">
        <f>45.0638 * CHOOSE(CONTROL!$C$15, $E$9, 100%, $G$9) + CHOOSE(CONTROL!$C$38, 0.0357, 0)</f>
        <v>45.099499999999999</v>
      </c>
      <c r="J663" s="26">
        <f>316.5865</f>
        <v>316.5865</v>
      </c>
    </row>
    <row r="664" spans="1:10" ht="15.75">
      <c r="A664" s="13">
        <v>61514</v>
      </c>
      <c r="B664" s="10">
        <f>48.3069 * CHOOSE(CONTROL!$C$15, $E$9, 100%, $G$9) + CHOOSE(CONTROL!$C$38, 0.0266, 0)</f>
        <v>48.333500000000001</v>
      </c>
      <c r="C664" s="10">
        <f>44.5477 * CHOOSE(CONTROL!$C$15, $E$9, 100%, $G$9) + CHOOSE(CONTROL!$C$38, 0.0357, 0)</f>
        <v>44.583399999999997</v>
      </c>
      <c r="D664" s="10">
        <f>44.5399 * CHOOSE(CONTROL!$C$15, $E$9, 100%, $G$9) + CHOOSE(CONTROL!$C$38, 0.0357, 0)</f>
        <v>44.575600000000001</v>
      </c>
      <c r="E664" s="28">
        <f>48.1507 * CHOOSE(CONTROL!$C$15, $E$9, 100%, $G$9) + CHOOSE(CONTROL!$C$38, 0.0357, 0)</f>
        <v>48.186399999999999</v>
      </c>
      <c r="F664" s="27">
        <f>48.1507 * CHOOSE(CONTROL!$C$15, $E$9, 100%, $G$9) + CHOOSE(CONTROL!$C$38, 0.0266, 0)</f>
        <v>48.177300000000002</v>
      </c>
      <c r="G664" s="10">
        <f>44.5462 * CHOOSE(CONTROL!$C$15, $E$9, 100%, $G$9) + CHOOSE(CONTROL!$C$38, 0.0357, 0)</f>
        <v>44.581899999999997</v>
      </c>
      <c r="H664" s="10">
        <f>44.5462 * CHOOSE(CONTROL!$C$15, $E$9, 100%, $G$9) + CHOOSE(CONTROL!$C$38, 0.0357, 0)</f>
        <v>44.581899999999997</v>
      </c>
      <c r="I664" s="10">
        <f>44.5477 * CHOOSE(CONTROL!$C$15, $E$9, 100%, $G$9) + CHOOSE(CONTROL!$C$38, 0.0357, 0)</f>
        <v>44.583399999999997</v>
      </c>
      <c r="J664" s="26">
        <f>327.2105</f>
        <v>327.21050000000002</v>
      </c>
    </row>
    <row r="665" spans="1:10" ht="15.75">
      <c r="A665" s="13">
        <v>61544</v>
      </c>
      <c r="B665" s="10">
        <f>47.9451 * CHOOSE(CONTROL!$C$15, $E$9, 100%, $G$9) + CHOOSE(CONTROL!$C$38, 0.0266, 0)</f>
        <v>47.971699999999998</v>
      </c>
      <c r="C665" s="10">
        <f>44.1859 * CHOOSE(CONTROL!$C$15, $E$9, 100%, $G$9) + CHOOSE(CONTROL!$C$38, 0.0357, 0)</f>
        <v>44.221599999999995</v>
      </c>
      <c r="D665" s="10">
        <f>44.1781 * CHOOSE(CONTROL!$C$15, $E$9, 100%, $G$9) + CHOOSE(CONTROL!$C$38, 0.0357, 0)</f>
        <v>44.213799999999999</v>
      </c>
      <c r="E665" s="28">
        <f>47.7888 * CHOOSE(CONTROL!$C$15, $E$9, 100%, $G$9) + CHOOSE(CONTROL!$C$38, 0.0357, 0)</f>
        <v>47.8245</v>
      </c>
      <c r="F665" s="27">
        <f>47.7888 * CHOOSE(CONTROL!$C$15, $E$9, 100%, $G$9) + CHOOSE(CONTROL!$C$38, 0.0266, 0)</f>
        <v>47.815400000000004</v>
      </c>
      <c r="G665" s="10">
        <f>44.1843 * CHOOSE(CONTROL!$C$15, $E$9, 100%, $G$9) + CHOOSE(CONTROL!$C$38, 0.0357, 0)</f>
        <v>44.22</v>
      </c>
      <c r="H665" s="10">
        <f>44.1843 * CHOOSE(CONTROL!$C$15, $E$9, 100%, $G$9) + CHOOSE(CONTROL!$C$38, 0.0357, 0)</f>
        <v>44.22</v>
      </c>
      <c r="I665" s="10">
        <f>44.1859 * CHOOSE(CONTROL!$C$15, $E$9, 100%, $G$9) + CHOOSE(CONTROL!$C$38, 0.0357, 0)</f>
        <v>44.221599999999995</v>
      </c>
      <c r="J665" s="26">
        <f>331.9253</f>
        <v>331.92529999999999</v>
      </c>
    </row>
    <row r="666" spans="1:10" ht="15.75">
      <c r="A666" s="13">
        <v>61575</v>
      </c>
      <c r="B666" s="10">
        <f>47.7386 * CHOOSE(CONTROL!$C$15, $E$9, 100%, $G$9) + CHOOSE(CONTROL!$C$38, 0.0266, 0)</f>
        <v>47.7652</v>
      </c>
      <c r="C666" s="10">
        <f>43.9794 * CHOOSE(CONTROL!$C$15, $E$9, 100%, $G$9) + CHOOSE(CONTROL!$C$38, 0.0357, 0)</f>
        <v>44.015099999999997</v>
      </c>
      <c r="D666" s="10">
        <f>43.9716 * CHOOSE(CONTROL!$C$15, $E$9, 100%, $G$9) + CHOOSE(CONTROL!$C$38, 0.0357, 0)</f>
        <v>44.007300000000001</v>
      </c>
      <c r="E666" s="28">
        <f>47.5823 * CHOOSE(CONTROL!$C$15, $E$9, 100%, $G$9) + CHOOSE(CONTROL!$C$38, 0.0357, 0)</f>
        <v>47.617999999999995</v>
      </c>
      <c r="F666" s="27">
        <f>47.5823 * CHOOSE(CONTROL!$C$15, $E$9, 100%, $G$9) + CHOOSE(CONTROL!$C$38, 0.0266, 0)</f>
        <v>47.608899999999998</v>
      </c>
      <c r="G666" s="10">
        <f>43.9778 * CHOOSE(CONTROL!$C$15, $E$9, 100%, $G$9) + CHOOSE(CONTROL!$C$38, 0.0357, 0)</f>
        <v>44.013500000000001</v>
      </c>
      <c r="H666" s="10">
        <f>43.9778 * CHOOSE(CONTROL!$C$15, $E$9, 100%, $G$9) + CHOOSE(CONTROL!$C$38, 0.0357, 0)</f>
        <v>44.013500000000001</v>
      </c>
      <c r="I666" s="10">
        <f>43.9794 * CHOOSE(CONTROL!$C$15, $E$9, 100%, $G$9) + CHOOSE(CONTROL!$C$38, 0.0357, 0)</f>
        <v>44.015099999999997</v>
      </c>
      <c r="J666" s="26">
        <f>330.373</f>
        <v>330.37299999999999</v>
      </c>
    </row>
    <row r="667" spans="1:10" ht="15.75">
      <c r="A667" s="13">
        <v>61606</v>
      </c>
      <c r="B667" s="10">
        <f>47.8405 * CHOOSE(CONTROL!$C$15, $E$9, 100%, $G$9) + CHOOSE(CONTROL!$C$38, 0.0266, 0)</f>
        <v>47.867100000000001</v>
      </c>
      <c r="C667" s="10">
        <f>44.0813 * CHOOSE(CONTROL!$C$15, $E$9, 100%, $G$9) + CHOOSE(CONTROL!$C$38, 0.0357, 0)</f>
        <v>44.116999999999997</v>
      </c>
      <c r="D667" s="10">
        <f>44.0735 * CHOOSE(CONTROL!$C$15, $E$9, 100%, $G$9) + CHOOSE(CONTROL!$C$38, 0.0357, 0)</f>
        <v>44.109200000000001</v>
      </c>
      <c r="E667" s="28">
        <f>47.6843 * CHOOSE(CONTROL!$C$15, $E$9, 100%, $G$9) + CHOOSE(CONTROL!$C$38, 0.0357, 0)</f>
        <v>47.72</v>
      </c>
      <c r="F667" s="27">
        <f>47.6843 * CHOOSE(CONTROL!$C$15, $E$9, 100%, $G$9) + CHOOSE(CONTROL!$C$38, 0.0266, 0)</f>
        <v>47.710900000000002</v>
      </c>
      <c r="G667" s="10">
        <f>44.0797 * CHOOSE(CONTROL!$C$15, $E$9, 100%, $G$9) + CHOOSE(CONTROL!$C$38, 0.0357, 0)</f>
        <v>44.115400000000001</v>
      </c>
      <c r="H667" s="10">
        <f>44.0797 * CHOOSE(CONTROL!$C$15, $E$9, 100%, $G$9) + CHOOSE(CONTROL!$C$38, 0.0357, 0)</f>
        <v>44.115400000000001</v>
      </c>
      <c r="I667" s="10">
        <f>44.0813 * CHOOSE(CONTROL!$C$15, $E$9, 100%, $G$9) + CHOOSE(CONTROL!$C$38, 0.0357, 0)</f>
        <v>44.116999999999997</v>
      </c>
      <c r="J667" s="26">
        <f>322.682</f>
        <v>322.68200000000002</v>
      </c>
    </row>
    <row r="668" spans="1:10" ht="15.75">
      <c r="A668" s="13">
        <v>61636</v>
      </c>
      <c r="B668" s="10">
        <f>48.1173 * CHOOSE(CONTROL!$C$15, $E$9, 100%, $G$9) + CHOOSE(CONTROL!$C$38, 0.0266, 0)</f>
        <v>48.143900000000002</v>
      </c>
      <c r="C668" s="10">
        <f>44.3581 * CHOOSE(CONTROL!$C$15, $E$9, 100%, $G$9) + CHOOSE(CONTROL!$C$38, 0.0357, 0)</f>
        <v>44.393799999999999</v>
      </c>
      <c r="D668" s="10">
        <f>44.3503 * CHOOSE(CONTROL!$C$15, $E$9, 100%, $G$9) + CHOOSE(CONTROL!$C$38, 0.0357, 0)</f>
        <v>44.385999999999996</v>
      </c>
      <c r="E668" s="28">
        <f>47.9611 * CHOOSE(CONTROL!$C$15, $E$9, 100%, $G$9) + CHOOSE(CONTROL!$C$38, 0.0357, 0)</f>
        <v>47.9968</v>
      </c>
      <c r="F668" s="27">
        <f>47.9611 * CHOOSE(CONTROL!$C$15, $E$9, 100%, $G$9) + CHOOSE(CONTROL!$C$38, 0.0266, 0)</f>
        <v>47.987700000000004</v>
      </c>
      <c r="G668" s="10">
        <f>44.3565 * CHOOSE(CONTROL!$C$15, $E$9, 100%, $G$9) + CHOOSE(CONTROL!$C$38, 0.0357, 0)</f>
        <v>44.392199999999995</v>
      </c>
      <c r="H668" s="10">
        <f>44.3565 * CHOOSE(CONTROL!$C$15, $E$9, 100%, $G$9) + CHOOSE(CONTROL!$C$38, 0.0357, 0)</f>
        <v>44.392199999999995</v>
      </c>
      <c r="I668" s="10">
        <f>44.3581 * CHOOSE(CONTROL!$C$15, $E$9, 100%, $G$9) + CHOOSE(CONTROL!$C$38, 0.0357, 0)</f>
        <v>44.393799999999999</v>
      </c>
      <c r="J668" s="26">
        <f>311.9566</f>
        <v>311.95659999999998</v>
      </c>
    </row>
    <row r="669" spans="1:10" ht="15.75">
      <c r="A669" s="13">
        <v>61667</v>
      </c>
      <c r="B669" s="10">
        <f>48.3491 * CHOOSE(CONTROL!$C$15, $E$9, 100%, $G$9) + CHOOSE(CONTROL!$C$38, 0.0266, 0)</f>
        <v>48.375700000000002</v>
      </c>
      <c r="C669" s="10">
        <f>44.5899 * CHOOSE(CONTROL!$C$15, $E$9, 100%, $G$9) + CHOOSE(CONTROL!$C$38, 0.0357, 0)</f>
        <v>44.625599999999999</v>
      </c>
      <c r="D669" s="10">
        <f>44.5821 * CHOOSE(CONTROL!$C$15, $E$9, 100%, $G$9) + CHOOSE(CONTROL!$C$38, 0.0357, 0)</f>
        <v>44.617799999999995</v>
      </c>
      <c r="E669" s="28">
        <f>48.1929 * CHOOSE(CONTROL!$C$15, $E$9, 100%, $G$9) + CHOOSE(CONTROL!$C$38, 0.0357, 0)</f>
        <v>48.2286</v>
      </c>
      <c r="F669" s="27">
        <f>48.1929 * CHOOSE(CONTROL!$C$15, $E$9, 100%, $G$9) + CHOOSE(CONTROL!$C$38, 0.0266, 0)</f>
        <v>48.219500000000004</v>
      </c>
      <c r="G669" s="10">
        <f>44.5884 * CHOOSE(CONTROL!$C$15, $E$9, 100%, $G$9) + CHOOSE(CONTROL!$C$38, 0.0357, 0)</f>
        <v>44.624099999999999</v>
      </c>
      <c r="H669" s="10">
        <f>44.5884 * CHOOSE(CONTROL!$C$15, $E$9, 100%, $G$9) + CHOOSE(CONTROL!$C$38, 0.0357, 0)</f>
        <v>44.624099999999999</v>
      </c>
      <c r="I669" s="10">
        <f>44.5899 * CHOOSE(CONTROL!$C$15, $E$9, 100%, $G$9) + CHOOSE(CONTROL!$C$38, 0.0357, 0)</f>
        <v>44.625599999999999</v>
      </c>
      <c r="J669" s="26">
        <f>301.1688</f>
        <v>301.16879999999998</v>
      </c>
    </row>
    <row r="670" spans="1:10" ht="15.75">
      <c r="A670" s="13">
        <v>61697</v>
      </c>
      <c r="B670" s="10">
        <f>48.5426 * CHOOSE(CONTROL!$C$15, $E$9, 100%, $G$9) + CHOOSE(CONTROL!$C$38, 0.0266, 0)</f>
        <v>48.569200000000002</v>
      </c>
      <c r="C670" s="10">
        <f>44.7834 * CHOOSE(CONTROL!$C$15, $E$9, 100%, $G$9) + CHOOSE(CONTROL!$C$38, 0.0357, 0)</f>
        <v>44.819099999999999</v>
      </c>
      <c r="D670" s="10">
        <f>44.7756 * CHOOSE(CONTROL!$C$15, $E$9, 100%, $G$9) + CHOOSE(CONTROL!$C$38, 0.0357, 0)</f>
        <v>44.811299999999996</v>
      </c>
      <c r="E670" s="28">
        <f>48.3863 * CHOOSE(CONTROL!$C$15, $E$9, 100%, $G$9) + CHOOSE(CONTROL!$C$38, 0.0357, 0)</f>
        <v>48.421999999999997</v>
      </c>
      <c r="F670" s="27">
        <f>48.3863 * CHOOSE(CONTROL!$C$15, $E$9, 100%, $G$9) + CHOOSE(CONTROL!$C$38, 0.0266, 0)</f>
        <v>48.4129</v>
      </c>
      <c r="G670" s="10">
        <f>44.7818 * CHOOSE(CONTROL!$C$15, $E$9, 100%, $G$9) + CHOOSE(CONTROL!$C$38, 0.0357, 0)</f>
        <v>44.817499999999995</v>
      </c>
      <c r="H670" s="10">
        <f>44.7818 * CHOOSE(CONTROL!$C$15, $E$9, 100%, $G$9) + CHOOSE(CONTROL!$C$38, 0.0357, 0)</f>
        <v>44.817499999999995</v>
      </c>
      <c r="I670" s="10">
        <f>44.7834 * CHOOSE(CONTROL!$C$15, $E$9, 100%, $G$9) + CHOOSE(CONTROL!$C$38, 0.0357, 0)</f>
        <v>44.819099999999999</v>
      </c>
      <c r="J670" s="26">
        <f>299.0229</f>
        <v>299.02289999999999</v>
      </c>
    </row>
    <row r="671" spans="1:10" ht="15.75">
      <c r="A671" s="13">
        <v>61728</v>
      </c>
      <c r="B671" s="10">
        <f>49.1386 * CHOOSE(CONTROL!$C$15, $E$9, 100%, $G$9) + CHOOSE(CONTROL!$C$38, 0.0266, 0)</f>
        <v>49.165199999999999</v>
      </c>
      <c r="C671" s="10">
        <f>45.3794 * CHOOSE(CONTROL!$C$15, $E$9, 100%, $G$9) + CHOOSE(CONTROL!$C$38, 0.0357, 0)</f>
        <v>45.415099999999995</v>
      </c>
      <c r="D671" s="10">
        <f>45.3716 * CHOOSE(CONTROL!$C$15, $E$9, 100%, $G$9) + CHOOSE(CONTROL!$C$38, 0.0357, 0)</f>
        <v>45.407299999999999</v>
      </c>
      <c r="E671" s="28">
        <f>48.9824 * CHOOSE(CONTROL!$C$15, $E$9, 100%, $G$9) + CHOOSE(CONTROL!$C$38, 0.0357, 0)</f>
        <v>49.018099999999997</v>
      </c>
      <c r="F671" s="27">
        <f>48.9824 * CHOOSE(CONTROL!$C$15, $E$9, 100%, $G$9) + CHOOSE(CONTROL!$C$38, 0.0266, 0)</f>
        <v>49.009</v>
      </c>
      <c r="G671" s="10">
        <f>45.3779 * CHOOSE(CONTROL!$C$15, $E$9, 100%, $G$9) + CHOOSE(CONTROL!$C$38, 0.0357, 0)</f>
        <v>45.413599999999995</v>
      </c>
      <c r="H671" s="10">
        <f>45.3779 * CHOOSE(CONTROL!$C$15, $E$9, 100%, $G$9) + CHOOSE(CONTROL!$C$38, 0.0357, 0)</f>
        <v>45.413599999999995</v>
      </c>
      <c r="I671" s="10">
        <f>45.3794 * CHOOSE(CONTROL!$C$15, $E$9, 100%, $G$9) + CHOOSE(CONTROL!$C$38, 0.0357, 0)</f>
        <v>45.415099999999995</v>
      </c>
      <c r="J671" s="26">
        <f>290.1494</f>
        <v>290.14940000000001</v>
      </c>
    </row>
    <row r="672" spans="1:10" ht="15.75">
      <c r="A672" s="13">
        <v>61759</v>
      </c>
      <c r="B672" s="10">
        <f>50.4568 * CHOOSE(CONTROL!$C$15, $E$9, 100%, $G$9) + CHOOSE(CONTROL!$C$38, 0.0266, 0)</f>
        <v>50.483400000000003</v>
      </c>
      <c r="C672" s="10">
        <f>46.6339 * CHOOSE(CONTROL!$C$15, $E$9, 100%, $G$9) + CHOOSE(CONTROL!$C$38, 0.0357, 0)</f>
        <v>46.669599999999996</v>
      </c>
      <c r="D672" s="10">
        <f>46.6261 * CHOOSE(CONTROL!$C$15, $E$9, 100%, $G$9) + CHOOSE(CONTROL!$C$38, 0.0357, 0)</f>
        <v>46.661799999999999</v>
      </c>
      <c r="E672" s="28">
        <f>50.3005 * CHOOSE(CONTROL!$C$15, $E$9, 100%, $G$9) + CHOOSE(CONTROL!$C$38, 0.0357, 0)</f>
        <v>50.336199999999998</v>
      </c>
      <c r="F672" s="27">
        <f>50.3005 * CHOOSE(CONTROL!$C$15, $E$9, 100%, $G$9) + CHOOSE(CONTROL!$C$38, 0.0266, 0)</f>
        <v>50.327100000000002</v>
      </c>
      <c r="G672" s="10">
        <f>46.6324 * CHOOSE(CONTROL!$C$15, $E$9, 100%, $G$9) + CHOOSE(CONTROL!$C$38, 0.0357, 0)</f>
        <v>46.668099999999995</v>
      </c>
      <c r="H672" s="10">
        <f>46.6324 * CHOOSE(CONTROL!$C$15, $E$9, 100%, $G$9) + CHOOSE(CONTROL!$C$38, 0.0357, 0)</f>
        <v>46.668099999999995</v>
      </c>
      <c r="I672" s="10">
        <f>46.6339 * CHOOSE(CONTROL!$C$15, $E$9, 100%, $G$9) + CHOOSE(CONTROL!$C$38, 0.0357, 0)</f>
        <v>46.669599999999996</v>
      </c>
      <c r="J672" s="26">
        <f>288.2059</f>
        <v>288.20589999999999</v>
      </c>
    </row>
    <row r="673" spans="1:10" ht="15.75">
      <c r="A673" s="13">
        <v>61787</v>
      </c>
      <c r="B673" s="10">
        <f>50.6775 * CHOOSE(CONTROL!$C$15, $E$9, 100%, $G$9) + CHOOSE(CONTROL!$C$38, 0.0266, 0)</f>
        <v>50.704100000000004</v>
      </c>
      <c r="C673" s="10">
        <f>46.8547 * CHOOSE(CONTROL!$C$15, $E$9, 100%, $G$9) + CHOOSE(CONTROL!$C$38, 0.0357, 0)</f>
        <v>46.8904</v>
      </c>
      <c r="D673" s="10">
        <f>46.8469 * CHOOSE(CONTROL!$C$15, $E$9, 100%, $G$9) + CHOOSE(CONTROL!$C$38, 0.0357, 0)</f>
        <v>46.882599999999996</v>
      </c>
      <c r="E673" s="28">
        <f>50.5213 * CHOOSE(CONTROL!$C$15, $E$9, 100%, $G$9) + CHOOSE(CONTROL!$C$38, 0.0357, 0)</f>
        <v>50.556999999999995</v>
      </c>
      <c r="F673" s="27">
        <f>50.5213 * CHOOSE(CONTROL!$C$15, $E$9, 100%, $G$9) + CHOOSE(CONTROL!$C$38, 0.0266, 0)</f>
        <v>50.547899999999998</v>
      </c>
      <c r="G673" s="10">
        <f>46.8531 * CHOOSE(CONTROL!$C$15, $E$9, 100%, $G$9) + CHOOSE(CONTROL!$C$38, 0.0357, 0)</f>
        <v>46.888799999999996</v>
      </c>
      <c r="H673" s="10">
        <f>46.8531 * CHOOSE(CONTROL!$C$15, $E$9, 100%, $G$9) + CHOOSE(CONTROL!$C$38, 0.0357, 0)</f>
        <v>46.888799999999996</v>
      </c>
      <c r="I673" s="10">
        <f>46.8547 * CHOOSE(CONTROL!$C$15, $E$9, 100%, $G$9) + CHOOSE(CONTROL!$C$38, 0.0357, 0)</f>
        <v>46.8904</v>
      </c>
      <c r="J673" s="26">
        <f>287.4047</f>
        <v>287.40469999999999</v>
      </c>
    </row>
    <row r="674" spans="1:10" ht="15.75">
      <c r="A674" s="13">
        <v>61818</v>
      </c>
      <c r="B674" s="10">
        <f>50.1665 * CHOOSE(CONTROL!$C$15, $E$9, 100%, $G$9) + CHOOSE(CONTROL!$C$38, 0.0266, 0)</f>
        <v>50.193100000000001</v>
      </c>
      <c r="C674" s="10">
        <f>46.3437 * CHOOSE(CONTROL!$C$15, $E$9, 100%, $G$9) + CHOOSE(CONTROL!$C$38, 0.0357, 0)</f>
        <v>46.379399999999997</v>
      </c>
      <c r="D674" s="10">
        <f>46.3358 * CHOOSE(CONTROL!$C$15, $E$9, 100%, $G$9) + CHOOSE(CONTROL!$C$38, 0.0357, 0)</f>
        <v>46.371499999999997</v>
      </c>
      <c r="E674" s="28">
        <f>50.0103 * CHOOSE(CONTROL!$C$15, $E$9, 100%, $G$9) + CHOOSE(CONTROL!$C$38, 0.0357, 0)</f>
        <v>50.045999999999999</v>
      </c>
      <c r="F674" s="27">
        <f>50.0103 * CHOOSE(CONTROL!$C$15, $E$9, 100%, $G$9) + CHOOSE(CONTROL!$C$38, 0.0266, 0)</f>
        <v>50.036900000000003</v>
      </c>
      <c r="G674" s="10">
        <f>46.3421 * CHOOSE(CONTROL!$C$15, $E$9, 100%, $G$9) + CHOOSE(CONTROL!$C$38, 0.0357, 0)</f>
        <v>46.377800000000001</v>
      </c>
      <c r="H674" s="10">
        <f>46.3421 * CHOOSE(CONTROL!$C$15, $E$9, 100%, $G$9) + CHOOSE(CONTROL!$C$38, 0.0357, 0)</f>
        <v>46.377800000000001</v>
      </c>
      <c r="I674" s="10">
        <f>46.3437 * CHOOSE(CONTROL!$C$15, $E$9, 100%, $G$9) + CHOOSE(CONTROL!$C$38, 0.0357, 0)</f>
        <v>46.379399999999997</v>
      </c>
      <c r="J674" s="26">
        <f>302.5526</f>
        <v>302.55259999999998</v>
      </c>
    </row>
    <row r="675" spans="1:10" ht="15.75">
      <c r="A675" s="13">
        <v>61848</v>
      </c>
      <c r="B675" s="10">
        <f>49.6713 * CHOOSE(CONTROL!$C$15, $E$9, 100%, $G$9) + CHOOSE(CONTROL!$C$38, 0.0266, 0)</f>
        <v>49.697900000000004</v>
      </c>
      <c r="C675" s="10">
        <f>45.8485 * CHOOSE(CONTROL!$C$15, $E$9, 100%, $G$9) + CHOOSE(CONTROL!$C$38, 0.0357, 0)</f>
        <v>45.8842</v>
      </c>
      <c r="D675" s="10">
        <f>45.8407 * CHOOSE(CONTROL!$C$15, $E$9, 100%, $G$9) + CHOOSE(CONTROL!$C$38, 0.0357, 0)</f>
        <v>45.876399999999997</v>
      </c>
      <c r="E675" s="28">
        <f>49.5151 * CHOOSE(CONTROL!$C$15, $E$9, 100%, $G$9) + CHOOSE(CONTROL!$C$38, 0.0357, 0)</f>
        <v>49.550799999999995</v>
      </c>
      <c r="F675" s="27">
        <f>49.5151 * CHOOSE(CONTROL!$C$15, $E$9, 100%, $G$9) + CHOOSE(CONTROL!$C$38, 0.0266, 0)</f>
        <v>49.541699999999999</v>
      </c>
      <c r="G675" s="10">
        <f>45.8469 * CHOOSE(CONTROL!$C$15, $E$9, 100%, $G$9) + CHOOSE(CONTROL!$C$38, 0.0357, 0)</f>
        <v>45.882599999999996</v>
      </c>
      <c r="H675" s="10">
        <f>45.8469 * CHOOSE(CONTROL!$C$15, $E$9, 100%, $G$9) + CHOOSE(CONTROL!$C$38, 0.0357, 0)</f>
        <v>45.882599999999996</v>
      </c>
      <c r="I675" s="10">
        <f>45.8485 * CHOOSE(CONTROL!$C$15, $E$9, 100%, $G$9) + CHOOSE(CONTROL!$C$38, 0.0357, 0)</f>
        <v>45.8842</v>
      </c>
      <c r="J675" s="26">
        <f>322.1958</f>
        <v>322.19580000000002</v>
      </c>
    </row>
    <row r="676" spans="1:10" ht="15.75">
      <c r="A676" s="13">
        <v>61879</v>
      </c>
      <c r="B676" s="10">
        <f>49.1552 * CHOOSE(CONTROL!$C$15, $E$9, 100%, $G$9) + CHOOSE(CONTROL!$C$38, 0.0266, 0)</f>
        <v>49.181800000000003</v>
      </c>
      <c r="C676" s="10">
        <f>45.3324 * CHOOSE(CONTROL!$C$15, $E$9, 100%, $G$9) + CHOOSE(CONTROL!$C$38, 0.0357, 0)</f>
        <v>45.368099999999998</v>
      </c>
      <c r="D676" s="10">
        <f>45.3246 * CHOOSE(CONTROL!$C$15, $E$9, 100%, $G$9) + CHOOSE(CONTROL!$C$38, 0.0357, 0)</f>
        <v>45.360299999999995</v>
      </c>
      <c r="E676" s="28">
        <f>48.999 * CHOOSE(CONTROL!$C$15, $E$9, 100%, $G$9) + CHOOSE(CONTROL!$C$38, 0.0357, 0)</f>
        <v>49.034700000000001</v>
      </c>
      <c r="F676" s="27">
        <f>48.999 * CHOOSE(CONTROL!$C$15, $E$9, 100%, $G$9) + CHOOSE(CONTROL!$C$38, 0.0266, 0)</f>
        <v>49.025600000000004</v>
      </c>
      <c r="G676" s="10">
        <f>45.3308 * CHOOSE(CONTROL!$C$15, $E$9, 100%, $G$9) + CHOOSE(CONTROL!$C$38, 0.0357, 0)</f>
        <v>45.366500000000002</v>
      </c>
      <c r="H676" s="10">
        <f>45.3308 * CHOOSE(CONTROL!$C$15, $E$9, 100%, $G$9) + CHOOSE(CONTROL!$C$38, 0.0357, 0)</f>
        <v>45.366500000000002</v>
      </c>
      <c r="I676" s="10">
        <f>45.3324 * CHOOSE(CONTROL!$C$15, $E$9, 100%, $G$9) + CHOOSE(CONTROL!$C$38, 0.0357, 0)</f>
        <v>45.368099999999998</v>
      </c>
      <c r="J676" s="26">
        <f>333.0081</f>
        <v>333.00810000000001</v>
      </c>
    </row>
    <row r="677" spans="1:10" ht="15.75">
      <c r="A677" s="13">
        <v>61909</v>
      </c>
      <c r="B677" s="10">
        <f>48.7934 * CHOOSE(CONTROL!$C$15, $E$9, 100%, $G$9) + CHOOSE(CONTROL!$C$38, 0.0266, 0)</f>
        <v>48.82</v>
      </c>
      <c r="C677" s="10">
        <f>44.9705 * CHOOSE(CONTROL!$C$15, $E$9, 100%, $G$9) + CHOOSE(CONTROL!$C$38, 0.0357, 0)</f>
        <v>45.0062</v>
      </c>
      <c r="D677" s="10">
        <f>44.9627 * CHOOSE(CONTROL!$C$15, $E$9, 100%, $G$9) + CHOOSE(CONTROL!$C$38, 0.0357, 0)</f>
        <v>44.998399999999997</v>
      </c>
      <c r="E677" s="28">
        <f>48.6371 * CHOOSE(CONTROL!$C$15, $E$9, 100%, $G$9) + CHOOSE(CONTROL!$C$38, 0.0357, 0)</f>
        <v>48.672799999999995</v>
      </c>
      <c r="F677" s="27">
        <f>48.6371 * CHOOSE(CONTROL!$C$15, $E$9, 100%, $G$9) + CHOOSE(CONTROL!$C$38, 0.0266, 0)</f>
        <v>48.663699999999999</v>
      </c>
      <c r="G677" s="10">
        <f>44.969 * CHOOSE(CONTROL!$C$15, $E$9, 100%, $G$9) + CHOOSE(CONTROL!$C$38, 0.0357, 0)</f>
        <v>45.0047</v>
      </c>
      <c r="H677" s="10">
        <f>44.969 * CHOOSE(CONTROL!$C$15, $E$9, 100%, $G$9) + CHOOSE(CONTROL!$C$38, 0.0357, 0)</f>
        <v>45.0047</v>
      </c>
      <c r="I677" s="10">
        <f>44.9705 * CHOOSE(CONTROL!$C$15, $E$9, 100%, $G$9) + CHOOSE(CONTROL!$C$38, 0.0357, 0)</f>
        <v>45.0062</v>
      </c>
      <c r="J677" s="26">
        <f>337.8064</f>
        <v>337.8064</v>
      </c>
    </row>
    <row r="678" spans="1:10" ht="15.75">
      <c r="A678" s="13">
        <v>61940</v>
      </c>
      <c r="B678" s="10">
        <f>48.5869 * CHOOSE(CONTROL!$C$15, $E$9, 100%, $G$9) + CHOOSE(CONTROL!$C$38, 0.0266, 0)</f>
        <v>48.613500000000002</v>
      </c>
      <c r="C678" s="10">
        <f>44.764 * CHOOSE(CONTROL!$C$15, $E$9, 100%, $G$9) + CHOOSE(CONTROL!$C$38, 0.0357, 0)</f>
        <v>44.799700000000001</v>
      </c>
      <c r="D678" s="10">
        <f>44.7562 * CHOOSE(CONTROL!$C$15, $E$9, 100%, $G$9) + CHOOSE(CONTROL!$C$38, 0.0357, 0)</f>
        <v>44.791899999999998</v>
      </c>
      <c r="E678" s="28">
        <f>48.4306 * CHOOSE(CONTROL!$C$15, $E$9, 100%, $G$9) + CHOOSE(CONTROL!$C$38, 0.0357, 0)</f>
        <v>48.466299999999997</v>
      </c>
      <c r="F678" s="27">
        <f>48.4306 * CHOOSE(CONTROL!$C$15, $E$9, 100%, $G$9) + CHOOSE(CONTROL!$C$38, 0.0266, 0)</f>
        <v>48.4572</v>
      </c>
      <c r="G678" s="10">
        <f>44.7625 * CHOOSE(CONTROL!$C$15, $E$9, 100%, $G$9) + CHOOSE(CONTROL!$C$38, 0.0357, 0)</f>
        <v>44.798200000000001</v>
      </c>
      <c r="H678" s="10">
        <f>44.7625 * CHOOSE(CONTROL!$C$15, $E$9, 100%, $G$9) + CHOOSE(CONTROL!$C$38, 0.0357, 0)</f>
        <v>44.798200000000001</v>
      </c>
      <c r="I678" s="10">
        <f>44.764 * CHOOSE(CONTROL!$C$15, $E$9, 100%, $G$9) + CHOOSE(CONTROL!$C$38, 0.0357, 0)</f>
        <v>44.799700000000001</v>
      </c>
      <c r="J678" s="26">
        <f>336.2266</f>
        <v>336.22660000000002</v>
      </c>
    </row>
    <row r="679" spans="1:10" ht="15.75">
      <c r="A679" s="13">
        <v>61971</v>
      </c>
      <c r="B679" s="10">
        <f>48.6888 * CHOOSE(CONTROL!$C$15, $E$9, 100%, $G$9) + CHOOSE(CONTROL!$C$38, 0.0266, 0)</f>
        <v>48.715400000000002</v>
      </c>
      <c r="C679" s="10">
        <f>44.8659 * CHOOSE(CONTROL!$C$15, $E$9, 100%, $G$9) + CHOOSE(CONTROL!$C$38, 0.0357, 0)</f>
        <v>44.901600000000002</v>
      </c>
      <c r="D679" s="10">
        <f>44.8581 * CHOOSE(CONTROL!$C$15, $E$9, 100%, $G$9) + CHOOSE(CONTROL!$C$38, 0.0357, 0)</f>
        <v>44.893799999999999</v>
      </c>
      <c r="E679" s="28">
        <f>48.5326 * CHOOSE(CONTROL!$C$15, $E$9, 100%, $G$9) + CHOOSE(CONTROL!$C$38, 0.0357, 0)</f>
        <v>48.568300000000001</v>
      </c>
      <c r="F679" s="27">
        <f>48.5326 * CHOOSE(CONTROL!$C$15, $E$9, 100%, $G$9) + CHOOSE(CONTROL!$C$38, 0.0266, 0)</f>
        <v>48.559200000000004</v>
      </c>
      <c r="G679" s="10">
        <f>44.8644 * CHOOSE(CONTROL!$C$15, $E$9, 100%, $G$9) + CHOOSE(CONTROL!$C$38, 0.0357, 0)</f>
        <v>44.900100000000002</v>
      </c>
      <c r="H679" s="10">
        <f>44.8644 * CHOOSE(CONTROL!$C$15, $E$9, 100%, $G$9) + CHOOSE(CONTROL!$C$38, 0.0357, 0)</f>
        <v>44.900100000000002</v>
      </c>
      <c r="I679" s="10">
        <f>44.8659 * CHOOSE(CONTROL!$C$15, $E$9, 100%, $G$9) + CHOOSE(CONTROL!$C$38, 0.0357, 0)</f>
        <v>44.901600000000002</v>
      </c>
      <c r="J679" s="26">
        <f>328.3993</f>
        <v>328.39929999999998</v>
      </c>
    </row>
    <row r="680" spans="1:10" ht="15.75">
      <c r="A680" s="13">
        <v>62001</v>
      </c>
      <c r="B680" s="10">
        <f>48.9656 * CHOOSE(CONTROL!$C$15, $E$9, 100%, $G$9) + CHOOSE(CONTROL!$C$38, 0.0266, 0)</f>
        <v>48.992200000000004</v>
      </c>
      <c r="C680" s="10">
        <f>45.1427 * CHOOSE(CONTROL!$C$15, $E$9, 100%, $G$9) + CHOOSE(CONTROL!$C$38, 0.0357, 0)</f>
        <v>45.178399999999996</v>
      </c>
      <c r="D680" s="10">
        <f>45.1349 * CHOOSE(CONTROL!$C$15, $E$9, 100%, $G$9) + CHOOSE(CONTROL!$C$38, 0.0357, 0)</f>
        <v>45.1706</v>
      </c>
      <c r="E680" s="28">
        <f>48.8094 * CHOOSE(CONTROL!$C$15, $E$9, 100%, $G$9) + CHOOSE(CONTROL!$C$38, 0.0357, 0)</f>
        <v>48.845099999999995</v>
      </c>
      <c r="F680" s="27">
        <f>48.8094 * CHOOSE(CONTROL!$C$15, $E$9, 100%, $G$9) + CHOOSE(CONTROL!$C$38, 0.0266, 0)</f>
        <v>48.835999999999999</v>
      </c>
      <c r="G680" s="10">
        <f>45.1412 * CHOOSE(CONTROL!$C$15, $E$9, 100%, $G$9) + CHOOSE(CONTROL!$C$38, 0.0357, 0)</f>
        <v>45.176899999999996</v>
      </c>
      <c r="H680" s="10">
        <f>45.1412 * CHOOSE(CONTROL!$C$15, $E$9, 100%, $G$9) + CHOOSE(CONTROL!$C$38, 0.0357, 0)</f>
        <v>45.176899999999996</v>
      </c>
      <c r="I680" s="10">
        <f>45.1427 * CHOOSE(CONTROL!$C$15, $E$9, 100%, $G$9) + CHOOSE(CONTROL!$C$38, 0.0357, 0)</f>
        <v>45.178399999999996</v>
      </c>
      <c r="J680" s="26">
        <f>317.4839</f>
        <v>317.48390000000001</v>
      </c>
    </row>
    <row r="681" spans="1:10" ht="15.75">
      <c r="A681" s="13">
        <v>62032</v>
      </c>
      <c r="B681" s="10">
        <f>49.1974 * CHOOSE(CONTROL!$C$15, $E$9, 100%, $G$9) + CHOOSE(CONTROL!$C$38, 0.0266, 0)</f>
        <v>49.224000000000004</v>
      </c>
      <c r="C681" s="10">
        <f>45.3746 * CHOOSE(CONTROL!$C$15, $E$9, 100%, $G$9) + CHOOSE(CONTROL!$C$38, 0.0357, 0)</f>
        <v>45.410299999999999</v>
      </c>
      <c r="D681" s="10">
        <f>45.3668 * CHOOSE(CONTROL!$C$15, $E$9, 100%, $G$9) + CHOOSE(CONTROL!$C$38, 0.0357, 0)</f>
        <v>45.402499999999996</v>
      </c>
      <c r="E681" s="28">
        <f>49.0412 * CHOOSE(CONTROL!$C$15, $E$9, 100%, $G$9) + CHOOSE(CONTROL!$C$38, 0.0357, 0)</f>
        <v>49.076900000000002</v>
      </c>
      <c r="F681" s="27">
        <f>49.0412 * CHOOSE(CONTROL!$C$15, $E$9, 100%, $G$9) + CHOOSE(CONTROL!$C$38, 0.0266, 0)</f>
        <v>49.067800000000005</v>
      </c>
      <c r="G681" s="10">
        <f>45.373 * CHOOSE(CONTROL!$C$15, $E$9, 100%, $G$9) + CHOOSE(CONTROL!$C$38, 0.0357, 0)</f>
        <v>45.408699999999996</v>
      </c>
      <c r="H681" s="10">
        <f>45.373 * CHOOSE(CONTROL!$C$15, $E$9, 100%, $G$9) + CHOOSE(CONTROL!$C$38, 0.0357, 0)</f>
        <v>45.408699999999996</v>
      </c>
      <c r="I681" s="10">
        <f>45.3746 * CHOOSE(CONTROL!$C$15, $E$9, 100%, $G$9) + CHOOSE(CONTROL!$C$38, 0.0357, 0)</f>
        <v>45.410299999999999</v>
      </c>
      <c r="J681" s="26">
        <f>306.505</f>
        <v>306.505</v>
      </c>
    </row>
    <row r="682" spans="1:10" ht="15.75">
      <c r="A682" s="13">
        <v>62062</v>
      </c>
      <c r="B682" s="10">
        <f>49.3909 * CHOOSE(CONTROL!$C$15, $E$9, 100%, $G$9) + CHOOSE(CONTROL!$C$38, 0.0266, 0)</f>
        <v>49.417500000000004</v>
      </c>
      <c r="C682" s="10">
        <f>45.568 * CHOOSE(CONTROL!$C$15, $E$9, 100%, $G$9) + CHOOSE(CONTROL!$C$38, 0.0357, 0)</f>
        <v>45.603699999999996</v>
      </c>
      <c r="D682" s="10">
        <f>45.5602 * CHOOSE(CONTROL!$C$15, $E$9, 100%, $G$9) + CHOOSE(CONTROL!$C$38, 0.0357, 0)</f>
        <v>45.5959</v>
      </c>
      <c r="E682" s="28">
        <f>49.2346 * CHOOSE(CONTROL!$C$15, $E$9, 100%, $G$9) + CHOOSE(CONTROL!$C$38, 0.0357, 0)</f>
        <v>49.270299999999999</v>
      </c>
      <c r="F682" s="27">
        <f>49.2346 * CHOOSE(CONTROL!$C$15, $E$9, 100%, $G$9) + CHOOSE(CONTROL!$C$38, 0.0266, 0)</f>
        <v>49.261200000000002</v>
      </c>
      <c r="G682" s="10">
        <f>45.5664 * CHOOSE(CONTROL!$C$15, $E$9, 100%, $G$9) + CHOOSE(CONTROL!$C$38, 0.0357, 0)</f>
        <v>45.6021</v>
      </c>
      <c r="H682" s="10">
        <f>45.5664 * CHOOSE(CONTROL!$C$15, $E$9, 100%, $G$9) + CHOOSE(CONTROL!$C$38, 0.0357, 0)</f>
        <v>45.6021</v>
      </c>
      <c r="I682" s="10">
        <f>45.568 * CHOOSE(CONTROL!$C$15, $E$9, 100%, $G$9) + CHOOSE(CONTROL!$C$38, 0.0357, 0)</f>
        <v>45.603699999999996</v>
      </c>
      <c r="J682" s="26">
        <f>304.3211</f>
        <v>304.3211</v>
      </c>
    </row>
    <row r="683" spans="1:10" ht="15.75">
      <c r="A683" s="13">
        <v>62093</v>
      </c>
      <c r="B683" s="10">
        <f>49.9869 * CHOOSE(CONTROL!$C$15, $E$9, 100%, $G$9) + CHOOSE(CONTROL!$C$38, 0.0266, 0)</f>
        <v>50.013500000000001</v>
      </c>
      <c r="C683" s="10">
        <f>46.1641 * CHOOSE(CONTROL!$C$15, $E$9, 100%, $G$9) + CHOOSE(CONTROL!$C$38, 0.0357, 0)</f>
        <v>46.199799999999996</v>
      </c>
      <c r="D683" s="10">
        <f>46.1563 * CHOOSE(CONTROL!$C$15, $E$9, 100%, $G$9) + CHOOSE(CONTROL!$C$38, 0.0357, 0)</f>
        <v>46.192</v>
      </c>
      <c r="E683" s="28">
        <f>49.8307 * CHOOSE(CONTROL!$C$15, $E$9, 100%, $G$9) + CHOOSE(CONTROL!$C$38, 0.0357, 0)</f>
        <v>49.866399999999999</v>
      </c>
      <c r="F683" s="27">
        <f>49.8307 * CHOOSE(CONTROL!$C$15, $E$9, 100%, $G$9) + CHOOSE(CONTROL!$C$38, 0.0266, 0)</f>
        <v>49.857300000000002</v>
      </c>
      <c r="G683" s="10">
        <f>46.1625 * CHOOSE(CONTROL!$C$15, $E$9, 100%, $G$9) + CHOOSE(CONTROL!$C$38, 0.0357, 0)</f>
        <v>46.1982</v>
      </c>
      <c r="H683" s="10">
        <f>46.1625 * CHOOSE(CONTROL!$C$15, $E$9, 100%, $G$9) + CHOOSE(CONTROL!$C$38, 0.0357, 0)</f>
        <v>46.1982</v>
      </c>
      <c r="I683" s="10">
        <f>46.1641 * CHOOSE(CONTROL!$C$15, $E$9, 100%, $G$9) + CHOOSE(CONTROL!$C$38, 0.0357, 0)</f>
        <v>46.199799999999996</v>
      </c>
      <c r="J683" s="26">
        <f>295.2903</f>
        <v>295.2903</v>
      </c>
    </row>
    <row r="684" spans="1:10" ht="15.75">
      <c r="A684" s="13">
        <v>62124</v>
      </c>
      <c r="B684" s="10">
        <f>51.3201 * CHOOSE(CONTROL!$C$15, $E$9, 100%, $G$9) + CHOOSE(CONTROL!$C$38, 0.0266, 0)</f>
        <v>51.346699999999998</v>
      </c>
      <c r="C684" s="10">
        <f>47.4324 * CHOOSE(CONTROL!$C$15, $E$9, 100%, $G$9) + CHOOSE(CONTROL!$C$38, 0.0357, 0)</f>
        <v>47.4681</v>
      </c>
      <c r="D684" s="10">
        <f>47.4246 * CHOOSE(CONTROL!$C$15, $E$9, 100%, $G$9) + CHOOSE(CONTROL!$C$38, 0.0357, 0)</f>
        <v>47.460299999999997</v>
      </c>
      <c r="E684" s="28">
        <f>51.1638 * CHOOSE(CONTROL!$C$15, $E$9, 100%, $G$9) + CHOOSE(CONTROL!$C$38, 0.0357, 0)</f>
        <v>51.1995</v>
      </c>
      <c r="F684" s="27">
        <f>51.1638 * CHOOSE(CONTROL!$C$15, $E$9, 100%, $G$9) + CHOOSE(CONTROL!$C$38, 0.0266, 0)</f>
        <v>51.190400000000004</v>
      </c>
      <c r="G684" s="10">
        <f>47.4309 * CHOOSE(CONTROL!$C$15, $E$9, 100%, $G$9) + CHOOSE(CONTROL!$C$38, 0.0357, 0)</f>
        <v>47.4666</v>
      </c>
      <c r="H684" s="10">
        <f>47.4309 * CHOOSE(CONTROL!$C$15, $E$9, 100%, $G$9) + CHOOSE(CONTROL!$C$38, 0.0357, 0)</f>
        <v>47.4666</v>
      </c>
      <c r="I684" s="10">
        <f>47.4324 * CHOOSE(CONTROL!$C$15, $E$9, 100%, $G$9) + CHOOSE(CONTROL!$C$38, 0.0357, 0)</f>
        <v>47.4681</v>
      </c>
      <c r="J684" s="26">
        <f>293.3123</f>
        <v>293.31229999999999</v>
      </c>
    </row>
    <row r="685" spans="1:10" ht="15.75">
      <c r="A685" s="13">
        <v>62152</v>
      </c>
      <c r="B685" s="10">
        <f>51.5408 * CHOOSE(CONTROL!$C$15, $E$9, 100%, $G$9) + CHOOSE(CONTROL!$C$38, 0.0266, 0)</f>
        <v>51.567399999999999</v>
      </c>
      <c r="C685" s="10">
        <f>47.6532 * CHOOSE(CONTROL!$C$15, $E$9, 100%, $G$9) + CHOOSE(CONTROL!$C$38, 0.0357, 0)</f>
        <v>47.688899999999997</v>
      </c>
      <c r="D685" s="10">
        <f>47.6454 * CHOOSE(CONTROL!$C$15, $E$9, 100%, $G$9) + CHOOSE(CONTROL!$C$38, 0.0357, 0)</f>
        <v>47.681100000000001</v>
      </c>
      <c r="E685" s="28">
        <f>51.3846 * CHOOSE(CONTROL!$C$15, $E$9, 100%, $G$9) + CHOOSE(CONTROL!$C$38, 0.0357, 0)</f>
        <v>51.420299999999997</v>
      </c>
      <c r="F685" s="27">
        <f>51.3846 * CHOOSE(CONTROL!$C$15, $E$9, 100%, $G$9) + CHOOSE(CONTROL!$C$38, 0.0266, 0)</f>
        <v>51.411200000000001</v>
      </c>
      <c r="G685" s="10">
        <f>47.6516 * CHOOSE(CONTROL!$C$15, $E$9, 100%, $G$9) + CHOOSE(CONTROL!$C$38, 0.0357, 0)</f>
        <v>47.6873</v>
      </c>
      <c r="H685" s="10">
        <f>47.6516 * CHOOSE(CONTROL!$C$15, $E$9, 100%, $G$9) + CHOOSE(CONTROL!$C$38, 0.0357, 0)</f>
        <v>47.6873</v>
      </c>
      <c r="I685" s="10">
        <f>47.6532 * CHOOSE(CONTROL!$C$15, $E$9, 100%, $G$9) + CHOOSE(CONTROL!$C$38, 0.0357, 0)</f>
        <v>47.688899999999997</v>
      </c>
      <c r="J685" s="26">
        <f>292.497</f>
        <v>292.49700000000001</v>
      </c>
    </row>
    <row r="686" spans="1:10" ht="15.75">
      <c r="A686" s="13">
        <v>62183</v>
      </c>
      <c r="B686" s="10">
        <f>51.0298 * CHOOSE(CONTROL!$C$15, $E$9, 100%, $G$9) + CHOOSE(CONTROL!$C$38, 0.0266, 0)</f>
        <v>51.056400000000004</v>
      </c>
      <c r="C686" s="10">
        <f>47.1422 * CHOOSE(CONTROL!$C$15, $E$9, 100%, $G$9) + CHOOSE(CONTROL!$C$38, 0.0357, 0)</f>
        <v>47.177900000000001</v>
      </c>
      <c r="D686" s="10">
        <f>47.1344 * CHOOSE(CONTROL!$C$15, $E$9, 100%, $G$9) + CHOOSE(CONTROL!$C$38, 0.0357, 0)</f>
        <v>47.170099999999998</v>
      </c>
      <c r="E686" s="28">
        <f>50.8736 * CHOOSE(CONTROL!$C$15, $E$9, 100%, $G$9) + CHOOSE(CONTROL!$C$38, 0.0357, 0)</f>
        <v>50.909300000000002</v>
      </c>
      <c r="F686" s="27">
        <f>50.8736 * CHOOSE(CONTROL!$C$15, $E$9, 100%, $G$9) + CHOOSE(CONTROL!$C$38, 0.0266, 0)</f>
        <v>50.900200000000005</v>
      </c>
      <c r="G686" s="10">
        <f>47.1406 * CHOOSE(CONTROL!$C$15, $E$9, 100%, $G$9) + CHOOSE(CONTROL!$C$38, 0.0357, 0)</f>
        <v>47.176299999999998</v>
      </c>
      <c r="H686" s="10">
        <f>47.1406 * CHOOSE(CONTROL!$C$15, $E$9, 100%, $G$9) + CHOOSE(CONTROL!$C$38, 0.0357, 0)</f>
        <v>47.176299999999998</v>
      </c>
      <c r="I686" s="10">
        <f>47.1422 * CHOOSE(CONTROL!$C$15, $E$9, 100%, $G$9) + CHOOSE(CONTROL!$C$38, 0.0357, 0)</f>
        <v>47.177900000000001</v>
      </c>
      <c r="J686" s="26">
        <f>307.9133</f>
        <v>307.91329999999999</v>
      </c>
    </row>
    <row r="687" spans="1:10" ht="15.75">
      <c r="A687" s="13">
        <v>62213</v>
      </c>
      <c r="B687" s="10">
        <f>50.5346 * CHOOSE(CONTROL!$C$15, $E$9, 100%, $G$9) + CHOOSE(CONTROL!$C$38, 0.0266, 0)</f>
        <v>50.561199999999999</v>
      </c>
      <c r="C687" s="10">
        <f>46.647 * CHOOSE(CONTROL!$C$15, $E$9, 100%, $G$9) + CHOOSE(CONTROL!$C$38, 0.0357, 0)</f>
        <v>46.682699999999997</v>
      </c>
      <c r="D687" s="10">
        <f>46.6392 * CHOOSE(CONTROL!$C$15, $E$9, 100%, $G$9) + CHOOSE(CONTROL!$C$38, 0.0357, 0)</f>
        <v>46.674900000000001</v>
      </c>
      <c r="E687" s="28">
        <f>50.3784 * CHOOSE(CONTROL!$C$15, $E$9, 100%, $G$9) + CHOOSE(CONTROL!$C$38, 0.0357, 0)</f>
        <v>50.414099999999998</v>
      </c>
      <c r="F687" s="27">
        <f>50.3784 * CHOOSE(CONTROL!$C$15, $E$9, 100%, $G$9) + CHOOSE(CONTROL!$C$38, 0.0266, 0)</f>
        <v>50.405000000000001</v>
      </c>
      <c r="G687" s="10">
        <f>46.6454 * CHOOSE(CONTROL!$C$15, $E$9, 100%, $G$9) + CHOOSE(CONTROL!$C$38, 0.0357, 0)</f>
        <v>46.681100000000001</v>
      </c>
      <c r="H687" s="10">
        <f>46.6454 * CHOOSE(CONTROL!$C$15, $E$9, 100%, $G$9) + CHOOSE(CONTROL!$C$38, 0.0357, 0)</f>
        <v>46.681100000000001</v>
      </c>
      <c r="I687" s="10">
        <f>46.647 * CHOOSE(CONTROL!$C$15, $E$9, 100%, $G$9) + CHOOSE(CONTROL!$C$38, 0.0357, 0)</f>
        <v>46.682699999999997</v>
      </c>
      <c r="J687" s="26">
        <f>327.9045</f>
        <v>327.90449999999998</v>
      </c>
    </row>
    <row r="688" spans="1:10" ht="15.75">
      <c r="A688" s="13">
        <v>62244</v>
      </c>
      <c r="B688" s="10">
        <f>50.0185 * CHOOSE(CONTROL!$C$15, $E$9, 100%, $G$9) + CHOOSE(CONTROL!$C$38, 0.0266, 0)</f>
        <v>50.045100000000005</v>
      </c>
      <c r="C688" s="10">
        <f>46.1309 * CHOOSE(CONTROL!$C$15, $E$9, 100%, $G$9) + CHOOSE(CONTROL!$C$38, 0.0357, 0)</f>
        <v>46.166599999999995</v>
      </c>
      <c r="D688" s="10">
        <f>46.1231 * CHOOSE(CONTROL!$C$15, $E$9, 100%, $G$9) + CHOOSE(CONTROL!$C$38, 0.0357, 0)</f>
        <v>46.158799999999999</v>
      </c>
      <c r="E688" s="28">
        <f>49.8623 * CHOOSE(CONTROL!$C$15, $E$9, 100%, $G$9) + CHOOSE(CONTROL!$C$38, 0.0357, 0)</f>
        <v>49.897999999999996</v>
      </c>
      <c r="F688" s="27">
        <f>49.8623 * CHOOSE(CONTROL!$C$15, $E$9, 100%, $G$9) + CHOOSE(CONTROL!$C$38, 0.0266, 0)</f>
        <v>49.8889</v>
      </c>
      <c r="G688" s="10">
        <f>46.1293 * CHOOSE(CONTROL!$C$15, $E$9, 100%, $G$9) + CHOOSE(CONTROL!$C$38, 0.0357, 0)</f>
        <v>46.164999999999999</v>
      </c>
      <c r="H688" s="10">
        <f>46.1293 * CHOOSE(CONTROL!$C$15, $E$9, 100%, $G$9) + CHOOSE(CONTROL!$C$38, 0.0357, 0)</f>
        <v>46.164999999999999</v>
      </c>
      <c r="I688" s="10">
        <f>46.1309 * CHOOSE(CONTROL!$C$15, $E$9, 100%, $G$9) + CHOOSE(CONTROL!$C$38, 0.0357, 0)</f>
        <v>46.166599999999995</v>
      </c>
      <c r="J688" s="26">
        <f>338.9084</f>
        <v>338.90839999999997</v>
      </c>
    </row>
    <row r="689" spans="1:10" ht="15.75">
      <c r="A689" s="13">
        <v>62274</v>
      </c>
      <c r="B689" s="10">
        <f>49.6567 * CHOOSE(CONTROL!$C$15, $E$9, 100%, $G$9) + CHOOSE(CONTROL!$C$38, 0.0266, 0)</f>
        <v>49.683300000000003</v>
      </c>
      <c r="C689" s="10">
        <f>45.769 * CHOOSE(CONTROL!$C$15, $E$9, 100%, $G$9) + CHOOSE(CONTROL!$C$38, 0.0357, 0)</f>
        <v>45.804699999999997</v>
      </c>
      <c r="D689" s="10">
        <f>45.7612 * CHOOSE(CONTROL!$C$15, $E$9, 100%, $G$9) + CHOOSE(CONTROL!$C$38, 0.0357, 0)</f>
        <v>45.796900000000001</v>
      </c>
      <c r="E689" s="28">
        <f>49.5004 * CHOOSE(CONTROL!$C$15, $E$9, 100%, $G$9) + CHOOSE(CONTROL!$C$38, 0.0357, 0)</f>
        <v>49.536099999999998</v>
      </c>
      <c r="F689" s="27">
        <f>49.5004 * CHOOSE(CONTROL!$C$15, $E$9, 100%, $G$9) + CHOOSE(CONTROL!$C$38, 0.0266, 0)</f>
        <v>49.527000000000001</v>
      </c>
      <c r="G689" s="10">
        <f>45.7675 * CHOOSE(CONTROL!$C$15, $E$9, 100%, $G$9) + CHOOSE(CONTROL!$C$38, 0.0357, 0)</f>
        <v>45.803199999999997</v>
      </c>
      <c r="H689" s="10">
        <f>45.7675 * CHOOSE(CONTROL!$C$15, $E$9, 100%, $G$9) + CHOOSE(CONTROL!$C$38, 0.0357, 0)</f>
        <v>45.803199999999997</v>
      </c>
      <c r="I689" s="10">
        <f>45.769 * CHOOSE(CONTROL!$C$15, $E$9, 100%, $G$9) + CHOOSE(CONTROL!$C$38, 0.0357, 0)</f>
        <v>45.804699999999997</v>
      </c>
      <c r="J689" s="26">
        <f>343.7917</f>
        <v>343.79169999999999</v>
      </c>
    </row>
    <row r="690" spans="1:10" ht="15.75">
      <c r="A690" s="13">
        <v>62305</v>
      </c>
      <c r="B690" s="10">
        <f>49.4502 * CHOOSE(CONTROL!$C$15, $E$9, 100%, $G$9) + CHOOSE(CONTROL!$C$38, 0.0266, 0)</f>
        <v>49.476800000000004</v>
      </c>
      <c r="C690" s="10">
        <f>45.5625 * CHOOSE(CONTROL!$C$15, $E$9, 100%, $G$9) + CHOOSE(CONTROL!$C$38, 0.0357, 0)</f>
        <v>45.598199999999999</v>
      </c>
      <c r="D690" s="10">
        <f>45.5547 * CHOOSE(CONTROL!$C$15, $E$9, 100%, $G$9) + CHOOSE(CONTROL!$C$38, 0.0357, 0)</f>
        <v>45.590399999999995</v>
      </c>
      <c r="E690" s="28">
        <f>49.2939 * CHOOSE(CONTROL!$C$15, $E$9, 100%, $G$9) + CHOOSE(CONTROL!$C$38, 0.0357, 0)</f>
        <v>49.329599999999999</v>
      </c>
      <c r="F690" s="27">
        <f>49.2939 * CHOOSE(CONTROL!$C$15, $E$9, 100%, $G$9) + CHOOSE(CONTROL!$C$38, 0.0266, 0)</f>
        <v>49.320500000000003</v>
      </c>
      <c r="G690" s="10">
        <f>45.561 * CHOOSE(CONTROL!$C$15, $E$9, 100%, $G$9) + CHOOSE(CONTROL!$C$38, 0.0357, 0)</f>
        <v>45.596699999999998</v>
      </c>
      <c r="H690" s="10">
        <f>45.561 * CHOOSE(CONTROL!$C$15, $E$9, 100%, $G$9) + CHOOSE(CONTROL!$C$38, 0.0357, 0)</f>
        <v>45.596699999999998</v>
      </c>
      <c r="I690" s="10">
        <f>45.5625 * CHOOSE(CONTROL!$C$15, $E$9, 100%, $G$9) + CHOOSE(CONTROL!$C$38, 0.0357, 0)</f>
        <v>45.598199999999999</v>
      </c>
      <c r="J690" s="26">
        <f>342.1839</f>
        <v>342.18389999999999</v>
      </c>
    </row>
    <row r="691" spans="1:10" ht="15.75">
      <c r="A691" s="13">
        <v>62336</v>
      </c>
      <c r="B691" s="10">
        <f>49.5521 * CHOOSE(CONTROL!$C$15, $E$9, 100%, $G$9) + CHOOSE(CONTROL!$C$38, 0.0266, 0)</f>
        <v>49.578700000000005</v>
      </c>
      <c r="C691" s="10">
        <f>45.6645 * CHOOSE(CONTROL!$C$15, $E$9, 100%, $G$9) + CHOOSE(CONTROL!$C$38, 0.0357, 0)</f>
        <v>45.700199999999995</v>
      </c>
      <c r="D691" s="10">
        <f>45.6566 * CHOOSE(CONTROL!$C$15, $E$9, 100%, $G$9) + CHOOSE(CONTROL!$C$38, 0.0357, 0)</f>
        <v>45.692299999999996</v>
      </c>
      <c r="E691" s="28">
        <f>49.3958 * CHOOSE(CONTROL!$C$15, $E$9, 100%, $G$9) + CHOOSE(CONTROL!$C$38, 0.0357, 0)</f>
        <v>49.4315</v>
      </c>
      <c r="F691" s="27">
        <f>49.3958 * CHOOSE(CONTROL!$C$15, $E$9, 100%, $G$9) + CHOOSE(CONTROL!$C$38, 0.0266, 0)</f>
        <v>49.422400000000003</v>
      </c>
      <c r="G691" s="10">
        <f>45.6629 * CHOOSE(CONTROL!$C$15, $E$9, 100%, $G$9) + CHOOSE(CONTROL!$C$38, 0.0357, 0)</f>
        <v>45.698599999999999</v>
      </c>
      <c r="H691" s="10">
        <f>45.6629 * CHOOSE(CONTROL!$C$15, $E$9, 100%, $G$9) + CHOOSE(CONTROL!$C$38, 0.0357, 0)</f>
        <v>45.698599999999999</v>
      </c>
      <c r="I691" s="10">
        <f>45.6645 * CHOOSE(CONTROL!$C$15, $E$9, 100%, $G$9) + CHOOSE(CONTROL!$C$38, 0.0357, 0)</f>
        <v>45.700199999999995</v>
      </c>
      <c r="J691" s="26">
        <f>334.218</f>
        <v>334.21800000000002</v>
      </c>
    </row>
    <row r="692" spans="1:10" ht="15.75">
      <c r="A692" s="13">
        <v>62366</v>
      </c>
      <c r="B692" s="10">
        <f>49.8289 * CHOOSE(CONTROL!$C$15, $E$9, 100%, $G$9) + CHOOSE(CONTROL!$C$38, 0.0266, 0)</f>
        <v>49.855499999999999</v>
      </c>
      <c r="C692" s="10">
        <f>45.9413 * CHOOSE(CONTROL!$C$15, $E$9, 100%, $G$9) + CHOOSE(CONTROL!$C$38, 0.0357, 0)</f>
        <v>45.976999999999997</v>
      </c>
      <c r="D692" s="10">
        <f>45.9334 * CHOOSE(CONTROL!$C$15, $E$9, 100%, $G$9) + CHOOSE(CONTROL!$C$38, 0.0357, 0)</f>
        <v>45.969099999999997</v>
      </c>
      <c r="E692" s="28">
        <f>49.6726 * CHOOSE(CONTROL!$C$15, $E$9, 100%, $G$9) + CHOOSE(CONTROL!$C$38, 0.0357, 0)</f>
        <v>49.708300000000001</v>
      </c>
      <c r="F692" s="27">
        <f>49.6726 * CHOOSE(CONTROL!$C$15, $E$9, 100%, $G$9) + CHOOSE(CONTROL!$C$38, 0.0266, 0)</f>
        <v>49.699200000000005</v>
      </c>
      <c r="G692" s="10">
        <f>45.9397 * CHOOSE(CONTROL!$C$15, $E$9, 100%, $G$9) + CHOOSE(CONTROL!$C$38, 0.0357, 0)</f>
        <v>45.9754</v>
      </c>
      <c r="H692" s="10">
        <f>45.9397 * CHOOSE(CONTROL!$C$15, $E$9, 100%, $G$9) + CHOOSE(CONTROL!$C$38, 0.0357, 0)</f>
        <v>45.9754</v>
      </c>
      <c r="I692" s="10">
        <f>45.9413 * CHOOSE(CONTROL!$C$15, $E$9, 100%, $G$9) + CHOOSE(CONTROL!$C$38, 0.0357, 0)</f>
        <v>45.976999999999997</v>
      </c>
      <c r="J692" s="26">
        <f>323.1091</f>
        <v>323.10910000000001</v>
      </c>
    </row>
    <row r="693" spans="1:10" ht="15.75">
      <c r="A693" s="13">
        <v>62397</v>
      </c>
      <c r="B693" s="10">
        <f>50.0607 * CHOOSE(CONTROL!$C$15, $E$9, 100%, $G$9) + CHOOSE(CONTROL!$C$38, 0.0266, 0)</f>
        <v>50.087299999999999</v>
      </c>
      <c r="C693" s="10">
        <f>46.1731 * CHOOSE(CONTROL!$C$15, $E$9, 100%, $G$9) + CHOOSE(CONTROL!$C$38, 0.0357, 0)</f>
        <v>46.208799999999997</v>
      </c>
      <c r="D693" s="10">
        <f>46.1653 * CHOOSE(CONTROL!$C$15, $E$9, 100%, $G$9) + CHOOSE(CONTROL!$C$38, 0.0357, 0)</f>
        <v>46.201000000000001</v>
      </c>
      <c r="E693" s="28">
        <f>49.9045 * CHOOSE(CONTROL!$C$15, $E$9, 100%, $G$9) + CHOOSE(CONTROL!$C$38, 0.0357, 0)</f>
        <v>49.940199999999997</v>
      </c>
      <c r="F693" s="27">
        <f>49.9045 * CHOOSE(CONTROL!$C$15, $E$9, 100%, $G$9) + CHOOSE(CONTROL!$C$38, 0.0266, 0)</f>
        <v>49.931100000000001</v>
      </c>
      <c r="G693" s="10">
        <f>46.1715 * CHOOSE(CONTROL!$C$15, $E$9, 100%, $G$9) + CHOOSE(CONTROL!$C$38, 0.0357, 0)</f>
        <v>46.2072</v>
      </c>
      <c r="H693" s="10">
        <f>46.1715 * CHOOSE(CONTROL!$C$15, $E$9, 100%, $G$9) + CHOOSE(CONTROL!$C$38, 0.0357, 0)</f>
        <v>46.2072</v>
      </c>
      <c r="I693" s="10">
        <f>46.1731 * CHOOSE(CONTROL!$C$15, $E$9, 100%, $G$9) + CHOOSE(CONTROL!$C$38, 0.0357, 0)</f>
        <v>46.208799999999997</v>
      </c>
      <c r="J693" s="26">
        <f>311.9357</f>
        <v>311.9357</v>
      </c>
    </row>
    <row r="694" spans="1:10" ht="15.75">
      <c r="A694" s="13">
        <v>62427</v>
      </c>
      <c r="B694" s="10">
        <f>50.2542 * CHOOSE(CONTROL!$C$15, $E$9, 100%, $G$9) + CHOOSE(CONTROL!$C$38, 0.0266, 0)</f>
        <v>50.280799999999999</v>
      </c>
      <c r="C694" s="10">
        <f>46.3665 * CHOOSE(CONTROL!$C$15, $E$9, 100%, $G$9) + CHOOSE(CONTROL!$C$38, 0.0357, 0)</f>
        <v>46.402200000000001</v>
      </c>
      <c r="D694" s="10">
        <f>46.3587 * CHOOSE(CONTROL!$C$15, $E$9, 100%, $G$9) + CHOOSE(CONTROL!$C$38, 0.0357, 0)</f>
        <v>46.394399999999997</v>
      </c>
      <c r="E694" s="28">
        <f>50.0979 * CHOOSE(CONTROL!$C$15, $E$9, 100%, $G$9) + CHOOSE(CONTROL!$C$38, 0.0357, 0)</f>
        <v>50.133600000000001</v>
      </c>
      <c r="F694" s="27">
        <f>50.0979 * CHOOSE(CONTROL!$C$15, $E$9, 100%, $G$9) + CHOOSE(CONTROL!$C$38, 0.0266, 0)</f>
        <v>50.124500000000005</v>
      </c>
      <c r="G694" s="10">
        <f>46.365 * CHOOSE(CONTROL!$C$15, $E$9, 100%, $G$9) + CHOOSE(CONTROL!$C$38, 0.0357, 0)</f>
        <v>46.400700000000001</v>
      </c>
      <c r="H694" s="10">
        <f>46.365 * CHOOSE(CONTROL!$C$15, $E$9, 100%, $G$9) + CHOOSE(CONTROL!$C$38, 0.0357, 0)</f>
        <v>46.400700000000001</v>
      </c>
      <c r="I694" s="10">
        <f>46.3665 * CHOOSE(CONTROL!$C$15, $E$9, 100%, $G$9) + CHOOSE(CONTROL!$C$38, 0.0357, 0)</f>
        <v>46.402200000000001</v>
      </c>
      <c r="J694" s="26">
        <f>309.7131</f>
        <v>309.7131</v>
      </c>
    </row>
    <row r="695" spans="1:10" ht="15.75">
      <c r="A695" s="13">
        <v>62458</v>
      </c>
      <c r="B695" s="10">
        <f>50.8502 * CHOOSE(CONTROL!$C$15, $E$9, 100%, $G$9) + CHOOSE(CONTROL!$C$38, 0.0266, 0)</f>
        <v>50.876800000000003</v>
      </c>
      <c r="C695" s="10">
        <f>46.9626 * CHOOSE(CONTROL!$C$15, $E$9, 100%, $G$9) + CHOOSE(CONTROL!$C$38, 0.0357, 0)</f>
        <v>46.9983</v>
      </c>
      <c r="D695" s="10">
        <f>46.9548 * CHOOSE(CONTROL!$C$15, $E$9, 100%, $G$9) + CHOOSE(CONTROL!$C$38, 0.0357, 0)</f>
        <v>46.990499999999997</v>
      </c>
      <c r="E695" s="28">
        <f>50.694 * CHOOSE(CONTROL!$C$15, $E$9, 100%, $G$9) + CHOOSE(CONTROL!$C$38, 0.0357, 0)</f>
        <v>50.729700000000001</v>
      </c>
      <c r="F695" s="27">
        <f>50.694 * CHOOSE(CONTROL!$C$15, $E$9, 100%, $G$9) + CHOOSE(CONTROL!$C$38, 0.0266, 0)</f>
        <v>50.720600000000005</v>
      </c>
      <c r="G695" s="10">
        <f>46.961 * CHOOSE(CONTROL!$C$15, $E$9, 100%, $G$9) + CHOOSE(CONTROL!$C$38, 0.0357, 0)</f>
        <v>46.996699999999997</v>
      </c>
      <c r="H695" s="10">
        <f>46.961 * CHOOSE(CONTROL!$C$15, $E$9, 100%, $G$9) + CHOOSE(CONTROL!$C$38, 0.0357, 0)</f>
        <v>46.996699999999997</v>
      </c>
      <c r="I695" s="10">
        <f>46.9626 * CHOOSE(CONTROL!$C$15, $E$9, 100%, $G$9) + CHOOSE(CONTROL!$C$38, 0.0357, 0)</f>
        <v>46.9983</v>
      </c>
      <c r="J695" s="26">
        <f>300.5223</f>
        <v>300.52229999999997</v>
      </c>
    </row>
    <row r="696" spans="1:10" ht="15.75">
      <c r="A696" s="13">
        <v>62489</v>
      </c>
      <c r="B696" s="10">
        <f>52.1986 * CHOOSE(CONTROL!$C$15, $E$9, 100%, $G$9) + CHOOSE(CONTROL!$C$38, 0.0266, 0)</f>
        <v>52.225200000000001</v>
      </c>
      <c r="C696" s="10">
        <f>48.245 * CHOOSE(CONTROL!$C$15, $E$9, 100%, $G$9) + CHOOSE(CONTROL!$C$38, 0.0357, 0)</f>
        <v>48.280699999999996</v>
      </c>
      <c r="D696" s="10">
        <f>48.2372 * CHOOSE(CONTROL!$C$15, $E$9, 100%, $G$9) + CHOOSE(CONTROL!$C$38, 0.0357, 0)</f>
        <v>48.2729</v>
      </c>
      <c r="E696" s="28">
        <f>52.0424 * CHOOSE(CONTROL!$C$15, $E$9, 100%, $G$9) + CHOOSE(CONTROL!$C$38, 0.0357, 0)</f>
        <v>52.078099999999999</v>
      </c>
      <c r="F696" s="27">
        <f>52.0424 * CHOOSE(CONTROL!$C$15, $E$9, 100%, $G$9) + CHOOSE(CONTROL!$C$38, 0.0266, 0)</f>
        <v>52.069000000000003</v>
      </c>
      <c r="G696" s="10">
        <f>48.2435 * CHOOSE(CONTROL!$C$15, $E$9, 100%, $G$9) + CHOOSE(CONTROL!$C$38, 0.0357, 0)</f>
        <v>48.279199999999996</v>
      </c>
      <c r="H696" s="10">
        <f>48.2435 * CHOOSE(CONTROL!$C$15, $E$9, 100%, $G$9) + CHOOSE(CONTROL!$C$38, 0.0357, 0)</f>
        <v>48.279199999999996</v>
      </c>
      <c r="I696" s="10">
        <f>48.245 * CHOOSE(CONTROL!$C$15, $E$9, 100%, $G$9) + CHOOSE(CONTROL!$C$38, 0.0357, 0)</f>
        <v>48.280699999999996</v>
      </c>
      <c r="J696" s="26">
        <f>298.5093</f>
        <v>298.5093</v>
      </c>
    </row>
    <row r="697" spans="1:10" ht="15.75">
      <c r="A697" s="13">
        <v>62517</v>
      </c>
      <c r="B697" s="10">
        <f>52.4194 * CHOOSE(CONTROL!$C$15, $E$9, 100%, $G$9) + CHOOSE(CONTROL!$C$38, 0.0266, 0)</f>
        <v>52.446000000000005</v>
      </c>
      <c r="C697" s="10">
        <f>48.4658 * CHOOSE(CONTROL!$C$15, $E$9, 100%, $G$9) + CHOOSE(CONTROL!$C$38, 0.0357, 0)</f>
        <v>48.5015</v>
      </c>
      <c r="D697" s="10">
        <f>48.458 * CHOOSE(CONTROL!$C$15, $E$9, 100%, $G$9) + CHOOSE(CONTROL!$C$38, 0.0357, 0)</f>
        <v>48.493699999999997</v>
      </c>
      <c r="E697" s="28">
        <f>52.2631 * CHOOSE(CONTROL!$C$15, $E$9, 100%, $G$9) + CHOOSE(CONTROL!$C$38, 0.0357, 0)</f>
        <v>52.2988</v>
      </c>
      <c r="F697" s="27">
        <f>52.2631 * CHOOSE(CONTROL!$C$15, $E$9, 100%, $G$9) + CHOOSE(CONTROL!$C$38, 0.0266, 0)</f>
        <v>52.289700000000003</v>
      </c>
      <c r="G697" s="10">
        <f>48.4642 * CHOOSE(CONTROL!$C$15, $E$9, 100%, $G$9) + CHOOSE(CONTROL!$C$38, 0.0357, 0)</f>
        <v>48.499899999999997</v>
      </c>
      <c r="H697" s="10">
        <f>48.4642 * CHOOSE(CONTROL!$C$15, $E$9, 100%, $G$9) + CHOOSE(CONTROL!$C$38, 0.0357, 0)</f>
        <v>48.499899999999997</v>
      </c>
      <c r="I697" s="10">
        <f>48.4658 * CHOOSE(CONTROL!$C$15, $E$9, 100%, $G$9) + CHOOSE(CONTROL!$C$38, 0.0357, 0)</f>
        <v>48.5015</v>
      </c>
      <c r="J697" s="26">
        <f>297.6795</f>
        <v>297.67950000000002</v>
      </c>
    </row>
    <row r="698" spans="1:10" ht="15.75">
      <c r="A698" s="13">
        <v>62548</v>
      </c>
      <c r="B698" s="10">
        <f>51.9083 * CHOOSE(CONTROL!$C$15, $E$9, 100%, $G$9) + CHOOSE(CONTROL!$C$38, 0.0266, 0)</f>
        <v>51.934899999999999</v>
      </c>
      <c r="C698" s="10">
        <f>47.9548 * CHOOSE(CONTROL!$C$15, $E$9, 100%, $G$9) + CHOOSE(CONTROL!$C$38, 0.0357, 0)</f>
        <v>47.990499999999997</v>
      </c>
      <c r="D698" s="10">
        <f>47.947 * CHOOSE(CONTROL!$C$15, $E$9, 100%, $G$9) + CHOOSE(CONTROL!$C$38, 0.0357, 0)</f>
        <v>47.982700000000001</v>
      </c>
      <c r="E698" s="28">
        <f>51.7521 * CHOOSE(CONTROL!$C$15, $E$9, 100%, $G$9) + CHOOSE(CONTROL!$C$38, 0.0357, 0)</f>
        <v>51.787799999999997</v>
      </c>
      <c r="F698" s="27">
        <f>51.7521 * CHOOSE(CONTROL!$C$15, $E$9, 100%, $G$9) + CHOOSE(CONTROL!$C$38, 0.0266, 0)</f>
        <v>51.778700000000001</v>
      </c>
      <c r="G698" s="10">
        <f>47.9532 * CHOOSE(CONTROL!$C$15, $E$9, 100%, $G$9) + CHOOSE(CONTROL!$C$38, 0.0357, 0)</f>
        <v>47.988900000000001</v>
      </c>
      <c r="H698" s="10">
        <f>47.9532 * CHOOSE(CONTROL!$C$15, $E$9, 100%, $G$9) + CHOOSE(CONTROL!$C$38, 0.0357, 0)</f>
        <v>47.988900000000001</v>
      </c>
      <c r="I698" s="10">
        <f>47.9548 * CHOOSE(CONTROL!$C$15, $E$9, 100%, $G$9) + CHOOSE(CONTROL!$C$38, 0.0357, 0)</f>
        <v>47.990499999999997</v>
      </c>
      <c r="J698" s="26">
        <f>313.3689</f>
        <v>313.3689</v>
      </c>
    </row>
    <row r="699" spans="1:10" ht="15.75">
      <c r="A699" s="13">
        <v>62578</v>
      </c>
      <c r="B699" s="10">
        <f>51.4132 * CHOOSE(CONTROL!$C$15, $E$9, 100%, $G$9) + CHOOSE(CONTROL!$C$38, 0.0266, 0)</f>
        <v>51.439800000000005</v>
      </c>
      <c r="C699" s="10">
        <f>47.4596 * CHOOSE(CONTROL!$C$15, $E$9, 100%, $G$9) + CHOOSE(CONTROL!$C$38, 0.0357, 0)</f>
        <v>47.4953</v>
      </c>
      <c r="D699" s="10">
        <f>47.4518 * CHOOSE(CONTROL!$C$15, $E$9, 100%, $G$9) + CHOOSE(CONTROL!$C$38, 0.0357, 0)</f>
        <v>47.487499999999997</v>
      </c>
      <c r="E699" s="28">
        <f>51.2569 * CHOOSE(CONTROL!$C$15, $E$9, 100%, $G$9) + CHOOSE(CONTROL!$C$38, 0.0357, 0)</f>
        <v>51.2926</v>
      </c>
      <c r="F699" s="27">
        <f>51.2569 * CHOOSE(CONTROL!$C$15, $E$9, 100%, $G$9) + CHOOSE(CONTROL!$C$38, 0.0266, 0)</f>
        <v>51.283500000000004</v>
      </c>
      <c r="G699" s="10">
        <f>47.458 * CHOOSE(CONTROL!$C$15, $E$9, 100%, $G$9) + CHOOSE(CONTROL!$C$38, 0.0357, 0)</f>
        <v>47.493699999999997</v>
      </c>
      <c r="H699" s="10">
        <f>47.458 * CHOOSE(CONTROL!$C$15, $E$9, 100%, $G$9) + CHOOSE(CONTROL!$C$38, 0.0357, 0)</f>
        <v>47.493699999999997</v>
      </c>
      <c r="I699" s="10">
        <f>47.4596 * CHOOSE(CONTROL!$C$15, $E$9, 100%, $G$9) + CHOOSE(CONTROL!$C$38, 0.0357, 0)</f>
        <v>47.4953</v>
      </c>
      <c r="J699" s="26">
        <f>333.7144</f>
        <v>333.71440000000001</v>
      </c>
    </row>
    <row r="700" spans="1:10" ht="15.75">
      <c r="A700" s="13">
        <v>62609</v>
      </c>
      <c r="B700" s="10">
        <f>50.897 * CHOOSE(CONTROL!$C$15, $E$9, 100%, $G$9) + CHOOSE(CONTROL!$C$38, 0.0266, 0)</f>
        <v>50.9236</v>
      </c>
      <c r="C700" s="10">
        <f>46.9435 * CHOOSE(CONTROL!$C$15, $E$9, 100%, $G$9) + CHOOSE(CONTROL!$C$38, 0.0357, 0)</f>
        <v>46.979199999999999</v>
      </c>
      <c r="D700" s="10">
        <f>46.9357 * CHOOSE(CONTROL!$C$15, $E$9, 100%, $G$9) + CHOOSE(CONTROL!$C$38, 0.0357, 0)</f>
        <v>46.971399999999996</v>
      </c>
      <c r="E700" s="28">
        <f>50.7408 * CHOOSE(CONTROL!$C$15, $E$9, 100%, $G$9) + CHOOSE(CONTROL!$C$38, 0.0357, 0)</f>
        <v>50.776499999999999</v>
      </c>
      <c r="F700" s="27">
        <f>50.7408 * CHOOSE(CONTROL!$C$15, $E$9, 100%, $G$9) + CHOOSE(CONTROL!$C$38, 0.0266, 0)</f>
        <v>50.767400000000002</v>
      </c>
      <c r="G700" s="10">
        <f>46.9419 * CHOOSE(CONTROL!$C$15, $E$9, 100%, $G$9) + CHOOSE(CONTROL!$C$38, 0.0357, 0)</f>
        <v>46.977599999999995</v>
      </c>
      <c r="H700" s="10">
        <f>46.9419 * CHOOSE(CONTROL!$C$15, $E$9, 100%, $G$9) + CHOOSE(CONTROL!$C$38, 0.0357, 0)</f>
        <v>46.977599999999995</v>
      </c>
      <c r="I700" s="10">
        <f>46.9435 * CHOOSE(CONTROL!$C$15, $E$9, 100%, $G$9) + CHOOSE(CONTROL!$C$38, 0.0357, 0)</f>
        <v>46.979199999999999</v>
      </c>
      <c r="J700" s="26">
        <f>344.9132</f>
        <v>344.91320000000002</v>
      </c>
    </row>
    <row r="701" spans="1:10" ht="15.75">
      <c r="A701" s="13">
        <v>62639</v>
      </c>
      <c r="B701" s="10">
        <f>50.5352 * CHOOSE(CONTROL!$C$15, $E$9, 100%, $G$9) + CHOOSE(CONTROL!$C$38, 0.0266, 0)</f>
        <v>50.561800000000005</v>
      </c>
      <c r="C701" s="10">
        <f>46.5816 * CHOOSE(CONTROL!$C$15, $E$9, 100%, $G$9) + CHOOSE(CONTROL!$C$38, 0.0357, 0)</f>
        <v>46.6173</v>
      </c>
      <c r="D701" s="10">
        <f>46.5738 * CHOOSE(CONTROL!$C$15, $E$9, 100%, $G$9) + CHOOSE(CONTROL!$C$38, 0.0357, 0)</f>
        <v>46.609499999999997</v>
      </c>
      <c r="E701" s="28">
        <f>50.379 * CHOOSE(CONTROL!$C$15, $E$9, 100%, $G$9) + CHOOSE(CONTROL!$C$38, 0.0357, 0)</f>
        <v>50.414699999999996</v>
      </c>
      <c r="F701" s="27">
        <f>50.379 * CHOOSE(CONTROL!$C$15, $E$9, 100%, $G$9) + CHOOSE(CONTROL!$C$38, 0.0266, 0)</f>
        <v>50.4056</v>
      </c>
      <c r="G701" s="10">
        <f>46.5801 * CHOOSE(CONTROL!$C$15, $E$9, 100%, $G$9) + CHOOSE(CONTROL!$C$38, 0.0357, 0)</f>
        <v>46.6158</v>
      </c>
      <c r="H701" s="10">
        <f>46.5801 * CHOOSE(CONTROL!$C$15, $E$9, 100%, $G$9) + CHOOSE(CONTROL!$C$38, 0.0357, 0)</f>
        <v>46.6158</v>
      </c>
      <c r="I701" s="10">
        <f>46.5816 * CHOOSE(CONTROL!$C$15, $E$9, 100%, $G$9) + CHOOSE(CONTROL!$C$38, 0.0357, 0)</f>
        <v>46.6173</v>
      </c>
      <c r="J701" s="26">
        <f>349.883</f>
        <v>349.88299999999998</v>
      </c>
    </row>
    <row r="702" spans="1:10" ht="15.75">
      <c r="A702" s="13">
        <v>62670</v>
      </c>
      <c r="B702" s="10">
        <f>50.3287 * CHOOSE(CONTROL!$C$15, $E$9, 100%, $G$9) + CHOOSE(CONTROL!$C$38, 0.0266, 0)</f>
        <v>50.3553</v>
      </c>
      <c r="C702" s="10">
        <f>46.3752 * CHOOSE(CONTROL!$C$15, $E$9, 100%, $G$9) + CHOOSE(CONTROL!$C$38, 0.0357, 0)</f>
        <v>46.410899999999998</v>
      </c>
      <c r="D702" s="10">
        <f>46.3673 * CHOOSE(CONTROL!$C$15, $E$9, 100%, $G$9) + CHOOSE(CONTROL!$C$38, 0.0357, 0)</f>
        <v>46.402999999999999</v>
      </c>
      <c r="E702" s="28">
        <f>50.1725 * CHOOSE(CONTROL!$C$15, $E$9, 100%, $G$9) + CHOOSE(CONTROL!$C$38, 0.0357, 0)</f>
        <v>50.208199999999998</v>
      </c>
      <c r="F702" s="27">
        <f>50.1725 * CHOOSE(CONTROL!$C$15, $E$9, 100%, $G$9) + CHOOSE(CONTROL!$C$38, 0.0266, 0)</f>
        <v>50.199100000000001</v>
      </c>
      <c r="G702" s="10">
        <f>46.3736 * CHOOSE(CONTROL!$C$15, $E$9, 100%, $G$9) + CHOOSE(CONTROL!$C$38, 0.0357, 0)</f>
        <v>46.409300000000002</v>
      </c>
      <c r="H702" s="10">
        <f>46.3736 * CHOOSE(CONTROL!$C$15, $E$9, 100%, $G$9) + CHOOSE(CONTROL!$C$38, 0.0357, 0)</f>
        <v>46.409300000000002</v>
      </c>
      <c r="I702" s="10">
        <f>46.3752 * CHOOSE(CONTROL!$C$15, $E$9, 100%, $G$9) + CHOOSE(CONTROL!$C$38, 0.0357, 0)</f>
        <v>46.410899999999998</v>
      </c>
      <c r="J702" s="26">
        <f>348.2467</f>
        <v>348.24669999999998</v>
      </c>
    </row>
    <row r="703" spans="1:10" ht="15.75">
      <c r="A703" s="13">
        <v>62701</v>
      </c>
      <c r="B703" s="10">
        <f>50.4306 * CHOOSE(CONTROL!$C$15, $E$9, 100%, $G$9) + CHOOSE(CONTROL!$C$38, 0.0266, 0)</f>
        <v>50.4572</v>
      </c>
      <c r="C703" s="10">
        <f>46.4771 * CHOOSE(CONTROL!$C$15, $E$9, 100%, $G$9) + CHOOSE(CONTROL!$C$38, 0.0357, 0)</f>
        <v>46.512799999999999</v>
      </c>
      <c r="D703" s="10">
        <f>46.4693 * CHOOSE(CONTROL!$C$15, $E$9, 100%, $G$9) + CHOOSE(CONTROL!$C$38, 0.0357, 0)</f>
        <v>46.504999999999995</v>
      </c>
      <c r="E703" s="28">
        <f>50.2744 * CHOOSE(CONTROL!$C$15, $E$9, 100%, $G$9) + CHOOSE(CONTROL!$C$38, 0.0357, 0)</f>
        <v>50.310099999999998</v>
      </c>
      <c r="F703" s="27">
        <f>50.2744 * CHOOSE(CONTROL!$C$15, $E$9, 100%, $G$9) + CHOOSE(CONTROL!$C$38, 0.0266, 0)</f>
        <v>50.301000000000002</v>
      </c>
      <c r="G703" s="10">
        <f>46.4755 * CHOOSE(CONTROL!$C$15, $E$9, 100%, $G$9) + CHOOSE(CONTROL!$C$38, 0.0357, 0)</f>
        <v>46.511199999999995</v>
      </c>
      <c r="H703" s="10">
        <f>46.4755 * CHOOSE(CONTROL!$C$15, $E$9, 100%, $G$9) + CHOOSE(CONTROL!$C$38, 0.0357, 0)</f>
        <v>46.511199999999995</v>
      </c>
      <c r="I703" s="10">
        <f>46.4771 * CHOOSE(CONTROL!$C$15, $E$9, 100%, $G$9) + CHOOSE(CONTROL!$C$38, 0.0357, 0)</f>
        <v>46.512799999999999</v>
      </c>
      <c r="J703" s="26">
        <f>340.1397</f>
        <v>340.1397</v>
      </c>
    </row>
    <row r="704" spans="1:10" ht="15.75">
      <c r="A704" s="13">
        <v>62731</v>
      </c>
      <c r="B704" s="10">
        <f>50.7074 * CHOOSE(CONTROL!$C$15, $E$9, 100%, $G$9) + CHOOSE(CONTROL!$C$38, 0.0266, 0)</f>
        <v>50.734000000000002</v>
      </c>
      <c r="C704" s="10">
        <f>46.7539 * CHOOSE(CONTROL!$C$15, $E$9, 100%, $G$9) + CHOOSE(CONTROL!$C$38, 0.0357, 0)</f>
        <v>46.7896</v>
      </c>
      <c r="D704" s="10">
        <f>46.7461 * CHOOSE(CONTROL!$C$15, $E$9, 100%, $G$9) + CHOOSE(CONTROL!$C$38, 0.0357, 0)</f>
        <v>46.781799999999997</v>
      </c>
      <c r="E704" s="28">
        <f>50.5512 * CHOOSE(CONTROL!$C$15, $E$9, 100%, $G$9) + CHOOSE(CONTROL!$C$38, 0.0357, 0)</f>
        <v>50.5869</v>
      </c>
      <c r="F704" s="27">
        <f>50.5512 * CHOOSE(CONTROL!$C$15, $E$9, 100%, $G$9) + CHOOSE(CONTROL!$C$38, 0.0266, 0)</f>
        <v>50.577800000000003</v>
      </c>
      <c r="G704" s="10">
        <f>46.7523 * CHOOSE(CONTROL!$C$15, $E$9, 100%, $G$9) + CHOOSE(CONTROL!$C$38, 0.0357, 0)</f>
        <v>46.787999999999997</v>
      </c>
      <c r="H704" s="10">
        <f>46.7523 * CHOOSE(CONTROL!$C$15, $E$9, 100%, $G$9) + CHOOSE(CONTROL!$C$38, 0.0357, 0)</f>
        <v>46.787999999999997</v>
      </c>
      <c r="I704" s="10">
        <f>46.7539 * CHOOSE(CONTROL!$C$15, $E$9, 100%, $G$9) + CHOOSE(CONTROL!$C$38, 0.0357, 0)</f>
        <v>46.7896</v>
      </c>
      <c r="J704" s="26">
        <f>328.834</f>
        <v>328.834</v>
      </c>
    </row>
    <row r="705" spans="1:10" ht="15.75">
      <c r="A705" s="13">
        <v>62762</v>
      </c>
      <c r="B705" s="10">
        <f>50.9393 * CHOOSE(CONTROL!$C$15, $E$9, 100%, $G$9) + CHOOSE(CONTROL!$C$38, 0.0266, 0)</f>
        <v>50.965900000000005</v>
      </c>
      <c r="C705" s="10">
        <f>46.9857 * CHOOSE(CONTROL!$C$15, $E$9, 100%, $G$9) + CHOOSE(CONTROL!$C$38, 0.0357, 0)</f>
        <v>47.0214</v>
      </c>
      <c r="D705" s="10">
        <f>46.9779 * CHOOSE(CONTROL!$C$15, $E$9, 100%, $G$9) + CHOOSE(CONTROL!$C$38, 0.0357, 0)</f>
        <v>47.013599999999997</v>
      </c>
      <c r="E705" s="28">
        <f>50.783 * CHOOSE(CONTROL!$C$15, $E$9, 100%, $G$9) + CHOOSE(CONTROL!$C$38, 0.0357, 0)</f>
        <v>50.8187</v>
      </c>
      <c r="F705" s="27">
        <f>50.783 * CHOOSE(CONTROL!$C$15, $E$9, 100%, $G$9) + CHOOSE(CONTROL!$C$38, 0.0266, 0)</f>
        <v>50.809600000000003</v>
      </c>
      <c r="G705" s="10">
        <f>46.9841 * CHOOSE(CONTROL!$C$15, $E$9, 100%, $G$9) + CHOOSE(CONTROL!$C$38, 0.0357, 0)</f>
        <v>47.019799999999996</v>
      </c>
      <c r="H705" s="10">
        <f>46.9841 * CHOOSE(CONTROL!$C$15, $E$9, 100%, $G$9) + CHOOSE(CONTROL!$C$38, 0.0357, 0)</f>
        <v>47.019799999999996</v>
      </c>
      <c r="I705" s="10">
        <f>46.9857 * CHOOSE(CONTROL!$C$15, $E$9, 100%, $G$9) + CHOOSE(CONTROL!$C$38, 0.0357, 0)</f>
        <v>47.0214</v>
      </c>
      <c r="J705" s="26">
        <f>317.4626</f>
        <v>317.46260000000001</v>
      </c>
    </row>
    <row r="706" spans="1:10" ht="15.75">
      <c r="A706" s="13">
        <v>62792</v>
      </c>
      <c r="B706" s="10">
        <f>51.1327 * CHOOSE(CONTROL!$C$15, $E$9, 100%, $G$9) + CHOOSE(CONTROL!$C$38, 0.0266, 0)</f>
        <v>51.159300000000002</v>
      </c>
      <c r="C706" s="10">
        <f>47.1791 * CHOOSE(CONTROL!$C$15, $E$9, 100%, $G$9) + CHOOSE(CONTROL!$C$38, 0.0357, 0)</f>
        <v>47.214799999999997</v>
      </c>
      <c r="D706" s="10">
        <f>47.1713 * CHOOSE(CONTROL!$C$15, $E$9, 100%, $G$9) + CHOOSE(CONTROL!$C$38, 0.0357, 0)</f>
        <v>47.207000000000001</v>
      </c>
      <c r="E706" s="28">
        <f>50.9764 * CHOOSE(CONTROL!$C$15, $E$9, 100%, $G$9) + CHOOSE(CONTROL!$C$38, 0.0357, 0)</f>
        <v>51.012099999999997</v>
      </c>
      <c r="F706" s="27">
        <f>50.9764 * CHOOSE(CONTROL!$C$15, $E$9, 100%, $G$9) + CHOOSE(CONTROL!$C$38, 0.0266, 0)</f>
        <v>51.003</v>
      </c>
      <c r="G706" s="10">
        <f>47.1776 * CHOOSE(CONTROL!$C$15, $E$9, 100%, $G$9) + CHOOSE(CONTROL!$C$38, 0.0357, 0)</f>
        <v>47.213299999999997</v>
      </c>
      <c r="H706" s="10">
        <f>47.1776 * CHOOSE(CONTROL!$C$15, $E$9, 100%, $G$9) + CHOOSE(CONTROL!$C$38, 0.0357, 0)</f>
        <v>47.213299999999997</v>
      </c>
      <c r="I706" s="10">
        <f>47.1791 * CHOOSE(CONTROL!$C$15, $E$9, 100%, $G$9) + CHOOSE(CONTROL!$C$38, 0.0357, 0)</f>
        <v>47.214799999999997</v>
      </c>
      <c r="J706" s="26">
        <f>315.2006</f>
        <v>315.20060000000001</v>
      </c>
    </row>
    <row r="707" spans="1:10" ht="15.75">
      <c r="A707" s="13">
        <v>62823</v>
      </c>
      <c r="B707" s="10">
        <f>51.7288 * CHOOSE(CONTROL!$C$15, $E$9, 100%, $G$9) + CHOOSE(CONTROL!$C$38, 0.0266, 0)</f>
        <v>51.755400000000002</v>
      </c>
      <c r="C707" s="10">
        <f>47.7752 * CHOOSE(CONTROL!$C$15, $E$9, 100%, $G$9) + CHOOSE(CONTROL!$C$38, 0.0357, 0)</f>
        <v>47.810899999999997</v>
      </c>
      <c r="D707" s="10">
        <f>47.7674 * CHOOSE(CONTROL!$C$15, $E$9, 100%, $G$9) + CHOOSE(CONTROL!$C$38, 0.0357, 0)</f>
        <v>47.803100000000001</v>
      </c>
      <c r="E707" s="28">
        <f>51.5725 * CHOOSE(CONTROL!$C$15, $E$9, 100%, $G$9) + CHOOSE(CONTROL!$C$38, 0.0357, 0)</f>
        <v>51.608199999999997</v>
      </c>
      <c r="F707" s="27">
        <f>51.5725 * CHOOSE(CONTROL!$C$15, $E$9, 100%, $G$9) + CHOOSE(CONTROL!$C$38, 0.0266, 0)</f>
        <v>51.5991</v>
      </c>
      <c r="G707" s="10">
        <f>47.7736 * CHOOSE(CONTROL!$C$15, $E$9, 100%, $G$9) + CHOOSE(CONTROL!$C$38, 0.0357, 0)</f>
        <v>47.8093</v>
      </c>
      <c r="H707" s="10">
        <f>47.7736 * CHOOSE(CONTROL!$C$15, $E$9, 100%, $G$9) + CHOOSE(CONTROL!$C$38, 0.0357, 0)</f>
        <v>47.8093</v>
      </c>
      <c r="I707" s="10">
        <f>47.7752 * CHOOSE(CONTROL!$C$15, $E$9, 100%, $G$9) + CHOOSE(CONTROL!$C$38, 0.0357, 0)</f>
        <v>47.810899999999997</v>
      </c>
      <c r="J707" s="26">
        <f>305.847</f>
        <v>305.84699999999998</v>
      </c>
    </row>
    <row r="708" spans="1:10" ht="15.75">
      <c r="A708" s="13">
        <v>62854</v>
      </c>
      <c r="B708" s="10">
        <f>53.0927 * CHOOSE(CONTROL!$C$15, $E$9, 100%, $G$9) + CHOOSE(CONTROL!$C$38, 0.0266, 0)</f>
        <v>53.119300000000003</v>
      </c>
      <c r="C708" s="10">
        <f>49.072 * CHOOSE(CONTROL!$C$15, $E$9, 100%, $G$9) + CHOOSE(CONTROL!$C$38, 0.0357, 0)</f>
        <v>49.107700000000001</v>
      </c>
      <c r="D708" s="10">
        <f>49.0642 * CHOOSE(CONTROL!$C$15, $E$9, 100%, $G$9) + CHOOSE(CONTROL!$C$38, 0.0357, 0)</f>
        <v>49.099899999999998</v>
      </c>
      <c r="E708" s="28">
        <f>52.9364 * CHOOSE(CONTROL!$C$15, $E$9, 100%, $G$9) + CHOOSE(CONTROL!$C$38, 0.0357, 0)</f>
        <v>52.972099999999998</v>
      </c>
      <c r="F708" s="27">
        <f>52.9364 * CHOOSE(CONTROL!$C$15, $E$9, 100%, $G$9) + CHOOSE(CONTROL!$C$38, 0.0266, 0)</f>
        <v>52.963000000000001</v>
      </c>
      <c r="G708" s="10">
        <f>49.0705 * CHOOSE(CONTROL!$C$15, $E$9, 100%, $G$9) + CHOOSE(CONTROL!$C$38, 0.0357, 0)</f>
        <v>49.106200000000001</v>
      </c>
      <c r="H708" s="10">
        <f>49.0705 * CHOOSE(CONTROL!$C$15, $E$9, 100%, $G$9) + CHOOSE(CONTROL!$C$38, 0.0357, 0)</f>
        <v>49.106200000000001</v>
      </c>
      <c r="I708" s="10">
        <f>49.072 * CHOOSE(CONTROL!$C$15, $E$9, 100%, $G$9) + CHOOSE(CONTROL!$C$38, 0.0357, 0)</f>
        <v>49.107700000000001</v>
      </c>
      <c r="J708" s="26">
        <f>303.7983</f>
        <v>303.79829999999998</v>
      </c>
    </row>
    <row r="709" spans="1:10" ht="15.75">
      <c r="A709" s="13">
        <v>62883</v>
      </c>
      <c r="B709" s="10">
        <f>53.3134 * CHOOSE(CONTROL!$C$15, $E$9, 100%, $G$9) + CHOOSE(CONTROL!$C$38, 0.0266, 0)</f>
        <v>53.34</v>
      </c>
      <c r="C709" s="10">
        <f>49.2928 * CHOOSE(CONTROL!$C$15, $E$9, 100%, $G$9) + CHOOSE(CONTROL!$C$38, 0.0357, 0)</f>
        <v>49.328499999999998</v>
      </c>
      <c r="D709" s="10">
        <f>49.285 * CHOOSE(CONTROL!$C$15, $E$9, 100%, $G$9) + CHOOSE(CONTROL!$C$38, 0.0357, 0)</f>
        <v>49.320699999999995</v>
      </c>
      <c r="E709" s="28">
        <f>53.1572 * CHOOSE(CONTROL!$C$15, $E$9, 100%, $G$9) + CHOOSE(CONTROL!$C$38, 0.0357, 0)</f>
        <v>53.192900000000002</v>
      </c>
      <c r="F709" s="27">
        <f>53.1572 * CHOOSE(CONTROL!$C$15, $E$9, 100%, $G$9) + CHOOSE(CONTROL!$C$38, 0.0266, 0)</f>
        <v>53.183800000000005</v>
      </c>
      <c r="G709" s="10">
        <f>49.2912 * CHOOSE(CONTROL!$C$15, $E$9, 100%, $G$9) + CHOOSE(CONTROL!$C$38, 0.0357, 0)</f>
        <v>49.326900000000002</v>
      </c>
      <c r="H709" s="10">
        <f>49.2912 * CHOOSE(CONTROL!$C$15, $E$9, 100%, $G$9) + CHOOSE(CONTROL!$C$38, 0.0357, 0)</f>
        <v>49.326900000000002</v>
      </c>
      <c r="I709" s="10">
        <f>49.2928 * CHOOSE(CONTROL!$C$15, $E$9, 100%, $G$9) + CHOOSE(CONTROL!$C$38, 0.0357, 0)</f>
        <v>49.328499999999998</v>
      </c>
      <c r="J709" s="26">
        <f>302.9538</f>
        <v>302.9538</v>
      </c>
    </row>
    <row r="710" spans="1:10" ht="15.75">
      <c r="A710" s="13">
        <v>62914</v>
      </c>
      <c r="B710" s="10">
        <f>52.8024 * CHOOSE(CONTROL!$C$15, $E$9, 100%, $G$9) + CHOOSE(CONTROL!$C$38, 0.0266, 0)</f>
        <v>52.829000000000001</v>
      </c>
      <c r="C710" s="10">
        <f>48.7817 * CHOOSE(CONTROL!$C$15, $E$9, 100%, $G$9) + CHOOSE(CONTROL!$C$38, 0.0357, 0)</f>
        <v>48.817399999999999</v>
      </c>
      <c r="D710" s="10">
        <f>48.7739 * CHOOSE(CONTROL!$C$15, $E$9, 100%, $G$9) + CHOOSE(CONTROL!$C$38, 0.0357, 0)</f>
        <v>48.809599999999996</v>
      </c>
      <c r="E710" s="28">
        <f>52.6462 * CHOOSE(CONTROL!$C$15, $E$9, 100%, $G$9) + CHOOSE(CONTROL!$C$38, 0.0357, 0)</f>
        <v>52.681899999999999</v>
      </c>
      <c r="F710" s="27">
        <f>52.6462 * CHOOSE(CONTROL!$C$15, $E$9, 100%, $G$9) + CHOOSE(CONTROL!$C$38, 0.0266, 0)</f>
        <v>52.672800000000002</v>
      </c>
      <c r="G710" s="10">
        <f>48.7802 * CHOOSE(CONTROL!$C$15, $E$9, 100%, $G$9) + CHOOSE(CONTROL!$C$38, 0.0357, 0)</f>
        <v>48.815899999999999</v>
      </c>
      <c r="H710" s="10">
        <f>48.7802 * CHOOSE(CONTROL!$C$15, $E$9, 100%, $G$9) + CHOOSE(CONTROL!$C$38, 0.0357, 0)</f>
        <v>48.815899999999999</v>
      </c>
      <c r="I710" s="10">
        <f>48.7817 * CHOOSE(CONTROL!$C$15, $E$9, 100%, $G$9) + CHOOSE(CONTROL!$C$38, 0.0357, 0)</f>
        <v>48.817399999999999</v>
      </c>
      <c r="J710" s="26">
        <f>318.9212</f>
        <v>318.9212</v>
      </c>
    </row>
    <row r="711" spans="1:10" ht="15.75">
      <c r="A711" s="13">
        <v>62944</v>
      </c>
      <c r="B711" s="10">
        <f>52.3072 * CHOOSE(CONTROL!$C$15, $E$9, 100%, $G$9) + CHOOSE(CONTROL!$C$38, 0.0266, 0)</f>
        <v>52.333800000000004</v>
      </c>
      <c r="C711" s="10">
        <f>48.2866 * CHOOSE(CONTROL!$C$15, $E$9, 100%, $G$9) + CHOOSE(CONTROL!$C$38, 0.0357, 0)</f>
        <v>48.322299999999998</v>
      </c>
      <c r="D711" s="10">
        <f>48.2788 * CHOOSE(CONTROL!$C$15, $E$9, 100%, $G$9) + CHOOSE(CONTROL!$C$38, 0.0357, 0)</f>
        <v>48.314499999999995</v>
      </c>
      <c r="E711" s="28">
        <f>52.151 * CHOOSE(CONTROL!$C$15, $E$9, 100%, $G$9) + CHOOSE(CONTROL!$C$38, 0.0357, 0)</f>
        <v>52.186700000000002</v>
      </c>
      <c r="F711" s="27">
        <f>52.151 * CHOOSE(CONTROL!$C$15, $E$9, 100%, $G$9) + CHOOSE(CONTROL!$C$38, 0.0266, 0)</f>
        <v>52.177600000000005</v>
      </c>
      <c r="G711" s="10">
        <f>48.285 * CHOOSE(CONTROL!$C$15, $E$9, 100%, $G$9) + CHOOSE(CONTROL!$C$38, 0.0357, 0)</f>
        <v>48.320699999999995</v>
      </c>
      <c r="H711" s="10">
        <f>48.285 * CHOOSE(CONTROL!$C$15, $E$9, 100%, $G$9) + CHOOSE(CONTROL!$C$38, 0.0357, 0)</f>
        <v>48.320699999999995</v>
      </c>
      <c r="I711" s="10">
        <f>48.2866 * CHOOSE(CONTROL!$C$15, $E$9, 100%, $G$9) + CHOOSE(CONTROL!$C$38, 0.0357, 0)</f>
        <v>48.322299999999998</v>
      </c>
      <c r="J711" s="26">
        <f>339.6272</f>
        <v>339.62720000000002</v>
      </c>
    </row>
    <row r="712" spans="1:10" ht="15.75">
      <c r="A712" s="13">
        <v>62975</v>
      </c>
      <c r="B712" s="10">
        <f>51.7911 * CHOOSE(CONTROL!$C$15, $E$9, 100%, $G$9) + CHOOSE(CONTROL!$C$38, 0.0266, 0)</f>
        <v>51.817700000000002</v>
      </c>
      <c r="C712" s="10">
        <f>47.7705 * CHOOSE(CONTROL!$C$15, $E$9, 100%, $G$9) + CHOOSE(CONTROL!$C$38, 0.0357, 0)</f>
        <v>47.806199999999997</v>
      </c>
      <c r="D712" s="10">
        <f>47.7626 * CHOOSE(CONTROL!$C$15, $E$9, 100%, $G$9) + CHOOSE(CONTROL!$C$38, 0.0357, 0)</f>
        <v>47.798299999999998</v>
      </c>
      <c r="E712" s="28">
        <f>51.6349 * CHOOSE(CONTROL!$C$15, $E$9, 100%, $G$9) + CHOOSE(CONTROL!$C$38, 0.0357, 0)</f>
        <v>51.6706</v>
      </c>
      <c r="F712" s="27">
        <f>51.6349 * CHOOSE(CONTROL!$C$15, $E$9, 100%, $G$9) + CHOOSE(CONTROL!$C$38, 0.0266, 0)</f>
        <v>51.661500000000004</v>
      </c>
      <c r="G712" s="10">
        <f>47.7689 * CHOOSE(CONTROL!$C$15, $E$9, 100%, $G$9) + CHOOSE(CONTROL!$C$38, 0.0357, 0)</f>
        <v>47.804600000000001</v>
      </c>
      <c r="H712" s="10">
        <f>47.7689 * CHOOSE(CONTROL!$C$15, $E$9, 100%, $G$9) + CHOOSE(CONTROL!$C$38, 0.0357, 0)</f>
        <v>47.804600000000001</v>
      </c>
      <c r="I712" s="10">
        <f>47.7705 * CHOOSE(CONTROL!$C$15, $E$9, 100%, $G$9) + CHOOSE(CONTROL!$C$38, 0.0357, 0)</f>
        <v>47.806199999999997</v>
      </c>
      <c r="J712" s="26">
        <f>351.0244</f>
        <v>351.02440000000001</v>
      </c>
    </row>
    <row r="713" spans="1:10" ht="15.75">
      <c r="A713" s="13">
        <v>63005</v>
      </c>
      <c r="B713" s="10">
        <f>51.4293 * CHOOSE(CONTROL!$C$15, $E$9, 100%, $G$9) + CHOOSE(CONTROL!$C$38, 0.0266, 0)</f>
        <v>51.4559</v>
      </c>
      <c r="C713" s="10">
        <f>47.4086 * CHOOSE(CONTROL!$C$15, $E$9, 100%, $G$9) + CHOOSE(CONTROL!$C$38, 0.0357, 0)</f>
        <v>47.444299999999998</v>
      </c>
      <c r="D713" s="10">
        <f>47.4008 * CHOOSE(CONTROL!$C$15, $E$9, 100%, $G$9) + CHOOSE(CONTROL!$C$38, 0.0357, 0)</f>
        <v>47.436499999999995</v>
      </c>
      <c r="E713" s="28">
        <f>51.273 * CHOOSE(CONTROL!$C$15, $E$9, 100%, $G$9) + CHOOSE(CONTROL!$C$38, 0.0357, 0)</f>
        <v>51.308700000000002</v>
      </c>
      <c r="F713" s="27">
        <f>51.273 * CHOOSE(CONTROL!$C$15, $E$9, 100%, $G$9) + CHOOSE(CONTROL!$C$38, 0.0266, 0)</f>
        <v>51.299600000000005</v>
      </c>
      <c r="G713" s="10">
        <f>47.4071 * CHOOSE(CONTROL!$C$15, $E$9, 100%, $G$9) + CHOOSE(CONTROL!$C$38, 0.0357, 0)</f>
        <v>47.442799999999998</v>
      </c>
      <c r="H713" s="10">
        <f>47.4071 * CHOOSE(CONTROL!$C$15, $E$9, 100%, $G$9) + CHOOSE(CONTROL!$C$38, 0.0357, 0)</f>
        <v>47.442799999999998</v>
      </c>
      <c r="I713" s="10">
        <f>47.4086 * CHOOSE(CONTROL!$C$15, $E$9, 100%, $G$9) + CHOOSE(CONTROL!$C$38, 0.0357, 0)</f>
        <v>47.444299999999998</v>
      </c>
      <c r="J713" s="26">
        <f>356.0823</f>
        <v>356.08229999999998</v>
      </c>
    </row>
    <row r="714" spans="1:10" ht="15.75">
      <c r="A714" s="13">
        <v>63036</v>
      </c>
      <c r="B714" s="10">
        <f>51.2228 * CHOOSE(CONTROL!$C$15, $E$9, 100%, $G$9) + CHOOSE(CONTROL!$C$38, 0.0266, 0)</f>
        <v>51.249400000000001</v>
      </c>
      <c r="C714" s="10">
        <f>47.2021 * CHOOSE(CONTROL!$C$15, $E$9, 100%, $G$9) + CHOOSE(CONTROL!$C$38, 0.0357, 0)</f>
        <v>47.2378</v>
      </c>
      <c r="D714" s="10">
        <f>47.1943 * CHOOSE(CONTROL!$C$15, $E$9, 100%, $G$9) + CHOOSE(CONTROL!$C$38, 0.0357, 0)</f>
        <v>47.23</v>
      </c>
      <c r="E714" s="28">
        <f>51.0665 * CHOOSE(CONTROL!$C$15, $E$9, 100%, $G$9) + CHOOSE(CONTROL!$C$38, 0.0357, 0)</f>
        <v>51.102199999999996</v>
      </c>
      <c r="F714" s="27">
        <f>51.0665 * CHOOSE(CONTROL!$C$15, $E$9, 100%, $G$9) + CHOOSE(CONTROL!$C$38, 0.0266, 0)</f>
        <v>51.0931</v>
      </c>
      <c r="G714" s="10">
        <f>47.2006 * CHOOSE(CONTROL!$C$15, $E$9, 100%, $G$9) + CHOOSE(CONTROL!$C$38, 0.0357, 0)</f>
        <v>47.2363</v>
      </c>
      <c r="H714" s="10">
        <f>47.2006 * CHOOSE(CONTROL!$C$15, $E$9, 100%, $G$9) + CHOOSE(CONTROL!$C$38, 0.0357, 0)</f>
        <v>47.2363</v>
      </c>
      <c r="I714" s="10">
        <f>47.2021 * CHOOSE(CONTROL!$C$15, $E$9, 100%, $G$9) + CHOOSE(CONTROL!$C$38, 0.0357, 0)</f>
        <v>47.2378</v>
      </c>
      <c r="J714" s="26">
        <f>354.417</f>
        <v>354.41699999999997</v>
      </c>
    </row>
    <row r="715" spans="1:10" ht="15.75">
      <c r="A715" s="13">
        <v>63067</v>
      </c>
      <c r="B715" s="10">
        <f>51.3247 * CHOOSE(CONTROL!$C$15, $E$9, 100%, $G$9) + CHOOSE(CONTROL!$C$38, 0.0266, 0)</f>
        <v>51.351300000000002</v>
      </c>
      <c r="C715" s="10">
        <f>47.304 * CHOOSE(CONTROL!$C$15, $E$9, 100%, $G$9) + CHOOSE(CONTROL!$C$38, 0.0357, 0)</f>
        <v>47.339700000000001</v>
      </c>
      <c r="D715" s="10">
        <f>47.2962 * CHOOSE(CONTROL!$C$15, $E$9, 100%, $G$9) + CHOOSE(CONTROL!$C$38, 0.0357, 0)</f>
        <v>47.331899999999997</v>
      </c>
      <c r="E715" s="28">
        <f>51.1684 * CHOOSE(CONTROL!$C$15, $E$9, 100%, $G$9) + CHOOSE(CONTROL!$C$38, 0.0357, 0)</f>
        <v>51.204099999999997</v>
      </c>
      <c r="F715" s="27">
        <f>51.1684 * CHOOSE(CONTROL!$C$15, $E$9, 100%, $G$9) + CHOOSE(CONTROL!$C$38, 0.0266, 0)</f>
        <v>51.195</v>
      </c>
      <c r="G715" s="10">
        <f>47.3025 * CHOOSE(CONTROL!$C$15, $E$9, 100%, $G$9) + CHOOSE(CONTROL!$C$38, 0.0357, 0)</f>
        <v>47.338200000000001</v>
      </c>
      <c r="H715" s="10">
        <f>47.3025 * CHOOSE(CONTROL!$C$15, $E$9, 100%, $G$9) + CHOOSE(CONTROL!$C$38, 0.0357, 0)</f>
        <v>47.338200000000001</v>
      </c>
      <c r="I715" s="10">
        <f>47.304 * CHOOSE(CONTROL!$C$15, $E$9, 100%, $G$9) + CHOOSE(CONTROL!$C$38, 0.0357, 0)</f>
        <v>47.339700000000001</v>
      </c>
      <c r="J715" s="26">
        <f>346.1663</f>
        <v>346.16629999999998</v>
      </c>
    </row>
    <row r="716" spans="1:10" ht="15.75">
      <c r="A716" s="13">
        <v>63097</v>
      </c>
      <c r="B716" s="10">
        <f>51.6015 * CHOOSE(CONTROL!$C$15, $E$9, 100%, $G$9) + CHOOSE(CONTROL!$C$38, 0.0266, 0)</f>
        <v>51.628100000000003</v>
      </c>
      <c r="C716" s="10">
        <f>47.5808 * CHOOSE(CONTROL!$C$15, $E$9, 100%, $G$9) + CHOOSE(CONTROL!$C$38, 0.0357, 0)</f>
        <v>47.616500000000002</v>
      </c>
      <c r="D716" s="10">
        <f>47.573 * CHOOSE(CONTROL!$C$15, $E$9, 100%, $G$9) + CHOOSE(CONTROL!$C$38, 0.0357, 0)</f>
        <v>47.608699999999999</v>
      </c>
      <c r="E716" s="28">
        <f>51.4452 * CHOOSE(CONTROL!$C$15, $E$9, 100%, $G$9) + CHOOSE(CONTROL!$C$38, 0.0357, 0)</f>
        <v>51.480899999999998</v>
      </c>
      <c r="F716" s="27">
        <f>51.4452 * CHOOSE(CONTROL!$C$15, $E$9, 100%, $G$9) + CHOOSE(CONTROL!$C$38, 0.0266, 0)</f>
        <v>51.471800000000002</v>
      </c>
      <c r="G716" s="10">
        <f>47.5793 * CHOOSE(CONTROL!$C$15, $E$9, 100%, $G$9) + CHOOSE(CONTROL!$C$38, 0.0357, 0)</f>
        <v>47.615000000000002</v>
      </c>
      <c r="H716" s="10">
        <f>47.5793 * CHOOSE(CONTROL!$C$15, $E$9, 100%, $G$9) + CHOOSE(CONTROL!$C$38, 0.0357, 0)</f>
        <v>47.615000000000002</v>
      </c>
      <c r="I716" s="10">
        <f>47.5808 * CHOOSE(CONTROL!$C$15, $E$9, 100%, $G$9) + CHOOSE(CONTROL!$C$38, 0.0357, 0)</f>
        <v>47.616500000000002</v>
      </c>
      <c r="J716" s="26">
        <f>334.6603</f>
        <v>334.66030000000001</v>
      </c>
    </row>
    <row r="717" spans="1:10" ht="15.75">
      <c r="A717" s="13">
        <v>63128</v>
      </c>
      <c r="B717" s="10">
        <f>51.8333 * CHOOSE(CONTROL!$C$15, $E$9, 100%, $G$9) + CHOOSE(CONTROL!$C$38, 0.0266, 0)</f>
        <v>51.859900000000003</v>
      </c>
      <c r="C717" s="10">
        <f>47.8127 * CHOOSE(CONTROL!$C$15, $E$9, 100%, $G$9) + CHOOSE(CONTROL!$C$38, 0.0357, 0)</f>
        <v>47.848399999999998</v>
      </c>
      <c r="D717" s="10">
        <f>47.8048 * CHOOSE(CONTROL!$C$15, $E$9, 100%, $G$9) + CHOOSE(CONTROL!$C$38, 0.0357, 0)</f>
        <v>47.840499999999999</v>
      </c>
      <c r="E717" s="28">
        <f>51.6771 * CHOOSE(CONTROL!$C$15, $E$9, 100%, $G$9) + CHOOSE(CONTROL!$C$38, 0.0357, 0)</f>
        <v>51.712800000000001</v>
      </c>
      <c r="F717" s="27">
        <f>51.6771 * CHOOSE(CONTROL!$C$15, $E$9, 100%, $G$9) + CHOOSE(CONTROL!$C$38, 0.0266, 0)</f>
        <v>51.703700000000005</v>
      </c>
      <c r="G717" s="10">
        <f>47.8111 * CHOOSE(CONTROL!$C$15, $E$9, 100%, $G$9) + CHOOSE(CONTROL!$C$38, 0.0357, 0)</f>
        <v>47.846800000000002</v>
      </c>
      <c r="H717" s="10">
        <f>47.8111 * CHOOSE(CONTROL!$C$15, $E$9, 100%, $G$9) + CHOOSE(CONTROL!$C$38, 0.0357, 0)</f>
        <v>47.846800000000002</v>
      </c>
      <c r="I717" s="10">
        <f>47.8127 * CHOOSE(CONTROL!$C$15, $E$9, 100%, $G$9) + CHOOSE(CONTROL!$C$38, 0.0357, 0)</f>
        <v>47.848399999999998</v>
      </c>
      <c r="J717" s="26">
        <f>323.0874</f>
        <v>323.0874</v>
      </c>
    </row>
    <row r="718" spans="1:10" ht="15.75">
      <c r="A718" s="13">
        <v>63158</v>
      </c>
      <c r="B718" s="10">
        <f>52.0268 * CHOOSE(CONTROL!$C$15, $E$9, 100%, $G$9) + CHOOSE(CONTROL!$C$38, 0.0266, 0)</f>
        <v>52.053400000000003</v>
      </c>
      <c r="C718" s="10">
        <f>48.0061 * CHOOSE(CONTROL!$C$15, $E$9, 100%, $G$9) + CHOOSE(CONTROL!$C$38, 0.0357, 0)</f>
        <v>48.041800000000002</v>
      </c>
      <c r="D718" s="10">
        <f>47.9983 * CHOOSE(CONTROL!$C$15, $E$9, 100%, $G$9) + CHOOSE(CONTROL!$C$38, 0.0357, 0)</f>
        <v>48.033999999999999</v>
      </c>
      <c r="E718" s="28">
        <f>51.8705 * CHOOSE(CONTROL!$C$15, $E$9, 100%, $G$9) + CHOOSE(CONTROL!$C$38, 0.0357, 0)</f>
        <v>51.906199999999998</v>
      </c>
      <c r="F718" s="27">
        <f>51.8705 * CHOOSE(CONTROL!$C$15, $E$9, 100%, $G$9) + CHOOSE(CONTROL!$C$38, 0.0266, 0)</f>
        <v>51.897100000000002</v>
      </c>
      <c r="G718" s="10">
        <f>48.0045 * CHOOSE(CONTROL!$C$15, $E$9, 100%, $G$9) + CHOOSE(CONTROL!$C$38, 0.0357, 0)</f>
        <v>48.040199999999999</v>
      </c>
      <c r="H718" s="10">
        <f>48.0045 * CHOOSE(CONTROL!$C$15, $E$9, 100%, $G$9) + CHOOSE(CONTROL!$C$38, 0.0357, 0)</f>
        <v>48.040199999999999</v>
      </c>
      <c r="I718" s="10">
        <f>48.0061 * CHOOSE(CONTROL!$C$15, $E$9, 100%, $G$9) + CHOOSE(CONTROL!$C$38, 0.0357, 0)</f>
        <v>48.041800000000002</v>
      </c>
      <c r="J718" s="26">
        <f>320.7853</f>
        <v>320.78530000000001</v>
      </c>
    </row>
    <row r="719" spans="1:10" ht="15.75">
      <c r="A719" s="13">
        <v>63189</v>
      </c>
      <c r="B719" s="10">
        <f>52.6228 * CHOOSE(CONTROL!$C$15, $E$9, 100%, $G$9) + CHOOSE(CONTROL!$C$38, 0.0266, 0)</f>
        <v>52.6494</v>
      </c>
      <c r="C719" s="10">
        <f>48.6022 * CHOOSE(CONTROL!$C$15, $E$9, 100%, $G$9) + CHOOSE(CONTROL!$C$38, 0.0357, 0)</f>
        <v>48.637900000000002</v>
      </c>
      <c r="D719" s="10">
        <f>48.5944 * CHOOSE(CONTROL!$C$15, $E$9, 100%, $G$9) + CHOOSE(CONTROL!$C$38, 0.0357, 0)</f>
        <v>48.630099999999999</v>
      </c>
      <c r="E719" s="28">
        <f>52.4666 * CHOOSE(CONTROL!$C$15, $E$9, 100%, $G$9) + CHOOSE(CONTROL!$C$38, 0.0357, 0)</f>
        <v>52.502299999999998</v>
      </c>
      <c r="F719" s="27">
        <f>52.4666 * CHOOSE(CONTROL!$C$15, $E$9, 100%, $G$9) + CHOOSE(CONTROL!$C$38, 0.0266, 0)</f>
        <v>52.493200000000002</v>
      </c>
      <c r="G719" s="10">
        <f>48.6006 * CHOOSE(CONTROL!$C$15, $E$9, 100%, $G$9) + CHOOSE(CONTROL!$C$38, 0.0357, 0)</f>
        <v>48.636299999999999</v>
      </c>
      <c r="H719" s="10">
        <f>48.6006 * CHOOSE(CONTROL!$C$15, $E$9, 100%, $G$9) + CHOOSE(CONTROL!$C$38, 0.0357, 0)</f>
        <v>48.636299999999999</v>
      </c>
      <c r="I719" s="10">
        <f>48.6022 * CHOOSE(CONTROL!$C$15, $E$9, 100%, $G$9) + CHOOSE(CONTROL!$C$38, 0.0357, 0)</f>
        <v>48.637900000000002</v>
      </c>
      <c r="J719" s="26">
        <f>311.266</f>
        <v>311.26600000000002</v>
      </c>
    </row>
    <row r="720" spans="1:10" ht="15.75">
      <c r="A720" s="13">
        <v>63220</v>
      </c>
      <c r="B720" s="10">
        <f>54.0025 * CHOOSE(CONTROL!$C$15, $E$9, 100%, $G$9) + CHOOSE(CONTROL!$C$38, 0.0266, 0)</f>
        <v>54.0291</v>
      </c>
      <c r="C720" s="10">
        <f>49.9136 * CHOOSE(CONTROL!$C$15, $E$9, 100%, $G$9) + CHOOSE(CONTROL!$C$38, 0.0357, 0)</f>
        <v>49.949300000000001</v>
      </c>
      <c r="D720" s="10">
        <f>49.9058 * CHOOSE(CONTROL!$C$15, $E$9, 100%, $G$9) + CHOOSE(CONTROL!$C$38, 0.0357, 0)</f>
        <v>49.941499999999998</v>
      </c>
      <c r="E720" s="28">
        <f>53.8463 * CHOOSE(CONTROL!$C$15, $E$9, 100%, $G$9) + CHOOSE(CONTROL!$C$38, 0.0357, 0)</f>
        <v>53.881999999999998</v>
      </c>
      <c r="F720" s="27">
        <f>53.8463 * CHOOSE(CONTROL!$C$15, $E$9, 100%, $G$9) + CHOOSE(CONTROL!$C$38, 0.0266, 0)</f>
        <v>53.872900000000001</v>
      </c>
      <c r="G720" s="10">
        <f>49.912 * CHOOSE(CONTROL!$C$15, $E$9, 100%, $G$9) + CHOOSE(CONTROL!$C$38, 0.0357, 0)</f>
        <v>49.947699999999998</v>
      </c>
      <c r="H720" s="10">
        <f>49.912 * CHOOSE(CONTROL!$C$15, $E$9, 100%, $G$9) + CHOOSE(CONTROL!$C$38, 0.0357, 0)</f>
        <v>49.947699999999998</v>
      </c>
      <c r="I720" s="10">
        <f>49.9136 * CHOOSE(CONTROL!$C$15, $E$9, 100%, $G$9) + CHOOSE(CONTROL!$C$38, 0.0357, 0)</f>
        <v>49.949300000000001</v>
      </c>
      <c r="J720" s="26">
        <f>309.181</f>
        <v>309.18099999999998</v>
      </c>
    </row>
    <row r="721" spans="1:10" ht="15.75">
      <c r="A721" s="13">
        <v>63248</v>
      </c>
      <c r="B721" s="10">
        <f>54.2233 * CHOOSE(CONTROL!$C$15, $E$9, 100%, $G$9) + CHOOSE(CONTROL!$C$38, 0.0266, 0)</f>
        <v>54.249900000000004</v>
      </c>
      <c r="C721" s="10">
        <f>50.1344 * CHOOSE(CONTROL!$C$15, $E$9, 100%, $G$9) + CHOOSE(CONTROL!$C$38, 0.0357, 0)</f>
        <v>50.170099999999998</v>
      </c>
      <c r="D721" s="10">
        <f>50.1266 * CHOOSE(CONTROL!$C$15, $E$9, 100%, $G$9) + CHOOSE(CONTROL!$C$38, 0.0357, 0)</f>
        <v>50.162300000000002</v>
      </c>
      <c r="E721" s="28">
        <f>54.067 * CHOOSE(CONTROL!$C$15, $E$9, 100%, $G$9) + CHOOSE(CONTROL!$C$38, 0.0357, 0)</f>
        <v>54.102699999999999</v>
      </c>
      <c r="F721" s="27">
        <f>54.067 * CHOOSE(CONTROL!$C$15, $E$9, 100%, $G$9) + CHOOSE(CONTROL!$C$38, 0.0266, 0)</f>
        <v>54.093600000000002</v>
      </c>
      <c r="G721" s="10">
        <f>50.1328 * CHOOSE(CONTROL!$C$15, $E$9, 100%, $G$9) + CHOOSE(CONTROL!$C$38, 0.0357, 0)</f>
        <v>50.168500000000002</v>
      </c>
      <c r="H721" s="10">
        <f>50.1328 * CHOOSE(CONTROL!$C$15, $E$9, 100%, $G$9) + CHOOSE(CONTROL!$C$38, 0.0357, 0)</f>
        <v>50.168500000000002</v>
      </c>
      <c r="I721" s="10">
        <f>50.1344 * CHOOSE(CONTROL!$C$15, $E$9, 100%, $G$9) + CHOOSE(CONTROL!$C$38, 0.0357, 0)</f>
        <v>50.170099999999998</v>
      </c>
      <c r="J721" s="26">
        <f>308.3216</f>
        <v>308.32159999999999</v>
      </c>
    </row>
    <row r="722" spans="1:10" ht="15.75">
      <c r="A722" s="13">
        <v>63279</v>
      </c>
      <c r="B722" s="10">
        <f>53.7123 * CHOOSE(CONTROL!$C$15, $E$9, 100%, $G$9) + CHOOSE(CONTROL!$C$38, 0.0266, 0)</f>
        <v>53.738900000000001</v>
      </c>
      <c r="C722" s="10">
        <f>49.6233 * CHOOSE(CONTROL!$C$15, $E$9, 100%, $G$9) + CHOOSE(CONTROL!$C$38, 0.0357, 0)</f>
        <v>49.658999999999999</v>
      </c>
      <c r="D722" s="10">
        <f>49.6155 * CHOOSE(CONTROL!$C$15, $E$9, 100%, $G$9) + CHOOSE(CONTROL!$C$38, 0.0357, 0)</f>
        <v>49.651199999999996</v>
      </c>
      <c r="E722" s="28">
        <f>53.556 * CHOOSE(CONTROL!$C$15, $E$9, 100%, $G$9) + CHOOSE(CONTROL!$C$38, 0.0357, 0)</f>
        <v>53.591699999999996</v>
      </c>
      <c r="F722" s="27">
        <f>53.556 * CHOOSE(CONTROL!$C$15, $E$9, 100%, $G$9) + CHOOSE(CONTROL!$C$38, 0.0266, 0)</f>
        <v>53.582599999999999</v>
      </c>
      <c r="G722" s="10">
        <f>49.6218 * CHOOSE(CONTROL!$C$15, $E$9, 100%, $G$9) + CHOOSE(CONTROL!$C$38, 0.0357, 0)</f>
        <v>49.657499999999999</v>
      </c>
      <c r="H722" s="10">
        <f>49.6218 * CHOOSE(CONTROL!$C$15, $E$9, 100%, $G$9) + CHOOSE(CONTROL!$C$38, 0.0357, 0)</f>
        <v>49.657499999999999</v>
      </c>
      <c r="I722" s="10">
        <f>49.6233 * CHOOSE(CONTROL!$C$15, $E$9, 100%, $G$9) + CHOOSE(CONTROL!$C$38, 0.0357, 0)</f>
        <v>49.658999999999999</v>
      </c>
      <c r="J722" s="26">
        <f>324.5719</f>
        <v>324.57190000000003</v>
      </c>
    </row>
    <row r="723" spans="1:10" ht="15.75">
      <c r="A723" s="13">
        <v>63309</v>
      </c>
      <c r="B723" s="10">
        <f>53.2171 * CHOOSE(CONTROL!$C$15, $E$9, 100%, $G$9) + CHOOSE(CONTROL!$C$38, 0.0266, 0)</f>
        <v>53.243700000000004</v>
      </c>
      <c r="C723" s="10">
        <f>49.1282 * CHOOSE(CONTROL!$C$15, $E$9, 100%, $G$9) + CHOOSE(CONTROL!$C$38, 0.0357, 0)</f>
        <v>49.163899999999998</v>
      </c>
      <c r="D723" s="10">
        <f>49.1203 * CHOOSE(CONTROL!$C$15, $E$9, 100%, $G$9) + CHOOSE(CONTROL!$C$38, 0.0357, 0)</f>
        <v>49.155999999999999</v>
      </c>
      <c r="E723" s="28">
        <f>53.0608 * CHOOSE(CONTROL!$C$15, $E$9, 100%, $G$9) + CHOOSE(CONTROL!$C$38, 0.0357, 0)</f>
        <v>53.096499999999999</v>
      </c>
      <c r="F723" s="27">
        <f>53.0608 * CHOOSE(CONTROL!$C$15, $E$9, 100%, $G$9) + CHOOSE(CONTROL!$C$38, 0.0266, 0)</f>
        <v>53.087400000000002</v>
      </c>
      <c r="G723" s="10">
        <f>49.1266 * CHOOSE(CONTROL!$C$15, $E$9, 100%, $G$9) + CHOOSE(CONTROL!$C$38, 0.0357, 0)</f>
        <v>49.162300000000002</v>
      </c>
      <c r="H723" s="10">
        <f>49.1266 * CHOOSE(CONTROL!$C$15, $E$9, 100%, $G$9) + CHOOSE(CONTROL!$C$38, 0.0357, 0)</f>
        <v>49.162300000000002</v>
      </c>
      <c r="I723" s="10">
        <f>49.1282 * CHOOSE(CONTROL!$C$15, $E$9, 100%, $G$9) + CHOOSE(CONTROL!$C$38, 0.0357, 0)</f>
        <v>49.163899999999998</v>
      </c>
      <c r="J723" s="26">
        <f>345.6447</f>
        <v>345.6447</v>
      </c>
    </row>
    <row r="724" spans="1:10" ht="15.75">
      <c r="A724" s="13">
        <v>63340</v>
      </c>
      <c r="B724" s="10">
        <f>52.701 * CHOOSE(CONTROL!$C$15, $E$9, 100%, $G$9) + CHOOSE(CONTROL!$C$38, 0.0266, 0)</f>
        <v>52.727600000000002</v>
      </c>
      <c r="C724" s="10">
        <f>48.612 * CHOOSE(CONTROL!$C$15, $E$9, 100%, $G$9) + CHOOSE(CONTROL!$C$38, 0.0357, 0)</f>
        <v>48.6477</v>
      </c>
      <c r="D724" s="10">
        <f>48.6042 * CHOOSE(CONTROL!$C$15, $E$9, 100%, $G$9) + CHOOSE(CONTROL!$C$38, 0.0357, 0)</f>
        <v>48.639899999999997</v>
      </c>
      <c r="E724" s="28">
        <f>52.5447 * CHOOSE(CONTROL!$C$15, $E$9, 100%, $G$9) + CHOOSE(CONTROL!$C$38, 0.0357, 0)</f>
        <v>52.580399999999997</v>
      </c>
      <c r="F724" s="27">
        <f>52.5447 * CHOOSE(CONTROL!$C$15, $E$9, 100%, $G$9) + CHOOSE(CONTROL!$C$38, 0.0266, 0)</f>
        <v>52.571300000000001</v>
      </c>
      <c r="G724" s="10">
        <f>48.6105 * CHOOSE(CONTROL!$C$15, $E$9, 100%, $G$9) + CHOOSE(CONTROL!$C$38, 0.0357, 0)</f>
        <v>48.6462</v>
      </c>
      <c r="H724" s="10">
        <f>48.6105 * CHOOSE(CONTROL!$C$15, $E$9, 100%, $G$9) + CHOOSE(CONTROL!$C$38, 0.0357, 0)</f>
        <v>48.6462</v>
      </c>
      <c r="I724" s="10">
        <f>48.612 * CHOOSE(CONTROL!$C$15, $E$9, 100%, $G$9) + CHOOSE(CONTROL!$C$38, 0.0357, 0)</f>
        <v>48.6477</v>
      </c>
      <c r="J724" s="26">
        <f>357.2439</f>
        <v>357.2439</v>
      </c>
    </row>
    <row r="725" spans="1:10" ht="15.75">
      <c r="A725" s="13">
        <v>63370</v>
      </c>
      <c r="B725" s="10">
        <f>52.3391 * CHOOSE(CONTROL!$C$15, $E$9, 100%, $G$9) + CHOOSE(CONTROL!$C$38, 0.0266, 0)</f>
        <v>52.365700000000004</v>
      </c>
      <c r="C725" s="10">
        <f>48.2502 * CHOOSE(CONTROL!$C$15, $E$9, 100%, $G$9) + CHOOSE(CONTROL!$C$38, 0.0357, 0)</f>
        <v>48.285899999999998</v>
      </c>
      <c r="D725" s="10">
        <f>48.2424 * CHOOSE(CONTROL!$C$15, $E$9, 100%, $G$9) + CHOOSE(CONTROL!$C$38, 0.0357, 0)</f>
        <v>48.278100000000002</v>
      </c>
      <c r="E725" s="28">
        <f>52.1829 * CHOOSE(CONTROL!$C$15, $E$9, 100%, $G$9) + CHOOSE(CONTROL!$C$38, 0.0357, 0)</f>
        <v>52.218599999999995</v>
      </c>
      <c r="F725" s="27">
        <f>52.1829 * CHOOSE(CONTROL!$C$15, $E$9, 100%, $G$9) + CHOOSE(CONTROL!$C$38, 0.0266, 0)</f>
        <v>52.209499999999998</v>
      </c>
      <c r="G725" s="10">
        <f>48.2486 * CHOOSE(CONTROL!$C$15, $E$9, 100%, $G$9) + CHOOSE(CONTROL!$C$38, 0.0357, 0)</f>
        <v>48.284300000000002</v>
      </c>
      <c r="H725" s="10">
        <f>48.2486 * CHOOSE(CONTROL!$C$15, $E$9, 100%, $G$9) + CHOOSE(CONTROL!$C$38, 0.0357, 0)</f>
        <v>48.284300000000002</v>
      </c>
      <c r="I725" s="10">
        <f>48.2502 * CHOOSE(CONTROL!$C$15, $E$9, 100%, $G$9) + CHOOSE(CONTROL!$C$38, 0.0357, 0)</f>
        <v>48.285899999999998</v>
      </c>
      <c r="J725" s="26">
        <f>362.3914</f>
        <v>362.39139999999998</v>
      </c>
    </row>
    <row r="726" spans="1:10" ht="15.75">
      <c r="A726" s="13">
        <v>63401</v>
      </c>
      <c r="B726" s="10">
        <f>52.1326 * CHOOSE(CONTROL!$C$15, $E$9, 100%, $G$9) + CHOOSE(CONTROL!$C$38, 0.0266, 0)</f>
        <v>52.159199999999998</v>
      </c>
      <c r="C726" s="10">
        <f>48.0437 * CHOOSE(CONTROL!$C$15, $E$9, 100%, $G$9) + CHOOSE(CONTROL!$C$38, 0.0357, 0)</f>
        <v>48.0794</v>
      </c>
      <c r="D726" s="10">
        <f>48.0359 * CHOOSE(CONTROL!$C$15, $E$9, 100%, $G$9) + CHOOSE(CONTROL!$C$38, 0.0357, 0)</f>
        <v>48.071599999999997</v>
      </c>
      <c r="E726" s="28">
        <f>51.9764 * CHOOSE(CONTROL!$C$15, $E$9, 100%, $G$9) + CHOOSE(CONTROL!$C$38, 0.0357, 0)</f>
        <v>52.012099999999997</v>
      </c>
      <c r="F726" s="27">
        <f>51.9764 * CHOOSE(CONTROL!$C$15, $E$9, 100%, $G$9) + CHOOSE(CONTROL!$C$38, 0.0266, 0)</f>
        <v>52.003</v>
      </c>
      <c r="G726" s="10">
        <f>48.0422 * CHOOSE(CONTROL!$C$15, $E$9, 100%, $G$9) + CHOOSE(CONTROL!$C$38, 0.0357, 0)</f>
        <v>48.0779</v>
      </c>
      <c r="H726" s="10">
        <f>48.0422 * CHOOSE(CONTROL!$C$15, $E$9, 100%, $G$9) + CHOOSE(CONTROL!$C$38, 0.0357, 0)</f>
        <v>48.0779</v>
      </c>
      <c r="I726" s="10">
        <f>48.0437 * CHOOSE(CONTROL!$C$15, $E$9, 100%, $G$9) + CHOOSE(CONTROL!$C$38, 0.0357, 0)</f>
        <v>48.0794</v>
      </c>
      <c r="J726" s="26">
        <f>360.6966</f>
        <v>360.69659999999999</v>
      </c>
    </row>
    <row r="727" spans="1:10" ht="15.75">
      <c r="A727" s="13">
        <v>63432</v>
      </c>
      <c r="B727" s="10">
        <f>52.2346 * CHOOSE(CONTROL!$C$15, $E$9, 100%, $G$9) + CHOOSE(CONTROL!$C$38, 0.0266, 0)</f>
        <v>52.261200000000002</v>
      </c>
      <c r="C727" s="10">
        <f>48.1456 * CHOOSE(CONTROL!$C$15, $E$9, 100%, $G$9) + CHOOSE(CONTROL!$C$38, 0.0357, 0)</f>
        <v>48.1813</v>
      </c>
      <c r="D727" s="10">
        <f>48.1378 * CHOOSE(CONTROL!$C$15, $E$9, 100%, $G$9) + CHOOSE(CONTROL!$C$38, 0.0357, 0)</f>
        <v>48.173499999999997</v>
      </c>
      <c r="E727" s="28">
        <f>52.0783 * CHOOSE(CONTROL!$C$15, $E$9, 100%, $G$9) + CHOOSE(CONTROL!$C$38, 0.0357, 0)</f>
        <v>52.113999999999997</v>
      </c>
      <c r="F727" s="27">
        <f>52.0783 * CHOOSE(CONTROL!$C$15, $E$9, 100%, $G$9) + CHOOSE(CONTROL!$C$38, 0.0266, 0)</f>
        <v>52.104900000000001</v>
      </c>
      <c r="G727" s="10">
        <f>48.1441 * CHOOSE(CONTROL!$C$15, $E$9, 100%, $G$9) + CHOOSE(CONTROL!$C$38, 0.0357, 0)</f>
        <v>48.1798</v>
      </c>
      <c r="H727" s="10">
        <f>48.1441 * CHOOSE(CONTROL!$C$15, $E$9, 100%, $G$9) + CHOOSE(CONTROL!$C$38, 0.0357, 0)</f>
        <v>48.1798</v>
      </c>
      <c r="I727" s="10">
        <f>48.1456 * CHOOSE(CONTROL!$C$15, $E$9, 100%, $G$9) + CHOOSE(CONTROL!$C$38, 0.0357, 0)</f>
        <v>48.1813</v>
      </c>
      <c r="J727" s="26">
        <f>352.2997</f>
        <v>352.29969999999997</v>
      </c>
    </row>
    <row r="728" spans="1:10" ht="15.75">
      <c r="A728" s="13">
        <v>63462</v>
      </c>
      <c r="B728" s="10">
        <f>52.5114 * CHOOSE(CONTROL!$C$15, $E$9, 100%, $G$9) + CHOOSE(CONTROL!$C$38, 0.0266, 0)</f>
        <v>52.538000000000004</v>
      </c>
      <c r="C728" s="10">
        <f>48.4224 * CHOOSE(CONTROL!$C$15, $E$9, 100%, $G$9) + CHOOSE(CONTROL!$C$38, 0.0357, 0)</f>
        <v>48.458100000000002</v>
      </c>
      <c r="D728" s="10">
        <f>48.4146 * CHOOSE(CONTROL!$C$15, $E$9, 100%, $G$9) + CHOOSE(CONTROL!$C$38, 0.0357, 0)</f>
        <v>48.450299999999999</v>
      </c>
      <c r="E728" s="28">
        <f>52.3551 * CHOOSE(CONTROL!$C$15, $E$9, 100%, $G$9) + CHOOSE(CONTROL!$C$38, 0.0357, 0)</f>
        <v>52.390799999999999</v>
      </c>
      <c r="F728" s="27">
        <f>52.3551 * CHOOSE(CONTROL!$C$15, $E$9, 100%, $G$9) + CHOOSE(CONTROL!$C$38, 0.0266, 0)</f>
        <v>52.381700000000002</v>
      </c>
      <c r="G728" s="10">
        <f>48.4209 * CHOOSE(CONTROL!$C$15, $E$9, 100%, $G$9) + CHOOSE(CONTROL!$C$38, 0.0357, 0)</f>
        <v>48.456600000000002</v>
      </c>
      <c r="H728" s="10">
        <f>48.4209 * CHOOSE(CONTROL!$C$15, $E$9, 100%, $G$9) + CHOOSE(CONTROL!$C$38, 0.0357, 0)</f>
        <v>48.456600000000002</v>
      </c>
      <c r="I728" s="10">
        <f>48.4224 * CHOOSE(CONTROL!$C$15, $E$9, 100%, $G$9) + CHOOSE(CONTROL!$C$38, 0.0357, 0)</f>
        <v>48.458100000000002</v>
      </c>
      <c r="J728" s="26">
        <f>340.5899</f>
        <v>340.5899</v>
      </c>
    </row>
    <row r="729" spans="1:10" ht="15.75">
      <c r="A729" s="13">
        <v>63493</v>
      </c>
      <c r="B729" s="10">
        <f>52.7432 * CHOOSE(CONTROL!$C$15, $E$9, 100%, $G$9) + CHOOSE(CONTROL!$C$38, 0.0266, 0)</f>
        <v>52.769800000000004</v>
      </c>
      <c r="C729" s="10">
        <f>48.6542 * CHOOSE(CONTROL!$C$15, $E$9, 100%, $G$9) + CHOOSE(CONTROL!$C$38, 0.0357, 0)</f>
        <v>48.689900000000002</v>
      </c>
      <c r="D729" s="10">
        <f>48.6464 * CHOOSE(CONTROL!$C$15, $E$9, 100%, $G$9) + CHOOSE(CONTROL!$C$38, 0.0357, 0)</f>
        <v>48.682099999999998</v>
      </c>
      <c r="E729" s="28">
        <f>52.5869 * CHOOSE(CONTROL!$C$15, $E$9, 100%, $G$9) + CHOOSE(CONTROL!$C$38, 0.0357, 0)</f>
        <v>52.622599999999998</v>
      </c>
      <c r="F729" s="27">
        <f>52.5869 * CHOOSE(CONTROL!$C$15, $E$9, 100%, $G$9) + CHOOSE(CONTROL!$C$38, 0.0266, 0)</f>
        <v>52.613500000000002</v>
      </c>
      <c r="G729" s="10">
        <f>48.6527 * CHOOSE(CONTROL!$C$15, $E$9, 100%, $G$9) + CHOOSE(CONTROL!$C$38, 0.0357, 0)</f>
        <v>48.688400000000001</v>
      </c>
      <c r="H729" s="10">
        <f>48.6527 * CHOOSE(CONTROL!$C$15, $E$9, 100%, $G$9) + CHOOSE(CONTROL!$C$38, 0.0357, 0)</f>
        <v>48.688400000000001</v>
      </c>
      <c r="I729" s="10">
        <f>48.6542 * CHOOSE(CONTROL!$C$15, $E$9, 100%, $G$9) + CHOOSE(CONTROL!$C$38, 0.0357, 0)</f>
        <v>48.689900000000002</v>
      </c>
      <c r="J729" s="26">
        <f>328.8119</f>
        <v>328.81189999999998</v>
      </c>
    </row>
    <row r="730" spans="1:10" ht="15.75">
      <c r="A730" s="13">
        <v>63523</v>
      </c>
      <c r="B730" s="10">
        <f>52.9366 * CHOOSE(CONTROL!$C$15, $E$9, 100%, $G$9) + CHOOSE(CONTROL!$C$38, 0.0266, 0)</f>
        <v>52.963200000000001</v>
      </c>
      <c r="C730" s="10">
        <f>48.8477 * CHOOSE(CONTROL!$C$15, $E$9, 100%, $G$9) + CHOOSE(CONTROL!$C$38, 0.0357, 0)</f>
        <v>48.883400000000002</v>
      </c>
      <c r="D730" s="10">
        <f>48.8399 * CHOOSE(CONTROL!$C$15, $E$9, 100%, $G$9) + CHOOSE(CONTROL!$C$38, 0.0357, 0)</f>
        <v>48.875599999999999</v>
      </c>
      <c r="E730" s="28">
        <f>52.7804 * CHOOSE(CONTROL!$C$15, $E$9, 100%, $G$9) + CHOOSE(CONTROL!$C$38, 0.0357, 0)</f>
        <v>52.816099999999999</v>
      </c>
      <c r="F730" s="27">
        <f>52.7804 * CHOOSE(CONTROL!$C$15, $E$9, 100%, $G$9) + CHOOSE(CONTROL!$C$38, 0.0266, 0)</f>
        <v>52.807000000000002</v>
      </c>
      <c r="G730" s="10">
        <f>48.8461 * CHOOSE(CONTROL!$C$15, $E$9, 100%, $G$9) + CHOOSE(CONTROL!$C$38, 0.0357, 0)</f>
        <v>48.881799999999998</v>
      </c>
      <c r="H730" s="10">
        <f>48.8461 * CHOOSE(CONTROL!$C$15, $E$9, 100%, $G$9) + CHOOSE(CONTROL!$C$38, 0.0357, 0)</f>
        <v>48.881799999999998</v>
      </c>
      <c r="I730" s="10">
        <f>48.8477 * CHOOSE(CONTROL!$C$15, $E$9, 100%, $G$9) + CHOOSE(CONTROL!$C$38, 0.0357, 0)</f>
        <v>48.883400000000002</v>
      </c>
      <c r="J730" s="26">
        <f>326.4691</f>
        <v>326.46910000000003</v>
      </c>
    </row>
    <row r="731" spans="1:10" ht="15.75">
      <c r="A731" s="13">
        <v>63554</v>
      </c>
      <c r="B731" s="10">
        <f>53.5327 * CHOOSE(CONTROL!$C$15, $E$9, 100%, $G$9) + CHOOSE(CONTROL!$C$38, 0.0266, 0)</f>
        <v>53.5593</v>
      </c>
      <c r="C731" s="10">
        <f>49.4438 * CHOOSE(CONTROL!$C$15, $E$9, 100%, $G$9) + CHOOSE(CONTROL!$C$38, 0.0357, 0)</f>
        <v>49.479500000000002</v>
      </c>
      <c r="D731" s="10">
        <f>49.4359 * CHOOSE(CONTROL!$C$15, $E$9, 100%, $G$9) + CHOOSE(CONTROL!$C$38, 0.0357, 0)</f>
        <v>49.471599999999995</v>
      </c>
      <c r="E731" s="28">
        <f>53.3764 * CHOOSE(CONTROL!$C$15, $E$9, 100%, $G$9) + CHOOSE(CONTROL!$C$38, 0.0357, 0)</f>
        <v>53.412099999999995</v>
      </c>
      <c r="F731" s="27">
        <f>53.3764 * CHOOSE(CONTROL!$C$15, $E$9, 100%, $G$9) + CHOOSE(CONTROL!$C$38, 0.0266, 0)</f>
        <v>53.402999999999999</v>
      </c>
      <c r="G731" s="10">
        <f>49.4422 * CHOOSE(CONTROL!$C$15, $E$9, 100%, $G$9) + CHOOSE(CONTROL!$C$38, 0.0357, 0)</f>
        <v>49.477899999999998</v>
      </c>
      <c r="H731" s="10">
        <f>49.4422 * CHOOSE(CONTROL!$C$15, $E$9, 100%, $G$9) + CHOOSE(CONTROL!$C$38, 0.0357, 0)</f>
        <v>49.477899999999998</v>
      </c>
      <c r="I731" s="10">
        <f>49.4438 * CHOOSE(CONTROL!$C$15, $E$9, 100%, $G$9) + CHOOSE(CONTROL!$C$38, 0.0357, 0)</f>
        <v>49.479500000000002</v>
      </c>
      <c r="J731" s="26">
        <f>316.7811</f>
        <v>316.78109999999998</v>
      </c>
    </row>
    <row r="732" spans="1:10" ht="15.75">
      <c r="A732" s="13">
        <v>63585</v>
      </c>
      <c r="B732" s="10">
        <f>54.9285 * CHOOSE(CONTROL!$C$15, $E$9, 100%, $G$9) + CHOOSE(CONTROL!$C$38, 0.0266, 0)</f>
        <v>54.955100000000002</v>
      </c>
      <c r="C732" s="10">
        <f>50.7701 * CHOOSE(CONTROL!$C$15, $E$9, 100%, $G$9) + CHOOSE(CONTROL!$C$38, 0.0357, 0)</f>
        <v>50.805799999999998</v>
      </c>
      <c r="D732" s="10">
        <f>50.7622 * CHOOSE(CONTROL!$C$15, $E$9, 100%, $G$9) + CHOOSE(CONTROL!$C$38, 0.0357, 0)</f>
        <v>50.797899999999998</v>
      </c>
      <c r="E732" s="28">
        <f>54.7722 * CHOOSE(CONTROL!$C$15, $E$9, 100%, $G$9) + CHOOSE(CONTROL!$C$38, 0.0357, 0)</f>
        <v>54.807899999999997</v>
      </c>
      <c r="F732" s="27">
        <f>54.7722 * CHOOSE(CONTROL!$C$15, $E$9, 100%, $G$9) + CHOOSE(CONTROL!$C$38, 0.0266, 0)</f>
        <v>54.7988</v>
      </c>
      <c r="G732" s="10">
        <f>50.7685 * CHOOSE(CONTROL!$C$15, $E$9, 100%, $G$9) + CHOOSE(CONTROL!$C$38, 0.0357, 0)</f>
        <v>50.804200000000002</v>
      </c>
      <c r="H732" s="10">
        <f>50.7685 * CHOOSE(CONTROL!$C$15, $E$9, 100%, $G$9) + CHOOSE(CONTROL!$C$38, 0.0357, 0)</f>
        <v>50.804200000000002</v>
      </c>
      <c r="I732" s="10">
        <f>50.7701 * CHOOSE(CONTROL!$C$15, $E$9, 100%, $G$9) + CHOOSE(CONTROL!$C$38, 0.0357, 0)</f>
        <v>50.805799999999998</v>
      </c>
      <c r="J732" s="26">
        <f>314.6591</f>
        <v>314.65910000000002</v>
      </c>
    </row>
    <row r="733" spans="1:10" ht="15.75">
      <c r="A733" s="13">
        <v>63613</v>
      </c>
      <c r="B733" s="10">
        <f>55.1492 * CHOOSE(CONTROL!$C$15, $E$9, 100%, $G$9) + CHOOSE(CONTROL!$C$38, 0.0266, 0)</f>
        <v>55.175800000000002</v>
      </c>
      <c r="C733" s="10">
        <f>50.9908 * CHOOSE(CONTROL!$C$15, $E$9, 100%, $G$9) + CHOOSE(CONTROL!$C$38, 0.0357, 0)</f>
        <v>51.026499999999999</v>
      </c>
      <c r="D733" s="10">
        <f>50.983 * CHOOSE(CONTROL!$C$15, $E$9, 100%, $G$9) + CHOOSE(CONTROL!$C$38, 0.0357, 0)</f>
        <v>51.018699999999995</v>
      </c>
      <c r="E733" s="28">
        <f>54.993 * CHOOSE(CONTROL!$C$15, $E$9, 100%, $G$9) + CHOOSE(CONTROL!$C$38, 0.0357, 0)</f>
        <v>55.028700000000001</v>
      </c>
      <c r="F733" s="27">
        <f>54.993 * CHOOSE(CONTROL!$C$15, $E$9, 100%, $G$9) + CHOOSE(CONTROL!$C$38, 0.0266, 0)</f>
        <v>55.019600000000004</v>
      </c>
      <c r="G733" s="10">
        <f>50.9893 * CHOOSE(CONTROL!$C$15, $E$9, 100%, $G$9) + CHOOSE(CONTROL!$C$38, 0.0357, 0)</f>
        <v>51.024999999999999</v>
      </c>
      <c r="H733" s="10">
        <f>50.9893 * CHOOSE(CONTROL!$C$15, $E$9, 100%, $G$9) + CHOOSE(CONTROL!$C$38, 0.0357, 0)</f>
        <v>51.024999999999999</v>
      </c>
      <c r="I733" s="10">
        <f>50.9908 * CHOOSE(CONTROL!$C$15, $E$9, 100%, $G$9) + CHOOSE(CONTROL!$C$38, 0.0357, 0)</f>
        <v>51.026499999999999</v>
      </c>
      <c r="J733" s="26">
        <f>313.7845</f>
        <v>313.78449999999998</v>
      </c>
    </row>
    <row r="734" spans="1:10" ht="15.75">
      <c r="A734" s="13">
        <v>63644</v>
      </c>
      <c r="B734" s="10">
        <f>54.6382 * CHOOSE(CONTROL!$C$15, $E$9, 100%, $G$9) + CHOOSE(CONTROL!$C$38, 0.0266, 0)</f>
        <v>54.6648</v>
      </c>
      <c r="C734" s="10">
        <f>50.4798 * CHOOSE(CONTROL!$C$15, $E$9, 100%, $G$9) + CHOOSE(CONTROL!$C$38, 0.0357, 0)</f>
        <v>50.515499999999996</v>
      </c>
      <c r="D734" s="10">
        <f>50.472 * CHOOSE(CONTROL!$C$15, $E$9, 100%, $G$9) + CHOOSE(CONTROL!$C$38, 0.0357, 0)</f>
        <v>50.5077</v>
      </c>
      <c r="E734" s="28">
        <f>54.482 * CHOOSE(CONTROL!$C$15, $E$9, 100%, $G$9) + CHOOSE(CONTROL!$C$38, 0.0357, 0)</f>
        <v>54.517699999999998</v>
      </c>
      <c r="F734" s="27">
        <f>54.482 * CHOOSE(CONTROL!$C$15, $E$9, 100%, $G$9) + CHOOSE(CONTROL!$C$38, 0.0266, 0)</f>
        <v>54.508600000000001</v>
      </c>
      <c r="G734" s="10">
        <f>50.4782 * CHOOSE(CONTROL!$C$15, $E$9, 100%, $G$9) + CHOOSE(CONTROL!$C$38, 0.0357, 0)</f>
        <v>50.5139</v>
      </c>
      <c r="H734" s="10">
        <f>50.4782 * CHOOSE(CONTROL!$C$15, $E$9, 100%, $G$9) + CHOOSE(CONTROL!$C$38, 0.0357, 0)</f>
        <v>50.5139</v>
      </c>
      <c r="I734" s="10">
        <f>50.4798 * CHOOSE(CONTROL!$C$15, $E$9, 100%, $G$9) + CHOOSE(CONTROL!$C$38, 0.0357, 0)</f>
        <v>50.515499999999996</v>
      </c>
      <c r="J734" s="26">
        <f>330.3227</f>
        <v>330.3227</v>
      </c>
    </row>
    <row r="735" spans="1:10" ht="15.75">
      <c r="A735" s="13">
        <v>63674</v>
      </c>
      <c r="B735" s="10">
        <f>54.143 * CHOOSE(CONTROL!$C$15, $E$9, 100%, $G$9) + CHOOSE(CONTROL!$C$38, 0.0266, 0)</f>
        <v>54.169600000000003</v>
      </c>
      <c r="C735" s="10">
        <f>49.9846 * CHOOSE(CONTROL!$C$15, $E$9, 100%, $G$9) + CHOOSE(CONTROL!$C$38, 0.0357, 0)</f>
        <v>50.020299999999999</v>
      </c>
      <c r="D735" s="10">
        <f>49.9768 * CHOOSE(CONTROL!$C$15, $E$9, 100%, $G$9) + CHOOSE(CONTROL!$C$38, 0.0357, 0)</f>
        <v>50.012499999999996</v>
      </c>
      <c r="E735" s="28">
        <f>53.9868 * CHOOSE(CONTROL!$C$15, $E$9, 100%, $G$9) + CHOOSE(CONTROL!$C$38, 0.0357, 0)</f>
        <v>54.022500000000001</v>
      </c>
      <c r="F735" s="27">
        <f>53.9868 * CHOOSE(CONTROL!$C$15, $E$9, 100%, $G$9) + CHOOSE(CONTROL!$C$38, 0.0266, 0)</f>
        <v>54.013400000000004</v>
      </c>
      <c r="G735" s="10">
        <f>49.983 * CHOOSE(CONTROL!$C$15, $E$9, 100%, $G$9) + CHOOSE(CONTROL!$C$38, 0.0357, 0)</f>
        <v>50.018699999999995</v>
      </c>
      <c r="H735" s="10">
        <f>49.983 * CHOOSE(CONTROL!$C$15, $E$9, 100%, $G$9) + CHOOSE(CONTROL!$C$38, 0.0357, 0)</f>
        <v>50.018699999999995</v>
      </c>
      <c r="I735" s="10">
        <f>49.9846 * CHOOSE(CONTROL!$C$15, $E$9, 100%, $G$9) + CHOOSE(CONTROL!$C$38, 0.0357, 0)</f>
        <v>50.020299999999999</v>
      </c>
      <c r="J735" s="26">
        <f>351.7689</f>
        <v>351.76889999999997</v>
      </c>
    </row>
    <row r="736" spans="1:10" ht="15.75">
      <c r="A736" s="13">
        <v>63705</v>
      </c>
      <c r="B736" s="10">
        <f>53.6269 * CHOOSE(CONTROL!$C$15, $E$9, 100%, $G$9) + CHOOSE(CONTROL!$C$38, 0.0266, 0)</f>
        <v>53.653500000000001</v>
      </c>
      <c r="C736" s="10">
        <f>49.4685 * CHOOSE(CONTROL!$C$15, $E$9, 100%, $G$9) + CHOOSE(CONTROL!$C$38, 0.0357, 0)</f>
        <v>49.504199999999997</v>
      </c>
      <c r="D736" s="10">
        <f>49.4607 * CHOOSE(CONTROL!$C$15, $E$9, 100%, $G$9) + CHOOSE(CONTROL!$C$38, 0.0357, 0)</f>
        <v>49.496400000000001</v>
      </c>
      <c r="E736" s="28">
        <f>53.4707 * CHOOSE(CONTROL!$C$15, $E$9, 100%, $G$9) + CHOOSE(CONTROL!$C$38, 0.0357, 0)</f>
        <v>53.506399999999999</v>
      </c>
      <c r="F736" s="27">
        <f>53.4707 * CHOOSE(CONTROL!$C$15, $E$9, 100%, $G$9) + CHOOSE(CONTROL!$C$38, 0.0266, 0)</f>
        <v>53.497300000000003</v>
      </c>
      <c r="G736" s="10">
        <f>49.4669 * CHOOSE(CONTROL!$C$15, $E$9, 100%, $G$9) + CHOOSE(CONTROL!$C$38, 0.0357, 0)</f>
        <v>49.502600000000001</v>
      </c>
      <c r="H736" s="10">
        <f>49.4669 * CHOOSE(CONTROL!$C$15, $E$9, 100%, $G$9) + CHOOSE(CONTROL!$C$38, 0.0357, 0)</f>
        <v>49.502600000000001</v>
      </c>
      <c r="I736" s="10">
        <f>49.4685 * CHOOSE(CONTROL!$C$15, $E$9, 100%, $G$9) + CHOOSE(CONTROL!$C$38, 0.0357, 0)</f>
        <v>49.504199999999997</v>
      </c>
      <c r="J736" s="26">
        <f>363.5736</f>
        <v>363.5736</v>
      </c>
    </row>
    <row r="737" spans="1:10" ht="15.75">
      <c r="A737" s="13">
        <v>63735</v>
      </c>
      <c r="B737" s="10">
        <f>53.2651 * CHOOSE(CONTROL!$C$15, $E$9, 100%, $G$9) + CHOOSE(CONTROL!$C$38, 0.0266, 0)</f>
        <v>53.291699999999999</v>
      </c>
      <c r="C737" s="10">
        <f>49.1067 * CHOOSE(CONTROL!$C$15, $E$9, 100%, $G$9) + CHOOSE(CONTROL!$C$38, 0.0357, 0)</f>
        <v>49.142399999999995</v>
      </c>
      <c r="D737" s="10">
        <f>49.0988 * CHOOSE(CONTROL!$C$15, $E$9, 100%, $G$9) + CHOOSE(CONTROL!$C$38, 0.0357, 0)</f>
        <v>49.134499999999996</v>
      </c>
      <c r="E737" s="28">
        <f>53.1088 * CHOOSE(CONTROL!$C$15, $E$9, 100%, $G$9) + CHOOSE(CONTROL!$C$38, 0.0357, 0)</f>
        <v>53.144500000000001</v>
      </c>
      <c r="F737" s="27">
        <f>53.1088 * CHOOSE(CONTROL!$C$15, $E$9, 100%, $G$9) + CHOOSE(CONTROL!$C$38, 0.0266, 0)</f>
        <v>53.135400000000004</v>
      </c>
      <c r="G737" s="10">
        <f>49.1051 * CHOOSE(CONTROL!$C$15, $E$9, 100%, $G$9) + CHOOSE(CONTROL!$C$38, 0.0357, 0)</f>
        <v>49.140799999999999</v>
      </c>
      <c r="H737" s="10">
        <f>49.1051 * CHOOSE(CONTROL!$C$15, $E$9, 100%, $G$9) + CHOOSE(CONTROL!$C$38, 0.0357, 0)</f>
        <v>49.140799999999999</v>
      </c>
      <c r="I737" s="10">
        <f>49.1067 * CHOOSE(CONTROL!$C$15, $E$9, 100%, $G$9) + CHOOSE(CONTROL!$C$38, 0.0357, 0)</f>
        <v>49.142399999999995</v>
      </c>
      <c r="J737" s="26">
        <f>368.8123</f>
        <v>368.81229999999999</v>
      </c>
    </row>
    <row r="738" spans="1:10" ht="15.75">
      <c r="A738" s="13">
        <v>63766</v>
      </c>
      <c r="B738" s="10">
        <f>53.0586 * CHOOSE(CONTROL!$C$15, $E$9, 100%, $G$9) + CHOOSE(CONTROL!$C$38, 0.0266, 0)</f>
        <v>53.0852</v>
      </c>
      <c r="C738" s="10">
        <f>48.9002 * CHOOSE(CONTROL!$C$15, $E$9, 100%, $G$9) + CHOOSE(CONTROL!$C$38, 0.0357, 0)</f>
        <v>48.935899999999997</v>
      </c>
      <c r="D738" s="10">
        <f>48.8924 * CHOOSE(CONTROL!$C$15, $E$9, 100%, $G$9) + CHOOSE(CONTROL!$C$38, 0.0357, 0)</f>
        <v>48.928100000000001</v>
      </c>
      <c r="E738" s="28">
        <f>52.9023 * CHOOSE(CONTROL!$C$15, $E$9, 100%, $G$9) + CHOOSE(CONTROL!$C$38, 0.0357, 0)</f>
        <v>52.937999999999995</v>
      </c>
      <c r="F738" s="27">
        <f>52.9023 * CHOOSE(CONTROL!$C$15, $E$9, 100%, $G$9) + CHOOSE(CONTROL!$C$38, 0.0266, 0)</f>
        <v>52.928899999999999</v>
      </c>
      <c r="G738" s="10">
        <f>48.8986 * CHOOSE(CONTROL!$C$15, $E$9, 100%, $G$9) + CHOOSE(CONTROL!$C$38, 0.0357, 0)</f>
        <v>48.9343</v>
      </c>
      <c r="H738" s="10">
        <f>48.8986 * CHOOSE(CONTROL!$C$15, $E$9, 100%, $G$9) + CHOOSE(CONTROL!$C$38, 0.0357, 0)</f>
        <v>48.9343</v>
      </c>
      <c r="I738" s="10">
        <f>48.9002 * CHOOSE(CONTROL!$C$15, $E$9, 100%, $G$9) + CHOOSE(CONTROL!$C$38, 0.0357, 0)</f>
        <v>48.935899999999997</v>
      </c>
      <c r="J738" s="26">
        <f>367.0874</f>
        <v>367.0874</v>
      </c>
    </row>
    <row r="739" spans="1:10" ht="15.75">
      <c r="A739" s="13">
        <v>63797</v>
      </c>
      <c r="B739" s="10">
        <f>53.1605 * CHOOSE(CONTROL!$C$15, $E$9, 100%, $G$9) + CHOOSE(CONTROL!$C$38, 0.0266, 0)</f>
        <v>53.187100000000001</v>
      </c>
      <c r="C739" s="10">
        <f>49.0021 * CHOOSE(CONTROL!$C$15, $E$9, 100%, $G$9) + CHOOSE(CONTROL!$C$38, 0.0357, 0)</f>
        <v>49.037799999999997</v>
      </c>
      <c r="D739" s="10">
        <f>48.9943 * CHOOSE(CONTROL!$C$15, $E$9, 100%, $G$9) + CHOOSE(CONTROL!$C$38, 0.0357, 0)</f>
        <v>49.03</v>
      </c>
      <c r="E739" s="28">
        <f>53.0042 * CHOOSE(CONTROL!$C$15, $E$9, 100%, $G$9) + CHOOSE(CONTROL!$C$38, 0.0357, 0)</f>
        <v>53.039899999999996</v>
      </c>
      <c r="F739" s="27">
        <f>53.0042 * CHOOSE(CONTROL!$C$15, $E$9, 100%, $G$9) + CHOOSE(CONTROL!$C$38, 0.0266, 0)</f>
        <v>53.030799999999999</v>
      </c>
      <c r="G739" s="10">
        <f>49.0005 * CHOOSE(CONTROL!$C$15, $E$9, 100%, $G$9) + CHOOSE(CONTROL!$C$38, 0.0357, 0)</f>
        <v>49.036200000000001</v>
      </c>
      <c r="H739" s="10">
        <f>49.0005 * CHOOSE(CONTROL!$C$15, $E$9, 100%, $G$9) + CHOOSE(CONTROL!$C$38, 0.0357, 0)</f>
        <v>49.036200000000001</v>
      </c>
      <c r="I739" s="10">
        <f>49.0021 * CHOOSE(CONTROL!$C$15, $E$9, 100%, $G$9) + CHOOSE(CONTROL!$C$38, 0.0357, 0)</f>
        <v>49.037799999999997</v>
      </c>
      <c r="J739" s="26">
        <f>358.5418</f>
        <v>358.54180000000002</v>
      </c>
    </row>
    <row r="740" spans="1:10" ht="15.75">
      <c r="A740" s="13">
        <v>63827</v>
      </c>
      <c r="B740" s="10">
        <f>53.4373 * CHOOSE(CONTROL!$C$15, $E$9, 100%, $G$9) + CHOOSE(CONTROL!$C$38, 0.0266, 0)</f>
        <v>53.463900000000002</v>
      </c>
      <c r="C740" s="10">
        <f>49.2789 * CHOOSE(CONTROL!$C$15, $E$9, 100%, $G$9) + CHOOSE(CONTROL!$C$38, 0.0357, 0)</f>
        <v>49.314599999999999</v>
      </c>
      <c r="D740" s="10">
        <f>49.2711 * CHOOSE(CONTROL!$C$15, $E$9, 100%, $G$9) + CHOOSE(CONTROL!$C$38, 0.0357, 0)</f>
        <v>49.306799999999996</v>
      </c>
      <c r="E740" s="28">
        <f>53.281 * CHOOSE(CONTROL!$C$15, $E$9, 100%, $G$9) + CHOOSE(CONTROL!$C$38, 0.0357, 0)</f>
        <v>53.316699999999997</v>
      </c>
      <c r="F740" s="27">
        <f>53.281 * CHOOSE(CONTROL!$C$15, $E$9, 100%, $G$9) + CHOOSE(CONTROL!$C$38, 0.0266, 0)</f>
        <v>53.307600000000001</v>
      </c>
      <c r="G740" s="10">
        <f>49.2773 * CHOOSE(CONTROL!$C$15, $E$9, 100%, $G$9) + CHOOSE(CONTROL!$C$38, 0.0357, 0)</f>
        <v>49.312999999999995</v>
      </c>
      <c r="H740" s="10">
        <f>49.2773 * CHOOSE(CONTROL!$C$15, $E$9, 100%, $G$9) + CHOOSE(CONTROL!$C$38, 0.0357, 0)</f>
        <v>49.312999999999995</v>
      </c>
      <c r="I740" s="10">
        <f>49.2789 * CHOOSE(CONTROL!$C$15, $E$9, 100%, $G$9) + CHOOSE(CONTROL!$C$38, 0.0357, 0)</f>
        <v>49.314599999999999</v>
      </c>
      <c r="J740" s="26">
        <f>346.6245</f>
        <v>346.62450000000001</v>
      </c>
    </row>
    <row r="741" spans="1:10" ht="15.75">
      <c r="A741" s="13">
        <v>63858</v>
      </c>
      <c r="B741" s="10">
        <f>53.6691 * CHOOSE(CONTROL!$C$15, $E$9, 100%, $G$9) + CHOOSE(CONTROL!$C$38, 0.0266, 0)</f>
        <v>53.695700000000002</v>
      </c>
      <c r="C741" s="10">
        <f>49.5107 * CHOOSE(CONTROL!$C$15, $E$9, 100%, $G$9) + CHOOSE(CONTROL!$C$38, 0.0357, 0)</f>
        <v>49.546399999999998</v>
      </c>
      <c r="D741" s="10">
        <f>49.5029 * CHOOSE(CONTROL!$C$15, $E$9, 100%, $G$9) + CHOOSE(CONTROL!$C$38, 0.0357, 0)</f>
        <v>49.538599999999995</v>
      </c>
      <c r="E741" s="28">
        <f>53.5129 * CHOOSE(CONTROL!$C$15, $E$9, 100%, $G$9) + CHOOSE(CONTROL!$C$38, 0.0357, 0)</f>
        <v>53.5486</v>
      </c>
      <c r="F741" s="27">
        <f>53.5129 * CHOOSE(CONTROL!$C$15, $E$9, 100%, $G$9) + CHOOSE(CONTROL!$C$38, 0.0266, 0)</f>
        <v>53.539500000000004</v>
      </c>
      <c r="G741" s="10">
        <f>49.5091 * CHOOSE(CONTROL!$C$15, $E$9, 100%, $G$9) + CHOOSE(CONTROL!$C$38, 0.0357, 0)</f>
        <v>49.544799999999995</v>
      </c>
      <c r="H741" s="10">
        <f>49.5091 * CHOOSE(CONTROL!$C$15, $E$9, 100%, $G$9) + CHOOSE(CONTROL!$C$38, 0.0357, 0)</f>
        <v>49.544799999999995</v>
      </c>
      <c r="I741" s="10">
        <f>49.5107 * CHOOSE(CONTROL!$C$15, $E$9, 100%, $G$9) + CHOOSE(CONTROL!$C$38, 0.0357, 0)</f>
        <v>49.546399999999998</v>
      </c>
      <c r="J741" s="26">
        <f>334.6379</f>
        <v>334.6379</v>
      </c>
    </row>
    <row r="742" spans="1:10" ht="15.75">
      <c r="A742" s="13">
        <v>63888</v>
      </c>
      <c r="B742" s="10">
        <f>53.8626 * CHOOSE(CONTROL!$C$15, $E$9, 100%, $G$9) + CHOOSE(CONTROL!$C$38, 0.0266, 0)</f>
        <v>53.889200000000002</v>
      </c>
      <c r="C742" s="10">
        <f>49.7041 * CHOOSE(CONTROL!$C$15, $E$9, 100%, $G$9) + CHOOSE(CONTROL!$C$38, 0.0357, 0)</f>
        <v>49.739799999999995</v>
      </c>
      <c r="D742" s="10">
        <f>49.6963 * CHOOSE(CONTROL!$C$15, $E$9, 100%, $G$9) + CHOOSE(CONTROL!$C$38, 0.0357, 0)</f>
        <v>49.731999999999999</v>
      </c>
      <c r="E742" s="28">
        <f>53.7063 * CHOOSE(CONTROL!$C$15, $E$9, 100%, $G$9) + CHOOSE(CONTROL!$C$38, 0.0357, 0)</f>
        <v>53.741999999999997</v>
      </c>
      <c r="F742" s="27">
        <f>53.7063 * CHOOSE(CONTROL!$C$15, $E$9, 100%, $G$9) + CHOOSE(CONTROL!$C$38, 0.0266, 0)</f>
        <v>53.732900000000001</v>
      </c>
      <c r="G742" s="10">
        <f>49.7026 * CHOOSE(CONTROL!$C$15, $E$9, 100%, $G$9) + CHOOSE(CONTROL!$C$38, 0.0357, 0)</f>
        <v>49.738299999999995</v>
      </c>
      <c r="H742" s="10">
        <f>49.7026 * CHOOSE(CONTROL!$C$15, $E$9, 100%, $G$9) + CHOOSE(CONTROL!$C$38, 0.0357, 0)</f>
        <v>49.738299999999995</v>
      </c>
      <c r="I742" s="10">
        <f>49.7041 * CHOOSE(CONTROL!$C$15, $E$9, 100%, $G$9) + CHOOSE(CONTROL!$C$38, 0.0357, 0)</f>
        <v>49.739799999999995</v>
      </c>
      <c r="J742" s="26">
        <f>332.2535</f>
        <v>332.25349999999997</v>
      </c>
    </row>
    <row r="743" spans="1:10" ht="15.75">
      <c r="A743" s="13">
        <v>63919</v>
      </c>
      <c r="B743" s="10">
        <f>54.4586 * CHOOSE(CONTROL!$C$15, $E$9, 100%, $G$9) + CHOOSE(CONTROL!$C$38, 0.0266, 0)</f>
        <v>54.485199999999999</v>
      </c>
      <c r="C743" s="10">
        <f>50.3002 * CHOOSE(CONTROL!$C$15, $E$9, 100%, $G$9) + CHOOSE(CONTROL!$C$38, 0.0357, 0)</f>
        <v>50.335899999999995</v>
      </c>
      <c r="D743" s="10">
        <f>50.2924 * CHOOSE(CONTROL!$C$15, $E$9, 100%, $G$9) + CHOOSE(CONTROL!$C$38, 0.0357, 0)</f>
        <v>50.328099999999999</v>
      </c>
      <c r="E743" s="28">
        <f>54.3024 * CHOOSE(CONTROL!$C$15, $E$9, 100%, $G$9) + CHOOSE(CONTROL!$C$38, 0.0357, 0)</f>
        <v>54.338099999999997</v>
      </c>
      <c r="F743" s="27">
        <f>54.3024 * CHOOSE(CONTROL!$C$15, $E$9, 100%, $G$9) + CHOOSE(CONTROL!$C$38, 0.0266, 0)</f>
        <v>54.329000000000001</v>
      </c>
      <c r="G743" s="10">
        <f>50.2986 * CHOOSE(CONTROL!$C$15, $E$9, 100%, $G$9) + CHOOSE(CONTROL!$C$38, 0.0357, 0)</f>
        <v>50.334299999999999</v>
      </c>
      <c r="H743" s="10">
        <f>50.2986 * CHOOSE(CONTROL!$C$15, $E$9, 100%, $G$9) + CHOOSE(CONTROL!$C$38, 0.0357, 0)</f>
        <v>50.334299999999999</v>
      </c>
      <c r="I743" s="10">
        <f>50.3002 * CHOOSE(CONTROL!$C$15, $E$9, 100%, $G$9) + CHOOSE(CONTROL!$C$38, 0.0357, 0)</f>
        <v>50.335899999999995</v>
      </c>
      <c r="J743" s="26">
        <f>322.3938</f>
        <v>322.3938</v>
      </c>
    </row>
    <row r="744" spans="1:10" ht="15.75">
      <c r="A744" s="13">
        <v>63950</v>
      </c>
      <c r="B744" s="10">
        <f>55.8708 * CHOOSE(CONTROL!$C$15, $E$9, 100%, $G$9) + CHOOSE(CONTROL!$C$38, 0.0266, 0)</f>
        <v>55.897400000000005</v>
      </c>
      <c r="C744" s="10">
        <f>51.6416 * CHOOSE(CONTROL!$C$15, $E$9, 100%, $G$9) + CHOOSE(CONTROL!$C$38, 0.0357, 0)</f>
        <v>51.677299999999995</v>
      </c>
      <c r="D744" s="10">
        <f>51.6338 * CHOOSE(CONTROL!$C$15, $E$9, 100%, $G$9) + CHOOSE(CONTROL!$C$38, 0.0357, 0)</f>
        <v>51.669499999999999</v>
      </c>
      <c r="E744" s="28">
        <f>55.7145 * CHOOSE(CONTROL!$C$15, $E$9, 100%, $G$9) + CHOOSE(CONTROL!$C$38, 0.0357, 0)</f>
        <v>55.7502</v>
      </c>
      <c r="F744" s="27">
        <f>55.7145 * CHOOSE(CONTROL!$C$15, $E$9, 100%, $G$9) + CHOOSE(CONTROL!$C$38, 0.0266, 0)</f>
        <v>55.741100000000003</v>
      </c>
      <c r="G744" s="10">
        <f>51.6401 * CHOOSE(CONTROL!$C$15, $E$9, 100%, $G$9) + CHOOSE(CONTROL!$C$38, 0.0357, 0)</f>
        <v>51.675799999999995</v>
      </c>
      <c r="H744" s="10">
        <f>51.6401 * CHOOSE(CONTROL!$C$15, $E$9, 100%, $G$9) + CHOOSE(CONTROL!$C$38, 0.0357, 0)</f>
        <v>51.675799999999995</v>
      </c>
      <c r="I744" s="10">
        <f>51.6416 * CHOOSE(CONTROL!$C$15, $E$9, 100%, $G$9) + CHOOSE(CONTROL!$C$38, 0.0357, 0)</f>
        <v>51.677299999999995</v>
      </c>
      <c r="J744" s="26">
        <f>320.2343</f>
        <v>320.23430000000002</v>
      </c>
    </row>
    <row r="745" spans="1:10" ht="15.75">
      <c r="A745" s="13">
        <v>63978</v>
      </c>
      <c r="B745" s="10">
        <f>56.0915 * CHOOSE(CONTROL!$C$15, $E$9, 100%, $G$9) + CHOOSE(CONTROL!$C$38, 0.0266, 0)</f>
        <v>56.118100000000005</v>
      </c>
      <c r="C745" s="10">
        <f>51.8624 * CHOOSE(CONTROL!$C$15, $E$9, 100%, $G$9) + CHOOSE(CONTROL!$C$38, 0.0357, 0)</f>
        <v>51.898099999999999</v>
      </c>
      <c r="D745" s="10">
        <f>51.8546 * CHOOSE(CONTROL!$C$15, $E$9, 100%, $G$9) + CHOOSE(CONTROL!$C$38, 0.0357, 0)</f>
        <v>51.890299999999996</v>
      </c>
      <c r="E745" s="28">
        <f>55.9353 * CHOOSE(CONTROL!$C$15, $E$9, 100%, $G$9) + CHOOSE(CONTROL!$C$38, 0.0357, 0)</f>
        <v>55.970999999999997</v>
      </c>
      <c r="F745" s="27">
        <f>55.9353 * CHOOSE(CONTROL!$C$15, $E$9, 100%, $G$9) + CHOOSE(CONTROL!$C$38, 0.0266, 0)</f>
        <v>55.9619</v>
      </c>
      <c r="G745" s="10">
        <f>51.8608 * CHOOSE(CONTROL!$C$15, $E$9, 100%, $G$9) + CHOOSE(CONTROL!$C$38, 0.0357, 0)</f>
        <v>51.896499999999996</v>
      </c>
      <c r="H745" s="10">
        <f>51.8608 * CHOOSE(CONTROL!$C$15, $E$9, 100%, $G$9) + CHOOSE(CONTROL!$C$38, 0.0357, 0)</f>
        <v>51.896499999999996</v>
      </c>
      <c r="I745" s="10">
        <f>51.8624 * CHOOSE(CONTROL!$C$15, $E$9, 100%, $G$9) + CHOOSE(CONTROL!$C$38, 0.0357, 0)</f>
        <v>51.898099999999999</v>
      </c>
      <c r="J745" s="26">
        <f>319.3441</f>
        <v>319.34410000000003</v>
      </c>
    </row>
    <row r="746" spans="1:10" ht="15.75">
      <c r="A746" s="13">
        <v>64009</v>
      </c>
      <c r="B746" s="10">
        <f>55.5805 * CHOOSE(CONTROL!$C$15, $E$9, 100%, $G$9) + CHOOSE(CONTROL!$C$38, 0.0266, 0)</f>
        <v>55.607100000000003</v>
      </c>
      <c r="C746" s="10">
        <f>51.3514 * CHOOSE(CONTROL!$C$15, $E$9, 100%, $G$9) + CHOOSE(CONTROL!$C$38, 0.0357, 0)</f>
        <v>51.387099999999997</v>
      </c>
      <c r="D746" s="10">
        <f>51.3436 * CHOOSE(CONTROL!$C$15, $E$9, 100%, $G$9) + CHOOSE(CONTROL!$C$38, 0.0357, 0)</f>
        <v>51.379300000000001</v>
      </c>
      <c r="E746" s="28">
        <f>55.4242 * CHOOSE(CONTROL!$C$15, $E$9, 100%, $G$9) + CHOOSE(CONTROL!$C$38, 0.0357, 0)</f>
        <v>55.459899999999998</v>
      </c>
      <c r="F746" s="27">
        <f>55.4242 * CHOOSE(CONTROL!$C$15, $E$9, 100%, $G$9) + CHOOSE(CONTROL!$C$38, 0.0266, 0)</f>
        <v>55.450800000000001</v>
      </c>
      <c r="G746" s="10">
        <f>51.3498 * CHOOSE(CONTROL!$C$15, $E$9, 100%, $G$9) + CHOOSE(CONTROL!$C$38, 0.0357, 0)</f>
        <v>51.3855</v>
      </c>
      <c r="H746" s="10">
        <f>51.3498 * CHOOSE(CONTROL!$C$15, $E$9, 100%, $G$9) + CHOOSE(CONTROL!$C$38, 0.0357, 0)</f>
        <v>51.3855</v>
      </c>
      <c r="I746" s="10">
        <f>51.3514 * CHOOSE(CONTROL!$C$15, $E$9, 100%, $G$9) + CHOOSE(CONTROL!$C$38, 0.0357, 0)</f>
        <v>51.387099999999997</v>
      </c>
      <c r="J746" s="26">
        <f>336.1754</f>
        <v>336.17540000000002</v>
      </c>
    </row>
    <row r="747" spans="1:10" ht="15.75">
      <c r="A747" s="13">
        <v>64039</v>
      </c>
      <c r="B747" s="10">
        <f>55.0853 * CHOOSE(CONTROL!$C$15, $E$9, 100%, $G$9) + CHOOSE(CONTROL!$C$38, 0.0266, 0)</f>
        <v>55.111899999999999</v>
      </c>
      <c r="C747" s="10">
        <f>50.8562 * CHOOSE(CONTROL!$C$15, $E$9, 100%, $G$9) + CHOOSE(CONTROL!$C$38, 0.0357, 0)</f>
        <v>50.8919</v>
      </c>
      <c r="D747" s="10">
        <f>50.8484 * CHOOSE(CONTROL!$C$15, $E$9, 100%, $G$9) + CHOOSE(CONTROL!$C$38, 0.0357, 0)</f>
        <v>50.884099999999997</v>
      </c>
      <c r="E747" s="28">
        <f>54.9291 * CHOOSE(CONTROL!$C$15, $E$9, 100%, $G$9) + CHOOSE(CONTROL!$C$38, 0.0357, 0)</f>
        <v>54.964799999999997</v>
      </c>
      <c r="F747" s="27">
        <f>54.9291 * CHOOSE(CONTROL!$C$15, $E$9, 100%, $G$9) + CHOOSE(CONTROL!$C$38, 0.0266, 0)</f>
        <v>54.9557</v>
      </c>
      <c r="G747" s="10">
        <f>50.8546 * CHOOSE(CONTROL!$C$15, $E$9, 100%, $G$9) + CHOOSE(CONTROL!$C$38, 0.0357, 0)</f>
        <v>50.890299999999996</v>
      </c>
      <c r="H747" s="10">
        <f>50.8546 * CHOOSE(CONTROL!$C$15, $E$9, 100%, $G$9) + CHOOSE(CONTROL!$C$38, 0.0357, 0)</f>
        <v>50.890299999999996</v>
      </c>
      <c r="I747" s="10">
        <f>50.8562 * CHOOSE(CONTROL!$C$15, $E$9, 100%, $G$9) + CHOOSE(CONTROL!$C$38, 0.0357, 0)</f>
        <v>50.8919</v>
      </c>
      <c r="J747" s="26">
        <f>358.0016</f>
        <v>358.0016</v>
      </c>
    </row>
    <row r="748" spans="1:10" ht="15.75">
      <c r="A748" s="13">
        <v>64070</v>
      </c>
      <c r="B748" s="10">
        <f>54.5692 * CHOOSE(CONTROL!$C$15, $E$9, 100%, $G$9) + CHOOSE(CONTROL!$C$38, 0.0266, 0)</f>
        <v>54.595800000000004</v>
      </c>
      <c r="C748" s="10">
        <f>50.3401 * CHOOSE(CONTROL!$C$15, $E$9, 100%, $G$9) + CHOOSE(CONTROL!$C$38, 0.0357, 0)</f>
        <v>50.375799999999998</v>
      </c>
      <c r="D748" s="10">
        <f>50.3323 * CHOOSE(CONTROL!$C$15, $E$9, 100%, $G$9) + CHOOSE(CONTROL!$C$38, 0.0357, 0)</f>
        <v>50.367999999999995</v>
      </c>
      <c r="E748" s="28">
        <f>54.413 * CHOOSE(CONTROL!$C$15, $E$9, 100%, $G$9) + CHOOSE(CONTROL!$C$38, 0.0357, 0)</f>
        <v>54.448699999999995</v>
      </c>
      <c r="F748" s="27">
        <f>54.413 * CHOOSE(CONTROL!$C$15, $E$9, 100%, $G$9) + CHOOSE(CONTROL!$C$38, 0.0266, 0)</f>
        <v>54.439599999999999</v>
      </c>
      <c r="G748" s="10">
        <f>50.3385 * CHOOSE(CONTROL!$C$15, $E$9, 100%, $G$9) + CHOOSE(CONTROL!$C$38, 0.0357, 0)</f>
        <v>50.374200000000002</v>
      </c>
      <c r="H748" s="10">
        <f>50.3385 * CHOOSE(CONTROL!$C$15, $E$9, 100%, $G$9) + CHOOSE(CONTROL!$C$38, 0.0357, 0)</f>
        <v>50.374200000000002</v>
      </c>
      <c r="I748" s="10">
        <f>50.3401 * CHOOSE(CONTROL!$C$15, $E$9, 100%, $G$9) + CHOOSE(CONTROL!$C$38, 0.0357, 0)</f>
        <v>50.375799999999998</v>
      </c>
      <c r="J748" s="26">
        <f>370.0154</f>
        <v>370.0154</v>
      </c>
    </row>
    <row r="749" spans="1:10" ht="15.75">
      <c r="A749" s="13">
        <v>64100</v>
      </c>
      <c r="B749" s="10">
        <f>54.2074 * CHOOSE(CONTROL!$C$15, $E$9, 100%, $G$9) + CHOOSE(CONTROL!$C$38, 0.0266, 0)</f>
        <v>54.234000000000002</v>
      </c>
      <c r="C749" s="10">
        <f>49.9782 * CHOOSE(CONTROL!$C$15, $E$9, 100%, $G$9) + CHOOSE(CONTROL!$C$38, 0.0357, 0)</f>
        <v>50.0139</v>
      </c>
      <c r="D749" s="10">
        <f>49.9704 * CHOOSE(CONTROL!$C$15, $E$9, 100%, $G$9) + CHOOSE(CONTROL!$C$38, 0.0357, 0)</f>
        <v>50.006099999999996</v>
      </c>
      <c r="E749" s="28">
        <f>54.0511 * CHOOSE(CONTROL!$C$15, $E$9, 100%, $G$9) + CHOOSE(CONTROL!$C$38, 0.0357, 0)</f>
        <v>54.086799999999997</v>
      </c>
      <c r="F749" s="27">
        <f>54.0511 * CHOOSE(CONTROL!$C$15, $E$9, 100%, $G$9) + CHOOSE(CONTROL!$C$38, 0.0266, 0)</f>
        <v>54.0777</v>
      </c>
      <c r="G749" s="10">
        <f>49.9767 * CHOOSE(CONTROL!$C$15, $E$9, 100%, $G$9) + CHOOSE(CONTROL!$C$38, 0.0357, 0)</f>
        <v>50.0124</v>
      </c>
      <c r="H749" s="10">
        <f>49.9767 * CHOOSE(CONTROL!$C$15, $E$9, 100%, $G$9) + CHOOSE(CONTROL!$C$38, 0.0357, 0)</f>
        <v>50.0124</v>
      </c>
      <c r="I749" s="10">
        <f>49.9782 * CHOOSE(CONTROL!$C$15, $E$9, 100%, $G$9) + CHOOSE(CONTROL!$C$38, 0.0357, 0)</f>
        <v>50.0139</v>
      </c>
      <c r="J749" s="26">
        <f>375.3469</f>
        <v>375.34690000000001</v>
      </c>
    </row>
    <row r="750" spans="1:10" ht="15.75">
      <c r="A750" s="13">
        <v>64131</v>
      </c>
      <c r="B750" s="10">
        <f>54.0009 * CHOOSE(CONTROL!$C$15, $E$9, 100%, $G$9) + CHOOSE(CONTROL!$C$38, 0.0266, 0)</f>
        <v>54.027500000000003</v>
      </c>
      <c r="C750" s="10">
        <f>49.7718 * CHOOSE(CONTROL!$C$15, $E$9, 100%, $G$9) + CHOOSE(CONTROL!$C$38, 0.0357, 0)</f>
        <v>49.807499999999997</v>
      </c>
      <c r="D750" s="10">
        <f>49.7639 * CHOOSE(CONTROL!$C$15, $E$9, 100%, $G$9) + CHOOSE(CONTROL!$C$38, 0.0357, 0)</f>
        <v>49.799599999999998</v>
      </c>
      <c r="E750" s="28">
        <f>53.8446 * CHOOSE(CONTROL!$C$15, $E$9, 100%, $G$9) + CHOOSE(CONTROL!$C$38, 0.0357, 0)</f>
        <v>53.880299999999998</v>
      </c>
      <c r="F750" s="27">
        <f>53.8446 * CHOOSE(CONTROL!$C$15, $E$9, 100%, $G$9) + CHOOSE(CONTROL!$C$38, 0.0266, 0)</f>
        <v>53.871200000000002</v>
      </c>
      <c r="G750" s="10">
        <f>49.7702 * CHOOSE(CONTROL!$C$15, $E$9, 100%, $G$9) + CHOOSE(CONTROL!$C$38, 0.0357, 0)</f>
        <v>49.805900000000001</v>
      </c>
      <c r="H750" s="10">
        <f>49.7702 * CHOOSE(CONTROL!$C$15, $E$9, 100%, $G$9) + CHOOSE(CONTROL!$C$38, 0.0357, 0)</f>
        <v>49.805900000000001</v>
      </c>
      <c r="I750" s="10">
        <f>49.7718 * CHOOSE(CONTROL!$C$15, $E$9, 100%, $G$9) + CHOOSE(CONTROL!$C$38, 0.0357, 0)</f>
        <v>49.807499999999997</v>
      </c>
      <c r="J750" s="26">
        <f>373.5915</f>
        <v>373.5915</v>
      </c>
    </row>
    <row r="751" spans="1:10" ht="15.75">
      <c r="A751" s="13">
        <v>64162</v>
      </c>
      <c r="B751" s="10">
        <f>54.1028 * CHOOSE(CONTROL!$C$15, $E$9, 100%, $G$9) + CHOOSE(CONTROL!$C$38, 0.0266, 0)</f>
        <v>54.129400000000004</v>
      </c>
      <c r="C751" s="10">
        <f>49.8737 * CHOOSE(CONTROL!$C$15, $E$9, 100%, $G$9) + CHOOSE(CONTROL!$C$38, 0.0357, 0)</f>
        <v>49.909399999999998</v>
      </c>
      <c r="D751" s="10">
        <f>49.8658 * CHOOSE(CONTROL!$C$15, $E$9, 100%, $G$9) + CHOOSE(CONTROL!$C$38, 0.0357, 0)</f>
        <v>49.901499999999999</v>
      </c>
      <c r="E751" s="28">
        <f>53.9465 * CHOOSE(CONTROL!$C$15, $E$9, 100%, $G$9) + CHOOSE(CONTROL!$C$38, 0.0357, 0)</f>
        <v>53.982199999999999</v>
      </c>
      <c r="F751" s="27">
        <f>53.9465 * CHOOSE(CONTROL!$C$15, $E$9, 100%, $G$9) + CHOOSE(CONTROL!$C$38, 0.0266, 0)</f>
        <v>53.973100000000002</v>
      </c>
      <c r="G751" s="10">
        <f>49.8721 * CHOOSE(CONTROL!$C$15, $E$9, 100%, $G$9) + CHOOSE(CONTROL!$C$38, 0.0357, 0)</f>
        <v>49.907800000000002</v>
      </c>
      <c r="H751" s="10">
        <f>49.8721 * CHOOSE(CONTROL!$C$15, $E$9, 100%, $G$9) + CHOOSE(CONTROL!$C$38, 0.0357, 0)</f>
        <v>49.907800000000002</v>
      </c>
      <c r="I751" s="10">
        <f>49.8737 * CHOOSE(CONTROL!$C$15, $E$9, 100%, $G$9) + CHOOSE(CONTROL!$C$38, 0.0357, 0)</f>
        <v>49.909399999999998</v>
      </c>
      <c r="J751" s="26">
        <f>364.8945</f>
        <v>364.89449999999999</v>
      </c>
    </row>
    <row r="752" spans="1:10" ht="15.75">
      <c r="A752" s="13">
        <v>64192</v>
      </c>
      <c r="B752" s="10">
        <f>54.3796 * CHOOSE(CONTROL!$C$15, $E$9, 100%, $G$9) + CHOOSE(CONTROL!$C$38, 0.0266, 0)</f>
        <v>54.406200000000005</v>
      </c>
      <c r="C752" s="10">
        <f>50.1505 * CHOOSE(CONTROL!$C$15, $E$9, 100%, $G$9) + CHOOSE(CONTROL!$C$38, 0.0357, 0)</f>
        <v>50.186199999999999</v>
      </c>
      <c r="D752" s="10">
        <f>50.1426 * CHOOSE(CONTROL!$C$15, $E$9, 100%, $G$9) + CHOOSE(CONTROL!$C$38, 0.0357, 0)</f>
        <v>50.1783</v>
      </c>
      <c r="E752" s="28">
        <f>54.2233 * CHOOSE(CONTROL!$C$15, $E$9, 100%, $G$9) + CHOOSE(CONTROL!$C$38, 0.0357, 0)</f>
        <v>54.259</v>
      </c>
      <c r="F752" s="27">
        <f>54.2233 * CHOOSE(CONTROL!$C$15, $E$9, 100%, $G$9) + CHOOSE(CONTROL!$C$38, 0.0266, 0)</f>
        <v>54.249900000000004</v>
      </c>
      <c r="G752" s="10">
        <f>50.1489 * CHOOSE(CONTROL!$C$15, $E$9, 100%, $G$9) + CHOOSE(CONTROL!$C$38, 0.0357, 0)</f>
        <v>50.184599999999996</v>
      </c>
      <c r="H752" s="10">
        <f>50.1489 * CHOOSE(CONTROL!$C$15, $E$9, 100%, $G$9) + CHOOSE(CONTROL!$C$38, 0.0357, 0)</f>
        <v>50.184599999999996</v>
      </c>
      <c r="I752" s="10">
        <f>50.1505 * CHOOSE(CONTROL!$C$15, $E$9, 100%, $G$9) + CHOOSE(CONTROL!$C$38, 0.0357, 0)</f>
        <v>50.186199999999999</v>
      </c>
      <c r="J752" s="26">
        <f>352.766</f>
        <v>352.76600000000002</v>
      </c>
    </row>
    <row r="753" spans="1:10" ht="15.75">
      <c r="A753" s="13">
        <v>64223</v>
      </c>
      <c r="B753" s="10">
        <f>54.6114 * CHOOSE(CONTROL!$C$15, $E$9, 100%, $G$9) + CHOOSE(CONTROL!$C$38, 0.0266, 0)</f>
        <v>54.638000000000005</v>
      </c>
      <c r="C753" s="10">
        <f>50.3823 * CHOOSE(CONTROL!$C$15, $E$9, 100%, $G$9) + CHOOSE(CONTROL!$C$38, 0.0357, 0)</f>
        <v>50.417999999999999</v>
      </c>
      <c r="D753" s="10">
        <f>50.3745 * CHOOSE(CONTROL!$C$15, $E$9, 100%, $G$9) + CHOOSE(CONTROL!$C$38, 0.0357, 0)</f>
        <v>50.410199999999996</v>
      </c>
      <c r="E753" s="28">
        <f>54.4552 * CHOOSE(CONTROL!$C$15, $E$9, 100%, $G$9) + CHOOSE(CONTROL!$C$38, 0.0357, 0)</f>
        <v>54.490899999999996</v>
      </c>
      <c r="F753" s="27">
        <f>54.4552 * CHOOSE(CONTROL!$C$15, $E$9, 100%, $G$9) + CHOOSE(CONTROL!$C$38, 0.0266, 0)</f>
        <v>54.4818</v>
      </c>
      <c r="G753" s="10">
        <f>50.3807 * CHOOSE(CONTROL!$C$15, $E$9, 100%, $G$9) + CHOOSE(CONTROL!$C$38, 0.0357, 0)</f>
        <v>50.416399999999996</v>
      </c>
      <c r="H753" s="10">
        <f>50.3807 * CHOOSE(CONTROL!$C$15, $E$9, 100%, $G$9) + CHOOSE(CONTROL!$C$38, 0.0357, 0)</f>
        <v>50.416399999999996</v>
      </c>
      <c r="I753" s="10">
        <f>50.3823 * CHOOSE(CONTROL!$C$15, $E$9, 100%, $G$9) + CHOOSE(CONTROL!$C$38, 0.0357, 0)</f>
        <v>50.417999999999999</v>
      </c>
      <c r="J753" s="26">
        <f>340.567</f>
        <v>340.56700000000001</v>
      </c>
    </row>
    <row r="754" spans="1:10" ht="15.75">
      <c r="A754" s="13">
        <v>64253</v>
      </c>
      <c r="B754" s="10">
        <f>54.8049 * CHOOSE(CONTROL!$C$15, $E$9, 100%, $G$9) + CHOOSE(CONTROL!$C$38, 0.0266, 0)</f>
        <v>54.831500000000005</v>
      </c>
      <c r="C754" s="10">
        <f>50.5757 * CHOOSE(CONTROL!$C$15, $E$9, 100%, $G$9) + CHOOSE(CONTROL!$C$38, 0.0357, 0)</f>
        <v>50.611399999999996</v>
      </c>
      <c r="D754" s="10">
        <f>50.5679 * CHOOSE(CONTROL!$C$15, $E$9, 100%, $G$9) + CHOOSE(CONTROL!$C$38, 0.0357, 0)</f>
        <v>50.6036</v>
      </c>
      <c r="E754" s="28">
        <f>54.6486 * CHOOSE(CONTROL!$C$15, $E$9, 100%, $G$9) + CHOOSE(CONTROL!$C$38, 0.0357, 0)</f>
        <v>54.6843</v>
      </c>
      <c r="F754" s="27">
        <f>54.6486 * CHOOSE(CONTROL!$C$15, $E$9, 100%, $G$9) + CHOOSE(CONTROL!$C$38, 0.0266, 0)</f>
        <v>54.675200000000004</v>
      </c>
      <c r="G754" s="10">
        <f>50.5742 * CHOOSE(CONTROL!$C$15, $E$9, 100%, $G$9) + CHOOSE(CONTROL!$C$38, 0.0357, 0)</f>
        <v>50.609899999999996</v>
      </c>
      <c r="H754" s="10">
        <f>50.5742 * CHOOSE(CONTROL!$C$15, $E$9, 100%, $G$9) + CHOOSE(CONTROL!$C$38, 0.0357, 0)</f>
        <v>50.609899999999996</v>
      </c>
      <c r="I754" s="10">
        <f>50.5757 * CHOOSE(CONTROL!$C$15, $E$9, 100%, $G$9) + CHOOSE(CONTROL!$C$38, 0.0357, 0)</f>
        <v>50.611399999999996</v>
      </c>
      <c r="J754" s="26">
        <f>338.1404</f>
        <v>338.1404</v>
      </c>
    </row>
    <row r="755" spans="1:10" ht="15.75">
      <c r="A755" s="13">
        <v>64284</v>
      </c>
      <c r="B755" s="10">
        <f>55.4009 * CHOOSE(CONTROL!$C$15, $E$9, 100%, $G$9) + CHOOSE(CONTROL!$C$38, 0.0266, 0)</f>
        <v>55.427500000000002</v>
      </c>
      <c r="C755" s="10">
        <f>51.1718 * CHOOSE(CONTROL!$C$15, $E$9, 100%, $G$9) + CHOOSE(CONTROL!$C$38, 0.0357, 0)</f>
        <v>51.207499999999996</v>
      </c>
      <c r="D755" s="10">
        <f>51.164 * CHOOSE(CONTROL!$C$15, $E$9, 100%, $G$9) + CHOOSE(CONTROL!$C$38, 0.0357, 0)</f>
        <v>51.1997</v>
      </c>
      <c r="E755" s="28">
        <f>55.2447 * CHOOSE(CONTROL!$C$15, $E$9, 100%, $G$9) + CHOOSE(CONTROL!$C$38, 0.0357, 0)</f>
        <v>55.2804</v>
      </c>
      <c r="F755" s="27">
        <f>55.2447 * CHOOSE(CONTROL!$C$15, $E$9, 100%, $G$9) + CHOOSE(CONTROL!$C$38, 0.0266, 0)</f>
        <v>55.271300000000004</v>
      </c>
      <c r="G755" s="10">
        <f>51.1702 * CHOOSE(CONTROL!$C$15, $E$9, 100%, $G$9) + CHOOSE(CONTROL!$C$38, 0.0357, 0)</f>
        <v>51.2059</v>
      </c>
      <c r="H755" s="10">
        <f>51.1702 * CHOOSE(CONTROL!$C$15, $E$9, 100%, $G$9) + CHOOSE(CONTROL!$C$38, 0.0357, 0)</f>
        <v>51.2059</v>
      </c>
      <c r="I755" s="10">
        <f>51.1718 * CHOOSE(CONTROL!$C$15, $E$9, 100%, $G$9) + CHOOSE(CONTROL!$C$38, 0.0357, 0)</f>
        <v>51.207499999999996</v>
      </c>
      <c r="J755" s="26">
        <f>328.106</f>
        <v>328.10599999999999</v>
      </c>
    </row>
    <row r="756" spans="1:10" ht="15.75">
      <c r="A756" s="13">
        <v>64315</v>
      </c>
      <c r="B756" s="10">
        <f>56.8297 * CHOOSE(CONTROL!$C$15, $E$9, 100%, $G$9) + CHOOSE(CONTROL!$C$38, 0.0266, 0)</f>
        <v>56.856300000000005</v>
      </c>
      <c r="C756" s="10">
        <f>52.5286 * CHOOSE(CONTROL!$C$15, $E$9, 100%, $G$9) + CHOOSE(CONTROL!$C$38, 0.0357, 0)</f>
        <v>52.564299999999996</v>
      </c>
      <c r="D756" s="10">
        <f>52.5208 * CHOOSE(CONTROL!$C$15, $E$9, 100%, $G$9) + CHOOSE(CONTROL!$C$38, 0.0357, 0)</f>
        <v>52.5565</v>
      </c>
      <c r="E756" s="28">
        <f>56.6735 * CHOOSE(CONTROL!$C$15, $E$9, 100%, $G$9) + CHOOSE(CONTROL!$C$38, 0.0357, 0)</f>
        <v>56.709199999999996</v>
      </c>
      <c r="F756" s="27">
        <f>56.6735 * CHOOSE(CONTROL!$C$15, $E$9, 100%, $G$9) + CHOOSE(CONTROL!$C$38, 0.0266, 0)</f>
        <v>56.700099999999999</v>
      </c>
      <c r="G756" s="10">
        <f>52.5271 * CHOOSE(CONTROL!$C$15, $E$9, 100%, $G$9) + CHOOSE(CONTROL!$C$38, 0.0357, 0)</f>
        <v>52.562799999999996</v>
      </c>
      <c r="H756" s="10">
        <f>52.5271 * CHOOSE(CONTROL!$C$15, $E$9, 100%, $G$9) + CHOOSE(CONTROL!$C$38, 0.0357, 0)</f>
        <v>52.562799999999996</v>
      </c>
      <c r="I756" s="10">
        <f>52.5286 * CHOOSE(CONTROL!$C$15, $E$9, 100%, $G$9) + CHOOSE(CONTROL!$C$38, 0.0357, 0)</f>
        <v>52.564299999999996</v>
      </c>
      <c r="J756" s="26">
        <f>325.9082</f>
        <v>325.90820000000002</v>
      </c>
    </row>
    <row r="757" spans="1:10" ht="15.75">
      <c r="A757" s="13">
        <v>64344</v>
      </c>
      <c r="B757" s="10">
        <f>57.0505 * CHOOSE(CONTROL!$C$15, $E$9, 100%, $G$9) + CHOOSE(CONTROL!$C$38, 0.0266, 0)</f>
        <v>57.077100000000002</v>
      </c>
      <c r="C757" s="10">
        <f>52.7494 * CHOOSE(CONTROL!$C$15, $E$9, 100%, $G$9) + CHOOSE(CONTROL!$C$38, 0.0357, 0)</f>
        <v>52.7851</v>
      </c>
      <c r="D757" s="10">
        <f>52.7416 * CHOOSE(CONTROL!$C$15, $E$9, 100%, $G$9) + CHOOSE(CONTROL!$C$38, 0.0357, 0)</f>
        <v>52.777299999999997</v>
      </c>
      <c r="E757" s="28">
        <f>56.8942 * CHOOSE(CONTROL!$C$15, $E$9, 100%, $G$9) + CHOOSE(CONTROL!$C$38, 0.0357, 0)</f>
        <v>56.929899999999996</v>
      </c>
      <c r="F757" s="27">
        <f>56.8942 * CHOOSE(CONTROL!$C$15, $E$9, 100%, $G$9) + CHOOSE(CONTROL!$C$38, 0.0266, 0)</f>
        <v>56.9208</v>
      </c>
      <c r="G757" s="10">
        <f>52.7478 * CHOOSE(CONTROL!$C$15, $E$9, 100%, $G$9) + CHOOSE(CONTROL!$C$38, 0.0357, 0)</f>
        <v>52.783499999999997</v>
      </c>
      <c r="H757" s="10">
        <f>52.7478 * CHOOSE(CONTROL!$C$15, $E$9, 100%, $G$9) + CHOOSE(CONTROL!$C$38, 0.0357, 0)</f>
        <v>52.783499999999997</v>
      </c>
      <c r="I757" s="10">
        <f>52.7494 * CHOOSE(CONTROL!$C$15, $E$9, 100%, $G$9) + CHOOSE(CONTROL!$C$38, 0.0357, 0)</f>
        <v>52.7851</v>
      </c>
      <c r="J757" s="26">
        <f>325.0023</f>
        <v>325.00229999999999</v>
      </c>
    </row>
    <row r="758" spans="1:10" ht="15.75">
      <c r="A758" s="13">
        <v>64375</v>
      </c>
      <c r="B758" s="10">
        <f>56.5394 * CHOOSE(CONTROL!$C$15, $E$9, 100%, $G$9) + CHOOSE(CONTROL!$C$38, 0.0266, 0)</f>
        <v>56.566000000000003</v>
      </c>
      <c r="C758" s="10">
        <f>52.2384 * CHOOSE(CONTROL!$C$15, $E$9, 100%, $G$9) + CHOOSE(CONTROL!$C$38, 0.0357, 0)</f>
        <v>52.274099999999997</v>
      </c>
      <c r="D758" s="10">
        <f>52.2305 * CHOOSE(CONTROL!$C$15, $E$9, 100%, $G$9) + CHOOSE(CONTROL!$C$38, 0.0357, 0)</f>
        <v>52.266199999999998</v>
      </c>
      <c r="E758" s="28">
        <f>56.3832 * CHOOSE(CONTROL!$C$15, $E$9, 100%, $G$9) + CHOOSE(CONTROL!$C$38, 0.0357, 0)</f>
        <v>56.418900000000001</v>
      </c>
      <c r="F758" s="27">
        <f>56.3832 * CHOOSE(CONTROL!$C$15, $E$9, 100%, $G$9) + CHOOSE(CONTROL!$C$38, 0.0266, 0)</f>
        <v>56.409800000000004</v>
      </c>
      <c r="G758" s="10">
        <f>52.2368 * CHOOSE(CONTROL!$C$15, $E$9, 100%, $G$9) + CHOOSE(CONTROL!$C$38, 0.0357, 0)</f>
        <v>52.272500000000001</v>
      </c>
      <c r="H758" s="10">
        <f>52.2368 * CHOOSE(CONTROL!$C$15, $E$9, 100%, $G$9) + CHOOSE(CONTROL!$C$38, 0.0357, 0)</f>
        <v>52.272500000000001</v>
      </c>
      <c r="I758" s="10">
        <f>52.2384 * CHOOSE(CONTROL!$C$15, $E$9, 100%, $G$9) + CHOOSE(CONTROL!$C$38, 0.0357, 0)</f>
        <v>52.274099999999997</v>
      </c>
      <c r="J758" s="26">
        <f>342.1318</f>
        <v>342.1318</v>
      </c>
    </row>
    <row r="759" spans="1:10" ht="15.75">
      <c r="A759" s="13">
        <v>64405</v>
      </c>
      <c r="B759" s="10">
        <f>56.0443 * CHOOSE(CONTROL!$C$15, $E$9, 100%, $G$9) + CHOOSE(CONTROL!$C$38, 0.0266, 0)</f>
        <v>56.070900000000002</v>
      </c>
      <c r="C759" s="10">
        <f>51.7432 * CHOOSE(CONTROL!$C$15, $E$9, 100%, $G$9) + CHOOSE(CONTROL!$C$38, 0.0357, 0)</f>
        <v>51.7789</v>
      </c>
      <c r="D759" s="10">
        <f>51.7354 * CHOOSE(CONTROL!$C$15, $E$9, 100%, $G$9) + CHOOSE(CONTROL!$C$38, 0.0357, 0)</f>
        <v>51.771099999999997</v>
      </c>
      <c r="E759" s="28">
        <f>55.888 * CHOOSE(CONTROL!$C$15, $E$9, 100%, $G$9) + CHOOSE(CONTROL!$C$38, 0.0357, 0)</f>
        <v>55.923699999999997</v>
      </c>
      <c r="F759" s="27">
        <f>55.888 * CHOOSE(CONTROL!$C$15, $E$9, 100%, $G$9) + CHOOSE(CONTROL!$C$38, 0.0266, 0)</f>
        <v>55.9146</v>
      </c>
      <c r="G759" s="10">
        <f>51.7416 * CHOOSE(CONTROL!$C$15, $E$9, 100%, $G$9) + CHOOSE(CONTROL!$C$38, 0.0357, 0)</f>
        <v>51.777299999999997</v>
      </c>
      <c r="H759" s="10">
        <f>51.7416 * CHOOSE(CONTROL!$C$15, $E$9, 100%, $G$9) + CHOOSE(CONTROL!$C$38, 0.0357, 0)</f>
        <v>51.777299999999997</v>
      </c>
      <c r="I759" s="10">
        <f>51.7432 * CHOOSE(CONTROL!$C$15, $E$9, 100%, $G$9) + CHOOSE(CONTROL!$C$38, 0.0357, 0)</f>
        <v>51.7789</v>
      </c>
      <c r="J759" s="26">
        <f>364.3447</f>
        <v>364.34469999999999</v>
      </c>
    </row>
    <row r="760" spans="1:10" ht="15.75">
      <c r="A760" s="13">
        <v>64436</v>
      </c>
      <c r="B760" s="10">
        <f>55.5281 * CHOOSE(CONTROL!$C$15, $E$9, 100%, $G$9) + CHOOSE(CONTROL!$C$38, 0.0266, 0)</f>
        <v>55.554700000000004</v>
      </c>
      <c r="C760" s="10">
        <f>51.2271 * CHOOSE(CONTROL!$C$15, $E$9, 100%, $G$9) + CHOOSE(CONTROL!$C$38, 0.0357, 0)</f>
        <v>51.262799999999999</v>
      </c>
      <c r="D760" s="10">
        <f>51.2192 * CHOOSE(CONTROL!$C$15, $E$9, 100%, $G$9) + CHOOSE(CONTROL!$C$38, 0.0357, 0)</f>
        <v>51.254899999999999</v>
      </c>
      <c r="E760" s="28">
        <f>55.3719 * CHOOSE(CONTROL!$C$15, $E$9, 100%, $G$9) + CHOOSE(CONTROL!$C$38, 0.0357, 0)</f>
        <v>55.407599999999995</v>
      </c>
      <c r="F760" s="27">
        <f>55.3719 * CHOOSE(CONTROL!$C$15, $E$9, 100%, $G$9) + CHOOSE(CONTROL!$C$38, 0.0266, 0)</f>
        <v>55.398499999999999</v>
      </c>
      <c r="G760" s="10">
        <f>51.2255 * CHOOSE(CONTROL!$C$15, $E$9, 100%, $G$9) + CHOOSE(CONTROL!$C$38, 0.0357, 0)</f>
        <v>51.261199999999995</v>
      </c>
      <c r="H760" s="10">
        <f>51.2255 * CHOOSE(CONTROL!$C$15, $E$9, 100%, $G$9) + CHOOSE(CONTROL!$C$38, 0.0357, 0)</f>
        <v>51.261199999999995</v>
      </c>
      <c r="I760" s="10">
        <f>51.2271 * CHOOSE(CONTROL!$C$15, $E$9, 100%, $G$9) + CHOOSE(CONTROL!$C$38, 0.0357, 0)</f>
        <v>51.262799999999999</v>
      </c>
      <c r="J760" s="26">
        <f>376.5714</f>
        <v>376.57139999999998</v>
      </c>
    </row>
    <row r="761" spans="1:10" ht="15.75">
      <c r="A761" s="13">
        <v>64466</v>
      </c>
      <c r="B761" s="10">
        <f>55.1663 * CHOOSE(CONTROL!$C$15, $E$9, 100%, $G$9) + CHOOSE(CONTROL!$C$38, 0.0266, 0)</f>
        <v>55.192900000000002</v>
      </c>
      <c r="C761" s="10">
        <f>50.8652 * CHOOSE(CONTROL!$C$15, $E$9, 100%, $G$9) + CHOOSE(CONTROL!$C$38, 0.0357, 0)</f>
        <v>50.9009</v>
      </c>
      <c r="D761" s="10">
        <f>50.8574 * CHOOSE(CONTROL!$C$15, $E$9, 100%, $G$9) + CHOOSE(CONTROL!$C$38, 0.0357, 0)</f>
        <v>50.893099999999997</v>
      </c>
      <c r="E761" s="28">
        <f>55.0101 * CHOOSE(CONTROL!$C$15, $E$9, 100%, $G$9) + CHOOSE(CONTROL!$C$38, 0.0357, 0)</f>
        <v>55.0458</v>
      </c>
      <c r="F761" s="27">
        <f>55.0101 * CHOOSE(CONTROL!$C$15, $E$9, 100%, $G$9) + CHOOSE(CONTROL!$C$38, 0.0266, 0)</f>
        <v>55.036700000000003</v>
      </c>
      <c r="G761" s="10">
        <f>50.8637 * CHOOSE(CONTROL!$C$15, $E$9, 100%, $G$9) + CHOOSE(CONTROL!$C$38, 0.0357, 0)</f>
        <v>50.8994</v>
      </c>
      <c r="H761" s="10">
        <f>50.8637 * CHOOSE(CONTROL!$C$15, $E$9, 100%, $G$9) + CHOOSE(CONTROL!$C$38, 0.0357, 0)</f>
        <v>50.8994</v>
      </c>
      <c r="I761" s="10">
        <f>50.8652 * CHOOSE(CONTROL!$C$15, $E$9, 100%, $G$9) + CHOOSE(CONTROL!$C$38, 0.0357, 0)</f>
        <v>50.9009</v>
      </c>
      <c r="J761" s="26">
        <f>381.9974</f>
        <v>381.99740000000003</v>
      </c>
    </row>
    <row r="762" spans="1:10" ht="15.75">
      <c r="A762" s="13">
        <v>64497</v>
      </c>
      <c r="B762" s="10">
        <f>54.9598 * CHOOSE(CONTROL!$C$15, $E$9, 100%, $G$9) + CHOOSE(CONTROL!$C$38, 0.0266, 0)</f>
        <v>54.986400000000003</v>
      </c>
      <c r="C762" s="10">
        <f>50.6587 * CHOOSE(CONTROL!$C$15, $E$9, 100%, $G$9) + CHOOSE(CONTROL!$C$38, 0.0357, 0)</f>
        <v>50.694400000000002</v>
      </c>
      <c r="D762" s="10">
        <f>50.6509 * CHOOSE(CONTROL!$C$15, $E$9, 100%, $G$9) + CHOOSE(CONTROL!$C$38, 0.0357, 0)</f>
        <v>50.686599999999999</v>
      </c>
      <c r="E762" s="28">
        <f>54.8036 * CHOOSE(CONTROL!$C$15, $E$9, 100%, $G$9) + CHOOSE(CONTROL!$C$38, 0.0357, 0)</f>
        <v>54.839300000000001</v>
      </c>
      <c r="F762" s="27">
        <f>54.8036 * CHOOSE(CONTROL!$C$15, $E$9, 100%, $G$9) + CHOOSE(CONTROL!$C$38, 0.0266, 0)</f>
        <v>54.830200000000005</v>
      </c>
      <c r="G762" s="10">
        <f>50.6572 * CHOOSE(CONTROL!$C$15, $E$9, 100%, $G$9) + CHOOSE(CONTROL!$C$38, 0.0357, 0)</f>
        <v>50.692900000000002</v>
      </c>
      <c r="H762" s="10">
        <f>50.6572 * CHOOSE(CONTROL!$C$15, $E$9, 100%, $G$9) + CHOOSE(CONTROL!$C$38, 0.0357, 0)</f>
        <v>50.692900000000002</v>
      </c>
      <c r="I762" s="10">
        <f>50.6587 * CHOOSE(CONTROL!$C$15, $E$9, 100%, $G$9) + CHOOSE(CONTROL!$C$38, 0.0357, 0)</f>
        <v>50.694400000000002</v>
      </c>
      <c r="J762" s="26">
        <f>380.2109</f>
        <v>380.21089999999998</v>
      </c>
    </row>
    <row r="763" spans="1:10" ht="15.75">
      <c r="A763" s="13">
        <v>64528</v>
      </c>
      <c r="B763" s="10">
        <f>55.0617 * CHOOSE(CONTROL!$C$15, $E$9, 100%, $G$9) + CHOOSE(CONTROL!$C$38, 0.0266, 0)</f>
        <v>55.088300000000004</v>
      </c>
      <c r="C763" s="10">
        <f>50.7606 * CHOOSE(CONTROL!$C$15, $E$9, 100%, $G$9) + CHOOSE(CONTROL!$C$38, 0.0357, 0)</f>
        <v>50.796299999999995</v>
      </c>
      <c r="D763" s="10">
        <f>50.7528 * CHOOSE(CONTROL!$C$15, $E$9, 100%, $G$9) + CHOOSE(CONTROL!$C$38, 0.0357, 0)</f>
        <v>50.788499999999999</v>
      </c>
      <c r="E763" s="28">
        <f>54.9055 * CHOOSE(CONTROL!$C$15, $E$9, 100%, $G$9) + CHOOSE(CONTROL!$C$38, 0.0357, 0)</f>
        <v>54.941200000000002</v>
      </c>
      <c r="F763" s="27">
        <f>54.9055 * CHOOSE(CONTROL!$C$15, $E$9, 100%, $G$9) + CHOOSE(CONTROL!$C$38, 0.0266, 0)</f>
        <v>54.932100000000005</v>
      </c>
      <c r="G763" s="10">
        <f>50.7591 * CHOOSE(CONTROL!$C$15, $E$9, 100%, $G$9) + CHOOSE(CONTROL!$C$38, 0.0357, 0)</f>
        <v>50.794799999999995</v>
      </c>
      <c r="H763" s="10">
        <f>50.7591 * CHOOSE(CONTROL!$C$15, $E$9, 100%, $G$9) + CHOOSE(CONTROL!$C$38, 0.0357, 0)</f>
        <v>50.794799999999995</v>
      </c>
      <c r="I763" s="10">
        <f>50.7606 * CHOOSE(CONTROL!$C$15, $E$9, 100%, $G$9) + CHOOSE(CONTROL!$C$38, 0.0357, 0)</f>
        <v>50.796299999999995</v>
      </c>
      <c r="J763" s="26">
        <f>371.3597</f>
        <v>371.35969999999998</v>
      </c>
    </row>
    <row r="764" spans="1:10" ht="15.75">
      <c r="A764" s="13">
        <v>64558</v>
      </c>
      <c r="B764" s="10">
        <f>55.3385 * CHOOSE(CONTROL!$C$15, $E$9, 100%, $G$9) + CHOOSE(CONTROL!$C$38, 0.0266, 0)</f>
        <v>55.365100000000005</v>
      </c>
      <c r="C764" s="10">
        <f>51.0374 * CHOOSE(CONTROL!$C$15, $E$9, 100%, $G$9) + CHOOSE(CONTROL!$C$38, 0.0357, 0)</f>
        <v>51.073099999999997</v>
      </c>
      <c r="D764" s="10">
        <f>51.0296 * CHOOSE(CONTROL!$C$15, $E$9, 100%, $G$9) + CHOOSE(CONTROL!$C$38, 0.0357, 0)</f>
        <v>51.065300000000001</v>
      </c>
      <c r="E764" s="28">
        <f>55.1823 * CHOOSE(CONTROL!$C$15, $E$9, 100%, $G$9) + CHOOSE(CONTROL!$C$38, 0.0357, 0)</f>
        <v>55.217999999999996</v>
      </c>
      <c r="F764" s="27">
        <f>55.1823 * CHOOSE(CONTROL!$C$15, $E$9, 100%, $G$9) + CHOOSE(CONTROL!$C$38, 0.0266, 0)</f>
        <v>55.2089</v>
      </c>
      <c r="G764" s="10">
        <f>51.0359 * CHOOSE(CONTROL!$C$15, $E$9, 100%, $G$9) + CHOOSE(CONTROL!$C$38, 0.0357, 0)</f>
        <v>51.071599999999997</v>
      </c>
      <c r="H764" s="10">
        <f>51.0359 * CHOOSE(CONTROL!$C$15, $E$9, 100%, $G$9) + CHOOSE(CONTROL!$C$38, 0.0357, 0)</f>
        <v>51.071599999999997</v>
      </c>
      <c r="I764" s="10">
        <f>51.0374 * CHOOSE(CONTROL!$C$15, $E$9, 100%, $G$9) + CHOOSE(CONTROL!$C$38, 0.0357, 0)</f>
        <v>51.073099999999997</v>
      </c>
      <c r="J764" s="26">
        <f>359.0164</f>
        <v>359.01639999999998</v>
      </c>
    </row>
    <row r="765" spans="1:10" ht="15.75">
      <c r="A765" s="13">
        <v>64589</v>
      </c>
      <c r="B765" s="10">
        <f>55.5704 * CHOOSE(CONTROL!$C$15, $E$9, 100%, $G$9) + CHOOSE(CONTROL!$C$38, 0.0266, 0)</f>
        <v>55.597000000000001</v>
      </c>
      <c r="C765" s="10">
        <f>51.2693 * CHOOSE(CONTROL!$C$15, $E$9, 100%, $G$9) + CHOOSE(CONTROL!$C$38, 0.0357, 0)</f>
        <v>51.305</v>
      </c>
      <c r="D765" s="10">
        <f>51.2615 * CHOOSE(CONTROL!$C$15, $E$9, 100%, $G$9) + CHOOSE(CONTROL!$C$38, 0.0357, 0)</f>
        <v>51.297199999999997</v>
      </c>
      <c r="E765" s="28">
        <f>55.4141 * CHOOSE(CONTROL!$C$15, $E$9, 100%, $G$9) + CHOOSE(CONTROL!$C$38, 0.0357, 0)</f>
        <v>55.449799999999996</v>
      </c>
      <c r="F765" s="27">
        <f>55.4141 * CHOOSE(CONTROL!$C$15, $E$9, 100%, $G$9) + CHOOSE(CONTROL!$C$38, 0.0266, 0)</f>
        <v>55.4407</v>
      </c>
      <c r="G765" s="10">
        <f>51.2677 * CHOOSE(CONTROL!$C$15, $E$9, 100%, $G$9) + CHOOSE(CONTROL!$C$38, 0.0357, 0)</f>
        <v>51.303399999999996</v>
      </c>
      <c r="H765" s="10">
        <f>51.2677 * CHOOSE(CONTROL!$C$15, $E$9, 100%, $G$9) + CHOOSE(CONTROL!$C$38, 0.0357, 0)</f>
        <v>51.303399999999996</v>
      </c>
      <c r="I765" s="10">
        <f>51.2693 * CHOOSE(CONTROL!$C$15, $E$9, 100%, $G$9) + CHOOSE(CONTROL!$C$38, 0.0357, 0)</f>
        <v>51.305</v>
      </c>
      <c r="J765" s="26">
        <f>346.6012</f>
        <v>346.60120000000001</v>
      </c>
    </row>
    <row r="766" spans="1:10" ht="15.75">
      <c r="A766" s="13">
        <v>64619</v>
      </c>
      <c r="B766" s="10">
        <f>55.7638 * CHOOSE(CONTROL!$C$15, $E$9, 100%, $G$9) + CHOOSE(CONTROL!$C$38, 0.0266, 0)</f>
        <v>55.790400000000005</v>
      </c>
      <c r="C766" s="10">
        <f>51.4627 * CHOOSE(CONTROL!$C$15, $E$9, 100%, $G$9) + CHOOSE(CONTROL!$C$38, 0.0357, 0)</f>
        <v>51.498399999999997</v>
      </c>
      <c r="D766" s="10">
        <f>51.4549 * CHOOSE(CONTROL!$C$15, $E$9, 100%, $G$9) + CHOOSE(CONTROL!$C$38, 0.0357, 0)</f>
        <v>51.490600000000001</v>
      </c>
      <c r="E766" s="28">
        <f>55.6075 * CHOOSE(CONTROL!$C$15, $E$9, 100%, $G$9) + CHOOSE(CONTROL!$C$38, 0.0357, 0)</f>
        <v>55.6432</v>
      </c>
      <c r="F766" s="27">
        <f>55.6075 * CHOOSE(CONTROL!$C$15, $E$9, 100%, $G$9) + CHOOSE(CONTROL!$C$38, 0.0266, 0)</f>
        <v>55.634100000000004</v>
      </c>
      <c r="G766" s="10">
        <f>51.4611 * CHOOSE(CONTROL!$C$15, $E$9, 100%, $G$9) + CHOOSE(CONTROL!$C$38, 0.0357, 0)</f>
        <v>51.4968</v>
      </c>
      <c r="H766" s="10">
        <f>51.4611 * CHOOSE(CONTROL!$C$15, $E$9, 100%, $G$9) + CHOOSE(CONTROL!$C$38, 0.0357, 0)</f>
        <v>51.4968</v>
      </c>
      <c r="I766" s="10">
        <f>51.4627 * CHOOSE(CONTROL!$C$15, $E$9, 100%, $G$9) + CHOOSE(CONTROL!$C$38, 0.0357, 0)</f>
        <v>51.498399999999997</v>
      </c>
      <c r="J766" s="26">
        <f>344.1316</f>
        <v>344.13159999999999</v>
      </c>
    </row>
    <row r="767" spans="1:10" ht="15.75">
      <c r="A767" s="13">
        <v>64650</v>
      </c>
      <c r="B767" s="10">
        <f>56.3599 * CHOOSE(CONTROL!$C$15, $E$9, 100%, $G$9) + CHOOSE(CONTROL!$C$38, 0.0266, 0)</f>
        <v>56.386500000000005</v>
      </c>
      <c r="C767" s="10">
        <f>52.0588 * CHOOSE(CONTROL!$C$15, $E$9, 100%, $G$9) + CHOOSE(CONTROL!$C$38, 0.0357, 0)</f>
        <v>52.094499999999996</v>
      </c>
      <c r="D767" s="10">
        <f>52.051 * CHOOSE(CONTROL!$C$15, $E$9, 100%, $G$9) + CHOOSE(CONTROL!$C$38, 0.0357, 0)</f>
        <v>52.0867</v>
      </c>
      <c r="E767" s="28">
        <f>56.2036 * CHOOSE(CONTROL!$C$15, $E$9, 100%, $G$9) + CHOOSE(CONTROL!$C$38, 0.0357, 0)</f>
        <v>56.2393</v>
      </c>
      <c r="F767" s="27">
        <f>56.2036 * CHOOSE(CONTROL!$C$15, $E$9, 100%, $G$9) + CHOOSE(CONTROL!$C$38, 0.0266, 0)</f>
        <v>56.230200000000004</v>
      </c>
      <c r="G767" s="10">
        <f>52.0572 * CHOOSE(CONTROL!$C$15, $E$9, 100%, $G$9) + CHOOSE(CONTROL!$C$38, 0.0357, 0)</f>
        <v>52.0929</v>
      </c>
      <c r="H767" s="10">
        <f>52.0572 * CHOOSE(CONTROL!$C$15, $E$9, 100%, $G$9) + CHOOSE(CONTROL!$C$38, 0.0357, 0)</f>
        <v>52.0929</v>
      </c>
      <c r="I767" s="10">
        <f>52.0588 * CHOOSE(CONTROL!$C$15, $E$9, 100%, $G$9) + CHOOSE(CONTROL!$C$38, 0.0357, 0)</f>
        <v>52.094499999999996</v>
      </c>
      <c r="J767" s="26">
        <f>333.9195</f>
        <v>333.91950000000003</v>
      </c>
    </row>
    <row r="768" spans="1:10" ht="15.75">
      <c r="A768" s="13">
        <v>64681</v>
      </c>
      <c r="B768" s="10">
        <f>57.8056 * CHOOSE(CONTROL!$C$15, $E$9, 100%, $G$9) + CHOOSE(CONTROL!$C$38, 0.0266, 0)</f>
        <v>57.8322</v>
      </c>
      <c r="C768" s="10">
        <f>53.4313 * CHOOSE(CONTROL!$C$15, $E$9, 100%, $G$9) + CHOOSE(CONTROL!$C$38, 0.0357, 0)</f>
        <v>53.466999999999999</v>
      </c>
      <c r="D768" s="10">
        <f>53.4235 * CHOOSE(CONTROL!$C$15, $E$9, 100%, $G$9) + CHOOSE(CONTROL!$C$38, 0.0357, 0)</f>
        <v>53.459199999999996</v>
      </c>
      <c r="E768" s="28">
        <f>57.6493 * CHOOSE(CONTROL!$C$15, $E$9, 100%, $G$9) + CHOOSE(CONTROL!$C$38, 0.0357, 0)</f>
        <v>57.684999999999995</v>
      </c>
      <c r="F768" s="27">
        <f>57.6493 * CHOOSE(CONTROL!$C$15, $E$9, 100%, $G$9) + CHOOSE(CONTROL!$C$38, 0.0266, 0)</f>
        <v>57.675899999999999</v>
      </c>
      <c r="G768" s="10">
        <f>53.4297 * CHOOSE(CONTROL!$C$15, $E$9, 100%, $G$9) + CHOOSE(CONTROL!$C$38, 0.0357, 0)</f>
        <v>53.465399999999995</v>
      </c>
      <c r="H768" s="10">
        <f>53.4297 * CHOOSE(CONTROL!$C$15, $E$9, 100%, $G$9) + CHOOSE(CONTROL!$C$38, 0.0357, 0)</f>
        <v>53.465399999999995</v>
      </c>
      <c r="I768" s="10">
        <f>53.4313 * CHOOSE(CONTROL!$C$15, $E$9, 100%, $G$9) + CHOOSE(CONTROL!$C$38, 0.0357, 0)</f>
        <v>53.466999999999999</v>
      </c>
      <c r="J768" s="26">
        <f>331.6827</f>
        <v>331.68270000000001</v>
      </c>
    </row>
    <row r="769" spans="1:10" ht="15.75">
      <c r="A769" s="13">
        <v>64709</v>
      </c>
      <c r="B769" s="10">
        <f>58.0264 * CHOOSE(CONTROL!$C$15, $E$9, 100%, $G$9) + CHOOSE(CONTROL!$C$38, 0.0266, 0)</f>
        <v>58.053000000000004</v>
      </c>
      <c r="C769" s="10">
        <f>53.652 * CHOOSE(CONTROL!$C$15, $E$9, 100%, $G$9) + CHOOSE(CONTROL!$C$38, 0.0357, 0)</f>
        <v>53.6877</v>
      </c>
      <c r="D769" s="10">
        <f>53.6442 * CHOOSE(CONTROL!$C$15, $E$9, 100%, $G$9) + CHOOSE(CONTROL!$C$38, 0.0357, 0)</f>
        <v>53.679899999999996</v>
      </c>
      <c r="E769" s="28">
        <f>57.8701 * CHOOSE(CONTROL!$C$15, $E$9, 100%, $G$9) + CHOOSE(CONTROL!$C$38, 0.0357, 0)</f>
        <v>57.905799999999999</v>
      </c>
      <c r="F769" s="27">
        <f>57.8701 * CHOOSE(CONTROL!$C$15, $E$9, 100%, $G$9) + CHOOSE(CONTROL!$C$38, 0.0266, 0)</f>
        <v>57.896700000000003</v>
      </c>
      <c r="G769" s="10">
        <f>53.6505 * CHOOSE(CONTROL!$C$15, $E$9, 100%, $G$9) + CHOOSE(CONTROL!$C$38, 0.0357, 0)</f>
        <v>53.686199999999999</v>
      </c>
      <c r="H769" s="10">
        <f>53.6505 * CHOOSE(CONTROL!$C$15, $E$9, 100%, $G$9) + CHOOSE(CONTROL!$C$38, 0.0357, 0)</f>
        <v>53.686199999999999</v>
      </c>
      <c r="I769" s="10">
        <f>53.652 * CHOOSE(CONTROL!$C$15, $E$9, 100%, $G$9) + CHOOSE(CONTROL!$C$38, 0.0357, 0)</f>
        <v>53.6877</v>
      </c>
      <c r="J769" s="26">
        <f>330.7607</f>
        <v>330.76069999999999</v>
      </c>
    </row>
    <row r="770" spans="1:10" ht="15.75">
      <c r="A770" s="13">
        <v>64740</v>
      </c>
      <c r="B770" s="10">
        <f>57.5153 * CHOOSE(CONTROL!$C$15, $E$9, 100%, $G$9) + CHOOSE(CONTROL!$C$38, 0.0266, 0)</f>
        <v>57.541900000000005</v>
      </c>
      <c r="C770" s="10">
        <f>53.141 * CHOOSE(CONTROL!$C$15, $E$9, 100%, $G$9) + CHOOSE(CONTROL!$C$38, 0.0357, 0)</f>
        <v>53.176699999999997</v>
      </c>
      <c r="D770" s="10">
        <f>53.1332 * CHOOSE(CONTROL!$C$15, $E$9, 100%, $G$9) + CHOOSE(CONTROL!$C$38, 0.0357, 0)</f>
        <v>53.168900000000001</v>
      </c>
      <c r="E770" s="28">
        <f>57.3591 * CHOOSE(CONTROL!$C$15, $E$9, 100%, $G$9) + CHOOSE(CONTROL!$C$38, 0.0357, 0)</f>
        <v>57.394799999999996</v>
      </c>
      <c r="F770" s="27">
        <f>57.3591 * CHOOSE(CONTROL!$C$15, $E$9, 100%, $G$9) + CHOOSE(CONTROL!$C$38, 0.0266, 0)</f>
        <v>57.3857</v>
      </c>
      <c r="G770" s="10">
        <f>53.1394 * CHOOSE(CONTROL!$C$15, $E$9, 100%, $G$9) + CHOOSE(CONTROL!$C$38, 0.0357, 0)</f>
        <v>53.1751</v>
      </c>
      <c r="H770" s="10">
        <f>53.1394 * CHOOSE(CONTROL!$C$15, $E$9, 100%, $G$9) + CHOOSE(CONTROL!$C$38, 0.0357, 0)</f>
        <v>53.1751</v>
      </c>
      <c r="I770" s="10">
        <f>53.141 * CHOOSE(CONTROL!$C$15, $E$9, 100%, $G$9) + CHOOSE(CONTROL!$C$38, 0.0357, 0)</f>
        <v>53.176699999999997</v>
      </c>
      <c r="J770" s="26">
        <f>348.1937</f>
        <v>348.19369999999998</v>
      </c>
    </row>
    <row r="771" spans="1:10" ht="15.75">
      <c r="A771" s="13">
        <v>64770</v>
      </c>
      <c r="B771" s="10">
        <f>57.0201 * CHOOSE(CONTROL!$C$15, $E$9, 100%, $G$9) + CHOOSE(CONTROL!$C$38, 0.0266, 0)</f>
        <v>57.046700000000001</v>
      </c>
      <c r="C771" s="10">
        <f>52.6458 * CHOOSE(CONTROL!$C$15, $E$9, 100%, $G$9) + CHOOSE(CONTROL!$C$38, 0.0357, 0)</f>
        <v>52.6815</v>
      </c>
      <c r="D771" s="10">
        <f>52.638 * CHOOSE(CONTROL!$C$15, $E$9, 100%, $G$9) + CHOOSE(CONTROL!$C$38, 0.0357, 0)</f>
        <v>52.673699999999997</v>
      </c>
      <c r="E771" s="28">
        <f>56.8639 * CHOOSE(CONTROL!$C$15, $E$9, 100%, $G$9) + CHOOSE(CONTROL!$C$38, 0.0357, 0)</f>
        <v>56.8996</v>
      </c>
      <c r="F771" s="27">
        <f>56.8639 * CHOOSE(CONTROL!$C$15, $E$9, 100%, $G$9) + CHOOSE(CONTROL!$C$38, 0.0266, 0)</f>
        <v>56.890500000000003</v>
      </c>
      <c r="G771" s="10">
        <f>52.6443 * CHOOSE(CONTROL!$C$15, $E$9, 100%, $G$9) + CHOOSE(CONTROL!$C$38, 0.0357, 0)</f>
        <v>52.68</v>
      </c>
      <c r="H771" s="10">
        <f>52.6443 * CHOOSE(CONTROL!$C$15, $E$9, 100%, $G$9) + CHOOSE(CONTROL!$C$38, 0.0357, 0)</f>
        <v>52.68</v>
      </c>
      <c r="I771" s="10">
        <f>52.6458 * CHOOSE(CONTROL!$C$15, $E$9, 100%, $G$9) + CHOOSE(CONTROL!$C$38, 0.0357, 0)</f>
        <v>52.6815</v>
      </c>
      <c r="J771" s="26">
        <f>370.8002</f>
        <v>370.80020000000002</v>
      </c>
    </row>
    <row r="772" spans="1:10" ht="15.75">
      <c r="A772" s="13">
        <v>64801</v>
      </c>
      <c r="B772" s="10">
        <f>56.504 * CHOOSE(CONTROL!$C$15, $E$9, 100%, $G$9) + CHOOSE(CONTROL!$C$38, 0.0266, 0)</f>
        <v>56.5306</v>
      </c>
      <c r="C772" s="10">
        <f>52.1297 * CHOOSE(CONTROL!$C$15, $E$9, 100%, $G$9) + CHOOSE(CONTROL!$C$38, 0.0357, 0)</f>
        <v>52.165399999999998</v>
      </c>
      <c r="D772" s="10">
        <f>52.1219 * CHOOSE(CONTROL!$C$15, $E$9, 100%, $G$9) + CHOOSE(CONTROL!$C$38, 0.0357, 0)</f>
        <v>52.157599999999995</v>
      </c>
      <c r="E772" s="28">
        <f>56.3478 * CHOOSE(CONTROL!$C$15, $E$9, 100%, $G$9) + CHOOSE(CONTROL!$C$38, 0.0357, 0)</f>
        <v>56.383499999999998</v>
      </c>
      <c r="F772" s="27">
        <f>56.3478 * CHOOSE(CONTROL!$C$15, $E$9, 100%, $G$9) + CHOOSE(CONTROL!$C$38, 0.0266, 0)</f>
        <v>56.374400000000001</v>
      </c>
      <c r="G772" s="10">
        <f>52.1282 * CHOOSE(CONTROL!$C$15, $E$9, 100%, $G$9) + CHOOSE(CONTROL!$C$38, 0.0357, 0)</f>
        <v>52.163899999999998</v>
      </c>
      <c r="H772" s="10">
        <f>52.1282 * CHOOSE(CONTROL!$C$15, $E$9, 100%, $G$9) + CHOOSE(CONTROL!$C$38, 0.0357, 0)</f>
        <v>52.163899999999998</v>
      </c>
      <c r="I772" s="10">
        <f>52.1297 * CHOOSE(CONTROL!$C$15, $E$9, 100%, $G$9) + CHOOSE(CONTROL!$C$38, 0.0357, 0)</f>
        <v>52.165399999999998</v>
      </c>
      <c r="J772" s="26">
        <f>383.2435</f>
        <v>383.24349999999998</v>
      </c>
    </row>
    <row r="773" spans="1:10" ht="15.75">
      <c r="A773" s="13">
        <v>64831</v>
      </c>
      <c r="B773" s="10">
        <f>56.1422 * CHOOSE(CONTROL!$C$15, $E$9, 100%, $G$9) + CHOOSE(CONTROL!$C$38, 0.0266, 0)</f>
        <v>56.168800000000005</v>
      </c>
      <c r="C773" s="10">
        <f>51.7679 * CHOOSE(CONTROL!$C$15, $E$9, 100%, $G$9) + CHOOSE(CONTROL!$C$38, 0.0357, 0)</f>
        <v>51.803599999999996</v>
      </c>
      <c r="D773" s="10">
        <f>51.7601 * CHOOSE(CONTROL!$C$15, $E$9, 100%, $G$9) + CHOOSE(CONTROL!$C$38, 0.0357, 0)</f>
        <v>51.7958</v>
      </c>
      <c r="E773" s="28">
        <f>55.986 * CHOOSE(CONTROL!$C$15, $E$9, 100%, $G$9) + CHOOSE(CONTROL!$C$38, 0.0357, 0)</f>
        <v>56.021699999999996</v>
      </c>
      <c r="F773" s="27">
        <f>55.986 * CHOOSE(CONTROL!$C$15, $E$9, 100%, $G$9) + CHOOSE(CONTROL!$C$38, 0.0266, 0)</f>
        <v>56.012599999999999</v>
      </c>
      <c r="G773" s="10">
        <f>51.7663 * CHOOSE(CONTROL!$C$15, $E$9, 100%, $G$9) + CHOOSE(CONTROL!$C$38, 0.0357, 0)</f>
        <v>51.802</v>
      </c>
      <c r="H773" s="10">
        <f>51.7663 * CHOOSE(CONTROL!$C$15, $E$9, 100%, $G$9) + CHOOSE(CONTROL!$C$38, 0.0357, 0)</f>
        <v>51.802</v>
      </c>
      <c r="I773" s="10">
        <f>51.7679 * CHOOSE(CONTROL!$C$15, $E$9, 100%, $G$9) + CHOOSE(CONTROL!$C$38, 0.0357, 0)</f>
        <v>51.803599999999996</v>
      </c>
      <c r="J773" s="26">
        <f>388.7656</f>
        <v>388.76560000000001</v>
      </c>
    </row>
    <row r="774" spans="1:10" ht="15.75">
      <c r="A774" s="13">
        <v>64862</v>
      </c>
      <c r="B774" s="10">
        <f>55.9357 * CHOOSE(CONTROL!$C$15, $E$9, 100%, $G$9) + CHOOSE(CONTROL!$C$38, 0.0266, 0)</f>
        <v>55.962299999999999</v>
      </c>
      <c r="C774" s="10">
        <f>51.5614 * CHOOSE(CONTROL!$C$15, $E$9, 100%, $G$9) + CHOOSE(CONTROL!$C$38, 0.0357, 0)</f>
        <v>51.597099999999998</v>
      </c>
      <c r="D774" s="10">
        <f>51.5536 * CHOOSE(CONTROL!$C$15, $E$9, 100%, $G$9) + CHOOSE(CONTROL!$C$38, 0.0357, 0)</f>
        <v>51.589300000000001</v>
      </c>
      <c r="E774" s="28">
        <f>55.7795 * CHOOSE(CONTROL!$C$15, $E$9, 100%, $G$9) + CHOOSE(CONTROL!$C$38, 0.0357, 0)</f>
        <v>55.815199999999997</v>
      </c>
      <c r="F774" s="27">
        <f>55.7795 * CHOOSE(CONTROL!$C$15, $E$9, 100%, $G$9) + CHOOSE(CONTROL!$C$38, 0.0266, 0)</f>
        <v>55.806100000000001</v>
      </c>
      <c r="G774" s="10">
        <f>51.5598 * CHOOSE(CONTROL!$C$15, $E$9, 100%, $G$9) + CHOOSE(CONTROL!$C$38, 0.0357, 0)</f>
        <v>51.595500000000001</v>
      </c>
      <c r="H774" s="10">
        <f>51.5598 * CHOOSE(CONTROL!$C$15, $E$9, 100%, $G$9) + CHOOSE(CONTROL!$C$38, 0.0357, 0)</f>
        <v>51.595500000000001</v>
      </c>
      <c r="I774" s="10">
        <f>51.5614 * CHOOSE(CONTROL!$C$15, $E$9, 100%, $G$9) + CHOOSE(CONTROL!$C$38, 0.0357, 0)</f>
        <v>51.597099999999998</v>
      </c>
      <c r="J774" s="26">
        <f>386.9475</f>
        <v>386.94749999999999</v>
      </c>
    </row>
    <row r="775" spans="1:10" ht="15.75">
      <c r="A775" s="13">
        <v>64893</v>
      </c>
      <c r="B775" s="10">
        <f>56.0376 * CHOOSE(CONTROL!$C$15, $E$9, 100%, $G$9) + CHOOSE(CONTROL!$C$38, 0.0266, 0)</f>
        <v>56.0642</v>
      </c>
      <c r="C775" s="10">
        <f>51.6633 * CHOOSE(CONTROL!$C$15, $E$9, 100%, $G$9) + CHOOSE(CONTROL!$C$38, 0.0357, 0)</f>
        <v>51.698999999999998</v>
      </c>
      <c r="D775" s="10">
        <f>51.6555 * CHOOSE(CONTROL!$C$15, $E$9, 100%, $G$9) + CHOOSE(CONTROL!$C$38, 0.0357, 0)</f>
        <v>51.691200000000002</v>
      </c>
      <c r="E775" s="28">
        <f>55.8814 * CHOOSE(CONTROL!$C$15, $E$9, 100%, $G$9) + CHOOSE(CONTROL!$C$38, 0.0357, 0)</f>
        <v>55.917099999999998</v>
      </c>
      <c r="F775" s="27">
        <f>55.8814 * CHOOSE(CONTROL!$C$15, $E$9, 100%, $G$9) + CHOOSE(CONTROL!$C$38, 0.0266, 0)</f>
        <v>55.908000000000001</v>
      </c>
      <c r="G775" s="10">
        <f>51.6617 * CHOOSE(CONTROL!$C$15, $E$9, 100%, $G$9) + CHOOSE(CONTROL!$C$38, 0.0357, 0)</f>
        <v>51.697400000000002</v>
      </c>
      <c r="H775" s="10">
        <f>51.6617 * CHOOSE(CONTROL!$C$15, $E$9, 100%, $G$9) + CHOOSE(CONTROL!$C$38, 0.0357, 0)</f>
        <v>51.697400000000002</v>
      </c>
      <c r="I775" s="10">
        <f>51.6633 * CHOOSE(CONTROL!$C$15, $E$9, 100%, $G$9) + CHOOSE(CONTROL!$C$38, 0.0357, 0)</f>
        <v>51.698999999999998</v>
      </c>
      <c r="J775" s="26">
        <f>377.9395</f>
        <v>377.93950000000001</v>
      </c>
    </row>
    <row r="776" spans="1:10" ht="15.75">
      <c r="A776" s="13">
        <v>64923</v>
      </c>
      <c r="B776" s="10">
        <f>56.3144 * CHOOSE(CONTROL!$C$15, $E$9, 100%, $G$9) + CHOOSE(CONTROL!$C$38, 0.0266, 0)</f>
        <v>56.341000000000001</v>
      </c>
      <c r="C776" s="10">
        <f>51.9401 * CHOOSE(CONTROL!$C$15, $E$9, 100%, $G$9) + CHOOSE(CONTROL!$C$38, 0.0357, 0)</f>
        <v>51.9758</v>
      </c>
      <c r="D776" s="10">
        <f>51.9323 * CHOOSE(CONTROL!$C$15, $E$9, 100%, $G$9) + CHOOSE(CONTROL!$C$38, 0.0357, 0)</f>
        <v>51.967999999999996</v>
      </c>
      <c r="E776" s="28">
        <f>56.1582 * CHOOSE(CONTROL!$C$15, $E$9, 100%, $G$9) + CHOOSE(CONTROL!$C$38, 0.0357, 0)</f>
        <v>56.193899999999999</v>
      </c>
      <c r="F776" s="27">
        <f>56.1582 * CHOOSE(CONTROL!$C$15, $E$9, 100%, $G$9) + CHOOSE(CONTROL!$C$38, 0.0266, 0)</f>
        <v>56.184800000000003</v>
      </c>
      <c r="G776" s="10">
        <f>51.9385 * CHOOSE(CONTROL!$C$15, $E$9, 100%, $G$9) + CHOOSE(CONTROL!$C$38, 0.0357, 0)</f>
        <v>51.974199999999996</v>
      </c>
      <c r="H776" s="10">
        <f>51.9385 * CHOOSE(CONTROL!$C$15, $E$9, 100%, $G$9) + CHOOSE(CONTROL!$C$38, 0.0357, 0)</f>
        <v>51.974199999999996</v>
      </c>
      <c r="I776" s="10">
        <f>51.9401 * CHOOSE(CONTROL!$C$15, $E$9, 100%, $G$9) + CHOOSE(CONTROL!$C$38, 0.0357, 0)</f>
        <v>51.9758</v>
      </c>
      <c r="J776" s="26">
        <f>365.3775</f>
        <v>365.3775</v>
      </c>
    </row>
    <row r="777" spans="1:10" ht="15.75">
      <c r="A777" s="13">
        <v>64954</v>
      </c>
      <c r="B777" s="10">
        <f>56.5462 * CHOOSE(CONTROL!$C$15, $E$9, 100%, $G$9) + CHOOSE(CONTROL!$C$38, 0.0266, 0)</f>
        <v>56.572800000000001</v>
      </c>
      <c r="C777" s="10">
        <f>52.1719 * CHOOSE(CONTROL!$C$15, $E$9, 100%, $G$9) + CHOOSE(CONTROL!$C$38, 0.0357, 0)</f>
        <v>52.207599999999999</v>
      </c>
      <c r="D777" s="10">
        <f>52.1641 * CHOOSE(CONTROL!$C$15, $E$9, 100%, $G$9) + CHOOSE(CONTROL!$C$38, 0.0357, 0)</f>
        <v>52.199799999999996</v>
      </c>
      <c r="E777" s="28">
        <f>56.39 * CHOOSE(CONTROL!$C$15, $E$9, 100%, $G$9) + CHOOSE(CONTROL!$C$38, 0.0357, 0)</f>
        <v>56.425699999999999</v>
      </c>
      <c r="F777" s="27">
        <f>56.39 * CHOOSE(CONTROL!$C$15, $E$9, 100%, $G$9) + CHOOSE(CONTROL!$C$38, 0.0266, 0)</f>
        <v>56.416600000000003</v>
      </c>
      <c r="G777" s="10">
        <f>52.1704 * CHOOSE(CONTROL!$C$15, $E$9, 100%, $G$9) + CHOOSE(CONTROL!$C$38, 0.0357, 0)</f>
        <v>52.206099999999999</v>
      </c>
      <c r="H777" s="10">
        <f>52.1704 * CHOOSE(CONTROL!$C$15, $E$9, 100%, $G$9) + CHOOSE(CONTROL!$C$38, 0.0357, 0)</f>
        <v>52.206099999999999</v>
      </c>
      <c r="I777" s="10">
        <f>52.1719 * CHOOSE(CONTROL!$C$15, $E$9, 100%, $G$9) + CHOOSE(CONTROL!$C$38, 0.0357, 0)</f>
        <v>52.207599999999999</v>
      </c>
      <c r="J777" s="26">
        <f>352.7423</f>
        <v>352.7423</v>
      </c>
    </row>
    <row r="778" spans="1:10" ht="15.75">
      <c r="A778" s="13">
        <v>64984</v>
      </c>
      <c r="B778" s="10">
        <f>56.7397 * CHOOSE(CONTROL!$C$15, $E$9, 100%, $G$9) + CHOOSE(CONTROL!$C$38, 0.0266, 0)</f>
        <v>56.766300000000001</v>
      </c>
      <c r="C778" s="10">
        <f>52.3654 * CHOOSE(CONTROL!$C$15, $E$9, 100%, $G$9) + CHOOSE(CONTROL!$C$38, 0.0357, 0)</f>
        <v>52.4011</v>
      </c>
      <c r="D778" s="10">
        <f>52.3575 * CHOOSE(CONTROL!$C$15, $E$9, 100%, $G$9) + CHOOSE(CONTROL!$C$38, 0.0357, 0)</f>
        <v>52.3932</v>
      </c>
      <c r="E778" s="28">
        <f>56.5834 * CHOOSE(CONTROL!$C$15, $E$9, 100%, $G$9) + CHOOSE(CONTROL!$C$38, 0.0357, 0)</f>
        <v>56.619099999999996</v>
      </c>
      <c r="F778" s="27">
        <f>56.5834 * CHOOSE(CONTROL!$C$15, $E$9, 100%, $G$9) + CHOOSE(CONTROL!$C$38, 0.0266, 0)</f>
        <v>56.61</v>
      </c>
      <c r="G778" s="10">
        <f>52.3638 * CHOOSE(CONTROL!$C$15, $E$9, 100%, $G$9) + CHOOSE(CONTROL!$C$38, 0.0357, 0)</f>
        <v>52.399499999999996</v>
      </c>
      <c r="H778" s="10">
        <f>52.3638 * CHOOSE(CONTROL!$C$15, $E$9, 100%, $G$9) + CHOOSE(CONTROL!$C$38, 0.0357, 0)</f>
        <v>52.399499999999996</v>
      </c>
      <c r="I778" s="10">
        <f>52.3654 * CHOOSE(CONTROL!$C$15, $E$9, 100%, $G$9) + CHOOSE(CONTROL!$C$38, 0.0357, 0)</f>
        <v>52.4011</v>
      </c>
      <c r="J778" s="26">
        <f>350.2289</f>
        <v>350.22890000000001</v>
      </c>
    </row>
    <row r="779" spans="1:10" ht="15.75">
      <c r="A779" s="13">
        <v>65015</v>
      </c>
      <c r="B779" s="10">
        <f>57.3358 * CHOOSE(CONTROL!$C$15, $E$9, 100%, $G$9) + CHOOSE(CONTROL!$C$38, 0.0266, 0)</f>
        <v>57.362400000000001</v>
      </c>
      <c r="C779" s="10">
        <f>52.9614 * CHOOSE(CONTROL!$C$15, $E$9, 100%, $G$9) + CHOOSE(CONTROL!$C$38, 0.0357, 0)</f>
        <v>52.997099999999996</v>
      </c>
      <c r="D779" s="10">
        <f>52.9536 * CHOOSE(CONTROL!$C$15, $E$9, 100%, $G$9) + CHOOSE(CONTROL!$C$38, 0.0357, 0)</f>
        <v>52.9893</v>
      </c>
      <c r="E779" s="28">
        <f>57.1795 * CHOOSE(CONTROL!$C$15, $E$9, 100%, $G$9) + CHOOSE(CONTROL!$C$38, 0.0357, 0)</f>
        <v>57.215199999999996</v>
      </c>
      <c r="F779" s="27">
        <f>57.1795 * CHOOSE(CONTROL!$C$15, $E$9, 100%, $G$9) + CHOOSE(CONTROL!$C$38, 0.0266, 0)</f>
        <v>57.206099999999999</v>
      </c>
      <c r="G779" s="10">
        <f>52.9599 * CHOOSE(CONTROL!$C$15, $E$9, 100%, $G$9) + CHOOSE(CONTROL!$C$38, 0.0357, 0)</f>
        <v>52.995599999999996</v>
      </c>
      <c r="H779" s="10">
        <f>52.9599 * CHOOSE(CONTROL!$C$15, $E$9, 100%, $G$9) + CHOOSE(CONTROL!$C$38, 0.0357, 0)</f>
        <v>52.995599999999996</v>
      </c>
      <c r="I779" s="10">
        <f>52.9614 * CHOOSE(CONTROL!$C$15, $E$9, 100%, $G$9) + CHOOSE(CONTROL!$C$38, 0.0357, 0)</f>
        <v>52.997099999999996</v>
      </c>
      <c r="J779" s="26">
        <f>339.8359</f>
        <v>339.83589999999998</v>
      </c>
    </row>
    <row r="780" spans="1:10" ht="15.75">
      <c r="A780" s="13">
        <v>65046</v>
      </c>
      <c r="B780" s="10">
        <f>58.7987 * CHOOSE(CONTROL!$C$15, $E$9, 100%, $G$9) + CHOOSE(CONTROL!$C$38, 0.0266, 0)</f>
        <v>58.825299999999999</v>
      </c>
      <c r="C780" s="10">
        <f>54.3499 * CHOOSE(CONTROL!$C$15, $E$9, 100%, $G$9) + CHOOSE(CONTROL!$C$38, 0.0357, 0)</f>
        <v>54.385599999999997</v>
      </c>
      <c r="D780" s="10">
        <f>54.3421 * CHOOSE(CONTROL!$C$15, $E$9, 100%, $G$9) + CHOOSE(CONTROL!$C$38, 0.0357, 0)</f>
        <v>54.377800000000001</v>
      </c>
      <c r="E780" s="28">
        <f>58.6425 * CHOOSE(CONTROL!$C$15, $E$9, 100%, $G$9) + CHOOSE(CONTROL!$C$38, 0.0357, 0)</f>
        <v>58.678199999999997</v>
      </c>
      <c r="F780" s="27">
        <f>58.6425 * CHOOSE(CONTROL!$C$15, $E$9, 100%, $G$9) + CHOOSE(CONTROL!$C$38, 0.0266, 0)</f>
        <v>58.6691</v>
      </c>
      <c r="G780" s="10">
        <f>54.3483 * CHOOSE(CONTROL!$C$15, $E$9, 100%, $G$9) + CHOOSE(CONTROL!$C$38, 0.0357, 0)</f>
        <v>54.384</v>
      </c>
      <c r="H780" s="10">
        <f>54.3483 * CHOOSE(CONTROL!$C$15, $E$9, 100%, $G$9) + CHOOSE(CONTROL!$C$38, 0.0357, 0)</f>
        <v>54.384</v>
      </c>
      <c r="I780" s="10">
        <f>54.3499 * CHOOSE(CONTROL!$C$15, $E$9, 100%, $G$9) + CHOOSE(CONTROL!$C$38, 0.0357, 0)</f>
        <v>54.385599999999997</v>
      </c>
      <c r="J780" s="26">
        <f>337.5595</f>
        <v>337.55950000000001</v>
      </c>
    </row>
    <row r="781" spans="1:10" ht="15.75">
      <c r="A781" s="13">
        <v>65074</v>
      </c>
      <c r="B781" s="10">
        <f>59.0195 * CHOOSE(CONTROL!$C$15, $E$9, 100%, $G$9) + CHOOSE(CONTROL!$C$38, 0.0266, 0)</f>
        <v>59.046100000000003</v>
      </c>
      <c r="C781" s="10">
        <f>54.5706 * CHOOSE(CONTROL!$C$15, $E$9, 100%, $G$9) + CHOOSE(CONTROL!$C$38, 0.0357, 0)</f>
        <v>54.606299999999997</v>
      </c>
      <c r="D781" s="10">
        <f>54.5628 * CHOOSE(CONTROL!$C$15, $E$9, 100%, $G$9) + CHOOSE(CONTROL!$C$38, 0.0357, 0)</f>
        <v>54.598500000000001</v>
      </c>
      <c r="E781" s="28">
        <f>58.8632 * CHOOSE(CONTROL!$C$15, $E$9, 100%, $G$9) + CHOOSE(CONTROL!$C$38, 0.0357, 0)</f>
        <v>58.898899999999998</v>
      </c>
      <c r="F781" s="27">
        <f>58.8632 * CHOOSE(CONTROL!$C$15, $E$9, 100%, $G$9) + CHOOSE(CONTROL!$C$38, 0.0266, 0)</f>
        <v>58.889800000000001</v>
      </c>
      <c r="G781" s="10">
        <f>54.5691 * CHOOSE(CONTROL!$C$15, $E$9, 100%, $G$9) + CHOOSE(CONTROL!$C$38, 0.0357, 0)</f>
        <v>54.604799999999997</v>
      </c>
      <c r="H781" s="10">
        <f>54.5691 * CHOOSE(CONTROL!$C$15, $E$9, 100%, $G$9) + CHOOSE(CONTROL!$C$38, 0.0357, 0)</f>
        <v>54.604799999999997</v>
      </c>
      <c r="I781" s="10">
        <f>54.5706 * CHOOSE(CONTROL!$C$15, $E$9, 100%, $G$9) + CHOOSE(CONTROL!$C$38, 0.0357, 0)</f>
        <v>54.606299999999997</v>
      </c>
      <c r="J781" s="26">
        <f>336.6212</f>
        <v>336.62119999999999</v>
      </c>
    </row>
    <row r="782" spans="1:10" ht="15.75">
      <c r="A782" s="13">
        <v>65105</v>
      </c>
      <c r="B782" s="10">
        <f>58.5085 * CHOOSE(CONTROL!$C$15, $E$9, 100%, $G$9) + CHOOSE(CONTROL!$C$38, 0.0266, 0)</f>
        <v>58.5351</v>
      </c>
      <c r="C782" s="10">
        <f>54.0596 * CHOOSE(CONTROL!$C$15, $E$9, 100%, $G$9) + CHOOSE(CONTROL!$C$38, 0.0357, 0)</f>
        <v>54.095300000000002</v>
      </c>
      <c r="D782" s="10">
        <f>54.0518 * CHOOSE(CONTROL!$C$15, $E$9, 100%, $G$9) + CHOOSE(CONTROL!$C$38, 0.0357, 0)</f>
        <v>54.087499999999999</v>
      </c>
      <c r="E782" s="28">
        <f>58.3522 * CHOOSE(CONTROL!$C$15, $E$9, 100%, $G$9) + CHOOSE(CONTROL!$C$38, 0.0357, 0)</f>
        <v>58.387900000000002</v>
      </c>
      <c r="F782" s="27">
        <f>58.3522 * CHOOSE(CONTROL!$C$15, $E$9, 100%, $G$9) + CHOOSE(CONTROL!$C$38, 0.0266, 0)</f>
        <v>58.378800000000005</v>
      </c>
      <c r="G782" s="10">
        <f>54.058 * CHOOSE(CONTROL!$C$15, $E$9, 100%, $G$9) + CHOOSE(CONTROL!$C$38, 0.0357, 0)</f>
        <v>54.093699999999998</v>
      </c>
      <c r="H782" s="10">
        <f>54.058 * CHOOSE(CONTROL!$C$15, $E$9, 100%, $G$9) + CHOOSE(CONTROL!$C$38, 0.0357, 0)</f>
        <v>54.093699999999998</v>
      </c>
      <c r="I782" s="10">
        <f>54.0596 * CHOOSE(CONTROL!$C$15, $E$9, 100%, $G$9) + CHOOSE(CONTROL!$C$38, 0.0357, 0)</f>
        <v>54.095300000000002</v>
      </c>
      <c r="J782" s="26">
        <f>354.3631</f>
        <v>354.36309999999997</v>
      </c>
    </row>
    <row r="783" spans="1:10" ht="15.75">
      <c r="A783" s="13">
        <v>65135</v>
      </c>
      <c r="B783" s="10">
        <f>58.0133 * CHOOSE(CONTROL!$C$15, $E$9, 100%, $G$9) + CHOOSE(CONTROL!$C$38, 0.0266, 0)</f>
        <v>58.039900000000003</v>
      </c>
      <c r="C783" s="10">
        <f>53.5644 * CHOOSE(CONTROL!$C$15, $E$9, 100%, $G$9) + CHOOSE(CONTROL!$C$38, 0.0357, 0)</f>
        <v>53.600099999999998</v>
      </c>
      <c r="D783" s="10">
        <f>53.5566 * CHOOSE(CONTROL!$C$15, $E$9, 100%, $G$9) + CHOOSE(CONTROL!$C$38, 0.0357, 0)</f>
        <v>53.592300000000002</v>
      </c>
      <c r="E783" s="28">
        <f>57.857 * CHOOSE(CONTROL!$C$15, $E$9, 100%, $G$9) + CHOOSE(CONTROL!$C$38, 0.0357, 0)</f>
        <v>57.892699999999998</v>
      </c>
      <c r="F783" s="27">
        <f>57.857 * CHOOSE(CONTROL!$C$15, $E$9, 100%, $G$9) + CHOOSE(CONTROL!$C$38, 0.0266, 0)</f>
        <v>57.883600000000001</v>
      </c>
      <c r="G783" s="10">
        <f>53.5629 * CHOOSE(CONTROL!$C$15, $E$9, 100%, $G$9) + CHOOSE(CONTROL!$C$38, 0.0357, 0)</f>
        <v>53.598599999999998</v>
      </c>
      <c r="H783" s="10">
        <f>53.5629 * CHOOSE(CONTROL!$C$15, $E$9, 100%, $G$9) + CHOOSE(CONTROL!$C$38, 0.0357, 0)</f>
        <v>53.598599999999998</v>
      </c>
      <c r="I783" s="10">
        <f>53.5644 * CHOOSE(CONTROL!$C$15, $E$9, 100%, $G$9) + CHOOSE(CONTROL!$C$38, 0.0357, 0)</f>
        <v>53.600099999999998</v>
      </c>
      <c r="J783" s="26">
        <f>377.3701</f>
        <v>377.37009999999998</v>
      </c>
    </row>
    <row r="784" spans="1:10" ht="15.75">
      <c r="A784" s="13">
        <v>65166</v>
      </c>
      <c r="B784" s="10">
        <f>57.4972 * CHOOSE(CONTROL!$C$15, $E$9, 100%, $G$9) + CHOOSE(CONTROL!$C$38, 0.0266, 0)</f>
        <v>57.523800000000001</v>
      </c>
      <c r="C784" s="10">
        <f>53.0483 * CHOOSE(CONTROL!$C$15, $E$9, 100%, $G$9) + CHOOSE(CONTROL!$C$38, 0.0357, 0)</f>
        <v>53.083999999999996</v>
      </c>
      <c r="D784" s="10">
        <f>53.0405 * CHOOSE(CONTROL!$C$15, $E$9, 100%, $G$9) + CHOOSE(CONTROL!$C$38, 0.0357, 0)</f>
        <v>53.0762</v>
      </c>
      <c r="E784" s="28">
        <f>57.3409 * CHOOSE(CONTROL!$C$15, $E$9, 100%, $G$9) + CHOOSE(CONTROL!$C$38, 0.0357, 0)</f>
        <v>57.376599999999996</v>
      </c>
      <c r="F784" s="27">
        <f>57.3409 * CHOOSE(CONTROL!$C$15, $E$9, 100%, $G$9) + CHOOSE(CONTROL!$C$38, 0.0266, 0)</f>
        <v>57.3675</v>
      </c>
      <c r="G784" s="10">
        <f>53.0468 * CHOOSE(CONTROL!$C$15, $E$9, 100%, $G$9) + CHOOSE(CONTROL!$C$38, 0.0357, 0)</f>
        <v>53.082499999999996</v>
      </c>
      <c r="H784" s="10">
        <f>53.0468 * CHOOSE(CONTROL!$C$15, $E$9, 100%, $G$9) + CHOOSE(CONTROL!$C$38, 0.0357, 0)</f>
        <v>53.082499999999996</v>
      </c>
      <c r="I784" s="10">
        <f>53.0483 * CHOOSE(CONTROL!$C$15, $E$9, 100%, $G$9) + CHOOSE(CONTROL!$C$38, 0.0357, 0)</f>
        <v>53.083999999999996</v>
      </c>
      <c r="J784" s="26">
        <f>390.0339</f>
        <v>390.03390000000002</v>
      </c>
    </row>
    <row r="785" spans="1:10" ht="15.75">
      <c r="A785" s="13">
        <v>65196</v>
      </c>
      <c r="B785" s="10">
        <f>57.1353 * CHOOSE(CONTROL!$C$15, $E$9, 100%, $G$9) + CHOOSE(CONTROL!$C$38, 0.0266, 0)</f>
        <v>57.161900000000003</v>
      </c>
      <c r="C785" s="10">
        <f>52.6865 * CHOOSE(CONTROL!$C$15, $E$9, 100%, $G$9) + CHOOSE(CONTROL!$C$38, 0.0357, 0)</f>
        <v>52.722200000000001</v>
      </c>
      <c r="D785" s="10">
        <f>52.6787 * CHOOSE(CONTROL!$C$15, $E$9, 100%, $G$9) + CHOOSE(CONTROL!$C$38, 0.0357, 0)</f>
        <v>52.714399999999998</v>
      </c>
      <c r="E785" s="28">
        <f>56.9791 * CHOOSE(CONTROL!$C$15, $E$9, 100%, $G$9) + CHOOSE(CONTROL!$C$38, 0.0357, 0)</f>
        <v>57.014800000000001</v>
      </c>
      <c r="F785" s="27">
        <f>56.9791 * CHOOSE(CONTROL!$C$15, $E$9, 100%, $G$9) + CHOOSE(CONTROL!$C$38, 0.0266, 0)</f>
        <v>57.005700000000004</v>
      </c>
      <c r="G785" s="10">
        <f>52.6849 * CHOOSE(CONTROL!$C$15, $E$9, 100%, $G$9) + CHOOSE(CONTROL!$C$38, 0.0357, 0)</f>
        <v>52.720599999999997</v>
      </c>
      <c r="H785" s="10">
        <f>52.6849 * CHOOSE(CONTROL!$C$15, $E$9, 100%, $G$9) + CHOOSE(CONTROL!$C$38, 0.0357, 0)</f>
        <v>52.720599999999997</v>
      </c>
      <c r="I785" s="10">
        <f>52.6865 * CHOOSE(CONTROL!$C$15, $E$9, 100%, $G$9) + CHOOSE(CONTROL!$C$38, 0.0357, 0)</f>
        <v>52.722200000000001</v>
      </c>
      <c r="J785" s="26">
        <f>395.6538</f>
        <v>395.65379999999999</v>
      </c>
    </row>
    <row r="786" spans="1:10" ht="15.75">
      <c r="A786" s="13">
        <v>65227</v>
      </c>
      <c r="B786" s="10">
        <f>56.9288 * CHOOSE(CONTROL!$C$15, $E$9, 100%, $G$9) + CHOOSE(CONTROL!$C$38, 0.0266, 0)</f>
        <v>56.955400000000004</v>
      </c>
      <c r="C786" s="10">
        <f>52.48 * CHOOSE(CONTROL!$C$15, $E$9, 100%, $G$9) + CHOOSE(CONTROL!$C$38, 0.0357, 0)</f>
        <v>52.515699999999995</v>
      </c>
      <c r="D786" s="10">
        <f>52.4722 * CHOOSE(CONTROL!$C$15, $E$9, 100%, $G$9) + CHOOSE(CONTROL!$C$38, 0.0357, 0)</f>
        <v>52.507899999999999</v>
      </c>
      <c r="E786" s="28">
        <f>56.7726 * CHOOSE(CONTROL!$C$15, $E$9, 100%, $G$9) + CHOOSE(CONTROL!$C$38, 0.0357, 0)</f>
        <v>56.808299999999996</v>
      </c>
      <c r="F786" s="27">
        <f>56.7726 * CHOOSE(CONTROL!$C$15, $E$9, 100%, $G$9) + CHOOSE(CONTROL!$C$38, 0.0266, 0)</f>
        <v>56.799199999999999</v>
      </c>
      <c r="G786" s="10">
        <f>52.4784 * CHOOSE(CONTROL!$C$15, $E$9, 100%, $G$9) + CHOOSE(CONTROL!$C$38, 0.0357, 0)</f>
        <v>52.514099999999999</v>
      </c>
      <c r="H786" s="10">
        <f>52.4784 * CHOOSE(CONTROL!$C$15, $E$9, 100%, $G$9) + CHOOSE(CONTROL!$C$38, 0.0357, 0)</f>
        <v>52.514099999999999</v>
      </c>
      <c r="I786" s="10">
        <f>52.48 * CHOOSE(CONTROL!$C$15, $E$9, 100%, $G$9) + CHOOSE(CONTROL!$C$38, 0.0357, 0)</f>
        <v>52.515699999999995</v>
      </c>
      <c r="J786" s="26">
        <f>393.8035</f>
        <v>393.80349999999999</v>
      </c>
    </row>
    <row r="787" spans="1:10" ht="15.75">
      <c r="A787" s="13">
        <v>65258</v>
      </c>
      <c r="B787" s="10">
        <f>57.0308 * CHOOSE(CONTROL!$C$15, $E$9, 100%, $G$9) + CHOOSE(CONTROL!$C$38, 0.0266, 0)</f>
        <v>57.057400000000001</v>
      </c>
      <c r="C787" s="10">
        <f>52.5819 * CHOOSE(CONTROL!$C$15, $E$9, 100%, $G$9) + CHOOSE(CONTROL!$C$38, 0.0357, 0)</f>
        <v>52.617599999999996</v>
      </c>
      <c r="D787" s="10">
        <f>52.5741 * CHOOSE(CONTROL!$C$15, $E$9, 100%, $G$9) + CHOOSE(CONTROL!$C$38, 0.0357, 0)</f>
        <v>52.6098</v>
      </c>
      <c r="E787" s="28">
        <f>56.8745 * CHOOSE(CONTROL!$C$15, $E$9, 100%, $G$9) + CHOOSE(CONTROL!$C$38, 0.0357, 0)</f>
        <v>56.910199999999996</v>
      </c>
      <c r="F787" s="27">
        <f>56.8745 * CHOOSE(CONTROL!$C$15, $E$9, 100%, $G$9) + CHOOSE(CONTROL!$C$38, 0.0266, 0)</f>
        <v>56.9011</v>
      </c>
      <c r="G787" s="10">
        <f>52.5803 * CHOOSE(CONTROL!$C$15, $E$9, 100%, $G$9) + CHOOSE(CONTROL!$C$38, 0.0357, 0)</f>
        <v>52.616</v>
      </c>
      <c r="H787" s="10">
        <f>52.5803 * CHOOSE(CONTROL!$C$15, $E$9, 100%, $G$9) + CHOOSE(CONTROL!$C$38, 0.0357, 0)</f>
        <v>52.616</v>
      </c>
      <c r="I787" s="10">
        <f>52.5819 * CHOOSE(CONTROL!$C$15, $E$9, 100%, $G$9) + CHOOSE(CONTROL!$C$38, 0.0357, 0)</f>
        <v>52.617599999999996</v>
      </c>
      <c r="J787" s="26">
        <f>384.6359</f>
        <v>384.63589999999999</v>
      </c>
    </row>
    <row r="788" spans="1:10" ht="15.75">
      <c r="A788" s="13">
        <v>65288</v>
      </c>
      <c r="B788" s="10">
        <f>57.3075 * CHOOSE(CONTROL!$C$15, $E$9, 100%, $G$9) + CHOOSE(CONTROL!$C$38, 0.0266, 0)</f>
        <v>57.334099999999999</v>
      </c>
      <c r="C788" s="10">
        <f>52.8587 * CHOOSE(CONTROL!$C$15, $E$9, 100%, $G$9) + CHOOSE(CONTROL!$C$38, 0.0357, 0)</f>
        <v>52.894399999999997</v>
      </c>
      <c r="D788" s="10">
        <f>52.8509 * CHOOSE(CONTROL!$C$15, $E$9, 100%, $G$9) + CHOOSE(CONTROL!$C$38, 0.0357, 0)</f>
        <v>52.886600000000001</v>
      </c>
      <c r="E788" s="28">
        <f>57.1513 * CHOOSE(CONTROL!$C$15, $E$9, 100%, $G$9) + CHOOSE(CONTROL!$C$38, 0.0357, 0)</f>
        <v>57.186999999999998</v>
      </c>
      <c r="F788" s="27">
        <f>57.1513 * CHOOSE(CONTROL!$C$15, $E$9, 100%, $G$9) + CHOOSE(CONTROL!$C$38, 0.0266, 0)</f>
        <v>57.177900000000001</v>
      </c>
      <c r="G788" s="10">
        <f>52.8571 * CHOOSE(CONTROL!$C$15, $E$9, 100%, $G$9) + CHOOSE(CONTROL!$C$38, 0.0357, 0)</f>
        <v>52.892800000000001</v>
      </c>
      <c r="H788" s="10">
        <f>52.8571 * CHOOSE(CONTROL!$C$15, $E$9, 100%, $G$9) + CHOOSE(CONTROL!$C$38, 0.0357, 0)</f>
        <v>52.892800000000001</v>
      </c>
      <c r="I788" s="10">
        <f>52.8587 * CHOOSE(CONTROL!$C$15, $E$9, 100%, $G$9) + CHOOSE(CONTROL!$C$38, 0.0357, 0)</f>
        <v>52.894399999999997</v>
      </c>
      <c r="J788" s="26">
        <f>371.8513</f>
        <v>371.85129999999998</v>
      </c>
    </row>
    <row r="789" spans="1:10" ht="15.75">
      <c r="A789" s="13">
        <v>65319</v>
      </c>
      <c r="B789" s="10">
        <f>57.5394 * CHOOSE(CONTROL!$C$15, $E$9, 100%, $G$9) + CHOOSE(CONTROL!$C$38, 0.0266, 0)</f>
        <v>57.566000000000003</v>
      </c>
      <c r="C789" s="10">
        <f>53.0905 * CHOOSE(CONTROL!$C$15, $E$9, 100%, $G$9) + CHOOSE(CONTROL!$C$38, 0.0357, 0)</f>
        <v>53.126199999999997</v>
      </c>
      <c r="D789" s="10">
        <f>53.0827 * CHOOSE(CONTROL!$C$15, $E$9, 100%, $G$9) + CHOOSE(CONTROL!$C$38, 0.0357, 0)</f>
        <v>53.118400000000001</v>
      </c>
      <c r="E789" s="28">
        <f>57.3831 * CHOOSE(CONTROL!$C$15, $E$9, 100%, $G$9) + CHOOSE(CONTROL!$C$38, 0.0357, 0)</f>
        <v>57.418799999999997</v>
      </c>
      <c r="F789" s="27">
        <f>57.3831 * CHOOSE(CONTROL!$C$15, $E$9, 100%, $G$9) + CHOOSE(CONTROL!$C$38, 0.0266, 0)</f>
        <v>57.409700000000001</v>
      </c>
      <c r="G789" s="10">
        <f>53.089 * CHOOSE(CONTROL!$C$15, $E$9, 100%, $G$9) + CHOOSE(CONTROL!$C$38, 0.0357, 0)</f>
        <v>53.124699999999997</v>
      </c>
      <c r="H789" s="10">
        <f>53.089 * CHOOSE(CONTROL!$C$15, $E$9, 100%, $G$9) + CHOOSE(CONTROL!$C$38, 0.0357, 0)</f>
        <v>53.124699999999997</v>
      </c>
      <c r="I789" s="10">
        <f>53.0905 * CHOOSE(CONTROL!$C$15, $E$9, 100%, $G$9) + CHOOSE(CONTROL!$C$38, 0.0357, 0)</f>
        <v>53.126199999999997</v>
      </c>
      <c r="J789" s="26">
        <f>358.9923</f>
        <v>358.9923</v>
      </c>
    </row>
    <row r="790" spans="1:10" ht="15.75">
      <c r="A790" s="13">
        <v>65349</v>
      </c>
      <c r="B790" s="10">
        <f>57.7328 * CHOOSE(CONTROL!$C$15, $E$9, 100%, $G$9) + CHOOSE(CONTROL!$C$38, 0.0266, 0)</f>
        <v>57.759399999999999</v>
      </c>
      <c r="C790" s="10">
        <f>53.284 * CHOOSE(CONTROL!$C$15, $E$9, 100%, $G$9) + CHOOSE(CONTROL!$C$38, 0.0357, 0)</f>
        <v>53.319699999999997</v>
      </c>
      <c r="D790" s="10">
        <f>53.2762 * CHOOSE(CONTROL!$C$15, $E$9, 100%, $G$9) + CHOOSE(CONTROL!$C$38, 0.0357, 0)</f>
        <v>53.311900000000001</v>
      </c>
      <c r="E790" s="28">
        <f>57.5766 * CHOOSE(CONTROL!$C$15, $E$9, 100%, $G$9) + CHOOSE(CONTROL!$C$38, 0.0357, 0)</f>
        <v>57.612299999999998</v>
      </c>
      <c r="F790" s="27">
        <f>57.5766 * CHOOSE(CONTROL!$C$15, $E$9, 100%, $G$9) + CHOOSE(CONTROL!$C$38, 0.0266, 0)</f>
        <v>57.603200000000001</v>
      </c>
      <c r="G790" s="10">
        <f>53.2824 * CHOOSE(CONTROL!$C$15, $E$9, 100%, $G$9) + CHOOSE(CONTROL!$C$38, 0.0357, 0)</f>
        <v>53.318100000000001</v>
      </c>
      <c r="H790" s="10">
        <f>53.2824 * CHOOSE(CONTROL!$C$15, $E$9, 100%, $G$9) + CHOOSE(CONTROL!$C$38, 0.0357, 0)</f>
        <v>53.318100000000001</v>
      </c>
      <c r="I790" s="10">
        <f>53.284 * CHOOSE(CONTROL!$C$15, $E$9, 100%, $G$9) + CHOOSE(CONTROL!$C$38, 0.0357, 0)</f>
        <v>53.319699999999997</v>
      </c>
      <c r="J790" s="26">
        <f>356.4343</f>
        <v>356.43430000000001</v>
      </c>
    </row>
    <row r="791" spans="1:10" ht="15.75">
      <c r="A791" s="13">
        <v>65380</v>
      </c>
      <c r="B791" s="10">
        <f>58.3289 * CHOOSE(CONTROL!$C$15, $E$9, 100%, $G$9) + CHOOSE(CONTROL!$C$38, 0.0266, 0)</f>
        <v>58.355499999999999</v>
      </c>
      <c r="C791" s="10">
        <f>53.88 * CHOOSE(CONTROL!$C$15, $E$9, 100%, $G$9) + CHOOSE(CONTROL!$C$38, 0.0357, 0)</f>
        <v>53.915700000000001</v>
      </c>
      <c r="D791" s="10">
        <f>53.8722 * CHOOSE(CONTROL!$C$15, $E$9, 100%, $G$9) + CHOOSE(CONTROL!$C$38, 0.0357, 0)</f>
        <v>53.907899999999998</v>
      </c>
      <c r="E791" s="28">
        <f>58.1726 * CHOOSE(CONTROL!$C$15, $E$9, 100%, $G$9) + CHOOSE(CONTROL!$C$38, 0.0357, 0)</f>
        <v>58.208300000000001</v>
      </c>
      <c r="F791" s="27">
        <f>58.1726 * CHOOSE(CONTROL!$C$15, $E$9, 100%, $G$9) + CHOOSE(CONTROL!$C$38, 0.0266, 0)</f>
        <v>58.199200000000005</v>
      </c>
      <c r="G791" s="10">
        <f>53.8785 * CHOOSE(CONTROL!$C$15, $E$9, 100%, $G$9) + CHOOSE(CONTROL!$C$38, 0.0357, 0)</f>
        <v>53.914200000000001</v>
      </c>
      <c r="H791" s="10">
        <f>53.8785 * CHOOSE(CONTROL!$C$15, $E$9, 100%, $G$9) + CHOOSE(CONTROL!$C$38, 0.0357, 0)</f>
        <v>53.914200000000001</v>
      </c>
      <c r="I791" s="10">
        <f>53.88 * CHOOSE(CONTROL!$C$15, $E$9, 100%, $G$9) + CHOOSE(CONTROL!$C$38, 0.0357, 0)</f>
        <v>53.915700000000001</v>
      </c>
      <c r="J791" s="26">
        <f>345.8571</f>
        <v>345.8571</v>
      </c>
    </row>
    <row r="792" spans="1:10" ht="15.75">
      <c r="A792" s="13">
        <v>65411</v>
      </c>
      <c r="B792" s="10">
        <f>59.8094 * CHOOSE(CONTROL!$C$15, $E$9, 100%, $G$9) + CHOOSE(CONTROL!$C$38, 0.0266, 0)</f>
        <v>59.835999999999999</v>
      </c>
      <c r="C792" s="10">
        <f>55.2847 * CHOOSE(CONTROL!$C$15, $E$9, 100%, $G$9) + CHOOSE(CONTROL!$C$38, 0.0357, 0)</f>
        <v>55.320399999999999</v>
      </c>
      <c r="D792" s="10">
        <f>55.2769 * CHOOSE(CONTROL!$C$15, $E$9, 100%, $G$9) + CHOOSE(CONTROL!$C$38, 0.0357, 0)</f>
        <v>55.312599999999996</v>
      </c>
      <c r="E792" s="28">
        <f>59.6532 * CHOOSE(CONTROL!$C$15, $E$9, 100%, $G$9) + CHOOSE(CONTROL!$C$38, 0.0357, 0)</f>
        <v>59.688899999999997</v>
      </c>
      <c r="F792" s="27">
        <f>59.6532 * CHOOSE(CONTROL!$C$15, $E$9, 100%, $G$9) + CHOOSE(CONTROL!$C$38, 0.0266, 0)</f>
        <v>59.6798</v>
      </c>
      <c r="G792" s="10">
        <f>55.2832 * CHOOSE(CONTROL!$C$15, $E$9, 100%, $G$9) + CHOOSE(CONTROL!$C$38, 0.0357, 0)</f>
        <v>55.318899999999999</v>
      </c>
      <c r="H792" s="10">
        <f>55.2832 * CHOOSE(CONTROL!$C$15, $E$9, 100%, $G$9) + CHOOSE(CONTROL!$C$38, 0.0357, 0)</f>
        <v>55.318899999999999</v>
      </c>
      <c r="I792" s="10">
        <f>55.2847 * CHOOSE(CONTROL!$C$15, $E$9, 100%, $G$9) + CHOOSE(CONTROL!$C$38, 0.0357, 0)</f>
        <v>55.320399999999999</v>
      </c>
      <c r="J792" s="26">
        <f>343.5404</f>
        <v>343.54039999999998</v>
      </c>
    </row>
    <row r="793" spans="1:10" ht="15.75">
      <c r="A793" s="13">
        <v>65439</v>
      </c>
      <c r="B793" s="10">
        <f>60.0302 * CHOOSE(CONTROL!$C$15, $E$9, 100%, $G$9) + CHOOSE(CONTROL!$C$38, 0.0266, 0)</f>
        <v>60.056800000000003</v>
      </c>
      <c r="C793" s="10">
        <f>55.5055 * CHOOSE(CONTROL!$C$15, $E$9, 100%, $G$9) + CHOOSE(CONTROL!$C$38, 0.0357, 0)</f>
        <v>55.541199999999996</v>
      </c>
      <c r="D793" s="10">
        <f>55.4977 * CHOOSE(CONTROL!$C$15, $E$9, 100%, $G$9) + CHOOSE(CONTROL!$C$38, 0.0357, 0)</f>
        <v>55.5334</v>
      </c>
      <c r="E793" s="28">
        <f>59.8739 * CHOOSE(CONTROL!$C$15, $E$9, 100%, $G$9) + CHOOSE(CONTROL!$C$38, 0.0357, 0)</f>
        <v>59.909599999999998</v>
      </c>
      <c r="F793" s="27">
        <f>59.8739 * CHOOSE(CONTROL!$C$15, $E$9, 100%, $G$9) + CHOOSE(CONTROL!$C$38, 0.0266, 0)</f>
        <v>59.900500000000001</v>
      </c>
      <c r="G793" s="10">
        <f>55.5039 * CHOOSE(CONTROL!$C$15, $E$9, 100%, $G$9) + CHOOSE(CONTROL!$C$38, 0.0357, 0)</f>
        <v>55.5396</v>
      </c>
      <c r="H793" s="10">
        <f>55.5039 * CHOOSE(CONTROL!$C$15, $E$9, 100%, $G$9) + CHOOSE(CONTROL!$C$38, 0.0357, 0)</f>
        <v>55.5396</v>
      </c>
      <c r="I793" s="10">
        <f>55.5055 * CHOOSE(CONTROL!$C$15, $E$9, 100%, $G$9) + CHOOSE(CONTROL!$C$38, 0.0357, 0)</f>
        <v>55.541199999999996</v>
      </c>
      <c r="J793" s="26">
        <f>342.5855</f>
        <v>342.58550000000002</v>
      </c>
    </row>
    <row r="794" spans="1:10" ht="15.75">
      <c r="A794" s="13">
        <v>65470</v>
      </c>
      <c r="B794" s="10">
        <f>59.5191 * CHOOSE(CONTROL!$C$15, $E$9, 100%, $G$9) + CHOOSE(CONTROL!$C$38, 0.0266, 0)</f>
        <v>59.545700000000004</v>
      </c>
      <c r="C794" s="10">
        <f>54.9944 * CHOOSE(CONTROL!$C$15, $E$9, 100%, $G$9) + CHOOSE(CONTROL!$C$38, 0.0357, 0)</f>
        <v>55.030099999999997</v>
      </c>
      <c r="D794" s="10">
        <f>54.9866 * CHOOSE(CONTROL!$C$15, $E$9, 100%, $G$9) + CHOOSE(CONTROL!$C$38, 0.0357, 0)</f>
        <v>55.022300000000001</v>
      </c>
      <c r="E794" s="28">
        <f>59.3629 * CHOOSE(CONTROL!$C$15, $E$9, 100%, $G$9) + CHOOSE(CONTROL!$C$38, 0.0357, 0)</f>
        <v>59.398600000000002</v>
      </c>
      <c r="F794" s="27">
        <f>59.3629 * CHOOSE(CONTROL!$C$15, $E$9, 100%, $G$9) + CHOOSE(CONTROL!$C$38, 0.0266, 0)</f>
        <v>59.389500000000005</v>
      </c>
      <c r="G794" s="10">
        <f>54.9929 * CHOOSE(CONTROL!$C$15, $E$9, 100%, $G$9) + CHOOSE(CONTROL!$C$38, 0.0357, 0)</f>
        <v>55.028599999999997</v>
      </c>
      <c r="H794" s="10">
        <f>54.9929 * CHOOSE(CONTROL!$C$15, $E$9, 100%, $G$9) + CHOOSE(CONTROL!$C$38, 0.0357, 0)</f>
        <v>55.028599999999997</v>
      </c>
      <c r="I794" s="10">
        <f>54.9944 * CHOOSE(CONTROL!$C$15, $E$9, 100%, $G$9) + CHOOSE(CONTROL!$C$38, 0.0357, 0)</f>
        <v>55.030099999999997</v>
      </c>
      <c r="J794" s="26">
        <f>360.6417</f>
        <v>360.64170000000001</v>
      </c>
    </row>
    <row r="795" spans="1:10" ht="15.75">
      <c r="A795" s="13">
        <v>65500</v>
      </c>
      <c r="B795" s="10">
        <f>59.024 * CHOOSE(CONTROL!$C$15, $E$9, 100%, $G$9) + CHOOSE(CONTROL!$C$38, 0.0266, 0)</f>
        <v>59.050600000000003</v>
      </c>
      <c r="C795" s="10">
        <f>54.4993 * CHOOSE(CONTROL!$C$15, $E$9, 100%, $G$9) + CHOOSE(CONTROL!$C$38, 0.0357, 0)</f>
        <v>54.534999999999997</v>
      </c>
      <c r="D795" s="10">
        <f>54.4915 * CHOOSE(CONTROL!$C$15, $E$9, 100%, $G$9) + CHOOSE(CONTROL!$C$38, 0.0357, 0)</f>
        <v>54.527200000000001</v>
      </c>
      <c r="E795" s="28">
        <f>58.8677 * CHOOSE(CONTROL!$C$15, $E$9, 100%, $G$9) + CHOOSE(CONTROL!$C$38, 0.0357, 0)</f>
        <v>58.903399999999998</v>
      </c>
      <c r="F795" s="27">
        <f>58.8677 * CHOOSE(CONTROL!$C$15, $E$9, 100%, $G$9) + CHOOSE(CONTROL!$C$38, 0.0266, 0)</f>
        <v>58.894300000000001</v>
      </c>
      <c r="G795" s="10">
        <f>54.4977 * CHOOSE(CONTROL!$C$15, $E$9, 100%, $G$9) + CHOOSE(CONTROL!$C$38, 0.0357, 0)</f>
        <v>54.5334</v>
      </c>
      <c r="H795" s="10">
        <f>54.4977 * CHOOSE(CONTROL!$C$15, $E$9, 100%, $G$9) + CHOOSE(CONTROL!$C$38, 0.0357, 0)</f>
        <v>54.5334</v>
      </c>
      <c r="I795" s="10">
        <f>54.4993 * CHOOSE(CONTROL!$C$15, $E$9, 100%, $G$9) + CHOOSE(CONTROL!$C$38, 0.0357, 0)</f>
        <v>54.534999999999997</v>
      </c>
      <c r="J795" s="26">
        <f>384.0563</f>
        <v>384.05630000000002</v>
      </c>
    </row>
    <row r="796" spans="1:10" ht="15.75">
      <c r="A796" s="13">
        <v>65531</v>
      </c>
      <c r="B796" s="10">
        <f>58.5078 * CHOOSE(CONTROL!$C$15, $E$9, 100%, $G$9) + CHOOSE(CONTROL!$C$38, 0.0266, 0)</f>
        <v>58.534400000000005</v>
      </c>
      <c r="C796" s="10">
        <f>53.9831 * CHOOSE(CONTROL!$C$15, $E$9, 100%, $G$9) + CHOOSE(CONTROL!$C$38, 0.0357, 0)</f>
        <v>54.018799999999999</v>
      </c>
      <c r="D796" s="10">
        <f>53.9753 * CHOOSE(CONTROL!$C$15, $E$9, 100%, $G$9) + CHOOSE(CONTROL!$C$38, 0.0357, 0)</f>
        <v>54.010999999999996</v>
      </c>
      <c r="E796" s="28">
        <f>58.3516 * CHOOSE(CONTROL!$C$15, $E$9, 100%, $G$9) + CHOOSE(CONTROL!$C$38, 0.0357, 0)</f>
        <v>58.387299999999996</v>
      </c>
      <c r="F796" s="27">
        <f>58.3516 * CHOOSE(CONTROL!$C$15, $E$9, 100%, $G$9) + CHOOSE(CONTROL!$C$38, 0.0266, 0)</f>
        <v>58.3782</v>
      </c>
      <c r="G796" s="10">
        <f>53.9816 * CHOOSE(CONTROL!$C$15, $E$9, 100%, $G$9) + CHOOSE(CONTROL!$C$38, 0.0357, 0)</f>
        <v>54.017299999999999</v>
      </c>
      <c r="H796" s="10">
        <f>53.9816 * CHOOSE(CONTROL!$C$15, $E$9, 100%, $G$9) + CHOOSE(CONTROL!$C$38, 0.0357, 0)</f>
        <v>54.017299999999999</v>
      </c>
      <c r="I796" s="10">
        <f>53.9831 * CHOOSE(CONTROL!$C$15, $E$9, 100%, $G$9) + CHOOSE(CONTROL!$C$38, 0.0357, 0)</f>
        <v>54.018799999999999</v>
      </c>
      <c r="J796" s="26">
        <f>396.9445</f>
        <v>396.94450000000001</v>
      </c>
    </row>
    <row r="797" spans="1:10" ht="15.75">
      <c r="A797" s="13">
        <v>65561</v>
      </c>
      <c r="B797" s="10">
        <f>58.146 * CHOOSE(CONTROL!$C$15, $E$9, 100%, $G$9) + CHOOSE(CONTROL!$C$38, 0.0266, 0)</f>
        <v>58.172600000000003</v>
      </c>
      <c r="C797" s="10">
        <f>53.6213 * CHOOSE(CONTROL!$C$15, $E$9, 100%, $G$9) + CHOOSE(CONTROL!$C$38, 0.0357, 0)</f>
        <v>53.656999999999996</v>
      </c>
      <c r="D797" s="10">
        <f>53.6135 * CHOOSE(CONTROL!$C$15, $E$9, 100%, $G$9) + CHOOSE(CONTROL!$C$38, 0.0357, 0)</f>
        <v>53.6492</v>
      </c>
      <c r="E797" s="28">
        <f>57.9898 * CHOOSE(CONTROL!$C$15, $E$9, 100%, $G$9) + CHOOSE(CONTROL!$C$38, 0.0357, 0)</f>
        <v>58.025500000000001</v>
      </c>
      <c r="F797" s="27">
        <f>57.9898 * CHOOSE(CONTROL!$C$15, $E$9, 100%, $G$9) + CHOOSE(CONTROL!$C$38, 0.0266, 0)</f>
        <v>58.016400000000004</v>
      </c>
      <c r="G797" s="10">
        <f>53.6198 * CHOOSE(CONTROL!$C$15, $E$9, 100%, $G$9) + CHOOSE(CONTROL!$C$38, 0.0357, 0)</f>
        <v>53.655499999999996</v>
      </c>
      <c r="H797" s="10">
        <f>53.6198 * CHOOSE(CONTROL!$C$15, $E$9, 100%, $G$9) + CHOOSE(CONTROL!$C$38, 0.0357, 0)</f>
        <v>53.655499999999996</v>
      </c>
      <c r="I797" s="10">
        <f>53.6213 * CHOOSE(CONTROL!$C$15, $E$9, 100%, $G$9) + CHOOSE(CONTROL!$C$38, 0.0357, 0)</f>
        <v>53.656999999999996</v>
      </c>
      <c r="J797" s="26">
        <f>402.6641</f>
        <v>402.66410000000002</v>
      </c>
    </row>
    <row r="798" spans="1:10" ht="15.75">
      <c r="A798" s="13">
        <v>65592</v>
      </c>
      <c r="B798" s="10">
        <f>57.9395 * CHOOSE(CONTROL!$C$15, $E$9, 100%, $G$9) + CHOOSE(CONTROL!$C$38, 0.0266, 0)</f>
        <v>57.966100000000004</v>
      </c>
      <c r="C798" s="10">
        <f>53.4148 * CHOOSE(CONTROL!$C$15, $E$9, 100%, $G$9) + CHOOSE(CONTROL!$C$38, 0.0357, 0)</f>
        <v>53.450499999999998</v>
      </c>
      <c r="D798" s="10">
        <f>53.407 * CHOOSE(CONTROL!$C$15, $E$9, 100%, $G$9) + CHOOSE(CONTROL!$C$38, 0.0357, 0)</f>
        <v>53.442699999999995</v>
      </c>
      <c r="E798" s="28">
        <f>57.7833 * CHOOSE(CONTROL!$C$15, $E$9, 100%, $G$9) + CHOOSE(CONTROL!$C$38, 0.0357, 0)</f>
        <v>57.818999999999996</v>
      </c>
      <c r="F798" s="27">
        <f>57.7833 * CHOOSE(CONTROL!$C$15, $E$9, 100%, $G$9) + CHOOSE(CONTROL!$C$38, 0.0266, 0)</f>
        <v>57.809899999999999</v>
      </c>
      <c r="G798" s="10">
        <f>53.4133 * CHOOSE(CONTROL!$C$15, $E$9, 100%, $G$9) + CHOOSE(CONTROL!$C$38, 0.0357, 0)</f>
        <v>53.448999999999998</v>
      </c>
      <c r="H798" s="10">
        <f>53.4133 * CHOOSE(CONTROL!$C$15, $E$9, 100%, $G$9) + CHOOSE(CONTROL!$C$38, 0.0357, 0)</f>
        <v>53.448999999999998</v>
      </c>
      <c r="I798" s="10">
        <f>53.4148 * CHOOSE(CONTROL!$C$15, $E$9, 100%, $G$9) + CHOOSE(CONTROL!$C$38, 0.0357, 0)</f>
        <v>53.450499999999998</v>
      </c>
      <c r="J798" s="26">
        <f>400.7809</f>
        <v>400.78089999999997</v>
      </c>
    </row>
    <row r="799" spans="1:10" ht="15.75">
      <c r="A799" s="13">
        <v>65623</v>
      </c>
      <c r="B799" s="10">
        <f>58.0414 * CHOOSE(CONTROL!$C$15, $E$9, 100%, $G$9) + CHOOSE(CONTROL!$C$38, 0.0266, 0)</f>
        <v>58.068000000000005</v>
      </c>
      <c r="C799" s="10">
        <f>53.5167 * CHOOSE(CONTROL!$C$15, $E$9, 100%, $G$9) + CHOOSE(CONTROL!$C$38, 0.0357, 0)</f>
        <v>53.552399999999999</v>
      </c>
      <c r="D799" s="10">
        <f>53.5089 * CHOOSE(CONTROL!$C$15, $E$9, 100%, $G$9) + CHOOSE(CONTROL!$C$38, 0.0357, 0)</f>
        <v>53.544599999999996</v>
      </c>
      <c r="E799" s="28">
        <f>57.8852 * CHOOSE(CONTROL!$C$15, $E$9, 100%, $G$9) + CHOOSE(CONTROL!$C$38, 0.0357, 0)</f>
        <v>57.920899999999996</v>
      </c>
      <c r="F799" s="27">
        <f>57.8852 * CHOOSE(CONTROL!$C$15, $E$9, 100%, $G$9) + CHOOSE(CONTROL!$C$38, 0.0266, 0)</f>
        <v>57.911799999999999</v>
      </c>
      <c r="G799" s="10">
        <f>53.5152 * CHOOSE(CONTROL!$C$15, $E$9, 100%, $G$9) + CHOOSE(CONTROL!$C$38, 0.0357, 0)</f>
        <v>53.550899999999999</v>
      </c>
      <c r="H799" s="10">
        <f>53.5152 * CHOOSE(CONTROL!$C$15, $E$9, 100%, $G$9) + CHOOSE(CONTROL!$C$38, 0.0357, 0)</f>
        <v>53.550899999999999</v>
      </c>
      <c r="I799" s="10">
        <f>53.5167 * CHOOSE(CONTROL!$C$15, $E$9, 100%, $G$9) + CHOOSE(CONTROL!$C$38, 0.0357, 0)</f>
        <v>53.552399999999999</v>
      </c>
      <c r="J799" s="26">
        <f>391.4509</f>
        <v>391.45089999999999</v>
      </c>
    </row>
    <row r="800" spans="1:10" ht="15.75">
      <c r="A800" s="13">
        <v>65653</v>
      </c>
      <c r="B800" s="10">
        <f>58.3182 * CHOOSE(CONTROL!$C$15, $E$9, 100%, $G$9) + CHOOSE(CONTROL!$C$38, 0.0266, 0)</f>
        <v>58.344799999999999</v>
      </c>
      <c r="C800" s="10">
        <f>53.7935 * CHOOSE(CONTROL!$C$15, $E$9, 100%, $G$9) + CHOOSE(CONTROL!$C$38, 0.0357, 0)</f>
        <v>53.8292</v>
      </c>
      <c r="D800" s="10">
        <f>53.7857 * CHOOSE(CONTROL!$C$15, $E$9, 100%, $G$9) + CHOOSE(CONTROL!$C$38, 0.0357, 0)</f>
        <v>53.821399999999997</v>
      </c>
      <c r="E800" s="28">
        <f>58.162 * CHOOSE(CONTROL!$C$15, $E$9, 100%, $G$9) + CHOOSE(CONTROL!$C$38, 0.0357, 0)</f>
        <v>58.197699999999998</v>
      </c>
      <c r="F800" s="27">
        <f>58.162 * CHOOSE(CONTROL!$C$15, $E$9, 100%, $G$9) + CHOOSE(CONTROL!$C$38, 0.0266, 0)</f>
        <v>58.188600000000001</v>
      </c>
      <c r="G800" s="10">
        <f>53.792 * CHOOSE(CONTROL!$C$15, $E$9, 100%, $G$9) + CHOOSE(CONTROL!$C$38, 0.0357, 0)</f>
        <v>53.8277</v>
      </c>
      <c r="H800" s="10">
        <f>53.792 * CHOOSE(CONTROL!$C$15, $E$9, 100%, $G$9) + CHOOSE(CONTROL!$C$38, 0.0357, 0)</f>
        <v>53.8277</v>
      </c>
      <c r="I800" s="10">
        <f>53.7935 * CHOOSE(CONTROL!$C$15, $E$9, 100%, $G$9) + CHOOSE(CONTROL!$C$38, 0.0357, 0)</f>
        <v>53.8292</v>
      </c>
      <c r="J800" s="26">
        <f>378.4398</f>
        <v>378.43979999999999</v>
      </c>
    </row>
    <row r="801" spans="1:10" ht="15.75">
      <c r="A801" s="13">
        <v>65684</v>
      </c>
      <c r="B801" s="10">
        <f>58.55 * CHOOSE(CONTROL!$C$15, $E$9, 100%, $G$9) + CHOOSE(CONTROL!$C$38, 0.0266, 0)</f>
        <v>58.576599999999999</v>
      </c>
      <c r="C801" s="10">
        <f>54.0254 * CHOOSE(CONTROL!$C$15, $E$9, 100%, $G$9) + CHOOSE(CONTROL!$C$38, 0.0357, 0)</f>
        <v>54.061099999999996</v>
      </c>
      <c r="D801" s="10">
        <f>54.0175 * CHOOSE(CONTROL!$C$15, $E$9, 100%, $G$9) + CHOOSE(CONTROL!$C$38, 0.0357, 0)</f>
        <v>54.053199999999997</v>
      </c>
      <c r="E801" s="28">
        <f>58.3938 * CHOOSE(CONTROL!$C$15, $E$9, 100%, $G$9) + CHOOSE(CONTROL!$C$38, 0.0357, 0)</f>
        <v>58.429499999999997</v>
      </c>
      <c r="F801" s="27">
        <f>58.3938 * CHOOSE(CONTROL!$C$15, $E$9, 100%, $G$9) + CHOOSE(CONTROL!$C$38, 0.0266, 0)</f>
        <v>58.420400000000001</v>
      </c>
      <c r="G801" s="10">
        <f>54.0238 * CHOOSE(CONTROL!$C$15, $E$9, 100%, $G$9) + CHOOSE(CONTROL!$C$38, 0.0357, 0)</f>
        <v>54.0595</v>
      </c>
      <c r="H801" s="10">
        <f>54.0238 * CHOOSE(CONTROL!$C$15, $E$9, 100%, $G$9) + CHOOSE(CONTROL!$C$38, 0.0357, 0)</f>
        <v>54.0595</v>
      </c>
      <c r="I801" s="10">
        <f>54.0254 * CHOOSE(CONTROL!$C$15, $E$9, 100%, $G$9) + CHOOSE(CONTROL!$C$38, 0.0357, 0)</f>
        <v>54.061099999999996</v>
      </c>
      <c r="J801" s="26">
        <f>365.3529</f>
        <v>365.35289999999998</v>
      </c>
    </row>
    <row r="802" spans="1:10" ht="15.75">
      <c r="A802" s="13">
        <v>65714</v>
      </c>
      <c r="B802" s="10">
        <f>58.7435 * CHOOSE(CONTROL!$C$15, $E$9, 100%, $G$9) + CHOOSE(CONTROL!$C$38, 0.0266, 0)</f>
        <v>58.770099999999999</v>
      </c>
      <c r="C802" s="10">
        <f>54.2188 * CHOOSE(CONTROL!$C$15, $E$9, 100%, $G$9) + CHOOSE(CONTROL!$C$38, 0.0357, 0)</f>
        <v>54.2545</v>
      </c>
      <c r="D802" s="10">
        <f>54.211 * CHOOSE(CONTROL!$C$15, $E$9, 100%, $G$9) + CHOOSE(CONTROL!$C$38, 0.0357, 0)</f>
        <v>54.246699999999997</v>
      </c>
      <c r="E802" s="28">
        <f>58.5872 * CHOOSE(CONTROL!$C$15, $E$9, 100%, $G$9) + CHOOSE(CONTROL!$C$38, 0.0357, 0)</f>
        <v>58.622900000000001</v>
      </c>
      <c r="F802" s="27">
        <f>58.5872 * CHOOSE(CONTROL!$C$15, $E$9, 100%, $G$9) + CHOOSE(CONTROL!$C$38, 0.0266, 0)</f>
        <v>58.613800000000005</v>
      </c>
      <c r="G802" s="10">
        <f>54.2172 * CHOOSE(CONTROL!$C$15, $E$9, 100%, $G$9) + CHOOSE(CONTROL!$C$38, 0.0357, 0)</f>
        <v>54.252899999999997</v>
      </c>
      <c r="H802" s="10">
        <f>54.2172 * CHOOSE(CONTROL!$C$15, $E$9, 100%, $G$9) + CHOOSE(CONTROL!$C$38, 0.0357, 0)</f>
        <v>54.252899999999997</v>
      </c>
      <c r="I802" s="10">
        <f>54.2188 * CHOOSE(CONTROL!$C$15, $E$9, 100%, $G$9) + CHOOSE(CONTROL!$C$38, 0.0357, 0)</f>
        <v>54.2545</v>
      </c>
      <c r="J802" s="26">
        <f>362.7497</f>
        <v>362.74970000000002</v>
      </c>
    </row>
    <row r="803" spans="1:10" ht="15.75">
      <c r="A803" s="13">
        <v>65745</v>
      </c>
      <c r="B803" s="10">
        <f>59.3396 * CHOOSE(CONTROL!$C$15, $E$9, 100%, $G$9) + CHOOSE(CONTROL!$C$38, 0.0266, 0)</f>
        <v>59.366199999999999</v>
      </c>
      <c r="C803" s="10">
        <f>54.8149 * CHOOSE(CONTROL!$C$15, $E$9, 100%, $G$9) + CHOOSE(CONTROL!$C$38, 0.0357, 0)</f>
        <v>54.8506</v>
      </c>
      <c r="D803" s="10">
        <f>54.8071 * CHOOSE(CONTROL!$C$15, $E$9, 100%, $G$9) + CHOOSE(CONTROL!$C$38, 0.0357, 0)</f>
        <v>54.842799999999997</v>
      </c>
      <c r="E803" s="28">
        <f>59.1833 * CHOOSE(CONTROL!$C$15, $E$9, 100%, $G$9) + CHOOSE(CONTROL!$C$38, 0.0357, 0)</f>
        <v>59.219000000000001</v>
      </c>
      <c r="F803" s="27">
        <f>59.1833 * CHOOSE(CONTROL!$C$15, $E$9, 100%, $G$9) + CHOOSE(CONTROL!$C$38, 0.0266, 0)</f>
        <v>59.209900000000005</v>
      </c>
      <c r="G803" s="10">
        <f>54.8133 * CHOOSE(CONTROL!$C$15, $E$9, 100%, $G$9) + CHOOSE(CONTROL!$C$38, 0.0357, 0)</f>
        <v>54.848999999999997</v>
      </c>
      <c r="H803" s="10">
        <f>54.8133 * CHOOSE(CONTROL!$C$15, $E$9, 100%, $G$9) + CHOOSE(CONTROL!$C$38, 0.0357, 0)</f>
        <v>54.848999999999997</v>
      </c>
      <c r="I803" s="10">
        <f>54.8149 * CHOOSE(CONTROL!$C$15, $E$9, 100%, $G$9) + CHOOSE(CONTROL!$C$38, 0.0357, 0)</f>
        <v>54.8506</v>
      </c>
      <c r="J803" s="26">
        <f>351.9851</f>
        <v>351.98509999999999</v>
      </c>
    </row>
    <row r="804" spans="1:10" ht="15.75">
      <c r="A804" s="13">
        <v>65776</v>
      </c>
      <c r="B804" s="10">
        <f>60.8379 * CHOOSE(CONTROL!$C$15, $E$9, 100%, $G$9) + CHOOSE(CONTROL!$C$38, 0.0266, 0)</f>
        <v>60.8645</v>
      </c>
      <c r="C804" s="10">
        <f>56.2361 * CHOOSE(CONTROL!$C$15, $E$9, 100%, $G$9) + CHOOSE(CONTROL!$C$38, 0.0357, 0)</f>
        <v>56.271799999999999</v>
      </c>
      <c r="D804" s="10">
        <f>56.2283 * CHOOSE(CONTROL!$C$15, $E$9, 100%, $G$9) + CHOOSE(CONTROL!$C$38, 0.0357, 0)</f>
        <v>56.263999999999996</v>
      </c>
      <c r="E804" s="28">
        <f>60.6817 * CHOOSE(CONTROL!$C$15, $E$9, 100%, $G$9) + CHOOSE(CONTROL!$C$38, 0.0357, 0)</f>
        <v>60.717399999999998</v>
      </c>
      <c r="F804" s="27">
        <f>60.6817 * CHOOSE(CONTROL!$C$15, $E$9, 100%, $G$9) + CHOOSE(CONTROL!$C$38, 0.0266, 0)</f>
        <v>60.708300000000001</v>
      </c>
      <c r="G804" s="10">
        <f>56.2345 * CHOOSE(CONTROL!$C$15, $E$9, 100%, $G$9) + CHOOSE(CONTROL!$C$38, 0.0357, 0)</f>
        <v>56.270199999999996</v>
      </c>
      <c r="H804" s="10">
        <f>56.2345 * CHOOSE(CONTROL!$C$15, $E$9, 100%, $G$9) + CHOOSE(CONTROL!$C$38, 0.0357, 0)</f>
        <v>56.270199999999996</v>
      </c>
      <c r="I804" s="10">
        <f>56.2361 * CHOOSE(CONTROL!$C$15, $E$9, 100%, $G$9) + CHOOSE(CONTROL!$C$38, 0.0357, 0)</f>
        <v>56.271799999999999</v>
      </c>
      <c r="J804" s="26">
        <f>349.6273</f>
        <v>349.62729999999999</v>
      </c>
    </row>
    <row r="805" spans="1:10" ht="15.75">
      <c r="A805" s="13">
        <v>65805</v>
      </c>
      <c r="B805" s="10">
        <f>61.0587 * CHOOSE(CONTROL!$C$15, $E$9, 100%, $G$9) + CHOOSE(CONTROL!$C$38, 0.0266, 0)</f>
        <v>61.085300000000004</v>
      </c>
      <c r="C805" s="10">
        <f>56.4568 * CHOOSE(CONTROL!$C$15, $E$9, 100%, $G$9) + CHOOSE(CONTROL!$C$38, 0.0357, 0)</f>
        <v>56.4925</v>
      </c>
      <c r="D805" s="10">
        <f>56.449 * CHOOSE(CONTROL!$C$15, $E$9, 100%, $G$9) + CHOOSE(CONTROL!$C$38, 0.0357, 0)</f>
        <v>56.484699999999997</v>
      </c>
      <c r="E805" s="28">
        <f>60.9024 * CHOOSE(CONTROL!$C$15, $E$9, 100%, $G$9) + CHOOSE(CONTROL!$C$38, 0.0357, 0)</f>
        <v>60.938099999999999</v>
      </c>
      <c r="F805" s="27">
        <f>60.9024 * CHOOSE(CONTROL!$C$15, $E$9, 100%, $G$9) + CHOOSE(CONTROL!$C$38, 0.0266, 0)</f>
        <v>60.929000000000002</v>
      </c>
      <c r="G805" s="10">
        <f>56.4553 * CHOOSE(CONTROL!$C$15, $E$9, 100%, $G$9) + CHOOSE(CONTROL!$C$38, 0.0357, 0)</f>
        <v>56.491</v>
      </c>
      <c r="H805" s="10">
        <f>56.4553 * CHOOSE(CONTROL!$C$15, $E$9, 100%, $G$9) + CHOOSE(CONTROL!$C$38, 0.0357, 0)</f>
        <v>56.491</v>
      </c>
      <c r="I805" s="10">
        <f>56.4568 * CHOOSE(CONTROL!$C$15, $E$9, 100%, $G$9) + CHOOSE(CONTROL!$C$38, 0.0357, 0)</f>
        <v>56.4925</v>
      </c>
      <c r="J805" s="26">
        <f>348.6555</f>
        <v>348.65550000000002</v>
      </c>
    </row>
    <row r="806" spans="1:10" ht="15.75">
      <c r="A806" s="13">
        <v>65836</v>
      </c>
      <c r="B806" s="10">
        <f>60.5477 * CHOOSE(CONTROL!$C$15, $E$9, 100%, $G$9) + CHOOSE(CONTROL!$C$38, 0.0266, 0)</f>
        <v>60.574300000000001</v>
      </c>
      <c r="C806" s="10">
        <f>55.9458 * CHOOSE(CONTROL!$C$15, $E$9, 100%, $G$9) + CHOOSE(CONTROL!$C$38, 0.0357, 0)</f>
        <v>55.981499999999997</v>
      </c>
      <c r="D806" s="10">
        <f>55.938 * CHOOSE(CONTROL!$C$15, $E$9, 100%, $G$9) + CHOOSE(CONTROL!$C$38, 0.0357, 0)</f>
        <v>55.973700000000001</v>
      </c>
      <c r="E806" s="28">
        <f>60.3914 * CHOOSE(CONTROL!$C$15, $E$9, 100%, $G$9) + CHOOSE(CONTROL!$C$38, 0.0357, 0)</f>
        <v>60.427099999999996</v>
      </c>
      <c r="F806" s="27">
        <f>60.3914 * CHOOSE(CONTROL!$C$15, $E$9, 100%, $G$9) + CHOOSE(CONTROL!$C$38, 0.0266, 0)</f>
        <v>60.417999999999999</v>
      </c>
      <c r="G806" s="10">
        <f>55.9442 * CHOOSE(CONTROL!$C$15, $E$9, 100%, $G$9) + CHOOSE(CONTROL!$C$38, 0.0357, 0)</f>
        <v>55.979900000000001</v>
      </c>
      <c r="H806" s="10">
        <f>55.9442 * CHOOSE(CONTROL!$C$15, $E$9, 100%, $G$9) + CHOOSE(CONTROL!$C$38, 0.0357, 0)</f>
        <v>55.979900000000001</v>
      </c>
      <c r="I806" s="10">
        <f>55.9458 * CHOOSE(CONTROL!$C$15, $E$9, 100%, $G$9) + CHOOSE(CONTROL!$C$38, 0.0357, 0)</f>
        <v>55.981499999999997</v>
      </c>
      <c r="J806" s="26">
        <f>367.0316</f>
        <v>367.03160000000003</v>
      </c>
    </row>
    <row r="807" spans="1:10" ht="15.75">
      <c r="A807" s="13">
        <v>65866</v>
      </c>
      <c r="B807" s="10">
        <f>60.0525 * CHOOSE(CONTROL!$C$15, $E$9, 100%, $G$9) + CHOOSE(CONTROL!$C$38, 0.0266, 0)</f>
        <v>60.079100000000004</v>
      </c>
      <c r="C807" s="10">
        <f>55.4506 * CHOOSE(CONTROL!$C$15, $E$9, 100%, $G$9) + CHOOSE(CONTROL!$C$38, 0.0357, 0)</f>
        <v>55.4863</v>
      </c>
      <c r="D807" s="10">
        <f>55.4428 * CHOOSE(CONTROL!$C$15, $E$9, 100%, $G$9) + CHOOSE(CONTROL!$C$38, 0.0357, 0)</f>
        <v>55.478499999999997</v>
      </c>
      <c r="E807" s="28">
        <f>59.8962 * CHOOSE(CONTROL!$C$15, $E$9, 100%, $G$9) + CHOOSE(CONTROL!$C$38, 0.0357, 0)</f>
        <v>59.931899999999999</v>
      </c>
      <c r="F807" s="27">
        <f>59.8962 * CHOOSE(CONTROL!$C$15, $E$9, 100%, $G$9) + CHOOSE(CONTROL!$C$38, 0.0266, 0)</f>
        <v>59.922800000000002</v>
      </c>
      <c r="G807" s="10">
        <f>55.4491 * CHOOSE(CONTROL!$C$15, $E$9, 100%, $G$9) + CHOOSE(CONTROL!$C$38, 0.0357, 0)</f>
        <v>55.4848</v>
      </c>
      <c r="H807" s="10">
        <f>55.4491 * CHOOSE(CONTROL!$C$15, $E$9, 100%, $G$9) + CHOOSE(CONTROL!$C$38, 0.0357, 0)</f>
        <v>55.4848</v>
      </c>
      <c r="I807" s="10">
        <f>55.4506 * CHOOSE(CONTROL!$C$15, $E$9, 100%, $G$9) + CHOOSE(CONTROL!$C$38, 0.0357, 0)</f>
        <v>55.4863</v>
      </c>
      <c r="J807" s="26">
        <f>390.8611</f>
        <v>390.86110000000002</v>
      </c>
    </row>
    <row r="808" spans="1:10" ht="15.75">
      <c r="A808" s="13">
        <v>65897</v>
      </c>
      <c r="B808" s="10">
        <f>59.5364 * CHOOSE(CONTROL!$C$15, $E$9, 100%, $G$9) + CHOOSE(CONTROL!$C$38, 0.0266, 0)</f>
        <v>59.563000000000002</v>
      </c>
      <c r="C808" s="10">
        <f>54.9345 * CHOOSE(CONTROL!$C$15, $E$9, 100%, $G$9) + CHOOSE(CONTROL!$C$38, 0.0357, 0)</f>
        <v>54.970199999999998</v>
      </c>
      <c r="D808" s="10">
        <f>54.9267 * CHOOSE(CONTROL!$C$15, $E$9, 100%, $G$9) + CHOOSE(CONTROL!$C$38, 0.0357, 0)</f>
        <v>54.962399999999995</v>
      </c>
      <c r="E808" s="28">
        <f>59.3801 * CHOOSE(CONTROL!$C$15, $E$9, 100%, $G$9) + CHOOSE(CONTROL!$C$38, 0.0357, 0)</f>
        <v>59.415799999999997</v>
      </c>
      <c r="F808" s="27">
        <f>59.3801 * CHOOSE(CONTROL!$C$15, $E$9, 100%, $G$9) + CHOOSE(CONTROL!$C$38, 0.0266, 0)</f>
        <v>59.406700000000001</v>
      </c>
      <c r="G808" s="10">
        <f>54.9329 * CHOOSE(CONTROL!$C$15, $E$9, 100%, $G$9) + CHOOSE(CONTROL!$C$38, 0.0357, 0)</f>
        <v>54.968599999999995</v>
      </c>
      <c r="H808" s="10">
        <f>54.9329 * CHOOSE(CONTROL!$C$15, $E$9, 100%, $G$9) + CHOOSE(CONTROL!$C$38, 0.0357, 0)</f>
        <v>54.968599999999995</v>
      </c>
      <c r="I808" s="10">
        <f>54.9345 * CHOOSE(CONTROL!$C$15, $E$9, 100%, $G$9) + CHOOSE(CONTROL!$C$38, 0.0357, 0)</f>
        <v>54.970199999999998</v>
      </c>
      <c r="J808" s="26">
        <f>403.9776</f>
        <v>403.9776</v>
      </c>
    </row>
    <row r="809" spans="1:10" ht="15.75">
      <c r="A809" s="13">
        <v>65927</v>
      </c>
      <c r="B809" s="10">
        <f>59.1745 * CHOOSE(CONTROL!$C$15, $E$9, 100%, $G$9) + CHOOSE(CONTROL!$C$38, 0.0266, 0)</f>
        <v>59.201100000000004</v>
      </c>
      <c r="C809" s="10">
        <f>54.5727 * CHOOSE(CONTROL!$C$15, $E$9, 100%, $G$9) + CHOOSE(CONTROL!$C$38, 0.0357, 0)</f>
        <v>54.608399999999996</v>
      </c>
      <c r="D809" s="10">
        <f>54.5649 * CHOOSE(CONTROL!$C$15, $E$9, 100%, $G$9) + CHOOSE(CONTROL!$C$38, 0.0357, 0)</f>
        <v>54.6006</v>
      </c>
      <c r="E809" s="28">
        <f>59.0183 * CHOOSE(CONTROL!$C$15, $E$9, 100%, $G$9) + CHOOSE(CONTROL!$C$38, 0.0357, 0)</f>
        <v>59.054000000000002</v>
      </c>
      <c r="F809" s="27">
        <f>59.0183 * CHOOSE(CONTROL!$C$15, $E$9, 100%, $G$9) + CHOOSE(CONTROL!$C$38, 0.0266, 0)</f>
        <v>59.044900000000005</v>
      </c>
      <c r="G809" s="10">
        <f>54.5711 * CHOOSE(CONTROL!$C$15, $E$9, 100%, $G$9) + CHOOSE(CONTROL!$C$38, 0.0357, 0)</f>
        <v>54.6068</v>
      </c>
      <c r="H809" s="10">
        <f>54.5711 * CHOOSE(CONTROL!$C$15, $E$9, 100%, $G$9) + CHOOSE(CONTROL!$C$38, 0.0357, 0)</f>
        <v>54.6068</v>
      </c>
      <c r="I809" s="10">
        <f>54.5727 * CHOOSE(CONTROL!$C$15, $E$9, 100%, $G$9) + CHOOSE(CONTROL!$C$38, 0.0357, 0)</f>
        <v>54.608399999999996</v>
      </c>
      <c r="J809" s="26">
        <f>409.7985</f>
        <v>409.79849999999999</v>
      </c>
    </row>
    <row r="810" spans="1:10" ht="15.75">
      <c r="A810" s="13">
        <v>65958</v>
      </c>
      <c r="B810" s="10">
        <f>58.9681 * CHOOSE(CONTROL!$C$15, $E$9, 100%, $G$9) + CHOOSE(CONTROL!$C$38, 0.0266, 0)</f>
        <v>58.994700000000002</v>
      </c>
      <c r="C810" s="10">
        <f>54.3662 * CHOOSE(CONTROL!$C$15, $E$9, 100%, $G$9) + CHOOSE(CONTROL!$C$38, 0.0357, 0)</f>
        <v>54.401899999999998</v>
      </c>
      <c r="D810" s="10">
        <f>54.3584 * CHOOSE(CONTROL!$C$15, $E$9, 100%, $G$9) + CHOOSE(CONTROL!$C$38, 0.0357, 0)</f>
        <v>54.394100000000002</v>
      </c>
      <c r="E810" s="28">
        <f>58.8118 * CHOOSE(CONTROL!$C$15, $E$9, 100%, $G$9) + CHOOSE(CONTROL!$C$38, 0.0357, 0)</f>
        <v>58.847499999999997</v>
      </c>
      <c r="F810" s="27">
        <f>58.8118 * CHOOSE(CONTROL!$C$15, $E$9, 100%, $G$9) + CHOOSE(CONTROL!$C$38, 0.0266, 0)</f>
        <v>58.8384</v>
      </c>
      <c r="G810" s="10">
        <f>54.3646 * CHOOSE(CONTROL!$C$15, $E$9, 100%, $G$9) + CHOOSE(CONTROL!$C$38, 0.0357, 0)</f>
        <v>54.400300000000001</v>
      </c>
      <c r="H810" s="10">
        <f>54.3646 * CHOOSE(CONTROL!$C$15, $E$9, 100%, $G$9) + CHOOSE(CONTROL!$C$38, 0.0357, 0)</f>
        <v>54.400300000000001</v>
      </c>
      <c r="I810" s="10">
        <f>54.3662 * CHOOSE(CONTROL!$C$15, $E$9, 100%, $G$9) + CHOOSE(CONTROL!$C$38, 0.0357, 0)</f>
        <v>54.401899999999998</v>
      </c>
      <c r="J810" s="26">
        <f>407.882</f>
        <v>407.88200000000001</v>
      </c>
    </row>
    <row r="811" spans="1:10" ht="15.75">
      <c r="A811" s="13">
        <v>65989</v>
      </c>
      <c r="B811" s="10">
        <f>59.07 * CHOOSE(CONTROL!$C$15, $E$9, 100%, $G$9) + CHOOSE(CONTROL!$C$38, 0.0266, 0)</f>
        <v>59.096600000000002</v>
      </c>
      <c r="C811" s="10">
        <f>54.4681 * CHOOSE(CONTROL!$C$15, $E$9, 100%, $G$9) + CHOOSE(CONTROL!$C$38, 0.0357, 0)</f>
        <v>54.503799999999998</v>
      </c>
      <c r="D811" s="10">
        <f>54.4603 * CHOOSE(CONTROL!$C$15, $E$9, 100%, $G$9) + CHOOSE(CONTROL!$C$38, 0.0357, 0)</f>
        <v>54.495999999999995</v>
      </c>
      <c r="E811" s="28">
        <f>58.9137 * CHOOSE(CONTROL!$C$15, $E$9, 100%, $G$9) + CHOOSE(CONTROL!$C$38, 0.0357, 0)</f>
        <v>58.949399999999997</v>
      </c>
      <c r="F811" s="27">
        <f>58.9137 * CHOOSE(CONTROL!$C$15, $E$9, 100%, $G$9) + CHOOSE(CONTROL!$C$38, 0.0266, 0)</f>
        <v>58.940300000000001</v>
      </c>
      <c r="G811" s="10">
        <f>54.4665 * CHOOSE(CONTROL!$C$15, $E$9, 100%, $G$9) + CHOOSE(CONTROL!$C$38, 0.0357, 0)</f>
        <v>54.502200000000002</v>
      </c>
      <c r="H811" s="10">
        <f>54.4665 * CHOOSE(CONTROL!$C$15, $E$9, 100%, $G$9) + CHOOSE(CONTROL!$C$38, 0.0357, 0)</f>
        <v>54.502200000000002</v>
      </c>
      <c r="I811" s="10">
        <f>54.4681 * CHOOSE(CONTROL!$C$15, $E$9, 100%, $G$9) + CHOOSE(CONTROL!$C$38, 0.0357, 0)</f>
        <v>54.503799999999998</v>
      </c>
      <c r="J811" s="26">
        <f>398.3867</f>
        <v>398.38670000000002</v>
      </c>
    </row>
    <row r="812" spans="1:10" ht="15.75">
      <c r="A812" s="13">
        <v>66019</v>
      </c>
      <c r="B812" s="10">
        <f>59.3468 * CHOOSE(CONTROL!$C$15, $E$9, 100%, $G$9) + CHOOSE(CONTROL!$C$38, 0.0266, 0)</f>
        <v>59.373400000000004</v>
      </c>
      <c r="C812" s="10">
        <f>54.7449 * CHOOSE(CONTROL!$C$15, $E$9, 100%, $G$9) + CHOOSE(CONTROL!$C$38, 0.0357, 0)</f>
        <v>54.7806</v>
      </c>
      <c r="D812" s="10">
        <f>54.7371 * CHOOSE(CONTROL!$C$15, $E$9, 100%, $G$9) + CHOOSE(CONTROL!$C$38, 0.0357, 0)</f>
        <v>54.772799999999997</v>
      </c>
      <c r="E812" s="28">
        <f>59.1905 * CHOOSE(CONTROL!$C$15, $E$9, 100%, $G$9) + CHOOSE(CONTROL!$C$38, 0.0357, 0)</f>
        <v>59.226199999999999</v>
      </c>
      <c r="F812" s="27">
        <f>59.1905 * CHOOSE(CONTROL!$C$15, $E$9, 100%, $G$9) + CHOOSE(CONTROL!$C$38, 0.0266, 0)</f>
        <v>59.217100000000002</v>
      </c>
      <c r="G812" s="10">
        <f>54.7433 * CHOOSE(CONTROL!$C$15, $E$9, 100%, $G$9) + CHOOSE(CONTROL!$C$38, 0.0357, 0)</f>
        <v>54.778999999999996</v>
      </c>
      <c r="H812" s="10">
        <f>54.7433 * CHOOSE(CONTROL!$C$15, $E$9, 100%, $G$9) + CHOOSE(CONTROL!$C$38, 0.0357, 0)</f>
        <v>54.778999999999996</v>
      </c>
      <c r="I812" s="10">
        <f>54.7449 * CHOOSE(CONTROL!$C$15, $E$9, 100%, $G$9) + CHOOSE(CONTROL!$C$38, 0.0357, 0)</f>
        <v>54.7806</v>
      </c>
      <c r="J812" s="26">
        <f>385.145</f>
        <v>385.14499999999998</v>
      </c>
    </row>
    <row r="813" spans="1:10" ht="15.75">
      <c r="A813" s="13">
        <v>66050</v>
      </c>
      <c r="B813" s="10">
        <f>59.5786 * CHOOSE(CONTROL!$C$15, $E$9, 100%, $G$9) + CHOOSE(CONTROL!$C$38, 0.0266, 0)</f>
        <v>59.605200000000004</v>
      </c>
      <c r="C813" s="10">
        <f>54.9767 * CHOOSE(CONTROL!$C$15, $E$9, 100%, $G$9) + CHOOSE(CONTROL!$C$38, 0.0357, 0)</f>
        <v>55.0124</v>
      </c>
      <c r="D813" s="10">
        <f>54.9689 * CHOOSE(CONTROL!$C$15, $E$9, 100%, $G$9) + CHOOSE(CONTROL!$C$38, 0.0357, 0)</f>
        <v>55.004599999999996</v>
      </c>
      <c r="E813" s="28">
        <f>59.4223 * CHOOSE(CONTROL!$C$15, $E$9, 100%, $G$9) + CHOOSE(CONTROL!$C$38, 0.0357, 0)</f>
        <v>59.457999999999998</v>
      </c>
      <c r="F813" s="27">
        <f>59.4223 * CHOOSE(CONTROL!$C$15, $E$9, 100%, $G$9) + CHOOSE(CONTROL!$C$38, 0.0266, 0)</f>
        <v>59.448900000000002</v>
      </c>
      <c r="G813" s="10">
        <f>54.9751 * CHOOSE(CONTROL!$C$15, $E$9, 100%, $G$9) + CHOOSE(CONTROL!$C$38, 0.0357, 0)</f>
        <v>55.010799999999996</v>
      </c>
      <c r="H813" s="10">
        <f>54.9751 * CHOOSE(CONTROL!$C$15, $E$9, 100%, $G$9) + CHOOSE(CONTROL!$C$38, 0.0357, 0)</f>
        <v>55.010799999999996</v>
      </c>
      <c r="I813" s="10">
        <f>54.9767 * CHOOSE(CONTROL!$C$15, $E$9, 100%, $G$9) + CHOOSE(CONTROL!$C$38, 0.0357, 0)</f>
        <v>55.0124</v>
      </c>
      <c r="J813" s="26">
        <f>371.8263</f>
        <v>371.8263</v>
      </c>
    </row>
    <row r="814" spans="1:10" ht="15.75">
      <c r="A814" s="13">
        <v>66080</v>
      </c>
      <c r="B814" s="10">
        <f>59.772 * CHOOSE(CONTROL!$C$15, $E$9, 100%, $G$9) + CHOOSE(CONTROL!$C$38, 0.0266, 0)</f>
        <v>59.7986</v>
      </c>
      <c r="C814" s="10">
        <f>55.1701 * CHOOSE(CONTROL!$C$15, $E$9, 100%, $G$9) + CHOOSE(CONTROL!$C$38, 0.0357, 0)</f>
        <v>55.205799999999996</v>
      </c>
      <c r="D814" s="10">
        <f>55.1623 * CHOOSE(CONTROL!$C$15, $E$9, 100%, $G$9) + CHOOSE(CONTROL!$C$38, 0.0357, 0)</f>
        <v>55.198</v>
      </c>
      <c r="E814" s="28">
        <f>59.6158 * CHOOSE(CONTROL!$C$15, $E$9, 100%, $G$9) + CHOOSE(CONTROL!$C$38, 0.0357, 0)</f>
        <v>59.651499999999999</v>
      </c>
      <c r="F814" s="27">
        <f>59.6158 * CHOOSE(CONTROL!$C$15, $E$9, 100%, $G$9) + CHOOSE(CONTROL!$C$38, 0.0266, 0)</f>
        <v>59.642400000000002</v>
      </c>
      <c r="G814" s="10">
        <f>55.1686 * CHOOSE(CONTROL!$C$15, $E$9, 100%, $G$9) + CHOOSE(CONTROL!$C$38, 0.0357, 0)</f>
        <v>55.204299999999996</v>
      </c>
      <c r="H814" s="10">
        <f>55.1686 * CHOOSE(CONTROL!$C$15, $E$9, 100%, $G$9) + CHOOSE(CONTROL!$C$38, 0.0357, 0)</f>
        <v>55.204299999999996</v>
      </c>
      <c r="I814" s="10">
        <f>55.1701 * CHOOSE(CONTROL!$C$15, $E$9, 100%, $G$9) + CHOOSE(CONTROL!$C$38, 0.0357, 0)</f>
        <v>55.205799999999996</v>
      </c>
      <c r="J814" s="26">
        <f>369.1769</f>
        <v>369.17689999999999</v>
      </c>
    </row>
    <row r="815" spans="1:10" ht="15.75">
      <c r="A815" s="13">
        <v>66111</v>
      </c>
      <c r="B815" s="10">
        <f>60.3681 * CHOOSE(CONTROL!$C$15, $E$9, 100%, $G$9) + CHOOSE(CONTROL!$C$38, 0.0266, 0)</f>
        <v>60.3947</v>
      </c>
      <c r="C815" s="10">
        <f>55.7662 * CHOOSE(CONTROL!$C$15, $E$9, 100%, $G$9) + CHOOSE(CONTROL!$C$38, 0.0357, 0)</f>
        <v>55.801899999999996</v>
      </c>
      <c r="D815" s="10">
        <f>55.7584 * CHOOSE(CONTROL!$C$15, $E$9, 100%, $G$9) + CHOOSE(CONTROL!$C$38, 0.0357, 0)</f>
        <v>55.7941</v>
      </c>
      <c r="E815" s="28">
        <f>60.2118 * CHOOSE(CONTROL!$C$15, $E$9, 100%, $G$9) + CHOOSE(CONTROL!$C$38, 0.0357, 0)</f>
        <v>60.247499999999995</v>
      </c>
      <c r="F815" s="27">
        <f>60.2118 * CHOOSE(CONTROL!$C$15, $E$9, 100%, $G$9) + CHOOSE(CONTROL!$C$38, 0.0266, 0)</f>
        <v>60.238399999999999</v>
      </c>
      <c r="G815" s="10">
        <f>55.7647 * CHOOSE(CONTROL!$C$15, $E$9, 100%, $G$9) + CHOOSE(CONTROL!$C$38, 0.0357, 0)</f>
        <v>55.800399999999996</v>
      </c>
      <c r="H815" s="10">
        <f>55.7647 * CHOOSE(CONTROL!$C$15, $E$9, 100%, $G$9) + CHOOSE(CONTROL!$C$38, 0.0357, 0)</f>
        <v>55.800399999999996</v>
      </c>
      <c r="I815" s="10">
        <f>55.7662 * CHOOSE(CONTROL!$C$15, $E$9, 100%, $G$9) + CHOOSE(CONTROL!$C$38, 0.0357, 0)</f>
        <v>55.801899999999996</v>
      </c>
      <c r="J815" s="26">
        <f>358.2216</f>
        <v>358.22160000000002</v>
      </c>
    </row>
    <row r="816" spans="1:10" ht="15.75">
      <c r="A816" s="13">
        <v>66142</v>
      </c>
      <c r="B816" s="10">
        <f>61.8846 * CHOOSE(CONTROL!$C$15, $E$9, 100%, $G$9) + CHOOSE(CONTROL!$C$38, 0.0266, 0)</f>
        <v>61.911200000000001</v>
      </c>
      <c r="C816" s="10">
        <f>57.2042 * CHOOSE(CONTROL!$C$15, $E$9, 100%, $G$9) + CHOOSE(CONTROL!$C$38, 0.0357, 0)</f>
        <v>57.239899999999999</v>
      </c>
      <c r="D816" s="10">
        <f>57.1964 * CHOOSE(CONTROL!$C$15, $E$9, 100%, $G$9) + CHOOSE(CONTROL!$C$38, 0.0357, 0)</f>
        <v>57.232099999999996</v>
      </c>
      <c r="E816" s="28">
        <f>61.7284 * CHOOSE(CONTROL!$C$15, $E$9, 100%, $G$9) + CHOOSE(CONTROL!$C$38, 0.0357, 0)</f>
        <v>61.764099999999999</v>
      </c>
      <c r="F816" s="27">
        <f>61.7284 * CHOOSE(CONTROL!$C$15, $E$9, 100%, $G$9) + CHOOSE(CONTROL!$C$38, 0.0266, 0)</f>
        <v>61.755000000000003</v>
      </c>
      <c r="G816" s="10">
        <f>57.2027 * CHOOSE(CONTROL!$C$15, $E$9, 100%, $G$9) + CHOOSE(CONTROL!$C$38, 0.0357, 0)</f>
        <v>57.238399999999999</v>
      </c>
      <c r="H816" s="10">
        <f>57.2027 * CHOOSE(CONTROL!$C$15, $E$9, 100%, $G$9) + CHOOSE(CONTROL!$C$38, 0.0357, 0)</f>
        <v>57.238399999999999</v>
      </c>
      <c r="I816" s="10">
        <f>57.2042 * CHOOSE(CONTROL!$C$15, $E$9, 100%, $G$9) + CHOOSE(CONTROL!$C$38, 0.0357, 0)</f>
        <v>57.239899999999999</v>
      </c>
      <c r="J816" s="26">
        <f>355.822</f>
        <v>355.822</v>
      </c>
    </row>
    <row r="817" spans="1:10" ht="15.75">
      <c r="A817" s="13">
        <v>66170</v>
      </c>
      <c r="B817" s="10">
        <f>62.1054 * CHOOSE(CONTROL!$C$15, $E$9, 100%, $G$9) + CHOOSE(CONTROL!$C$38, 0.0266, 0)</f>
        <v>62.132000000000005</v>
      </c>
      <c r="C817" s="10">
        <f>57.425 * CHOOSE(CONTROL!$C$15, $E$9, 100%, $G$9) + CHOOSE(CONTROL!$C$38, 0.0357, 0)</f>
        <v>57.460699999999996</v>
      </c>
      <c r="D817" s="10">
        <f>57.4172 * CHOOSE(CONTROL!$C$15, $E$9, 100%, $G$9) + CHOOSE(CONTROL!$C$38, 0.0357, 0)</f>
        <v>57.4529</v>
      </c>
      <c r="E817" s="28">
        <f>61.9492 * CHOOSE(CONTROL!$C$15, $E$9, 100%, $G$9) + CHOOSE(CONTROL!$C$38, 0.0357, 0)</f>
        <v>61.984899999999996</v>
      </c>
      <c r="F817" s="27">
        <f>61.9492 * CHOOSE(CONTROL!$C$15, $E$9, 100%, $G$9) + CHOOSE(CONTROL!$C$38, 0.0266, 0)</f>
        <v>61.9758</v>
      </c>
      <c r="G817" s="10">
        <f>57.4234 * CHOOSE(CONTROL!$C$15, $E$9, 100%, $G$9) + CHOOSE(CONTROL!$C$38, 0.0357, 0)</f>
        <v>57.459099999999999</v>
      </c>
      <c r="H817" s="10">
        <f>57.4234 * CHOOSE(CONTROL!$C$15, $E$9, 100%, $G$9) + CHOOSE(CONTROL!$C$38, 0.0357, 0)</f>
        <v>57.459099999999999</v>
      </c>
      <c r="I817" s="10">
        <f>57.425 * CHOOSE(CONTROL!$C$15, $E$9, 100%, $G$9) + CHOOSE(CONTROL!$C$38, 0.0357, 0)</f>
        <v>57.460699999999996</v>
      </c>
      <c r="J817" s="26">
        <f>354.833</f>
        <v>354.83300000000003</v>
      </c>
    </row>
    <row r="818" spans="1:10" ht="15.75">
      <c r="A818" s="13">
        <v>66201</v>
      </c>
      <c r="B818" s="10">
        <f>61.5944 * CHOOSE(CONTROL!$C$15, $E$9, 100%, $G$9) + CHOOSE(CONTROL!$C$38, 0.0266, 0)</f>
        <v>61.621000000000002</v>
      </c>
      <c r="C818" s="10">
        <f>56.914 * CHOOSE(CONTROL!$C$15, $E$9, 100%, $G$9) + CHOOSE(CONTROL!$C$38, 0.0357, 0)</f>
        <v>56.9497</v>
      </c>
      <c r="D818" s="10">
        <f>56.9061 * CHOOSE(CONTROL!$C$15, $E$9, 100%, $G$9) + CHOOSE(CONTROL!$C$38, 0.0357, 0)</f>
        <v>56.941800000000001</v>
      </c>
      <c r="E818" s="28">
        <f>61.4381 * CHOOSE(CONTROL!$C$15, $E$9, 100%, $G$9) + CHOOSE(CONTROL!$C$38, 0.0357, 0)</f>
        <v>61.473799999999997</v>
      </c>
      <c r="F818" s="27">
        <f>61.4381 * CHOOSE(CONTROL!$C$15, $E$9, 100%, $G$9) + CHOOSE(CONTROL!$C$38, 0.0266, 0)</f>
        <v>61.464700000000001</v>
      </c>
      <c r="G818" s="10">
        <f>56.9124 * CHOOSE(CONTROL!$C$15, $E$9, 100%, $G$9) + CHOOSE(CONTROL!$C$38, 0.0357, 0)</f>
        <v>56.948099999999997</v>
      </c>
      <c r="H818" s="10">
        <f>56.9124 * CHOOSE(CONTROL!$C$15, $E$9, 100%, $G$9) + CHOOSE(CONTROL!$C$38, 0.0357, 0)</f>
        <v>56.948099999999997</v>
      </c>
      <c r="I818" s="10">
        <f>56.914 * CHOOSE(CONTROL!$C$15, $E$9, 100%, $G$9) + CHOOSE(CONTROL!$C$38, 0.0357, 0)</f>
        <v>56.9497</v>
      </c>
      <c r="J818" s="26">
        <f>373.5347</f>
        <v>373.53469999999999</v>
      </c>
    </row>
    <row r="819" spans="1:10" ht="15.75">
      <c r="A819" s="13">
        <v>66231</v>
      </c>
      <c r="B819" s="10">
        <f>61.0992 * CHOOSE(CONTROL!$C$15, $E$9, 100%, $G$9) + CHOOSE(CONTROL!$C$38, 0.0266, 0)</f>
        <v>61.125800000000005</v>
      </c>
      <c r="C819" s="10">
        <f>56.4188 * CHOOSE(CONTROL!$C$15, $E$9, 100%, $G$9) + CHOOSE(CONTROL!$C$38, 0.0357, 0)</f>
        <v>56.454499999999996</v>
      </c>
      <c r="D819" s="10">
        <f>56.411 * CHOOSE(CONTROL!$C$15, $E$9, 100%, $G$9) + CHOOSE(CONTROL!$C$38, 0.0357, 0)</f>
        <v>56.4467</v>
      </c>
      <c r="E819" s="28">
        <f>60.9429 * CHOOSE(CONTROL!$C$15, $E$9, 100%, $G$9) + CHOOSE(CONTROL!$C$38, 0.0357, 0)</f>
        <v>60.9786</v>
      </c>
      <c r="F819" s="27">
        <f>60.9429 * CHOOSE(CONTROL!$C$15, $E$9, 100%, $G$9) + CHOOSE(CONTROL!$C$38, 0.0266, 0)</f>
        <v>60.969500000000004</v>
      </c>
      <c r="G819" s="10">
        <f>56.4172 * CHOOSE(CONTROL!$C$15, $E$9, 100%, $G$9) + CHOOSE(CONTROL!$C$38, 0.0357, 0)</f>
        <v>56.4529</v>
      </c>
      <c r="H819" s="10">
        <f>56.4172 * CHOOSE(CONTROL!$C$15, $E$9, 100%, $G$9) + CHOOSE(CONTROL!$C$38, 0.0357, 0)</f>
        <v>56.4529</v>
      </c>
      <c r="I819" s="10">
        <f>56.4188 * CHOOSE(CONTROL!$C$15, $E$9, 100%, $G$9) + CHOOSE(CONTROL!$C$38, 0.0357, 0)</f>
        <v>56.454499999999996</v>
      </c>
      <c r="J819" s="26">
        <f>397.7864</f>
        <v>397.78640000000001</v>
      </c>
    </row>
    <row r="820" spans="1:10" ht="15.75">
      <c r="A820" s="13">
        <v>66262</v>
      </c>
      <c r="B820" s="10">
        <f>60.5831 * CHOOSE(CONTROL!$C$15, $E$9, 100%, $G$9) + CHOOSE(CONTROL!$C$38, 0.0266, 0)</f>
        <v>60.609700000000004</v>
      </c>
      <c r="C820" s="10">
        <f>55.9027 * CHOOSE(CONTROL!$C$15, $E$9, 100%, $G$9) + CHOOSE(CONTROL!$C$38, 0.0357, 0)</f>
        <v>55.938400000000001</v>
      </c>
      <c r="D820" s="10">
        <f>55.8948 * CHOOSE(CONTROL!$C$15, $E$9, 100%, $G$9) + CHOOSE(CONTROL!$C$38, 0.0357, 0)</f>
        <v>55.930499999999995</v>
      </c>
      <c r="E820" s="28">
        <f>60.4268 * CHOOSE(CONTROL!$C$15, $E$9, 100%, $G$9) + CHOOSE(CONTROL!$C$38, 0.0357, 0)</f>
        <v>60.462499999999999</v>
      </c>
      <c r="F820" s="27">
        <f>60.4268 * CHOOSE(CONTROL!$C$15, $E$9, 100%, $G$9) + CHOOSE(CONTROL!$C$38, 0.0266, 0)</f>
        <v>60.453400000000002</v>
      </c>
      <c r="G820" s="10">
        <f>55.9011 * CHOOSE(CONTROL!$C$15, $E$9, 100%, $G$9) + CHOOSE(CONTROL!$C$38, 0.0357, 0)</f>
        <v>55.936799999999998</v>
      </c>
      <c r="H820" s="10">
        <f>55.9011 * CHOOSE(CONTROL!$C$15, $E$9, 100%, $G$9) + CHOOSE(CONTROL!$C$38, 0.0357, 0)</f>
        <v>55.936799999999998</v>
      </c>
      <c r="I820" s="10">
        <f>55.9027 * CHOOSE(CONTROL!$C$15, $E$9, 100%, $G$9) + CHOOSE(CONTROL!$C$38, 0.0357, 0)</f>
        <v>55.938400000000001</v>
      </c>
      <c r="J820" s="26">
        <f>411.1353</f>
        <v>411.13529999999997</v>
      </c>
    </row>
    <row r="821" spans="1:10" ht="15.75">
      <c r="A821" s="13">
        <v>66292</v>
      </c>
      <c r="B821" s="10">
        <f>60.2212 * CHOOSE(CONTROL!$C$15, $E$9, 100%, $G$9) + CHOOSE(CONTROL!$C$38, 0.0266, 0)</f>
        <v>60.247800000000005</v>
      </c>
      <c r="C821" s="10">
        <f>55.5408 * CHOOSE(CONTROL!$C$15, $E$9, 100%, $G$9) + CHOOSE(CONTROL!$C$38, 0.0357, 0)</f>
        <v>55.576499999999996</v>
      </c>
      <c r="D821" s="10">
        <f>55.533 * CHOOSE(CONTROL!$C$15, $E$9, 100%, $G$9) + CHOOSE(CONTROL!$C$38, 0.0357, 0)</f>
        <v>55.5687</v>
      </c>
      <c r="E821" s="28">
        <f>60.065 * CHOOSE(CONTROL!$C$15, $E$9, 100%, $G$9) + CHOOSE(CONTROL!$C$38, 0.0357, 0)</f>
        <v>60.100699999999996</v>
      </c>
      <c r="F821" s="27">
        <f>60.065 * CHOOSE(CONTROL!$C$15, $E$9, 100%, $G$9) + CHOOSE(CONTROL!$C$38, 0.0266, 0)</f>
        <v>60.0916</v>
      </c>
      <c r="G821" s="10">
        <f>55.5393 * CHOOSE(CONTROL!$C$15, $E$9, 100%, $G$9) + CHOOSE(CONTROL!$C$38, 0.0357, 0)</f>
        <v>55.574999999999996</v>
      </c>
      <c r="H821" s="10">
        <f>55.5393 * CHOOSE(CONTROL!$C$15, $E$9, 100%, $G$9) + CHOOSE(CONTROL!$C$38, 0.0357, 0)</f>
        <v>55.574999999999996</v>
      </c>
      <c r="I821" s="10">
        <f>55.5408 * CHOOSE(CONTROL!$C$15, $E$9, 100%, $G$9) + CHOOSE(CONTROL!$C$38, 0.0357, 0)</f>
        <v>55.576499999999996</v>
      </c>
      <c r="J821" s="26">
        <f>417.0594</f>
        <v>417.05939999999998</v>
      </c>
    </row>
    <row r="822" spans="1:10" ht="15.75">
      <c r="A822" s="13">
        <v>66323</v>
      </c>
      <c r="B822" s="10">
        <f>60.0148 * CHOOSE(CONTROL!$C$15, $E$9, 100%, $G$9) + CHOOSE(CONTROL!$C$38, 0.0266, 0)</f>
        <v>60.041400000000003</v>
      </c>
      <c r="C822" s="10">
        <f>55.3343 * CHOOSE(CONTROL!$C$15, $E$9, 100%, $G$9) + CHOOSE(CONTROL!$C$38, 0.0357, 0)</f>
        <v>55.37</v>
      </c>
      <c r="D822" s="10">
        <f>55.3265 * CHOOSE(CONTROL!$C$15, $E$9, 100%, $G$9) + CHOOSE(CONTROL!$C$38, 0.0357, 0)</f>
        <v>55.362200000000001</v>
      </c>
      <c r="E822" s="28">
        <f>59.8585 * CHOOSE(CONTROL!$C$15, $E$9, 100%, $G$9) + CHOOSE(CONTROL!$C$38, 0.0357, 0)</f>
        <v>59.894199999999998</v>
      </c>
      <c r="F822" s="27">
        <f>59.8585 * CHOOSE(CONTROL!$C$15, $E$9, 100%, $G$9) + CHOOSE(CONTROL!$C$38, 0.0266, 0)</f>
        <v>59.885100000000001</v>
      </c>
      <c r="G822" s="10">
        <f>55.3328 * CHOOSE(CONTROL!$C$15, $E$9, 100%, $G$9) + CHOOSE(CONTROL!$C$38, 0.0357, 0)</f>
        <v>55.368499999999997</v>
      </c>
      <c r="H822" s="10">
        <f>55.3328 * CHOOSE(CONTROL!$C$15, $E$9, 100%, $G$9) + CHOOSE(CONTROL!$C$38, 0.0357, 0)</f>
        <v>55.368499999999997</v>
      </c>
      <c r="I822" s="10">
        <f>55.3343 * CHOOSE(CONTROL!$C$15, $E$9, 100%, $G$9) + CHOOSE(CONTROL!$C$38, 0.0357, 0)</f>
        <v>55.37</v>
      </c>
      <c r="J822" s="26">
        <f>415.1089</f>
        <v>415.10890000000001</v>
      </c>
    </row>
    <row r="823" spans="1:10" ht="15.75">
      <c r="A823" s="13">
        <v>66354</v>
      </c>
      <c r="B823" s="10">
        <f>60.1167 * CHOOSE(CONTROL!$C$15, $E$9, 100%, $G$9) + CHOOSE(CONTROL!$C$38, 0.0266, 0)</f>
        <v>60.143300000000004</v>
      </c>
      <c r="C823" s="10">
        <f>55.4362 * CHOOSE(CONTROL!$C$15, $E$9, 100%, $G$9) + CHOOSE(CONTROL!$C$38, 0.0357, 0)</f>
        <v>55.471899999999998</v>
      </c>
      <c r="D823" s="10">
        <f>55.4284 * CHOOSE(CONTROL!$C$15, $E$9, 100%, $G$9) + CHOOSE(CONTROL!$C$38, 0.0357, 0)</f>
        <v>55.464100000000002</v>
      </c>
      <c r="E823" s="28">
        <f>59.9604 * CHOOSE(CONTROL!$C$15, $E$9, 100%, $G$9) + CHOOSE(CONTROL!$C$38, 0.0357, 0)</f>
        <v>59.996099999999998</v>
      </c>
      <c r="F823" s="27">
        <f>59.9604 * CHOOSE(CONTROL!$C$15, $E$9, 100%, $G$9) + CHOOSE(CONTROL!$C$38, 0.0266, 0)</f>
        <v>59.987000000000002</v>
      </c>
      <c r="G823" s="10">
        <f>55.4347 * CHOOSE(CONTROL!$C$15, $E$9, 100%, $G$9) + CHOOSE(CONTROL!$C$38, 0.0357, 0)</f>
        <v>55.470399999999998</v>
      </c>
      <c r="H823" s="10">
        <f>55.4347 * CHOOSE(CONTROL!$C$15, $E$9, 100%, $G$9) + CHOOSE(CONTROL!$C$38, 0.0357, 0)</f>
        <v>55.470399999999998</v>
      </c>
      <c r="I823" s="10">
        <f>55.4362 * CHOOSE(CONTROL!$C$15, $E$9, 100%, $G$9) + CHOOSE(CONTROL!$C$38, 0.0357, 0)</f>
        <v>55.471899999999998</v>
      </c>
      <c r="J823" s="26">
        <f>405.4453</f>
        <v>405.44529999999997</v>
      </c>
    </row>
    <row r="824" spans="1:10" ht="15.75">
      <c r="A824" s="13">
        <v>66384</v>
      </c>
      <c r="B824" s="10">
        <f>60.3935 * CHOOSE(CONTROL!$C$15, $E$9, 100%, $G$9) + CHOOSE(CONTROL!$C$38, 0.0266, 0)</f>
        <v>60.420100000000005</v>
      </c>
      <c r="C824" s="10">
        <f>55.713 * CHOOSE(CONTROL!$C$15, $E$9, 100%, $G$9) + CHOOSE(CONTROL!$C$38, 0.0357, 0)</f>
        <v>55.748699999999999</v>
      </c>
      <c r="D824" s="10">
        <f>55.7052 * CHOOSE(CONTROL!$C$15, $E$9, 100%, $G$9) + CHOOSE(CONTROL!$C$38, 0.0357, 0)</f>
        <v>55.740899999999996</v>
      </c>
      <c r="E824" s="28">
        <f>60.2372 * CHOOSE(CONTROL!$C$15, $E$9, 100%, $G$9) + CHOOSE(CONTROL!$C$38, 0.0357, 0)</f>
        <v>60.2729</v>
      </c>
      <c r="F824" s="27">
        <f>60.2372 * CHOOSE(CONTROL!$C$15, $E$9, 100%, $G$9) + CHOOSE(CONTROL!$C$38, 0.0266, 0)</f>
        <v>60.263800000000003</v>
      </c>
      <c r="G824" s="10">
        <f>55.7115 * CHOOSE(CONTROL!$C$15, $E$9, 100%, $G$9) + CHOOSE(CONTROL!$C$38, 0.0357, 0)</f>
        <v>55.747199999999999</v>
      </c>
      <c r="H824" s="10">
        <f>55.7115 * CHOOSE(CONTROL!$C$15, $E$9, 100%, $G$9) + CHOOSE(CONTROL!$C$38, 0.0357, 0)</f>
        <v>55.747199999999999</v>
      </c>
      <c r="I824" s="10">
        <f>55.713 * CHOOSE(CONTROL!$C$15, $E$9, 100%, $G$9) + CHOOSE(CONTROL!$C$38, 0.0357, 0)</f>
        <v>55.748699999999999</v>
      </c>
      <c r="J824" s="26">
        <f>391.969</f>
        <v>391.96899999999999</v>
      </c>
    </row>
    <row r="825" spans="1:10" ht="15.75">
      <c r="A825" s="13">
        <v>66415</v>
      </c>
      <c r="B825" s="10">
        <f>60.6253 * CHOOSE(CONTROL!$C$15, $E$9, 100%, $G$9) + CHOOSE(CONTROL!$C$38, 0.0266, 0)</f>
        <v>60.651900000000005</v>
      </c>
      <c r="C825" s="10">
        <f>55.9449 * CHOOSE(CONTROL!$C$15, $E$9, 100%, $G$9) + CHOOSE(CONTROL!$C$38, 0.0357, 0)</f>
        <v>55.980599999999995</v>
      </c>
      <c r="D825" s="10">
        <f>55.9371 * CHOOSE(CONTROL!$C$15, $E$9, 100%, $G$9) + CHOOSE(CONTROL!$C$38, 0.0357, 0)</f>
        <v>55.972799999999999</v>
      </c>
      <c r="E825" s="28">
        <f>60.469 * CHOOSE(CONTROL!$C$15, $E$9, 100%, $G$9) + CHOOSE(CONTROL!$C$38, 0.0357, 0)</f>
        <v>60.5047</v>
      </c>
      <c r="F825" s="27">
        <f>60.469 * CHOOSE(CONTROL!$C$15, $E$9, 100%, $G$9) + CHOOSE(CONTROL!$C$38, 0.0266, 0)</f>
        <v>60.495600000000003</v>
      </c>
      <c r="G825" s="10">
        <f>55.9433 * CHOOSE(CONTROL!$C$15, $E$9, 100%, $G$9) + CHOOSE(CONTROL!$C$38, 0.0357, 0)</f>
        <v>55.978999999999999</v>
      </c>
      <c r="H825" s="10">
        <f>55.9433 * CHOOSE(CONTROL!$C$15, $E$9, 100%, $G$9) + CHOOSE(CONTROL!$C$38, 0.0357, 0)</f>
        <v>55.978999999999999</v>
      </c>
      <c r="I825" s="10">
        <f>55.9449 * CHOOSE(CONTROL!$C$15, $E$9, 100%, $G$9) + CHOOSE(CONTROL!$C$38, 0.0357, 0)</f>
        <v>55.980599999999995</v>
      </c>
      <c r="J825" s="26">
        <f>378.4143</f>
        <v>378.41430000000003</v>
      </c>
    </row>
    <row r="826" spans="1:10" ht="15.75">
      <c r="A826" s="13">
        <v>66445</v>
      </c>
      <c r="B826" s="10">
        <f>60.8187 * CHOOSE(CONTROL!$C$15, $E$9, 100%, $G$9) + CHOOSE(CONTROL!$C$38, 0.0266, 0)</f>
        <v>60.845300000000002</v>
      </c>
      <c r="C826" s="10">
        <f>56.1383 * CHOOSE(CONTROL!$C$15, $E$9, 100%, $G$9) + CHOOSE(CONTROL!$C$38, 0.0357, 0)</f>
        <v>56.173999999999999</v>
      </c>
      <c r="D826" s="10">
        <f>56.1305 * CHOOSE(CONTROL!$C$15, $E$9, 100%, $G$9) + CHOOSE(CONTROL!$C$38, 0.0357, 0)</f>
        <v>56.166199999999996</v>
      </c>
      <c r="E826" s="28">
        <f>60.6625 * CHOOSE(CONTROL!$C$15, $E$9, 100%, $G$9) + CHOOSE(CONTROL!$C$38, 0.0357, 0)</f>
        <v>60.6982</v>
      </c>
      <c r="F826" s="27">
        <f>60.6625 * CHOOSE(CONTROL!$C$15, $E$9, 100%, $G$9) + CHOOSE(CONTROL!$C$38, 0.0266, 0)</f>
        <v>60.689100000000003</v>
      </c>
      <c r="G826" s="10">
        <f>56.1367 * CHOOSE(CONTROL!$C$15, $E$9, 100%, $G$9) + CHOOSE(CONTROL!$C$38, 0.0357, 0)</f>
        <v>56.172399999999996</v>
      </c>
      <c r="H826" s="10">
        <f>56.1367 * CHOOSE(CONTROL!$C$15, $E$9, 100%, $G$9) + CHOOSE(CONTROL!$C$38, 0.0357, 0)</f>
        <v>56.172399999999996</v>
      </c>
      <c r="I826" s="10">
        <f>56.1383 * CHOOSE(CONTROL!$C$15, $E$9, 100%, $G$9) + CHOOSE(CONTROL!$C$38, 0.0357, 0)</f>
        <v>56.173999999999999</v>
      </c>
      <c r="J826" s="26">
        <f>375.718</f>
        <v>375.71800000000002</v>
      </c>
    </row>
    <row r="827" spans="1:10" ht="15.75">
      <c r="A827" s="13">
        <v>66476</v>
      </c>
      <c r="B827" s="10">
        <f>61.4148 * CHOOSE(CONTROL!$C$15, $E$9, 100%, $G$9) + CHOOSE(CONTROL!$C$38, 0.0266, 0)</f>
        <v>61.441400000000002</v>
      </c>
      <c r="C827" s="10">
        <f>56.7344 * CHOOSE(CONTROL!$C$15, $E$9, 100%, $G$9) + CHOOSE(CONTROL!$C$38, 0.0357, 0)</f>
        <v>56.770099999999999</v>
      </c>
      <c r="D827" s="10">
        <f>56.7266 * CHOOSE(CONTROL!$C$15, $E$9, 100%, $G$9) + CHOOSE(CONTROL!$C$38, 0.0357, 0)</f>
        <v>56.762299999999996</v>
      </c>
      <c r="E827" s="28">
        <f>61.2585 * CHOOSE(CONTROL!$C$15, $E$9, 100%, $G$9) + CHOOSE(CONTROL!$C$38, 0.0357, 0)</f>
        <v>61.294199999999996</v>
      </c>
      <c r="F827" s="27">
        <f>61.2585 * CHOOSE(CONTROL!$C$15, $E$9, 100%, $G$9) + CHOOSE(CONTROL!$C$38, 0.0266, 0)</f>
        <v>61.2851</v>
      </c>
      <c r="G827" s="10">
        <f>56.7328 * CHOOSE(CONTROL!$C$15, $E$9, 100%, $G$9) + CHOOSE(CONTROL!$C$38, 0.0357, 0)</f>
        <v>56.768499999999996</v>
      </c>
      <c r="H827" s="10">
        <f>56.7328 * CHOOSE(CONTROL!$C$15, $E$9, 100%, $G$9) + CHOOSE(CONTROL!$C$38, 0.0357, 0)</f>
        <v>56.768499999999996</v>
      </c>
      <c r="I827" s="10">
        <f>56.7344 * CHOOSE(CONTROL!$C$15, $E$9, 100%, $G$9) + CHOOSE(CONTROL!$C$38, 0.0357, 0)</f>
        <v>56.770099999999999</v>
      </c>
      <c r="J827" s="26">
        <f>364.5686</f>
        <v>364.5686</v>
      </c>
    </row>
    <row r="828" spans="1:10" ht="15.75">
      <c r="A828" s="13">
        <v>66507</v>
      </c>
      <c r="B828" s="10">
        <f>62.9498 * CHOOSE(CONTROL!$C$15, $E$9, 100%, $G$9) + CHOOSE(CONTROL!$C$38, 0.0266, 0)</f>
        <v>62.976400000000005</v>
      </c>
      <c r="C828" s="10">
        <f>58.1895 * CHOOSE(CONTROL!$C$15, $E$9, 100%, $G$9) + CHOOSE(CONTROL!$C$38, 0.0357, 0)</f>
        <v>58.225200000000001</v>
      </c>
      <c r="D828" s="10">
        <f>58.1817 * CHOOSE(CONTROL!$C$15, $E$9, 100%, $G$9) + CHOOSE(CONTROL!$C$38, 0.0357, 0)</f>
        <v>58.217399999999998</v>
      </c>
      <c r="E828" s="28">
        <f>62.7936 * CHOOSE(CONTROL!$C$15, $E$9, 100%, $G$9) + CHOOSE(CONTROL!$C$38, 0.0357, 0)</f>
        <v>62.829299999999996</v>
      </c>
      <c r="F828" s="27">
        <f>62.7936 * CHOOSE(CONTROL!$C$15, $E$9, 100%, $G$9) + CHOOSE(CONTROL!$C$38, 0.0266, 0)</f>
        <v>62.8202</v>
      </c>
      <c r="G828" s="10">
        <f>58.1879 * CHOOSE(CONTROL!$C$15, $E$9, 100%, $G$9) + CHOOSE(CONTROL!$C$38, 0.0357, 0)</f>
        <v>58.223599999999998</v>
      </c>
      <c r="H828" s="10">
        <f>58.1879 * CHOOSE(CONTROL!$C$15, $E$9, 100%, $G$9) + CHOOSE(CONTROL!$C$38, 0.0357, 0)</f>
        <v>58.223599999999998</v>
      </c>
      <c r="I828" s="10">
        <f>58.1895 * CHOOSE(CONTROL!$C$15, $E$9, 100%, $G$9) + CHOOSE(CONTROL!$C$38, 0.0357, 0)</f>
        <v>58.225200000000001</v>
      </c>
      <c r="J828" s="26">
        <f>362.1265</f>
        <v>362.12650000000002</v>
      </c>
    </row>
    <row r="829" spans="1:10" ht="15.75">
      <c r="A829" s="13">
        <v>66535</v>
      </c>
      <c r="B829" s="10">
        <f>63.1706 * CHOOSE(CONTROL!$C$15, $E$9, 100%, $G$9) + CHOOSE(CONTROL!$C$38, 0.0266, 0)</f>
        <v>63.197200000000002</v>
      </c>
      <c r="C829" s="10">
        <f>58.4102 * CHOOSE(CONTROL!$C$15, $E$9, 100%, $G$9) + CHOOSE(CONTROL!$C$38, 0.0357, 0)</f>
        <v>58.445900000000002</v>
      </c>
      <c r="D829" s="10">
        <f>58.4024 * CHOOSE(CONTROL!$C$15, $E$9, 100%, $G$9) + CHOOSE(CONTROL!$C$38, 0.0357, 0)</f>
        <v>58.438099999999999</v>
      </c>
      <c r="E829" s="28">
        <f>63.0144 * CHOOSE(CONTROL!$C$15, $E$9, 100%, $G$9) + CHOOSE(CONTROL!$C$38, 0.0357, 0)</f>
        <v>63.0501</v>
      </c>
      <c r="F829" s="27">
        <f>63.0144 * CHOOSE(CONTROL!$C$15, $E$9, 100%, $G$9) + CHOOSE(CONTROL!$C$38, 0.0266, 0)</f>
        <v>63.041000000000004</v>
      </c>
      <c r="G829" s="10">
        <f>58.4087 * CHOOSE(CONTROL!$C$15, $E$9, 100%, $G$9) + CHOOSE(CONTROL!$C$38, 0.0357, 0)</f>
        <v>58.444400000000002</v>
      </c>
      <c r="H829" s="10">
        <f>58.4087 * CHOOSE(CONTROL!$C$15, $E$9, 100%, $G$9) + CHOOSE(CONTROL!$C$38, 0.0357, 0)</f>
        <v>58.444400000000002</v>
      </c>
      <c r="I829" s="10">
        <f>58.4102 * CHOOSE(CONTROL!$C$15, $E$9, 100%, $G$9) + CHOOSE(CONTROL!$C$38, 0.0357, 0)</f>
        <v>58.445900000000002</v>
      </c>
      <c r="J829" s="26">
        <f>361.1199</f>
        <v>361.11989999999997</v>
      </c>
    </row>
    <row r="830" spans="1:10" ht="15.75">
      <c r="A830" s="13">
        <v>66566</v>
      </c>
      <c r="B830" s="10">
        <f>62.6596 * CHOOSE(CONTROL!$C$15, $E$9, 100%, $G$9) + CHOOSE(CONTROL!$C$38, 0.0266, 0)</f>
        <v>62.686199999999999</v>
      </c>
      <c r="C830" s="10">
        <f>57.8992 * CHOOSE(CONTROL!$C$15, $E$9, 100%, $G$9) + CHOOSE(CONTROL!$C$38, 0.0357, 0)</f>
        <v>57.934899999999999</v>
      </c>
      <c r="D830" s="10">
        <f>57.8914 * CHOOSE(CONTROL!$C$15, $E$9, 100%, $G$9) + CHOOSE(CONTROL!$C$38, 0.0357, 0)</f>
        <v>57.927099999999996</v>
      </c>
      <c r="E830" s="28">
        <f>62.5033 * CHOOSE(CONTROL!$C$15, $E$9, 100%, $G$9) + CHOOSE(CONTROL!$C$38, 0.0357, 0)</f>
        <v>62.539000000000001</v>
      </c>
      <c r="F830" s="27">
        <f>62.5033 * CHOOSE(CONTROL!$C$15, $E$9, 100%, $G$9) + CHOOSE(CONTROL!$C$38, 0.0266, 0)</f>
        <v>62.529900000000005</v>
      </c>
      <c r="G830" s="10">
        <f>57.8977 * CHOOSE(CONTROL!$C$15, $E$9, 100%, $G$9) + CHOOSE(CONTROL!$C$38, 0.0357, 0)</f>
        <v>57.933399999999999</v>
      </c>
      <c r="H830" s="10">
        <f>57.8977 * CHOOSE(CONTROL!$C$15, $E$9, 100%, $G$9) + CHOOSE(CONTROL!$C$38, 0.0357, 0)</f>
        <v>57.933399999999999</v>
      </c>
      <c r="I830" s="10">
        <f>57.8992 * CHOOSE(CONTROL!$C$15, $E$9, 100%, $G$9) + CHOOSE(CONTROL!$C$38, 0.0357, 0)</f>
        <v>57.934899999999999</v>
      </c>
      <c r="J830" s="26">
        <f>380.1531</f>
        <v>380.15309999999999</v>
      </c>
    </row>
    <row r="831" spans="1:10" ht="15.75">
      <c r="A831" s="13">
        <v>66596</v>
      </c>
      <c r="B831" s="10">
        <f>62.1644 * CHOOSE(CONTROL!$C$15, $E$9, 100%, $G$9) + CHOOSE(CONTROL!$C$38, 0.0266, 0)</f>
        <v>62.191000000000003</v>
      </c>
      <c r="C831" s="10">
        <f>57.404 * CHOOSE(CONTROL!$C$15, $E$9, 100%, $G$9) + CHOOSE(CONTROL!$C$38, 0.0357, 0)</f>
        <v>57.439700000000002</v>
      </c>
      <c r="D831" s="10">
        <f>57.3962 * CHOOSE(CONTROL!$C$15, $E$9, 100%, $G$9) + CHOOSE(CONTROL!$C$38, 0.0357, 0)</f>
        <v>57.431899999999999</v>
      </c>
      <c r="E831" s="28">
        <f>62.0081 * CHOOSE(CONTROL!$C$15, $E$9, 100%, $G$9) + CHOOSE(CONTROL!$C$38, 0.0357, 0)</f>
        <v>62.043799999999997</v>
      </c>
      <c r="F831" s="27">
        <f>62.0081 * CHOOSE(CONTROL!$C$15, $E$9, 100%, $G$9) + CHOOSE(CONTROL!$C$38, 0.0266, 0)</f>
        <v>62.034700000000001</v>
      </c>
      <c r="G831" s="10">
        <f>57.4025 * CHOOSE(CONTROL!$C$15, $E$9, 100%, $G$9) + CHOOSE(CONTROL!$C$38, 0.0357, 0)</f>
        <v>57.438200000000002</v>
      </c>
      <c r="H831" s="10">
        <f>57.4025 * CHOOSE(CONTROL!$C$15, $E$9, 100%, $G$9) + CHOOSE(CONTROL!$C$38, 0.0357, 0)</f>
        <v>57.438200000000002</v>
      </c>
      <c r="I831" s="10">
        <f>57.404 * CHOOSE(CONTROL!$C$15, $E$9, 100%, $G$9) + CHOOSE(CONTROL!$C$38, 0.0357, 0)</f>
        <v>57.439700000000002</v>
      </c>
      <c r="J831" s="26">
        <f>404.8344</f>
        <v>404.83440000000002</v>
      </c>
    </row>
    <row r="832" spans="1:10" ht="15.75">
      <c r="A832" s="13">
        <v>66627</v>
      </c>
      <c r="B832" s="10">
        <f>61.6483 * CHOOSE(CONTROL!$C$15, $E$9, 100%, $G$9) + CHOOSE(CONTROL!$C$38, 0.0266, 0)</f>
        <v>61.674900000000001</v>
      </c>
      <c r="C832" s="10">
        <f>56.8879 * CHOOSE(CONTROL!$C$15, $E$9, 100%, $G$9) + CHOOSE(CONTROL!$C$38, 0.0357, 0)</f>
        <v>56.9236</v>
      </c>
      <c r="D832" s="10">
        <f>56.8801 * CHOOSE(CONTROL!$C$15, $E$9, 100%, $G$9) + CHOOSE(CONTROL!$C$38, 0.0357, 0)</f>
        <v>56.915799999999997</v>
      </c>
      <c r="E832" s="28">
        <f>61.492 * CHOOSE(CONTROL!$C$15, $E$9, 100%, $G$9) + CHOOSE(CONTROL!$C$38, 0.0357, 0)</f>
        <v>61.527699999999996</v>
      </c>
      <c r="F832" s="27">
        <f>61.492 * CHOOSE(CONTROL!$C$15, $E$9, 100%, $G$9) + CHOOSE(CONTROL!$C$38, 0.0266, 0)</f>
        <v>61.518599999999999</v>
      </c>
      <c r="G832" s="10">
        <f>56.8864 * CHOOSE(CONTROL!$C$15, $E$9, 100%, $G$9) + CHOOSE(CONTROL!$C$38, 0.0357, 0)</f>
        <v>56.9221</v>
      </c>
      <c r="H832" s="10">
        <f>56.8864 * CHOOSE(CONTROL!$C$15, $E$9, 100%, $G$9) + CHOOSE(CONTROL!$C$38, 0.0357, 0)</f>
        <v>56.9221</v>
      </c>
      <c r="I832" s="10">
        <f>56.8879 * CHOOSE(CONTROL!$C$15, $E$9, 100%, $G$9) + CHOOSE(CONTROL!$C$38, 0.0357, 0)</f>
        <v>56.9236</v>
      </c>
      <c r="J832" s="26">
        <f>418.4199</f>
        <v>418.41989999999998</v>
      </c>
    </row>
    <row r="833" spans="1:10" ht="15.75">
      <c r="A833" s="13">
        <v>66657</v>
      </c>
      <c r="B833" s="10">
        <f>61.2864 * CHOOSE(CONTROL!$C$15, $E$9, 100%, $G$9) + CHOOSE(CONTROL!$C$38, 0.0266, 0)</f>
        <v>61.313000000000002</v>
      </c>
      <c r="C833" s="10">
        <f>56.5261 * CHOOSE(CONTROL!$C$15, $E$9, 100%, $G$9) + CHOOSE(CONTROL!$C$38, 0.0357, 0)</f>
        <v>56.561799999999998</v>
      </c>
      <c r="D833" s="10">
        <f>56.5183 * CHOOSE(CONTROL!$C$15, $E$9, 100%, $G$9) + CHOOSE(CONTROL!$C$38, 0.0357, 0)</f>
        <v>56.554000000000002</v>
      </c>
      <c r="E833" s="28">
        <f>61.1302 * CHOOSE(CONTROL!$C$15, $E$9, 100%, $G$9) + CHOOSE(CONTROL!$C$38, 0.0357, 0)</f>
        <v>61.165900000000001</v>
      </c>
      <c r="F833" s="27">
        <f>61.1302 * CHOOSE(CONTROL!$C$15, $E$9, 100%, $G$9) + CHOOSE(CONTROL!$C$38, 0.0266, 0)</f>
        <v>61.156800000000004</v>
      </c>
      <c r="G833" s="10">
        <f>56.5245 * CHOOSE(CONTROL!$C$15, $E$9, 100%, $G$9) + CHOOSE(CONTROL!$C$38, 0.0357, 0)</f>
        <v>56.560200000000002</v>
      </c>
      <c r="H833" s="10">
        <f>56.5245 * CHOOSE(CONTROL!$C$15, $E$9, 100%, $G$9) + CHOOSE(CONTROL!$C$38, 0.0357, 0)</f>
        <v>56.560200000000002</v>
      </c>
      <c r="I833" s="10">
        <f>56.5261 * CHOOSE(CONTROL!$C$15, $E$9, 100%, $G$9) + CHOOSE(CONTROL!$C$38, 0.0357, 0)</f>
        <v>56.561799999999998</v>
      </c>
      <c r="J833" s="26">
        <f>424.4489</f>
        <v>424.44889999999998</v>
      </c>
    </row>
    <row r="834" spans="1:10" ht="15.75">
      <c r="A834" s="13">
        <v>66688</v>
      </c>
      <c r="B834" s="10">
        <f>61.08 * CHOOSE(CONTROL!$C$15, $E$9, 100%, $G$9) + CHOOSE(CONTROL!$C$38, 0.0266, 0)</f>
        <v>61.1066</v>
      </c>
      <c r="C834" s="10">
        <f>56.3196 * CHOOSE(CONTROL!$C$15, $E$9, 100%, $G$9) + CHOOSE(CONTROL!$C$38, 0.0357, 0)</f>
        <v>56.3553</v>
      </c>
      <c r="D834" s="10">
        <f>56.3118 * CHOOSE(CONTROL!$C$15, $E$9, 100%, $G$9) + CHOOSE(CONTROL!$C$38, 0.0357, 0)</f>
        <v>56.347499999999997</v>
      </c>
      <c r="E834" s="28">
        <f>60.9237 * CHOOSE(CONTROL!$C$15, $E$9, 100%, $G$9) + CHOOSE(CONTROL!$C$38, 0.0357, 0)</f>
        <v>60.959399999999995</v>
      </c>
      <c r="F834" s="27">
        <f>60.9237 * CHOOSE(CONTROL!$C$15, $E$9, 100%, $G$9) + CHOOSE(CONTROL!$C$38, 0.0266, 0)</f>
        <v>60.950299999999999</v>
      </c>
      <c r="G834" s="10">
        <f>56.318 * CHOOSE(CONTROL!$C$15, $E$9, 100%, $G$9) + CHOOSE(CONTROL!$C$38, 0.0357, 0)</f>
        <v>56.353699999999996</v>
      </c>
      <c r="H834" s="10">
        <f>56.318 * CHOOSE(CONTROL!$C$15, $E$9, 100%, $G$9) + CHOOSE(CONTROL!$C$38, 0.0357, 0)</f>
        <v>56.353699999999996</v>
      </c>
      <c r="I834" s="10">
        <f>56.3196 * CHOOSE(CONTROL!$C$15, $E$9, 100%, $G$9) + CHOOSE(CONTROL!$C$38, 0.0357, 0)</f>
        <v>56.3553</v>
      </c>
      <c r="J834" s="26">
        <f>422.4638</f>
        <v>422.46379999999999</v>
      </c>
    </row>
    <row r="835" spans="1:10" ht="15.75">
      <c r="A835" s="13">
        <v>66719</v>
      </c>
      <c r="B835" s="10">
        <f>61.1819 * CHOOSE(CONTROL!$C$15, $E$9, 100%, $G$9) + CHOOSE(CONTROL!$C$38, 0.0266, 0)</f>
        <v>61.208500000000001</v>
      </c>
      <c r="C835" s="10">
        <f>56.4215 * CHOOSE(CONTROL!$C$15, $E$9, 100%, $G$9) + CHOOSE(CONTROL!$C$38, 0.0357, 0)</f>
        <v>56.4572</v>
      </c>
      <c r="D835" s="10">
        <f>56.4137 * CHOOSE(CONTROL!$C$15, $E$9, 100%, $G$9) + CHOOSE(CONTROL!$C$38, 0.0357, 0)</f>
        <v>56.449399999999997</v>
      </c>
      <c r="E835" s="28">
        <f>61.0256 * CHOOSE(CONTROL!$C$15, $E$9, 100%, $G$9) + CHOOSE(CONTROL!$C$38, 0.0357, 0)</f>
        <v>61.061299999999996</v>
      </c>
      <c r="F835" s="27">
        <f>61.0256 * CHOOSE(CONTROL!$C$15, $E$9, 100%, $G$9) + CHOOSE(CONTROL!$C$38, 0.0266, 0)</f>
        <v>61.052199999999999</v>
      </c>
      <c r="G835" s="10">
        <f>56.4199 * CHOOSE(CONTROL!$C$15, $E$9, 100%, $G$9) + CHOOSE(CONTROL!$C$38, 0.0357, 0)</f>
        <v>56.455599999999997</v>
      </c>
      <c r="H835" s="10">
        <f>56.4199 * CHOOSE(CONTROL!$C$15, $E$9, 100%, $G$9) + CHOOSE(CONTROL!$C$38, 0.0357, 0)</f>
        <v>56.455599999999997</v>
      </c>
      <c r="I835" s="10">
        <f>56.4215 * CHOOSE(CONTROL!$C$15, $E$9, 100%, $G$9) + CHOOSE(CONTROL!$C$38, 0.0357, 0)</f>
        <v>56.4572</v>
      </c>
      <c r="J835" s="26">
        <f>412.6291</f>
        <v>412.62909999999999</v>
      </c>
    </row>
    <row r="836" spans="1:10" ht="15.75">
      <c r="A836" s="13">
        <v>66749</v>
      </c>
      <c r="B836" s="10">
        <f>61.4587 * CHOOSE(CONTROL!$C$15, $E$9, 100%, $G$9) + CHOOSE(CONTROL!$C$38, 0.0266, 0)</f>
        <v>61.485300000000002</v>
      </c>
      <c r="C836" s="10">
        <f>56.6983 * CHOOSE(CONTROL!$C$15, $E$9, 100%, $G$9) + CHOOSE(CONTROL!$C$38, 0.0357, 0)</f>
        <v>56.734000000000002</v>
      </c>
      <c r="D836" s="10">
        <f>56.6905 * CHOOSE(CONTROL!$C$15, $E$9, 100%, $G$9) + CHOOSE(CONTROL!$C$38, 0.0357, 0)</f>
        <v>56.726199999999999</v>
      </c>
      <c r="E836" s="28">
        <f>61.3024 * CHOOSE(CONTROL!$C$15, $E$9, 100%, $G$9) + CHOOSE(CONTROL!$C$38, 0.0357, 0)</f>
        <v>61.338099999999997</v>
      </c>
      <c r="F836" s="27">
        <f>61.3024 * CHOOSE(CONTROL!$C$15, $E$9, 100%, $G$9) + CHOOSE(CONTROL!$C$38, 0.0266, 0)</f>
        <v>61.329000000000001</v>
      </c>
      <c r="G836" s="10">
        <f>56.6967 * CHOOSE(CONTROL!$C$15, $E$9, 100%, $G$9) + CHOOSE(CONTROL!$C$38, 0.0357, 0)</f>
        <v>56.732399999999998</v>
      </c>
      <c r="H836" s="10">
        <f>56.6967 * CHOOSE(CONTROL!$C$15, $E$9, 100%, $G$9) + CHOOSE(CONTROL!$C$38, 0.0357, 0)</f>
        <v>56.732399999999998</v>
      </c>
      <c r="I836" s="10">
        <f>56.6983 * CHOOSE(CONTROL!$C$15, $E$9, 100%, $G$9) + CHOOSE(CONTROL!$C$38, 0.0357, 0)</f>
        <v>56.734000000000002</v>
      </c>
      <c r="J836" s="26">
        <f>398.914</f>
        <v>398.91399999999999</v>
      </c>
    </row>
    <row r="837" spans="1:10" ht="15.75">
      <c r="A837" s="13">
        <v>66780</v>
      </c>
      <c r="B837" s="10">
        <f>61.6905 * CHOOSE(CONTROL!$C$15, $E$9, 100%, $G$9) + CHOOSE(CONTROL!$C$38, 0.0266, 0)</f>
        <v>61.717100000000002</v>
      </c>
      <c r="C837" s="10">
        <f>56.9301 * CHOOSE(CONTROL!$C$15, $E$9, 100%, $G$9) + CHOOSE(CONTROL!$C$38, 0.0357, 0)</f>
        <v>56.965800000000002</v>
      </c>
      <c r="D837" s="10">
        <f>56.9223 * CHOOSE(CONTROL!$C$15, $E$9, 100%, $G$9) + CHOOSE(CONTROL!$C$38, 0.0357, 0)</f>
        <v>56.957999999999998</v>
      </c>
      <c r="E837" s="28">
        <f>61.5342 * CHOOSE(CONTROL!$C$15, $E$9, 100%, $G$9) + CHOOSE(CONTROL!$C$38, 0.0357, 0)</f>
        <v>61.569899999999997</v>
      </c>
      <c r="F837" s="27">
        <f>61.5342 * CHOOSE(CONTROL!$C$15, $E$9, 100%, $G$9) + CHOOSE(CONTROL!$C$38, 0.0266, 0)</f>
        <v>61.5608</v>
      </c>
      <c r="G837" s="10">
        <f>56.9286 * CHOOSE(CONTROL!$C$15, $E$9, 100%, $G$9) + CHOOSE(CONTROL!$C$38, 0.0357, 0)</f>
        <v>56.964300000000001</v>
      </c>
      <c r="H837" s="10">
        <f>56.9286 * CHOOSE(CONTROL!$C$15, $E$9, 100%, $G$9) + CHOOSE(CONTROL!$C$38, 0.0357, 0)</f>
        <v>56.964300000000001</v>
      </c>
      <c r="I837" s="10">
        <f>56.9301 * CHOOSE(CONTROL!$C$15, $E$9, 100%, $G$9) + CHOOSE(CONTROL!$C$38, 0.0357, 0)</f>
        <v>56.965800000000002</v>
      </c>
      <c r="J837" s="26">
        <f>385.1191</f>
        <v>385.1191</v>
      </c>
    </row>
    <row r="838" spans="1:10" ht="15.75">
      <c r="A838" s="13">
        <v>66810</v>
      </c>
      <c r="B838" s="10">
        <f>61.8839 * CHOOSE(CONTROL!$C$15, $E$9, 100%, $G$9) + CHOOSE(CONTROL!$C$38, 0.0266, 0)</f>
        <v>61.910499999999999</v>
      </c>
      <c r="C838" s="10">
        <f>57.1236 * CHOOSE(CONTROL!$C$15, $E$9, 100%, $G$9) + CHOOSE(CONTROL!$C$38, 0.0357, 0)</f>
        <v>57.159300000000002</v>
      </c>
      <c r="D838" s="10">
        <f>57.1158 * CHOOSE(CONTROL!$C$15, $E$9, 100%, $G$9) + CHOOSE(CONTROL!$C$38, 0.0357, 0)</f>
        <v>57.151499999999999</v>
      </c>
      <c r="E838" s="28">
        <f>61.7277 * CHOOSE(CONTROL!$C$15, $E$9, 100%, $G$9) + CHOOSE(CONTROL!$C$38, 0.0357, 0)</f>
        <v>61.763399999999997</v>
      </c>
      <c r="F838" s="27">
        <f>61.7277 * CHOOSE(CONTROL!$C$15, $E$9, 100%, $G$9) + CHOOSE(CONTROL!$C$38, 0.0266, 0)</f>
        <v>61.754300000000001</v>
      </c>
      <c r="G838" s="10">
        <f>57.122 * CHOOSE(CONTROL!$C$15, $E$9, 100%, $G$9) + CHOOSE(CONTROL!$C$38, 0.0357, 0)</f>
        <v>57.157699999999998</v>
      </c>
      <c r="H838" s="10">
        <f>57.122 * CHOOSE(CONTROL!$C$15, $E$9, 100%, $G$9) + CHOOSE(CONTROL!$C$38, 0.0357, 0)</f>
        <v>57.157699999999998</v>
      </c>
      <c r="I838" s="10">
        <f>57.1236 * CHOOSE(CONTROL!$C$15, $E$9, 100%, $G$9) + CHOOSE(CONTROL!$C$38, 0.0357, 0)</f>
        <v>57.159300000000002</v>
      </c>
      <c r="J838" s="26">
        <f>382.3751</f>
        <v>382.37509999999997</v>
      </c>
    </row>
    <row r="839" spans="1:10" ht="15.75">
      <c r="A839" s="13">
        <v>66841</v>
      </c>
      <c r="B839" s="10">
        <f>62.48 * CHOOSE(CONTROL!$C$15, $E$9, 100%, $G$9) + CHOOSE(CONTROL!$C$38, 0.0266, 0)</f>
        <v>62.506599999999999</v>
      </c>
      <c r="C839" s="10">
        <f>57.7196 * CHOOSE(CONTROL!$C$15, $E$9, 100%, $G$9) + CHOOSE(CONTROL!$C$38, 0.0357, 0)</f>
        <v>57.755299999999998</v>
      </c>
      <c r="D839" s="10">
        <f>57.7118 * CHOOSE(CONTROL!$C$15, $E$9, 100%, $G$9) + CHOOSE(CONTROL!$C$38, 0.0357, 0)</f>
        <v>57.747499999999995</v>
      </c>
      <c r="E839" s="28">
        <f>62.3237 * CHOOSE(CONTROL!$C$15, $E$9, 100%, $G$9) + CHOOSE(CONTROL!$C$38, 0.0357, 0)</f>
        <v>62.359400000000001</v>
      </c>
      <c r="F839" s="27">
        <f>62.3237 * CHOOSE(CONTROL!$C$15, $E$9, 100%, $G$9) + CHOOSE(CONTROL!$C$38, 0.0266, 0)</f>
        <v>62.350300000000004</v>
      </c>
      <c r="G839" s="10">
        <f>57.7181 * CHOOSE(CONTROL!$C$15, $E$9, 100%, $G$9) + CHOOSE(CONTROL!$C$38, 0.0357, 0)</f>
        <v>57.753799999999998</v>
      </c>
      <c r="H839" s="10">
        <f>57.7181 * CHOOSE(CONTROL!$C$15, $E$9, 100%, $G$9) + CHOOSE(CONTROL!$C$38, 0.0357, 0)</f>
        <v>57.753799999999998</v>
      </c>
      <c r="I839" s="10">
        <f>57.7196 * CHOOSE(CONTROL!$C$15, $E$9, 100%, $G$9) + CHOOSE(CONTROL!$C$38, 0.0357, 0)</f>
        <v>57.755299999999998</v>
      </c>
      <c r="J839" s="26">
        <f>371.028</f>
        <v>371.02800000000002</v>
      </c>
    </row>
    <row r="840" spans="1:10" ht="15.75">
      <c r="A840" s="13">
        <v>66872</v>
      </c>
      <c r="B840" s="10">
        <f>64.0339 * CHOOSE(CONTROL!$C$15, $E$9, 100%, $G$9) + CHOOSE(CONTROL!$C$38, 0.0266, 0)</f>
        <v>64.060500000000005</v>
      </c>
      <c r="C840" s="10">
        <f>59.1922 * CHOOSE(CONTROL!$C$15, $E$9, 100%, $G$9) + CHOOSE(CONTROL!$C$38, 0.0357, 0)</f>
        <v>59.227899999999998</v>
      </c>
      <c r="D840" s="10">
        <f>59.1843 * CHOOSE(CONTROL!$C$15, $E$9, 100%, $G$9) + CHOOSE(CONTROL!$C$38, 0.0357, 0)</f>
        <v>59.22</v>
      </c>
      <c r="E840" s="28">
        <f>63.8776 * CHOOSE(CONTROL!$C$15, $E$9, 100%, $G$9) + CHOOSE(CONTROL!$C$38, 0.0357, 0)</f>
        <v>63.9133</v>
      </c>
      <c r="F840" s="27">
        <f>63.8776 * CHOOSE(CONTROL!$C$15, $E$9, 100%, $G$9) + CHOOSE(CONTROL!$C$38, 0.0266, 0)</f>
        <v>63.904200000000003</v>
      </c>
      <c r="G840" s="10">
        <f>59.1906 * CHOOSE(CONTROL!$C$15, $E$9, 100%, $G$9) + CHOOSE(CONTROL!$C$38, 0.0357, 0)</f>
        <v>59.226300000000002</v>
      </c>
      <c r="H840" s="10">
        <f>59.1906 * CHOOSE(CONTROL!$C$15, $E$9, 100%, $G$9) + CHOOSE(CONTROL!$C$38, 0.0357, 0)</f>
        <v>59.226300000000002</v>
      </c>
      <c r="I840" s="10">
        <f>59.1922 * CHOOSE(CONTROL!$C$15, $E$9, 100%, $G$9) + CHOOSE(CONTROL!$C$38, 0.0357, 0)</f>
        <v>59.227899999999998</v>
      </c>
      <c r="J840" s="26">
        <f>368.5427</f>
        <v>368.54270000000002</v>
      </c>
    </row>
    <row r="841" spans="1:10" ht="15.75">
      <c r="A841" s="13">
        <v>66900</v>
      </c>
      <c r="B841" s="10">
        <f>64.2546 * CHOOSE(CONTROL!$C$15, $E$9, 100%, $G$9) + CHOOSE(CONTROL!$C$38, 0.0266, 0)</f>
        <v>64.281199999999998</v>
      </c>
      <c r="C841" s="10">
        <f>59.4129 * CHOOSE(CONTROL!$C$15, $E$9, 100%, $G$9) + CHOOSE(CONTROL!$C$38, 0.0357, 0)</f>
        <v>59.448599999999999</v>
      </c>
      <c r="D841" s="10">
        <f>59.4051 * CHOOSE(CONTROL!$C$15, $E$9, 100%, $G$9) + CHOOSE(CONTROL!$C$38, 0.0357, 0)</f>
        <v>59.440799999999996</v>
      </c>
      <c r="E841" s="28">
        <f>64.0984 * CHOOSE(CONTROL!$C$15, $E$9, 100%, $G$9) + CHOOSE(CONTROL!$C$38, 0.0357, 0)</f>
        <v>64.134100000000004</v>
      </c>
      <c r="F841" s="27">
        <f>64.0984 * CHOOSE(CONTROL!$C$15, $E$9, 100%, $G$9) + CHOOSE(CONTROL!$C$38, 0.0266, 0)</f>
        <v>64.125</v>
      </c>
      <c r="G841" s="10">
        <f>59.4114 * CHOOSE(CONTROL!$C$15, $E$9, 100%, $G$9) + CHOOSE(CONTROL!$C$38, 0.0357, 0)</f>
        <v>59.447099999999999</v>
      </c>
      <c r="H841" s="10">
        <f>59.4114 * CHOOSE(CONTROL!$C$15, $E$9, 100%, $G$9) + CHOOSE(CONTROL!$C$38, 0.0357, 0)</f>
        <v>59.447099999999999</v>
      </c>
      <c r="I841" s="10">
        <f>59.4129 * CHOOSE(CONTROL!$C$15, $E$9, 100%, $G$9) + CHOOSE(CONTROL!$C$38, 0.0357, 0)</f>
        <v>59.448599999999999</v>
      </c>
      <c r="J841" s="26">
        <f>367.5183</f>
        <v>367.51830000000001</v>
      </c>
    </row>
    <row r="842" spans="1:10" ht="15.75">
      <c r="A842" s="13">
        <v>66931</v>
      </c>
      <c r="B842" s="10">
        <f>63.7436 * CHOOSE(CONTROL!$C$15, $E$9, 100%, $G$9) + CHOOSE(CONTROL!$C$38, 0.0266, 0)</f>
        <v>63.770200000000003</v>
      </c>
      <c r="C842" s="10">
        <f>58.9019 * CHOOSE(CONTROL!$C$15, $E$9, 100%, $G$9) + CHOOSE(CONTROL!$C$38, 0.0357, 0)</f>
        <v>58.937599999999996</v>
      </c>
      <c r="D842" s="10">
        <f>58.8941 * CHOOSE(CONTROL!$C$15, $E$9, 100%, $G$9) + CHOOSE(CONTROL!$C$38, 0.0357, 0)</f>
        <v>58.9298</v>
      </c>
      <c r="E842" s="28">
        <f>63.5873 * CHOOSE(CONTROL!$C$15, $E$9, 100%, $G$9) + CHOOSE(CONTROL!$C$38, 0.0357, 0)</f>
        <v>63.622999999999998</v>
      </c>
      <c r="F842" s="27">
        <f>63.5873 * CHOOSE(CONTROL!$C$15, $E$9, 100%, $G$9) + CHOOSE(CONTROL!$C$38, 0.0266, 0)</f>
        <v>63.613900000000001</v>
      </c>
      <c r="G842" s="10">
        <f>58.9003 * CHOOSE(CONTROL!$C$15, $E$9, 100%, $G$9) + CHOOSE(CONTROL!$C$38, 0.0357, 0)</f>
        <v>58.936</v>
      </c>
      <c r="H842" s="10">
        <f>58.9003 * CHOOSE(CONTROL!$C$15, $E$9, 100%, $G$9) + CHOOSE(CONTROL!$C$38, 0.0357, 0)</f>
        <v>58.936</v>
      </c>
      <c r="I842" s="10">
        <f>58.9019 * CHOOSE(CONTROL!$C$15, $E$9, 100%, $G$9) + CHOOSE(CONTROL!$C$38, 0.0357, 0)</f>
        <v>58.937599999999996</v>
      </c>
      <c r="J842" s="26">
        <f>386.8886</f>
        <v>386.8886</v>
      </c>
    </row>
    <row r="843" spans="1:10" ht="15.75">
      <c r="A843" s="13">
        <v>66961</v>
      </c>
      <c r="B843" s="10">
        <f>63.2484 * CHOOSE(CONTROL!$C$15, $E$9, 100%, $G$9) + CHOOSE(CONTROL!$C$38, 0.0266, 0)</f>
        <v>63.274999999999999</v>
      </c>
      <c r="C843" s="10">
        <f>58.4067 * CHOOSE(CONTROL!$C$15, $E$9, 100%, $G$9) + CHOOSE(CONTROL!$C$38, 0.0357, 0)</f>
        <v>58.442399999999999</v>
      </c>
      <c r="D843" s="10">
        <f>58.3989 * CHOOSE(CONTROL!$C$15, $E$9, 100%, $G$9) + CHOOSE(CONTROL!$C$38, 0.0357, 0)</f>
        <v>58.434599999999996</v>
      </c>
      <c r="E843" s="28">
        <f>63.0922 * CHOOSE(CONTROL!$C$15, $E$9, 100%, $G$9) + CHOOSE(CONTROL!$C$38, 0.0357, 0)</f>
        <v>63.127899999999997</v>
      </c>
      <c r="F843" s="27">
        <f>63.0922 * CHOOSE(CONTROL!$C$15, $E$9, 100%, $G$9) + CHOOSE(CONTROL!$C$38, 0.0266, 0)</f>
        <v>63.1188</v>
      </c>
      <c r="G843" s="10">
        <f>58.4051 * CHOOSE(CONTROL!$C$15, $E$9, 100%, $G$9) + CHOOSE(CONTROL!$C$38, 0.0357, 0)</f>
        <v>58.440799999999996</v>
      </c>
      <c r="H843" s="10">
        <f>58.4051 * CHOOSE(CONTROL!$C$15, $E$9, 100%, $G$9) + CHOOSE(CONTROL!$C$38, 0.0357, 0)</f>
        <v>58.440799999999996</v>
      </c>
      <c r="I843" s="10">
        <f>58.4067 * CHOOSE(CONTROL!$C$15, $E$9, 100%, $G$9) + CHOOSE(CONTROL!$C$38, 0.0357, 0)</f>
        <v>58.442399999999999</v>
      </c>
      <c r="J843" s="26">
        <f>412.0073</f>
        <v>412.00729999999999</v>
      </c>
    </row>
    <row r="844" spans="1:10" ht="15.75">
      <c r="A844" s="13">
        <v>66992</v>
      </c>
      <c r="B844" s="10">
        <f>62.7323 * CHOOSE(CONTROL!$C$15, $E$9, 100%, $G$9) + CHOOSE(CONTROL!$C$38, 0.0266, 0)</f>
        <v>62.758900000000004</v>
      </c>
      <c r="C844" s="10">
        <f>57.8906 * CHOOSE(CONTROL!$C$15, $E$9, 100%, $G$9) + CHOOSE(CONTROL!$C$38, 0.0357, 0)</f>
        <v>57.926299999999998</v>
      </c>
      <c r="D844" s="10">
        <f>57.8828 * CHOOSE(CONTROL!$C$15, $E$9, 100%, $G$9) + CHOOSE(CONTROL!$C$38, 0.0357, 0)</f>
        <v>57.918500000000002</v>
      </c>
      <c r="E844" s="28">
        <f>62.576 * CHOOSE(CONTROL!$C$15, $E$9, 100%, $G$9) + CHOOSE(CONTROL!$C$38, 0.0357, 0)</f>
        <v>62.611699999999999</v>
      </c>
      <c r="F844" s="27">
        <f>62.576 * CHOOSE(CONTROL!$C$15, $E$9, 100%, $G$9) + CHOOSE(CONTROL!$C$38, 0.0266, 0)</f>
        <v>62.602600000000002</v>
      </c>
      <c r="G844" s="10">
        <f>57.889 * CHOOSE(CONTROL!$C$15, $E$9, 100%, $G$9) + CHOOSE(CONTROL!$C$38, 0.0357, 0)</f>
        <v>57.924700000000001</v>
      </c>
      <c r="H844" s="10">
        <f>57.889 * CHOOSE(CONTROL!$C$15, $E$9, 100%, $G$9) + CHOOSE(CONTROL!$C$38, 0.0357, 0)</f>
        <v>57.924700000000001</v>
      </c>
      <c r="I844" s="10">
        <f>57.8906 * CHOOSE(CONTROL!$C$15, $E$9, 100%, $G$9) + CHOOSE(CONTROL!$C$38, 0.0357, 0)</f>
        <v>57.926299999999998</v>
      </c>
      <c r="J844" s="26">
        <f>425.8335</f>
        <v>425.83350000000002</v>
      </c>
    </row>
    <row r="845" spans="1:10" ht="15.75">
      <c r="A845" s="13">
        <v>67022</v>
      </c>
      <c r="B845" s="10">
        <f>62.3705 * CHOOSE(CONTROL!$C$15, $E$9, 100%, $G$9) + CHOOSE(CONTROL!$C$38, 0.0266, 0)</f>
        <v>62.397100000000002</v>
      </c>
      <c r="C845" s="10">
        <f>57.5288 * CHOOSE(CONTROL!$C$15, $E$9, 100%, $G$9) + CHOOSE(CONTROL!$C$38, 0.0357, 0)</f>
        <v>57.564499999999995</v>
      </c>
      <c r="D845" s="10">
        <f>57.521 * CHOOSE(CONTROL!$C$15, $E$9, 100%, $G$9) + CHOOSE(CONTROL!$C$38, 0.0357, 0)</f>
        <v>57.556699999999999</v>
      </c>
      <c r="E845" s="28">
        <f>62.2142 * CHOOSE(CONTROL!$C$15, $E$9, 100%, $G$9) + CHOOSE(CONTROL!$C$38, 0.0357, 0)</f>
        <v>62.249899999999997</v>
      </c>
      <c r="F845" s="27">
        <f>62.2142 * CHOOSE(CONTROL!$C$15, $E$9, 100%, $G$9) + CHOOSE(CONTROL!$C$38, 0.0266, 0)</f>
        <v>62.2408</v>
      </c>
      <c r="G845" s="10">
        <f>57.5272 * CHOOSE(CONTROL!$C$15, $E$9, 100%, $G$9) + CHOOSE(CONTROL!$C$38, 0.0357, 0)</f>
        <v>57.562899999999999</v>
      </c>
      <c r="H845" s="10">
        <f>57.5272 * CHOOSE(CONTROL!$C$15, $E$9, 100%, $G$9) + CHOOSE(CONTROL!$C$38, 0.0357, 0)</f>
        <v>57.562899999999999</v>
      </c>
      <c r="I845" s="10">
        <f>57.5288 * CHOOSE(CONTROL!$C$15, $E$9, 100%, $G$9) + CHOOSE(CONTROL!$C$38, 0.0357, 0)</f>
        <v>57.564499999999995</v>
      </c>
      <c r="J845" s="26">
        <f>431.9693</f>
        <v>431.96929999999998</v>
      </c>
    </row>
    <row r="846" spans="1:10" ht="15.75">
      <c r="A846" s="13">
        <v>67053</v>
      </c>
      <c r="B846" s="10">
        <f>62.164 * CHOOSE(CONTROL!$C$15, $E$9, 100%, $G$9) + CHOOSE(CONTROL!$C$38, 0.0266, 0)</f>
        <v>62.190600000000003</v>
      </c>
      <c r="C846" s="10">
        <f>57.3223 * CHOOSE(CONTROL!$C$15, $E$9, 100%, $G$9) + CHOOSE(CONTROL!$C$38, 0.0357, 0)</f>
        <v>57.357999999999997</v>
      </c>
      <c r="D846" s="10">
        <f>57.3145 * CHOOSE(CONTROL!$C$15, $E$9, 100%, $G$9) + CHOOSE(CONTROL!$C$38, 0.0357, 0)</f>
        <v>57.350200000000001</v>
      </c>
      <c r="E846" s="28">
        <f>62.0077 * CHOOSE(CONTROL!$C$15, $E$9, 100%, $G$9) + CHOOSE(CONTROL!$C$38, 0.0357, 0)</f>
        <v>62.043399999999998</v>
      </c>
      <c r="F846" s="27">
        <f>62.0077 * CHOOSE(CONTROL!$C$15, $E$9, 100%, $G$9) + CHOOSE(CONTROL!$C$38, 0.0266, 0)</f>
        <v>62.034300000000002</v>
      </c>
      <c r="G846" s="10">
        <f>57.3207 * CHOOSE(CONTROL!$C$15, $E$9, 100%, $G$9) + CHOOSE(CONTROL!$C$38, 0.0357, 0)</f>
        <v>57.356400000000001</v>
      </c>
      <c r="H846" s="10">
        <f>57.3207 * CHOOSE(CONTROL!$C$15, $E$9, 100%, $G$9) + CHOOSE(CONTROL!$C$38, 0.0357, 0)</f>
        <v>57.356400000000001</v>
      </c>
      <c r="I846" s="10">
        <f>57.3223 * CHOOSE(CONTROL!$C$15, $E$9, 100%, $G$9) + CHOOSE(CONTROL!$C$38, 0.0357, 0)</f>
        <v>57.357999999999997</v>
      </c>
      <c r="J846" s="26">
        <f>429.9491</f>
        <v>429.94909999999999</v>
      </c>
    </row>
    <row r="847" spans="1:10" ht="15.75">
      <c r="A847" s="13">
        <v>67084</v>
      </c>
      <c r="B847" s="10">
        <f>62.2659 * CHOOSE(CONTROL!$C$15, $E$9, 100%, $G$9) + CHOOSE(CONTROL!$C$38, 0.0266, 0)</f>
        <v>62.292500000000004</v>
      </c>
      <c r="C847" s="10">
        <f>57.4242 * CHOOSE(CONTROL!$C$15, $E$9, 100%, $G$9) + CHOOSE(CONTROL!$C$38, 0.0357, 0)</f>
        <v>57.459899999999998</v>
      </c>
      <c r="D847" s="10">
        <f>57.4164 * CHOOSE(CONTROL!$C$15, $E$9, 100%, $G$9) + CHOOSE(CONTROL!$C$38, 0.0357, 0)</f>
        <v>57.452100000000002</v>
      </c>
      <c r="E847" s="28">
        <f>62.1096 * CHOOSE(CONTROL!$C$15, $E$9, 100%, $G$9) + CHOOSE(CONTROL!$C$38, 0.0357, 0)</f>
        <v>62.145299999999999</v>
      </c>
      <c r="F847" s="27">
        <f>62.1096 * CHOOSE(CONTROL!$C$15, $E$9, 100%, $G$9) + CHOOSE(CONTROL!$C$38, 0.0266, 0)</f>
        <v>62.136200000000002</v>
      </c>
      <c r="G847" s="10">
        <f>57.4226 * CHOOSE(CONTROL!$C$15, $E$9, 100%, $G$9) + CHOOSE(CONTROL!$C$38, 0.0357, 0)</f>
        <v>57.458300000000001</v>
      </c>
      <c r="H847" s="10">
        <f>57.4226 * CHOOSE(CONTROL!$C$15, $E$9, 100%, $G$9) + CHOOSE(CONTROL!$C$38, 0.0357, 0)</f>
        <v>57.458300000000001</v>
      </c>
      <c r="I847" s="10">
        <f>57.4242 * CHOOSE(CONTROL!$C$15, $E$9, 100%, $G$9) + CHOOSE(CONTROL!$C$38, 0.0357, 0)</f>
        <v>57.459899999999998</v>
      </c>
      <c r="J847" s="26">
        <f>419.9401</f>
        <v>419.94009999999997</v>
      </c>
    </row>
    <row r="848" spans="1:10" ht="15.75">
      <c r="A848" s="13">
        <v>67114</v>
      </c>
      <c r="B848" s="10">
        <f>62.5427 * CHOOSE(CONTROL!$C$15, $E$9, 100%, $G$9) + CHOOSE(CONTROL!$C$38, 0.0266, 0)</f>
        <v>62.569300000000005</v>
      </c>
      <c r="C848" s="10">
        <f>57.701 * CHOOSE(CONTROL!$C$15, $E$9, 100%, $G$9) + CHOOSE(CONTROL!$C$38, 0.0357, 0)</f>
        <v>57.736699999999999</v>
      </c>
      <c r="D848" s="10">
        <f>57.6932 * CHOOSE(CONTROL!$C$15, $E$9, 100%, $G$9) + CHOOSE(CONTROL!$C$38, 0.0357, 0)</f>
        <v>57.728899999999996</v>
      </c>
      <c r="E848" s="28">
        <f>62.3864 * CHOOSE(CONTROL!$C$15, $E$9, 100%, $G$9) + CHOOSE(CONTROL!$C$38, 0.0357, 0)</f>
        <v>62.4221</v>
      </c>
      <c r="F848" s="27">
        <f>62.3864 * CHOOSE(CONTROL!$C$15, $E$9, 100%, $G$9) + CHOOSE(CONTROL!$C$38, 0.0266, 0)</f>
        <v>62.413000000000004</v>
      </c>
      <c r="G848" s="10">
        <f>57.6994 * CHOOSE(CONTROL!$C$15, $E$9, 100%, $G$9) + CHOOSE(CONTROL!$C$38, 0.0357, 0)</f>
        <v>57.735099999999996</v>
      </c>
      <c r="H848" s="10">
        <f>57.6994 * CHOOSE(CONTROL!$C$15, $E$9, 100%, $G$9) + CHOOSE(CONTROL!$C$38, 0.0357, 0)</f>
        <v>57.735099999999996</v>
      </c>
      <c r="I848" s="10">
        <f>57.701 * CHOOSE(CONTROL!$C$15, $E$9, 100%, $G$9) + CHOOSE(CONTROL!$C$38, 0.0357, 0)</f>
        <v>57.736699999999999</v>
      </c>
      <c r="J848" s="26">
        <f>405.982</f>
        <v>405.98200000000003</v>
      </c>
    </row>
    <row r="849" spans="1:10" ht="15.75">
      <c r="A849" s="13">
        <v>67145</v>
      </c>
      <c r="B849" s="10">
        <f>62.7745 * CHOOSE(CONTROL!$C$15, $E$9, 100%, $G$9) + CHOOSE(CONTROL!$C$38, 0.0266, 0)</f>
        <v>62.801100000000005</v>
      </c>
      <c r="C849" s="10">
        <f>57.9328 * CHOOSE(CONTROL!$C$15, $E$9, 100%, $G$9) + CHOOSE(CONTROL!$C$38, 0.0357, 0)</f>
        <v>57.968499999999999</v>
      </c>
      <c r="D849" s="10">
        <f>57.925 * CHOOSE(CONTROL!$C$15, $E$9, 100%, $G$9) + CHOOSE(CONTROL!$C$38, 0.0357, 0)</f>
        <v>57.960699999999996</v>
      </c>
      <c r="E849" s="28">
        <f>62.6183 * CHOOSE(CONTROL!$C$15, $E$9, 100%, $G$9) + CHOOSE(CONTROL!$C$38, 0.0357, 0)</f>
        <v>62.653999999999996</v>
      </c>
      <c r="F849" s="27">
        <f>62.6183 * CHOOSE(CONTROL!$C$15, $E$9, 100%, $G$9) + CHOOSE(CONTROL!$C$38, 0.0266, 0)</f>
        <v>62.6449</v>
      </c>
      <c r="G849" s="10">
        <f>57.9312 * CHOOSE(CONTROL!$C$15, $E$9, 100%, $G$9) + CHOOSE(CONTROL!$C$38, 0.0357, 0)</f>
        <v>57.966899999999995</v>
      </c>
      <c r="H849" s="10">
        <f>57.9312 * CHOOSE(CONTROL!$C$15, $E$9, 100%, $G$9) + CHOOSE(CONTROL!$C$38, 0.0357, 0)</f>
        <v>57.966899999999995</v>
      </c>
      <c r="I849" s="10">
        <f>57.9328 * CHOOSE(CONTROL!$C$15, $E$9, 100%, $G$9) + CHOOSE(CONTROL!$C$38, 0.0357, 0)</f>
        <v>57.968499999999999</v>
      </c>
      <c r="J849" s="26">
        <f>391.9427</f>
        <v>391.9427</v>
      </c>
    </row>
    <row r="850" spans="1:10" ht="15.75">
      <c r="A850" s="13">
        <v>67175</v>
      </c>
      <c r="B850" s="10">
        <f>62.9679 * CHOOSE(CONTROL!$C$15, $E$9, 100%, $G$9) + CHOOSE(CONTROL!$C$38, 0.0266, 0)</f>
        <v>62.994500000000002</v>
      </c>
      <c r="C850" s="10">
        <f>58.1262 * CHOOSE(CONTROL!$C$15, $E$9, 100%, $G$9) + CHOOSE(CONTROL!$C$38, 0.0357, 0)</f>
        <v>58.161899999999996</v>
      </c>
      <c r="D850" s="10">
        <f>58.1184 * CHOOSE(CONTROL!$C$15, $E$9, 100%, $G$9) + CHOOSE(CONTROL!$C$38, 0.0357, 0)</f>
        <v>58.1541</v>
      </c>
      <c r="E850" s="28">
        <f>62.8117 * CHOOSE(CONTROL!$C$15, $E$9, 100%, $G$9) + CHOOSE(CONTROL!$C$38, 0.0357, 0)</f>
        <v>62.8474</v>
      </c>
      <c r="F850" s="27">
        <f>62.8117 * CHOOSE(CONTROL!$C$15, $E$9, 100%, $G$9) + CHOOSE(CONTROL!$C$38, 0.0266, 0)</f>
        <v>62.838300000000004</v>
      </c>
      <c r="G850" s="10">
        <f>58.1247 * CHOOSE(CONTROL!$C$15, $E$9, 100%, $G$9) + CHOOSE(CONTROL!$C$38, 0.0357, 0)</f>
        <v>58.160399999999996</v>
      </c>
      <c r="H850" s="10">
        <f>58.1247 * CHOOSE(CONTROL!$C$15, $E$9, 100%, $G$9) + CHOOSE(CONTROL!$C$38, 0.0357, 0)</f>
        <v>58.160399999999996</v>
      </c>
      <c r="I850" s="10">
        <f>58.1262 * CHOOSE(CONTROL!$C$15, $E$9, 100%, $G$9) + CHOOSE(CONTROL!$C$38, 0.0357, 0)</f>
        <v>58.161899999999996</v>
      </c>
      <c r="J850" s="26">
        <f>389.15</f>
        <v>389.15</v>
      </c>
    </row>
    <row r="851" spans="1:10" ht="15.75">
      <c r="A851" s="13">
        <v>67206</v>
      </c>
      <c r="B851" s="10">
        <f>63.564 * CHOOSE(CONTROL!$C$15, $E$9, 100%, $G$9) + CHOOSE(CONTROL!$C$38, 0.0266, 0)</f>
        <v>63.590600000000002</v>
      </c>
      <c r="C851" s="10">
        <f>58.7223 * CHOOSE(CONTROL!$C$15, $E$9, 100%, $G$9) + CHOOSE(CONTROL!$C$38, 0.0357, 0)</f>
        <v>58.757999999999996</v>
      </c>
      <c r="D851" s="10">
        <f>58.7145 * CHOOSE(CONTROL!$C$15, $E$9, 100%, $G$9) + CHOOSE(CONTROL!$C$38, 0.0357, 0)</f>
        <v>58.7502</v>
      </c>
      <c r="E851" s="28">
        <f>63.4078 * CHOOSE(CONTROL!$C$15, $E$9, 100%, $G$9) + CHOOSE(CONTROL!$C$38, 0.0357, 0)</f>
        <v>63.4435</v>
      </c>
      <c r="F851" s="27">
        <f>63.4078 * CHOOSE(CONTROL!$C$15, $E$9, 100%, $G$9) + CHOOSE(CONTROL!$C$38, 0.0266, 0)</f>
        <v>63.434400000000004</v>
      </c>
      <c r="G851" s="10">
        <f>58.7208 * CHOOSE(CONTROL!$C$15, $E$9, 100%, $G$9) + CHOOSE(CONTROL!$C$38, 0.0357, 0)</f>
        <v>58.756499999999996</v>
      </c>
      <c r="H851" s="10">
        <f>58.7208 * CHOOSE(CONTROL!$C$15, $E$9, 100%, $G$9) + CHOOSE(CONTROL!$C$38, 0.0357, 0)</f>
        <v>58.756499999999996</v>
      </c>
      <c r="I851" s="10">
        <f>58.7223 * CHOOSE(CONTROL!$C$15, $E$9, 100%, $G$9) + CHOOSE(CONTROL!$C$38, 0.0357, 0)</f>
        <v>58.757999999999996</v>
      </c>
      <c r="J851" s="26">
        <f>377.602</f>
        <v>377.60199999999998</v>
      </c>
    </row>
    <row r="852" spans="1:10" ht="15.75">
      <c r="A852" s="13">
        <v>67237</v>
      </c>
      <c r="B852" s="10">
        <f>65.137 * CHOOSE(CONTROL!$C$15, $E$9, 100%, $G$9) + CHOOSE(CONTROL!$C$38, 0.0266, 0)</f>
        <v>65.163600000000002</v>
      </c>
      <c r="C852" s="10">
        <f>60.2125 * CHOOSE(CONTROL!$C$15, $E$9, 100%, $G$9) + CHOOSE(CONTROL!$C$38, 0.0357, 0)</f>
        <v>60.248199999999997</v>
      </c>
      <c r="D852" s="10">
        <f>60.2047 * CHOOSE(CONTROL!$C$15, $E$9, 100%, $G$9) + CHOOSE(CONTROL!$C$38, 0.0357, 0)</f>
        <v>60.240400000000001</v>
      </c>
      <c r="E852" s="28">
        <f>64.9808 * CHOOSE(CONTROL!$C$15, $E$9, 100%, $G$9) + CHOOSE(CONTROL!$C$38, 0.0357, 0)</f>
        <v>65.016500000000008</v>
      </c>
      <c r="F852" s="27">
        <f>64.9808 * CHOOSE(CONTROL!$C$15, $E$9, 100%, $G$9) + CHOOSE(CONTROL!$C$38, 0.0266, 0)</f>
        <v>65.007400000000004</v>
      </c>
      <c r="G852" s="10">
        <f>60.211 * CHOOSE(CONTROL!$C$15, $E$9, 100%, $G$9) + CHOOSE(CONTROL!$C$38, 0.0357, 0)</f>
        <v>60.246699999999997</v>
      </c>
      <c r="H852" s="10">
        <f>60.211 * CHOOSE(CONTROL!$C$15, $E$9, 100%, $G$9) + CHOOSE(CONTROL!$C$38, 0.0357, 0)</f>
        <v>60.246699999999997</v>
      </c>
      <c r="I852" s="10">
        <f>60.2125 * CHOOSE(CONTROL!$C$15, $E$9, 100%, $G$9) + CHOOSE(CONTROL!$C$38, 0.0357, 0)</f>
        <v>60.248199999999997</v>
      </c>
      <c r="J852" s="26">
        <f>375.0726</f>
        <v>375.07260000000002</v>
      </c>
    </row>
    <row r="853" spans="1:10" ht="15.75">
      <c r="A853" s="13">
        <v>67266</v>
      </c>
      <c r="B853" s="10">
        <f>65.3578 * CHOOSE(CONTROL!$C$15, $E$9, 100%, $G$9) + CHOOSE(CONTROL!$C$38, 0.0266, 0)</f>
        <v>65.384399999999999</v>
      </c>
      <c r="C853" s="10">
        <f>60.4333 * CHOOSE(CONTROL!$C$15, $E$9, 100%, $G$9) + CHOOSE(CONTROL!$C$38, 0.0357, 0)</f>
        <v>60.469000000000001</v>
      </c>
      <c r="D853" s="10">
        <f>60.4255 * CHOOSE(CONTROL!$C$15, $E$9, 100%, $G$9) + CHOOSE(CONTROL!$C$38, 0.0357, 0)</f>
        <v>60.461199999999998</v>
      </c>
      <c r="E853" s="28">
        <f>65.2015 * CHOOSE(CONTROL!$C$15, $E$9, 100%, $G$9) + CHOOSE(CONTROL!$C$38, 0.0357, 0)</f>
        <v>65.237200000000001</v>
      </c>
      <c r="F853" s="27">
        <f>65.2015 * CHOOSE(CONTROL!$C$15, $E$9, 100%, $G$9) + CHOOSE(CONTROL!$C$38, 0.0266, 0)</f>
        <v>65.228099999999998</v>
      </c>
      <c r="G853" s="10">
        <f>60.4317 * CHOOSE(CONTROL!$C$15, $E$9, 100%, $G$9) + CHOOSE(CONTROL!$C$38, 0.0357, 0)</f>
        <v>60.467399999999998</v>
      </c>
      <c r="H853" s="10">
        <f>60.4317 * CHOOSE(CONTROL!$C$15, $E$9, 100%, $G$9) + CHOOSE(CONTROL!$C$38, 0.0357, 0)</f>
        <v>60.467399999999998</v>
      </c>
      <c r="I853" s="10">
        <f>60.4333 * CHOOSE(CONTROL!$C$15, $E$9, 100%, $G$9) + CHOOSE(CONTROL!$C$38, 0.0357, 0)</f>
        <v>60.469000000000001</v>
      </c>
      <c r="J853" s="26">
        <f>374.03</f>
        <v>374.03</v>
      </c>
    </row>
    <row r="854" spans="1:10" ht="15.75">
      <c r="A854" s="13">
        <v>67297</v>
      </c>
      <c r="B854" s="10">
        <f>64.8468 * CHOOSE(CONTROL!$C$15, $E$9, 100%, $G$9) + CHOOSE(CONTROL!$C$38, 0.0266, 0)</f>
        <v>64.873400000000004</v>
      </c>
      <c r="C854" s="10">
        <f>59.9223 * CHOOSE(CONTROL!$C$15, $E$9, 100%, $G$9) + CHOOSE(CONTROL!$C$38, 0.0357, 0)</f>
        <v>59.957999999999998</v>
      </c>
      <c r="D854" s="10">
        <f>59.9145 * CHOOSE(CONTROL!$C$15, $E$9, 100%, $G$9) + CHOOSE(CONTROL!$C$38, 0.0357, 0)</f>
        <v>59.950199999999995</v>
      </c>
      <c r="E854" s="28">
        <f>64.6905 * CHOOSE(CONTROL!$C$15, $E$9, 100%, $G$9) + CHOOSE(CONTROL!$C$38, 0.0357, 0)</f>
        <v>64.726200000000006</v>
      </c>
      <c r="F854" s="27">
        <f>64.6905 * CHOOSE(CONTROL!$C$15, $E$9, 100%, $G$9) + CHOOSE(CONTROL!$C$38, 0.0266, 0)</f>
        <v>64.717100000000002</v>
      </c>
      <c r="G854" s="10">
        <f>59.9207 * CHOOSE(CONTROL!$C$15, $E$9, 100%, $G$9) + CHOOSE(CONTROL!$C$38, 0.0357, 0)</f>
        <v>59.956399999999995</v>
      </c>
      <c r="H854" s="10">
        <f>59.9207 * CHOOSE(CONTROL!$C$15, $E$9, 100%, $G$9) + CHOOSE(CONTROL!$C$38, 0.0357, 0)</f>
        <v>59.956399999999995</v>
      </c>
      <c r="I854" s="10">
        <f>59.9223 * CHOOSE(CONTROL!$C$15, $E$9, 100%, $G$9) + CHOOSE(CONTROL!$C$38, 0.0357, 0)</f>
        <v>59.957999999999998</v>
      </c>
      <c r="J854" s="26">
        <f>393.7436</f>
        <v>393.74360000000001</v>
      </c>
    </row>
    <row r="855" spans="1:10" ht="15.75">
      <c r="A855" s="13">
        <v>67327</v>
      </c>
      <c r="B855" s="10">
        <f>64.3516 * CHOOSE(CONTROL!$C$15, $E$9, 100%, $G$9) + CHOOSE(CONTROL!$C$38, 0.0266, 0)</f>
        <v>64.378200000000007</v>
      </c>
      <c r="C855" s="10">
        <f>59.4271 * CHOOSE(CONTROL!$C$15, $E$9, 100%, $G$9) + CHOOSE(CONTROL!$C$38, 0.0357, 0)</f>
        <v>59.462800000000001</v>
      </c>
      <c r="D855" s="10">
        <f>59.4193 * CHOOSE(CONTROL!$C$15, $E$9, 100%, $G$9) + CHOOSE(CONTROL!$C$38, 0.0357, 0)</f>
        <v>59.454999999999998</v>
      </c>
      <c r="E855" s="28">
        <f>64.1953 * CHOOSE(CONTROL!$C$15, $E$9, 100%, $G$9) + CHOOSE(CONTROL!$C$38, 0.0357, 0)</f>
        <v>64.231000000000009</v>
      </c>
      <c r="F855" s="27">
        <f>64.1953 * CHOOSE(CONTROL!$C$15, $E$9, 100%, $G$9) + CHOOSE(CONTROL!$C$38, 0.0266, 0)</f>
        <v>64.221900000000005</v>
      </c>
      <c r="G855" s="10">
        <f>59.4255 * CHOOSE(CONTROL!$C$15, $E$9, 100%, $G$9) + CHOOSE(CONTROL!$C$38, 0.0357, 0)</f>
        <v>59.461199999999998</v>
      </c>
      <c r="H855" s="10">
        <f>59.4255 * CHOOSE(CONTROL!$C$15, $E$9, 100%, $G$9) + CHOOSE(CONTROL!$C$38, 0.0357, 0)</f>
        <v>59.461199999999998</v>
      </c>
      <c r="I855" s="10">
        <f>59.4271 * CHOOSE(CONTROL!$C$15, $E$9, 100%, $G$9) + CHOOSE(CONTROL!$C$38, 0.0357, 0)</f>
        <v>59.462800000000001</v>
      </c>
      <c r="J855" s="26">
        <f>419.3073</f>
        <v>419.3073</v>
      </c>
    </row>
    <row r="856" spans="1:10" ht="15.75">
      <c r="A856" s="13">
        <v>67358</v>
      </c>
      <c r="B856" s="10">
        <f>63.8355 * CHOOSE(CONTROL!$C$15, $E$9, 100%, $G$9) + CHOOSE(CONTROL!$C$38, 0.0266, 0)</f>
        <v>63.862100000000005</v>
      </c>
      <c r="C856" s="10">
        <f>58.911 * CHOOSE(CONTROL!$C$15, $E$9, 100%, $G$9) + CHOOSE(CONTROL!$C$38, 0.0357, 0)</f>
        <v>58.9467</v>
      </c>
      <c r="D856" s="10">
        <f>58.9032 * CHOOSE(CONTROL!$C$15, $E$9, 100%, $G$9) + CHOOSE(CONTROL!$C$38, 0.0357, 0)</f>
        <v>58.938899999999997</v>
      </c>
      <c r="E856" s="28">
        <f>63.6792 * CHOOSE(CONTROL!$C$15, $E$9, 100%, $G$9) + CHOOSE(CONTROL!$C$38, 0.0357, 0)</f>
        <v>63.7149</v>
      </c>
      <c r="F856" s="27">
        <f>63.6792 * CHOOSE(CONTROL!$C$15, $E$9, 100%, $G$9) + CHOOSE(CONTROL!$C$38, 0.0266, 0)</f>
        <v>63.705800000000004</v>
      </c>
      <c r="G856" s="10">
        <f>58.9094 * CHOOSE(CONTROL!$C$15, $E$9, 100%, $G$9) + CHOOSE(CONTROL!$C$38, 0.0357, 0)</f>
        <v>58.945099999999996</v>
      </c>
      <c r="H856" s="10">
        <f>58.9094 * CHOOSE(CONTROL!$C$15, $E$9, 100%, $G$9) + CHOOSE(CONTROL!$C$38, 0.0357, 0)</f>
        <v>58.945099999999996</v>
      </c>
      <c r="I856" s="10">
        <f>58.911 * CHOOSE(CONTROL!$C$15, $E$9, 100%, $G$9) + CHOOSE(CONTROL!$C$38, 0.0357, 0)</f>
        <v>58.9467</v>
      </c>
      <c r="J856" s="26">
        <f>433.3785</f>
        <v>433.37849999999997</v>
      </c>
    </row>
    <row r="857" spans="1:10" ht="15.75">
      <c r="A857" s="13">
        <v>67388</v>
      </c>
      <c r="B857" s="10">
        <f>63.4736 * CHOOSE(CONTROL!$C$15, $E$9, 100%, $G$9) + CHOOSE(CONTROL!$C$38, 0.0266, 0)</f>
        <v>63.5002</v>
      </c>
      <c r="C857" s="10">
        <f>58.5492 * CHOOSE(CONTROL!$C$15, $E$9, 100%, $G$9) + CHOOSE(CONTROL!$C$38, 0.0357, 0)</f>
        <v>58.584899999999998</v>
      </c>
      <c r="D857" s="10">
        <f>58.5413 * CHOOSE(CONTROL!$C$15, $E$9, 100%, $G$9) + CHOOSE(CONTROL!$C$38, 0.0357, 0)</f>
        <v>58.576999999999998</v>
      </c>
      <c r="E857" s="28">
        <f>63.3174 * CHOOSE(CONTROL!$C$15, $E$9, 100%, $G$9) + CHOOSE(CONTROL!$C$38, 0.0357, 0)</f>
        <v>63.353099999999998</v>
      </c>
      <c r="F857" s="27">
        <f>63.3174 * CHOOSE(CONTROL!$C$15, $E$9, 100%, $G$9) + CHOOSE(CONTROL!$C$38, 0.0266, 0)</f>
        <v>63.344000000000001</v>
      </c>
      <c r="G857" s="10">
        <f>58.5476 * CHOOSE(CONTROL!$C$15, $E$9, 100%, $G$9) + CHOOSE(CONTROL!$C$38, 0.0357, 0)</f>
        <v>58.583300000000001</v>
      </c>
      <c r="H857" s="10">
        <f>58.5476 * CHOOSE(CONTROL!$C$15, $E$9, 100%, $G$9) + CHOOSE(CONTROL!$C$38, 0.0357, 0)</f>
        <v>58.583300000000001</v>
      </c>
      <c r="I857" s="10">
        <f>58.5492 * CHOOSE(CONTROL!$C$15, $E$9, 100%, $G$9) + CHOOSE(CONTROL!$C$38, 0.0357, 0)</f>
        <v>58.584899999999998</v>
      </c>
      <c r="J857" s="26">
        <f>439.623</f>
        <v>439.62299999999999</v>
      </c>
    </row>
    <row r="858" spans="1:10" ht="15.75">
      <c r="A858" s="13">
        <v>67419</v>
      </c>
      <c r="B858" s="10">
        <f>63.2671 * CHOOSE(CONTROL!$C$15, $E$9, 100%, $G$9) + CHOOSE(CONTROL!$C$38, 0.0266, 0)</f>
        <v>63.293700000000001</v>
      </c>
      <c r="C858" s="10">
        <f>58.3427 * CHOOSE(CONTROL!$C$15, $E$9, 100%, $G$9) + CHOOSE(CONTROL!$C$38, 0.0357, 0)</f>
        <v>58.378399999999999</v>
      </c>
      <c r="D858" s="10">
        <f>58.3348 * CHOOSE(CONTROL!$C$15, $E$9, 100%, $G$9) + CHOOSE(CONTROL!$C$38, 0.0357, 0)</f>
        <v>58.3705</v>
      </c>
      <c r="E858" s="28">
        <f>63.1109 * CHOOSE(CONTROL!$C$15, $E$9, 100%, $G$9) + CHOOSE(CONTROL!$C$38, 0.0357, 0)</f>
        <v>63.146599999999999</v>
      </c>
      <c r="F858" s="27">
        <f>63.1109 * CHOOSE(CONTROL!$C$15, $E$9, 100%, $G$9) + CHOOSE(CONTROL!$C$38, 0.0266, 0)</f>
        <v>63.137500000000003</v>
      </c>
      <c r="G858" s="10">
        <f>58.3411 * CHOOSE(CONTROL!$C$15, $E$9, 100%, $G$9) + CHOOSE(CONTROL!$C$38, 0.0357, 0)</f>
        <v>58.376799999999996</v>
      </c>
      <c r="H858" s="10">
        <f>58.3411 * CHOOSE(CONTROL!$C$15, $E$9, 100%, $G$9) + CHOOSE(CONTROL!$C$38, 0.0357, 0)</f>
        <v>58.376799999999996</v>
      </c>
      <c r="I858" s="10">
        <f>58.3427 * CHOOSE(CONTROL!$C$15, $E$9, 100%, $G$9) + CHOOSE(CONTROL!$C$38, 0.0357, 0)</f>
        <v>58.378399999999999</v>
      </c>
      <c r="J858" s="26">
        <f>437.567</f>
        <v>437.56700000000001</v>
      </c>
    </row>
    <row r="859" spans="1:10" ht="15.75">
      <c r="A859" s="13">
        <v>67450</v>
      </c>
      <c r="B859" s="10">
        <f>63.3691 * CHOOSE(CONTROL!$C$15, $E$9, 100%, $G$9) + CHOOSE(CONTROL!$C$38, 0.0266, 0)</f>
        <v>63.395700000000005</v>
      </c>
      <c r="C859" s="10">
        <f>58.4446 * CHOOSE(CONTROL!$C$15, $E$9, 100%, $G$9) + CHOOSE(CONTROL!$C$38, 0.0357, 0)</f>
        <v>58.4803</v>
      </c>
      <c r="D859" s="10">
        <f>58.4368 * CHOOSE(CONTROL!$C$15, $E$9, 100%, $G$9) + CHOOSE(CONTROL!$C$38, 0.0357, 0)</f>
        <v>58.472499999999997</v>
      </c>
      <c r="E859" s="28">
        <f>63.2128 * CHOOSE(CONTROL!$C$15, $E$9, 100%, $G$9) + CHOOSE(CONTROL!$C$38, 0.0357, 0)</f>
        <v>63.2485</v>
      </c>
      <c r="F859" s="27">
        <f>63.2128 * CHOOSE(CONTROL!$C$15, $E$9, 100%, $G$9) + CHOOSE(CONTROL!$C$38, 0.0266, 0)</f>
        <v>63.239400000000003</v>
      </c>
      <c r="G859" s="10">
        <f>58.443 * CHOOSE(CONTROL!$C$15, $E$9, 100%, $G$9) + CHOOSE(CONTROL!$C$38, 0.0357, 0)</f>
        <v>58.478699999999996</v>
      </c>
      <c r="H859" s="10">
        <f>58.443 * CHOOSE(CONTROL!$C$15, $E$9, 100%, $G$9) + CHOOSE(CONTROL!$C$38, 0.0357, 0)</f>
        <v>58.478699999999996</v>
      </c>
      <c r="I859" s="10">
        <f>58.4446 * CHOOSE(CONTROL!$C$15, $E$9, 100%, $G$9) + CHOOSE(CONTROL!$C$38, 0.0357, 0)</f>
        <v>58.4803</v>
      </c>
      <c r="J859" s="26">
        <f>427.3806</f>
        <v>427.38060000000002</v>
      </c>
    </row>
    <row r="860" spans="1:10" ht="15.75">
      <c r="A860" s="13">
        <v>67480</v>
      </c>
      <c r="B860" s="10">
        <f>63.6459 * CHOOSE(CONTROL!$C$15, $E$9, 100%, $G$9) + CHOOSE(CONTROL!$C$38, 0.0266, 0)</f>
        <v>63.672499999999999</v>
      </c>
      <c r="C860" s="10">
        <f>58.7214 * CHOOSE(CONTROL!$C$15, $E$9, 100%, $G$9) + CHOOSE(CONTROL!$C$38, 0.0357, 0)</f>
        <v>58.757100000000001</v>
      </c>
      <c r="D860" s="10">
        <f>58.7136 * CHOOSE(CONTROL!$C$15, $E$9, 100%, $G$9) + CHOOSE(CONTROL!$C$38, 0.0357, 0)</f>
        <v>58.749299999999998</v>
      </c>
      <c r="E860" s="28">
        <f>63.4896 * CHOOSE(CONTROL!$C$15, $E$9, 100%, $G$9) + CHOOSE(CONTROL!$C$38, 0.0357, 0)</f>
        <v>63.525300000000001</v>
      </c>
      <c r="F860" s="27">
        <f>63.4896 * CHOOSE(CONTROL!$C$15, $E$9, 100%, $G$9) + CHOOSE(CONTROL!$C$38, 0.0266, 0)</f>
        <v>63.516200000000005</v>
      </c>
      <c r="G860" s="10">
        <f>58.7198 * CHOOSE(CONTROL!$C$15, $E$9, 100%, $G$9) + CHOOSE(CONTROL!$C$38, 0.0357, 0)</f>
        <v>58.755499999999998</v>
      </c>
      <c r="H860" s="10">
        <f>58.7198 * CHOOSE(CONTROL!$C$15, $E$9, 100%, $G$9) + CHOOSE(CONTROL!$C$38, 0.0357, 0)</f>
        <v>58.755499999999998</v>
      </c>
      <c r="I860" s="10">
        <f>58.7214 * CHOOSE(CONTROL!$C$15, $E$9, 100%, $G$9) + CHOOSE(CONTROL!$C$38, 0.0357, 0)</f>
        <v>58.757100000000001</v>
      </c>
      <c r="J860" s="26">
        <f>413.1752</f>
        <v>413.17520000000002</v>
      </c>
    </row>
    <row r="861" spans="1:10" ht="15.75">
      <c r="A861" s="13">
        <v>67511</v>
      </c>
      <c r="B861" s="10">
        <f>63.8777 * CHOOSE(CONTROL!$C$15, $E$9, 100%, $G$9) + CHOOSE(CONTROL!$C$38, 0.0266, 0)</f>
        <v>63.904299999999999</v>
      </c>
      <c r="C861" s="10">
        <f>58.9532 * CHOOSE(CONTROL!$C$15, $E$9, 100%, $G$9) + CHOOSE(CONTROL!$C$38, 0.0357, 0)</f>
        <v>58.988900000000001</v>
      </c>
      <c r="D861" s="10">
        <f>58.9454 * CHOOSE(CONTROL!$C$15, $E$9, 100%, $G$9) + CHOOSE(CONTROL!$C$38, 0.0357, 0)</f>
        <v>58.981099999999998</v>
      </c>
      <c r="E861" s="28">
        <f>63.7214 * CHOOSE(CONTROL!$C$15, $E$9, 100%, $G$9) + CHOOSE(CONTROL!$C$38, 0.0357, 0)</f>
        <v>63.757100000000001</v>
      </c>
      <c r="F861" s="27">
        <f>63.7214 * CHOOSE(CONTROL!$C$15, $E$9, 100%, $G$9) + CHOOSE(CONTROL!$C$38, 0.0266, 0)</f>
        <v>63.748000000000005</v>
      </c>
      <c r="G861" s="10">
        <f>58.9516 * CHOOSE(CONTROL!$C$15, $E$9, 100%, $G$9) + CHOOSE(CONTROL!$C$38, 0.0357, 0)</f>
        <v>58.987299999999998</v>
      </c>
      <c r="H861" s="10">
        <f>58.9516 * CHOOSE(CONTROL!$C$15, $E$9, 100%, $G$9) + CHOOSE(CONTROL!$C$38, 0.0357, 0)</f>
        <v>58.987299999999998</v>
      </c>
      <c r="I861" s="10">
        <f>58.9532 * CHOOSE(CONTROL!$C$15, $E$9, 100%, $G$9) + CHOOSE(CONTROL!$C$38, 0.0357, 0)</f>
        <v>58.988900000000001</v>
      </c>
      <c r="J861" s="26">
        <f>398.8872</f>
        <v>398.88720000000001</v>
      </c>
    </row>
    <row r="862" spans="1:10" ht="15.75">
      <c r="A862" s="13">
        <v>67541</v>
      </c>
      <c r="B862" s="10">
        <f>64.0711 * CHOOSE(CONTROL!$C$15, $E$9, 100%, $G$9) + CHOOSE(CONTROL!$C$38, 0.0266, 0)</f>
        <v>64.097700000000003</v>
      </c>
      <c r="C862" s="10">
        <f>59.1466 * CHOOSE(CONTROL!$C$15, $E$9, 100%, $G$9) + CHOOSE(CONTROL!$C$38, 0.0357, 0)</f>
        <v>59.182299999999998</v>
      </c>
      <c r="D862" s="10">
        <f>59.1388 * CHOOSE(CONTROL!$C$15, $E$9, 100%, $G$9) + CHOOSE(CONTROL!$C$38, 0.0357, 0)</f>
        <v>59.174500000000002</v>
      </c>
      <c r="E862" s="28">
        <f>63.9149 * CHOOSE(CONTROL!$C$15, $E$9, 100%, $G$9) + CHOOSE(CONTROL!$C$38, 0.0357, 0)</f>
        <v>63.950600000000001</v>
      </c>
      <c r="F862" s="27">
        <f>63.9149 * CHOOSE(CONTROL!$C$15, $E$9, 100%, $G$9) + CHOOSE(CONTROL!$C$38, 0.0266, 0)</f>
        <v>63.941500000000005</v>
      </c>
      <c r="G862" s="10">
        <f>59.1451 * CHOOSE(CONTROL!$C$15, $E$9, 100%, $G$9) + CHOOSE(CONTROL!$C$38, 0.0357, 0)</f>
        <v>59.180799999999998</v>
      </c>
      <c r="H862" s="10">
        <f>59.1451 * CHOOSE(CONTROL!$C$15, $E$9, 100%, $G$9) + CHOOSE(CONTROL!$C$38, 0.0357, 0)</f>
        <v>59.180799999999998</v>
      </c>
      <c r="I862" s="10">
        <f>59.1466 * CHOOSE(CONTROL!$C$15, $E$9, 100%, $G$9) + CHOOSE(CONTROL!$C$38, 0.0357, 0)</f>
        <v>59.182299999999998</v>
      </c>
      <c r="J862" s="26">
        <f>396.045</f>
        <v>396.04500000000002</v>
      </c>
    </row>
    <row r="863" spans="1:10" ht="15.75">
      <c r="A863" s="13">
        <v>67572</v>
      </c>
      <c r="B863" s="10">
        <f>64.6672 * CHOOSE(CONTROL!$C$15, $E$9, 100%, $G$9) + CHOOSE(CONTROL!$C$38, 0.0266, 0)</f>
        <v>64.693799999999996</v>
      </c>
      <c r="C863" s="10">
        <f>59.7427 * CHOOSE(CONTROL!$C$15, $E$9, 100%, $G$9) + CHOOSE(CONTROL!$C$38, 0.0357, 0)</f>
        <v>59.778399999999998</v>
      </c>
      <c r="D863" s="10">
        <f>59.7349 * CHOOSE(CONTROL!$C$15, $E$9, 100%, $G$9) + CHOOSE(CONTROL!$C$38, 0.0357, 0)</f>
        <v>59.770600000000002</v>
      </c>
      <c r="E863" s="28">
        <f>64.5109 * CHOOSE(CONTROL!$C$15, $E$9, 100%, $G$9) + CHOOSE(CONTROL!$C$38, 0.0357, 0)</f>
        <v>64.546600000000012</v>
      </c>
      <c r="F863" s="27">
        <f>64.5109 * CHOOSE(CONTROL!$C$15, $E$9, 100%, $G$9) + CHOOSE(CONTROL!$C$38, 0.0266, 0)</f>
        <v>64.537500000000009</v>
      </c>
      <c r="G863" s="10">
        <f>59.7411 * CHOOSE(CONTROL!$C$15, $E$9, 100%, $G$9) + CHOOSE(CONTROL!$C$38, 0.0357, 0)</f>
        <v>59.776800000000001</v>
      </c>
      <c r="H863" s="10">
        <f>59.7411 * CHOOSE(CONTROL!$C$15, $E$9, 100%, $G$9) + CHOOSE(CONTROL!$C$38, 0.0357, 0)</f>
        <v>59.776800000000001</v>
      </c>
      <c r="I863" s="10">
        <f>59.7427 * CHOOSE(CONTROL!$C$15, $E$9, 100%, $G$9) + CHOOSE(CONTROL!$C$38, 0.0357, 0)</f>
        <v>59.778399999999998</v>
      </c>
      <c r="J863" s="26">
        <f>384.2924</f>
        <v>384.29239999999999</v>
      </c>
    </row>
    <row r="864" spans="1:10" ht="15.75">
      <c r="A864" s="13">
        <v>67603</v>
      </c>
      <c r="B864" s="10">
        <f>66.2597 * CHOOSE(CONTROL!$C$15, $E$9, 100%, $G$9) + CHOOSE(CONTROL!$C$38, 0.0266, 0)</f>
        <v>66.286299999999997</v>
      </c>
      <c r="C864" s="10">
        <f>61.251 * CHOOSE(CONTROL!$C$15, $E$9, 100%, $G$9) + CHOOSE(CONTROL!$C$38, 0.0357, 0)</f>
        <v>61.286699999999996</v>
      </c>
      <c r="D864" s="10">
        <f>61.2432 * CHOOSE(CONTROL!$C$15, $E$9, 100%, $G$9) + CHOOSE(CONTROL!$C$38, 0.0357, 0)</f>
        <v>61.2789</v>
      </c>
      <c r="E864" s="28">
        <f>66.1034 * CHOOSE(CONTROL!$C$15, $E$9, 100%, $G$9) + CHOOSE(CONTROL!$C$38, 0.0357, 0)</f>
        <v>66.139099999999999</v>
      </c>
      <c r="F864" s="27">
        <f>66.1034 * CHOOSE(CONTROL!$C$15, $E$9, 100%, $G$9) + CHOOSE(CONTROL!$C$38, 0.0266, 0)</f>
        <v>66.13</v>
      </c>
      <c r="G864" s="10">
        <f>61.2494 * CHOOSE(CONTROL!$C$15, $E$9, 100%, $G$9) + CHOOSE(CONTROL!$C$38, 0.0357, 0)</f>
        <v>61.2851</v>
      </c>
      <c r="H864" s="10">
        <f>61.2494 * CHOOSE(CONTROL!$C$15, $E$9, 100%, $G$9) + CHOOSE(CONTROL!$C$38, 0.0357, 0)</f>
        <v>61.2851</v>
      </c>
      <c r="I864" s="10">
        <f>61.251 * CHOOSE(CONTROL!$C$15, $E$9, 100%, $G$9) + CHOOSE(CONTROL!$C$38, 0.0357, 0)</f>
        <v>61.286699999999996</v>
      </c>
      <c r="J864" s="26">
        <f>381.7182</f>
        <v>381.71820000000002</v>
      </c>
    </row>
    <row r="865" spans="1:10" ht="15.75">
      <c r="A865" s="13">
        <v>67631</v>
      </c>
      <c r="B865" s="10">
        <f>66.4805 * CHOOSE(CONTROL!$C$15, $E$9, 100%, $G$9) + CHOOSE(CONTROL!$C$38, 0.0266, 0)</f>
        <v>66.507100000000008</v>
      </c>
      <c r="C865" s="10">
        <f>61.4717 * CHOOSE(CONTROL!$C$15, $E$9, 100%, $G$9) + CHOOSE(CONTROL!$C$38, 0.0357, 0)</f>
        <v>61.507399999999997</v>
      </c>
      <c r="D865" s="10">
        <f>61.4639 * CHOOSE(CONTROL!$C$15, $E$9, 100%, $G$9) + CHOOSE(CONTROL!$C$38, 0.0357, 0)</f>
        <v>61.499600000000001</v>
      </c>
      <c r="E865" s="28">
        <f>66.3242 * CHOOSE(CONTROL!$C$15, $E$9, 100%, $G$9) + CHOOSE(CONTROL!$C$38, 0.0357, 0)</f>
        <v>66.35990000000001</v>
      </c>
      <c r="F865" s="27">
        <f>66.3242 * CHOOSE(CONTROL!$C$15, $E$9, 100%, $G$9) + CHOOSE(CONTROL!$C$38, 0.0266, 0)</f>
        <v>66.350800000000007</v>
      </c>
      <c r="G865" s="10">
        <f>61.4702 * CHOOSE(CONTROL!$C$15, $E$9, 100%, $G$9) + CHOOSE(CONTROL!$C$38, 0.0357, 0)</f>
        <v>61.505899999999997</v>
      </c>
      <c r="H865" s="10">
        <f>61.4702 * CHOOSE(CONTROL!$C$15, $E$9, 100%, $G$9) + CHOOSE(CONTROL!$C$38, 0.0357, 0)</f>
        <v>61.505899999999997</v>
      </c>
      <c r="I865" s="10">
        <f>61.4717 * CHOOSE(CONTROL!$C$15, $E$9, 100%, $G$9) + CHOOSE(CONTROL!$C$38, 0.0357, 0)</f>
        <v>61.507399999999997</v>
      </c>
      <c r="J865" s="26">
        <f>380.6571</f>
        <v>380.65710000000001</v>
      </c>
    </row>
    <row r="866" spans="1:10" ht="15.75">
      <c r="A866" s="13">
        <v>67662</v>
      </c>
      <c r="B866" s="10">
        <f>65.9694 * CHOOSE(CONTROL!$C$15, $E$9, 100%, $G$9) + CHOOSE(CONTROL!$C$38, 0.0266, 0)</f>
        <v>65.995999999999995</v>
      </c>
      <c r="C866" s="10">
        <f>60.9607 * CHOOSE(CONTROL!$C$15, $E$9, 100%, $G$9) + CHOOSE(CONTROL!$C$38, 0.0357, 0)</f>
        <v>60.996400000000001</v>
      </c>
      <c r="D866" s="10">
        <f>60.9529 * CHOOSE(CONTROL!$C$15, $E$9, 100%, $G$9) + CHOOSE(CONTROL!$C$38, 0.0357, 0)</f>
        <v>60.988599999999998</v>
      </c>
      <c r="E866" s="28">
        <f>65.8132 * CHOOSE(CONTROL!$C$15, $E$9, 100%, $G$9) + CHOOSE(CONTROL!$C$38, 0.0357, 0)</f>
        <v>65.8489</v>
      </c>
      <c r="F866" s="27">
        <f>65.8132 * CHOOSE(CONTROL!$C$15, $E$9, 100%, $G$9) + CHOOSE(CONTROL!$C$38, 0.0266, 0)</f>
        <v>65.839799999999997</v>
      </c>
      <c r="G866" s="10">
        <f>60.9591 * CHOOSE(CONTROL!$C$15, $E$9, 100%, $G$9) + CHOOSE(CONTROL!$C$38, 0.0357, 0)</f>
        <v>60.994799999999998</v>
      </c>
      <c r="H866" s="10">
        <f>60.9591 * CHOOSE(CONTROL!$C$15, $E$9, 100%, $G$9) + CHOOSE(CONTROL!$C$38, 0.0357, 0)</f>
        <v>60.994799999999998</v>
      </c>
      <c r="I866" s="10">
        <f>60.9607 * CHOOSE(CONTROL!$C$15, $E$9, 100%, $G$9) + CHOOSE(CONTROL!$C$38, 0.0357, 0)</f>
        <v>60.996400000000001</v>
      </c>
      <c r="J866" s="26">
        <f>400.72</f>
        <v>400.72</v>
      </c>
    </row>
    <row r="867" spans="1:10" ht="15.75">
      <c r="A867" s="13">
        <v>67692</v>
      </c>
      <c r="B867" s="10">
        <f>65.4742 * CHOOSE(CONTROL!$C$15, $E$9, 100%, $G$9) + CHOOSE(CONTROL!$C$38, 0.0266, 0)</f>
        <v>65.500799999999998</v>
      </c>
      <c r="C867" s="10">
        <f>60.4655 * CHOOSE(CONTROL!$C$15, $E$9, 100%, $G$9) + CHOOSE(CONTROL!$C$38, 0.0357, 0)</f>
        <v>60.501199999999997</v>
      </c>
      <c r="D867" s="10">
        <f>60.4577 * CHOOSE(CONTROL!$C$15, $E$9, 100%, $G$9) + CHOOSE(CONTROL!$C$38, 0.0357, 0)</f>
        <v>60.493400000000001</v>
      </c>
      <c r="E867" s="28">
        <f>65.318 * CHOOSE(CONTROL!$C$15, $E$9, 100%, $G$9) + CHOOSE(CONTROL!$C$38, 0.0357, 0)</f>
        <v>65.353700000000003</v>
      </c>
      <c r="F867" s="27">
        <f>65.318 * CHOOSE(CONTROL!$C$15, $E$9, 100%, $G$9) + CHOOSE(CONTROL!$C$38, 0.0266, 0)</f>
        <v>65.3446</v>
      </c>
      <c r="G867" s="10">
        <f>60.464 * CHOOSE(CONTROL!$C$15, $E$9, 100%, $G$9) + CHOOSE(CONTROL!$C$38, 0.0357, 0)</f>
        <v>60.499699999999997</v>
      </c>
      <c r="H867" s="10">
        <f>60.464 * CHOOSE(CONTROL!$C$15, $E$9, 100%, $G$9) + CHOOSE(CONTROL!$C$38, 0.0357, 0)</f>
        <v>60.499699999999997</v>
      </c>
      <c r="I867" s="10">
        <f>60.4655 * CHOOSE(CONTROL!$C$15, $E$9, 100%, $G$9) + CHOOSE(CONTROL!$C$38, 0.0357, 0)</f>
        <v>60.501199999999997</v>
      </c>
      <c r="J867" s="26">
        <f>426.7367</f>
        <v>426.73669999999998</v>
      </c>
    </row>
    <row r="868" spans="1:10" ht="15.75">
      <c r="A868" s="13">
        <v>67723</v>
      </c>
      <c r="B868" s="10">
        <f>64.9581 * CHOOSE(CONTROL!$C$15, $E$9, 100%, $G$9) + CHOOSE(CONTROL!$C$38, 0.0266, 0)</f>
        <v>64.984700000000004</v>
      </c>
      <c r="C868" s="10">
        <f>59.9494 * CHOOSE(CONTROL!$C$15, $E$9, 100%, $G$9) + CHOOSE(CONTROL!$C$38, 0.0357, 0)</f>
        <v>59.985099999999996</v>
      </c>
      <c r="D868" s="10">
        <f>59.9416 * CHOOSE(CONTROL!$C$15, $E$9, 100%, $G$9) + CHOOSE(CONTROL!$C$38, 0.0357, 0)</f>
        <v>59.9773</v>
      </c>
      <c r="E868" s="28">
        <f>64.8019 * CHOOSE(CONTROL!$C$15, $E$9, 100%, $G$9) + CHOOSE(CONTROL!$C$38, 0.0357, 0)</f>
        <v>64.837600000000009</v>
      </c>
      <c r="F868" s="27">
        <f>64.8019 * CHOOSE(CONTROL!$C$15, $E$9, 100%, $G$9) + CHOOSE(CONTROL!$C$38, 0.0266, 0)</f>
        <v>64.828500000000005</v>
      </c>
      <c r="G868" s="10">
        <f>59.9478 * CHOOSE(CONTROL!$C$15, $E$9, 100%, $G$9) + CHOOSE(CONTROL!$C$38, 0.0357, 0)</f>
        <v>59.983499999999999</v>
      </c>
      <c r="H868" s="10">
        <f>59.9478 * CHOOSE(CONTROL!$C$15, $E$9, 100%, $G$9) + CHOOSE(CONTROL!$C$38, 0.0357, 0)</f>
        <v>59.983499999999999</v>
      </c>
      <c r="I868" s="10">
        <f>59.9494 * CHOOSE(CONTROL!$C$15, $E$9, 100%, $G$9) + CHOOSE(CONTROL!$C$38, 0.0357, 0)</f>
        <v>59.985099999999996</v>
      </c>
      <c r="J868" s="26">
        <f>441.0571</f>
        <v>441.05709999999999</v>
      </c>
    </row>
    <row r="869" spans="1:10" ht="15.75">
      <c r="A869" s="13">
        <v>67753</v>
      </c>
      <c r="B869" s="10">
        <f>64.5963 * CHOOSE(CONTROL!$C$15, $E$9, 100%, $G$9) + CHOOSE(CONTROL!$C$38, 0.0266, 0)</f>
        <v>64.622900000000001</v>
      </c>
      <c r="C869" s="10">
        <f>59.5876 * CHOOSE(CONTROL!$C$15, $E$9, 100%, $G$9) + CHOOSE(CONTROL!$C$38, 0.0357, 0)</f>
        <v>59.6233</v>
      </c>
      <c r="D869" s="10">
        <f>59.5798 * CHOOSE(CONTROL!$C$15, $E$9, 100%, $G$9) + CHOOSE(CONTROL!$C$38, 0.0357, 0)</f>
        <v>59.615499999999997</v>
      </c>
      <c r="E869" s="28">
        <f>64.4401 * CHOOSE(CONTROL!$C$15, $E$9, 100%, $G$9) + CHOOSE(CONTROL!$C$38, 0.0357, 0)</f>
        <v>64.475800000000007</v>
      </c>
      <c r="F869" s="27">
        <f>64.4401 * CHOOSE(CONTROL!$C$15, $E$9, 100%, $G$9) + CHOOSE(CONTROL!$C$38, 0.0266, 0)</f>
        <v>64.466700000000003</v>
      </c>
      <c r="G869" s="10">
        <f>59.586 * CHOOSE(CONTROL!$C$15, $E$9, 100%, $G$9) + CHOOSE(CONTROL!$C$38, 0.0357, 0)</f>
        <v>59.621699999999997</v>
      </c>
      <c r="H869" s="10">
        <f>59.586 * CHOOSE(CONTROL!$C$15, $E$9, 100%, $G$9) + CHOOSE(CONTROL!$C$38, 0.0357, 0)</f>
        <v>59.621699999999997</v>
      </c>
      <c r="I869" s="10">
        <f>59.5876 * CHOOSE(CONTROL!$C$15, $E$9, 100%, $G$9) + CHOOSE(CONTROL!$C$38, 0.0357, 0)</f>
        <v>59.6233</v>
      </c>
      <c r="J869" s="26">
        <f>447.4123</f>
        <v>447.41230000000002</v>
      </c>
    </row>
    <row r="870" spans="1:10" ht="15.75">
      <c r="A870" s="13">
        <v>67784</v>
      </c>
      <c r="B870" s="10">
        <f>64.3898 * CHOOSE(CONTROL!$C$15, $E$9, 100%, $G$9) + CHOOSE(CONTROL!$C$38, 0.0266, 0)</f>
        <v>64.416399999999996</v>
      </c>
      <c r="C870" s="10">
        <f>59.3811 * CHOOSE(CONTROL!$C$15, $E$9, 100%, $G$9) + CHOOSE(CONTROL!$C$38, 0.0357, 0)</f>
        <v>59.416800000000002</v>
      </c>
      <c r="D870" s="10">
        <f>59.3733 * CHOOSE(CONTROL!$C$15, $E$9, 100%, $G$9) + CHOOSE(CONTROL!$C$38, 0.0357, 0)</f>
        <v>59.408999999999999</v>
      </c>
      <c r="E870" s="28">
        <f>64.2336 * CHOOSE(CONTROL!$C$15, $E$9, 100%, $G$9) + CHOOSE(CONTROL!$C$38, 0.0357, 0)</f>
        <v>64.269300000000001</v>
      </c>
      <c r="F870" s="27">
        <f>64.2336 * CHOOSE(CONTROL!$C$15, $E$9, 100%, $G$9) + CHOOSE(CONTROL!$C$38, 0.0266, 0)</f>
        <v>64.260199999999998</v>
      </c>
      <c r="G870" s="10">
        <f>59.3795 * CHOOSE(CONTROL!$C$15, $E$9, 100%, $G$9) + CHOOSE(CONTROL!$C$38, 0.0357, 0)</f>
        <v>59.415199999999999</v>
      </c>
      <c r="H870" s="10">
        <f>59.3795 * CHOOSE(CONTROL!$C$15, $E$9, 100%, $G$9) + CHOOSE(CONTROL!$C$38, 0.0357, 0)</f>
        <v>59.415199999999999</v>
      </c>
      <c r="I870" s="10">
        <f>59.3811 * CHOOSE(CONTROL!$C$15, $E$9, 100%, $G$9) + CHOOSE(CONTROL!$C$38, 0.0357, 0)</f>
        <v>59.416800000000002</v>
      </c>
      <c r="J870" s="26">
        <f>445.3199</f>
        <v>445.31990000000002</v>
      </c>
    </row>
    <row r="871" spans="1:10" ht="15.75">
      <c r="A871" s="13">
        <v>67815</v>
      </c>
      <c r="B871" s="10">
        <f>64.4917 * CHOOSE(CONTROL!$C$15, $E$9, 100%, $G$9) + CHOOSE(CONTROL!$C$38, 0.0266, 0)</f>
        <v>64.518299999999996</v>
      </c>
      <c r="C871" s="10">
        <f>59.483 * CHOOSE(CONTROL!$C$15, $E$9, 100%, $G$9) + CHOOSE(CONTROL!$C$38, 0.0357, 0)</f>
        <v>59.518699999999995</v>
      </c>
      <c r="D871" s="10">
        <f>59.4752 * CHOOSE(CONTROL!$C$15, $E$9, 100%, $G$9) + CHOOSE(CONTROL!$C$38, 0.0357, 0)</f>
        <v>59.510899999999999</v>
      </c>
      <c r="E871" s="28">
        <f>64.3355 * CHOOSE(CONTROL!$C$15, $E$9, 100%, $G$9) + CHOOSE(CONTROL!$C$38, 0.0357, 0)</f>
        <v>64.371200000000002</v>
      </c>
      <c r="F871" s="27">
        <f>64.3355 * CHOOSE(CONTROL!$C$15, $E$9, 100%, $G$9) + CHOOSE(CONTROL!$C$38, 0.0266, 0)</f>
        <v>64.362099999999998</v>
      </c>
      <c r="G871" s="10">
        <f>59.4814 * CHOOSE(CONTROL!$C$15, $E$9, 100%, $G$9) + CHOOSE(CONTROL!$C$38, 0.0357, 0)</f>
        <v>59.517099999999999</v>
      </c>
      <c r="H871" s="10">
        <f>59.4814 * CHOOSE(CONTROL!$C$15, $E$9, 100%, $G$9) + CHOOSE(CONTROL!$C$38, 0.0357, 0)</f>
        <v>59.517099999999999</v>
      </c>
      <c r="I871" s="10">
        <f>59.483 * CHOOSE(CONTROL!$C$15, $E$9, 100%, $G$9) + CHOOSE(CONTROL!$C$38, 0.0357, 0)</f>
        <v>59.518699999999995</v>
      </c>
      <c r="J871" s="26">
        <f>434.953</f>
        <v>434.95299999999997</v>
      </c>
    </row>
    <row r="872" spans="1:10" ht="15.75">
      <c r="A872" s="13">
        <v>67845</v>
      </c>
      <c r="B872" s="10">
        <f>64.7685 * CHOOSE(CONTROL!$C$15, $E$9, 100%, $G$9) + CHOOSE(CONTROL!$C$38, 0.0266, 0)</f>
        <v>64.795100000000005</v>
      </c>
      <c r="C872" s="10">
        <f>59.7598 * CHOOSE(CONTROL!$C$15, $E$9, 100%, $G$9) + CHOOSE(CONTROL!$C$38, 0.0357, 0)</f>
        <v>59.795499999999997</v>
      </c>
      <c r="D872" s="10">
        <f>59.752 * CHOOSE(CONTROL!$C$15, $E$9, 100%, $G$9) + CHOOSE(CONTROL!$C$38, 0.0357, 0)</f>
        <v>59.787700000000001</v>
      </c>
      <c r="E872" s="28">
        <f>64.6123 * CHOOSE(CONTROL!$C$15, $E$9, 100%, $G$9) + CHOOSE(CONTROL!$C$38, 0.0357, 0)</f>
        <v>64.64800000000001</v>
      </c>
      <c r="F872" s="27">
        <f>64.6123 * CHOOSE(CONTROL!$C$15, $E$9, 100%, $G$9) + CHOOSE(CONTROL!$C$38, 0.0266, 0)</f>
        <v>64.638900000000007</v>
      </c>
      <c r="G872" s="10">
        <f>59.7582 * CHOOSE(CONTROL!$C$15, $E$9, 100%, $G$9) + CHOOSE(CONTROL!$C$38, 0.0357, 0)</f>
        <v>59.793900000000001</v>
      </c>
      <c r="H872" s="10">
        <f>59.7582 * CHOOSE(CONTROL!$C$15, $E$9, 100%, $G$9) + CHOOSE(CONTROL!$C$38, 0.0357, 0)</f>
        <v>59.793900000000001</v>
      </c>
      <c r="I872" s="10">
        <f>59.7598 * CHOOSE(CONTROL!$C$15, $E$9, 100%, $G$9) + CHOOSE(CONTROL!$C$38, 0.0357, 0)</f>
        <v>59.795499999999997</v>
      </c>
      <c r="J872" s="26">
        <f>420.4959</f>
        <v>420.49590000000001</v>
      </c>
    </row>
    <row r="873" spans="1:10" ht="15.75">
      <c r="A873" s="13">
        <v>67876</v>
      </c>
      <c r="B873" s="10">
        <f>65.0003 * CHOOSE(CONTROL!$C$15, $E$9, 100%, $G$9) + CHOOSE(CONTROL!$C$38, 0.0266, 0)</f>
        <v>65.026899999999998</v>
      </c>
      <c r="C873" s="10">
        <f>59.9916 * CHOOSE(CONTROL!$C$15, $E$9, 100%, $G$9) + CHOOSE(CONTROL!$C$38, 0.0357, 0)</f>
        <v>60.027299999999997</v>
      </c>
      <c r="D873" s="10">
        <f>59.9838 * CHOOSE(CONTROL!$C$15, $E$9, 100%, $G$9) + CHOOSE(CONTROL!$C$38, 0.0357, 0)</f>
        <v>60.019500000000001</v>
      </c>
      <c r="E873" s="28">
        <f>64.8441 * CHOOSE(CONTROL!$C$15, $E$9, 100%, $G$9) + CHOOSE(CONTROL!$C$38, 0.0357, 0)</f>
        <v>64.879800000000003</v>
      </c>
      <c r="F873" s="27">
        <f>64.8441 * CHOOSE(CONTROL!$C$15, $E$9, 100%, $G$9) + CHOOSE(CONTROL!$C$38, 0.0266, 0)</f>
        <v>64.870699999999999</v>
      </c>
      <c r="G873" s="10">
        <f>59.99 * CHOOSE(CONTROL!$C$15, $E$9, 100%, $G$9) + CHOOSE(CONTROL!$C$38, 0.0357, 0)</f>
        <v>60.025700000000001</v>
      </c>
      <c r="H873" s="10">
        <f>59.99 * CHOOSE(CONTROL!$C$15, $E$9, 100%, $G$9) + CHOOSE(CONTROL!$C$38, 0.0357, 0)</f>
        <v>60.025700000000001</v>
      </c>
      <c r="I873" s="10">
        <f>59.9916 * CHOOSE(CONTROL!$C$15, $E$9, 100%, $G$9) + CHOOSE(CONTROL!$C$38, 0.0357, 0)</f>
        <v>60.027299999999997</v>
      </c>
      <c r="J873" s="26">
        <f>405.9547</f>
        <v>405.9547</v>
      </c>
    </row>
    <row r="874" spans="1:10" ht="15.75">
      <c r="A874" s="13">
        <v>67906</v>
      </c>
      <c r="B874" s="10">
        <f>65.1938 * CHOOSE(CONTROL!$C$15, $E$9, 100%, $G$9) + CHOOSE(CONTROL!$C$38, 0.0266, 0)</f>
        <v>65.220399999999998</v>
      </c>
      <c r="C874" s="10">
        <f>60.185 * CHOOSE(CONTROL!$C$15, $E$9, 100%, $G$9) + CHOOSE(CONTROL!$C$38, 0.0357, 0)</f>
        <v>60.220700000000001</v>
      </c>
      <c r="D874" s="10">
        <f>60.1772 * CHOOSE(CONTROL!$C$15, $E$9, 100%, $G$9) + CHOOSE(CONTROL!$C$38, 0.0357, 0)</f>
        <v>60.212899999999998</v>
      </c>
      <c r="E874" s="28">
        <f>65.0375 * CHOOSE(CONTROL!$C$15, $E$9, 100%, $G$9) + CHOOSE(CONTROL!$C$38, 0.0357, 0)</f>
        <v>65.0732</v>
      </c>
      <c r="F874" s="27">
        <f>65.0375 * CHOOSE(CONTROL!$C$15, $E$9, 100%, $G$9) + CHOOSE(CONTROL!$C$38, 0.0266, 0)</f>
        <v>65.064099999999996</v>
      </c>
      <c r="G874" s="10">
        <f>60.1835 * CHOOSE(CONTROL!$C$15, $E$9, 100%, $G$9) + CHOOSE(CONTROL!$C$38, 0.0357, 0)</f>
        <v>60.219200000000001</v>
      </c>
      <c r="H874" s="10">
        <f>60.1835 * CHOOSE(CONTROL!$C$15, $E$9, 100%, $G$9) + CHOOSE(CONTROL!$C$38, 0.0357, 0)</f>
        <v>60.219200000000001</v>
      </c>
      <c r="I874" s="10">
        <f>60.185 * CHOOSE(CONTROL!$C$15, $E$9, 100%, $G$9) + CHOOSE(CONTROL!$C$38, 0.0357, 0)</f>
        <v>60.220700000000001</v>
      </c>
      <c r="J874" s="26">
        <f>403.0622</f>
        <v>403.06220000000002</v>
      </c>
    </row>
    <row r="875" spans="1:10" ht="15.75">
      <c r="A875" s="13">
        <v>67937</v>
      </c>
      <c r="B875" s="10">
        <f>65.7899 * CHOOSE(CONTROL!$C$15, $E$9, 100%, $G$9) + CHOOSE(CONTROL!$C$38, 0.0266, 0)</f>
        <v>65.816500000000005</v>
      </c>
      <c r="C875" s="10">
        <f>60.7811 * CHOOSE(CONTROL!$C$15, $E$9, 100%, $G$9) + CHOOSE(CONTROL!$C$38, 0.0357, 0)</f>
        <v>60.816800000000001</v>
      </c>
      <c r="D875" s="10">
        <f>60.7733 * CHOOSE(CONTROL!$C$15, $E$9, 100%, $G$9) + CHOOSE(CONTROL!$C$38, 0.0357, 0)</f>
        <v>60.808999999999997</v>
      </c>
      <c r="E875" s="28">
        <f>65.6336 * CHOOSE(CONTROL!$C$15, $E$9, 100%, $G$9) + CHOOSE(CONTROL!$C$38, 0.0357, 0)</f>
        <v>65.669300000000007</v>
      </c>
      <c r="F875" s="27">
        <f>65.6336 * CHOOSE(CONTROL!$C$15, $E$9, 100%, $G$9) + CHOOSE(CONTROL!$C$38, 0.0266, 0)</f>
        <v>65.660200000000003</v>
      </c>
      <c r="G875" s="10">
        <f>60.7796 * CHOOSE(CONTROL!$C$15, $E$9, 100%, $G$9) + CHOOSE(CONTROL!$C$38, 0.0357, 0)</f>
        <v>60.815300000000001</v>
      </c>
      <c r="H875" s="10">
        <f>60.7796 * CHOOSE(CONTROL!$C$15, $E$9, 100%, $G$9) + CHOOSE(CONTROL!$C$38, 0.0357, 0)</f>
        <v>60.815300000000001</v>
      </c>
      <c r="I875" s="10">
        <f>60.7811 * CHOOSE(CONTROL!$C$15, $E$9, 100%, $G$9) + CHOOSE(CONTROL!$C$38, 0.0357, 0)</f>
        <v>60.816800000000001</v>
      </c>
      <c r="J875" s="26">
        <f>391.1013</f>
        <v>391.10129999999998</v>
      </c>
    </row>
    <row r="876" spans="1:10" ht="15.75">
      <c r="A876" s="13">
        <v>67968</v>
      </c>
      <c r="B876" s="10">
        <f>67.4022 * CHOOSE(CONTROL!$C$15, $E$9, 100%, $G$9) + CHOOSE(CONTROL!$C$38, 0.0266, 0)</f>
        <v>67.428799999999995</v>
      </c>
      <c r="C876" s="10">
        <f>62.3077 * CHOOSE(CONTROL!$C$15, $E$9, 100%, $G$9) + CHOOSE(CONTROL!$C$38, 0.0357, 0)</f>
        <v>62.343399999999995</v>
      </c>
      <c r="D876" s="10">
        <f>62.2999 * CHOOSE(CONTROL!$C$15, $E$9, 100%, $G$9) + CHOOSE(CONTROL!$C$38, 0.0357, 0)</f>
        <v>62.335599999999999</v>
      </c>
      <c r="E876" s="28">
        <f>67.2459 * CHOOSE(CONTROL!$C$15, $E$9, 100%, $G$9) + CHOOSE(CONTROL!$C$38, 0.0357, 0)</f>
        <v>67.281600000000012</v>
      </c>
      <c r="F876" s="27">
        <f>67.2459 * CHOOSE(CONTROL!$C$15, $E$9, 100%, $G$9) + CHOOSE(CONTROL!$C$38, 0.0266, 0)</f>
        <v>67.272500000000008</v>
      </c>
      <c r="G876" s="10">
        <f>62.3062 * CHOOSE(CONTROL!$C$15, $E$9, 100%, $G$9) + CHOOSE(CONTROL!$C$38, 0.0357, 0)</f>
        <v>62.341899999999995</v>
      </c>
      <c r="H876" s="10">
        <f>62.3062 * CHOOSE(CONTROL!$C$15, $E$9, 100%, $G$9) + CHOOSE(CONTROL!$C$38, 0.0357, 0)</f>
        <v>62.341899999999995</v>
      </c>
      <c r="I876" s="10">
        <f>62.3077 * CHOOSE(CONTROL!$C$15, $E$9, 100%, $G$9) + CHOOSE(CONTROL!$C$38, 0.0357, 0)</f>
        <v>62.343399999999995</v>
      </c>
      <c r="J876" s="26">
        <f>388.4815</f>
        <v>388.48149999999998</v>
      </c>
    </row>
    <row r="877" spans="1:10" ht="15.75">
      <c r="A877" s="13">
        <v>67996</v>
      </c>
      <c r="B877" s="10">
        <f>67.623 * CHOOSE(CONTROL!$C$15, $E$9, 100%, $G$9) + CHOOSE(CONTROL!$C$38, 0.0266, 0)</f>
        <v>67.649600000000007</v>
      </c>
      <c r="C877" s="10">
        <f>62.5285 * CHOOSE(CONTROL!$C$15, $E$9, 100%, $G$9) + CHOOSE(CONTROL!$C$38, 0.0357, 0)</f>
        <v>62.5642</v>
      </c>
      <c r="D877" s="10">
        <f>62.5207 * CHOOSE(CONTROL!$C$15, $E$9, 100%, $G$9) + CHOOSE(CONTROL!$C$38, 0.0357, 0)</f>
        <v>62.556399999999996</v>
      </c>
      <c r="E877" s="28">
        <f>67.4667 * CHOOSE(CONTROL!$C$15, $E$9, 100%, $G$9) + CHOOSE(CONTROL!$C$38, 0.0357, 0)</f>
        <v>67.502400000000009</v>
      </c>
      <c r="F877" s="27">
        <f>67.4667 * CHOOSE(CONTROL!$C$15, $E$9, 100%, $G$9) + CHOOSE(CONTROL!$C$38, 0.0266, 0)</f>
        <v>67.493300000000005</v>
      </c>
      <c r="G877" s="10">
        <f>62.5269 * CHOOSE(CONTROL!$C$15, $E$9, 100%, $G$9) + CHOOSE(CONTROL!$C$38, 0.0357, 0)</f>
        <v>62.562599999999996</v>
      </c>
      <c r="H877" s="10">
        <f>62.5269 * CHOOSE(CONTROL!$C$15, $E$9, 100%, $G$9) + CHOOSE(CONTROL!$C$38, 0.0357, 0)</f>
        <v>62.562599999999996</v>
      </c>
      <c r="I877" s="10">
        <f>62.5285 * CHOOSE(CONTROL!$C$15, $E$9, 100%, $G$9) + CHOOSE(CONTROL!$C$38, 0.0357, 0)</f>
        <v>62.5642</v>
      </c>
      <c r="J877" s="26">
        <f>387.4017</f>
        <v>387.40170000000001</v>
      </c>
    </row>
    <row r="878" spans="1:10" ht="15.75">
      <c r="A878" s="13">
        <v>68027</v>
      </c>
      <c r="B878" s="10">
        <f>67.1119 * CHOOSE(CONTROL!$C$15, $E$9, 100%, $G$9) + CHOOSE(CONTROL!$C$38, 0.0266, 0)</f>
        <v>67.138500000000008</v>
      </c>
      <c r="C878" s="10">
        <f>62.0175 * CHOOSE(CONTROL!$C$15, $E$9, 100%, $G$9) + CHOOSE(CONTROL!$C$38, 0.0357, 0)</f>
        <v>62.053199999999997</v>
      </c>
      <c r="D878" s="10">
        <f>62.0096 * CHOOSE(CONTROL!$C$15, $E$9, 100%, $G$9) + CHOOSE(CONTROL!$C$38, 0.0357, 0)</f>
        <v>62.045299999999997</v>
      </c>
      <c r="E878" s="28">
        <f>66.9557 * CHOOSE(CONTROL!$C$15, $E$9, 100%, $G$9) + CHOOSE(CONTROL!$C$38, 0.0357, 0)</f>
        <v>66.991399999999999</v>
      </c>
      <c r="F878" s="27">
        <f>66.9557 * CHOOSE(CONTROL!$C$15, $E$9, 100%, $G$9) + CHOOSE(CONTROL!$C$38, 0.0266, 0)</f>
        <v>66.982299999999995</v>
      </c>
      <c r="G878" s="10">
        <f>62.0159 * CHOOSE(CONTROL!$C$15, $E$9, 100%, $G$9) + CHOOSE(CONTROL!$C$38, 0.0357, 0)</f>
        <v>62.051600000000001</v>
      </c>
      <c r="H878" s="10">
        <f>62.0159 * CHOOSE(CONTROL!$C$15, $E$9, 100%, $G$9) + CHOOSE(CONTROL!$C$38, 0.0357, 0)</f>
        <v>62.051600000000001</v>
      </c>
      <c r="I878" s="10">
        <f>62.0175 * CHOOSE(CONTROL!$C$15, $E$9, 100%, $G$9) + CHOOSE(CONTROL!$C$38, 0.0357, 0)</f>
        <v>62.053199999999997</v>
      </c>
      <c r="J878" s="26">
        <f>407.82</f>
        <v>407.82</v>
      </c>
    </row>
    <row r="879" spans="1:10" ht="15.75">
      <c r="A879" s="13">
        <v>68057</v>
      </c>
      <c r="B879" s="10">
        <f>66.6167 * CHOOSE(CONTROL!$C$15, $E$9, 100%, $G$9) + CHOOSE(CONTROL!$C$38, 0.0266, 0)</f>
        <v>66.643299999999996</v>
      </c>
      <c r="C879" s="10">
        <f>61.5223 * CHOOSE(CONTROL!$C$15, $E$9, 100%, $G$9) + CHOOSE(CONTROL!$C$38, 0.0357, 0)</f>
        <v>61.558</v>
      </c>
      <c r="D879" s="10">
        <f>61.5145 * CHOOSE(CONTROL!$C$15, $E$9, 100%, $G$9) + CHOOSE(CONTROL!$C$38, 0.0357, 0)</f>
        <v>61.550199999999997</v>
      </c>
      <c r="E879" s="28">
        <f>66.4605 * CHOOSE(CONTROL!$C$15, $E$9, 100%, $G$9) + CHOOSE(CONTROL!$C$38, 0.0357, 0)</f>
        <v>66.496200000000002</v>
      </c>
      <c r="F879" s="27">
        <f>66.4605 * CHOOSE(CONTROL!$C$15, $E$9, 100%, $G$9) + CHOOSE(CONTROL!$C$38, 0.0266, 0)</f>
        <v>66.487099999999998</v>
      </c>
      <c r="G879" s="10">
        <f>61.5207 * CHOOSE(CONTROL!$C$15, $E$9, 100%, $G$9) + CHOOSE(CONTROL!$C$38, 0.0357, 0)</f>
        <v>61.556399999999996</v>
      </c>
      <c r="H879" s="10">
        <f>61.5207 * CHOOSE(CONTROL!$C$15, $E$9, 100%, $G$9) + CHOOSE(CONTROL!$C$38, 0.0357, 0)</f>
        <v>61.556399999999996</v>
      </c>
      <c r="I879" s="10">
        <f>61.5223 * CHOOSE(CONTROL!$C$15, $E$9, 100%, $G$9) + CHOOSE(CONTROL!$C$38, 0.0357, 0)</f>
        <v>61.558</v>
      </c>
      <c r="J879" s="26">
        <f>434.2976</f>
        <v>434.29759999999999</v>
      </c>
    </row>
    <row r="880" spans="1:10" ht="15.75">
      <c r="A880" s="13">
        <v>68088</v>
      </c>
      <c r="B880" s="10">
        <f>66.1006 * CHOOSE(CONTROL!$C$15, $E$9, 100%, $G$9) + CHOOSE(CONTROL!$C$38, 0.0266, 0)</f>
        <v>66.127200000000002</v>
      </c>
      <c r="C880" s="10">
        <f>61.0062 * CHOOSE(CONTROL!$C$15, $E$9, 100%, $G$9) + CHOOSE(CONTROL!$C$38, 0.0357, 0)</f>
        <v>61.041899999999998</v>
      </c>
      <c r="D880" s="10">
        <f>60.9984 * CHOOSE(CONTROL!$C$15, $E$9, 100%, $G$9) + CHOOSE(CONTROL!$C$38, 0.0357, 0)</f>
        <v>61.034099999999995</v>
      </c>
      <c r="E880" s="28">
        <f>65.9444 * CHOOSE(CONTROL!$C$15, $E$9, 100%, $G$9) + CHOOSE(CONTROL!$C$38, 0.0357, 0)</f>
        <v>65.980100000000007</v>
      </c>
      <c r="F880" s="27">
        <f>65.9444 * CHOOSE(CONTROL!$C$15, $E$9, 100%, $G$9) + CHOOSE(CONTROL!$C$38, 0.0266, 0)</f>
        <v>65.971000000000004</v>
      </c>
      <c r="G880" s="10">
        <f>61.0046 * CHOOSE(CONTROL!$C$15, $E$9, 100%, $G$9) + CHOOSE(CONTROL!$C$38, 0.0357, 0)</f>
        <v>61.040300000000002</v>
      </c>
      <c r="H880" s="10">
        <f>61.0046 * CHOOSE(CONTROL!$C$15, $E$9, 100%, $G$9) + CHOOSE(CONTROL!$C$38, 0.0357, 0)</f>
        <v>61.040300000000002</v>
      </c>
      <c r="I880" s="10">
        <f>61.0062 * CHOOSE(CONTROL!$C$15, $E$9, 100%, $G$9) + CHOOSE(CONTROL!$C$38, 0.0357, 0)</f>
        <v>61.041899999999998</v>
      </c>
      <c r="J880" s="26">
        <f>448.8718</f>
        <v>448.87180000000001</v>
      </c>
    </row>
    <row r="881" spans="1:10" ht="15.75">
      <c r="A881" s="13">
        <v>68118</v>
      </c>
      <c r="B881" s="10">
        <f>65.7388 * CHOOSE(CONTROL!$C$15, $E$9, 100%, $G$9) + CHOOSE(CONTROL!$C$38, 0.0266, 0)</f>
        <v>65.7654</v>
      </c>
      <c r="C881" s="10">
        <f>60.6443 * CHOOSE(CONTROL!$C$15, $E$9, 100%, $G$9) + CHOOSE(CONTROL!$C$38, 0.0357, 0)</f>
        <v>60.68</v>
      </c>
      <c r="D881" s="10">
        <f>60.6365 * CHOOSE(CONTROL!$C$15, $E$9, 100%, $G$9) + CHOOSE(CONTROL!$C$38, 0.0357, 0)</f>
        <v>60.672199999999997</v>
      </c>
      <c r="E881" s="28">
        <f>65.5825 * CHOOSE(CONTROL!$C$15, $E$9, 100%, $G$9) + CHOOSE(CONTROL!$C$38, 0.0357, 0)</f>
        <v>65.618200000000002</v>
      </c>
      <c r="F881" s="27">
        <f>65.5825 * CHOOSE(CONTROL!$C$15, $E$9, 100%, $G$9) + CHOOSE(CONTROL!$C$38, 0.0266, 0)</f>
        <v>65.609099999999998</v>
      </c>
      <c r="G881" s="10">
        <f>60.6428 * CHOOSE(CONTROL!$C$15, $E$9, 100%, $G$9) + CHOOSE(CONTROL!$C$38, 0.0357, 0)</f>
        <v>60.6785</v>
      </c>
      <c r="H881" s="10">
        <f>60.6428 * CHOOSE(CONTROL!$C$15, $E$9, 100%, $G$9) + CHOOSE(CONTROL!$C$38, 0.0357, 0)</f>
        <v>60.6785</v>
      </c>
      <c r="I881" s="10">
        <f>60.6443 * CHOOSE(CONTROL!$C$15, $E$9, 100%, $G$9) + CHOOSE(CONTROL!$C$38, 0.0357, 0)</f>
        <v>60.68</v>
      </c>
      <c r="J881" s="26">
        <f>455.3396</f>
        <v>455.33960000000002</v>
      </c>
    </row>
    <row r="882" spans="1:10" ht="15.75">
      <c r="A882" s="13">
        <v>68149</v>
      </c>
      <c r="B882" s="10">
        <f>65.5323 * CHOOSE(CONTROL!$C$15, $E$9, 100%, $G$9) + CHOOSE(CONTROL!$C$38, 0.0266, 0)</f>
        <v>65.558900000000008</v>
      </c>
      <c r="C882" s="10">
        <f>60.4378 * CHOOSE(CONTROL!$C$15, $E$9, 100%, $G$9) + CHOOSE(CONTROL!$C$38, 0.0357, 0)</f>
        <v>60.473500000000001</v>
      </c>
      <c r="D882" s="10">
        <f>60.43 * CHOOSE(CONTROL!$C$15, $E$9, 100%, $G$9) + CHOOSE(CONTROL!$C$38, 0.0357, 0)</f>
        <v>60.465699999999998</v>
      </c>
      <c r="E882" s="28">
        <f>65.3761 * CHOOSE(CONTROL!$C$15, $E$9, 100%, $G$9) + CHOOSE(CONTROL!$C$38, 0.0357, 0)</f>
        <v>65.411799999999999</v>
      </c>
      <c r="F882" s="27">
        <f>65.3761 * CHOOSE(CONTROL!$C$15, $E$9, 100%, $G$9) + CHOOSE(CONTROL!$C$38, 0.0266, 0)</f>
        <v>65.402699999999996</v>
      </c>
      <c r="G882" s="10">
        <f>60.4363 * CHOOSE(CONTROL!$C$15, $E$9, 100%, $G$9) + CHOOSE(CONTROL!$C$38, 0.0357, 0)</f>
        <v>60.472000000000001</v>
      </c>
      <c r="H882" s="10">
        <f>60.4363 * CHOOSE(CONTROL!$C$15, $E$9, 100%, $G$9) + CHOOSE(CONTROL!$C$38, 0.0357, 0)</f>
        <v>60.472000000000001</v>
      </c>
      <c r="I882" s="10">
        <f>60.4378 * CHOOSE(CONTROL!$C$15, $E$9, 100%, $G$9) + CHOOSE(CONTROL!$C$38, 0.0357, 0)</f>
        <v>60.473500000000001</v>
      </c>
      <c r="J882" s="26">
        <f>453.2101</f>
        <v>453.21010000000001</v>
      </c>
    </row>
    <row r="883" spans="1:10" ht="15.75">
      <c r="A883" s="13">
        <v>68180</v>
      </c>
      <c r="B883" s="10">
        <f>65.6342 * CHOOSE(CONTROL!$C$15, $E$9, 100%, $G$9) + CHOOSE(CONTROL!$C$38, 0.0266, 0)</f>
        <v>65.660800000000009</v>
      </c>
      <c r="C883" s="10">
        <f>60.5398 * CHOOSE(CONTROL!$C$15, $E$9, 100%, $G$9) + CHOOSE(CONTROL!$C$38, 0.0357, 0)</f>
        <v>60.575499999999998</v>
      </c>
      <c r="D883" s="10">
        <f>60.5319 * CHOOSE(CONTROL!$C$15, $E$9, 100%, $G$9) + CHOOSE(CONTROL!$C$38, 0.0357, 0)</f>
        <v>60.567599999999999</v>
      </c>
      <c r="E883" s="28">
        <f>65.478 * CHOOSE(CONTROL!$C$15, $E$9, 100%, $G$9) + CHOOSE(CONTROL!$C$38, 0.0357, 0)</f>
        <v>65.5137</v>
      </c>
      <c r="F883" s="27">
        <f>65.478 * CHOOSE(CONTROL!$C$15, $E$9, 100%, $G$9) + CHOOSE(CONTROL!$C$38, 0.0266, 0)</f>
        <v>65.504599999999996</v>
      </c>
      <c r="G883" s="10">
        <f>60.5382 * CHOOSE(CONTROL!$C$15, $E$9, 100%, $G$9) + CHOOSE(CONTROL!$C$38, 0.0357, 0)</f>
        <v>60.573900000000002</v>
      </c>
      <c r="H883" s="10">
        <f>60.5382 * CHOOSE(CONTROL!$C$15, $E$9, 100%, $G$9) + CHOOSE(CONTROL!$C$38, 0.0357, 0)</f>
        <v>60.573900000000002</v>
      </c>
      <c r="I883" s="10">
        <f>60.5398 * CHOOSE(CONTROL!$C$15, $E$9, 100%, $G$9) + CHOOSE(CONTROL!$C$38, 0.0357, 0)</f>
        <v>60.575499999999998</v>
      </c>
      <c r="J883" s="26">
        <f>442.6595</f>
        <v>442.65949999999998</v>
      </c>
    </row>
    <row r="884" spans="1:10" ht="15.75">
      <c r="A884" s="13">
        <v>68210</v>
      </c>
      <c r="B884" s="10">
        <f>65.911 * CHOOSE(CONTROL!$C$15, $E$9, 100%, $G$9) + CHOOSE(CONTROL!$C$38, 0.0266, 0)</f>
        <v>65.937600000000003</v>
      </c>
      <c r="C884" s="10">
        <f>60.8165 * CHOOSE(CONTROL!$C$15, $E$9, 100%, $G$9) + CHOOSE(CONTROL!$C$38, 0.0357, 0)</f>
        <v>60.852199999999996</v>
      </c>
      <c r="D884" s="10">
        <f>60.8087 * CHOOSE(CONTROL!$C$15, $E$9, 100%, $G$9) + CHOOSE(CONTROL!$C$38, 0.0357, 0)</f>
        <v>60.8444</v>
      </c>
      <c r="E884" s="28">
        <f>65.7548 * CHOOSE(CONTROL!$C$15, $E$9, 100%, $G$9) + CHOOSE(CONTROL!$C$38, 0.0357, 0)</f>
        <v>65.790500000000009</v>
      </c>
      <c r="F884" s="27">
        <f>65.7548 * CHOOSE(CONTROL!$C$15, $E$9, 100%, $G$9) + CHOOSE(CONTROL!$C$38, 0.0266, 0)</f>
        <v>65.781400000000005</v>
      </c>
      <c r="G884" s="10">
        <f>60.815 * CHOOSE(CONTROL!$C$15, $E$9, 100%, $G$9) + CHOOSE(CONTROL!$C$38, 0.0357, 0)</f>
        <v>60.850699999999996</v>
      </c>
      <c r="H884" s="10">
        <f>60.815 * CHOOSE(CONTROL!$C$15, $E$9, 100%, $G$9) + CHOOSE(CONTROL!$C$38, 0.0357, 0)</f>
        <v>60.850699999999996</v>
      </c>
      <c r="I884" s="10">
        <f>60.8165 * CHOOSE(CONTROL!$C$15, $E$9, 100%, $G$9) + CHOOSE(CONTROL!$C$38, 0.0357, 0)</f>
        <v>60.852199999999996</v>
      </c>
      <c r="J884" s="26">
        <f>427.9463</f>
        <v>427.94630000000001</v>
      </c>
    </row>
    <row r="885" spans="1:10" ht="15.75">
      <c r="A885" s="13">
        <v>68241</v>
      </c>
      <c r="B885" s="10">
        <f>66.1428 * CHOOSE(CONTROL!$C$15, $E$9, 100%, $G$9) + CHOOSE(CONTROL!$C$38, 0.0266, 0)</f>
        <v>66.169399999999996</v>
      </c>
      <c r="C885" s="10">
        <f>61.0484 * CHOOSE(CONTROL!$C$15, $E$9, 100%, $G$9) + CHOOSE(CONTROL!$C$38, 0.0357, 0)</f>
        <v>61.084099999999999</v>
      </c>
      <c r="D885" s="10">
        <f>61.0406 * CHOOSE(CONTROL!$C$15, $E$9, 100%, $G$9) + CHOOSE(CONTROL!$C$38, 0.0357, 0)</f>
        <v>61.076299999999996</v>
      </c>
      <c r="E885" s="28">
        <f>65.9866 * CHOOSE(CONTROL!$C$15, $E$9, 100%, $G$9) + CHOOSE(CONTROL!$C$38, 0.0357, 0)</f>
        <v>66.022300000000001</v>
      </c>
      <c r="F885" s="27">
        <f>65.9866 * CHOOSE(CONTROL!$C$15, $E$9, 100%, $G$9) + CHOOSE(CONTROL!$C$38, 0.0266, 0)</f>
        <v>66.013199999999998</v>
      </c>
      <c r="G885" s="10">
        <f>61.0468 * CHOOSE(CONTROL!$C$15, $E$9, 100%, $G$9) + CHOOSE(CONTROL!$C$38, 0.0357, 0)</f>
        <v>61.082499999999996</v>
      </c>
      <c r="H885" s="10">
        <f>61.0468 * CHOOSE(CONTROL!$C$15, $E$9, 100%, $G$9) + CHOOSE(CONTROL!$C$38, 0.0357, 0)</f>
        <v>61.082499999999996</v>
      </c>
      <c r="I885" s="10">
        <f>61.0484 * CHOOSE(CONTROL!$C$15, $E$9, 100%, $G$9) + CHOOSE(CONTROL!$C$38, 0.0357, 0)</f>
        <v>61.084099999999999</v>
      </c>
      <c r="J885" s="26">
        <f>413.1475</f>
        <v>413.14749999999998</v>
      </c>
    </row>
    <row r="886" spans="1:10" ht="15.75">
      <c r="A886" s="13">
        <v>68271</v>
      </c>
      <c r="B886" s="10">
        <f>66.3363 * CHOOSE(CONTROL!$C$15, $E$9, 100%, $G$9) + CHOOSE(CONTROL!$C$38, 0.0266, 0)</f>
        <v>66.362899999999996</v>
      </c>
      <c r="C886" s="10">
        <f>61.2418 * CHOOSE(CONTROL!$C$15, $E$9, 100%, $G$9) + CHOOSE(CONTROL!$C$38, 0.0357, 0)</f>
        <v>61.277499999999996</v>
      </c>
      <c r="D886" s="10">
        <f>61.234 * CHOOSE(CONTROL!$C$15, $E$9, 100%, $G$9) + CHOOSE(CONTROL!$C$38, 0.0357, 0)</f>
        <v>61.2697</v>
      </c>
      <c r="E886" s="28">
        <f>66.18 * CHOOSE(CONTROL!$C$15, $E$9, 100%, $G$9) + CHOOSE(CONTROL!$C$38, 0.0357, 0)</f>
        <v>66.215700000000012</v>
      </c>
      <c r="F886" s="27">
        <f>66.18 * CHOOSE(CONTROL!$C$15, $E$9, 100%, $G$9) + CHOOSE(CONTROL!$C$38, 0.0266, 0)</f>
        <v>66.206600000000009</v>
      </c>
      <c r="G886" s="10">
        <f>61.2403 * CHOOSE(CONTROL!$C$15, $E$9, 100%, $G$9) + CHOOSE(CONTROL!$C$38, 0.0357, 0)</f>
        <v>61.275999999999996</v>
      </c>
      <c r="H886" s="10">
        <f>61.2403 * CHOOSE(CONTROL!$C$15, $E$9, 100%, $G$9) + CHOOSE(CONTROL!$C$38, 0.0357, 0)</f>
        <v>61.275999999999996</v>
      </c>
      <c r="I886" s="10">
        <f>61.2418 * CHOOSE(CONTROL!$C$15, $E$9, 100%, $G$9) + CHOOSE(CONTROL!$C$38, 0.0357, 0)</f>
        <v>61.277499999999996</v>
      </c>
      <c r="J886" s="26">
        <f>410.2037</f>
        <v>410.20370000000003</v>
      </c>
    </row>
    <row r="887" spans="1:10" ht="15.75">
      <c r="A887" s="13">
        <v>68302</v>
      </c>
      <c r="B887" s="10">
        <f>66.9323 * CHOOSE(CONTROL!$C$15, $E$9, 100%, $G$9) + CHOOSE(CONTROL!$C$38, 0.0266, 0)</f>
        <v>66.9589</v>
      </c>
      <c r="C887" s="10">
        <f>61.8379 * CHOOSE(CONTROL!$C$15, $E$9, 100%, $G$9) + CHOOSE(CONTROL!$C$38, 0.0357, 0)</f>
        <v>61.873599999999996</v>
      </c>
      <c r="D887" s="10">
        <f>61.8301 * CHOOSE(CONTROL!$C$15, $E$9, 100%, $G$9) + CHOOSE(CONTROL!$C$38, 0.0357, 0)</f>
        <v>61.8658</v>
      </c>
      <c r="E887" s="28">
        <f>66.7761 * CHOOSE(CONTROL!$C$15, $E$9, 100%, $G$9) + CHOOSE(CONTROL!$C$38, 0.0357, 0)</f>
        <v>66.811800000000005</v>
      </c>
      <c r="F887" s="27">
        <f>66.7761 * CHOOSE(CONTROL!$C$15, $E$9, 100%, $G$9) + CHOOSE(CONTROL!$C$38, 0.0266, 0)</f>
        <v>66.802700000000002</v>
      </c>
      <c r="G887" s="10">
        <f>61.8363 * CHOOSE(CONTROL!$C$15, $E$9, 100%, $G$9) + CHOOSE(CONTROL!$C$38, 0.0357, 0)</f>
        <v>61.872</v>
      </c>
      <c r="H887" s="10">
        <f>61.8363 * CHOOSE(CONTROL!$C$15, $E$9, 100%, $G$9) + CHOOSE(CONTROL!$C$38, 0.0357, 0)</f>
        <v>61.872</v>
      </c>
      <c r="I887" s="10">
        <f>61.8379 * CHOOSE(CONTROL!$C$15, $E$9, 100%, $G$9) + CHOOSE(CONTROL!$C$38, 0.0357, 0)</f>
        <v>61.873599999999996</v>
      </c>
      <c r="J887" s="26">
        <f>398.0309</f>
        <v>398.03089999999997</v>
      </c>
    </row>
    <row r="888" spans="1:10" ht="15.75">
      <c r="A888" s="13">
        <v>68333</v>
      </c>
      <c r="B888" s="10">
        <f>68.5649 * CHOOSE(CONTROL!$C$15, $E$9, 100%, $G$9) + CHOOSE(CONTROL!$C$38, 0.0266, 0)</f>
        <v>68.591499999999996</v>
      </c>
      <c r="C888" s="10">
        <f>63.3832 * CHOOSE(CONTROL!$C$15, $E$9, 100%, $G$9) + CHOOSE(CONTROL!$C$38, 0.0357, 0)</f>
        <v>63.418900000000001</v>
      </c>
      <c r="D888" s="10">
        <f>63.3754 * CHOOSE(CONTROL!$C$15, $E$9, 100%, $G$9) + CHOOSE(CONTROL!$C$38, 0.0357, 0)</f>
        <v>63.411099999999998</v>
      </c>
      <c r="E888" s="28">
        <f>68.4086 * CHOOSE(CONTROL!$C$15, $E$9, 100%, $G$9) + CHOOSE(CONTROL!$C$38, 0.0357, 0)</f>
        <v>68.444300000000013</v>
      </c>
      <c r="F888" s="27">
        <f>68.4086 * CHOOSE(CONTROL!$C$15, $E$9, 100%, $G$9) + CHOOSE(CONTROL!$C$38, 0.0266, 0)</f>
        <v>68.435200000000009</v>
      </c>
      <c r="G888" s="10">
        <f>63.3816 * CHOOSE(CONTROL!$C$15, $E$9, 100%, $G$9) + CHOOSE(CONTROL!$C$38, 0.0357, 0)</f>
        <v>63.417299999999997</v>
      </c>
      <c r="H888" s="10">
        <f>63.3816 * CHOOSE(CONTROL!$C$15, $E$9, 100%, $G$9) + CHOOSE(CONTROL!$C$38, 0.0357, 0)</f>
        <v>63.417299999999997</v>
      </c>
      <c r="I888" s="10">
        <f>63.3832 * CHOOSE(CONTROL!$C$15, $E$9, 100%, $G$9) + CHOOSE(CONTROL!$C$38, 0.0357, 0)</f>
        <v>63.418900000000001</v>
      </c>
      <c r="J888" s="26">
        <f>395.3647</f>
        <v>395.36470000000003</v>
      </c>
    </row>
    <row r="889" spans="1:10" ht="15.75">
      <c r="A889" s="13">
        <v>68361</v>
      </c>
      <c r="B889" s="10">
        <f>68.7856 * CHOOSE(CONTROL!$C$15, $E$9, 100%, $G$9) + CHOOSE(CONTROL!$C$38, 0.0266, 0)</f>
        <v>68.812200000000004</v>
      </c>
      <c r="C889" s="10">
        <f>63.6039 * CHOOSE(CONTROL!$C$15, $E$9, 100%, $G$9) + CHOOSE(CONTROL!$C$38, 0.0357, 0)</f>
        <v>63.639600000000002</v>
      </c>
      <c r="D889" s="10">
        <f>63.5961 * CHOOSE(CONTROL!$C$15, $E$9, 100%, $G$9) + CHOOSE(CONTROL!$C$38, 0.0357, 0)</f>
        <v>63.631799999999998</v>
      </c>
      <c r="E889" s="28">
        <f>68.6294 * CHOOSE(CONTROL!$C$15, $E$9, 100%, $G$9) + CHOOSE(CONTROL!$C$38, 0.0357, 0)</f>
        <v>68.66510000000001</v>
      </c>
      <c r="F889" s="27">
        <f>68.6294 * CHOOSE(CONTROL!$C$15, $E$9, 100%, $G$9) + CHOOSE(CONTROL!$C$38, 0.0266, 0)</f>
        <v>68.656000000000006</v>
      </c>
      <c r="G889" s="10">
        <f>63.6024 * CHOOSE(CONTROL!$C$15, $E$9, 100%, $G$9) + CHOOSE(CONTROL!$C$38, 0.0357, 0)</f>
        <v>63.638100000000001</v>
      </c>
      <c r="H889" s="10">
        <f>63.6024 * CHOOSE(CONTROL!$C$15, $E$9, 100%, $G$9) + CHOOSE(CONTROL!$C$38, 0.0357, 0)</f>
        <v>63.638100000000001</v>
      </c>
      <c r="I889" s="10">
        <f>63.6039 * CHOOSE(CONTROL!$C$15, $E$9, 100%, $G$9) + CHOOSE(CONTROL!$C$38, 0.0357, 0)</f>
        <v>63.639600000000002</v>
      </c>
      <c r="J889" s="26">
        <f>394.2657</f>
        <v>394.26569999999998</v>
      </c>
    </row>
    <row r="890" spans="1:10" ht="15.75">
      <c r="A890" s="13">
        <v>68392</v>
      </c>
      <c r="B890" s="10">
        <f>68.2746 * CHOOSE(CONTROL!$C$15, $E$9, 100%, $G$9) + CHOOSE(CONTROL!$C$38, 0.0266, 0)</f>
        <v>68.301200000000009</v>
      </c>
      <c r="C890" s="10">
        <f>63.0929 * CHOOSE(CONTROL!$C$15, $E$9, 100%, $G$9) + CHOOSE(CONTROL!$C$38, 0.0357, 0)</f>
        <v>63.128599999999999</v>
      </c>
      <c r="D890" s="10">
        <f>63.0851 * CHOOSE(CONTROL!$C$15, $E$9, 100%, $G$9) + CHOOSE(CONTROL!$C$38, 0.0357, 0)</f>
        <v>63.120799999999996</v>
      </c>
      <c r="E890" s="28">
        <f>68.1184 * CHOOSE(CONTROL!$C$15, $E$9, 100%, $G$9) + CHOOSE(CONTROL!$C$38, 0.0357, 0)</f>
        <v>68.1541</v>
      </c>
      <c r="F890" s="27">
        <f>68.1184 * CHOOSE(CONTROL!$C$15, $E$9, 100%, $G$9) + CHOOSE(CONTROL!$C$38, 0.0266, 0)</f>
        <v>68.144999999999996</v>
      </c>
      <c r="G890" s="10">
        <f>63.0913 * CHOOSE(CONTROL!$C$15, $E$9, 100%, $G$9) + CHOOSE(CONTROL!$C$38, 0.0357, 0)</f>
        <v>63.126999999999995</v>
      </c>
      <c r="H890" s="10">
        <f>63.0913 * CHOOSE(CONTROL!$C$15, $E$9, 100%, $G$9) + CHOOSE(CONTROL!$C$38, 0.0357, 0)</f>
        <v>63.126999999999995</v>
      </c>
      <c r="I890" s="10">
        <f>63.0929 * CHOOSE(CONTROL!$C$15, $E$9, 100%, $G$9) + CHOOSE(CONTROL!$C$38, 0.0357, 0)</f>
        <v>63.128599999999999</v>
      </c>
      <c r="J890" s="26">
        <f>415.0458</f>
        <v>415.04579999999999</v>
      </c>
    </row>
    <row r="891" spans="1:10" ht="15.75">
      <c r="A891" s="13">
        <v>68422</v>
      </c>
      <c r="B891" s="10">
        <f>67.7794 * CHOOSE(CONTROL!$C$15, $E$9, 100%, $G$9) + CHOOSE(CONTROL!$C$38, 0.0266, 0)</f>
        <v>67.805999999999997</v>
      </c>
      <c r="C891" s="10">
        <f>62.5977 * CHOOSE(CONTROL!$C$15, $E$9, 100%, $G$9) + CHOOSE(CONTROL!$C$38, 0.0357, 0)</f>
        <v>62.633400000000002</v>
      </c>
      <c r="D891" s="10">
        <f>62.5899 * CHOOSE(CONTROL!$C$15, $E$9, 100%, $G$9) + CHOOSE(CONTROL!$C$38, 0.0357, 0)</f>
        <v>62.625599999999999</v>
      </c>
      <c r="E891" s="28">
        <f>67.6232 * CHOOSE(CONTROL!$C$15, $E$9, 100%, $G$9) + CHOOSE(CONTROL!$C$38, 0.0357, 0)</f>
        <v>67.658900000000003</v>
      </c>
      <c r="F891" s="27">
        <f>67.6232 * CHOOSE(CONTROL!$C$15, $E$9, 100%, $G$9) + CHOOSE(CONTROL!$C$38, 0.0266, 0)</f>
        <v>67.649799999999999</v>
      </c>
      <c r="G891" s="10">
        <f>62.5962 * CHOOSE(CONTROL!$C$15, $E$9, 100%, $G$9) + CHOOSE(CONTROL!$C$38, 0.0357, 0)</f>
        <v>62.631900000000002</v>
      </c>
      <c r="H891" s="10">
        <f>62.5962 * CHOOSE(CONTROL!$C$15, $E$9, 100%, $G$9) + CHOOSE(CONTROL!$C$38, 0.0357, 0)</f>
        <v>62.631900000000002</v>
      </c>
      <c r="I891" s="10">
        <f>62.5977 * CHOOSE(CONTROL!$C$15, $E$9, 100%, $G$9) + CHOOSE(CONTROL!$C$38, 0.0357, 0)</f>
        <v>62.633400000000002</v>
      </c>
      <c r="J891" s="26">
        <f>441.9926</f>
        <v>441.99259999999998</v>
      </c>
    </row>
    <row r="892" spans="1:10" ht="15.75">
      <c r="A892" s="13">
        <v>68453</v>
      </c>
      <c r="B892" s="10">
        <f>67.2633 * CHOOSE(CONTROL!$C$15, $E$9, 100%, $G$9) + CHOOSE(CONTROL!$C$38, 0.0266, 0)</f>
        <v>67.289900000000003</v>
      </c>
      <c r="C892" s="10">
        <f>62.0816 * CHOOSE(CONTROL!$C$15, $E$9, 100%, $G$9) + CHOOSE(CONTROL!$C$38, 0.0357, 0)</f>
        <v>62.1173</v>
      </c>
      <c r="D892" s="10">
        <f>62.0738 * CHOOSE(CONTROL!$C$15, $E$9, 100%, $G$9) + CHOOSE(CONTROL!$C$38, 0.0357, 0)</f>
        <v>62.109499999999997</v>
      </c>
      <c r="E892" s="28">
        <f>67.1071 * CHOOSE(CONTROL!$C$15, $E$9, 100%, $G$9) + CHOOSE(CONTROL!$C$38, 0.0357, 0)</f>
        <v>67.142800000000008</v>
      </c>
      <c r="F892" s="27">
        <f>67.1071 * CHOOSE(CONTROL!$C$15, $E$9, 100%, $G$9) + CHOOSE(CONTROL!$C$38, 0.0266, 0)</f>
        <v>67.133700000000005</v>
      </c>
      <c r="G892" s="10">
        <f>62.08 * CHOOSE(CONTROL!$C$15, $E$9, 100%, $G$9) + CHOOSE(CONTROL!$C$38, 0.0357, 0)</f>
        <v>62.115699999999997</v>
      </c>
      <c r="H892" s="10">
        <f>62.08 * CHOOSE(CONTROL!$C$15, $E$9, 100%, $G$9) + CHOOSE(CONTROL!$C$38, 0.0357, 0)</f>
        <v>62.115699999999997</v>
      </c>
      <c r="I892" s="10">
        <f>62.0816 * CHOOSE(CONTROL!$C$15, $E$9, 100%, $G$9) + CHOOSE(CONTROL!$C$38, 0.0357, 0)</f>
        <v>62.1173</v>
      </c>
      <c r="J892" s="26">
        <f>456.825</f>
        <v>456.82499999999999</v>
      </c>
    </row>
    <row r="893" spans="1:10" ht="15.75">
      <c r="A893" s="13">
        <v>68483</v>
      </c>
      <c r="B893" s="10">
        <f>66.9015 * CHOOSE(CONTROL!$C$15, $E$9, 100%, $G$9) + CHOOSE(CONTROL!$C$38, 0.0266, 0)</f>
        <v>66.928100000000001</v>
      </c>
      <c r="C893" s="10">
        <f>61.7198 * CHOOSE(CONTROL!$C$15, $E$9, 100%, $G$9) + CHOOSE(CONTROL!$C$38, 0.0357, 0)</f>
        <v>61.755499999999998</v>
      </c>
      <c r="D893" s="10">
        <f>61.712 * CHOOSE(CONTROL!$C$15, $E$9, 100%, $G$9) + CHOOSE(CONTROL!$C$38, 0.0357, 0)</f>
        <v>61.747700000000002</v>
      </c>
      <c r="E893" s="28">
        <f>66.7452 * CHOOSE(CONTROL!$C$15, $E$9, 100%, $G$9) + CHOOSE(CONTROL!$C$38, 0.0357, 0)</f>
        <v>66.780900000000003</v>
      </c>
      <c r="F893" s="27">
        <f>66.7452 * CHOOSE(CONTROL!$C$15, $E$9, 100%, $G$9) + CHOOSE(CONTROL!$C$38, 0.0266, 0)</f>
        <v>66.771799999999999</v>
      </c>
      <c r="G893" s="10">
        <f>61.7182 * CHOOSE(CONTROL!$C$15, $E$9, 100%, $G$9) + CHOOSE(CONTROL!$C$38, 0.0357, 0)</f>
        <v>61.753900000000002</v>
      </c>
      <c r="H893" s="10">
        <f>61.7182 * CHOOSE(CONTROL!$C$15, $E$9, 100%, $G$9) + CHOOSE(CONTROL!$C$38, 0.0357, 0)</f>
        <v>61.753900000000002</v>
      </c>
      <c r="I893" s="10">
        <f>61.7198 * CHOOSE(CONTROL!$C$15, $E$9, 100%, $G$9) + CHOOSE(CONTROL!$C$38, 0.0357, 0)</f>
        <v>61.755499999999998</v>
      </c>
      <c r="J893" s="26">
        <f>463.4073</f>
        <v>463.40730000000002</v>
      </c>
    </row>
    <row r="894" spans="1:10" ht="15.75">
      <c r="A894" s="13">
        <v>68514</v>
      </c>
      <c r="B894" s="10">
        <f>66.695 * CHOOSE(CONTROL!$C$15, $E$9, 100%, $G$9) + CHOOSE(CONTROL!$C$38, 0.0266, 0)</f>
        <v>66.721599999999995</v>
      </c>
      <c r="C894" s="10">
        <f>61.5133 * CHOOSE(CONTROL!$C$15, $E$9, 100%, $G$9) + CHOOSE(CONTROL!$C$38, 0.0357, 0)</f>
        <v>61.548999999999999</v>
      </c>
      <c r="D894" s="10">
        <f>61.5055 * CHOOSE(CONTROL!$C$15, $E$9, 100%, $G$9) + CHOOSE(CONTROL!$C$38, 0.0357, 0)</f>
        <v>61.541199999999996</v>
      </c>
      <c r="E894" s="28">
        <f>66.5387 * CHOOSE(CONTROL!$C$15, $E$9, 100%, $G$9) + CHOOSE(CONTROL!$C$38, 0.0357, 0)</f>
        <v>66.574400000000011</v>
      </c>
      <c r="F894" s="27">
        <f>66.5387 * CHOOSE(CONTROL!$C$15, $E$9, 100%, $G$9) + CHOOSE(CONTROL!$C$38, 0.0266, 0)</f>
        <v>66.565300000000008</v>
      </c>
      <c r="G894" s="10">
        <f>61.5117 * CHOOSE(CONTROL!$C$15, $E$9, 100%, $G$9) + CHOOSE(CONTROL!$C$38, 0.0357, 0)</f>
        <v>61.547399999999996</v>
      </c>
      <c r="H894" s="10">
        <f>61.5117 * CHOOSE(CONTROL!$C$15, $E$9, 100%, $G$9) + CHOOSE(CONTROL!$C$38, 0.0357, 0)</f>
        <v>61.547399999999996</v>
      </c>
      <c r="I894" s="10">
        <f>61.5133 * CHOOSE(CONTROL!$C$15, $E$9, 100%, $G$9) + CHOOSE(CONTROL!$C$38, 0.0357, 0)</f>
        <v>61.548999999999999</v>
      </c>
      <c r="J894" s="26">
        <f>461.2401</f>
        <v>461.24009999999998</v>
      </c>
    </row>
    <row r="895" spans="1:10" ht="15.75">
      <c r="A895" s="13">
        <v>68545</v>
      </c>
      <c r="B895" s="10">
        <f>66.7969 * CHOOSE(CONTROL!$C$15, $E$9, 100%, $G$9) + CHOOSE(CONTROL!$C$38, 0.0266, 0)</f>
        <v>66.823499999999996</v>
      </c>
      <c r="C895" s="10">
        <f>61.6152 * CHOOSE(CONTROL!$C$15, $E$9, 100%, $G$9) + CHOOSE(CONTROL!$C$38, 0.0357, 0)</f>
        <v>61.6509</v>
      </c>
      <c r="D895" s="10">
        <f>61.6074 * CHOOSE(CONTROL!$C$15, $E$9, 100%, $G$9) + CHOOSE(CONTROL!$C$38, 0.0357, 0)</f>
        <v>61.643099999999997</v>
      </c>
      <c r="E895" s="28">
        <f>66.6407 * CHOOSE(CONTROL!$C$15, $E$9, 100%, $G$9) + CHOOSE(CONTROL!$C$38, 0.0357, 0)</f>
        <v>66.676400000000001</v>
      </c>
      <c r="F895" s="27">
        <f>66.6407 * CHOOSE(CONTROL!$C$15, $E$9, 100%, $G$9) + CHOOSE(CONTROL!$C$38, 0.0266, 0)</f>
        <v>66.667299999999997</v>
      </c>
      <c r="G895" s="10">
        <f>61.6136 * CHOOSE(CONTROL!$C$15, $E$9, 100%, $G$9) + CHOOSE(CONTROL!$C$38, 0.0357, 0)</f>
        <v>61.649299999999997</v>
      </c>
      <c r="H895" s="10">
        <f>61.6136 * CHOOSE(CONTROL!$C$15, $E$9, 100%, $G$9) + CHOOSE(CONTROL!$C$38, 0.0357, 0)</f>
        <v>61.649299999999997</v>
      </c>
      <c r="I895" s="10">
        <f>61.6152 * CHOOSE(CONTROL!$C$15, $E$9, 100%, $G$9) + CHOOSE(CONTROL!$C$38, 0.0357, 0)</f>
        <v>61.6509</v>
      </c>
      <c r="J895" s="26">
        <f>450.5026</f>
        <v>450.50259999999997</v>
      </c>
    </row>
    <row r="896" spans="1:10" ht="15.75">
      <c r="A896" s="13">
        <v>68575</v>
      </c>
      <c r="B896" s="10">
        <f>67.0737 * CHOOSE(CONTROL!$C$15, $E$9, 100%, $G$9) + CHOOSE(CONTROL!$C$38, 0.0266, 0)</f>
        <v>67.100300000000004</v>
      </c>
      <c r="C896" s="10">
        <f>61.892 * CHOOSE(CONTROL!$C$15, $E$9, 100%, $G$9) + CHOOSE(CONTROL!$C$38, 0.0357, 0)</f>
        <v>61.927700000000002</v>
      </c>
      <c r="D896" s="10">
        <f>61.8842 * CHOOSE(CONTROL!$C$15, $E$9, 100%, $G$9) + CHOOSE(CONTROL!$C$38, 0.0357, 0)</f>
        <v>61.919899999999998</v>
      </c>
      <c r="E896" s="28">
        <f>66.9175 * CHOOSE(CONTROL!$C$15, $E$9, 100%, $G$9) + CHOOSE(CONTROL!$C$38, 0.0357, 0)</f>
        <v>66.95320000000001</v>
      </c>
      <c r="F896" s="27">
        <f>66.9175 * CHOOSE(CONTROL!$C$15, $E$9, 100%, $G$9) + CHOOSE(CONTROL!$C$38, 0.0266, 0)</f>
        <v>66.944100000000006</v>
      </c>
      <c r="G896" s="10">
        <f>61.8904 * CHOOSE(CONTROL!$C$15, $E$9, 100%, $G$9) + CHOOSE(CONTROL!$C$38, 0.0357, 0)</f>
        <v>61.926099999999998</v>
      </c>
      <c r="H896" s="10">
        <f>61.8904 * CHOOSE(CONTROL!$C$15, $E$9, 100%, $G$9) + CHOOSE(CONTROL!$C$38, 0.0357, 0)</f>
        <v>61.926099999999998</v>
      </c>
      <c r="I896" s="10">
        <f>61.892 * CHOOSE(CONTROL!$C$15, $E$9, 100%, $G$9) + CHOOSE(CONTROL!$C$38, 0.0357, 0)</f>
        <v>61.927700000000002</v>
      </c>
      <c r="J896" s="26">
        <f>435.5287</f>
        <v>435.52870000000001</v>
      </c>
    </row>
    <row r="897" spans="1:10" ht="15.75">
      <c r="A897" s="13">
        <v>68606</v>
      </c>
      <c r="B897" s="10">
        <f>67.3055 * CHOOSE(CONTROL!$C$15, $E$9, 100%, $G$9) + CHOOSE(CONTROL!$C$38, 0.0266, 0)</f>
        <v>67.332099999999997</v>
      </c>
      <c r="C897" s="10">
        <f>62.1238 * CHOOSE(CONTROL!$C$15, $E$9, 100%, $G$9) + CHOOSE(CONTROL!$C$38, 0.0357, 0)</f>
        <v>62.159500000000001</v>
      </c>
      <c r="D897" s="10">
        <f>62.116 * CHOOSE(CONTROL!$C$15, $E$9, 100%, $G$9) + CHOOSE(CONTROL!$C$38, 0.0357, 0)</f>
        <v>62.151699999999998</v>
      </c>
      <c r="E897" s="28">
        <f>67.1493 * CHOOSE(CONTROL!$C$15, $E$9, 100%, $G$9) + CHOOSE(CONTROL!$C$38, 0.0357, 0)</f>
        <v>67.185000000000002</v>
      </c>
      <c r="F897" s="27">
        <f>67.1493 * CHOOSE(CONTROL!$C$15, $E$9, 100%, $G$9) + CHOOSE(CONTROL!$C$38, 0.0266, 0)</f>
        <v>67.175899999999999</v>
      </c>
      <c r="G897" s="10">
        <f>62.1222 * CHOOSE(CONTROL!$C$15, $E$9, 100%, $G$9) + CHOOSE(CONTROL!$C$38, 0.0357, 0)</f>
        <v>62.157899999999998</v>
      </c>
      <c r="H897" s="10">
        <f>62.1222 * CHOOSE(CONTROL!$C$15, $E$9, 100%, $G$9) + CHOOSE(CONTROL!$C$38, 0.0357, 0)</f>
        <v>62.157899999999998</v>
      </c>
      <c r="I897" s="10">
        <f>62.1238 * CHOOSE(CONTROL!$C$15, $E$9, 100%, $G$9) + CHOOSE(CONTROL!$C$38, 0.0357, 0)</f>
        <v>62.159500000000001</v>
      </c>
      <c r="J897" s="26">
        <f>420.4677</f>
        <v>420.46769999999998</v>
      </c>
    </row>
    <row r="898" spans="1:10" ht="15.75">
      <c r="A898" s="13">
        <v>68636</v>
      </c>
      <c r="B898" s="10">
        <f>67.499 * CHOOSE(CONTROL!$C$15, $E$9, 100%, $G$9) + CHOOSE(CONTROL!$C$38, 0.0266, 0)</f>
        <v>67.525599999999997</v>
      </c>
      <c r="C898" s="10">
        <f>62.3172 * CHOOSE(CONTROL!$C$15, $E$9, 100%, $G$9) + CHOOSE(CONTROL!$C$38, 0.0357, 0)</f>
        <v>62.352899999999998</v>
      </c>
      <c r="D898" s="10">
        <f>62.3094 * CHOOSE(CONTROL!$C$15, $E$9, 100%, $G$9) + CHOOSE(CONTROL!$C$38, 0.0357, 0)</f>
        <v>62.345099999999995</v>
      </c>
      <c r="E898" s="28">
        <f>67.3427 * CHOOSE(CONTROL!$C$15, $E$9, 100%, $G$9) + CHOOSE(CONTROL!$C$38, 0.0357, 0)</f>
        <v>67.378399999999999</v>
      </c>
      <c r="F898" s="27">
        <f>67.3427 * CHOOSE(CONTROL!$C$15, $E$9, 100%, $G$9) + CHOOSE(CONTROL!$C$38, 0.0266, 0)</f>
        <v>67.369299999999996</v>
      </c>
      <c r="G898" s="10">
        <f>62.3157 * CHOOSE(CONTROL!$C$15, $E$9, 100%, $G$9) + CHOOSE(CONTROL!$C$38, 0.0357, 0)</f>
        <v>62.351399999999998</v>
      </c>
      <c r="H898" s="10">
        <f>62.3157 * CHOOSE(CONTROL!$C$15, $E$9, 100%, $G$9) + CHOOSE(CONTROL!$C$38, 0.0357, 0)</f>
        <v>62.351399999999998</v>
      </c>
      <c r="I898" s="10">
        <f>62.3172 * CHOOSE(CONTROL!$C$15, $E$9, 100%, $G$9) + CHOOSE(CONTROL!$C$38, 0.0357, 0)</f>
        <v>62.352899999999998</v>
      </c>
      <c r="J898" s="26">
        <f>417.4717</f>
        <v>417.4717</v>
      </c>
    </row>
    <row r="899" spans="1:10" ht="15.75">
      <c r="A899" s="13">
        <v>68667</v>
      </c>
      <c r="B899" s="10">
        <f>68.095 * CHOOSE(CONTROL!$C$15, $E$9, 100%, $G$9) + CHOOSE(CONTROL!$C$38, 0.0266, 0)</f>
        <v>68.121600000000001</v>
      </c>
      <c r="C899" s="10">
        <f>62.9133 * CHOOSE(CONTROL!$C$15, $E$9, 100%, $G$9) + CHOOSE(CONTROL!$C$38, 0.0357, 0)</f>
        <v>62.948999999999998</v>
      </c>
      <c r="D899" s="10">
        <f>62.9055 * CHOOSE(CONTROL!$C$15, $E$9, 100%, $G$9) + CHOOSE(CONTROL!$C$38, 0.0357, 0)</f>
        <v>62.941200000000002</v>
      </c>
      <c r="E899" s="28">
        <f>67.9388 * CHOOSE(CONTROL!$C$15, $E$9, 100%, $G$9) + CHOOSE(CONTROL!$C$38, 0.0357, 0)</f>
        <v>67.974500000000006</v>
      </c>
      <c r="F899" s="27">
        <f>67.9388 * CHOOSE(CONTROL!$C$15, $E$9, 100%, $G$9) + CHOOSE(CONTROL!$C$38, 0.0266, 0)</f>
        <v>67.965400000000002</v>
      </c>
      <c r="G899" s="10">
        <f>62.9118 * CHOOSE(CONTROL!$C$15, $E$9, 100%, $G$9) + CHOOSE(CONTROL!$C$38, 0.0357, 0)</f>
        <v>62.947499999999998</v>
      </c>
      <c r="H899" s="10">
        <f>62.9118 * CHOOSE(CONTROL!$C$15, $E$9, 100%, $G$9) + CHOOSE(CONTROL!$C$38, 0.0357, 0)</f>
        <v>62.947499999999998</v>
      </c>
      <c r="I899" s="10">
        <f>62.9133 * CHOOSE(CONTROL!$C$15, $E$9, 100%, $G$9) + CHOOSE(CONTROL!$C$38, 0.0357, 0)</f>
        <v>62.948999999999998</v>
      </c>
      <c r="J899" s="26">
        <f>405.0832</f>
        <v>405.08319999999998</v>
      </c>
    </row>
    <row r="900" spans="1:10" ht="15.75">
      <c r="A900" s="13">
        <v>68698</v>
      </c>
      <c r="B900" s="10">
        <f>69.7481 * CHOOSE(CONTROL!$C$15, $E$9, 100%, $G$9) + CHOOSE(CONTROL!$C$38, 0.0266, 0)</f>
        <v>69.774699999999996</v>
      </c>
      <c r="C900" s="10">
        <f>64.4776 * CHOOSE(CONTROL!$C$15, $E$9, 100%, $G$9) + CHOOSE(CONTROL!$C$38, 0.0357, 0)</f>
        <v>64.513300000000001</v>
      </c>
      <c r="D900" s="10">
        <f>64.4698 * CHOOSE(CONTROL!$C$15, $E$9, 100%, $G$9) + CHOOSE(CONTROL!$C$38, 0.0357, 0)</f>
        <v>64.505500000000012</v>
      </c>
      <c r="E900" s="28">
        <f>69.5919 * CHOOSE(CONTROL!$C$15, $E$9, 100%, $G$9) + CHOOSE(CONTROL!$C$38, 0.0357, 0)</f>
        <v>69.627600000000001</v>
      </c>
      <c r="F900" s="27">
        <f>69.5919 * CHOOSE(CONTROL!$C$15, $E$9, 100%, $G$9) + CHOOSE(CONTROL!$C$38, 0.0266, 0)</f>
        <v>69.618499999999997</v>
      </c>
      <c r="G900" s="10">
        <f>64.476 * CHOOSE(CONTROL!$C$15, $E$9, 100%, $G$9) + CHOOSE(CONTROL!$C$38, 0.0357, 0)</f>
        <v>64.511700000000005</v>
      </c>
      <c r="H900" s="10">
        <f>64.476 * CHOOSE(CONTROL!$C$15, $E$9, 100%, $G$9) + CHOOSE(CONTROL!$C$38, 0.0357, 0)</f>
        <v>64.511700000000005</v>
      </c>
      <c r="I900" s="10">
        <f>64.4776 * CHOOSE(CONTROL!$C$15, $E$9, 100%, $G$9) + CHOOSE(CONTROL!$C$38, 0.0357, 0)</f>
        <v>64.513300000000001</v>
      </c>
      <c r="J900" s="26">
        <f>402.3698</f>
        <v>402.3698</v>
      </c>
    </row>
    <row r="901" spans="1:10" ht="15.75">
      <c r="A901" s="13">
        <v>68727</v>
      </c>
      <c r="B901" s="10">
        <f>69.9689 * CHOOSE(CONTROL!$C$15, $E$9, 100%, $G$9) + CHOOSE(CONTROL!$C$38, 0.0266, 0)</f>
        <v>69.995500000000007</v>
      </c>
      <c r="C901" s="10">
        <f>64.6984 * CHOOSE(CONTROL!$C$15, $E$9, 100%, $G$9) + CHOOSE(CONTROL!$C$38, 0.0357, 0)</f>
        <v>64.734100000000012</v>
      </c>
      <c r="D901" s="10">
        <f>64.6905 * CHOOSE(CONTROL!$C$15, $E$9, 100%, $G$9) + CHOOSE(CONTROL!$C$38, 0.0357, 0)</f>
        <v>64.726200000000006</v>
      </c>
      <c r="E901" s="28">
        <f>69.8126 * CHOOSE(CONTROL!$C$15, $E$9, 100%, $G$9) + CHOOSE(CONTROL!$C$38, 0.0357, 0)</f>
        <v>69.848300000000009</v>
      </c>
      <c r="F901" s="27">
        <f>69.8126 * CHOOSE(CONTROL!$C$15, $E$9, 100%, $G$9) + CHOOSE(CONTROL!$C$38, 0.0266, 0)</f>
        <v>69.839200000000005</v>
      </c>
      <c r="G901" s="10">
        <f>64.6968 * CHOOSE(CONTROL!$C$15, $E$9, 100%, $G$9) + CHOOSE(CONTROL!$C$38, 0.0357, 0)</f>
        <v>64.732500000000002</v>
      </c>
      <c r="H901" s="10">
        <f>64.6968 * CHOOSE(CONTROL!$C$15, $E$9, 100%, $G$9) + CHOOSE(CONTROL!$C$38, 0.0357, 0)</f>
        <v>64.732500000000002</v>
      </c>
      <c r="I901" s="10">
        <f>64.6984 * CHOOSE(CONTROL!$C$15, $E$9, 100%, $G$9) + CHOOSE(CONTROL!$C$38, 0.0357, 0)</f>
        <v>64.734100000000012</v>
      </c>
      <c r="J901" s="26">
        <f>401.2513</f>
        <v>401.25130000000001</v>
      </c>
    </row>
    <row r="902" spans="1:10" ht="15.75">
      <c r="A902" s="13">
        <v>68758</v>
      </c>
      <c r="B902" s="10">
        <f>69.4578 * CHOOSE(CONTROL!$C$15, $E$9, 100%, $G$9) + CHOOSE(CONTROL!$C$38, 0.0266, 0)</f>
        <v>69.484400000000008</v>
      </c>
      <c r="C902" s="10">
        <f>64.1873 * CHOOSE(CONTROL!$C$15, $E$9, 100%, $G$9) + CHOOSE(CONTROL!$C$38, 0.0357, 0)</f>
        <v>64.222999999999999</v>
      </c>
      <c r="D902" s="10">
        <f>64.1795 * CHOOSE(CONTROL!$C$15, $E$9, 100%, $G$9) + CHOOSE(CONTROL!$C$38, 0.0357, 0)</f>
        <v>64.21520000000001</v>
      </c>
      <c r="E902" s="28">
        <f>69.3016 * CHOOSE(CONTROL!$C$15, $E$9, 100%, $G$9) + CHOOSE(CONTROL!$C$38, 0.0357, 0)</f>
        <v>69.337299999999999</v>
      </c>
      <c r="F902" s="27">
        <f>69.3016 * CHOOSE(CONTROL!$C$15, $E$9, 100%, $G$9) + CHOOSE(CONTROL!$C$38, 0.0266, 0)</f>
        <v>69.328199999999995</v>
      </c>
      <c r="G902" s="10">
        <f>64.1858 * CHOOSE(CONTROL!$C$15, $E$9, 100%, $G$9) + CHOOSE(CONTROL!$C$38, 0.0357, 0)</f>
        <v>64.221500000000006</v>
      </c>
      <c r="H902" s="10">
        <f>64.1858 * CHOOSE(CONTROL!$C$15, $E$9, 100%, $G$9) + CHOOSE(CONTROL!$C$38, 0.0357, 0)</f>
        <v>64.221500000000006</v>
      </c>
      <c r="I902" s="10">
        <f>64.1873 * CHOOSE(CONTROL!$C$15, $E$9, 100%, $G$9) + CHOOSE(CONTROL!$C$38, 0.0357, 0)</f>
        <v>64.222999999999999</v>
      </c>
      <c r="J902" s="26">
        <f>422.3996</f>
        <v>422.39960000000002</v>
      </c>
    </row>
    <row r="903" spans="1:10" ht="15.75">
      <c r="A903" s="13">
        <v>68788</v>
      </c>
      <c r="B903" s="10">
        <f>68.9627 * CHOOSE(CONTROL!$C$15, $E$9, 100%, $G$9) + CHOOSE(CONTROL!$C$38, 0.0266, 0)</f>
        <v>68.9893</v>
      </c>
      <c r="C903" s="10">
        <f>63.6922 * CHOOSE(CONTROL!$C$15, $E$9, 100%, $G$9) + CHOOSE(CONTROL!$C$38, 0.0357, 0)</f>
        <v>63.727899999999998</v>
      </c>
      <c r="D903" s="10">
        <f>63.6843 * CHOOSE(CONTROL!$C$15, $E$9, 100%, $G$9) + CHOOSE(CONTROL!$C$38, 0.0357, 0)</f>
        <v>63.72</v>
      </c>
      <c r="E903" s="28">
        <f>68.8064 * CHOOSE(CONTROL!$C$15, $E$9, 100%, $G$9) + CHOOSE(CONTROL!$C$38, 0.0357, 0)</f>
        <v>68.842100000000002</v>
      </c>
      <c r="F903" s="27">
        <f>68.8064 * CHOOSE(CONTROL!$C$15, $E$9, 100%, $G$9) + CHOOSE(CONTROL!$C$38, 0.0266, 0)</f>
        <v>68.832999999999998</v>
      </c>
      <c r="G903" s="10">
        <f>63.6906 * CHOOSE(CONTROL!$C$15, $E$9, 100%, $G$9) + CHOOSE(CONTROL!$C$38, 0.0357, 0)</f>
        <v>63.726300000000002</v>
      </c>
      <c r="H903" s="10">
        <f>63.6906 * CHOOSE(CONTROL!$C$15, $E$9, 100%, $G$9) + CHOOSE(CONTROL!$C$38, 0.0357, 0)</f>
        <v>63.726300000000002</v>
      </c>
      <c r="I903" s="10">
        <f>63.6922 * CHOOSE(CONTROL!$C$15, $E$9, 100%, $G$9) + CHOOSE(CONTROL!$C$38, 0.0357, 0)</f>
        <v>63.727899999999998</v>
      </c>
      <c r="J903" s="26">
        <f>449.8238</f>
        <v>449.82380000000001</v>
      </c>
    </row>
    <row r="904" spans="1:10" ht="15.75">
      <c r="A904" s="13">
        <v>68819</v>
      </c>
      <c r="B904" s="10">
        <f>68.4465 * CHOOSE(CONTROL!$C$15, $E$9, 100%, $G$9) + CHOOSE(CONTROL!$C$38, 0.0266, 0)</f>
        <v>68.473100000000002</v>
      </c>
      <c r="C904" s="10">
        <f>63.176 * CHOOSE(CONTROL!$C$15, $E$9, 100%, $G$9) + CHOOSE(CONTROL!$C$38, 0.0357, 0)</f>
        <v>63.2117</v>
      </c>
      <c r="D904" s="10">
        <f>63.1682 * CHOOSE(CONTROL!$C$15, $E$9, 100%, $G$9) + CHOOSE(CONTROL!$C$38, 0.0357, 0)</f>
        <v>63.203899999999997</v>
      </c>
      <c r="E904" s="28">
        <f>68.2903 * CHOOSE(CONTROL!$C$15, $E$9, 100%, $G$9) + CHOOSE(CONTROL!$C$38, 0.0357, 0)</f>
        <v>68.326000000000008</v>
      </c>
      <c r="F904" s="27">
        <f>68.2903 * CHOOSE(CONTROL!$C$15, $E$9, 100%, $G$9) + CHOOSE(CONTROL!$C$38, 0.0266, 0)</f>
        <v>68.316900000000004</v>
      </c>
      <c r="G904" s="10">
        <f>63.1745 * CHOOSE(CONTROL!$C$15, $E$9, 100%, $G$9) + CHOOSE(CONTROL!$C$38, 0.0357, 0)</f>
        <v>63.2102</v>
      </c>
      <c r="H904" s="10">
        <f>63.1745 * CHOOSE(CONTROL!$C$15, $E$9, 100%, $G$9) + CHOOSE(CONTROL!$C$38, 0.0357, 0)</f>
        <v>63.2102</v>
      </c>
      <c r="I904" s="10">
        <f>63.176 * CHOOSE(CONTROL!$C$15, $E$9, 100%, $G$9) + CHOOSE(CONTROL!$C$38, 0.0357, 0)</f>
        <v>63.2117</v>
      </c>
      <c r="J904" s="26">
        <f>464.919</f>
        <v>464.91899999999998</v>
      </c>
    </row>
    <row r="905" spans="1:10" ht="15.75">
      <c r="A905" s="13">
        <v>68849</v>
      </c>
      <c r="B905" s="10">
        <f>68.0847 * CHOOSE(CONTROL!$C$15, $E$9, 100%, $G$9) + CHOOSE(CONTROL!$C$38, 0.0266, 0)</f>
        <v>68.1113</v>
      </c>
      <c r="C905" s="10">
        <f>62.8142 * CHOOSE(CONTROL!$C$15, $E$9, 100%, $G$9) + CHOOSE(CONTROL!$C$38, 0.0357, 0)</f>
        <v>62.849899999999998</v>
      </c>
      <c r="D905" s="10">
        <f>62.8064 * CHOOSE(CONTROL!$C$15, $E$9, 100%, $G$9) + CHOOSE(CONTROL!$C$38, 0.0357, 0)</f>
        <v>62.842099999999995</v>
      </c>
      <c r="E905" s="28">
        <f>67.9285 * CHOOSE(CONTROL!$C$15, $E$9, 100%, $G$9) + CHOOSE(CONTROL!$C$38, 0.0357, 0)</f>
        <v>67.964200000000005</v>
      </c>
      <c r="F905" s="27">
        <f>67.9285 * CHOOSE(CONTROL!$C$15, $E$9, 100%, $G$9) + CHOOSE(CONTROL!$C$38, 0.0266, 0)</f>
        <v>67.955100000000002</v>
      </c>
      <c r="G905" s="10">
        <f>62.8126 * CHOOSE(CONTROL!$C$15, $E$9, 100%, $G$9) + CHOOSE(CONTROL!$C$38, 0.0357, 0)</f>
        <v>62.848300000000002</v>
      </c>
      <c r="H905" s="10">
        <f>62.8126 * CHOOSE(CONTROL!$C$15, $E$9, 100%, $G$9) + CHOOSE(CONTROL!$C$38, 0.0357, 0)</f>
        <v>62.848300000000002</v>
      </c>
      <c r="I905" s="10">
        <f>62.8142 * CHOOSE(CONTROL!$C$15, $E$9, 100%, $G$9) + CHOOSE(CONTROL!$C$38, 0.0357, 0)</f>
        <v>62.849899999999998</v>
      </c>
      <c r="J905" s="26">
        <f>471.618</f>
        <v>471.61799999999999</v>
      </c>
    </row>
    <row r="906" spans="1:10" ht="15.75">
      <c r="A906" s="13">
        <v>68880</v>
      </c>
      <c r="B906" s="10">
        <f>67.8782 * CHOOSE(CONTROL!$C$15, $E$9, 100%, $G$9) + CHOOSE(CONTROL!$C$38, 0.0266, 0)</f>
        <v>67.904800000000009</v>
      </c>
      <c r="C906" s="10">
        <f>62.6077 * CHOOSE(CONTROL!$C$15, $E$9, 100%, $G$9) + CHOOSE(CONTROL!$C$38, 0.0357, 0)</f>
        <v>62.6434</v>
      </c>
      <c r="D906" s="10">
        <f>62.5999 * CHOOSE(CONTROL!$C$15, $E$9, 100%, $G$9) + CHOOSE(CONTROL!$C$38, 0.0357, 0)</f>
        <v>62.635599999999997</v>
      </c>
      <c r="E906" s="28">
        <f>67.722 * CHOOSE(CONTROL!$C$15, $E$9, 100%, $G$9) + CHOOSE(CONTROL!$C$38, 0.0357, 0)</f>
        <v>67.7577</v>
      </c>
      <c r="F906" s="27">
        <f>67.722 * CHOOSE(CONTROL!$C$15, $E$9, 100%, $G$9) + CHOOSE(CONTROL!$C$38, 0.0266, 0)</f>
        <v>67.748599999999996</v>
      </c>
      <c r="G906" s="10">
        <f>62.6062 * CHOOSE(CONTROL!$C$15, $E$9, 100%, $G$9) + CHOOSE(CONTROL!$C$38, 0.0357, 0)</f>
        <v>62.6419</v>
      </c>
      <c r="H906" s="10">
        <f>62.6062 * CHOOSE(CONTROL!$C$15, $E$9, 100%, $G$9) + CHOOSE(CONTROL!$C$38, 0.0357, 0)</f>
        <v>62.6419</v>
      </c>
      <c r="I906" s="10">
        <f>62.6077 * CHOOSE(CONTROL!$C$15, $E$9, 100%, $G$9) + CHOOSE(CONTROL!$C$38, 0.0357, 0)</f>
        <v>62.6434</v>
      </c>
      <c r="J906" s="26">
        <f>469.4124</f>
        <v>469.41239999999999</v>
      </c>
    </row>
    <row r="907" spans="1:10" ht="15.75">
      <c r="A907" s="13">
        <v>68911</v>
      </c>
      <c r="B907" s="10">
        <f>67.9801 * CHOOSE(CONTROL!$C$15, $E$9, 100%, $G$9) + CHOOSE(CONTROL!$C$38, 0.0266, 0)</f>
        <v>68.006699999999995</v>
      </c>
      <c r="C907" s="10">
        <f>62.7096 * CHOOSE(CONTROL!$C$15, $E$9, 100%, $G$9) + CHOOSE(CONTROL!$C$38, 0.0357, 0)</f>
        <v>62.7453</v>
      </c>
      <c r="D907" s="10">
        <f>62.7018 * CHOOSE(CONTROL!$C$15, $E$9, 100%, $G$9) + CHOOSE(CONTROL!$C$38, 0.0357, 0)</f>
        <v>62.737499999999997</v>
      </c>
      <c r="E907" s="28">
        <f>67.8239 * CHOOSE(CONTROL!$C$15, $E$9, 100%, $G$9) + CHOOSE(CONTROL!$C$38, 0.0357, 0)</f>
        <v>67.8596</v>
      </c>
      <c r="F907" s="27">
        <f>67.8239 * CHOOSE(CONTROL!$C$15, $E$9, 100%, $G$9) + CHOOSE(CONTROL!$C$38, 0.0266, 0)</f>
        <v>67.850499999999997</v>
      </c>
      <c r="G907" s="10">
        <f>62.7081 * CHOOSE(CONTROL!$C$15, $E$9, 100%, $G$9) + CHOOSE(CONTROL!$C$38, 0.0357, 0)</f>
        <v>62.7438</v>
      </c>
      <c r="H907" s="10">
        <f>62.7081 * CHOOSE(CONTROL!$C$15, $E$9, 100%, $G$9) + CHOOSE(CONTROL!$C$38, 0.0357, 0)</f>
        <v>62.7438</v>
      </c>
      <c r="I907" s="10">
        <f>62.7096 * CHOOSE(CONTROL!$C$15, $E$9, 100%, $G$9) + CHOOSE(CONTROL!$C$38, 0.0357, 0)</f>
        <v>62.7453</v>
      </c>
      <c r="J907" s="26">
        <f>458.4847</f>
        <v>458.48469999999998</v>
      </c>
    </row>
    <row r="908" spans="1:10" ht="15.75">
      <c r="A908" s="13">
        <v>68941</v>
      </c>
      <c r="B908" s="10">
        <f>68.2569 * CHOOSE(CONTROL!$C$15, $E$9, 100%, $G$9) + CHOOSE(CONTROL!$C$38, 0.0266, 0)</f>
        <v>68.283500000000004</v>
      </c>
      <c r="C908" s="10">
        <f>62.9864 * CHOOSE(CONTROL!$C$15, $E$9, 100%, $G$9) + CHOOSE(CONTROL!$C$38, 0.0357, 0)</f>
        <v>63.022100000000002</v>
      </c>
      <c r="D908" s="10">
        <f>62.9786 * CHOOSE(CONTROL!$C$15, $E$9, 100%, $G$9) + CHOOSE(CONTROL!$C$38, 0.0357, 0)</f>
        <v>63.014299999999999</v>
      </c>
      <c r="E908" s="28">
        <f>68.1007 * CHOOSE(CONTROL!$C$15, $E$9, 100%, $G$9) + CHOOSE(CONTROL!$C$38, 0.0357, 0)</f>
        <v>68.136400000000009</v>
      </c>
      <c r="F908" s="27">
        <f>68.1007 * CHOOSE(CONTROL!$C$15, $E$9, 100%, $G$9) + CHOOSE(CONTROL!$C$38, 0.0266, 0)</f>
        <v>68.127300000000005</v>
      </c>
      <c r="G908" s="10">
        <f>62.9849 * CHOOSE(CONTROL!$C$15, $E$9, 100%, $G$9) + CHOOSE(CONTROL!$C$38, 0.0357, 0)</f>
        <v>63.020600000000002</v>
      </c>
      <c r="H908" s="10">
        <f>62.9849 * CHOOSE(CONTROL!$C$15, $E$9, 100%, $G$9) + CHOOSE(CONTROL!$C$38, 0.0357, 0)</f>
        <v>63.020600000000002</v>
      </c>
      <c r="I908" s="10">
        <f>62.9864 * CHOOSE(CONTROL!$C$15, $E$9, 100%, $G$9) + CHOOSE(CONTROL!$C$38, 0.0357, 0)</f>
        <v>63.022100000000002</v>
      </c>
      <c r="J908" s="26">
        <f>443.2454</f>
        <v>443.24540000000002</v>
      </c>
    </row>
    <row r="909" spans="1:10" ht="15.75">
      <c r="A909" s="13">
        <v>68972</v>
      </c>
      <c r="B909" s="10">
        <f>68.4888 * CHOOSE(CONTROL!$C$15, $E$9, 100%, $G$9) + CHOOSE(CONTROL!$C$38, 0.0266, 0)</f>
        <v>68.5154</v>
      </c>
      <c r="C909" s="10">
        <f>63.2182 * CHOOSE(CONTROL!$C$15, $E$9, 100%, $G$9) + CHOOSE(CONTROL!$C$38, 0.0357, 0)</f>
        <v>63.253900000000002</v>
      </c>
      <c r="D909" s="10">
        <f>63.2104 * CHOOSE(CONTROL!$C$15, $E$9, 100%, $G$9) + CHOOSE(CONTROL!$C$38, 0.0357, 0)</f>
        <v>63.246099999999998</v>
      </c>
      <c r="E909" s="28">
        <f>68.3325 * CHOOSE(CONTROL!$C$15, $E$9, 100%, $G$9) + CHOOSE(CONTROL!$C$38, 0.0357, 0)</f>
        <v>68.368200000000002</v>
      </c>
      <c r="F909" s="27">
        <f>68.3325 * CHOOSE(CONTROL!$C$15, $E$9, 100%, $G$9) + CHOOSE(CONTROL!$C$38, 0.0266, 0)</f>
        <v>68.359099999999998</v>
      </c>
      <c r="G909" s="10">
        <f>63.2167 * CHOOSE(CONTROL!$C$15, $E$9, 100%, $G$9) + CHOOSE(CONTROL!$C$38, 0.0357, 0)</f>
        <v>63.252400000000002</v>
      </c>
      <c r="H909" s="10">
        <f>63.2167 * CHOOSE(CONTROL!$C$15, $E$9, 100%, $G$9) + CHOOSE(CONTROL!$C$38, 0.0357, 0)</f>
        <v>63.252400000000002</v>
      </c>
      <c r="I909" s="10">
        <f>63.2182 * CHOOSE(CONTROL!$C$15, $E$9, 100%, $G$9) + CHOOSE(CONTROL!$C$38, 0.0357, 0)</f>
        <v>63.253900000000002</v>
      </c>
      <c r="J909" s="26">
        <f>427.9176</f>
        <v>427.91759999999999</v>
      </c>
    </row>
    <row r="910" spans="1:10" ht="15.75">
      <c r="A910" s="13">
        <v>69002</v>
      </c>
      <c r="B910" s="10">
        <f>68.6822 * CHOOSE(CONTROL!$C$15, $E$9, 100%, $G$9) + CHOOSE(CONTROL!$C$38, 0.0266, 0)</f>
        <v>68.708799999999997</v>
      </c>
      <c r="C910" s="10">
        <f>63.4117 * CHOOSE(CONTROL!$C$15, $E$9, 100%, $G$9) + CHOOSE(CONTROL!$C$38, 0.0357, 0)</f>
        <v>63.447400000000002</v>
      </c>
      <c r="D910" s="10">
        <f>63.4039 * CHOOSE(CONTROL!$C$15, $E$9, 100%, $G$9) + CHOOSE(CONTROL!$C$38, 0.0357, 0)</f>
        <v>63.439599999999999</v>
      </c>
      <c r="E910" s="28">
        <f>68.5259 * CHOOSE(CONTROL!$C$15, $E$9, 100%, $G$9) + CHOOSE(CONTROL!$C$38, 0.0357, 0)</f>
        <v>68.561599999999999</v>
      </c>
      <c r="F910" s="27">
        <f>68.5259 * CHOOSE(CONTROL!$C$15, $E$9, 100%, $G$9) + CHOOSE(CONTROL!$C$38, 0.0266, 0)</f>
        <v>68.552499999999995</v>
      </c>
      <c r="G910" s="10">
        <f>63.4101 * CHOOSE(CONTROL!$C$15, $E$9, 100%, $G$9) + CHOOSE(CONTROL!$C$38, 0.0357, 0)</f>
        <v>63.445799999999998</v>
      </c>
      <c r="H910" s="10">
        <f>63.4101 * CHOOSE(CONTROL!$C$15, $E$9, 100%, $G$9) + CHOOSE(CONTROL!$C$38, 0.0357, 0)</f>
        <v>63.445799999999998</v>
      </c>
      <c r="I910" s="10">
        <f>63.4117 * CHOOSE(CONTROL!$C$15, $E$9, 100%, $G$9) + CHOOSE(CONTROL!$C$38, 0.0357, 0)</f>
        <v>63.447400000000002</v>
      </c>
      <c r="J910" s="26">
        <f>424.8685</f>
        <v>424.86849999999998</v>
      </c>
    </row>
    <row r="911" spans="1:10" ht="15.75">
      <c r="A911" s="13">
        <v>69033</v>
      </c>
      <c r="B911" s="10">
        <f>69.2783 * CHOOSE(CONTROL!$C$15, $E$9, 100%, $G$9) + CHOOSE(CONTROL!$C$38, 0.0266, 0)</f>
        <v>69.304900000000004</v>
      </c>
      <c r="C911" s="10">
        <f>64.0078 * CHOOSE(CONTROL!$C$15, $E$9, 100%, $G$9) + CHOOSE(CONTROL!$C$38, 0.0357, 0)</f>
        <v>64.043500000000009</v>
      </c>
      <c r="D911" s="10">
        <f>63.9999 * CHOOSE(CONTROL!$C$15, $E$9, 100%, $G$9) + CHOOSE(CONTROL!$C$38, 0.0357, 0)</f>
        <v>64.035600000000002</v>
      </c>
      <c r="E911" s="28">
        <f>69.122 * CHOOSE(CONTROL!$C$15, $E$9, 100%, $G$9) + CHOOSE(CONTROL!$C$38, 0.0357, 0)</f>
        <v>69.157700000000006</v>
      </c>
      <c r="F911" s="27">
        <f>69.122 * CHOOSE(CONTROL!$C$15, $E$9, 100%, $G$9) + CHOOSE(CONTROL!$C$38, 0.0266, 0)</f>
        <v>69.148600000000002</v>
      </c>
      <c r="G911" s="10">
        <f>64.0062 * CHOOSE(CONTROL!$C$15, $E$9, 100%, $G$9) + CHOOSE(CONTROL!$C$38, 0.0357, 0)</f>
        <v>64.041900000000012</v>
      </c>
      <c r="H911" s="10">
        <f>64.0062 * CHOOSE(CONTROL!$C$15, $E$9, 100%, $G$9) + CHOOSE(CONTROL!$C$38, 0.0357, 0)</f>
        <v>64.041900000000012</v>
      </c>
      <c r="I911" s="10">
        <f>64.0078 * CHOOSE(CONTROL!$C$15, $E$9, 100%, $G$9) + CHOOSE(CONTROL!$C$38, 0.0357, 0)</f>
        <v>64.043500000000009</v>
      </c>
      <c r="J911" s="26">
        <f>412.2605</f>
        <v>412.26049999999998</v>
      </c>
    </row>
    <row r="912" spans="1:10" ht="15.75">
      <c r="A912" s="13">
        <v>69064</v>
      </c>
      <c r="B912" s="10">
        <f>70.9522 * CHOOSE(CONTROL!$C$15, $E$9, 100%, $G$9) + CHOOSE(CONTROL!$C$38, 0.0266, 0)</f>
        <v>70.978800000000007</v>
      </c>
      <c r="C912" s="10">
        <f>65.5914 * CHOOSE(CONTROL!$C$15, $E$9, 100%, $G$9) + CHOOSE(CONTROL!$C$38, 0.0357, 0)</f>
        <v>65.627099999999999</v>
      </c>
      <c r="D912" s="10">
        <f>65.5836 * CHOOSE(CONTROL!$C$15, $E$9, 100%, $G$9) + CHOOSE(CONTROL!$C$38, 0.0357, 0)</f>
        <v>65.61930000000001</v>
      </c>
      <c r="E912" s="28">
        <f>70.796 * CHOOSE(CONTROL!$C$15, $E$9, 100%, $G$9) + CHOOSE(CONTROL!$C$38, 0.0357, 0)</f>
        <v>70.831700000000012</v>
      </c>
      <c r="F912" s="27">
        <f>70.796 * CHOOSE(CONTROL!$C$15, $E$9, 100%, $G$9) + CHOOSE(CONTROL!$C$38, 0.0266, 0)</f>
        <v>70.822600000000008</v>
      </c>
      <c r="G912" s="10">
        <f>65.5898 * CHOOSE(CONTROL!$C$15, $E$9, 100%, $G$9) + CHOOSE(CONTROL!$C$38, 0.0357, 0)</f>
        <v>65.625500000000002</v>
      </c>
      <c r="H912" s="10">
        <f>65.5898 * CHOOSE(CONTROL!$C$15, $E$9, 100%, $G$9) + CHOOSE(CONTROL!$C$38, 0.0357, 0)</f>
        <v>65.625500000000002</v>
      </c>
      <c r="I912" s="10">
        <f>65.5914 * CHOOSE(CONTROL!$C$15, $E$9, 100%, $G$9) + CHOOSE(CONTROL!$C$38, 0.0357, 0)</f>
        <v>65.627099999999999</v>
      </c>
      <c r="J912" s="26">
        <f>409.499</f>
        <v>409.49900000000002</v>
      </c>
    </row>
    <row r="913" spans="1:10" ht="15.75">
      <c r="A913" s="13">
        <v>69092</v>
      </c>
      <c r="B913" s="10">
        <f>71.173 * CHOOSE(CONTROL!$C$15, $E$9, 100%, $G$9) + CHOOSE(CONTROL!$C$38, 0.0266, 0)</f>
        <v>71.199600000000004</v>
      </c>
      <c r="C913" s="10">
        <f>65.8121 * CHOOSE(CONTROL!$C$15, $E$9, 100%, $G$9) + CHOOSE(CONTROL!$C$38, 0.0357, 0)</f>
        <v>65.847800000000007</v>
      </c>
      <c r="D913" s="10">
        <f>65.8043 * CHOOSE(CONTROL!$C$15, $E$9, 100%, $G$9) + CHOOSE(CONTROL!$C$38, 0.0357, 0)</f>
        <v>65.84</v>
      </c>
      <c r="E913" s="28">
        <f>71.0168 * CHOOSE(CONTROL!$C$15, $E$9, 100%, $G$9) + CHOOSE(CONTROL!$C$38, 0.0357, 0)</f>
        <v>71.052500000000009</v>
      </c>
      <c r="F913" s="27">
        <f>71.0168 * CHOOSE(CONTROL!$C$15, $E$9, 100%, $G$9) + CHOOSE(CONTROL!$C$38, 0.0266, 0)</f>
        <v>71.043400000000005</v>
      </c>
      <c r="G913" s="10">
        <f>65.8106 * CHOOSE(CONTROL!$C$15, $E$9, 100%, $G$9) + CHOOSE(CONTROL!$C$38, 0.0357, 0)</f>
        <v>65.846299999999999</v>
      </c>
      <c r="H913" s="10">
        <f>65.8106 * CHOOSE(CONTROL!$C$15, $E$9, 100%, $G$9) + CHOOSE(CONTROL!$C$38, 0.0357, 0)</f>
        <v>65.846299999999999</v>
      </c>
      <c r="I913" s="10">
        <f>65.8121 * CHOOSE(CONTROL!$C$15, $E$9, 100%, $G$9) + CHOOSE(CONTROL!$C$38, 0.0357, 0)</f>
        <v>65.847800000000007</v>
      </c>
      <c r="J913" s="26">
        <f>408.3607</f>
        <v>408.36070000000001</v>
      </c>
    </row>
    <row r="914" spans="1:10" ht="15.75">
      <c r="A914" s="13">
        <v>69123</v>
      </c>
      <c r="B914" s="10">
        <f>70.662 * CHOOSE(CONTROL!$C$15, $E$9, 100%, $G$9) + CHOOSE(CONTROL!$C$38, 0.0266, 0)</f>
        <v>70.688600000000008</v>
      </c>
      <c r="C914" s="10">
        <f>65.3011 * CHOOSE(CONTROL!$C$15, $E$9, 100%, $G$9) + CHOOSE(CONTROL!$C$38, 0.0357, 0)</f>
        <v>65.336800000000011</v>
      </c>
      <c r="D914" s="10">
        <f>65.2933 * CHOOSE(CONTROL!$C$15, $E$9, 100%, $G$9) + CHOOSE(CONTROL!$C$38, 0.0357, 0)</f>
        <v>65.329000000000008</v>
      </c>
      <c r="E914" s="28">
        <f>70.5057 * CHOOSE(CONTROL!$C$15, $E$9, 100%, $G$9) + CHOOSE(CONTROL!$C$38, 0.0357, 0)</f>
        <v>70.54140000000001</v>
      </c>
      <c r="F914" s="27">
        <f>70.5057 * CHOOSE(CONTROL!$C$15, $E$9, 100%, $G$9) + CHOOSE(CONTROL!$C$38, 0.0266, 0)</f>
        <v>70.532300000000006</v>
      </c>
      <c r="G914" s="10">
        <f>65.2995 * CHOOSE(CONTROL!$C$15, $E$9, 100%, $G$9) + CHOOSE(CONTROL!$C$38, 0.0357, 0)</f>
        <v>65.3352</v>
      </c>
      <c r="H914" s="10">
        <f>65.2995 * CHOOSE(CONTROL!$C$15, $E$9, 100%, $G$9) + CHOOSE(CONTROL!$C$38, 0.0357, 0)</f>
        <v>65.3352</v>
      </c>
      <c r="I914" s="10">
        <f>65.3011 * CHOOSE(CONTROL!$C$15, $E$9, 100%, $G$9) + CHOOSE(CONTROL!$C$38, 0.0357, 0)</f>
        <v>65.336800000000011</v>
      </c>
      <c r="J914" s="26">
        <f>429.8837</f>
        <v>429.88369999999998</v>
      </c>
    </row>
    <row r="915" spans="1:10" ht="15.75">
      <c r="A915" s="13">
        <v>69153</v>
      </c>
      <c r="B915" s="10">
        <f>70.1668 * CHOOSE(CONTROL!$C$15, $E$9, 100%, $G$9) + CHOOSE(CONTROL!$C$38, 0.0266, 0)</f>
        <v>70.193399999999997</v>
      </c>
      <c r="C915" s="10">
        <f>64.8059 * CHOOSE(CONTROL!$C$15, $E$9, 100%, $G$9) + CHOOSE(CONTROL!$C$38, 0.0357, 0)</f>
        <v>64.8416</v>
      </c>
      <c r="D915" s="10">
        <f>64.7981 * CHOOSE(CONTROL!$C$15, $E$9, 100%, $G$9) + CHOOSE(CONTROL!$C$38, 0.0357, 0)</f>
        <v>64.833800000000011</v>
      </c>
      <c r="E915" s="28">
        <f>70.0105 * CHOOSE(CONTROL!$C$15, $E$9, 100%, $G$9) + CHOOSE(CONTROL!$C$38, 0.0357, 0)</f>
        <v>70.046199999999999</v>
      </c>
      <c r="F915" s="27">
        <f>70.0105 * CHOOSE(CONTROL!$C$15, $E$9, 100%, $G$9) + CHOOSE(CONTROL!$C$38, 0.0266, 0)</f>
        <v>70.037099999999995</v>
      </c>
      <c r="G915" s="10">
        <f>64.8044 * CHOOSE(CONTROL!$C$15, $E$9, 100%, $G$9) + CHOOSE(CONTROL!$C$38, 0.0357, 0)</f>
        <v>64.840100000000007</v>
      </c>
      <c r="H915" s="10">
        <f>64.8044 * CHOOSE(CONTROL!$C$15, $E$9, 100%, $G$9) + CHOOSE(CONTROL!$C$38, 0.0357, 0)</f>
        <v>64.840100000000007</v>
      </c>
      <c r="I915" s="10">
        <f>64.8059 * CHOOSE(CONTROL!$C$15, $E$9, 100%, $G$9) + CHOOSE(CONTROL!$C$38, 0.0357, 0)</f>
        <v>64.8416</v>
      </c>
      <c r="J915" s="26">
        <f>457.7939</f>
        <v>457.79390000000001</v>
      </c>
    </row>
    <row r="916" spans="1:10" ht="15.75">
      <c r="A916" s="13">
        <v>69184</v>
      </c>
      <c r="B916" s="10">
        <f>69.6507 * CHOOSE(CONTROL!$C$15, $E$9, 100%, $G$9) + CHOOSE(CONTROL!$C$38, 0.0266, 0)</f>
        <v>69.677300000000002</v>
      </c>
      <c r="C916" s="10">
        <f>64.2898 * CHOOSE(CONTROL!$C$15, $E$9, 100%, $G$9) + CHOOSE(CONTROL!$C$38, 0.0357, 0)</f>
        <v>64.325500000000005</v>
      </c>
      <c r="D916" s="10">
        <f>64.282 * CHOOSE(CONTROL!$C$15, $E$9, 100%, $G$9) + CHOOSE(CONTROL!$C$38, 0.0357, 0)</f>
        <v>64.317700000000002</v>
      </c>
      <c r="E916" s="28">
        <f>69.4944 * CHOOSE(CONTROL!$C$15, $E$9, 100%, $G$9) + CHOOSE(CONTROL!$C$38, 0.0357, 0)</f>
        <v>69.530100000000004</v>
      </c>
      <c r="F916" s="27">
        <f>69.4944 * CHOOSE(CONTROL!$C$15, $E$9, 100%, $G$9) + CHOOSE(CONTROL!$C$38, 0.0266, 0)</f>
        <v>69.521000000000001</v>
      </c>
      <c r="G916" s="10">
        <f>64.2882 * CHOOSE(CONTROL!$C$15, $E$9, 100%, $G$9) + CHOOSE(CONTROL!$C$38, 0.0357, 0)</f>
        <v>64.323900000000009</v>
      </c>
      <c r="H916" s="10">
        <f>64.2882 * CHOOSE(CONTROL!$C$15, $E$9, 100%, $G$9) + CHOOSE(CONTROL!$C$38, 0.0357, 0)</f>
        <v>64.323900000000009</v>
      </c>
      <c r="I916" s="10">
        <f>64.2898 * CHOOSE(CONTROL!$C$15, $E$9, 100%, $G$9) + CHOOSE(CONTROL!$C$38, 0.0357, 0)</f>
        <v>64.325500000000005</v>
      </c>
      <c r="J916" s="26">
        <f>473.1565</f>
        <v>473.15649999999999</v>
      </c>
    </row>
    <row r="917" spans="1:10" ht="15.75">
      <c r="A917" s="13">
        <v>69214</v>
      </c>
      <c r="B917" s="10">
        <f>69.2888 * CHOOSE(CONTROL!$C$15, $E$9, 100%, $G$9) + CHOOSE(CONTROL!$C$38, 0.0266, 0)</f>
        <v>69.315399999999997</v>
      </c>
      <c r="C917" s="10">
        <f>63.928 * CHOOSE(CONTROL!$C$15, $E$9, 100%, $G$9) + CHOOSE(CONTROL!$C$38, 0.0357, 0)</f>
        <v>63.963699999999996</v>
      </c>
      <c r="D917" s="10">
        <f>63.9202 * CHOOSE(CONTROL!$C$15, $E$9, 100%, $G$9) + CHOOSE(CONTROL!$C$38, 0.0357, 0)</f>
        <v>63.9559</v>
      </c>
      <c r="E917" s="28">
        <f>69.1326 * CHOOSE(CONTROL!$C$15, $E$9, 100%, $G$9) + CHOOSE(CONTROL!$C$38, 0.0357, 0)</f>
        <v>69.168300000000002</v>
      </c>
      <c r="F917" s="27">
        <f>69.1326 * CHOOSE(CONTROL!$C$15, $E$9, 100%, $G$9) + CHOOSE(CONTROL!$C$38, 0.0266, 0)</f>
        <v>69.159199999999998</v>
      </c>
      <c r="G917" s="10">
        <f>63.9264 * CHOOSE(CONTROL!$C$15, $E$9, 100%, $G$9) + CHOOSE(CONTROL!$C$38, 0.0357, 0)</f>
        <v>63.9621</v>
      </c>
      <c r="H917" s="10">
        <f>63.9264 * CHOOSE(CONTROL!$C$15, $E$9, 100%, $G$9) + CHOOSE(CONTROL!$C$38, 0.0357, 0)</f>
        <v>63.9621</v>
      </c>
      <c r="I917" s="10">
        <f>63.928 * CHOOSE(CONTROL!$C$15, $E$9, 100%, $G$9) + CHOOSE(CONTROL!$C$38, 0.0357, 0)</f>
        <v>63.963699999999996</v>
      </c>
      <c r="J917" s="26">
        <f>479.9742</f>
        <v>479.9742</v>
      </c>
    </row>
    <row r="918" spans="1:10" ht="15.75">
      <c r="A918" s="13">
        <v>69245</v>
      </c>
      <c r="B918" s="10">
        <f>69.0824 * CHOOSE(CONTROL!$C$15, $E$9, 100%, $G$9) + CHOOSE(CONTROL!$C$38, 0.0266, 0)</f>
        <v>69.109000000000009</v>
      </c>
      <c r="C918" s="10">
        <f>63.7215 * CHOOSE(CONTROL!$C$15, $E$9, 100%, $G$9) + CHOOSE(CONTROL!$C$38, 0.0357, 0)</f>
        <v>63.757199999999997</v>
      </c>
      <c r="D918" s="10">
        <f>63.7137 * CHOOSE(CONTROL!$C$15, $E$9, 100%, $G$9) + CHOOSE(CONTROL!$C$38, 0.0357, 0)</f>
        <v>63.749400000000001</v>
      </c>
      <c r="E918" s="28">
        <f>68.9261 * CHOOSE(CONTROL!$C$15, $E$9, 100%, $G$9) + CHOOSE(CONTROL!$C$38, 0.0357, 0)</f>
        <v>68.961800000000011</v>
      </c>
      <c r="F918" s="27">
        <f>68.9261 * CHOOSE(CONTROL!$C$15, $E$9, 100%, $G$9) + CHOOSE(CONTROL!$C$38, 0.0266, 0)</f>
        <v>68.952700000000007</v>
      </c>
      <c r="G918" s="10">
        <f>63.7199 * CHOOSE(CONTROL!$C$15, $E$9, 100%, $G$9) + CHOOSE(CONTROL!$C$38, 0.0357, 0)</f>
        <v>63.755600000000001</v>
      </c>
      <c r="H918" s="10">
        <f>63.7199 * CHOOSE(CONTROL!$C$15, $E$9, 100%, $G$9) + CHOOSE(CONTROL!$C$38, 0.0357, 0)</f>
        <v>63.755600000000001</v>
      </c>
      <c r="I918" s="10">
        <f>63.7215 * CHOOSE(CONTROL!$C$15, $E$9, 100%, $G$9) + CHOOSE(CONTROL!$C$38, 0.0357, 0)</f>
        <v>63.757199999999997</v>
      </c>
      <c r="J918" s="26">
        <f>477.7295</f>
        <v>477.72949999999997</v>
      </c>
    </row>
    <row r="919" spans="1:10" ht="15.75">
      <c r="A919" s="13">
        <v>69276</v>
      </c>
      <c r="B919" s="10">
        <f>69.1843 * CHOOSE(CONTROL!$C$15, $E$9, 100%, $G$9) + CHOOSE(CONTROL!$C$38, 0.0266, 0)</f>
        <v>69.210899999999995</v>
      </c>
      <c r="C919" s="10">
        <f>63.8234 * CHOOSE(CONTROL!$C$15, $E$9, 100%, $G$9) + CHOOSE(CONTROL!$C$38, 0.0357, 0)</f>
        <v>63.859099999999998</v>
      </c>
      <c r="D919" s="10">
        <f>63.8156 * CHOOSE(CONTROL!$C$15, $E$9, 100%, $G$9) + CHOOSE(CONTROL!$C$38, 0.0357, 0)</f>
        <v>63.851300000000002</v>
      </c>
      <c r="E919" s="28">
        <f>69.028 * CHOOSE(CONTROL!$C$15, $E$9, 100%, $G$9) + CHOOSE(CONTROL!$C$38, 0.0357, 0)</f>
        <v>69.063700000000011</v>
      </c>
      <c r="F919" s="27">
        <f>69.028 * CHOOSE(CONTROL!$C$15, $E$9, 100%, $G$9) + CHOOSE(CONTROL!$C$38, 0.0266, 0)</f>
        <v>69.054600000000008</v>
      </c>
      <c r="G919" s="10">
        <f>63.8218 * CHOOSE(CONTROL!$C$15, $E$9, 100%, $G$9) + CHOOSE(CONTROL!$C$38, 0.0357, 0)</f>
        <v>63.857500000000002</v>
      </c>
      <c r="H919" s="10">
        <f>63.8218 * CHOOSE(CONTROL!$C$15, $E$9, 100%, $G$9) + CHOOSE(CONTROL!$C$38, 0.0357, 0)</f>
        <v>63.857500000000002</v>
      </c>
      <c r="I919" s="10">
        <f>63.8234 * CHOOSE(CONTROL!$C$15, $E$9, 100%, $G$9) + CHOOSE(CONTROL!$C$38, 0.0357, 0)</f>
        <v>63.859099999999998</v>
      </c>
      <c r="J919" s="26">
        <f>466.6082</f>
        <v>466.60820000000001</v>
      </c>
    </row>
    <row r="920" spans="1:10" ht="15.75">
      <c r="A920" s="13">
        <v>69306</v>
      </c>
      <c r="B920" s="10">
        <f>69.4611 * CHOOSE(CONTROL!$C$15, $E$9, 100%, $G$9) + CHOOSE(CONTROL!$C$38, 0.0266, 0)</f>
        <v>69.487700000000004</v>
      </c>
      <c r="C920" s="10">
        <f>64.1002 * CHOOSE(CONTROL!$C$15, $E$9, 100%, $G$9) + CHOOSE(CONTROL!$C$38, 0.0357, 0)</f>
        <v>64.135900000000007</v>
      </c>
      <c r="D920" s="10">
        <f>64.0924 * CHOOSE(CONTROL!$C$15, $E$9, 100%, $G$9) + CHOOSE(CONTROL!$C$38, 0.0357, 0)</f>
        <v>64.128100000000003</v>
      </c>
      <c r="E920" s="28">
        <f>69.3048 * CHOOSE(CONTROL!$C$15, $E$9, 100%, $G$9) + CHOOSE(CONTROL!$C$38, 0.0357, 0)</f>
        <v>69.340500000000006</v>
      </c>
      <c r="F920" s="27">
        <f>69.3048 * CHOOSE(CONTROL!$C$15, $E$9, 100%, $G$9) + CHOOSE(CONTROL!$C$38, 0.0266, 0)</f>
        <v>69.331400000000002</v>
      </c>
      <c r="G920" s="10">
        <f>64.0986 * CHOOSE(CONTROL!$C$15, $E$9, 100%, $G$9) + CHOOSE(CONTROL!$C$38, 0.0357, 0)</f>
        <v>64.13430000000001</v>
      </c>
      <c r="H920" s="10">
        <f>64.0986 * CHOOSE(CONTROL!$C$15, $E$9, 100%, $G$9) + CHOOSE(CONTROL!$C$38, 0.0357, 0)</f>
        <v>64.13430000000001</v>
      </c>
      <c r="I920" s="10">
        <f>64.1002 * CHOOSE(CONTROL!$C$15, $E$9, 100%, $G$9) + CHOOSE(CONTROL!$C$38, 0.0357, 0)</f>
        <v>64.135900000000007</v>
      </c>
      <c r="J920" s="26">
        <f>451.0989</f>
        <v>451.09890000000001</v>
      </c>
    </row>
    <row r="921" spans="1:10" ht="15.75">
      <c r="A921" s="13">
        <v>69337</v>
      </c>
      <c r="B921" s="10">
        <f>69.6929 * CHOOSE(CONTROL!$C$15, $E$9, 100%, $G$9) + CHOOSE(CONTROL!$C$38, 0.0266, 0)</f>
        <v>69.719499999999996</v>
      </c>
      <c r="C921" s="10">
        <f>64.332 * CHOOSE(CONTROL!$C$15, $E$9, 100%, $G$9) + CHOOSE(CONTROL!$C$38, 0.0357, 0)</f>
        <v>64.367699999999999</v>
      </c>
      <c r="D921" s="10">
        <f>64.3242 * CHOOSE(CONTROL!$C$15, $E$9, 100%, $G$9) + CHOOSE(CONTROL!$C$38, 0.0357, 0)</f>
        <v>64.35990000000001</v>
      </c>
      <c r="E921" s="28">
        <f>69.5366 * CHOOSE(CONTROL!$C$15, $E$9, 100%, $G$9) + CHOOSE(CONTROL!$C$38, 0.0357, 0)</f>
        <v>69.572300000000013</v>
      </c>
      <c r="F921" s="27">
        <f>69.5366 * CHOOSE(CONTROL!$C$15, $E$9, 100%, $G$9) + CHOOSE(CONTROL!$C$38, 0.0266, 0)</f>
        <v>69.563200000000009</v>
      </c>
      <c r="G921" s="10">
        <f>64.3305 * CHOOSE(CONTROL!$C$15, $E$9, 100%, $G$9) + CHOOSE(CONTROL!$C$38, 0.0357, 0)</f>
        <v>64.366200000000006</v>
      </c>
      <c r="H921" s="10">
        <f>64.3305 * CHOOSE(CONTROL!$C$15, $E$9, 100%, $G$9) + CHOOSE(CONTROL!$C$38, 0.0357, 0)</f>
        <v>64.366200000000006</v>
      </c>
      <c r="I921" s="10">
        <f>64.332 * CHOOSE(CONTROL!$C$15, $E$9, 100%, $G$9) + CHOOSE(CONTROL!$C$38, 0.0357, 0)</f>
        <v>64.367699999999999</v>
      </c>
      <c r="J921" s="26">
        <f>435.4995</f>
        <v>435.49950000000001</v>
      </c>
    </row>
    <row r="922" spans="1:10" ht="15.75">
      <c r="A922" s="13">
        <v>69367</v>
      </c>
      <c r="B922" s="10">
        <f>69.8863 * CHOOSE(CONTROL!$C$15, $E$9, 100%, $G$9) + CHOOSE(CONTROL!$C$38, 0.0266, 0)</f>
        <v>69.912900000000008</v>
      </c>
      <c r="C922" s="10">
        <f>64.5255 * CHOOSE(CONTROL!$C$15, $E$9, 100%, $G$9) + CHOOSE(CONTROL!$C$38, 0.0357, 0)</f>
        <v>64.561199999999999</v>
      </c>
      <c r="D922" s="10">
        <f>64.5176 * CHOOSE(CONTROL!$C$15, $E$9, 100%, $G$9) + CHOOSE(CONTROL!$C$38, 0.0357, 0)</f>
        <v>64.553300000000007</v>
      </c>
      <c r="E922" s="28">
        <f>69.7301 * CHOOSE(CONTROL!$C$15, $E$9, 100%, $G$9) + CHOOSE(CONTROL!$C$38, 0.0357, 0)</f>
        <v>69.765799999999999</v>
      </c>
      <c r="F922" s="27">
        <f>69.7301 * CHOOSE(CONTROL!$C$15, $E$9, 100%, $G$9) + CHOOSE(CONTROL!$C$38, 0.0266, 0)</f>
        <v>69.756699999999995</v>
      </c>
      <c r="G922" s="10">
        <f>64.5239 * CHOOSE(CONTROL!$C$15, $E$9, 100%, $G$9) + CHOOSE(CONTROL!$C$38, 0.0357, 0)</f>
        <v>64.559600000000003</v>
      </c>
      <c r="H922" s="10">
        <f>64.5239 * CHOOSE(CONTROL!$C$15, $E$9, 100%, $G$9) + CHOOSE(CONTROL!$C$38, 0.0357, 0)</f>
        <v>64.559600000000003</v>
      </c>
      <c r="I922" s="10">
        <f>64.5255 * CHOOSE(CONTROL!$C$15, $E$9, 100%, $G$9) + CHOOSE(CONTROL!$C$38, 0.0357, 0)</f>
        <v>64.561199999999999</v>
      </c>
      <c r="J922" s="26">
        <f>432.3964</f>
        <v>432.39640000000003</v>
      </c>
    </row>
    <row r="923" spans="1:10" ht="15.75">
      <c r="A923" s="13">
        <v>69398</v>
      </c>
      <c r="B923" s="10">
        <f>70.4824 * CHOOSE(CONTROL!$C$15, $E$9, 100%, $G$9) + CHOOSE(CONTROL!$C$38, 0.0266, 0)</f>
        <v>70.509</v>
      </c>
      <c r="C923" s="10">
        <f>65.1215 * CHOOSE(CONTROL!$C$15, $E$9, 100%, $G$9) + CHOOSE(CONTROL!$C$38, 0.0357, 0)</f>
        <v>65.157200000000003</v>
      </c>
      <c r="D923" s="10">
        <f>65.1137 * CHOOSE(CONTROL!$C$15, $E$9, 100%, $G$9) + CHOOSE(CONTROL!$C$38, 0.0357, 0)</f>
        <v>65.1494</v>
      </c>
      <c r="E923" s="28">
        <f>70.3261 * CHOOSE(CONTROL!$C$15, $E$9, 100%, $G$9) + CHOOSE(CONTROL!$C$38, 0.0357, 0)</f>
        <v>70.361800000000002</v>
      </c>
      <c r="F923" s="27">
        <f>70.3261 * CHOOSE(CONTROL!$C$15, $E$9, 100%, $G$9) + CHOOSE(CONTROL!$C$38, 0.0266, 0)</f>
        <v>70.352699999999999</v>
      </c>
      <c r="G923" s="10">
        <f>65.12 * CHOOSE(CONTROL!$C$15, $E$9, 100%, $G$9) + CHOOSE(CONTROL!$C$38, 0.0357, 0)</f>
        <v>65.15570000000001</v>
      </c>
      <c r="H923" s="10">
        <f>65.12 * CHOOSE(CONTROL!$C$15, $E$9, 100%, $G$9) + CHOOSE(CONTROL!$C$38, 0.0357, 0)</f>
        <v>65.15570000000001</v>
      </c>
      <c r="I923" s="10">
        <f>65.1215 * CHOOSE(CONTROL!$C$15, $E$9, 100%, $G$9) + CHOOSE(CONTROL!$C$38, 0.0357, 0)</f>
        <v>65.157200000000003</v>
      </c>
      <c r="J923" s="26">
        <f>419.565</f>
        <v>419.565</v>
      </c>
    </row>
    <row r="924" spans="1:10" ht="15.75">
      <c r="A924" s="13">
        <v>69429</v>
      </c>
      <c r="B924" s="10">
        <f>72.1776 * CHOOSE(CONTROL!$C$15, $E$9, 100%, $G$9) + CHOOSE(CONTROL!$C$38, 0.0266, 0)</f>
        <v>72.2042</v>
      </c>
      <c r="C924" s="10">
        <f>66.7248 * CHOOSE(CONTROL!$C$15, $E$9, 100%, $G$9) + CHOOSE(CONTROL!$C$38, 0.0357, 0)</f>
        <v>66.760500000000008</v>
      </c>
      <c r="D924" s="10">
        <f>66.717 * CHOOSE(CONTROL!$C$15, $E$9, 100%, $G$9) + CHOOSE(CONTROL!$C$38, 0.0357, 0)</f>
        <v>66.752700000000004</v>
      </c>
      <c r="E924" s="28">
        <f>72.0214 * CHOOSE(CONTROL!$C$15, $E$9, 100%, $G$9) + CHOOSE(CONTROL!$C$38, 0.0357, 0)</f>
        <v>72.057100000000005</v>
      </c>
      <c r="F924" s="27">
        <f>72.0214 * CHOOSE(CONTROL!$C$15, $E$9, 100%, $G$9) + CHOOSE(CONTROL!$C$38, 0.0266, 0)</f>
        <v>72.048000000000002</v>
      </c>
      <c r="G924" s="10">
        <f>66.7233 * CHOOSE(CONTROL!$C$15, $E$9, 100%, $G$9) + CHOOSE(CONTROL!$C$38, 0.0357, 0)</f>
        <v>66.759</v>
      </c>
      <c r="H924" s="10">
        <f>66.7233 * CHOOSE(CONTROL!$C$15, $E$9, 100%, $G$9) + CHOOSE(CONTROL!$C$38, 0.0357, 0)</f>
        <v>66.759</v>
      </c>
      <c r="I924" s="10">
        <f>66.7248 * CHOOSE(CONTROL!$C$15, $E$9, 100%, $G$9) + CHOOSE(CONTROL!$C$38, 0.0357, 0)</f>
        <v>66.760500000000008</v>
      </c>
      <c r="J924" s="26">
        <f>416.7546</f>
        <v>416.75459999999998</v>
      </c>
    </row>
    <row r="925" spans="1:10" ht="15.75">
      <c r="A925" s="13">
        <v>69457</v>
      </c>
      <c r="B925" s="10">
        <f>72.3984 * CHOOSE(CONTROL!$C$15, $E$9, 100%, $G$9) + CHOOSE(CONTROL!$C$38, 0.0266, 0)</f>
        <v>72.424999999999997</v>
      </c>
      <c r="C925" s="10">
        <f>66.9456 * CHOOSE(CONTROL!$C$15, $E$9, 100%, $G$9) + CHOOSE(CONTROL!$C$38, 0.0357, 0)</f>
        <v>66.981300000000005</v>
      </c>
      <c r="D925" s="10">
        <f>66.9378 * CHOOSE(CONTROL!$C$15, $E$9, 100%, $G$9) + CHOOSE(CONTROL!$C$38, 0.0357, 0)</f>
        <v>66.973500000000001</v>
      </c>
      <c r="E925" s="28">
        <f>72.2422 * CHOOSE(CONTROL!$C$15, $E$9, 100%, $G$9) + CHOOSE(CONTROL!$C$38, 0.0357, 0)</f>
        <v>72.277900000000002</v>
      </c>
      <c r="F925" s="27">
        <f>72.2422 * CHOOSE(CONTROL!$C$15, $E$9, 100%, $G$9) + CHOOSE(CONTROL!$C$38, 0.0266, 0)</f>
        <v>72.268799999999999</v>
      </c>
      <c r="G925" s="10">
        <f>66.944 * CHOOSE(CONTROL!$C$15, $E$9, 100%, $G$9) + CHOOSE(CONTROL!$C$38, 0.0357, 0)</f>
        <v>66.979700000000008</v>
      </c>
      <c r="H925" s="10">
        <f>66.944 * CHOOSE(CONTROL!$C$15, $E$9, 100%, $G$9) + CHOOSE(CONTROL!$C$38, 0.0357, 0)</f>
        <v>66.979700000000008</v>
      </c>
      <c r="I925" s="10">
        <f>66.9456 * CHOOSE(CONTROL!$C$15, $E$9, 100%, $G$9) + CHOOSE(CONTROL!$C$38, 0.0357, 0)</f>
        <v>66.981300000000005</v>
      </c>
      <c r="J925" s="26">
        <f>415.5961</f>
        <v>415.59609999999998</v>
      </c>
    </row>
    <row r="926" spans="1:10" ht="15.75">
      <c r="A926" s="13">
        <v>69488</v>
      </c>
      <c r="B926" s="10">
        <f>71.8874 * CHOOSE(CONTROL!$C$15, $E$9, 100%, $G$9) + CHOOSE(CONTROL!$C$38, 0.0266, 0)</f>
        <v>71.914000000000001</v>
      </c>
      <c r="C926" s="10">
        <f>66.4346 * CHOOSE(CONTROL!$C$15, $E$9, 100%, $G$9) + CHOOSE(CONTROL!$C$38, 0.0357, 0)</f>
        <v>66.470300000000009</v>
      </c>
      <c r="D926" s="10">
        <f>66.4267 * CHOOSE(CONTROL!$C$15, $E$9, 100%, $G$9) + CHOOSE(CONTROL!$C$38, 0.0357, 0)</f>
        <v>66.462400000000002</v>
      </c>
      <c r="E926" s="28">
        <f>71.7311 * CHOOSE(CONTROL!$C$15, $E$9, 100%, $G$9) + CHOOSE(CONTROL!$C$38, 0.0357, 0)</f>
        <v>71.766800000000003</v>
      </c>
      <c r="F926" s="27">
        <f>71.7311 * CHOOSE(CONTROL!$C$15, $E$9, 100%, $G$9) + CHOOSE(CONTROL!$C$38, 0.0266, 0)</f>
        <v>71.7577</v>
      </c>
      <c r="G926" s="10">
        <f>66.433 * CHOOSE(CONTROL!$C$15, $E$9, 100%, $G$9) + CHOOSE(CONTROL!$C$38, 0.0357, 0)</f>
        <v>66.468700000000013</v>
      </c>
      <c r="H926" s="10">
        <f>66.433 * CHOOSE(CONTROL!$C$15, $E$9, 100%, $G$9) + CHOOSE(CONTROL!$C$38, 0.0357, 0)</f>
        <v>66.468700000000013</v>
      </c>
      <c r="I926" s="10">
        <f>66.4346 * CHOOSE(CONTROL!$C$15, $E$9, 100%, $G$9) + CHOOSE(CONTROL!$C$38, 0.0357, 0)</f>
        <v>66.470300000000009</v>
      </c>
      <c r="J926" s="26">
        <f>437.5005</f>
        <v>437.50049999999999</v>
      </c>
    </row>
    <row r="927" spans="1:10" ht="15.75">
      <c r="A927" s="13">
        <v>69518</v>
      </c>
      <c r="B927" s="10">
        <f>71.3922 * CHOOSE(CONTROL!$C$15, $E$9, 100%, $G$9) + CHOOSE(CONTROL!$C$38, 0.0266, 0)</f>
        <v>71.418800000000005</v>
      </c>
      <c r="C927" s="10">
        <f>65.9394 * CHOOSE(CONTROL!$C$15, $E$9, 100%, $G$9) + CHOOSE(CONTROL!$C$38, 0.0357, 0)</f>
        <v>65.975100000000012</v>
      </c>
      <c r="D927" s="10">
        <f>65.9316 * CHOOSE(CONTROL!$C$15, $E$9, 100%, $G$9) + CHOOSE(CONTROL!$C$38, 0.0357, 0)</f>
        <v>65.967300000000009</v>
      </c>
      <c r="E927" s="28">
        <f>71.2359 * CHOOSE(CONTROL!$C$15, $E$9, 100%, $G$9) + CHOOSE(CONTROL!$C$38, 0.0357, 0)</f>
        <v>71.271600000000007</v>
      </c>
      <c r="F927" s="27">
        <f>71.2359 * CHOOSE(CONTROL!$C$15, $E$9, 100%, $G$9) + CHOOSE(CONTROL!$C$38, 0.0266, 0)</f>
        <v>71.262500000000003</v>
      </c>
      <c r="G927" s="10">
        <f>65.9378 * CHOOSE(CONTROL!$C$15, $E$9, 100%, $G$9) + CHOOSE(CONTROL!$C$38, 0.0357, 0)</f>
        <v>65.973500000000001</v>
      </c>
      <c r="H927" s="10">
        <f>65.9378 * CHOOSE(CONTROL!$C$15, $E$9, 100%, $G$9) + CHOOSE(CONTROL!$C$38, 0.0357, 0)</f>
        <v>65.973500000000001</v>
      </c>
      <c r="I927" s="10">
        <f>65.9394 * CHOOSE(CONTROL!$C$15, $E$9, 100%, $G$9) + CHOOSE(CONTROL!$C$38, 0.0357, 0)</f>
        <v>65.975100000000012</v>
      </c>
      <c r="J927" s="26">
        <f>465.9051</f>
        <v>465.9051</v>
      </c>
    </row>
    <row r="928" spans="1:10" ht="15.75">
      <c r="A928" s="13">
        <v>69549</v>
      </c>
      <c r="B928" s="10">
        <f>70.8761 * CHOOSE(CONTROL!$C$15, $E$9, 100%, $G$9) + CHOOSE(CONTROL!$C$38, 0.0266, 0)</f>
        <v>70.902699999999996</v>
      </c>
      <c r="C928" s="10">
        <f>65.4233 * CHOOSE(CONTROL!$C$15, $E$9, 100%, $G$9) + CHOOSE(CONTROL!$C$38, 0.0357, 0)</f>
        <v>65.459000000000003</v>
      </c>
      <c r="D928" s="10">
        <f>65.4154 * CHOOSE(CONTROL!$C$15, $E$9, 100%, $G$9) + CHOOSE(CONTROL!$C$38, 0.0357, 0)</f>
        <v>65.451100000000011</v>
      </c>
      <c r="E928" s="28">
        <f>70.7198 * CHOOSE(CONTROL!$C$15, $E$9, 100%, $G$9) + CHOOSE(CONTROL!$C$38, 0.0357, 0)</f>
        <v>70.755500000000012</v>
      </c>
      <c r="F928" s="27">
        <f>70.7198 * CHOOSE(CONTROL!$C$15, $E$9, 100%, $G$9) + CHOOSE(CONTROL!$C$38, 0.0266, 0)</f>
        <v>70.746400000000008</v>
      </c>
      <c r="G928" s="10">
        <f>65.4217 * CHOOSE(CONTROL!$C$15, $E$9, 100%, $G$9) + CHOOSE(CONTROL!$C$38, 0.0357, 0)</f>
        <v>65.457400000000007</v>
      </c>
      <c r="H928" s="10">
        <f>65.4217 * CHOOSE(CONTROL!$C$15, $E$9, 100%, $G$9) + CHOOSE(CONTROL!$C$38, 0.0357, 0)</f>
        <v>65.457400000000007</v>
      </c>
      <c r="I928" s="10">
        <f>65.4233 * CHOOSE(CONTROL!$C$15, $E$9, 100%, $G$9) + CHOOSE(CONTROL!$C$38, 0.0357, 0)</f>
        <v>65.459000000000003</v>
      </c>
      <c r="J928" s="26">
        <f>481.54</f>
        <v>481.54</v>
      </c>
    </row>
    <row r="929" spans="1:10" ht="15.75">
      <c r="A929" s="13">
        <v>69579</v>
      </c>
      <c r="B929" s="10">
        <f>70.5143 * CHOOSE(CONTROL!$C$15, $E$9, 100%, $G$9) + CHOOSE(CONTROL!$C$38, 0.0266, 0)</f>
        <v>70.540900000000008</v>
      </c>
      <c r="C929" s="10">
        <f>65.0614 * CHOOSE(CONTROL!$C$15, $E$9, 100%, $G$9) + CHOOSE(CONTROL!$C$38, 0.0357, 0)</f>
        <v>65.097100000000012</v>
      </c>
      <c r="D929" s="10">
        <f>65.0536 * CHOOSE(CONTROL!$C$15, $E$9, 100%, $G$9) + CHOOSE(CONTROL!$C$38, 0.0357, 0)</f>
        <v>65.089300000000009</v>
      </c>
      <c r="E929" s="28">
        <f>70.358 * CHOOSE(CONTROL!$C$15, $E$9, 100%, $G$9) + CHOOSE(CONTROL!$C$38, 0.0357, 0)</f>
        <v>70.39370000000001</v>
      </c>
      <c r="F929" s="27">
        <f>70.358 * CHOOSE(CONTROL!$C$15, $E$9, 100%, $G$9) + CHOOSE(CONTROL!$C$38, 0.0266, 0)</f>
        <v>70.384600000000006</v>
      </c>
      <c r="G929" s="10">
        <f>65.0599 * CHOOSE(CONTROL!$C$15, $E$9, 100%, $G$9) + CHOOSE(CONTROL!$C$38, 0.0357, 0)</f>
        <v>65.095600000000005</v>
      </c>
      <c r="H929" s="10">
        <f>65.0599 * CHOOSE(CONTROL!$C$15, $E$9, 100%, $G$9) + CHOOSE(CONTROL!$C$38, 0.0357, 0)</f>
        <v>65.095600000000005</v>
      </c>
      <c r="I929" s="10">
        <f>65.0614 * CHOOSE(CONTROL!$C$15, $E$9, 100%, $G$9) + CHOOSE(CONTROL!$C$38, 0.0357, 0)</f>
        <v>65.097100000000012</v>
      </c>
      <c r="J929" s="26">
        <f>488.4784</f>
        <v>488.47840000000002</v>
      </c>
    </row>
    <row r="930" spans="1:10" ht="15.75">
      <c r="A930" s="13">
        <v>69610</v>
      </c>
      <c r="B930" s="10">
        <f>70.3078 * CHOOSE(CONTROL!$C$15, $E$9, 100%, $G$9) + CHOOSE(CONTROL!$C$38, 0.0266, 0)</f>
        <v>70.334400000000002</v>
      </c>
      <c r="C930" s="10">
        <f>64.8549 * CHOOSE(CONTROL!$C$15, $E$9, 100%, $G$9) + CHOOSE(CONTROL!$C$38, 0.0357, 0)</f>
        <v>64.890600000000006</v>
      </c>
      <c r="D930" s="10">
        <f>64.8471 * CHOOSE(CONTROL!$C$15, $E$9, 100%, $G$9) + CHOOSE(CONTROL!$C$38, 0.0357, 0)</f>
        <v>64.882800000000003</v>
      </c>
      <c r="E930" s="28">
        <f>70.1515 * CHOOSE(CONTROL!$C$15, $E$9, 100%, $G$9) + CHOOSE(CONTROL!$C$38, 0.0357, 0)</f>
        <v>70.187200000000004</v>
      </c>
      <c r="F930" s="27">
        <f>70.1515 * CHOOSE(CONTROL!$C$15, $E$9, 100%, $G$9) + CHOOSE(CONTROL!$C$38, 0.0266, 0)</f>
        <v>70.178100000000001</v>
      </c>
      <c r="G930" s="10">
        <f>64.8534 * CHOOSE(CONTROL!$C$15, $E$9, 100%, $G$9) + CHOOSE(CONTROL!$C$38, 0.0357, 0)</f>
        <v>64.889099999999999</v>
      </c>
      <c r="H930" s="10">
        <f>64.8534 * CHOOSE(CONTROL!$C$15, $E$9, 100%, $G$9) + CHOOSE(CONTROL!$C$38, 0.0357, 0)</f>
        <v>64.889099999999999</v>
      </c>
      <c r="I930" s="10">
        <f>64.8549 * CHOOSE(CONTROL!$C$15, $E$9, 100%, $G$9) + CHOOSE(CONTROL!$C$38, 0.0357, 0)</f>
        <v>64.890600000000006</v>
      </c>
      <c r="J930" s="26">
        <f>486.194</f>
        <v>486.19400000000002</v>
      </c>
    </row>
    <row r="931" spans="1:10" ht="15.75">
      <c r="A931" s="13">
        <v>69641</v>
      </c>
      <c r="B931" s="10">
        <f>70.4097 * CHOOSE(CONTROL!$C$15, $E$9, 100%, $G$9) + CHOOSE(CONTROL!$C$38, 0.0266, 0)</f>
        <v>70.436300000000003</v>
      </c>
      <c r="C931" s="10">
        <f>64.9568 * CHOOSE(CONTROL!$C$15, $E$9, 100%, $G$9) + CHOOSE(CONTROL!$C$38, 0.0357, 0)</f>
        <v>64.992500000000007</v>
      </c>
      <c r="D931" s="10">
        <f>64.949 * CHOOSE(CONTROL!$C$15, $E$9, 100%, $G$9) + CHOOSE(CONTROL!$C$38, 0.0357, 0)</f>
        <v>64.984700000000004</v>
      </c>
      <c r="E931" s="28">
        <f>70.2534 * CHOOSE(CONTROL!$C$15, $E$9, 100%, $G$9) + CHOOSE(CONTROL!$C$38, 0.0357, 0)</f>
        <v>70.289100000000005</v>
      </c>
      <c r="F931" s="27">
        <f>70.2534 * CHOOSE(CONTROL!$C$15, $E$9, 100%, $G$9) + CHOOSE(CONTROL!$C$38, 0.0266, 0)</f>
        <v>70.28</v>
      </c>
      <c r="G931" s="10">
        <f>64.9553 * CHOOSE(CONTROL!$C$15, $E$9, 100%, $G$9) + CHOOSE(CONTROL!$C$38, 0.0357, 0)</f>
        <v>64.991</v>
      </c>
      <c r="H931" s="10">
        <f>64.9553 * CHOOSE(CONTROL!$C$15, $E$9, 100%, $G$9) + CHOOSE(CONTROL!$C$38, 0.0357, 0)</f>
        <v>64.991</v>
      </c>
      <c r="I931" s="10">
        <f>64.9568 * CHOOSE(CONTROL!$C$15, $E$9, 100%, $G$9) + CHOOSE(CONTROL!$C$38, 0.0357, 0)</f>
        <v>64.992500000000007</v>
      </c>
      <c r="J931" s="26">
        <f>474.8756</f>
        <v>474.87560000000002</v>
      </c>
    </row>
    <row r="932" spans="1:10" ht="15.75">
      <c r="A932" s="13">
        <v>69671</v>
      </c>
      <c r="B932" s="10">
        <f>70.6865 * CHOOSE(CONTROL!$C$15, $E$9, 100%, $G$9) + CHOOSE(CONTROL!$C$38, 0.0266, 0)</f>
        <v>70.713099999999997</v>
      </c>
      <c r="C932" s="10">
        <f>65.2336 * CHOOSE(CONTROL!$C$15, $E$9, 100%, $G$9) + CHOOSE(CONTROL!$C$38, 0.0357, 0)</f>
        <v>65.269300000000001</v>
      </c>
      <c r="D932" s="10">
        <f>65.2258 * CHOOSE(CONTROL!$C$15, $E$9, 100%, $G$9) + CHOOSE(CONTROL!$C$38, 0.0357, 0)</f>
        <v>65.261500000000012</v>
      </c>
      <c r="E932" s="28">
        <f>70.5302 * CHOOSE(CONTROL!$C$15, $E$9, 100%, $G$9) + CHOOSE(CONTROL!$C$38, 0.0357, 0)</f>
        <v>70.565899999999999</v>
      </c>
      <c r="F932" s="27">
        <f>70.5302 * CHOOSE(CONTROL!$C$15, $E$9, 100%, $G$9) + CHOOSE(CONTROL!$C$38, 0.0266, 0)</f>
        <v>70.556799999999996</v>
      </c>
      <c r="G932" s="10">
        <f>65.2321 * CHOOSE(CONTROL!$C$15, $E$9, 100%, $G$9) + CHOOSE(CONTROL!$C$38, 0.0357, 0)</f>
        <v>65.267800000000008</v>
      </c>
      <c r="H932" s="10">
        <f>65.2321 * CHOOSE(CONTROL!$C$15, $E$9, 100%, $G$9) + CHOOSE(CONTROL!$C$38, 0.0357, 0)</f>
        <v>65.267800000000008</v>
      </c>
      <c r="I932" s="10">
        <f>65.2336 * CHOOSE(CONTROL!$C$15, $E$9, 100%, $G$9) + CHOOSE(CONTROL!$C$38, 0.0357, 0)</f>
        <v>65.269300000000001</v>
      </c>
      <c r="J932" s="26">
        <f>459.0915</f>
        <v>459.0915</v>
      </c>
    </row>
    <row r="933" spans="1:10" ht="15.75">
      <c r="A933" s="13">
        <v>69702</v>
      </c>
      <c r="B933" s="10">
        <f>70.9183 * CHOOSE(CONTROL!$C$15, $E$9, 100%, $G$9) + CHOOSE(CONTROL!$C$38, 0.0266, 0)</f>
        <v>70.944900000000004</v>
      </c>
      <c r="C933" s="10">
        <f>65.4655 * CHOOSE(CONTROL!$C$15, $E$9, 100%, $G$9) + CHOOSE(CONTROL!$C$38, 0.0357, 0)</f>
        <v>65.501200000000011</v>
      </c>
      <c r="D933" s="10">
        <f>65.4577 * CHOOSE(CONTROL!$C$15, $E$9, 100%, $G$9) + CHOOSE(CONTROL!$C$38, 0.0357, 0)</f>
        <v>65.493400000000008</v>
      </c>
      <c r="E933" s="28">
        <f>70.762 * CHOOSE(CONTROL!$C$15, $E$9, 100%, $G$9) + CHOOSE(CONTROL!$C$38, 0.0357, 0)</f>
        <v>70.797700000000006</v>
      </c>
      <c r="F933" s="27">
        <f>70.762 * CHOOSE(CONTROL!$C$15, $E$9, 100%, $G$9) + CHOOSE(CONTROL!$C$38, 0.0266, 0)</f>
        <v>70.788600000000002</v>
      </c>
      <c r="G933" s="10">
        <f>65.4639 * CHOOSE(CONTROL!$C$15, $E$9, 100%, $G$9) + CHOOSE(CONTROL!$C$38, 0.0357, 0)</f>
        <v>65.499600000000001</v>
      </c>
      <c r="H933" s="10">
        <f>65.4639 * CHOOSE(CONTROL!$C$15, $E$9, 100%, $G$9) + CHOOSE(CONTROL!$C$38, 0.0357, 0)</f>
        <v>65.499600000000001</v>
      </c>
      <c r="I933" s="10">
        <f>65.4655 * CHOOSE(CONTROL!$C$15, $E$9, 100%, $G$9) + CHOOSE(CONTROL!$C$38, 0.0357, 0)</f>
        <v>65.501200000000011</v>
      </c>
      <c r="J933" s="26">
        <f>443.2157</f>
        <v>443.21570000000003</v>
      </c>
    </row>
    <row r="934" spans="1:10" ht="15.75">
      <c r="A934" s="13">
        <v>69732</v>
      </c>
      <c r="B934" s="10">
        <f>71.1117 * CHOOSE(CONTROL!$C$15, $E$9, 100%, $G$9) + CHOOSE(CONTROL!$C$38, 0.0266, 0)</f>
        <v>71.138300000000001</v>
      </c>
      <c r="C934" s="10">
        <f>65.6589 * CHOOSE(CONTROL!$C$15, $E$9, 100%, $G$9) + CHOOSE(CONTROL!$C$38, 0.0357, 0)</f>
        <v>65.694600000000008</v>
      </c>
      <c r="D934" s="10">
        <f>65.6511 * CHOOSE(CONTROL!$C$15, $E$9, 100%, $G$9) + CHOOSE(CONTROL!$C$38, 0.0357, 0)</f>
        <v>65.686800000000005</v>
      </c>
      <c r="E934" s="28">
        <f>70.9555 * CHOOSE(CONTROL!$C$15, $E$9, 100%, $G$9) + CHOOSE(CONTROL!$C$38, 0.0357, 0)</f>
        <v>70.991200000000006</v>
      </c>
      <c r="F934" s="27">
        <f>70.9555 * CHOOSE(CONTROL!$C$15, $E$9, 100%, $G$9) + CHOOSE(CONTROL!$C$38, 0.0266, 0)</f>
        <v>70.982100000000003</v>
      </c>
      <c r="G934" s="10">
        <f>65.6573 * CHOOSE(CONTROL!$C$15, $E$9, 100%, $G$9) + CHOOSE(CONTROL!$C$38, 0.0357, 0)</f>
        <v>65.693000000000012</v>
      </c>
      <c r="H934" s="10">
        <f>65.6573 * CHOOSE(CONTROL!$C$15, $E$9, 100%, $G$9) + CHOOSE(CONTROL!$C$38, 0.0357, 0)</f>
        <v>65.693000000000012</v>
      </c>
      <c r="I934" s="10">
        <f>65.6589 * CHOOSE(CONTROL!$C$15, $E$9, 100%, $G$9) + CHOOSE(CONTROL!$C$38, 0.0357, 0)</f>
        <v>65.694600000000008</v>
      </c>
      <c r="J934" s="26">
        <f>440.0577</f>
        <v>440.05770000000001</v>
      </c>
    </row>
    <row r="935" spans="1:10" ht="15.75">
      <c r="A935" s="13">
        <v>69763</v>
      </c>
      <c r="B935" s="10">
        <f>71.7078 * CHOOSE(CONTROL!$C$15, $E$9, 100%, $G$9) + CHOOSE(CONTROL!$C$38, 0.0266, 0)</f>
        <v>71.734400000000008</v>
      </c>
      <c r="C935" s="10">
        <f>66.255 * CHOOSE(CONTROL!$C$15, $E$9, 100%, $G$9) + CHOOSE(CONTROL!$C$38, 0.0357, 0)</f>
        <v>66.290700000000001</v>
      </c>
      <c r="D935" s="10">
        <f>66.2472 * CHOOSE(CONTROL!$C$15, $E$9, 100%, $G$9) + CHOOSE(CONTROL!$C$38, 0.0357, 0)</f>
        <v>66.282900000000012</v>
      </c>
      <c r="E935" s="28">
        <f>71.5516 * CHOOSE(CONTROL!$C$15, $E$9, 100%, $G$9) + CHOOSE(CONTROL!$C$38, 0.0357, 0)</f>
        <v>71.587299999999999</v>
      </c>
      <c r="F935" s="27">
        <f>71.5516 * CHOOSE(CONTROL!$C$15, $E$9, 100%, $G$9) + CHOOSE(CONTROL!$C$38, 0.0266, 0)</f>
        <v>71.578199999999995</v>
      </c>
      <c r="G935" s="10">
        <f>66.2534 * CHOOSE(CONTROL!$C$15, $E$9, 100%, $G$9) + CHOOSE(CONTROL!$C$38, 0.0357, 0)</f>
        <v>66.289100000000005</v>
      </c>
      <c r="H935" s="10">
        <f>66.2534 * CHOOSE(CONTROL!$C$15, $E$9, 100%, $G$9) + CHOOSE(CONTROL!$C$38, 0.0357, 0)</f>
        <v>66.289100000000005</v>
      </c>
      <c r="I935" s="10">
        <f>66.255 * CHOOSE(CONTROL!$C$15, $E$9, 100%, $G$9) + CHOOSE(CONTROL!$C$38, 0.0357, 0)</f>
        <v>66.290700000000001</v>
      </c>
      <c r="J935" s="26">
        <f>426.9989</f>
        <v>426.99889999999999</v>
      </c>
    </row>
    <row r="936" spans="1:10" ht="15.75">
      <c r="A936" s="13">
        <v>69794</v>
      </c>
      <c r="B936" s="10">
        <f>73.4247 * CHOOSE(CONTROL!$C$15, $E$9, 100%, $G$9) + CHOOSE(CONTROL!$C$38, 0.0266, 0)</f>
        <v>73.451300000000003</v>
      </c>
      <c r="C936" s="10">
        <f>67.8783 * CHOOSE(CONTROL!$C$15, $E$9, 100%, $G$9) + CHOOSE(CONTROL!$C$38, 0.0357, 0)</f>
        <v>67.914000000000001</v>
      </c>
      <c r="D936" s="10">
        <f>67.8705 * CHOOSE(CONTROL!$C$15, $E$9, 100%, $G$9) + CHOOSE(CONTROL!$C$38, 0.0357, 0)</f>
        <v>67.906200000000013</v>
      </c>
      <c r="E936" s="28">
        <f>73.2685 * CHOOSE(CONTROL!$C$15, $E$9, 100%, $G$9) + CHOOSE(CONTROL!$C$38, 0.0357, 0)</f>
        <v>73.304200000000009</v>
      </c>
      <c r="F936" s="27">
        <f>73.2685 * CHOOSE(CONTROL!$C$15, $E$9, 100%, $G$9) + CHOOSE(CONTROL!$C$38, 0.0266, 0)</f>
        <v>73.295100000000005</v>
      </c>
      <c r="G936" s="10">
        <f>67.8767 * CHOOSE(CONTROL!$C$15, $E$9, 100%, $G$9) + CHOOSE(CONTROL!$C$38, 0.0357, 0)</f>
        <v>67.912400000000005</v>
      </c>
      <c r="H936" s="10">
        <f>67.8767 * CHOOSE(CONTROL!$C$15, $E$9, 100%, $G$9) + CHOOSE(CONTROL!$C$38, 0.0357, 0)</f>
        <v>67.912400000000005</v>
      </c>
      <c r="I936" s="10">
        <f>67.8783 * CHOOSE(CONTROL!$C$15, $E$9, 100%, $G$9) + CHOOSE(CONTROL!$C$38, 0.0357, 0)</f>
        <v>67.914000000000001</v>
      </c>
      <c r="J936" s="26">
        <f>424.1387</f>
        <v>424.13869999999997</v>
      </c>
    </row>
    <row r="937" spans="1:10" ht="15.75">
      <c r="A937" s="13">
        <v>69822</v>
      </c>
      <c r="B937" s="10">
        <f>73.6455 * CHOOSE(CONTROL!$C$15, $E$9, 100%, $G$9) + CHOOSE(CONTROL!$C$38, 0.0266, 0)</f>
        <v>73.6721</v>
      </c>
      <c r="C937" s="10">
        <f>68.0991 * CHOOSE(CONTROL!$C$15, $E$9, 100%, $G$9) + CHOOSE(CONTROL!$C$38, 0.0357, 0)</f>
        <v>68.134800000000013</v>
      </c>
      <c r="D937" s="10">
        <f>68.0913 * CHOOSE(CONTROL!$C$15, $E$9, 100%, $G$9) + CHOOSE(CONTROL!$C$38, 0.0357, 0)</f>
        <v>68.12700000000001</v>
      </c>
      <c r="E937" s="28">
        <f>73.4892 * CHOOSE(CONTROL!$C$15, $E$9, 100%, $G$9) + CHOOSE(CONTROL!$C$38, 0.0357, 0)</f>
        <v>73.524900000000002</v>
      </c>
      <c r="F937" s="27">
        <f>73.4892 * CHOOSE(CONTROL!$C$15, $E$9, 100%, $G$9) + CHOOSE(CONTROL!$C$38, 0.0266, 0)</f>
        <v>73.515799999999999</v>
      </c>
      <c r="G937" s="10">
        <f>68.0975 * CHOOSE(CONTROL!$C$15, $E$9, 100%, $G$9) + CHOOSE(CONTROL!$C$38, 0.0357, 0)</f>
        <v>68.133200000000002</v>
      </c>
      <c r="H937" s="10">
        <f>68.0975 * CHOOSE(CONTROL!$C$15, $E$9, 100%, $G$9) + CHOOSE(CONTROL!$C$38, 0.0357, 0)</f>
        <v>68.133200000000002</v>
      </c>
      <c r="I937" s="10">
        <f>68.0991 * CHOOSE(CONTROL!$C$15, $E$9, 100%, $G$9) + CHOOSE(CONTROL!$C$38, 0.0357, 0)</f>
        <v>68.134800000000013</v>
      </c>
      <c r="J937" s="26">
        <f>422.9597</f>
        <v>422.9597</v>
      </c>
    </row>
    <row r="938" spans="1:10" ht="15.75">
      <c r="A938" s="13">
        <v>69853</v>
      </c>
      <c r="B938" s="10">
        <f>73.1344 * CHOOSE(CONTROL!$C$15, $E$9, 100%, $G$9) + CHOOSE(CONTROL!$C$38, 0.0266, 0)</f>
        <v>73.161000000000001</v>
      </c>
      <c r="C938" s="10">
        <f>67.588 * CHOOSE(CONTROL!$C$15, $E$9, 100%, $G$9) + CHOOSE(CONTROL!$C$38, 0.0357, 0)</f>
        <v>67.623699999999999</v>
      </c>
      <c r="D938" s="10">
        <f>67.5802 * CHOOSE(CONTROL!$C$15, $E$9, 100%, $G$9) + CHOOSE(CONTROL!$C$38, 0.0357, 0)</f>
        <v>67.615900000000011</v>
      </c>
      <c r="E938" s="28">
        <f>72.9782 * CHOOSE(CONTROL!$C$15, $E$9, 100%, $G$9) + CHOOSE(CONTROL!$C$38, 0.0357, 0)</f>
        <v>73.013900000000007</v>
      </c>
      <c r="F938" s="27">
        <f>72.9782 * CHOOSE(CONTROL!$C$15, $E$9, 100%, $G$9) + CHOOSE(CONTROL!$C$38, 0.0266, 0)</f>
        <v>73.004800000000003</v>
      </c>
      <c r="G938" s="10">
        <f>67.5865 * CHOOSE(CONTROL!$C$15, $E$9, 100%, $G$9) + CHOOSE(CONTROL!$C$38, 0.0357, 0)</f>
        <v>67.622200000000007</v>
      </c>
      <c r="H938" s="10">
        <f>67.5865 * CHOOSE(CONTROL!$C$15, $E$9, 100%, $G$9) + CHOOSE(CONTROL!$C$38, 0.0357, 0)</f>
        <v>67.622200000000007</v>
      </c>
      <c r="I938" s="10">
        <f>67.588 * CHOOSE(CONTROL!$C$15, $E$9, 100%, $G$9) + CHOOSE(CONTROL!$C$38, 0.0357, 0)</f>
        <v>67.623699999999999</v>
      </c>
      <c r="J938" s="26">
        <f>445.2521</f>
        <v>445.25209999999998</v>
      </c>
    </row>
    <row r="939" spans="1:10" ht="15.75">
      <c r="A939" s="13">
        <v>69883</v>
      </c>
      <c r="B939" s="10">
        <f>72.6393 * CHOOSE(CONTROL!$C$15, $E$9, 100%, $G$9) + CHOOSE(CONTROL!$C$38, 0.0266, 0)</f>
        <v>72.665900000000008</v>
      </c>
      <c r="C939" s="10">
        <f>67.0929 * CHOOSE(CONTROL!$C$15, $E$9, 100%, $G$9) + CHOOSE(CONTROL!$C$38, 0.0357, 0)</f>
        <v>67.128600000000006</v>
      </c>
      <c r="D939" s="10">
        <f>67.085 * CHOOSE(CONTROL!$C$15, $E$9, 100%, $G$9) + CHOOSE(CONTROL!$C$38, 0.0357, 0)</f>
        <v>67.120699999999999</v>
      </c>
      <c r="E939" s="28">
        <f>72.483 * CHOOSE(CONTROL!$C$15, $E$9, 100%, $G$9) + CHOOSE(CONTROL!$C$38, 0.0357, 0)</f>
        <v>72.51870000000001</v>
      </c>
      <c r="F939" s="27">
        <f>72.483 * CHOOSE(CONTROL!$C$15, $E$9, 100%, $G$9) + CHOOSE(CONTROL!$C$38, 0.0266, 0)</f>
        <v>72.509600000000006</v>
      </c>
      <c r="G939" s="10">
        <f>67.0913 * CHOOSE(CONTROL!$C$15, $E$9, 100%, $G$9) + CHOOSE(CONTROL!$C$38, 0.0357, 0)</f>
        <v>67.12700000000001</v>
      </c>
      <c r="H939" s="10">
        <f>67.0913 * CHOOSE(CONTROL!$C$15, $E$9, 100%, $G$9) + CHOOSE(CONTROL!$C$38, 0.0357, 0)</f>
        <v>67.12700000000001</v>
      </c>
      <c r="I939" s="10">
        <f>67.0929 * CHOOSE(CONTROL!$C$15, $E$9, 100%, $G$9) + CHOOSE(CONTROL!$C$38, 0.0357, 0)</f>
        <v>67.128600000000006</v>
      </c>
      <c r="J939" s="26">
        <f>474.1601</f>
        <v>474.1601</v>
      </c>
    </row>
    <row r="940" spans="1:10" ht="15.75">
      <c r="A940" s="13">
        <v>69914</v>
      </c>
      <c r="B940" s="10">
        <f>72.1231 * CHOOSE(CONTROL!$C$15, $E$9, 100%, $G$9) + CHOOSE(CONTROL!$C$38, 0.0266, 0)</f>
        <v>72.149699999999996</v>
      </c>
      <c r="C940" s="10">
        <f>66.5767 * CHOOSE(CONTROL!$C$15, $E$9, 100%, $G$9) + CHOOSE(CONTROL!$C$38, 0.0357, 0)</f>
        <v>66.612400000000008</v>
      </c>
      <c r="D940" s="10">
        <f>66.5689 * CHOOSE(CONTROL!$C$15, $E$9, 100%, $G$9) + CHOOSE(CONTROL!$C$38, 0.0357, 0)</f>
        <v>66.604600000000005</v>
      </c>
      <c r="E940" s="28">
        <f>71.9669 * CHOOSE(CONTROL!$C$15, $E$9, 100%, $G$9) + CHOOSE(CONTROL!$C$38, 0.0357, 0)</f>
        <v>72.002600000000001</v>
      </c>
      <c r="F940" s="27">
        <f>71.9669 * CHOOSE(CONTROL!$C$15, $E$9, 100%, $G$9) + CHOOSE(CONTROL!$C$38, 0.0266, 0)</f>
        <v>71.993499999999997</v>
      </c>
      <c r="G940" s="10">
        <f>66.5752 * CHOOSE(CONTROL!$C$15, $E$9, 100%, $G$9) + CHOOSE(CONTROL!$C$38, 0.0357, 0)</f>
        <v>66.610900000000001</v>
      </c>
      <c r="H940" s="10">
        <f>66.5752 * CHOOSE(CONTROL!$C$15, $E$9, 100%, $G$9) + CHOOSE(CONTROL!$C$38, 0.0357, 0)</f>
        <v>66.610900000000001</v>
      </c>
      <c r="I940" s="10">
        <f>66.5767 * CHOOSE(CONTROL!$C$15, $E$9, 100%, $G$9) + CHOOSE(CONTROL!$C$38, 0.0357, 0)</f>
        <v>66.612400000000008</v>
      </c>
      <c r="J940" s="26">
        <f>490.0719</f>
        <v>490.07190000000003</v>
      </c>
    </row>
    <row r="941" spans="1:10" ht="15.75">
      <c r="A941" s="13">
        <v>69944</v>
      </c>
      <c r="B941" s="10">
        <f>71.7613 * CHOOSE(CONTROL!$C$15, $E$9, 100%, $G$9) + CHOOSE(CONTROL!$C$38, 0.0266, 0)</f>
        <v>71.787900000000008</v>
      </c>
      <c r="C941" s="10">
        <f>66.2149 * CHOOSE(CONTROL!$C$15, $E$9, 100%, $G$9) + CHOOSE(CONTROL!$C$38, 0.0357, 0)</f>
        <v>66.250600000000006</v>
      </c>
      <c r="D941" s="10">
        <f>66.2071 * CHOOSE(CONTROL!$C$15, $E$9, 100%, $G$9) + CHOOSE(CONTROL!$C$38, 0.0357, 0)</f>
        <v>66.242800000000003</v>
      </c>
      <c r="E941" s="28">
        <f>71.6051 * CHOOSE(CONTROL!$C$15, $E$9, 100%, $G$9) + CHOOSE(CONTROL!$C$38, 0.0357, 0)</f>
        <v>71.640799999999999</v>
      </c>
      <c r="F941" s="27">
        <f>71.6051 * CHOOSE(CONTROL!$C$15, $E$9, 100%, $G$9) + CHOOSE(CONTROL!$C$38, 0.0266, 0)</f>
        <v>71.631699999999995</v>
      </c>
      <c r="G941" s="10">
        <f>66.2133 * CHOOSE(CONTROL!$C$15, $E$9, 100%, $G$9) + CHOOSE(CONTROL!$C$38, 0.0357, 0)</f>
        <v>66.249000000000009</v>
      </c>
      <c r="H941" s="10">
        <f>66.2133 * CHOOSE(CONTROL!$C$15, $E$9, 100%, $G$9) + CHOOSE(CONTROL!$C$38, 0.0357, 0)</f>
        <v>66.249000000000009</v>
      </c>
      <c r="I941" s="10">
        <f>66.2149 * CHOOSE(CONTROL!$C$15, $E$9, 100%, $G$9) + CHOOSE(CONTROL!$C$38, 0.0357, 0)</f>
        <v>66.250600000000006</v>
      </c>
      <c r="J941" s="26">
        <f>497.1334</f>
        <v>497.13339999999999</v>
      </c>
    </row>
    <row r="942" spans="1:10" ht="15.75">
      <c r="A942" s="13">
        <v>69975</v>
      </c>
      <c r="B942" s="10">
        <f>71.5548 * CHOOSE(CONTROL!$C$15, $E$9, 100%, $G$9) + CHOOSE(CONTROL!$C$38, 0.0266, 0)</f>
        <v>71.581400000000002</v>
      </c>
      <c r="C942" s="10">
        <f>66.0084 * CHOOSE(CONTROL!$C$15, $E$9, 100%, $G$9) + CHOOSE(CONTROL!$C$38, 0.0357, 0)</f>
        <v>66.0441</v>
      </c>
      <c r="D942" s="10">
        <f>66.0006 * CHOOSE(CONTROL!$C$15, $E$9, 100%, $G$9) + CHOOSE(CONTROL!$C$38, 0.0357, 0)</f>
        <v>66.036300000000011</v>
      </c>
      <c r="E942" s="28">
        <f>71.3986 * CHOOSE(CONTROL!$C$15, $E$9, 100%, $G$9) + CHOOSE(CONTROL!$C$38, 0.0357, 0)</f>
        <v>71.434300000000007</v>
      </c>
      <c r="F942" s="27">
        <f>71.3986 * CHOOSE(CONTROL!$C$15, $E$9, 100%, $G$9) + CHOOSE(CONTROL!$C$38, 0.0266, 0)</f>
        <v>71.425200000000004</v>
      </c>
      <c r="G942" s="10">
        <f>66.0069 * CHOOSE(CONTROL!$C$15, $E$9, 100%, $G$9) + CHOOSE(CONTROL!$C$38, 0.0357, 0)</f>
        <v>66.042600000000007</v>
      </c>
      <c r="H942" s="10">
        <f>66.0069 * CHOOSE(CONTROL!$C$15, $E$9, 100%, $G$9) + CHOOSE(CONTROL!$C$38, 0.0357, 0)</f>
        <v>66.042600000000007</v>
      </c>
      <c r="I942" s="10">
        <f>66.0084 * CHOOSE(CONTROL!$C$15, $E$9, 100%, $G$9) + CHOOSE(CONTROL!$C$38, 0.0357, 0)</f>
        <v>66.0441</v>
      </c>
      <c r="J942" s="26">
        <f>494.8084</f>
        <v>494.80840000000001</v>
      </c>
    </row>
    <row r="943" spans="1:10" ht="15.75">
      <c r="A943" s="13">
        <v>70006</v>
      </c>
      <c r="B943" s="10">
        <f>71.6567 * CHOOSE(CONTROL!$C$15, $E$9, 100%, $G$9) + CHOOSE(CONTROL!$C$38, 0.0266, 0)</f>
        <v>71.683300000000003</v>
      </c>
      <c r="C943" s="10">
        <f>66.1103 * CHOOSE(CONTROL!$C$15, $E$9, 100%, $G$9) + CHOOSE(CONTROL!$C$38, 0.0357, 0)</f>
        <v>66.146000000000001</v>
      </c>
      <c r="D943" s="10">
        <f>66.1025 * CHOOSE(CONTROL!$C$15, $E$9, 100%, $G$9) + CHOOSE(CONTROL!$C$38, 0.0357, 0)</f>
        <v>66.138200000000012</v>
      </c>
      <c r="E943" s="28">
        <f>71.5005 * CHOOSE(CONTROL!$C$15, $E$9, 100%, $G$9) + CHOOSE(CONTROL!$C$38, 0.0357, 0)</f>
        <v>71.536200000000008</v>
      </c>
      <c r="F943" s="27">
        <f>71.5005 * CHOOSE(CONTROL!$C$15, $E$9, 100%, $G$9) + CHOOSE(CONTROL!$C$38, 0.0266, 0)</f>
        <v>71.527100000000004</v>
      </c>
      <c r="G943" s="10">
        <f>66.1088 * CHOOSE(CONTROL!$C$15, $E$9, 100%, $G$9) + CHOOSE(CONTROL!$C$38, 0.0357, 0)</f>
        <v>66.144500000000008</v>
      </c>
      <c r="H943" s="10">
        <f>66.1088 * CHOOSE(CONTROL!$C$15, $E$9, 100%, $G$9) + CHOOSE(CONTROL!$C$38, 0.0357, 0)</f>
        <v>66.144500000000008</v>
      </c>
      <c r="I943" s="10">
        <f>66.1103 * CHOOSE(CONTROL!$C$15, $E$9, 100%, $G$9) + CHOOSE(CONTROL!$C$38, 0.0357, 0)</f>
        <v>66.146000000000001</v>
      </c>
      <c r="J943" s="26">
        <f>483.2895</f>
        <v>483.28949999999998</v>
      </c>
    </row>
    <row r="944" spans="1:10" ht="15.75">
      <c r="A944" s="13">
        <v>70036</v>
      </c>
      <c r="B944" s="10">
        <f>71.9335 * CHOOSE(CONTROL!$C$15, $E$9, 100%, $G$9) + CHOOSE(CONTROL!$C$38, 0.0266, 0)</f>
        <v>71.960099999999997</v>
      </c>
      <c r="C944" s="10">
        <f>66.3871 * CHOOSE(CONTROL!$C$15, $E$9, 100%, $G$9) + CHOOSE(CONTROL!$C$38, 0.0357, 0)</f>
        <v>66.422800000000009</v>
      </c>
      <c r="D944" s="10">
        <f>66.3793 * CHOOSE(CONTROL!$C$15, $E$9, 100%, $G$9) + CHOOSE(CONTROL!$C$38, 0.0357, 0)</f>
        <v>66.415000000000006</v>
      </c>
      <c r="E944" s="28">
        <f>71.7773 * CHOOSE(CONTROL!$C$15, $E$9, 100%, $G$9) + CHOOSE(CONTROL!$C$38, 0.0357, 0)</f>
        <v>71.813000000000002</v>
      </c>
      <c r="F944" s="27">
        <f>71.7773 * CHOOSE(CONTROL!$C$15, $E$9, 100%, $G$9) + CHOOSE(CONTROL!$C$38, 0.0266, 0)</f>
        <v>71.803899999999999</v>
      </c>
      <c r="G944" s="10">
        <f>66.3856 * CHOOSE(CONTROL!$C$15, $E$9, 100%, $G$9) + CHOOSE(CONTROL!$C$38, 0.0357, 0)</f>
        <v>66.421300000000002</v>
      </c>
      <c r="H944" s="10">
        <f>66.3856 * CHOOSE(CONTROL!$C$15, $E$9, 100%, $G$9) + CHOOSE(CONTROL!$C$38, 0.0357, 0)</f>
        <v>66.421300000000002</v>
      </c>
      <c r="I944" s="10">
        <f>66.3871 * CHOOSE(CONTROL!$C$15, $E$9, 100%, $G$9) + CHOOSE(CONTROL!$C$38, 0.0357, 0)</f>
        <v>66.422800000000009</v>
      </c>
      <c r="J944" s="26">
        <f>467.2258</f>
        <v>467.22579999999999</v>
      </c>
    </row>
    <row r="945" spans="1:10" ht="15.75">
      <c r="A945" s="13">
        <v>70067</v>
      </c>
      <c r="B945" s="10">
        <f>72.1654 * CHOOSE(CONTROL!$C$15, $E$9, 100%, $G$9) + CHOOSE(CONTROL!$C$38, 0.0266, 0)</f>
        <v>72.192000000000007</v>
      </c>
      <c r="C945" s="10">
        <f>66.6189 * CHOOSE(CONTROL!$C$15, $E$9, 100%, $G$9) + CHOOSE(CONTROL!$C$38, 0.0357, 0)</f>
        <v>66.654600000000002</v>
      </c>
      <c r="D945" s="10">
        <f>66.6111 * CHOOSE(CONTROL!$C$15, $E$9, 100%, $G$9) + CHOOSE(CONTROL!$C$38, 0.0357, 0)</f>
        <v>66.646799999999999</v>
      </c>
      <c r="E945" s="28">
        <f>72.0091 * CHOOSE(CONTROL!$C$15, $E$9, 100%, $G$9) + CHOOSE(CONTROL!$C$38, 0.0357, 0)</f>
        <v>72.044800000000009</v>
      </c>
      <c r="F945" s="27">
        <f>72.0091 * CHOOSE(CONTROL!$C$15, $E$9, 100%, $G$9) + CHOOSE(CONTROL!$C$38, 0.0266, 0)</f>
        <v>72.035700000000006</v>
      </c>
      <c r="G945" s="10">
        <f>66.6174 * CHOOSE(CONTROL!$C$15, $E$9, 100%, $G$9) + CHOOSE(CONTROL!$C$38, 0.0357, 0)</f>
        <v>66.653100000000009</v>
      </c>
      <c r="H945" s="10">
        <f>66.6174 * CHOOSE(CONTROL!$C$15, $E$9, 100%, $G$9) + CHOOSE(CONTROL!$C$38, 0.0357, 0)</f>
        <v>66.653100000000009</v>
      </c>
      <c r="I945" s="10">
        <f>66.6189 * CHOOSE(CONTROL!$C$15, $E$9, 100%, $G$9) + CHOOSE(CONTROL!$C$38, 0.0357, 0)</f>
        <v>66.654600000000002</v>
      </c>
      <c r="J945" s="26">
        <f>451.0686</f>
        <v>451.0686</v>
      </c>
    </row>
    <row r="946" spans="1:10" ht="15.75">
      <c r="A946" s="13">
        <v>70097</v>
      </c>
      <c r="B946" s="10">
        <f>72.3588 * CHOOSE(CONTROL!$C$15, $E$9, 100%, $G$9) + CHOOSE(CONTROL!$C$38, 0.0266, 0)</f>
        <v>72.385400000000004</v>
      </c>
      <c r="C946" s="10">
        <f>66.8124 * CHOOSE(CONTROL!$C$15, $E$9, 100%, $G$9) + CHOOSE(CONTROL!$C$38, 0.0357, 0)</f>
        <v>66.848100000000002</v>
      </c>
      <c r="D946" s="10">
        <f>66.8046 * CHOOSE(CONTROL!$C$15, $E$9, 100%, $G$9) + CHOOSE(CONTROL!$C$38, 0.0357, 0)</f>
        <v>66.840299999999999</v>
      </c>
      <c r="E946" s="28">
        <f>72.2025 * CHOOSE(CONTROL!$C$15, $E$9, 100%, $G$9) + CHOOSE(CONTROL!$C$38, 0.0357, 0)</f>
        <v>72.238200000000006</v>
      </c>
      <c r="F946" s="27">
        <f>72.2025 * CHOOSE(CONTROL!$C$15, $E$9, 100%, $G$9) + CHOOSE(CONTROL!$C$38, 0.0266, 0)</f>
        <v>72.229100000000003</v>
      </c>
      <c r="G946" s="10">
        <f>66.8108 * CHOOSE(CONTROL!$C$15, $E$9, 100%, $G$9) + CHOOSE(CONTROL!$C$38, 0.0357, 0)</f>
        <v>66.846500000000006</v>
      </c>
      <c r="H946" s="10">
        <f>66.8108 * CHOOSE(CONTROL!$C$15, $E$9, 100%, $G$9) + CHOOSE(CONTROL!$C$38, 0.0357, 0)</f>
        <v>66.846500000000006</v>
      </c>
      <c r="I946" s="10">
        <f>66.8124 * CHOOSE(CONTROL!$C$15, $E$9, 100%, $G$9) + CHOOSE(CONTROL!$C$38, 0.0357, 0)</f>
        <v>66.848100000000002</v>
      </c>
      <c r="J946" s="26">
        <f>447.8546</f>
        <v>447.8546</v>
      </c>
    </row>
    <row r="947" spans="1:10" ht="15.75">
      <c r="A947" s="13">
        <v>70128</v>
      </c>
      <c r="B947" s="10">
        <f>72.9549 * CHOOSE(CONTROL!$C$15, $E$9, 100%, $G$9) + CHOOSE(CONTROL!$C$38, 0.0266, 0)</f>
        <v>72.981499999999997</v>
      </c>
      <c r="C947" s="10">
        <f>67.4085 * CHOOSE(CONTROL!$C$15, $E$9, 100%, $G$9) + CHOOSE(CONTROL!$C$38, 0.0357, 0)</f>
        <v>67.444200000000009</v>
      </c>
      <c r="D947" s="10">
        <f>67.4006 * CHOOSE(CONTROL!$C$15, $E$9, 100%, $G$9) + CHOOSE(CONTROL!$C$38, 0.0357, 0)</f>
        <v>67.436300000000003</v>
      </c>
      <c r="E947" s="28">
        <f>72.7986 * CHOOSE(CONTROL!$C$15, $E$9, 100%, $G$9) + CHOOSE(CONTROL!$C$38, 0.0357, 0)</f>
        <v>72.834299999999999</v>
      </c>
      <c r="F947" s="27">
        <f>72.7986 * CHOOSE(CONTROL!$C$15, $E$9, 100%, $G$9) + CHOOSE(CONTROL!$C$38, 0.0266, 0)</f>
        <v>72.825199999999995</v>
      </c>
      <c r="G947" s="10">
        <f>67.4069 * CHOOSE(CONTROL!$C$15, $E$9, 100%, $G$9) + CHOOSE(CONTROL!$C$38, 0.0357, 0)</f>
        <v>67.442599999999999</v>
      </c>
      <c r="H947" s="10">
        <f>67.4069 * CHOOSE(CONTROL!$C$15, $E$9, 100%, $G$9) + CHOOSE(CONTROL!$C$38, 0.0357, 0)</f>
        <v>67.442599999999999</v>
      </c>
      <c r="I947" s="10">
        <f>67.4085 * CHOOSE(CONTROL!$C$15, $E$9, 100%, $G$9) + CHOOSE(CONTROL!$C$38, 0.0357, 0)</f>
        <v>67.444200000000009</v>
      </c>
      <c r="J947" s="26">
        <f>434.5645</f>
        <v>434.56450000000001</v>
      </c>
    </row>
    <row r="948" spans="1:10" ht="15.75">
      <c r="A948" s="13">
        <v>70159</v>
      </c>
      <c r="B948" s="10">
        <f>74.6938 * CHOOSE(CONTROL!$C$15, $E$9, 100%, $G$9) + CHOOSE(CONTROL!$C$38, 0.0266, 0)</f>
        <v>74.720399999999998</v>
      </c>
      <c r="C948" s="10">
        <f>69.0522 * CHOOSE(CONTROL!$C$15, $E$9, 100%, $G$9) + CHOOSE(CONTROL!$C$38, 0.0357, 0)</f>
        <v>69.087900000000005</v>
      </c>
      <c r="D948" s="10">
        <f>69.0443 * CHOOSE(CONTROL!$C$15, $E$9, 100%, $G$9) + CHOOSE(CONTROL!$C$38, 0.0357, 0)</f>
        <v>69.080000000000013</v>
      </c>
      <c r="E948" s="28">
        <f>74.5376 * CHOOSE(CONTROL!$C$15, $E$9, 100%, $G$9) + CHOOSE(CONTROL!$C$38, 0.0357, 0)</f>
        <v>74.573300000000003</v>
      </c>
      <c r="F948" s="27">
        <f>74.5376 * CHOOSE(CONTROL!$C$15, $E$9, 100%, $G$9) + CHOOSE(CONTROL!$C$38, 0.0266, 0)</f>
        <v>74.5642</v>
      </c>
      <c r="G948" s="10">
        <f>69.0506 * CHOOSE(CONTROL!$C$15, $E$9, 100%, $G$9) + CHOOSE(CONTROL!$C$38, 0.0357, 0)</f>
        <v>69.086300000000008</v>
      </c>
      <c r="H948" s="10">
        <f>69.0506 * CHOOSE(CONTROL!$C$15, $E$9, 100%, $G$9) + CHOOSE(CONTROL!$C$38, 0.0357, 0)</f>
        <v>69.086300000000008</v>
      </c>
      <c r="I948" s="10">
        <f>69.0522 * CHOOSE(CONTROL!$C$15, $E$9, 100%, $G$9) + CHOOSE(CONTROL!$C$38, 0.0357, 0)</f>
        <v>69.087900000000005</v>
      </c>
      <c r="J948" s="26">
        <f>431.6536</f>
        <v>431.65359999999998</v>
      </c>
    </row>
    <row r="949" spans="1:10" ht="15.75">
      <c r="A949" s="13">
        <v>70188</v>
      </c>
      <c r="B949" s="10">
        <f>74.9146 * CHOOSE(CONTROL!$C$15, $E$9, 100%, $G$9) + CHOOSE(CONTROL!$C$38, 0.0266, 0)</f>
        <v>74.941199999999995</v>
      </c>
      <c r="C949" s="10">
        <f>69.2729 * CHOOSE(CONTROL!$C$15, $E$9, 100%, $G$9) + CHOOSE(CONTROL!$C$38, 0.0357, 0)</f>
        <v>69.308600000000013</v>
      </c>
      <c r="D949" s="10">
        <f>69.2651 * CHOOSE(CONTROL!$C$15, $E$9, 100%, $G$9) + CHOOSE(CONTROL!$C$38, 0.0357, 0)</f>
        <v>69.30080000000001</v>
      </c>
      <c r="E949" s="28">
        <f>74.7583 * CHOOSE(CONTROL!$C$15, $E$9, 100%, $G$9) + CHOOSE(CONTROL!$C$38, 0.0357, 0)</f>
        <v>74.794000000000011</v>
      </c>
      <c r="F949" s="27">
        <f>74.7583 * CHOOSE(CONTROL!$C$15, $E$9, 100%, $G$9) + CHOOSE(CONTROL!$C$38, 0.0266, 0)</f>
        <v>74.784900000000007</v>
      </c>
      <c r="G949" s="10">
        <f>69.2714 * CHOOSE(CONTROL!$C$15, $E$9, 100%, $G$9) + CHOOSE(CONTROL!$C$38, 0.0357, 0)</f>
        <v>69.307100000000005</v>
      </c>
      <c r="H949" s="10">
        <f>69.2714 * CHOOSE(CONTROL!$C$15, $E$9, 100%, $G$9) + CHOOSE(CONTROL!$C$38, 0.0357, 0)</f>
        <v>69.307100000000005</v>
      </c>
      <c r="I949" s="10">
        <f>69.2729 * CHOOSE(CONTROL!$C$15, $E$9, 100%, $G$9) + CHOOSE(CONTROL!$C$38, 0.0357, 0)</f>
        <v>69.308600000000013</v>
      </c>
      <c r="J949" s="26">
        <f>430.4538</f>
        <v>430.4538</v>
      </c>
    </row>
    <row r="950" spans="1:10" ht="15.75">
      <c r="A950" s="13">
        <v>70219</v>
      </c>
      <c r="B950" s="10">
        <f>74.4035 * CHOOSE(CONTROL!$C$15, $E$9, 100%, $G$9) + CHOOSE(CONTROL!$C$38, 0.0266, 0)</f>
        <v>74.430099999999996</v>
      </c>
      <c r="C950" s="10">
        <f>68.7619 * CHOOSE(CONTROL!$C$15, $E$9, 100%, $G$9) + CHOOSE(CONTROL!$C$38, 0.0357, 0)</f>
        <v>68.797600000000003</v>
      </c>
      <c r="D950" s="10">
        <f>68.7541 * CHOOSE(CONTROL!$C$15, $E$9, 100%, $G$9) + CHOOSE(CONTROL!$C$38, 0.0357, 0)</f>
        <v>68.7898</v>
      </c>
      <c r="E950" s="28">
        <f>74.2473 * CHOOSE(CONTROL!$C$15, $E$9, 100%, $G$9) + CHOOSE(CONTROL!$C$38, 0.0357, 0)</f>
        <v>74.283000000000001</v>
      </c>
      <c r="F950" s="27">
        <f>74.2473 * CHOOSE(CONTROL!$C$15, $E$9, 100%, $G$9) + CHOOSE(CONTROL!$C$38, 0.0266, 0)</f>
        <v>74.273899999999998</v>
      </c>
      <c r="G950" s="10">
        <f>68.7603 * CHOOSE(CONTROL!$C$15, $E$9, 100%, $G$9) + CHOOSE(CONTROL!$C$38, 0.0357, 0)</f>
        <v>68.796000000000006</v>
      </c>
      <c r="H950" s="10">
        <f>68.7603 * CHOOSE(CONTROL!$C$15, $E$9, 100%, $G$9) + CHOOSE(CONTROL!$C$38, 0.0357, 0)</f>
        <v>68.796000000000006</v>
      </c>
      <c r="I950" s="10">
        <f>68.7619 * CHOOSE(CONTROL!$C$15, $E$9, 100%, $G$9) + CHOOSE(CONTROL!$C$38, 0.0357, 0)</f>
        <v>68.797600000000003</v>
      </c>
      <c r="J950" s="26">
        <f>453.1412</f>
        <v>453.14120000000003</v>
      </c>
    </row>
    <row r="951" spans="1:10" ht="15.75">
      <c r="A951" s="13">
        <v>70249</v>
      </c>
      <c r="B951" s="10">
        <f>73.9084 * CHOOSE(CONTROL!$C$15, $E$9, 100%, $G$9) + CHOOSE(CONTROL!$C$38, 0.0266, 0)</f>
        <v>73.935000000000002</v>
      </c>
      <c r="C951" s="10">
        <f>68.2667 * CHOOSE(CONTROL!$C$15, $E$9, 100%, $G$9) + CHOOSE(CONTROL!$C$38, 0.0357, 0)</f>
        <v>68.302400000000006</v>
      </c>
      <c r="D951" s="10">
        <f>68.2589 * CHOOSE(CONTROL!$C$15, $E$9, 100%, $G$9) + CHOOSE(CONTROL!$C$38, 0.0357, 0)</f>
        <v>68.294600000000003</v>
      </c>
      <c r="E951" s="28">
        <f>73.7521 * CHOOSE(CONTROL!$C$15, $E$9, 100%, $G$9) + CHOOSE(CONTROL!$C$38, 0.0357, 0)</f>
        <v>73.787800000000004</v>
      </c>
      <c r="F951" s="27">
        <f>73.7521 * CHOOSE(CONTROL!$C$15, $E$9, 100%, $G$9) + CHOOSE(CONTROL!$C$38, 0.0266, 0)</f>
        <v>73.778700000000001</v>
      </c>
      <c r="G951" s="10">
        <f>68.2651 * CHOOSE(CONTROL!$C$15, $E$9, 100%, $G$9) + CHOOSE(CONTROL!$C$38, 0.0357, 0)</f>
        <v>68.30080000000001</v>
      </c>
      <c r="H951" s="10">
        <f>68.2651 * CHOOSE(CONTROL!$C$15, $E$9, 100%, $G$9) + CHOOSE(CONTROL!$C$38, 0.0357, 0)</f>
        <v>68.30080000000001</v>
      </c>
      <c r="I951" s="10">
        <f>68.2667 * CHOOSE(CONTROL!$C$15, $E$9, 100%, $G$9) + CHOOSE(CONTROL!$C$38, 0.0357, 0)</f>
        <v>68.302400000000006</v>
      </c>
      <c r="J951" s="26">
        <f>482.5613</f>
        <v>482.56130000000002</v>
      </c>
    </row>
    <row r="952" spans="1:10" ht="15.75">
      <c r="A952" s="13">
        <v>70280</v>
      </c>
      <c r="B952" s="10">
        <f>73.3922 * CHOOSE(CONTROL!$C$15, $E$9, 100%, $G$9) + CHOOSE(CONTROL!$C$38, 0.0266, 0)</f>
        <v>73.418800000000005</v>
      </c>
      <c r="C952" s="10">
        <f>67.7506 * CHOOSE(CONTROL!$C$15, $E$9, 100%, $G$9) + CHOOSE(CONTROL!$C$38, 0.0357, 0)</f>
        <v>67.786300000000011</v>
      </c>
      <c r="D952" s="10">
        <f>67.7428 * CHOOSE(CONTROL!$C$15, $E$9, 100%, $G$9) + CHOOSE(CONTROL!$C$38, 0.0357, 0)</f>
        <v>67.778500000000008</v>
      </c>
      <c r="E952" s="28">
        <f>73.236 * CHOOSE(CONTROL!$C$15, $E$9, 100%, $G$9) + CHOOSE(CONTROL!$C$38, 0.0357, 0)</f>
        <v>73.27170000000001</v>
      </c>
      <c r="F952" s="27">
        <f>73.236 * CHOOSE(CONTROL!$C$15, $E$9, 100%, $G$9) + CHOOSE(CONTROL!$C$38, 0.0266, 0)</f>
        <v>73.262600000000006</v>
      </c>
      <c r="G952" s="10">
        <f>67.749 * CHOOSE(CONTROL!$C$15, $E$9, 100%, $G$9) + CHOOSE(CONTROL!$C$38, 0.0357, 0)</f>
        <v>67.784700000000001</v>
      </c>
      <c r="H952" s="10">
        <f>67.749 * CHOOSE(CONTROL!$C$15, $E$9, 100%, $G$9) + CHOOSE(CONTROL!$C$38, 0.0357, 0)</f>
        <v>67.784700000000001</v>
      </c>
      <c r="I952" s="10">
        <f>67.7506 * CHOOSE(CONTROL!$C$15, $E$9, 100%, $G$9) + CHOOSE(CONTROL!$C$38, 0.0357, 0)</f>
        <v>67.786300000000011</v>
      </c>
      <c r="J952" s="26">
        <f>498.7551</f>
        <v>498.75510000000003</v>
      </c>
    </row>
    <row r="953" spans="1:10" ht="15.75">
      <c r="A953" s="13">
        <v>70310</v>
      </c>
      <c r="B953" s="10">
        <f>73.0304 * CHOOSE(CONTROL!$C$15, $E$9, 100%, $G$9) + CHOOSE(CONTROL!$C$38, 0.0266, 0)</f>
        <v>73.057000000000002</v>
      </c>
      <c r="C953" s="10">
        <f>67.3888 * CHOOSE(CONTROL!$C$15, $E$9, 100%, $G$9) + CHOOSE(CONTROL!$C$38, 0.0357, 0)</f>
        <v>67.424500000000009</v>
      </c>
      <c r="D953" s="10">
        <f>67.3809 * CHOOSE(CONTROL!$C$15, $E$9, 100%, $G$9) + CHOOSE(CONTROL!$C$38, 0.0357, 0)</f>
        <v>67.416600000000003</v>
      </c>
      <c r="E953" s="28">
        <f>72.8742 * CHOOSE(CONTROL!$C$15, $E$9, 100%, $G$9) + CHOOSE(CONTROL!$C$38, 0.0357, 0)</f>
        <v>72.909900000000007</v>
      </c>
      <c r="F953" s="27">
        <f>72.8742 * CHOOSE(CONTROL!$C$15, $E$9, 100%, $G$9) + CHOOSE(CONTROL!$C$38, 0.0266, 0)</f>
        <v>72.900800000000004</v>
      </c>
      <c r="G953" s="10">
        <f>67.3872 * CHOOSE(CONTROL!$C$15, $E$9, 100%, $G$9) + CHOOSE(CONTROL!$C$38, 0.0357, 0)</f>
        <v>67.422900000000013</v>
      </c>
      <c r="H953" s="10">
        <f>67.3872 * CHOOSE(CONTROL!$C$15, $E$9, 100%, $G$9) + CHOOSE(CONTROL!$C$38, 0.0357, 0)</f>
        <v>67.422900000000013</v>
      </c>
      <c r="I953" s="10">
        <f>67.3888 * CHOOSE(CONTROL!$C$15, $E$9, 100%, $G$9) + CHOOSE(CONTROL!$C$38, 0.0357, 0)</f>
        <v>67.424500000000009</v>
      </c>
      <c r="J953" s="26">
        <f>505.9416</f>
        <v>505.94159999999999</v>
      </c>
    </row>
    <row r="954" spans="1:10" ht="15.75">
      <c r="A954" s="13">
        <v>70341</v>
      </c>
      <c r="B954" s="10">
        <f>72.8239 * CHOOSE(CONTROL!$C$15, $E$9, 100%, $G$9) + CHOOSE(CONTROL!$C$38, 0.0266, 0)</f>
        <v>72.850499999999997</v>
      </c>
      <c r="C954" s="10">
        <f>67.1823 * CHOOSE(CONTROL!$C$15, $E$9, 100%, $G$9) + CHOOSE(CONTROL!$C$38, 0.0357, 0)</f>
        <v>67.218000000000004</v>
      </c>
      <c r="D954" s="10">
        <f>67.1745 * CHOOSE(CONTROL!$C$15, $E$9, 100%, $G$9) + CHOOSE(CONTROL!$C$38, 0.0357, 0)</f>
        <v>67.2102</v>
      </c>
      <c r="E954" s="28">
        <f>72.6677 * CHOOSE(CONTROL!$C$15, $E$9, 100%, $G$9) + CHOOSE(CONTROL!$C$38, 0.0357, 0)</f>
        <v>72.703400000000002</v>
      </c>
      <c r="F954" s="27">
        <f>72.6677 * CHOOSE(CONTROL!$C$15, $E$9, 100%, $G$9) + CHOOSE(CONTROL!$C$38, 0.0266, 0)</f>
        <v>72.694299999999998</v>
      </c>
      <c r="G954" s="10">
        <f>67.1807 * CHOOSE(CONTROL!$C$15, $E$9, 100%, $G$9) + CHOOSE(CONTROL!$C$38, 0.0357, 0)</f>
        <v>67.216400000000007</v>
      </c>
      <c r="H954" s="10">
        <f>67.1807 * CHOOSE(CONTROL!$C$15, $E$9, 100%, $G$9) + CHOOSE(CONTROL!$C$38, 0.0357, 0)</f>
        <v>67.216400000000007</v>
      </c>
      <c r="I954" s="10">
        <f>67.1823 * CHOOSE(CONTROL!$C$15, $E$9, 100%, $G$9) + CHOOSE(CONTROL!$C$38, 0.0357, 0)</f>
        <v>67.218000000000004</v>
      </c>
      <c r="J954" s="26">
        <f>503.5755</f>
        <v>503.57549999999998</v>
      </c>
    </row>
    <row r="955" spans="1:10" ht="15.75">
      <c r="A955" s="13">
        <v>70372</v>
      </c>
      <c r="B955" s="10">
        <f>72.9258 * CHOOSE(CONTROL!$C$15, $E$9, 100%, $G$9) + CHOOSE(CONTROL!$C$38, 0.0266, 0)</f>
        <v>72.952399999999997</v>
      </c>
      <c r="C955" s="10">
        <f>67.2842 * CHOOSE(CONTROL!$C$15, $E$9, 100%, $G$9) + CHOOSE(CONTROL!$C$38, 0.0357, 0)</f>
        <v>67.319900000000004</v>
      </c>
      <c r="D955" s="10">
        <f>67.2764 * CHOOSE(CONTROL!$C$15, $E$9, 100%, $G$9) + CHOOSE(CONTROL!$C$38, 0.0357, 0)</f>
        <v>67.312100000000001</v>
      </c>
      <c r="E955" s="28">
        <f>72.7696 * CHOOSE(CONTROL!$C$15, $E$9, 100%, $G$9) + CHOOSE(CONTROL!$C$38, 0.0357, 0)</f>
        <v>72.805300000000003</v>
      </c>
      <c r="F955" s="27">
        <f>72.7696 * CHOOSE(CONTROL!$C$15, $E$9, 100%, $G$9) + CHOOSE(CONTROL!$C$38, 0.0266, 0)</f>
        <v>72.796199999999999</v>
      </c>
      <c r="G955" s="10">
        <f>67.2826 * CHOOSE(CONTROL!$C$15, $E$9, 100%, $G$9) + CHOOSE(CONTROL!$C$38, 0.0357, 0)</f>
        <v>67.318300000000008</v>
      </c>
      <c r="H955" s="10">
        <f>67.2826 * CHOOSE(CONTROL!$C$15, $E$9, 100%, $G$9) + CHOOSE(CONTROL!$C$38, 0.0357, 0)</f>
        <v>67.318300000000008</v>
      </c>
      <c r="I955" s="10">
        <f>67.2842 * CHOOSE(CONTROL!$C$15, $E$9, 100%, $G$9) + CHOOSE(CONTROL!$C$38, 0.0357, 0)</f>
        <v>67.319900000000004</v>
      </c>
      <c r="J955" s="26">
        <f>491.8525</f>
        <v>491.85250000000002</v>
      </c>
    </row>
    <row r="956" spans="1:10" ht="15.75">
      <c r="A956" s="13">
        <v>70402</v>
      </c>
      <c r="B956" s="10">
        <f>73.2026 * CHOOSE(CONTROL!$C$15, $E$9, 100%, $G$9) + CHOOSE(CONTROL!$C$38, 0.0266, 0)</f>
        <v>73.229200000000006</v>
      </c>
      <c r="C956" s="10">
        <f>67.561 * CHOOSE(CONTROL!$C$15, $E$9, 100%, $G$9) + CHOOSE(CONTROL!$C$38, 0.0357, 0)</f>
        <v>67.596700000000013</v>
      </c>
      <c r="D956" s="10">
        <f>67.5532 * CHOOSE(CONTROL!$C$15, $E$9, 100%, $G$9) + CHOOSE(CONTROL!$C$38, 0.0357, 0)</f>
        <v>67.58890000000001</v>
      </c>
      <c r="E956" s="28">
        <f>73.0464 * CHOOSE(CONTROL!$C$15, $E$9, 100%, $G$9) + CHOOSE(CONTROL!$C$38, 0.0357, 0)</f>
        <v>73.082100000000011</v>
      </c>
      <c r="F956" s="27">
        <f>73.0464 * CHOOSE(CONTROL!$C$15, $E$9, 100%, $G$9) + CHOOSE(CONTROL!$C$38, 0.0266, 0)</f>
        <v>73.073000000000008</v>
      </c>
      <c r="G956" s="10">
        <f>67.5594 * CHOOSE(CONTROL!$C$15, $E$9, 100%, $G$9) + CHOOSE(CONTROL!$C$38, 0.0357, 0)</f>
        <v>67.595100000000002</v>
      </c>
      <c r="H956" s="10">
        <f>67.5594 * CHOOSE(CONTROL!$C$15, $E$9, 100%, $G$9) + CHOOSE(CONTROL!$C$38, 0.0357, 0)</f>
        <v>67.595100000000002</v>
      </c>
      <c r="I956" s="10">
        <f>67.561 * CHOOSE(CONTROL!$C$15, $E$9, 100%, $G$9) + CHOOSE(CONTROL!$C$38, 0.0357, 0)</f>
        <v>67.596700000000013</v>
      </c>
      <c r="J956" s="26">
        <f>475.5041</f>
        <v>475.50409999999999</v>
      </c>
    </row>
    <row r="957" spans="1:10" ht="15.75">
      <c r="A957" s="13">
        <v>70433</v>
      </c>
      <c r="B957" s="10">
        <f>73.4344 * CHOOSE(CONTROL!$C$15, $E$9, 100%, $G$9) + CHOOSE(CONTROL!$C$38, 0.0266, 0)</f>
        <v>73.460999999999999</v>
      </c>
      <c r="C957" s="10">
        <f>67.7928 * CHOOSE(CONTROL!$C$15, $E$9, 100%, $G$9) + CHOOSE(CONTROL!$C$38, 0.0357, 0)</f>
        <v>67.828500000000005</v>
      </c>
      <c r="D957" s="10">
        <f>67.785 * CHOOSE(CONTROL!$C$15, $E$9, 100%, $G$9) + CHOOSE(CONTROL!$C$38, 0.0357, 0)</f>
        <v>67.820700000000002</v>
      </c>
      <c r="E957" s="28">
        <f>73.2782 * CHOOSE(CONTROL!$C$15, $E$9, 100%, $G$9) + CHOOSE(CONTROL!$C$38, 0.0357, 0)</f>
        <v>73.313900000000004</v>
      </c>
      <c r="F957" s="27">
        <f>73.2782 * CHOOSE(CONTROL!$C$15, $E$9, 100%, $G$9) + CHOOSE(CONTROL!$C$38, 0.0266, 0)</f>
        <v>73.3048</v>
      </c>
      <c r="G957" s="10">
        <f>67.7912 * CHOOSE(CONTROL!$C$15, $E$9, 100%, $G$9) + CHOOSE(CONTROL!$C$38, 0.0357, 0)</f>
        <v>67.826900000000009</v>
      </c>
      <c r="H957" s="10">
        <f>67.7912 * CHOOSE(CONTROL!$C$15, $E$9, 100%, $G$9) + CHOOSE(CONTROL!$C$38, 0.0357, 0)</f>
        <v>67.826900000000009</v>
      </c>
      <c r="I957" s="10">
        <f>67.7928 * CHOOSE(CONTROL!$C$15, $E$9, 100%, $G$9) + CHOOSE(CONTROL!$C$38, 0.0357, 0)</f>
        <v>67.828500000000005</v>
      </c>
      <c r="J957" s="26">
        <f>459.0607</f>
        <v>459.0607</v>
      </c>
    </row>
    <row r="958" spans="1:10" ht="15.75">
      <c r="A958" s="13">
        <v>70463</v>
      </c>
      <c r="B958" s="10">
        <f>73.6279 * CHOOSE(CONTROL!$C$15, $E$9, 100%, $G$9) + CHOOSE(CONTROL!$C$38, 0.0266, 0)</f>
        <v>73.654499999999999</v>
      </c>
      <c r="C958" s="10">
        <f>67.9862 * CHOOSE(CONTROL!$C$15, $E$9, 100%, $G$9) + CHOOSE(CONTROL!$C$38, 0.0357, 0)</f>
        <v>68.021900000000002</v>
      </c>
      <c r="D958" s="10">
        <f>67.9784 * CHOOSE(CONTROL!$C$15, $E$9, 100%, $G$9) + CHOOSE(CONTROL!$C$38, 0.0357, 0)</f>
        <v>68.014099999999999</v>
      </c>
      <c r="E958" s="28">
        <f>73.4716 * CHOOSE(CONTROL!$C$15, $E$9, 100%, $G$9) + CHOOSE(CONTROL!$C$38, 0.0357, 0)</f>
        <v>73.507300000000001</v>
      </c>
      <c r="F958" s="27">
        <f>73.4716 * CHOOSE(CONTROL!$C$15, $E$9, 100%, $G$9) + CHOOSE(CONTROL!$C$38, 0.0266, 0)</f>
        <v>73.498199999999997</v>
      </c>
      <c r="G958" s="10">
        <f>67.9847 * CHOOSE(CONTROL!$C$15, $E$9, 100%, $G$9) + CHOOSE(CONTROL!$C$38, 0.0357, 0)</f>
        <v>68.020400000000009</v>
      </c>
      <c r="H958" s="10">
        <f>67.9847 * CHOOSE(CONTROL!$C$15, $E$9, 100%, $G$9) + CHOOSE(CONTROL!$C$38, 0.0357, 0)</f>
        <v>68.020400000000009</v>
      </c>
      <c r="I958" s="10">
        <f>67.9862 * CHOOSE(CONTROL!$C$15, $E$9, 100%, $G$9) + CHOOSE(CONTROL!$C$38, 0.0357, 0)</f>
        <v>68.021900000000002</v>
      </c>
      <c r="J958" s="26">
        <f>455.7898</f>
        <v>455.78980000000001</v>
      </c>
    </row>
    <row r="959" spans="1:10" ht="15.75">
      <c r="A959" s="13">
        <v>70494</v>
      </c>
      <c r="B959" s="10">
        <f>74.224 * CHOOSE(CONTROL!$C$15, $E$9, 100%, $G$9) + CHOOSE(CONTROL!$C$38, 0.0266, 0)</f>
        <v>74.250600000000006</v>
      </c>
      <c r="C959" s="10">
        <f>68.5823 * CHOOSE(CONTROL!$C$15, $E$9, 100%, $G$9) + CHOOSE(CONTROL!$C$38, 0.0357, 0)</f>
        <v>68.618000000000009</v>
      </c>
      <c r="D959" s="10">
        <f>68.5745 * CHOOSE(CONTROL!$C$15, $E$9, 100%, $G$9) + CHOOSE(CONTROL!$C$38, 0.0357, 0)</f>
        <v>68.610200000000006</v>
      </c>
      <c r="E959" s="28">
        <f>74.0677 * CHOOSE(CONTROL!$C$15, $E$9, 100%, $G$9) + CHOOSE(CONTROL!$C$38, 0.0357, 0)</f>
        <v>74.103400000000008</v>
      </c>
      <c r="F959" s="27">
        <f>74.0677 * CHOOSE(CONTROL!$C$15, $E$9, 100%, $G$9) + CHOOSE(CONTROL!$C$38, 0.0266, 0)</f>
        <v>74.094300000000004</v>
      </c>
      <c r="G959" s="10">
        <f>68.5807 * CHOOSE(CONTROL!$C$15, $E$9, 100%, $G$9) + CHOOSE(CONTROL!$C$38, 0.0357, 0)</f>
        <v>68.616399999999999</v>
      </c>
      <c r="H959" s="10">
        <f>68.5807 * CHOOSE(CONTROL!$C$15, $E$9, 100%, $G$9) + CHOOSE(CONTROL!$C$38, 0.0357, 0)</f>
        <v>68.616399999999999</v>
      </c>
      <c r="I959" s="10">
        <f>68.5823 * CHOOSE(CONTROL!$C$15, $E$9, 100%, $G$9) + CHOOSE(CONTROL!$C$38, 0.0357, 0)</f>
        <v>68.618000000000009</v>
      </c>
      <c r="J959" s="26">
        <f>442.2642</f>
        <v>442.26420000000002</v>
      </c>
    </row>
    <row r="960" spans="1:10" ht="15.75">
      <c r="A960" s="13">
        <v>70525</v>
      </c>
      <c r="B960" s="10">
        <f>75.9853 * CHOOSE(CONTROL!$C$15, $E$9, 100%, $G$9) + CHOOSE(CONTROL!$C$38, 0.0266, 0)</f>
        <v>76.011899999999997</v>
      </c>
      <c r="C960" s="10">
        <f>70.2468 * CHOOSE(CONTROL!$C$15, $E$9, 100%, $G$9) + CHOOSE(CONTROL!$C$38, 0.0357, 0)</f>
        <v>70.282499999999999</v>
      </c>
      <c r="D960" s="10">
        <f>70.2389 * CHOOSE(CONTROL!$C$15, $E$9, 100%, $G$9) + CHOOSE(CONTROL!$C$38, 0.0357, 0)</f>
        <v>70.274600000000007</v>
      </c>
      <c r="E960" s="28">
        <f>75.8291 * CHOOSE(CONTROL!$C$15, $E$9, 100%, $G$9) + CHOOSE(CONTROL!$C$38, 0.0357, 0)</f>
        <v>75.864800000000002</v>
      </c>
      <c r="F960" s="27">
        <f>75.8291 * CHOOSE(CONTROL!$C$15, $E$9, 100%, $G$9) + CHOOSE(CONTROL!$C$38, 0.0266, 0)</f>
        <v>75.855699999999999</v>
      </c>
      <c r="G960" s="10">
        <f>70.2452 * CHOOSE(CONTROL!$C$15, $E$9, 100%, $G$9) + CHOOSE(CONTROL!$C$38, 0.0357, 0)</f>
        <v>70.280900000000003</v>
      </c>
      <c r="H960" s="10">
        <f>70.2452 * CHOOSE(CONTROL!$C$15, $E$9, 100%, $G$9) + CHOOSE(CONTROL!$C$38, 0.0357, 0)</f>
        <v>70.280900000000003</v>
      </c>
      <c r="I960" s="10">
        <f>70.2468 * CHOOSE(CONTROL!$C$15, $E$9, 100%, $G$9) + CHOOSE(CONTROL!$C$38, 0.0357, 0)</f>
        <v>70.282499999999999</v>
      </c>
      <c r="J960" s="26">
        <f>439.3017</f>
        <v>439.30169999999998</v>
      </c>
    </row>
    <row r="961" spans="1:10" ht="15.75">
      <c r="A961" s="13">
        <v>70553</v>
      </c>
      <c r="B961" s="10">
        <f>76.2061 * CHOOSE(CONTROL!$C$15, $E$9, 100%, $G$9) + CHOOSE(CONTROL!$C$38, 0.0266, 0)</f>
        <v>76.232700000000008</v>
      </c>
      <c r="C961" s="10">
        <f>70.4675 * CHOOSE(CONTROL!$C$15, $E$9, 100%, $G$9) + CHOOSE(CONTROL!$C$38, 0.0357, 0)</f>
        <v>70.503200000000007</v>
      </c>
      <c r="D961" s="10">
        <f>70.4597 * CHOOSE(CONTROL!$C$15, $E$9, 100%, $G$9) + CHOOSE(CONTROL!$C$38, 0.0357, 0)</f>
        <v>70.495400000000004</v>
      </c>
      <c r="E961" s="28">
        <f>76.0498 * CHOOSE(CONTROL!$C$15, $E$9, 100%, $G$9) + CHOOSE(CONTROL!$C$38, 0.0357, 0)</f>
        <v>76.08550000000001</v>
      </c>
      <c r="F961" s="27">
        <f>76.0498 * CHOOSE(CONTROL!$C$15, $E$9, 100%, $G$9) + CHOOSE(CONTROL!$C$38, 0.0266, 0)</f>
        <v>76.076400000000007</v>
      </c>
      <c r="G961" s="10">
        <f>70.466 * CHOOSE(CONTROL!$C$15, $E$9, 100%, $G$9) + CHOOSE(CONTROL!$C$38, 0.0357, 0)</f>
        <v>70.5017</v>
      </c>
      <c r="H961" s="10">
        <f>70.466 * CHOOSE(CONTROL!$C$15, $E$9, 100%, $G$9) + CHOOSE(CONTROL!$C$38, 0.0357, 0)</f>
        <v>70.5017</v>
      </c>
      <c r="I961" s="10">
        <f>70.4675 * CHOOSE(CONTROL!$C$15, $E$9, 100%, $G$9) + CHOOSE(CONTROL!$C$38, 0.0357, 0)</f>
        <v>70.503200000000007</v>
      </c>
      <c r="J961" s="26">
        <f>438.0806</f>
        <v>438.0806</v>
      </c>
    </row>
    <row r="962" spans="1:10" ht="15.75">
      <c r="A962" s="13">
        <v>70584</v>
      </c>
      <c r="B962" s="10">
        <f>75.695 * CHOOSE(CONTROL!$C$15, $E$9, 100%, $G$9) + CHOOSE(CONTROL!$C$38, 0.0266, 0)</f>
        <v>75.721599999999995</v>
      </c>
      <c r="C962" s="10">
        <f>69.9565 * CHOOSE(CONTROL!$C$15, $E$9, 100%, $G$9) + CHOOSE(CONTROL!$C$38, 0.0357, 0)</f>
        <v>69.992200000000011</v>
      </c>
      <c r="D962" s="10">
        <f>69.9487 * CHOOSE(CONTROL!$C$15, $E$9, 100%, $G$9) + CHOOSE(CONTROL!$C$38, 0.0357, 0)</f>
        <v>69.984400000000008</v>
      </c>
      <c r="E962" s="28">
        <f>75.5388 * CHOOSE(CONTROL!$C$15, $E$9, 100%, $G$9) + CHOOSE(CONTROL!$C$38, 0.0357, 0)</f>
        <v>75.5745</v>
      </c>
      <c r="F962" s="27">
        <f>75.5388 * CHOOSE(CONTROL!$C$15, $E$9, 100%, $G$9) + CHOOSE(CONTROL!$C$38, 0.0266, 0)</f>
        <v>75.565399999999997</v>
      </c>
      <c r="G962" s="10">
        <f>69.9549 * CHOOSE(CONTROL!$C$15, $E$9, 100%, $G$9) + CHOOSE(CONTROL!$C$38, 0.0357, 0)</f>
        <v>69.990600000000001</v>
      </c>
      <c r="H962" s="10">
        <f>69.9549 * CHOOSE(CONTROL!$C$15, $E$9, 100%, $G$9) + CHOOSE(CONTROL!$C$38, 0.0357, 0)</f>
        <v>69.990600000000001</v>
      </c>
      <c r="I962" s="10">
        <f>69.9565 * CHOOSE(CONTROL!$C$15, $E$9, 100%, $G$9) + CHOOSE(CONTROL!$C$38, 0.0357, 0)</f>
        <v>69.992200000000011</v>
      </c>
      <c r="J962" s="26">
        <f>461.17</f>
        <v>461.17</v>
      </c>
    </row>
    <row r="963" spans="1:10" ht="15.75">
      <c r="A963" s="13">
        <v>70614</v>
      </c>
      <c r="B963" s="10">
        <f>75.1999 * CHOOSE(CONTROL!$C$15, $E$9, 100%, $G$9) + CHOOSE(CONTROL!$C$38, 0.0266, 0)</f>
        <v>75.226500000000001</v>
      </c>
      <c r="C963" s="10">
        <f>69.4613 * CHOOSE(CONTROL!$C$15, $E$9, 100%, $G$9) + CHOOSE(CONTROL!$C$38, 0.0357, 0)</f>
        <v>69.497</v>
      </c>
      <c r="D963" s="10">
        <f>69.4535 * CHOOSE(CONTROL!$C$15, $E$9, 100%, $G$9) + CHOOSE(CONTROL!$C$38, 0.0357, 0)</f>
        <v>69.489200000000011</v>
      </c>
      <c r="E963" s="28">
        <f>75.0436 * CHOOSE(CONTROL!$C$15, $E$9, 100%, $G$9) + CHOOSE(CONTROL!$C$38, 0.0357, 0)</f>
        <v>75.079300000000003</v>
      </c>
      <c r="F963" s="27">
        <f>75.0436 * CHOOSE(CONTROL!$C$15, $E$9, 100%, $G$9) + CHOOSE(CONTROL!$C$38, 0.0266, 0)</f>
        <v>75.0702</v>
      </c>
      <c r="G963" s="10">
        <f>69.4597 * CHOOSE(CONTROL!$C$15, $E$9, 100%, $G$9) + CHOOSE(CONTROL!$C$38, 0.0357, 0)</f>
        <v>69.495400000000004</v>
      </c>
      <c r="H963" s="10">
        <f>69.4597 * CHOOSE(CONTROL!$C$15, $E$9, 100%, $G$9) + CHOOSE(CONTROL!$C$38, 0.0357, 0)</f>
        <v>69.495400000000004</v>
      </c>
      <c r="I963" s="10">
        <f>69.4613 * CHOOSE(CONTROL!$C$15, $E$9, 100%, $G$9) + CHOOSE(CONTROL!$C$38, 0.0357, 0)</f>
        <v>69.497</v>
      </c>
      <c r="J963" s="26">
        <f>491.1114</f>
        <v>491.1114</v>
      </c>
    </row>
    <row r="964" spans="1:10" ht="15.75">
      <c r="A964" s="13">
        <v>70645</v>
      </c>
      <c r="B964" s="10">
        <f>74.6838 * CHOOSE(CONTROL!$C$15, $E$9, 100%, $G$9) + CHOOSE(CONTROL!$C$38, 0.0266, 0)</f>
        <v>74.710400000000007</v>
      </c>
      <c r="C964" s="10">
        <f>68.9452 * CHOOSE(CONTROL!$C$15, $E$9, 100%, $G$9) + CHOOSE(CONTROL!$C$38, 0.0357, 0)</f>
        <v>68.980900000000005</v>
      </c>
      <c r="D964" s="10">
        <f>68.9374 * CHOOSE(CONTROL!$C$15, $E$9, 100%, $G$9) + CHOOSE(CONTROL!$C$38, 0.0357, 0)</f>
        <v>68.973100000000002</v>
      </c>
      <c r="E964" s="28">
        <f>74.5275 * CHOOSE(CONTROL!$C$15, $E$9, 100%, $G$9) + CHOOSE(CONTROL!$C$38, 0.0357, 0)</f>
        <v>74.563200000000009</v>
      </c>
      <c r="F964" s="27">
        <f>74.5275 * CHOOSE(CONTROL!$C$15, $E$9, 100%, $G$9) + CHOOSE(CONTROL!$C$38, 0.0266, 0)</f>
        <v>74.554100000000005</v>
      </c>
      <c r="G964" s="10">
        <f>68.9436 * CHOOSE(CONTROL!$C$15, $E$9, 100%, $G$9) + CHOOSE(CONTROL!$C$38, 0.0357, 0)</f>
        <v>68.979300000000009</v>
      </c>
      <c r="H964" s="10">
        <f>68.9436 * CHOOSE(CONTROL!$C$15, $E$9, 100%, $G$9) + CHOOSE(CONTROL!$C$38, 0.0357, 0)</f>
        <v>68.979300000000009</v>
      </c>
      <c r="I964" s="10">
        <f>68.9452 * CHOOSE(CONTROL!$C$15, $E$9, 100%, $G$9) + CHOOSE(CONTROL!$C$38, 0.0357, 0)</f>
        <v>68.980900000000005</v>
      </c>
      <c r="J964" s="26">
        <f>507.5921</f>
        <v>507.59210000000002</v>
      </c>
    </row>
    <row r="965" spans="1:10" ht="15.75">
      <c r="A965" s="13">
        <v>70675</v>
      </c>
      <c r="B965" s="10">
        <f>74.3219 * CHOOSE(CONTROL!$C$15, $E$9, 100%, $G$9) + CHOOSE(CONTROL!$C$38, 0.0266, 0)</f>
        <v>74.348500000000001</v>
      </c>
      <c r="C965" s="10">
        <f>68.5834 * CHOOSE(CONTROL!$C$15, $E$9, 100%, $G$9) + CHOOSE(CONTROL!$C$38, 0.0357, 0)</f>
        <v>68.619100000000003</v>
      </c>
      <c r="D965" s="10">
        <f>68.5755 * CHOOSE(CONTROL!$C$15, $E$9, 100%, $G$9) + CHOOSE(CONTROL!$C$38, 0.0357, 0)</f>
        <v>68.611200000000011</v>
      </c>
      <c r="E965" s="28">
        <f>74.1657 * CHOOSE(CONTROL!$C$15, $E$9, 100%, $G$9) + CHOOSE(CONTROL!$C$38, 0.0357, 0)</f>
        <v>74.201400000000007</v>
      </c>
      <c r="F965" s="27">
        <f>74.1657 * CHOOSE(CONTROL!$C$15, $E$9, 100%, $G$9) + CHOOSE(CONTROL!$C$38, 0.0266, 0)</f>
        <v>74.192300000000003</v>
      </c>
      <c r="G965" s="10">
        <f>68.5818 * CHOOSE(CONTROL!$C$15, $E$9, 100%, $G$9) + CHOOSE(CONTROL!$C$38, 0.0357, 0)</f>
        <v>68.617500000000007</v>
      </c>
      <c r="H965" s="10">
        <f>68.5818 * CHOOSE(CONTROL!$C$15, $E$9, 100%, $G$9) + CHOOSE(CONTROL!$C$38, 0.0357, 0)</f>
        <v>68.617500000000007</v>
      </c>
      <c r="I965" s="10">
        <f>68.5834 * CHOOSE(CONTROL!$C$15, $E$9, 100%, $G$9) + CHOOSE(CONTROL!$C$38, 0.0357, 0)</f>
        <v>68.619100000000003</v>
      </c>
      <c r="J965" s="26">
        <f>514.906</f>
        <v>514.90599999999995</v>
      </c>
    </row>
    <row r="966" spans="1:10" ht="15.75">
      <c r="A966" s="13">
        <v>70706</v>
      </c>
      <c r="B966" s="10">
        <f>74.1154 * CHOOSE(CONTROL!$C$15, $E$9, 100%, $G$9) + CHOOSE(CONTROL!$C$38, 0.0266, 0)</f>
        <v>74.141999999999996</v>
      </c>
      <c r="C966" s="10">
        <f>68.3769 * CHOOSE(CONTROL!$C$15, $E$9, 100%, $G$9) + CHOOSE(CONTROL!$C$38, 0.0357, 0)</f>
        <v>68.412600000000012</v>
      </c>
      <c r="D966" s="10">
        <f>68.3691 * CHOOSE(CONTROL!$C$15, $E$9, 100%, $G$9) + CHOOSE(CONTROL!$C$38, 0.0357, 0)</f>
        <v>68.404800000000009</v>
      </c>
      <c r="E966" s="28">
        <f>73.9592 * CHOOSE(CONTROL!$C$15, $E$9, 100%, $G$9) + CHOOSE(CONTROL!$C$38, 0.0357, 0)</f>
        <v>73.994900000000001</v>
      </c>
      <c r="F966" s="27">
        <f>73.9592 * CHOOSE(CONTROL!$C$15, $E$9, 100%, $G$9) + CHOOSE(CONTROL!$C$38, 0.0266, 0)</f>
        <v>73.985799999999998</v>
      </c>
      <c r="G966" s="10">
        <f>68.3753 * CHOOSE(CONTROL!$C$15, $E$9, 100%, $G$9) + CHOOSE(CONTROL!$C$38, 0.0357, 0)</f>
        <v>68.411000000000001</v>
      </c>
      <c r="H966" s="10">
        <f>68.3753 * CHOOSE(CONTROL!$C$15, $E$9, 100%, $G$9) + CHOOSE(CONTROL!$C$38, 0.0357, 0)</f>
        <v>68.411000000000001</v>
      </c>
      <c r="I966" s="10">
        <f>68.3769 * CHOOSE(CONTROL!$C$15, $E$9, 100%, $G$9) + CHOOSE(CONTROL!$C$38, 0.0357, 0)</f>
        <v>68.412600000000012</v>
      </c>
      <c r="J966" s="26">
        <f>512.4979</f>
        <v>512.49789999999996</v>
      </c>
    </row>
    <row r="967" spans="1:10" ht="15.75">
      <c r="A967" s="13">
        <v>70737</v>
      </c>
      <c r="B967" s="10">
        <f>74.2173 * CHOOSE(CONTROL!$C$15, $E$9, 100%, $G$9) + CHOOSE(CONTROL!$C$38, 0.0266, 0)</f>
        <v>74.243899999999996</v>
      </c>
      <c r="C967" s="10">
        <f>68.4788 * CHOOSE(CONTROL!$C$15, $E$9, 100%, $G$9) + CHOOSE(CONTROL!$C$38, 0.0357, 0)</f>
        <v>68.514500000000012</v>
      </c>
      <c r="D967" s="10">
        <f>68.471 * CHOOSE(CONTROL!$C$15, $E$9, 100%, $G$9) + CHOOSE(CONTROL!$C$38, 0.0357, 0)</f>
        <v>68.506700000000009</v>
      </c>
      <c r="E967" s="28">
        <f>74.0611 * CHOOSE(CONTROL!$C$15, $E$9, 100%, $G$9) + CHOOSE(CONTROL!$C$38, 0.0357, 0)</f>
        <v>74.096800000000002</v>
      </c>
      <c r="F967" s="27">
        <f>74.0611 * CHOOSE(CONTROL!$C$15, $E$9, 100%, $G$9) + CHOOSE(CONTROL!$C$38, 0.0266, 0)</f>
        <v>74.087699999999998</v>
      </c>
      <c r="G967" s="10">
        <f>68.4772 * CHOOSE(CONTROL!$C$15, $E$9, 100%, $G$9) + CHOOSE(CONTROL!$C$38, 0.0357, 0)</f>
        <v>68.512900000000002</v>
      </c>
      <c r="H967" s="10">
        <f>68.4772 * CHOOSE(CONTROL!$C$15, $E$9, 100%, $G$9) + CHOOSE(CONTROL!$C$38, 0.0357, 0)</f>
        <v>68.512900000000002</v>
      </c>
      <c r="I967" s="10">
        <f>68.4788 * CHOOSE(CONTROL!$C$15, $E$9, 100%, $G$9) + CHOOSE(CONTROL!$C$38, 0.0357, 0)</f>
        <v>68.514500000000012</v>
      </c>
      <c r="J967" s="26">
        <f>500.5672</f>
        <v>500.56720000000001</v>
      </c>
    </row>
    <row r="968" spans="1:10" ht="15.75">
      <c r="A968" s="13">
        <v>70767</v>
      </c>
      <c r="B968" s="10">
        <f>74.4941 * CHOOSE(CONTROL!$C$15, $E$9, 100%, $G$9) + CHOOSE(CONTROL!$C$38, 0.0266, 0)</f>
        <v>74.520700000000005</v>
      </c>
      <c r="C968" s="10">
        <f>68.7556 * CHOOSE(CONTROL!$C$15, $E$9, 100%, $G$9) + CHOOSE(CONTROL!$C$38, 0.0357, 0)</f>
        <v>68.791300000000007</v>
      </c>
      <c r="D968" s="10">
        <f>68.7478 * CHOOSE(CONTROL!$C$15, $E$9, 100%, $G$9) + CHOOSE(CONTROL!$C$38, 0.0357, 0)</f>
        <v>68.783500000000004</v>
      </c>
      <c r="E968" s="28">
        <f>74.3379 * CHOOSE(CONTROL!$C$15, $E$9, 100%, $G$9) + CHOOSE(CONTROL!$C$38, 0.0357, 0)</f>
        <v>74.37360000000001</v>
      </c>
      <c r="F968" s="27">
        <f>74.3379 * CHOOSE(CONTROL!$C$15, $E$9, 100%, $G$9) + CHOOSE(CONTROL!$C$38, 0.0266, 0)</f>
        <v>74.364500000000007</v>
      </c>
      <c r="G968" s="10">
        <f>68.754 * CHOOSE(CONTROL!$C$15, $E$9, 100%, $G$9) + CHOOSE(CONTROL!$C$38, 0.0357, 0)</f>
        <v>68.789700000000011</v>
      </c>
      <c r="H968" s="10">
        <f>68.754 * CHOOSE(CONTROL!$C$15, $E$9, 100%, $G$9) + CHOOSE(CONTROL!$C$38, 0.0357, 0)</f>
        <v>68.789700000000011</v>
      </c>
      <c r="I968" s="10">
        <f>68.7556 * CHOOSE(CONTROL!$C$15, $E$9, 100%, $G$9) + CHOOSE(CONTROL!$C$38, 0.0357, 0)</f>
        <v>68.791300000000007</v>
      </c>
      <c r="J968" s="26">
        <f>483.9292</f>
        <v>483.92919999999998</v>
      </c>
    </row>
    <row r="969" spans="1:10" ht="15.75">
      <c r="A969" s="13">
        <v>70798</v>
      </c>
      <c r="B969" s="10">
        <f>74.726 * CHOOSE(CONTROL!$C$15, $E$9, 100%, $G$9) + CHOOSE(CONTROL!$C$38, 0.0266, 0)</f>
        <v>74.752600000000001</v>
      </c>
      <c r="C969" s="10">
        <f>68.9874 * CHOOSE(CONTROL!$C$15, $E$9, 100%, $G$9) + CHOOSE(CONTROL!$C$38, 0.0357, 0)</f>
        <v>69.023099999999999</v>
      </c>
      <c r="D969" s="10">
        <f>68.9796 * CHOOSE(CONTROL!$C$15, $E$9, 100%, $G$9) + CHOOSE(CONTROL!$C$38, 0.0357, 0)</f>
        <v>69.015300000000011</v>
      </c>
      <c r="E969" s="28">
        <f>74.5697 * CHOOSE(CONTROL!$C$15, $E$9, 100%, $G$9) + CHOOSE(CONTROL!$C$38, 0.0357, 0)</f>
        <v>74.605400000000003</v>
      </c>
      <c r="F969" s="27">
        <f>74.5697 * CHOOSE(CONTROL!$C$15, $E$9, 100%, $G$9) + CHOOSE(CONTROL!$C$38, 0.0266, 0)</f>
        <v>74.596299999999999</v>
      </c>
      <c r="G969" s="10">
        <f>68.9858 * CHOOSE(CONTROL!$C$15, $E$9, 100%, $G$9) + CHOOSE(CONTROL!$C$38, 0.0357, 0)</f>
        <v>69.021500000000003</v>
      </c>
      <c r="H969" s="10">
        <f>68.9858 * CHOOSE(CONTROL!$C$15, $E$9, 100%, $G$9) + CHOOSE(CONTROL!$C$38, 0.0357, 0)</f>
        <v>69.021500000000003</v>
      </c>
      <c r="I969" s="10">
        <f>68.9874 * CHOOSE(CONTROL!$C$15, $E$9, 100%, $G$9) + CHOOSE(CONTROL!$C$38, 0.0357, 0)</f>
        <v>69.023099999999999</v>
      </c>
      <c r="J969" s="26">
        <f>467.1944</f>
        <v>467.19439999999997</v>
      </c>
    </row>
    <row r="970" spans="1:10" ht="15.75">
      <c r="A970" s="13">
        <v>70828</v>
      </c>
      <c r="B970" s="10">
        <f>74.9194 * CHOOSE(CONTROL!$C$15, $E$9, 100%, $G$9) + CHOOSE(CONTROL!$C$38, 0.0266, 0)</f>
        <v>74.945999999999998</v>
      </c>
      <c r="C970" s="10">
        <f>69.1808 * CHOOSE(CONTROL!$C$15, $E$9, 100%, $G$9) + CHOOSE(CONTROL!$C$38, 0.0357, 0)</f>
        <v>69.216500000000011</v>
      </c>
      <c r="D970" s="10">
        <f>69.173 * CHOOSE(CONTROL!$C$15, $E$9, 100%, $G$9) + CHOOSE(CONTROL!$C$38, 0.0357, 0)</f>
        <v>69.208700000000007</v>
      </c>
      <c r="E970" s="28">
        <f>74.7631 * CHOOSE(CONTROL!$C$15, $E$9, 100%, $G$9) + CHOOSE(CONTROL!$C$38, 0.0357, 0)</f>
        <v>74.7988</v>
      </c>
      <c r="F970" s="27">
        <f>74.7631 * CHOOSE(CONTROL!$C$15, $E$9, 100%, $G$9) + CHOOSE(CONTROL!$C$38, 0.0266, 0)</f>
        <v>74.789699999999996</v>
      </c>
      <c r="G970" s="10">
        <f>69.1793 * CHOOSE(CONTROL!$C$15, $E$9, 100%, $G$9) + CHOOSE(CONTROL!$C$38, 0.0357, 0)</f>
        <v>69.215000000000003</v>
      </c>
      <c r="H970" s="10">
        <f>69.1793 * CHOOSE(CONTROL!$C$15, $E$9, 100%, $G$9) + CHOOSE(CONTROL!$C$38, 0.0357, 0)</f>
        <v>69.215000000000003</v>
      </c>
      <c r="I970" s="10">
        <f>69.1808 * CHOOSE(CONTROL!$C$15, $E$9, 100%, $G$9) + CHOOSE(CONTROL!$C$38, 0.0357, 0)</f>
        <v>69.216500000000011</v>
      </c>
      <c r="J970" s="26">
        <f>463.8655</f>
        <v>463.8655</v>
      </c>
    </row>
    <row r="971" spans="1:10" ht="15.75">
      <c r="A971" s="13">
        <v>70859</v>
      </c>
      <c r="B971" s="10">
        <f>75.5155 * CHOOSE(CONTROL!$C$15, $E$9, 100%, $G$9) + CHOOSE(CONTROL!$C$38, 0.0266, 0)</f>
        <v>75.542100000000005</v>
      </c>
      <c r="C971" s="10">
        <f>69.7769 * CHOOSE(CONTROL!$C$15, $E$9, 100%, $G$9) + CHOOSE(CONTROL!$C$38, 0.0357, 0)</f>
        <v>69.812600000000003</v>
      </c>
      <c r="D971" s="10">
        <f>69.7691 * CHOOSE(CONTROL!$C$15, $E$9, 100%, $G$9) + CHOOSE(CONTROL!$C$38, 0.0357, 0)</f>
        <v>69.8048</v>
      </c>
      <c r="E971" s="28">
        <f>75.3592 * CHOOSE(CONTROL!$C$15, $E$9, 100%, $G$9) + CHOOSE(CONTROL!$C$38, 0.0357, 0)</f>
        <v>75.394900000000007</v>
      </c>
      <c r="F971" s="27">
        <f>75.3592 * CHOOSE(CONTROL!$C$15, $E$9, 100%, $G$9) + CHOOSE(CONTROL!$C$38, 0.0266, 0)</f>
        <v>75.385800000000003</v>
      </c>
      <c r="G971" s="10">
        <f>69.7753 * CHOOSE(CONTROL!$C$15, $E$9, 100%, $G$9) + CHOOSE(CONTROL!$C$38, 0.0357, 0)</f>
        <v>69.811000000000007</v>
      </c>
      <c r="H971" s="10">
        <f>69.7753 * CHOOSE(CONTROL!$C$15, $E$9, 100%, $G$9) + CHOOSE(CONTROL!$C$38, 0.0357, 0)</f>
        <v>69.811000000000007</v>
      </c>
      <c r="I971" s="10">
        <f>69.7769 * CHOOSE(CONTROL!$C$15, $E$9, 100%, $G$9) + CHOOSE(CONTROL!$C$38, 0.0357, 0)</f>
        <v>69.812600000000003</v>
      </c>
      <c r="J971" s="26">
        <f>450.1003</f>
        <v>450.1003</v>
      </c>
    </row>
    <row r="972" spans="1:10" ht="15.75">
      <c r="A972" s="13">
        <v>70890</v>
      </c>
      <c r="B972" s="10">
        <f>77.2996 * CHOOSE(CONTROL!$C$15, $E$9, 100%, $G$9) + CHOOSE(CONTROL!$C$38, 0.0266, 0)</f>
        <v>77.3262</v>
      </c>
      <c r="C972" s="10">
        <f>71.4625 * CHOOSE(CONTROL!$C$15, $E$9, 100%, $G$9) + CHOOSE(CONTROL!$C$38, 0.0357, 0)</f>
        <v>71.498200000000011</v>
      </c>
      <c r="D972" s="10">
        <f>71.4546 * CHOOSE(CONTROL!$C$15, $E$9, 100%, $G$9) + CHOOSE(CONTROL!$C$38, 0.0357, 0)</f>
        <v>71.490300000000005</v>
      </c>
      <c r="E972" s="28">
        <f>77.1434 * CHOOSE(CONTROL!$C$15, $E$9, 100%, $G$9) + CHOOSE(CONTROL!$C$38, 0.0357, 0)</f>
        <v>77.179100000000005</v>
      </c>
      <c r="F972" s="27">
        <f>77.1434 * CHOOSE(CONTROL!$C$15, $E$9, 100%, $G$9) + CHOOSE(CONTROL!$C$38, 0.0266, 0)</f>
        <v>77.17</v>
      </c>
      <c r="G972" s="10">
        <f>71.4609 * CHOOSE(CONTROL!$C$15, $E$9, 100%, $G$9) + CHOOSE(CONTROL!$C$38, 0.0357, 0)</f>
        <v>71.496600000000001</v>
      </c>
      <c r="H972" s="10">
        <f>71.4609 * CHOOSE(CONTROL!$C$15, $E$9, 100%, $G$9) + CHOOSE(CONTROL!$C$38, 0.0357, 0)</f>
        <v>71.496600000000001</v>
      </c>
      <c r="I972" s="10">
        <f>71.4625 * CHOOSE(CONTROL!$C$15, $E$9, 100%, $G$9) + CHOOSE(CONTROL!$C$38, 0.0357, 0)</f>
        <v>71.498200000000011</v>
      </c>
      <c r="J972" s="26">
        <f>447.0853</f>
        <v>447.08530000000002</v>
      </c>
    </row>
    <row r="973" spans="1:10" ht="15.75">
      <c r="A973" s="13">
        <v>70918</v>
      </c>
      <c r="B973" s="10">
        <f>77.5204 * CHOOSE(CONTROL!$C$15, $E$9, 100%, $G$9) + CHOOSE(CONTROL!$C$38, 0.0266, 0)</f>
        <v>77.546999999999997</v>
      </c>
      <c r="C973" s="10">
        <f>71.6832 * CHOOSE(CONTROL!$C$15, $E$9, 100%, $G$9) + CHOOSE(CONTROL!$C$38, 0.0357, 0)</f>
        <v>71.718900000000005</v>
      </c>
      <c r="D973" s="10">
        <f>71.6754 * CHOOSE(CONTROL!$C$15, $E$9, 100%, $G$9) + CHOOSE(CONTROL!$C$38, 0.0357, 0)</f>
        <v>71.711100000000002</v>
      </c>
      <c r="E973" s="28">
        <f>77.3642 * CHOOSE(CONTROL!$C$15, $E$9, 100%, $G$9) + CHOOSE(CONTROL!$C$38, 0.0357, 0)</f>
        <v>77.399900000000002</v>
      </c>
      <c r="F973" s="27">
        <f>77.3642 * CHOOSE(CONTROL!$C$15, $E$9, 100%, $G$9) + CHOOSE(CONTROL!$C$38, 0.0266, 0)</f>
        <v>77.390799999999999</v>
      </c>
      <c r="G973" s="10">
        <f>71.6817 * CHOOSE(CONTROL!$C$15, $E$9, 100%, $G$9) + CHOOSE(CONTROL!$C$38, 0.0357, 0)</f>
        <v>71.717400000000012</v>
      </c>
      <c r="H973" s="10">
        <f>71.6817 * CHOOSE(CONTROL!$C$15, $E$9, 100%, $G$9) + CHOOSE(CONTROL!$C$38, 0.0357, 0)</f>
        <v>71.717400000000012</v>
      </c>
      <c r="I973" s="10">
        <f>71.6832 * CHOOSE(CONTROL!$C$15, $E$9, 100%, $G$9) + CHOOSE(CONTROL!$C$38, 0.0357, 0)</f>
        <v>71.718900000000005</v>
      </c>
      <c r="J973" s="26">
        <f>445.8425</f>
        <v>445.84249999999997</v>
      </c>
    </row>
    <row r="974" spans="1:10" ht="15.75">
      <c r="A974" s="13">
        <v>70949</v>
      </c>
      <c r="B974" s="10">
        <f>77.0094 * CHOOSE(CONTROL!$C$15, $E$9, 100%, $G$9) + CHOOSE(CONTROL!$C$38, 0.0266, 0)</f>
        <v>77.036000000000001</v>
      </c>
      <c r="C974" s="10">
        <f>71.1722 * CHOOSE(CONTROL!$C$15, $E$9, 100%, $G$9) + CHOOSE(CONTROL!$C$38, 0.0357, 0)</f>
        <v>71.207900000000009</v>
      </c>
      <c r="D974" s="10">
        <f>71.1644 * CHOOSE(CONTROL!$C$15, $E$9, 100%, $G$9) + CHOOSE(CONTROL!$C$38, 0.0357, 0)</f>
        <v>71.200100000000006</v>
      </c>
      <c r="E974" s="28">
        <f>76.8531 * CHOOSE(CONTROL!$C$15, $E$9, 100%, $G$9) + CHOOSE(CONTROL!$C$38, 0.0357, 0)</f>
        <v>76.888800000000003</v>
      </c>
      <c r="F974" s="27">
        <f>76.8531 * CHOOSE(CONTROL!$C$15, $E$9, 100%, $G$9) + CHOOSE(CONTROL!$C$38, 0.0266, 0)</f>
        <v>76.8797</v>
      </c>
      <c r="G974" s="10">
        <f>71.1706 * CHOOSE(CONTROL!$C$15, $E$9, 100%, $G$9) + CHOOSE(CONTROL!$C$38, 0.0357, 0)</f>
        <v>71.206299999999999</v>
      </c>
      <c r="H974" s="10">
        <f>71.1706 * CHOOSE(CONTROL!$C$15, $E$9, 100%, $G$9) + CHOOSE(CONTROL!$C$38, 0.0357, 0)</f>
        <v>71.206299999999999</v>
      </c>
      <c r="I974" s="10">
        <f>71.1722 * CHOOSE(CONTROL!$C$15, $E$9, 100%, $G$9) + CHOOSE(CONTROL!$C$38, 0.0357, 0)</f>
        <v>71.207900000000009</v>
      </c>
      <c r="J974" s="26">
        <f>469.341</f>
        <v>469.34100000000001</v>
      </c>
    </row>
    <row r="975" spans="1:10" ht="15.75">
      <c r="A975" s="13">
        <v>70979</v>
      </c>
      <c r="B975" s="10">
        <f>76.5142 * CHOOSE(CONTROL!$C$15, $E$9, 100%, $G$9) + CHOOSE(CONTROL!$C$38, 0.0266, 0)</f>
        <v>76.540800000000004</v>
      </c>
      <c r="C975" s="10">
        <f>70.677 * CHOOSE(CONTROL!$C$15, $E$9, 100%, $G$9) + CHOOSE(CONTROL!$C$38, 0.0357, 0)</f>
        <v>70.712700000000012</v>
      </c>
      <c r="D975" s="10">
        <f>70.6692 * CHOOSE(CONTROL!$C$15, $E$9, 100%, $G$9) + CHOOSE(CONTROL!$C$38, 0.0357, 0)</f>
        <v>70.704900000000009</v>
      </c>
      <c r="E975" s="28">
        <f>76.3579 * CHOOSE(CONTROL!$C$15, $E$9, 100%, $G$9) + CHOOSE(CONTROL!$C$38, 0.0357, 0)</f>
        <v>76.393600000000006</v>
      </c>
      <c r="F975" s="27">
        <f>76.3579 * CHOOSE(CONTROL!$C$15, $E$9, 100%, $G$9) + CHOOSE(CONTROL!$C$38, 0.0266, 0)</f>
        <v>76.384500000000003</v>
      </c>
      <c r="G975" s="10">
        <f>70.6754 * CHOOSE(CONTROL!$C$15, $E$9, 100%, $G$9) + CHOOSE(CONTROL!$C$38, 0.0357, 0)</f>
        <v>70.711100000000002</v>
      </c>
      <c r="H975" s="10">
        <f>70.6754 * CHOOSE(CONTROL!$C$15, $E$9, 100%, $G$9) + CHOOSE(CONTROL!$C$38, 0.0357, 0)</f>
        <v>70.711100000000002</v>
      </c>
      <c r="I975" s="10">
        <f>70.677 * CHOOSE(CONTROL!$C$15, $E$9, 100%, $G$9) + CHOOSE(CONTROL!$C$38, 0.0357, 0)</f>
        <v>70.712700000000012</v>
      </c>
      <c r="J975" s="26">
        <f>499.8129</f>
        <v>499.81290000000001</v>
      </c>
    </row>
    <row r="976" spans="1:10" ht="15.75">
      <c r="A976" s="13">
        <v>71010</v>
      </c>
      <c r="B976" s="10">
        <f>75.9981 * CHOOSE(CONTROL!$C$15, $E$9, 100%, $G$9) + CHOOSE(CONTROL!$C$38, 0.0266, 0)</f>
        <v>76.024699999999996</v>
      </c>
      <c r="C976" s="10">
        <f>70.1609 * CHOOSE(CONTROL!$C$15, $E$9, 100%, $G$9) + CHOOSE(CONTROL!$C$38, 0.0357, 0)</f>
        <v>70.196600000000004</v>
      </c>
      <c r="D976" s="10">
        <f>70.1531 * CHOOSE(CONTROL!$C$15, $E$9, 100%, $G$9) + CHOOSE(CONTROL!$C$38, 0.0357, 0)</f>
        <v>70.188800000000001</v>
      </c>
      <c r="E976" s="28">
        <f>75.8418 * CHOOSE(CONTROL!$C$15, $E$9, 100%, $G$9) + CHOOSE(CONTROL!$C$38, 0.0357, 0)</f>
        <v>75.877500000000012</v>
      </c>
      <c r="F976" s="27">
        <f>75.8418 * CHOOSE(CONTROL!$C$15, $E$9, 100%, $G$9) + CHOOSE(CONTROL!$C$38, 0.0266, 0)</f>
        <v>75.868400000000008</v>
      </c>
      <c r="G976" s="10">
        <f>70.1593 * CHOOSE(CONTROL!$C$15, $E$9, 100%, $G$9) + CHOOSE(CONTROL!$C$38, 0.0357, 0)</f>
        <v>70.195000000000007</v>
      </c>
      <c r="H976" s="10">
        <f>70.1593 * CHOOSE(CONTROL!$C$15, $E$9, 100%, $G$9) + CHOOSE(CONTROL!$C$38, 0.0357, 0)</f>
        <v>70.195000000000007</v>
      </c>
      <c r="I976" s="10">
        <f>70.1609 * CHOOSE(CONTROL!$C$15, $E$9, 100%, $G$9) + CHOOSE(CONTROL!$C$38, 0.0357, 0)</f>
        <v>70.196600000000004</v>
      </c>
      <c r="J976" s="26">
        <f>516.5857</f>
        <v>516.58569999999997</v>
      </c>
    </row>
    <row r="977" spans="1:10" ht="15.75">
      <c r="A977" s="13">
        <v>71040</v>
      </c>
      <c r="B977" s="10">
        <f>75.6363 * CHOOSE(CONTROL!$C$15, $E$9, 100%, $G$9) + CHOOSE(CONTROL!$C$38, 0.0266, 0)</f>
        <v>75.662900000000008</v>
      </c>
      <c r="C977" s="10">
        <f>69.7991 * CHOOSE(CONTROL!$C$15, $E$9, 100%, $G$9) + CHOOSE(CONTROL!$C$38, 0.0357, 0)</f>
        <v>69.834800000000001</v>
      </c>
      <c r="D977" s="10">
        <f>69.7913 * CHOOSE(CONTROL!$C$15, $E$9, 100%, $G$9) + CHOOSE(CONTROL!$C$38, 0.0357, 0)</f>
        <v>69.827000000000012</v>
      </c>
      <c r="E977" s="28">
        <f>75.48 * CHOOSE(CONTROL!$C$15, $E$9, 100%, $G$9) + CHOOSE(CONTROL!$C$38, 0.0357, 0)</f>
        <v>75.51570000000001</v>
      </c>
      <c r="F977" s="27">
        <f>75.48 * CHOOSE(CONTROL!$C$15, $E$9, 100%, $G$9) + CHOOSE(CONTROL!$C$38, 0.0266, 0)</f>
        <v>75.506600000000006</v>
      </c>
      <c r="G977" s="10">
        <f>69.7975 * CHOOSE(CONTROL!$C$15, $E$9, 100%, $G$9) + CHOOSE(CONTROL!$C$38, 0.0357, 0)</f>
        <v>69.833200000000005</v>
      </c>
      <c r="H977" s="10">
        <f>69.7975 * CHOOSE(CONTROL!$C$15, $E$9, 100%, $G$9) + CHOOSE(CONTROL!$C$38, 0.0357, 0)</f>
        <v>69.833200000000005</v>
      </c>
      <c r="I977" s="10">
        <f>69.7991 * CHOOSE(CONTROL!$C$15, $E$9, 100%, $G$9) + CHOOSE(CONTROL!$C$38, 0.0357, 0)</f>
        <v>69.834800000000001</v>
      </c>
      <c r="J977" s="26">
        <f>524.0291</f>
        <v>524.02909999999997</v>
      </c>
    </row>
    <row r="978" spans="1:10" ht="15.75">
      <c r="A978" s="13">
        <v>71071</v>
      </c>
      <c r="B978" s="10">
        <f>75.4298 * CHOOSE(CONTROL!$C$15, $E$9, 100%, $G$9) + CHOOSE(CONTROL!$C$38, 0.0266, 0)</f>
        <v>75.456400000000002</v>
      </c>
      <c r="C978" s="10">
        <f>69.5926 * CHOOSE(CONTROL!$C$15, $E$9, 100%, $G$9) + CHOOSE(CONTROL!$C$38, 0.0357, 0)</f>
        <v>69.62830000000001</v>
      </c>
      <c r="D978" s="10">
        <f>69.5848 * CHOOSE(CONTROL!$C$15, $E$9, 100%, $G$9) + CHOOSE(CONTROL!$C$38, 0.0357, 0)</f>
        <v>69.620500000000007</v>
      </c>
      <c r="E978" s="28">
        <f>75.2735 * CHOOSE(CONTROL!$C$15, $E$9, 100%, $G$9) + CHOOSE(CONTROL!$C$38, 0.0357, 0)</f>
        <v>75.309200000000004</v>
      </c>
      <c r="F978" s="27">
        <f>75.2735 * CHOOSE(CONTROL!$C$15, $E$9, 100%, $G$9) + CHOOSE(CONTROL!$C$38, 0.0266, 0)</f>
        <v>75.3001</v>
      </c>
      <c r="G978" s="10">
        <f>69.591 * CHOOSE(CONTROL!$C$15, $E$9, 100%, $G$9) + CHOOSE(CONTROL!$C$38, 0.0357, 0)</f>
        <v>69.6267</v>
      </c>
      <c r="H978" s="10">
        <f>69.591 * CHOOSE(CONTROL!$C$15, $E$9, 100%, $G$9) + CHOOSE(CONTROL!$C$38, 0.0357, 0)</f>
        <v>69.6267</v>
      </c>
      <c r="I978" s="10">
        <f>69.5926 * CHOOSE(CONTROL!$C$15, $E$9, 100%, $G$9) + CHOOSE(CONTROL!$C$38, 0.0357, 0)</f>
        <v>69.62830000000001</v>
      </c>
      <c r="J978" s="26">
        <f>521.5784</f>
        <v>521.57839999999999</v>
      </c>
    </row>
    <row r="979" spans="1:10" ht="15.75">
      <c r="A979" s="13">
        <v>71102</v>
      </c>
      <c r="B979" s="10">
        <f>75.5317 * CHOOSE(CONTROL!$C$15, $E$9, 100%, $G$9) + CHOOSE(CONTROL!$C$38, 0.0266, 0)</f>
        <v>75.558300000000003</v>
      </c>
      <c r="C979" s="10">
        <f>69.6945 * CHOOSE(CONTROL!$C$15, $E$9, 100%, $G$9) + CHOOSE(CONTROL!$C$38, 0.0357, 0)</f>
        <v>69.730200000000011</v>
      </c>
      <c r="D979" s="10">
        <f>69.6867 * CHOOSE(CONTROL!$C$15, $E$9, 100%, $G$9) + CHOOSE(CONTROL!$C$38, 0.0357, 0)</f>
        <v>69.722400000000007</v>
      </c>
      <c r="E979" s="28">
        <f>75.3754 * CHOOSE(CONTROL!$C$15, $E$9, 100%, $G$9) + CHOOSE(CONTROL!$C$38, 0.0357, 0)</f>
        <v>75.411100000000005</v>
      </c>
      <c r="F979" s="27">
        <f>75.3754 * CHOOSE(CONTROL!$C$15, $E$9, 100%, $G$9) + CHOOSE(CONTROL!$C$38, 0.0266, 0)</f>
        <v>75.402000000000001</v>
      </c>
      <c r="G979" s="10">
        <f>69.6929 * CHOOSE(CONTROL!$C$15, $E$9, 100%, $G$9) + CHOOSE(CONTROL!$C$38, 0.0357, 0)</f>
        <v>69.7286</v>
      </c>
      <c r="H979" s="10">
        <f>69.6929 * CHOOSE(CONTROL!$C$15, $E$9, 100%, $G$9) + CHOOSE(CONTROL!$C$38, 0.0357, 0)</f>
        <v>69.7286</v>
      </c>
      <c r="I979" s="10">
        <f>69.6945 * CHOOSE(CONTROL!$C$15, $E$9, 100%, $G$9) + CHOOSE(CONTROL!$C$38, 0.0357, 0)</f>
        <v>69.730200000000011</v>
      </c>
      <c r="J979" s="26">
        <f>509.4363</f>
        <v>509.43630000000002</v>
      </c>
    </row>
    <row r="980" spans="1:10" ht="15.75">
      <c r="A980" s="13">
        <v>71132</v>
      </c>
      <c r="B980" s="10">
        <f>75.8085 * CHOOSE(CONTROL!$C$15, $E$9, 100%, $G$9) + CHOOSE(CONTROL!$C$38, 0.0266, 0)</f>
        <v>75.835099999999997</v>
      </c>
      <c r="C980" s="10">
        <f>69.9713 * CHOOSE(CONTROL!$C$15, $E$9, 100%, $G$9) + CHOOSE(CONTROL!$C$38, 0.0357, 0)</f>
        <v>70.007000000000005</v>
      </c>
      <c r="D980" s="10">
        <f>69.9635 * CHOOSE(CONTROL!$C$15, $E$9, 100%, $G$9) + CHOOSE(CONTROL!$C$38, 0.0357, 0)</f>
        <v>69.999200000000002</v>
      </c>
      <c r="E980" s="28">
        <f>75.6522 * CHOOSE(CONTROL!$C$15, $E$9, 100%, $G$9) + CHOOSE(CONTROL!$C$38, 0.0357, 0)</f>
        <v>75.687899999999999</v>
      </c>
      <c r="F980" s="27">
        <f>75.6522 * CHOOSE(CONTROL!$C$15, $E$9, 100%, $G$9) + CHOOSE(CONTROL!$C$38, 0.0266, 0)</f>
        <v>75.678799999999995</v>
      </c>
      <c r="G980" s="10">
        <f>69.9697 * CHOOSE(CONTROL!$C$15, $E$9, 100%, $G$9) + CHOOSE(CONTROL!$C$38, 0.0357, 0)</f>
        <v>70.005400000000009</v>
      </c>
      <c r="H980" s="10">
        <f>69.9697 * CHOOSE(CONTROL!$C$15, $E$9, 100%, $G$9) + CHOOSE(CONTROL!$C$38, 0.0357, 0)</f>
        <v>70.005400000000009</v>
      </c>
      <c r="I980" s="10">
        <f>69.9713 * CHOOSE(CONTROL!$C$15, $E$9, 100%, $G$9) + CHOOSE(CONTROL!$C$38, 0.0357, 0)</f>
        <v>70.007000000000005</v>
      </c>
      <c r="J980" s="26">
        <f>492.5035</f>
        <v>492.50349999999997</v>
      </c>
    </row>
    <row r="981" spans="1:10" ht="15.75">
      <c r="A981" s="13">
        <v>71163</v>
      </c>
      <c r="B981" s="10">
        <f>76.0403 * CHOOSE(CONTROL!$C$15, $E$9, 100%, $G$9) + CHOOSE(CONTROL!$C$38, 0.0266, 0)</f>
        <v>76.066900000000004</v>
      </c>
      <c r="C981" s="10">
        <f>70.2031 * CHOOSE(CONTROL!$C$15, $E$9, 100%, $G$9) + CHOOSE(CONTROL!$C$38, 0.0357, 0)</f>
        <v>70.238800000000012</v>
      </c>
      <c r="D981" s="10">
        <f>70.1953 * CHOOSE(CONTROL!$C$15, $E$9, 100%, $G$9) + CHOOSE(CONTROL!$C$38, 0.0357, 0)</f>
        <v>70.231000000000009</v>
      </c>
      <c r="E981" s="28">
        <f>75.884 * CHOOSE(CONTROL!$C$15, $E$9, 100%, $G$9) + CHOOSE(CONTROL!$C$38, 0.0357, 0)</f>
        <v>75.919700000000006</v>
      </c>
      <c r="F981" s="27">
        <f>75.884 * CHOOSE(CONTROL!$C$15, $E$9, 100%, $G$9) + CHOOSE(CONTROL!$C$38, 0.0266, 0)</f>
        <v>75.910600000000002</v>
      </c>
      <c r="G981" s="10">
        <f>70.2015 * CHOOSE(CONTROL!$C$15, $E$9, 100%, $G$9) + CHOOSE(CONTROL!$C$38, 0.0357, 0)</f>
        <v>70.237200000000001</v>
      </c>
      <c r="H981" s="10">
        <f>70.2015 * CHOOSE(CONTROL!$C$15, $E$9, 100%, $G$9) + CHOOSE(CONTROL!$C$38, 0.0357, 0)</f>
        <v>70.237200000000001</v>
      </c>
      <c r="I981" s="10">
        <f>70.2031 * CHOOSE(CONTROL!$C$15, $E$9, 100%, $G$9) + CHOOSE(CONTROL!$C$38, 0.0357, 0)</f>
        <v>70.238800000000012</v>
      </c>
      <c r="J981" s="26">
        <f>475.4722</f>
        <v>475.47219999999999</v>
      </c>
    </row>
    <row r="982" spans="1:10" ht="15.75">
      <c r="A982" s="13">
        <v>71193</v>
      </c>
      <c r="B982" s="10">
        <f>76.2337 * CHOOSE(CONTROL!$C$15, $E$9, 100%, $G$9) + CHOOSE(CONTROL!$C$38, 0.0266, 0)</f>
        <v>76.260300000000001</v>
      </c>
      <c r="C982" s="10">
        <f>70.3965 * CHOOSE(CONTROL!$C$15, $E$9, 100%, $G$9) + CHOOSE(CONTROL!$C$38, 0.0357, 0)</f>
        <v>70.432200000000009</v>
      </c>
      <c r="D982" s="10">
        <f>70.3887 * CHOOSE(CONTROL!$C$15, $E$9, 100%, $G$9) + CHOOSE(CONTROL!$C$38, 0.0357, 0)</f>
        <v>70.424400000000006</v>
      </c>
      <c r="E982" s="28">
        <f>76.0775 * CHOOSE(CONTROL!$C$15, $E$9, 100%, $G$9) + CHOOSE(CONTROL!$C$38, 0.0357, 0)</f>
        <v>76.113200000000006</v>
      </c>
      <c r="F982" s="27">
        <f>76.0775 * CHOOSE(CONTROL!$C$15, $E$9, 100%, $G$9) + CHOOSE(CONTROL!$C$38, 0.0266, 0)</f>
        <v>76.104100000000003</v>
      </c>
      <c r="G982" s="10">
        <f>70.395 * CHOOSE(CONTROL!$C$15, $E$9, 100%, $G$9) + CHOOSE(CONTROL!$C$38, 0.0357, 0)</f>
        <v>70.430700000000002</v>
      </c>
      <c r="H982" s="10">
        <f>70.395 * CHOOSE(CONTROL!$C$15, $E$9, 100%, $G$9) + CHOOSE(CONTROL!$C$38, 0.0357, 0)</f>
        <v>70.430700000000002</v>
      </c>
      <c r="I982" s="10">
        <f>70.3965 * CHOOSE(CONTROL!$C$15, $E$9, 100%, $G$9) + CHOOSE(CONTROL!$C$38, 0.0357, 0)</f>
        <v>70.432200000000009</v>
      </c>
      <c r="J982" s="26">
        <f>472.0843</f>
        <v>472.08429999999998</v>
      </c>
    </row>
    <row r="983" spans="1:10" ht="15.75">
      <c r="A983" s="13">
        <v>71224</v>
      </c>
      <c r="B983" s="10">
        <f>76.8298 * CHOOSE(CONTROL!$C$15, $E$9, 100%, $G$9) + CHOOSE(CONTROL!$C$38, 0.0266, 0)</f>
        <v>76.856400000000008</v>
      </c>
      <c r="C983" s="10">
        <f>70.9926 * CHOOSE(CONTROL!$C$15, $E$9, 100%, $G$9) + CHOOSE(CONTROL!$C$38, 0.0357, 0)</f>
        <v>71.028300000000002</v>
      </c>
      <c r="D983" s="10">
        <f>70.9848 * CHOOSE(CONTROL!$C$15, $E$9, 100%, $G$9) + CHOOSE(CONTROL!$C$38, 0.0357, 0)</f>
        <v>71.020500000000013</v>
      </c>
      <c r="E983" s="28">
        <f>76.6736 * CHOOSE(CONTROL!$C$15, $E$9, 100%, $G$9) + CHOOSE(CONTROL!$C$38, 0.0357, 0)</f>
        <v>76.709299999999999</v>
      </c>
      <c r="F983" s="27">
        <f>76.6736 * CHOOSE(CONTROL!$C$15, $E$9, 100%, $G$9) + CHOOSE(CONTROL!$C$38, 0.0266, 0)</f>
        <v>76.700199999999995</v>
      </c>
      <c r="G983" s="10">
        <f>70.9911 * CHOOSE(CONTROL!$C$15, $E$9, 100%, $G$9) + CHOOSE(CONTROL!$C$38, 0.0357, 0)</f>
        <v>71.026800000000009</v>
      </c>
      <c r="H983" s="10">
        <f>70.9911 * CHOOSE(CONTROL!$C$15, $E$9, 100%, $G$9) + CHOOSE(CONTROL!$C$38, 0.0357, 0)</f>
        <v>71.026800000000009</v>
      </c>
      <c r="I983" s="10">
        <f>70.9926 * CHOOSE(CONTROL!$C$15, $E$9, 100%, $G$9) + CHOOSE(CONTROL!$C$38, 0.0357, 0)</f>
        <v>71.028300000000002</v>
      </c>
      <c r="J983" s="26">
        <f>458.0752</f>
        <v>458.0752</v>
      </c>
    </row>
    <row r="984" spans="1:10" ht="15.75">
      <c r="A984" s="13">
        <v>71255</v>
      </c>
      <c r="B984" s="10">
        <f>78.6372 * CHOOSE(CONTROL!$C$15, $E$9, 100%, $G$9) + CHOOSE(CONTROL!$C$38, 0.0266, 0)</f>
        <v>78.663800000000009</v>
      </c>
      <c r="C984" s="10">
        <f>72.6996 * CHOOSE(CONTROL!$C$15, $E$9, 100%, $G$9) + CHOOSE(CONTROL!$C$38, 0.0357, 0)</f>
        <v>72.735300000000009</v>
      </c>
      <c r="D984" s="10">
        <f>72.6918 * CHOOSE(CONTROL!$C$15, $E$9, 100%, $G$9) + CHOOSE(CONTROL!$C$38, 0.0357, 0)</f>
        <v>72.727500000000006</v>
      </c>
      <c r="E984" s="28">
        <f>78.481 * CHOOSE(CONTROL!$C$15, $E$9, 100%, $G$9) + CHOOSE(CONTROL!$C$38, 0.0357, 0)</f>
        <v>78.5167</v>
      </c>
      <c r="F984" s="27">
        <f>78.481 * CHOOSE(CONTROL!$C$15, $E$9, 100%, $G$9) + CHOOSE(CONTROL!$C$38, 0.0266, 0)</f>
        <v>78.507599999999996</v>
      </c>
      <c r="G984" s="10">
        <f>72.6981 * CHOOSE(CONTROL!$C$15, $E$9, 100%, $G$9) + CHOOSE(CONTROL!$C$38, 0.0357, 0)</f>
        <v>72.733800000000002</v>
      </c>
      <c r="H984" s="10">
        <f>72.6981 * CHOOSE(CONTROL!$C$15, $E$9, 100%, $G$9) + CHOOSE(CONTROL!$C$38, 0.0357, 0)</f>
        <v>72.733800000000002</v>
      </c>
      <c r="I984" s="10">
        <f>72.6996 * CHOOSE(CONTROL!$C$15, $E$9, 100%, $G$9) + CHOOSE(CONTROL!$C$38, 0.0357, 0)</f>
        <v>72.735300000000009</v>
      </c>
      <c r="J984" s="26">
        <f>455.0068</f>
        <v>455.0068</v>
      </c>
    </row>
    <row r="985" spans="1:10" ht="15.75">
      <c r="A985" s="13">
        <v>71283</v>
      </c>
      <c r="B985" s="10">
        <f>78.858 * CHOOSE(CONTROL!$C$15, $E$9, 100%, $G$9) + CHOOSE(CONTROL!$C$38, 0.0266, 0)</f>
        <v>78.884600000000006</v>
      </c>
      <c r="C985" s="10">
        <f>72.9204 * CHOOSE(CONTROL!$C$15, $E$9, 100%, $G$9) + CHOOSE(CONTROL!$C$38, 0.0357, 0)</f>
        <v>72.956100000000006</v>
      </c>
      <c r="D985" s="10">
        <f>72.9126 * CHOOSE(CONTROL!$C$15, $E$9, 100%, $G$9) + CHOOSE(CONTROL!$C$38, 0.0357, 0)</f>
        <v>72.948300000000003</v>
      </c>
      <c r="E985" s="28">
        <f>78.7017 * CHOOSE(CONTROL!$C$15, $E$9, 100%, $G$9) + CHOOSE(CONTROL!$C$38, 0.0357, 0)</f>
        <v>78.737400000000008</v>
      </c>
      <c r="F985" s="27">
        <f>78.7017 * CHOOSE(CONTROL!$C$15, $E$9, 100%, $G$9) + CHOOSE(CONTROL!$C$38, 0.0266, 0)</f>
        <v>78.728300000000004</v>
      </c>
      <c r="G985" s="10">
        <f>72.9188 * CHOOSE(CONTROL!$C$15, $E$9, 100%, $G$9) + CHOOSE(CONTROL!$C$38, 0.0357, 0)</f>
        <v>72.95450000000001</v>
      </c>
      <c r="H985" s="10">
        <f>72.9188 * CHOOSE(CONTROL!$C$15, $E$9, 100%, $G$9) + CHOOSE(CONTROL!$C$38, 0.0357, 0)</f>
        <v>72.95450000000001</v>
      </c>
      <c r="I985" s="10">
        <f>72.9204 * CHOOSE(CONTROL!$C$15, $E$9, 100%, $G$9) + CHOOSE(CONTROL!$C$38, 0.0357, 0)</f>
        <v>72.956100000000006</v>
      </c>
      <c r="J985" s="26">
        <f>453.742</f>
        <v>453.74200000000002</v>
      </c>
    </row>
    <row r="986" spans="1:10" ht="15.75">
      <c r="A986" s="13">
        <v>71314</v>
      </c>
      <c r="B986" s="10">
        <f>78.3469 * CHOOSE(CONTROL!$C$15, $E$9, 100%, $G$9) + CHOOSE(CONTROL!$C$38, 0.0266, 0)</f>
        <v>78.373500000000007</v>
      </c>
      <c r="C986" s="10">
        <f>72.4094 * CHOOSE(CONTROL!$C$15, $E$9, 100%, $G$9) + CHOOSE(CONTROL!$C$38, 0.0357, 0)</f>
        <v>72.445100000000011</v>
      </c>
      <c r="D986" s="10">
        <f>72.4016 * CHOOSE(CONTROL!$C$15, $E$9, 100%, $G$9) + CHOOSE(CONTROL!$C$38, 0.0357, 0)</f>
        <v>72.437300000000008</v>
      </c>
      <c r="E986" s="28">
        <f>78.1907 * CHOOSE(CONTROL!$C$15, $E$9, 100%, $G$9) + CHOOSE(CONTROL!$C$38, 0.0357, 0)</f>
        <v>78.226400000000012</v>
      </c>
      <c r="F986" s="27">
        <f>78.1907 * CHOOSE(CONTROL!$C$15, $E$9, 100%, $G$9) + CHOOSE(CONTROL!$C$38, 0.0266, 0)</f>
        <v>78.217300000000009</v>
      </c>
      <c r="G986" s="10">
        <f>72.4078 * CHOOSE(CONTROL!$C$15, $E$9, 100%, $G$9) + CHOOSE(CONTROL!$C$38, 0.0357, 0)</f>
        <v>72.4435</v>
      </c>
      <c r="H986" s="10">
        <f>72.4078 * CHOOSE(CONTROL!$C$15, $E$9, 100%, $G$9) + CHOOSE(CONTROL!$C$38, 0.0357, 0)</f>
        <v>72.4435</v>
      </c>
      <c r="I986" s="10">
        <f>72.4094 * CHOOSE(CONTROL!$C$15, $E$9, 100%, $G$9) + CHOOSE(CONTROL!$C$38, 0.0357, 0)</f>
        <v>72.445100000000011</v>
      </c>
      <c r="J986" s="26">
        <f>477.6569</f>
        <v>477.65690000000001</v>
      </c>
    </row>
    <row r="987" spans="1:10" ht="15.75">
      <c r="A987" s="13">
        <v>71344</v>
      </c>
      <c r="B987" s="10">
        <f>77.8518 * CHOOSE(CONTROL!$C$15, $E$9, 100%, $G$9) + CHOOSE(CONTROL!$C$38, 0.0266, 0)</f>
        <v>77.878399999999999</v>
      </c>
      <c r="C987" s="10">
        <f>71.9142 * CHOOSE(CONTROL!$C$15, $E$9, 100%, $G$9) + CHOOSE(CONTROL!$C$38, 0.0357, 0)</f>
        <v>71.9499</v>
      </c>
      <c r="D987" s="10">
        <f>71.9064 * CHOOSE(CONTROL!$C$15, $E$9, 100%, $G$9) + CHOOSE(CONTROL!$C$38, 0.0357, 0)</f>
        <v>71.942100000000011</v>
      </c>
      <c r="E987" s="28">
        <f>77.6955 * CHOOSE(CONTROL!$C$15, $E$9, 100%, $G$9) + CHOOSE(CONTROL!$C$38, 0.0357, 0)</f>
        <v>77.731200000000001</v>
      </c>
      <c r="F987" s="27">
        <f>77.6955 * CHOOSE(CONTROL!$C$15, $E$9, 100%, $G$9) + CHOOSE(CONTROL!$C$38, 0.0266, 0)</f>
        <v>77.722099999999998</v>
      </c>
      <c r="G987" s="10">
        <f>71.9126 * CHOOSE(CONTROL!$C$15, $E$9, 100%, $G$9) + CHOOSE(CONTROL!$C$38, 0.0357, 0)</f>
        <v>71.948300000000003</v>
      </c>
      <c r="H987" s="10">
        <f>71.9126 * CHOOSE(CONTROL!$C$15, $E$9, 100%, $G$9) + CHOOSE(CONTROL!$C$38, 0.0357, 0)</f>
        <v>71.948300000000003</v>
      </c>
      <c r="I987" s="10">
        <f>71.9142 * CHOOSE(CONTROL!$C$15, $E$9, 100%, $G$9) + CHOOSE(CONTROL!$C$38, 0.0357, 0)</f>
        <v>71.9499</v>
      </c>
      <c r="J987" s="26">
        <f>508.6687</f>
        <v>508.6687</v>
      </c>
    </row>
    <row r="988" spans="1:10" ht="15.75">
      <c r="A988" s="13">
        <v>71375</v>
      </c>
      <c r="B988" s="10">
        <f>77.3356 * CHOOSE(CONTROL!$C$15, $E$9, 100%, $G$9) + CHOOSE(CONTROL!$C$38, 0.0266, 0)</f>
        <v>77.362200000000001</v>
      </c>
      <c r="C988" s="10">
        <f>71.3981 * CHOOSE(CONTROL!$C$15, $E$9, 100%, $G$9) + CHOOSE(CONTROL!$C$38, 0.0357, 0)</f>
        <v>71.433800000000005</v>
      </c>
      <c r="D988" s="10">
        <f>71.3903 * CHOOSE(CONTROL!$C$15, $E$9, 100%, $G$9) + CHOOSE(CONTROL!$C$38, 0.0357, 0)</f>
        <v>71.426000000000002</v>
      </c>
      <c r="E988" s="28">
        <f>77.1794 * CHOOSE(CONTROL!$C$15, $E$9, 100%, $G$9) + CHOOSE(CONTROL!$C$38, 0.0357, 0)</f>
        <v>77.215100000000007</v>
      </c>
      <c r="F988" s="27">
        <f>77.1794 * CHOOSE(CONTROL!$C$15, $E$9, 100%, $G$9) + CHOOSE(CONTROL!$C$38, 0.0266, 0)</f>
        <v>77.206000000000003</v>
      </c>
      <c r="G988" s="10">
        <f>71.3965 * CHOOSE(CONTROL!$C$15, $E$9, 100%, $G$9) + CHOOSE(CONTROL!$C$38, 0.0357, 0)</f>
        <v>71.432200000000009</v>
      </c>
      <c r="H988" s="10">
        <f>71.3965 * CHOOSE(CONTROL!$C$15, $E$9, 100%, $G$9) + CHOOSE(CONTROL!$C$38, 0.0357, 0)</f>
        <v>71.432200000000009</v>
      </c>
      <c r="I988" s="10">
        <f>71.3981 * CHOOSE(CONTROL!$C$15, $E$9, 100%, $G$9) + CHOOSE(CONTROL!$C$38, 0.0357, 0)</f>
        <v>71.433800000000005</v>
      </c>
      <c r="J988" s="26">
        <f>525.7386</f>
        <v>525.73860000000002</v>
      </c>
    </row>
    <row r="989" spans="1:10" ht="15.75">
      <c r="A989" s="13">
        <v>71405</v>
      </c>
      <c r="B989" s="10">
        <f>76.9738 * CHOOSE(CONTROL!$C$15, $E$9, 100%, $G$9) + CHOOSE(CONTROL!$C$38, 0.0266, 0)</f>
        <v>77.000399999999999</v>
      </c>
      <c r="C989" s="10">
        <f>71.0362 * CHOOSE(CONTROL!$C$15, $E$9, 100%, $G$9) + CHOOSE(CONTROL!$C$38, 0.0357, 0)</f>
        <v>71.071899999999999</v>
      </c>
      <c r="D989" s="10">
        <f>71.0284 * CHOOSE(CONTROL!$C$15, $E$9, 100%, $G$9) + CHOOSE(CONTROL!$C$38, 0.0357, 0)</f>
        <v>71.06410000000001</v>
      </c>
      <c r="E989" s="28">
        <f>76.8176 * CHOOSE(CONTROL!$C$15, $E$9, 100%, $G$9) + CHOOSE(CONTROL!$C$38, 0.0357, 0)</f>
        <v>76.853300000000004</v>
      </c>
      <c r="F989" s="27">
        <f>76.8176 * CHOOSE(CONTROL!$C$15, $E$9, 100%, $G$9) + CHOOSE(CONTROL!$C$38, 0.0266, 0)</f>
        <v>76.844200000000001</v>
      </c>
      <c r="G989" s="10">
        <f>71.0347 * CHOOSE(CONTROL!$C$15, $E$9, 100%, $G$9) + CHOOSE(CONTROL!$C$38, 0.0357, 0)</f>
        <v>71.070400000000006</v>
      </c>
      <c r="H989" s="10">
        <f>71.0347 * CHOOSE(CONTROL!$C$15, $E$9, 100%, $G$9) + CHOOSE(CONTROL!$C$38, 0.0357, 0)</f>
        <v>71.070400000000006</v>
      </c>
      <c r="I989" s="10">
        <f>71.0362 * CHOOSE(CONTROL!$C$15, $E$9, 100%, $G$9) + CHOOSE(CONTROL!$C$38, 0.0357, 0)</f>
        <v>71.071899999999999</v>
      </c>
      <c r="J989" s="26">
        <f>533.3139</f>
        <v>533.31389999999999</v>
      </c>
    </row>
    <row r="990" spans="1:10" ht="15.75">
      <c r="A990" s="13">
        <v>71436</v>
      </c>
      <c r="B990" s="10">
        <f>76.7673 * CHOOSE(CONTROL!$C$15, $E$9, 100%, $G$9) + CHOOSE(CONTROL!$C$38, 0.0266, 0)</f>
        <v>76.793900000000008</v>
      </c>
      <c r="C990" s="10">
        <f>70.8298 * CHOOSE(CONTROL!$C$15, $E$9, 100%, $G$9) + CHOOSE(CONTROL!$C$38, 0.0357, 0)</f>
        <v>70.865500000000011</v>
      </c>
      <c r="D990" s="10">
        <f>70.8219 * CHOOSE(CONTROL!$C$15, $E$9, 100%, $G$9) + CHOOSE(CONTROL!$C$38, 0.0357, 0)</f>
        <v>70.857600000000005</v>
      </c>
      <c r="E990" s="28">
        <f>76.6111 * CHOOSE(CONTROL!$C$15, $E$9, 100%, $G$9) + CHOOSE(CONTROL!$C$38, 0.0357, 0)</f>
        <v>76.646799999999999</v>
      </c>
      <c r="F990" s="27">
        <f>76.6111 * CHOOSE(CONTROL!$C$15, $E$9, 100%, $G$9) + CHOOSE(CONTROL!$C$38, 0.0266, 0)</f>
        <v>76.637699999999995</v>
      </c>
      <c r="G990" s="10">
        <f>70.8282 * CHOOSE(CONTROL!$C$15, $E$9, 100%, $G$9) + CHOOSE(CONTROL!$C$38, 0.0357, 0)</f>
        <v>70.863900000000001</v>
      </c>
      <c r="H990" s="10">
        <f>70.8282 * CHOOSE(CONTROL!$C$15, $E$9, 100%, $G$9) + CHOOSE(CONTROL!$C$38, 0.0357, 0)</f>
        <v>70.863900000000001</v>
      </c>
      <c r="I990" s="10">
        <f>70.8298 * CHOOSE(CONTROL!$C$15, $E$9, 100%, $G$9) + CHOOSE(CONTROL!$C$38, 0.0357, 0)</f>
        <v>70.865500000000011</v>
      </c>
      <c r="J990" s="26">
        <f>530.8198</f>
        <v>530.81979999999999</v>
      </c>
    </row>
    <row r="991" spans="1:10" ht="15.75">
      <c r="A991" s="13">
        <v>71467</v>
      </c>
      <c r="B991" s="10">
        <f>76.8692 * CHOOSE(CONTROL!$C$15, $E$9, 100%, $G$9) + CHOOSE(CONTROL!$C$38, 0.0266, 0)</f>
        <v>76.895800000000008</v>
      </c>
      <c r="C991" s="10">
        <f>70.9317 * CHOOSE(CONTROL!$C$15, $E$9, 100%, $G$9) + CHOOSE(CONTROL!$C$38, 0.0357, 0)</f>
        <v>70.967400000000012</v>
      </c>
      <c r="D991" s="10">
        <f>70.9239 * CHOOSE(CONTROL!$C$15, $E$9, 100%, $G$9) + CHOOSE(CONTROL!$C$38, 0.0357, 0)</f>
        <v>70.959600000000009</v>
      </c>
      <c r="E991" s="28">
        <f>76.713 * CHOOSE(CONTROL!$C$15, $E$9, 100%, $G$9) + CHOOSE(CONTROL!$C$38, 0.0357, 0)</f>
        <v>76.748699999999999</v>
      </c>
      <c r="F991" s="27">
        <f>76.713 * CHOOSE(CONTROL!$C$15, $E$9, 100%, $G$9) + CHOOSE(CONTROL!$C$38, 0.0266, 0)</f>
        <v>76.739599999999996</v>
      </c>
      <c r="G991" s="10">
        <f>70.9301 * CHOOSE(CONTROL!$C$15, $E$9, 100%, $G$9) + CHOOSE(CONTROL!$C$38, 0.0357, 0)</f>
        <v>70.965800000000002</v>
      </c>
      <c r="H991" s="10">
        <f>70.9301 * CHOOSE(CONTROL!$C$15, $E$9, 100%, $G$9) + CHOOSE(CONTROL!$C$38, 0.0357, 0)</f>
        <v>70.965800000000002</v>
      </c>
      <c r="I991" s="10">
        <f>70.9317 * CHOOSE(CONTROL!$C$15, $E$9, 100%, $G$9) + CHOOSE(CONTROL!$C$38, 0.0357, 0)</f>
        <v>70.967400000000012</v>
      </c>
      <c r="J991" s="26">
        <f>518.4625</f>
        <v>518.46249999999998</v>
      </c>
    </row>
    <row r="992" spans="1:10" ht="15.75">
      <c r="A992" s="13">
        <v>71497</v>
      </c>
      <c r="B992" s="10">
        <f>77.146 * CHOOSE(CONTROL!$C$15, $E$9, 100%, $G$9) + CHOOSE(CONTROL!$C$38, 0.0266, 0)</f>
        <v>77.172600000000003</v>
      </c>
      <c r="C992" s="10">
        <f>71.2085 * CHOOSE(CONTROL!$C$15, $E$9, 100%, $G$9) + CHOOSE(CONTROL!$C$38, 0.0357, 0)</f>
        <v>71.244200000000006</v>
      </c>
      <c r="D992" s="10">
        <f>71.2007 * CHOOSE(CONTROL!$C$15, $E$9, 100%, $G$9) + CHOOSE(CONTROL!$C$38, 0.0357, 0)</f>
        <v>71.236400000000003</v>
      </c>
      <c r="E992" s="28">
        <f>76.9898 * CHOOSE(CONTROL!$C$15, $E$9, 100%, $G$9) + CHOOSE(CONTROL!$C$38, 0.0357, 0)</f>
        <v>77.025500000000008</v>
      </c>
      <c r="F992" s="27">
        <f>76.9898 * CHOOSE(CONTROL!$C$15, $E$9, 100%, $G$9) + CHOOSE(CONTROL!$C$38, 0.0266, 0)</f>
        <v>77.016400000000004</v>
      </c>
      <c r="G992" s="10">
        <f>71.2069 * CHOOSE(CONTROL!$C$15, $E$9, 100%, $G$9) + CHOOSE(CONTROL!$C$38, 0.0357, 0)</f>
        <v>71.24260000000001</v>
      </c>
      <c r="H992" s="10">
        <f>71.2069 * CHOOSE(CONTROL!$C$15, $E$9, 100%, $G$9) + CHOOSE(CONTROL!$C$38, 0.0357, 0)</f>
        <v>71.24260000000001</v>
      </c>
      <c r="I992" s="10">
        <f>71.2085 * CHOOSE(CONTROL!$C$15, $E$9, 100%, $G$9) + CHOOSE(CONTROL!$C$38, 0.0357, 0)</f>
        <v>71.244200000000006</v>
      </c>
      <c r="J992" s="26">
        <f>501.2297</f>
        <v>501.22969999999998</v>
      </c>
    </row>
    <row r="993" spans="1:10" ht="15.75">
      <c r="A993" s="13">
        <v>71528</v>
      </c>
      <c r="B993" s="10">
        <f>77.3778 * CHOOSE(CONTROL!$C$15, $E$9, 100%, $G$9) + CHOOSE(CONTROL!$C$38, 0.0266, 0)</f>
        <v>77.404399999999995</v>
      </c>
      <c r="C993" s="10">
        <f>71.4403 * CHOOSE(CONTROL!$C$15, $E$9, 100%, $G$9) + CHOOSE(CONTROL!$C$38, 0.0357, 0)</f>
        <v>71.475999999999999</v>
      </c>
      <c r="D993" s="10">
        <f>71.4325 * CHOOSE(CONTROL!$C$15, $E$9, 100%, $G$9) + CHOOSE(CONTROL!$C$38, 0.0357, 0)</f>
        <v>71.46820000000001</v>
      </c>
      <c r="E993" s="28">
        <f>77.2216 * CHOOSE(CONTROL!$C$15, $E$9, 100%, $G$9) + CHOOSE(CONTROL!$C$38, 0.0357, 0)</f>
        <v>77.257300000000001</v>
      </c>
      <c r="F993" s="27">
        <f>77.2216 * CHOOSE(CONTROL!$C$15, $E$9, 100%, $G$9) + CHOOSE(CONTROL!$C$38, 0.0266, 0)</f>
        <v>77.248199999999997</v>
      </c>
      <c r="G993" s="10">
        <f>71.4387 * CHOOSE(CONTROL!$C$15, $E$9, 100%, $G$9) + CHOOSE(CONTROL!$C$38, 0.0357, 0)</f>
        <v>71.474400000000003</v>
      </c>
      <c r="H993" s="10">
        <f>71.4387 * CHOOSE(CONTROL!$C$15, $E$9, 100%, $G$9) + CHOOSE(CONTROL!$C$38, 0.0357, 0)</f>
        <v>71.474400000000003</v>
      </c>
      <c r="I993" s="10">
        <f>71.4403 * CHOOSE(CONTROL!$C$15, $E$9, 100%, $G$9) + CHOOSE(CONTROL!$C$38, 0.0357, 0)</f>
        <v>71.475999999999999</v>
      </c>
      <c r="J993" s="26">
        <f>483.8967</f>
        <v>483.89670000000001</v>
      </c>
    </row>
    <row r="994" spans="1:10" ht="15.75">
      <c r="A994" s="13">
        <v>71558</v>
      </c>
      <c r="B994" s="10">
        <f>77.5713 * CHOOSE(CONTROL!$C$15, $E$9, 100%, $G$9) + CHOOSE(CONTROL!$C$38, 0.0266, 0)</f>
        <v>77.597899999999996</v>
      </c>
      <c r="C994" s="10">
        <f>71.6337 * CHOOSE(CONTROL!$C$15, $E$9, 100%, $G$9) + CHOOSE(CONTROL!$C$38, 0.0357, 0)</f>
        <v>71.66940000000001</v>
      </c>
      <c r="D994" s="10">
        <f>71.6259 * CHOOSE(CONTROL!$C$15, $E$9, 100%, $G$9) + CHOOSE(CONTROL!$C$38, 0.0357, 0)</f>
        <v>71.661600000000007</v>
      </c>
      <c r="E994" s="28">
        <f>77.415 * CHOOSE(CONTROL!$C$15, $E$9, 100%, $G$9) + CHOOSE(CONTROL!$C$38, 0.0357, 0)</f>
        <v>77.450700000000012</v>
      </c>
      <c r="F994" s="27">
        <f>77.415 * CHOOSE(CONTROL!$C$15, $E$9, 100%, $G$9) + CHOOSE(CONTROL!$C$38, 0.0266, 0)</f>
        <v>77.441600000000008</v>
      </c>
      <c r="G994" s="10">
        <f>71.6322 * CHOOSE(CONTROL!$C$15, $E$9, 100%, $G$9) + CHOOSE(CONTROL!$C$38, 0.0357, 0)</f>
        <v>71.667900000000003</v>
      </c>
      <c r="H994" s="10">
        <f>71.6322 * CHOOSE(CONTROL!$C$15, $E$9, 100%, $G$9) + CHOOSE(CONTROL!$C$38, 0.0357, 0)</f>
        <v>71.667900000000003</v>
      </c>
      <c r="I994" s="10">
        <f>71.6337 * CHOOSE(CONTROL!$C$15, $E$9, 100%, $G$9) + CHOOSE(CONTROL!$C$38, 0.0357, 0)</f>
        <v>71.66940000000001</v>
      </c>
      <c r="J994" s="26">
        <f>480.4488</f>
        <v>480.44880000000001</v>
      </c>
    </row>
    <row r="995" spans="1:10" ht="15.75">
      <c r="A995" s="13">
        <v>71589</v>
      </c>
      <c r="B995" s="10">
        <f>78.1674 * CHOOSE(CONTROL!$C$15, $E$9, 100%, $G$9) + CHOOSE(CONTROL!$C$38, 0.0266, 0)</f>
        <v>78.194000000000003</v>
      </c>
      <c r="C995" s="10">
        <f>72.2298 * CHOOSE(CONTROL!$C$15, $E$9, 100%, $G$9) + CHOOSE(CONTROL!$C$38, 0.0357, 0)</f>
        <v>72.265500000000003</v>
      </c>
      <c r="D995" s="10">
        <f>72.222 * CHOOSE(CONTROL!$C$15, $E$9, 100%, $G$9) + CHOOSE(CONTROL!$C$38, 0.0357, 0)</f>
        <v>72.2577</v>
      </c>
      <c r="E995" s="28">
        <f>78.0111 * CHOOSE(CONTROL!$C$15, $E$9, 100%, $G$9) + CHOOSE(CONTROL!$C$38, 0.0357, 0)</f>
        <v>78.046800000000005</v>
      </c>
      <c r="F995" s="27">
        <f>78.0111 * CHOOSE(CONTROL!$C$15, $E$9, 100%, $G$9) + CHOOSE(CONTROL!$C$38, 0.0266, 0)</f>
        <v>78.037700000000001</v>
      </c>
      <c r="G995" s="10">
        <f>72.2282 * CHOOSE(CONTROL!$C$15, $E$9, 100%, $G$9) + CHOOSE(CONTROL!$C$38, 0.0357, 0)</f>
        <v>72.263900000000007</v>
      </c>
      <c r="H995" s="10">
        <f>72.2282 * CHOOSE(CONTROL!$C$15, $E$9, 100%, $G$9) + CHOOSE(CONTROL!$C$38, 0.0357, 0)</f>
        <v>72.263900000000007</v>
      </c>
      <c r="I995" s="10">
        <f>72.2298 * CHOOSE(CONTROL!$C$15, $E$9, 100%, $G$9) + CHOOSE(CONTROL!$C$38, 0.0357, 0)</f>
        <v>72.265500000000003</v>
      </c>
      <c r="J995" s="26">
        <f>466.1914</f>
        <v>466.19139999999999</v>
      </c>
    </row>
    <row r="996" spans="1:10" ht="15.75">
      <c r="A996" s="13">
        <v>71620</v>
      </c>
      <c r="B996" s="10">
        <f>79.9984 * CHOOSE(CONTROL!$C$15, $E$9, 100%, $G$9) + CHOOSE(CONTROL!$C$38, 0.0266, 0)</f>
        <v>80.025000000000006</v>
      </c>
      <c r="C996" s="10">
        <f>73.9587 * CHOOSE(CONTROL!$C$15, $E$9, 100%, $G$9) + CHOOSE(CONTROL!$C$38, 0.0357, 0)</f>
        <v>73.994399999999999</v>
      </c>
      <c r="D996" s="10">
        <f>73.9509 * CHOOSE(CONTROL!$C$15, $E$9, 100%, $G$9) + CHOOSE(CONTROL!$C$38, 0.0357, 0)</f>
        <v>73.98660000000001</v>
      </c>
      <c r="E996" s="28">
        <f>79.8421 * CHOOSE(CONTROL!$C$15, $E$9, 100%, $G$9) + CHOOSE(CONTROL!$C$38, 0.0357, 0)</f>
        <v>79.877800000000008</v>
      </c>
      <c r="F996" s="27">
        <f>79.8421 * CHOOSE(CONTROL!$C$15, $E$9, 100%, $G$9) + CHOOSE(CONTROL!$C$38, 0.0266, 0)</f>
        <v>79.868700000000004</v>
      </c>
      <c r="G996" s="10">
        <f>73.9571 * CHOOSE(CONTROL!$C$15, $E$9, 100%, $G$9) + CHOOSE(CONTROL!$C$38, 0.0357, 0)</f>
        <v>73.992800000000003</v>
      </c>
      <c r="H996" s="10">
        <f>73.9571 * CHOOSE(CONTROL!$C$15, $E$9, 100%, $G$9) + CHOOSE(CONTROL!$C$38, 0.0357, 0)</f>
        <v>73.992800000000003</v>
      </c>
      <c r="I996" s="10">
        <f>73.9587 * CHOOSE(CONTROL!$C$15, $E$9, 100%, $G$9) + CHOOSE(CONTROL!$C$38, 0.0357, 0)</f>
        <v>73.994399999999999</v>
      </c>
      <c r="J996" s="26">
        <f>463.0687</f>
        <v>463.06869999999998</v>
      </c>
    </row>
    <row r="997" spans="1:10" ht="15.75">
      <c r="A997" s="13">
        <v>71649</v>
      </c>
      <c r="B997" s="10">
        <f>80.2192 * CHOOSE(CONTROL!$C$15, $E$9, 100%, $G$9) + CHOOSE(CONTROL!$C$38, 0.0266, 0)</f>
        <v>80.245800000000003</v>
      </c>
      <c r="C997" s="10">
        <f>74.1794 * CHOOSE(CONTROL!$C$15, $E$9, 100%, $G$9) + CHOOSE(CONTROL!$C$38, 0.0357, 0)</f>
        <v>74.215100000000007</v>
      </c>
      <c r="D997" s="10">
        <f>74.1716 * CHOOSE(CONTROL!$C$15, $E$9, 100%, $G$9) + CHOOSE(CONTROL!$C$38, 0.0357, 0)</f>
        <v>74.207300000000004</v>
      </c>
      <c r="E997" s="28">
        <f>80.0629 * CHOOSE(CONTROL!$C$15, $E$9, 100%, $G$9) + CHOOSE(CONTROL!$C$38, 0.0357, 0)</f>
        <v>80.098600000000005</v>
      </c>
      <c r="F997" s="27">
        <f>80.0629 * CHOOSE(CONTROL!$C$15, $E$9, 100%, $G$9) + CHOOSE(CONTROL!$C$38, 0.0266, 0)</f>
        <v>80.089500000000001</v>
      </c>
      <c r="G997" s="10">
        <f>74.1779 * CHOOSE(CONTROL!$C$15, $E$9, 100%, $G$9) + CHOOSE(CONTROL!$C$38, 0.0357, 0)</f>
        <v>74.2136</v>
      </c>
      <c r="H997" s="10">
        <f>74.1779 * CHOOSE(CONTROL!$C$15, $E$9, 100%, $G$9) + CHOOSE(CONTROL!$C$38, 0.0357, 0)</f>
        <v>74.2136</v>
      </c>
      <c r="I997" s="10">
        <f>74.1794 * CHOOSE(CONTROL!$C$15, $E$9, 100%, $G$9) + CHOOSE(CONTROL!$C$38, 0.0357, 0)</f>
        <v>74.215100000000007</v>
      </c>
      <c r="J997" s="26">
        <f>461.7815</f>
        <v>461.78149999999999</v>
      </c>
    </row>
    <row r="998" spans="1:10" ht="15.75">
      <c r="A998" s="13">
        <v>71680</v>
      </c>
      <c r="B998" s="10">
        <f>79.7081 * CHOOSE(CONTROL!$C$15, $E$9, 100%, $G$9) + CHOOSE(CONTROL!$C$38, 0.0266, 0)</f>
        <v>79.734700000000004</v>
      </c>
      <c r="C998" s="10">
        <f>73.6684 * CHOOSE(CONTROL!$C$15, $E$9, 100%, $G$9) + CHOOSE(CONTROL!$C$38, 0.0357, 0)</f>
        <v>73.704100000000011</v>
      </c>
      <c r="D998" s="10">
        <f>73.6606 * CHOOSE(CONTROL!$C$15, $E$9, 100%, $G$9) + CHOOSE(CONTROL!$C$38, 0.0357, 0)</f>
        <v>73.696300000000008</v>
      </c>
      <c r="E998" s="28">
        <f>79.5519 * CHOOSE(CONTROL!$C$15, $E$9, 100%, $G$9) + CHOOSE(CONTROL!$C$38, 0.0357, 0)</f>
        <v>79.587600000000009</v>
      </c>
      <c r="F998" s="27">
        <f>79.5519 * CHOOSE(CONTROL!$C$15, $E$9, 100%, $G$9) + CHOOSE(CONTROL!$C$38, 0.0266, 0)</f>
        <v>79.578500000000005</v>
      </c>
      <c r="G998" s="10">
        <f>73.6669 * CHOOSE(CONTROL!$C$15, $E$9, 100%, $G$9) + CHOOSE(CONTROL!$C$38, 0.0357, 0)</f>
        <v>73.702600000000004</v>
      </c>
      <c r="H998" s="10">
        <f>73.6669 * CHOOSE(CONTROL!$C$15, $E$9, 100%, $G$9) + CHOOSE(CONTROL!$C$38, 0.0357, 0)</f>
        <v>73.702600000000004</v>
      </c>
      <c r="I998" s="10">
        <f>73.6684 * CHOOSE(CONTROL!$C$15, $E$9, 100%, $G$9) + CHOOSE(CONTROL!$C$38, 0.0357, 0)</f>
        <v>73.704100000000011</v>
      </c>
      <c r="J998" s="26">
        <f>486.12</f>
        <v>486.12</v>
      </c>
    </row>
    <row r="999" spans="1:10" ht="15.75">
      <c r="A999" s="13">
        <v>71710</v>
      </c>
      <c r="B999" s="10">
        <f>79.2129 * CHOOSE(CONTROL!$C$15, $E$9, 100%, $G$9) + CHOOSE(CONTROL!$C$38, 0.0266, 0)</f>
        <v>79.239500000000007</v>
      </c>
      <c r="C999" s="10">
        <f>73.1732 * CHOOSE(CONTROL!$C$15, $E$9, 100%, $G$9) + CHOOSE(CONTROL!$C$38, 0.0357, 0)</f>
        <v>73.2089</v>
      </c>
      <c r="D999" s="10">
        <f>73.1654 * CHOOSE(CONTROL!$C$15, $E$9, 100%, $G$9) + CHOOSE(CONTROL!$C$38, 0.0357, 0)</f>
        <v>73.201100000000011</v>
      </c>
      <c r="E999" s="28">
        <f>79.0567 * CHOOSE(CONTROL!$C$15, $E$9, 100%, $G$9) + CHOOSE(CONTROL!$C$38, 0.0357, 0)</f>
        <v>79.092400000000012</v>
      </c>
      <c r="F999" s="27">
        <f>79.0567 * CHOOSE(CONTROL!$C$15, $E$9, 100%, $G$9) + CHOOSE(CONTROL!$C$38, 0.0266, 0)</f>
        <v>79.083300000000008</v>
      </c>
      <c r="G999" s="10">
        <f>73.1717 * CHOOSE(CONTROL!$C$15, $E$9, 100%, $G$9) + CHOOSE(CONTROL!$C$38, 0.0357, 0)</f>
        <v>73.207400000000007</v>
      </c>
      <c r="H999" s="10">
        <f>73.1717 * CHOOSE(CONTROL!$C$15, $E$9, 100%, $G$9) + CHOOSE(CONTROL!$C$38, 0.0357, 0)</f>
        <v>73.207400000000007</v>
      </c>
      <c r="I999" s="10">
        <f>73.1732 * CHOOSE(CONTROL!$C$15, $E$9, 100%, $G$9) + CHOOSE(CONTROL!$C$38, 0.0357, 0)</f>
        <v>73.2089</v>
      </c>
      <c r="J999" s="26">
        <f>517.6813</f>
        <v>517.68129999999996</v>
      </c>
    </row>
    <row r="1000" spans="1:10" ht="15.75">
      <c r="A1000" s="13">
        <v>71741</v>
      </c>
      <c r="B1000" s="10">
        <f>78.6968 * CHOOSE(CONTROL!$C$15, $E$9, 100%, $G$9) + CHOOSE(CONTROL!$C$38, 0.0266, 0)</f>
        <v>78.723399999999998</v>
      </c>
      <c r="C1000" s="10">
        <f>72.6571 * CHOOSE(CONTROL!$C$15, $E$9, 100%, $G$9) + CHOOSE(CONTROL!$C$38, 0.0357, 0)</f>
        <v>72.692800000000005</v>
      </c>
      <c r="D1000" s="10">
        <f>72.6493 * CHOOSE(CONTROL!$C$15, $E$9, 100%, $G$9) + CHOOSE(CONTROL!$C$38, 0.0357, 0)</f>
        <v>72.685000000000002</v>
      </c>
      <c r="E1000" s="28">
        <f>78.5406 * CHOOSE(CONTROL!$C$15, $E$9, 100%, $G$9) + CHOOSE(CONTROL!$C$38, 0.0357, 0)</f>
        <v>78.576300000000003</v>
      </c>
      <c r="F1000" s="27">
        <f>78.5406 * CHOOSE(CONTROL!$C$15, $E$9, 100%, $G$9) + CHOOSE(CONTROL!$C$38, 0.0266, 0)</f>
        <v>78.5672</v>
      </c>
      <c r="G1000" s="10">
        <f>72.6556 * CHOOSE(CONTROL!$C$15, $E$9, 100%, $G$9) + CHOOSE(CONTROL!$C$38, 0.0357, 0)</f>
        <v>72.691300000000012</v>
      </c>
      <c r="H1000" s="10">
        <f>72.6556 * CHOOSE(CONTROL!$C$15, $E$9, 100%, $G$9) + CHOOSE(CONTROL!$C$38, 0.0357, 0)</f>
        <v>72.691300000000012</v>
      </c>
      <c r="I1000" s="10">
        <f>72.6571 * CHOOSE(CONTROL!$C$15, $E$9, 100%, $G$9) + CHOOSE(CONTROL!$C$38, 0.0357, 0)</f>
        <v>72.692800000000005</v>
      </c>
      <c r="J1000" s="26">
        <f>535.0537</f>
        <v>535.05370000000005</v>
      </c>
    </row>
    <row r="1001" spans="1:10" ht="15.75">
      <c r="A1001" s="13">
        <v>71771</v>
      </c>
      <c r="B1001" s="10">
        <f>78.335 * CHOOSE(CONTROL!$C$15, $E$9, 100%, $G$9) + CHOOSE(CONTROL!$C$38, 0.0266, 0)</f>
        <v>78.361599999999996</v>
      </c>
      <c r="C1001" s="10">
        <f>72.2953 * CHOOSE(CONTROL!$C$15, $E$9, 100%, $G$9) + CHOOSE(CONTROL!$C$38, 0.0357, 0)</f>
        <v>72.331000000000003</v>
      </c>
      <c r="D1001" s="10">
        <f>72.2875 * CHOOSE(CONTROL!$C$15, $E$9, 100%, $G$9) + CHOOSE(CONTROL!$C$38, 0.0357, 0)</f>
        <v>72.3232</v>
      </c>
      <c r="E1001" s="28">
        <f>78.1787 * CHOOSE(CONTROL!$C$15, $E$9, 100%, $G$9) + CHOOSE(CONTROL!$C$38, 0.0357, 0)</f>
        <v>78.214400000000012</v>
      </c>
      <c r="F1001" s="27">
        <f>78.1787 * CHOOSE(CONTROL!$C$15, $E$9, 100%, $G$9) + CHOOSE(CONTROL!$C$38, 0.0266, 0)</f>
        <v>78.205300000000008</v>
      </c>
      <c r="G1001" s="10">
        <f>72.2937 * CHOOSE(CONTROL!$C$15, $E$9, 100%, $G$9) + CHOOSE(CONTROL!$C$38, 0.0357, 0)</f>
        <v>72.329400000000007</v>
      </c>
      <c r="H1001" s="10">
        <f>72.2937 * CHOOSE(CONTROL!$C$15, $E$9, 100%, $G$9) + CHOOSE(CONTROL!$C$38, 0.0357, 0)</f>
        <v>72.329400000000007</v>
      </c>
      <c r="I1001" s="10">
        <f>72.2953 * CHOOSE(CONTROL!$C$15, $E$9, 100%, $G$9) + CHOOSE(CONTROL!$C$38, 0.0357, 0)</f>
        <v>72.331000000000003</v>
      </c>
      <c r="J1001" s="26">
        <f>542.7632</f>
        <v>542.76319999999998</v>
      </c>
    </row>
    <row r="1002" spans="1:10" ht="15.75">
      <c r="A1002" s="13">
        <v>71802</v>
      </c>
      <c r="B1002" s="10">
        <f>78.1285 * CHOOSE(CONTROL!$C$15, $E$9, 100%, $G$9) + CHOOSE(CONTROL!$C$38, 0.0266, 0)</f>
        <v>78.155100000000004</v>
      </c>
      <c r="C1002" s="10">
        <f>72.0888 * CHOOSE(CONTROL!$C$15, $E$9, 100%, $G$9) + CHOOSE(CONTROL!$C$38, 0.0357, 0)</f>
        <v>72.124500000000012</v>
      </c>
      <c r="D1002" s="10">
        <f>72.081 * CHOOSE(CONTROL!$C$15, $E$9, 100%, $G$9) + CHOOSE(CONTROL!$C$38, 0.0357, 0)</f>
        <v>72.116700000000009</v>
      </c>
      <c r="E1002" s="28">
        <f>77.9723 * CHOOSE(CONTROL!$C$15, $E$9, 100%, $G$9) + CHOOSE(CONTROL!$C$38, 0.0357, 0)</f>
        <v>78.00800000000001</v>
      </c>
      <c r="F1002" s="27">
        <f>77.9723 * CHOOSE(CONTROL!$C$15, $E$9, 100%, $G$9) + CHOOSE(CONTROL!$C$38, 0.0266, 0)</f>
        <v>77.998900000000006</v>
      </c>
      <c r="G1002" s="10">
        <f>72.0872 * CHOOSE(CONTROL!$C$15, $E$9, 100%, $G$9) + CHOOSE(CONTROL!$C$38, 0.0357, 0)</f>
        <v>72.122900000000001</v>
      </c>
      <c r="H1002" s="10">
        <f>72.0872 * CHOOSE(CONTROL!$C$15, $E$9, 100%, $G$9) + CHOOSE(CONTROL!$C$38, 0.0357, 0)</f>
        <v>72.122900000000001</v>
      </c>
      <c r="I1002" s="10">
        <f>72.0888 * CHOOSE(CONTROL!$C$15, $E$9, 100%, $G$9) + CHOOSE(CONTROL!$C$38, 0.0357, 0)</f>
        <v>72.124500000000012</v>
      </c>
      <c r="J1002" s="26">
        <f>540.2249</f>
        <v>540.22490000000005</v>
      </c>
    </row>
    <row r="1003" spans="1:10" ht="15.75">
      <c r="A1003" s="13">
        <v>71833</v>
      </c>
      <c r="B1003" s="10">
        <f>78.2304 * CHOOSE(CONTROL!$C$15, $E$9, 100%, $G$9) + CHOOSE(CONTROL!$C$38, 0.0266, 0)</f>
        <v>78.257000000000005</v>
      </c>
      <c r="C1003" s="10">
        <f>72.1907 * CHOOSE(CONTROL!$C$15, $E$9, 100%, $G$9) + CHOOSE(CONTROL!$C$38, 0.0357, 0)</f>
        <v>72.226400000000012</v>
      </c>
      <c r="D1003" s="10">
        <f>72.1829 * CHOOSE(CONTROL!$C$15, $E$9, 100%, $G$9) + CHOOSE(CONTROL!$C$38, 0.0357, 0)</f>
        <v>72.218600000000009</v>
      </c>
      <c r="E1003" s="28">
        <f>78.0742 * CHOOSE(CONTROL!$C$15, $E$9, 100%, $G$9) + CHOOSE(CONTROL!$C$38, 0.0357, 0)</f>
        <v>78.10990000000001</v>
      </c>
      <c r="F1003" s="27">
        <f>78.0742 * CHOOSE(CONTROL!$C$15, $E$9, 100%, $G$9) + CHOOSE(CONTROL!$C$38, 0.0266, 0)</f>
        <v>78.100800000000007</v>
      </c>
      <c r="G1003" s="10">
        <f>72.1891 * CHOOSE(CONTROL!$C$15, $E$9, 100%, $G$9) + CHOOSE(CONTROL!$C$38, 0.0357, 0)</f>
        <v>72.224800000000002</v>
      </c>
      <c r="H1003" s="10">
        <f>72.1891 * CHOOSE(CONTROL!$C$15, $E$9, 100%, $G$9) + CHOOSE(CONTROL!$C$38, 0.0357, 0)</f>
        <v>72.224800000000002</v>
      </c>
      <c r="I1003" s="10">
        <f>72.1907 * CHOOSE(CONTROL!$C$15, $E$9, 100%, $G$9) + CHOOSE(CONTROL!$C$38, 0.0357, 0)</f>
        <v>72.226400000000012</v>
      </c>
      <c r="J1003" s="26">
        <f>527.6487</f>
        <v>527.64869999999996</v>
      </c>
    </row>
    <row r="1004" spans="1:10" ht="15.75">
      <c r="A1004" s="13">
        <v>71863</v>
      </c>
      <c r="B1004" s="10">
        <f>78.5072 * CHOOSE(CONTROL!$C$15, $E$9, 100%, $G$9) + CHOOSE(CONTROL!$C$38, 0.0266, 0)</f>
        <v>78.533799999999999</v>
      </c>
      <c r="C1004" s="10">
        <f>72.4675 * CHOOSE(CONTROL!$C$15, $E$9, 100%, $G$9) + CHOOSE(CONTROL!$C$38, 0.0357, 0)</f>
        <v>72.503200000000007</v>
      </c>
      <c r="D1004" s="10">
        <f>72.4597 * CHOOSE(CONTROL!$C$15, $E$9, 100%, $G$9) + CHOOSE(CONTROL!$C$38, 0.0357, 0)</f>
        <v>72.495400000000004</v>
      </c>
      <c r="E1004" s="28">
        <f>78.351 * CHOOSE(CONTROL!$C$15, $E$9, 100%, $G$9) + CHOOSE(CONTROL!$C$38, 0.0357, 0)</f>
        <v>78.386700000000005</v>
      </c>
      <c r="F1004" s="27">
        <f>78.351 * CHOOSE(CONTROL!$C$15, $E$9, 100%, $G$9) + CHOOSE(CONTROL!$C$38, 0.0266, 0)</f>
        <v>78.377600000000001</v>
      </c>
      <c r="G1004" s="10">
        <f>72.4659 * CHOOSE(CONTROL!$C$15, $E$9, 100%, $G$9) + CHOOSE(CONTROL!$C$38, 0.0357, 0)</f>
        <v>72.50160000000001</v>
      </c>
      <c r="H1004" s="10">
        <f>72.4659 * CHOOSE(CONTROL!$C$15, $E$9, 100%, $G$9) + CHOOSE(CONTROL!$C$38, 0.0357, 0)</f>
        <v>72.50160000000001</v>
      </c>
      <c r="I1004" s="10">
        <f>72.4675 * CHOOSE(CONTROL!$C$15, $E$9, 100%, $G$9) + CHOOSE(CONTROL!$C$38, 0.0357, 0)</f>
        <v>72.503200000000007</v>
      </c>
      <c r="J1004" s="26">
        <f>510.1105</f>
        <v>510.1105</v>
      </c>
    </row>
    <row r="1005" spans="1:10" ht="15.75">
      <c r="A1005" s="13">
        <v>71894</v>
      </c>
      <c r="B1005" s="10">
        <f>78.739 * CHOOSE(CONTROL!$C$15, $E$9, 100%, $G$9) + CHOOSE(CONTROL!$C$38, 0.0266, 0)</f>
        <v>78.765600000000006</v>
      </c>
      <c r="C1005" s="10">
        <f>72.6993 * CHOOSE(CONTROL!$C$15, $E$9, 100%, $G$9) + CHOOSE(CONTROL!$C$38, 0.0357, 0)</f>
        <v>72.734999999999999</v>
      </c>
      <c r="D1005" s="10">
        <f>72.6915 * CHOOSE(CONTROL!$C$15, $E$9, 100%, $G$9) + CHOOSE(CONTROL!$C$38, 0.0357, 0)</f>
        <v>72.727200000000011</v>
      </c>
      <c r="E1005" s="28">
        <f>78.5828 * CHOOSE(CONTROL!$C$15, $E$9, 100%, $G$9) + CHOOSE(CONTROL!$C$38, 0.0357, 0)</f>
        <v>78.618500000000012</v>
      </c>
      <c r="F1005" s="27">
        <f>78.5828 * CHOOSE(CONTROL!$C$15, $E$9, 100%, $G$9) + CHOOSE(CONTROL!$C$38, 0.0266, 0)</f>
        <v>78.609400000000008</v>
      </c>
      <c r="G1005" s="10">
        <f>72.6978 * CHOOSE(CONTROL!$C$15, $E$9, 100%, $G$9) + CHOOSE(CONTROL!$C$38, 0.0357, 0)</f>
        <v>72.733500000000006</v>
      </c>
      <c r="H1005" s="10">
        <f>72.6978 * CHOOSE(CONTROL!$C$15, $E$9, 100%, $G$9) + CHOOSE(CONTROL!$C$38, 0.0357, 0)</f>
        <v>72.733500000000006</v>
      </c>
      <c r="I1005" s="10">
        <f>72.6993 * CHOOSE(CONTROL!$C$15, $E$9, 100%, $G$9) + CHOOSE(CONTROL!$C$38, 0.0357, 0)</f>
        <v>72.734999999999999</v>
      </c>
      <c r="J1005" s="26">
        <f>492.4704</f>
        <v>492.47039999999998</v>
      </c>
    </row>
    <row r="1006" spans="1:10" ht="15.75">
      <c r="A1006" s="13">
        <v>71924</v>
      </c>
      <c r="B1006" s="10">
        <f>78.9325 * CHOOSE(CONTROL!$C$15, $E$9, 100%, $G$9) + CHOOSE(CONTROL!$C$38, 0.0266, 0)</f>
        <v>78.959100000000007</v>
      </c>
      <c r="C1006" s="10">
        <f>72.8928 * CHOOSE(CONTROL!$C$15, $E$9, 100%, $G$9) + CHOOSE(CONTROL!$C$38, 0.0357, 0)</f>
        <v>72.9285</v>
      </c>
      <c r="D1006" s="10">
        <f>72.885 * CHOOSE(CONTROL!$C$15, $E$9, 100%, $G$9) + CHOOSE(CONTROL!$C$38, 0.0357, 0)</f>
        <v>72.920700000000011</v>
      </c>
      <c r="E1006" s="28">
        <f>78.7762 * CHOOSE(CONTROL!$C$15, $E$9, 100%, $G$9) + CHOOSE(CONTROL!$C$38, 0.0357, 0)</f>
        <v>78.811900000000009</v>
      </c>
      <c r="F1006" s="27">
        <f>78.7762 * CHOOSE(CONTROL!$C$15, $E$9, 100%, $G$9) + CHOOSE(CONTROL!$C$38, 0.0266, 0)</f>
        <v>78.802800000000005</v>
      </c>
      <c r="G1006" s="10">
        <f>72.8912 * CHOOSE(CONTROL!$C$15, $E$9, 100%, $G$9) + CHOOSE(CONTROL!$C$38, 0.0357, 0)</f>
        <v>72.926900000000003</v>
      </c>
      <c r="H1006" s="10">
        <f>72.8912 * CHOOSE(CONTROL!$C$15, $E$9, 100%, $G$9) + CHOOSE(CONTROL!$C$38, 0.0357, 0)</f>
        <v>72.926900000000003</v>
      </c>
      <c r="I1006" s="10">
        <f>72.8928 * CHOOSE(CONTROL!$C$15, $E$9, 100%, $G$9) + CHOOSE(CONTROL!$C$38, 0.0357, 0)</f>
        <v>72.9285</v>
      </c>
      <c r="J1006" s="26">
        <f>488.9614</f>
        <v>488.96140000000003</v>
      </c>
    </row>
    <row r="1007" spans="1:10" ht="15.75">
      <c r="A1007" s="13">
        <v>71955</v>
      </c>
      <c r="B1007" s="10">
        <f>79.5285 * CHOOSE(CONTROL!$C$15, $E$9, 100%, $G$9) + CHOOSE(CONTROL!$C$38, 0.0266, 0)</f>
        <v>79.555099999999996</v>
      </c>
      <c r="C1007" s="10">
        <f>73.4888 * CHOOSE(CONTROL!$C$15, $E$9, 100%, $G$9) + CHOOSE(CONTROL!$C$38, 0.0357, 0)</f>
        <v>73.524500000000003</v>
      </c>
      <c r="D1007" s="10">
        <f>73.481 * CHOOSE(CONTROL!$C$15, $E$9, 100%, $G$9) + CHOOSE(CONTROL!$C$38, 0.0357, 0)</f>
        <v>73.5167</v>
      </c>
      <c r="E1007" s="28">
        <f>79.3723 * CHOOSE(CONTROL!$C$15, $E$9, 100%, $G$9) + CHOOSE(CONTROL!$C$38, 0.0357, 0)</f>
        <v>79.408000000000001</v>
      </c>
      <c r="F1007" s="27">
        <f>79.3723 * CHOOSE(CONTROL!$C$15, $E$9, 100%, $G$9) + CHOOSE(CONTROL!$C$38, 0.0266, 0)</f>
        <v>79.398899999999998</v>
      </c>
      <c r="G1007" s="10">
        <f>73.4873 * CHOOSE(CONTROL!$C$15, $E$9, 100%, $G$9) + CHOOSE(CONTROL!$C$38, 0.0357, 0)</f>
        <v>73.52300000000001</v>
      </c>
      <c r="H1007" s="10">
        <f>73.4873 * CHOOSE(CONTROL!$C$15, $E$9, 100%, $G$9) + CHOOSE(CONTROL!$C$38, 0.0357, 0)</f>
        <v>73.52300000000001</v>
      </c>
      <c r="I1007" s="10">
        <f>73.4888 * CHOOSE(CONTROL!$C$15, $E$9, 100%, $G$9) + CHOOSE(CONTROL!$C$38, 0.0357, 0)</f>
        <v>73.524500000000003</v>
      </c>
      <c r="J1007" s="26">
        <f>474.4515</f>
        <v>474.45150000000001</v>
      </c>
    </row>
    <row r="1008" spans="1:10" ht="15.75">
      <c r="A1008" s="13">
        <v>71986</v>
      </c>
      <c r="B1008" s="10">
        <f>81.3836 * CHOOSE(CONTROL!$C$15, $E$9, 100%, $G$9) + CHOOSE(CONTROL!$C$38, 0.0266, 0)</f>
        <v>81.410200000000003</v>
      </c>
      <c r="C1008" s="10">
        <f>75.24 * CHOOSE(CONTROL!$C$15, $E$9, 100%, $G$9) + CHOOSE(CONTROL!$C$38, 0.0357, 0)</f>
        <v>75.275700000000001</v>
      </c>
      <c r="D1008" s="10">
        <f>75.2322 * CHOOSE(CONTROL!$C$15, $E$9, 100%, $G$9) + CHOOSE(CONTROL!$C$38, 0.0357, 0)</f>
        <v>75.267900000000012</v>
      </c>
      <c r="E1008" s="28">
        <f>81.2274 * CHOOSE(CONTROL!$C$15, $E$9, 100%, $G$9) + CHOOSE(CONTROL!$C$38, 0.0357, 0)</f>
        <v>81.263100000000009</v>
      </c>
      <c r="F1008" s="27">
        <f>81.2274 * CHOOSE(CONTROL!$C$15, $E$9, 100%, $G$9) + CHOOSE(CONTROL!$C$38, 0.0266, 0)</f>
        <v>81.254000000000005</v>
      </c>
      <c r="G1008" s="10">
        <f>75.2384 * CHOOSE(CONTROL!$C$15, $E$9, 100%, $G$9) + CHOOSE(CONTROL!$C$38, 0.0357, 0)</f>
        <v>75.274100000000004</v>
      </c>
      <c r="H1008" s="10">
        <f>75.2384 * CHOOSE(CONTROL!$C$15, $E$9, 100%, $G$9) + CHOOSE(CONTROL!$C$38, 0.0357, 0)</f>
        <v>75.274100000000004</v>
      </c>
      <c r="I1008" s="10">
        <f>75.24 * CHOOSE(CONTROL!$C$15, $E$9, 100%, $G$9) + CHOOSE(CONTROL!$C$38, 0.0357, 0)</f>
        <v>75.275700000000001</v>
      </c>
      <c r="J1008" s="26">
        <f>471.2734</f>
        <v>471.27339999999998</v>
      </c>
    </row>
    <row r="1009" spans="1:10" ht="15.75">
      <c r="A1009" s="13">
        <v>72014</v>
      </c>
      <c r="B1009" s="10">
        <f>81.6044 * CHOOSE(CONTROL!$C$15, $E$9, 100%, $G$9) + CHOOSE(CONTROL!$C$38, 0.0266, 0)</f>
        <v>81.631</v>
      </c>
      <c r="C1009" s="10">
        <f>75.4607 * CHOOSE(CONTROL!$C$15, $E$9, 100%, $G$9) + CHOOSE(CONTROL!$C$38, 0.0357, 0)</f>
        <v>75.496400000000008</v>
      </c>
      <c r="D1009" s="10">
        <f>75.4529 * CHOOSE(CONTROL!$C$15, $E$9, 100%, $G$9) + CHOOSE(CONTROL!$C$38, 0.0357, 0)</f>
        <v>75.488600000000005</v>
      </c>
      <c r="E1009" s="28">
        <f>81.4481 * CHOOSE(CONTROL!$C$15, $E$9, 100%, $G$9) + CHOOSE(CONTROL!$C$38, 0.0357, 0)</f>
        <v>81.483800000000002</v>
      </c>
      <c r="F1009" s="27">
        <f>81.4481 * CHOOSE(CONTROL!$C$15, $E$9, 100%, $G$9) + CHOOSE(CONTROL!$C$38, 0.0266, 0)</f>
        <v>81.474699999999999</v>
      </c>
      <c r="G1009" s="10">
        <f>75.4592 * CHOOSE(CONTROL!$C$15, $E$9, 100%, $G$9) + CHOOSE(CONTROL!$C$38, 0.0357, 0)</f>
        <v>75.494900000000001</v>
      </c>
      <c r="H1009" s="10">
        <f>75.4592 * CHOOSE(CONTROL!$C$15, $E$9, 100%, $G$9) + CHOOSE(CONTROL!$C$38, 0.0357, 0)</f>
        <v>75.494900000000001</v>
      </c>
      <c r="I1009" s="10">
        <f>75.4607 * CHOOSE(CONTROL!$C$15, $E$9, 100%, $G$9) + CHOOSE(CONTROL!$C$38, 0.0357, 0)</f>
        <v>75.496400000000008</v>
      </c>
      <c r="J1009" s="26">
        <f>469.9634</f>
        <v>469.96339999999998</v>
      </c>
    </row>
    <row r="1010" spans="1:10" ht="15.75">
      <c r="A1010" s="13">
        <v>72045</v>
      </c>
      <c r="B1010" s="10">
        <f>81.0934 * CHOOSE(CONTROL!$C$15, $E$9, 100%, $G$9) + CHOOSE(CONTROL!$C$38, 0.0266, 0)</f>
        <v>81.12</v>
      </c>
      <c r="C1010" s="10">
        <f>74.9497 * CHOOSE(CONTROL!$C$15, $E$9, 100%, $G$9) + CHOOSE(CONTROL!$C$38, 0.0357, 0)</f>
        <v>74.985400000000013</v>
      </c>
      <c r="D1010" s="10">
        <f>74.9419 * CHOOSE(CONTROL!$C$15, $E$9, 100%, $G$9) + CHOOSE(CONTROL!$C$38, 0.0357, 0)</f>
        <v>74.97760000000001</v>
      </c>
      <c r="E1010" s="28">
        <f>80.9371 * CHOOSE(CONTROL!$C$15, $E$9, 100%, $G$9) + CHOOSE(CONTROL!$C$38, 0.0357, 0)</f>
        <v>80.972800000000007</v>
      </c>
      <c r="F1010" s="27">
        <f>80.9371 * CHOOSE(CONTROL!$C$15, $E$9, 100%, $G$9) + CHOOSE(CONTROL!$C$38, 0.0266, 0)</f>
        <v>80.963700000000003</v>
      </c>
      <c r="G1010" s="10">
        <f>74.9481 * CHOOSE(CONTROL!$C$15, $E$9, 100%, $G$9) + CHOOSE(CONTROL!$C$38, 0.0357, 0)</f>
        <v>74.983800000000002</v>
      </c>
      <c r="H1010" s="10">
        <f>74.9481 * CHOOSE(CONTROL!$C$15, $E$9, 100%, $G$9) + CHOOSE(CONTROL!$C$38, 0.0357, 0)</f>
        <v>74.983800000000002</v>
      </c>
      <c r="I1010" s="10">
        <f>74.9497 * CHOOSE(CONTROL!$C$15, $E$9, 100%, $G$9) + CHOOSE(CONTROL!$C$38, 0.0357, 0)</f>
        <v>74.985400000000013</v>
      </c>
      <c r="J1010" s="26">
        <f>494.7332</f>
        <v>494.73320000000001</v>
      </c>
    </row>
    <row r="1011" spans="1:10" ht="15.75">
      <c r="A1011" s="13">
        <v>72075</v>
      </c>
      <c r="B1011" s="10">
        <f>80.5982 * CHOOSE(CONTROL!$C$15, $E$9, 100%, $G$9) + CHOOSE(CONTROL!$C$38, 0.0266, 0)</f>
        <v>80.624800000000008</v>
      </c>
      <c r="C1011" s="10">
        <f>74.4545 * CHOOSE(CONTROL!$C$15, $E$9, 100%, $G$9) + CHOOSE(CONTROL!$C$38, 0.0357, 0)</f>
        <v>74.490200000000002</v>
      </c>
      <c r="D1011" s="10">
        <f>74.4467 * CHOOSE(CONTROL!$C$15, $E$9, 100%, $G$9) + CHOOSE(CONTROL!$C$38, 0.0357, 0)</f>
        <v>74.482400000000013</v>
      </c>
      <c r="E1011" s="28">
        <f>80.4419 * CHOOSE(CONTROL!$C$15, $E$9, 100%, $G$9) + CHOOSE(CONTROL!$C$38, 0.0357, 0)</f>
        <v>80.47760000000001</v>
      </c>
      <c r="F1011" s="27">
        <f>80.4419 * CHOOSE(CONTROL!$C$15, $E$9, 100%, $G$9) + CHOOSE(CONTROL!$C$38, 0.0266, 0)</f>
        <v>80.468500000000006</v>
      </c>
      <c r="G1011" s="10">
        <f>74.453 * CHOOSE(CONTROL!$C$15, $E$9, 100%, $G$9) + CHOOSE(CONTROL!$C$38, 0.0357, 0)</f>
        <v>74.488700000000009</v>
      </c>
      <c r="H1011" s="10">
        <f>74.453 * CHOOSE(CONTROL!$C$15, $E$9, 100%, $G$9) + CHOOSE(CONTROL!$C$38, 0.0357, 0)</f>
        <v>74.488700000000009</v>
      </c>
      <c r="I1011" s="10">
        <f>74.4545 * CHOOSE(CONTROL!$C$15, $E$9, 100%, $G$9) + CHOOSE(CONTROL!$C$38, 0.0357, 0)</f>
        <v>74.490200000000002</v>
      </c>
      <c r="J1011" s="26">
        <f>526.8537</f>
        <v>526.8537</v>
      </c>
    </row>
    <row r="1012" spans="1:10" ht="15.75">
      <c r="A1012" s="13">
        <v>72106</v>
      </c>
      <c r="B1012" s="10">
        <f>80.0821 * CHOOSE(CONTROL!$C$15, $E$9, 100%, $G$9) + CHOOSE(CONTROL!$C$38, 0.0266, 0)</f>
        <v>80.108699999999999</v>
      </c>
      <c r="C1012" s="10">
        <f>73.9384 * CHOOSE(CONTROL!$C$15, $E$9, 100%, $G$9) + CHOOSE(CONTROL!$C$38, 0.0357, 0)</f>
        <v>73.974100000000007</v>
      </c>
      <c r="D1012" s="10">
        <f>73.9306 * CHOOSE(CONTROL!$C$15, $E$9, 100%, $G$9) + CHOOSE(CONTROL!$C$38, 0.0357, 0)</f>
        <v>73.966300000000004</v>
      </c>
      <c r="E1012" s="28">
        <f>79.9258 * CHOOSE(CONTROL!$C$15, $E$9, 100%, $G$9) + CHOOSE(CONTROL!$C$38, 0.0357, 0)</f>
        <v>79.961500000000001</v>
      </c>
      <c r="F1012" s="27">
        <f>79.9258 * CHOOSE(CONTROL!$C$15, $E$9, 100%, $G$9) + CHOOSE(CONTROL!$C$38, 0.0266, 0)</f>
        <v>79.952399999999997</v>
      </c>
      <c r="G1012" s="10">
        <f>73.9368 * CHOOSE(CONTROL!$C$15, $E$9, 100%, $G$9) + CHOOSE(CONTROL!$C$38, 0.0357, 0)</f>
        <v>73.972500000000011</v>
      </c>
      <c r="H1012" s="10">
        <f>73.9368 * CHOOSE(CONTROL!$C$15, $E$9, 100%, $G$9) + CHOOSE(CONTROL!$C$38, 0.0357, 0)</f>
        <v>73.972500000000011</v>
      </c>
      <c r="I1012" s="10">
        <f>73.9384 * CHOOSE(CONTROL!$C$15, $E$9, 100%, $G$9) + CHOOSE(CONTROL!$C$38, 0.0357, 0)</f>
        <v>73.974100000000007</v>
      </c>
      <c r="J1012" s="26">
        <f>544.5338</f>
        <v>544.53380000000004</v>
      </c>
    </row>
    <row r="1013" spans="1:10" ht="15.75">
      <c r="A1013" s="13">
        <v>72136</v>
      </c>
      <c r="B1013" s="10">
        <f>79.7202 * CHOOSE(CONTROL!$C$15, $E$9, 100%, $G$9) + CHOOSE(CONTROL!$C$38, 0.0266, 0)</f>
        <v>79.746800000000007</v>
      </c>
      <c r="C1013" s="10">
        <f>73.5766 * CHOOSE(CONTROL!$C$15, $E$9, 100%, $G$9) + CHOOSE(CONTROL!$C$38, 0.0357, 0)</f>
        <v>73.612300000000005</v>
      </c>
      <c r="D1013" s="10">
        <f>73.5688 * CHOOSE(CONTROL!$C$15, $E$9, 100%, $G$9) + CHOOSE(CONTROL!$C$38, 0.0357, 0)</f>
        <v>73.604500000000002</v>
      </c>
      <c r="E1013" s="28">
        <f>79.564 * CHOOSE(CONTROL!$C$15, $E$9, 100%, $G$9) + CHOOSE(CONTROL!$C$38, 0.0357, 0)</f>
        <v>79.599699999999999</v>
      </c>
      <c r="F1013" s="27">
        <f>79.564 * CHOOSE(CONTROL!$C$15, $E$9, 100%, $G$9) + CHOOSE(CONTROL!$C$38, 0.0266, 0)</f>
        <v>79.590599999999995</v>
      </c>
      <c r="G1013" s="10">
        <f>73.575 * CHOOSE(CONTROL!$C$15, $E$9, 100%, $G$9) + CHOOSE(CONTROL!$C$38, 0.0357, 0)</f>
        <v>73.610700000000008</v>
      </c>
      <c r="H1013" s="10">
        <f>73.575 * CHOOSE(CONTROL!$C$15, $E$9, 100%, $G$9) + CHOOSE(CONTROL!$C$38, 0.0357, 0)</f>
        <v>73.610700000000008</v>
      </c>
      <c r="I1013" s="10">
        <f>73.5766 * CHOOSE(CONTROL!$C$15, $E$9, 100%, $G$9) + CHOOSE(CONTROL!$C$38, 0.0357, 0)</f>
        <v>73.612300000000005</v>
      </c>
      <c r="J1013" s="26">
        <f>552.38</f>
        <v>552.38</v>
      </c>
    </row>
    <row r="1014" spans="1:10" ht="15.75">
      <c r="A1014" s="13">
        <v>72167</v>
      </c>
      <c r="B1014" s="10">
        <f>79.5137 * CHOOSE(CONTROL!$C$15, $E$9, 100%, $G$9) + CHOOSE(CONTROL!$C$38, 0.0266, 0)</f>
        <v>79.540300000000002</v>
      </c>
      <c r="C1014" s="10">
        <f>73.3701 * CHOOSE(CONTROL!$C$15, $E$9, 100%, $G$9) + CHOOSE(CONTROL!$C$38, 0.0357, 0)</f>
        <v>73.405799999999999</v>
      </c>
      <c r="D1014" s="10">
        <f>73.3623 * CHOOSE(CONTROL!$C$15, $E$9, 100%, $G$9) + CHOOSE(CONTROL!$C$38, 0.0357, 0)</f>
        <v>73.39800000000001</v>
      </c>
      <c r="E1014" s="28">
        <f>79.3575 * CHOOSE(CONTROL!$C$15, $E$9, 100%, $G$9) + CHOOSE(CONTROL!$C$38, 0.0357, 0)</f>
        <v>79.393200000000007</v>
      </c>
      <c r="F1014" s="27">
        <f>79.3575 * CHOOSE(CONTROL!$C$15, $E$9, 100%, $G$9) + CHOOSE(CONTROL!$C$38, 0.0266, 0)</f>
        <v>79.384100000000004</v>
      </c>
      <c r="G1014" s="10">
        <f>73.3685 * CHOOSE(CONTROL!$C$15, $E$9, 100%, $G$9) + CHOOSE(CONTROL!$C$38, 0.0357, 0)</f>
        <v>73.404200000000003</v>
      </c>
      <c r="H1014" s="10">
        <f>73.3685 * CHOOSE(CONTROL!$C$15, $E$9, 100%, $G$9) + CHOOSE(CONTROL!$C$38, 0.0357, 0)</f>
        <v>73.404200000000003</v>
      </c>
      <c r="I1014" s="10">
        <f>73.3701 * CHOOSE(CONTROL!$C$15, $E$9, 100%, $G$9) + CHOOSE(CONTROL!$C$38, 0.0357, 0)</f>
        <v>73.405799999999999</v>
      </c>
      <c r="J1014" s="26">
        <f>549.7967</f>
        <v>549.79669999999999</v>
      </c>
    </row>
    <row r="1015" spans="1:10" ht="15.75">
      <c r="A1015" s="13">
        <v>72198</v>
      </c>
      <c r="B1015" s="10">
        <f>79.6157 * CHOOSE(CONTROL!$C$15, $E$9, 100%, $G$9) + CHOOSE(CONTROL!$C$38, 0.0266, 0)</f>
        <v>79.642300000000006</v>
      </c>
      <c r="C1015" s="10">
        <f>73.472 * CHOOSE(CONTROL!$C$15, $E$9, 100%, $G$9) + CHOOSE(CONTROL!$C$38, 0.0357, 0)</f>
        <v>73.5077</v>
      </c>
      <c r="D1015" s="10">
        <f>73.4642 * CHOOSE(CONTROL!$C$15, $E$9, 100%, $G$9) + CHOOSE(CONTROL!$C$38, 0.0357, 0)</f>
        <v>73.499900000000011</v>
      </c>
      <c r="E1015" s="28">
        <f>79.4594 * CHOOSE(CONTROL!$C$15, $E$9, 100%, $G$9) + CHOOSE(CONTROL!$C$38, 0.0357, 0)</f>
        <v>79.495100000000008</v>
      </c>
      <c r="F1015" s="27">
        <f>79.4594 * CHOOSE(CONTROL!$C$15, $E$9, 100%, $G$9) + CHOOSE(CONTROL!$C$38, 0.0266, 0)</f>
        <v>79.486000000000004</v>
      </c>
      <c r="G1015" s="10">
        <f>73.4704 * CHOOSE(CONTROL!$C$15, $E$9, 100%, $G$9) + CHOOSE(CONTROL!$C$38, 0.0357, 0)</f>
        <v>73.506100000000004</v>
      </c>
      <c r="H1015" s="10">
        <f>73.4704 * CHOOSE(CONTROL!$C$15, $E$9, 100%, $G$9) + CHOOSE(CONTROL!$C$38, 0.0357, 0)</f>
        <v>73.506100000000004</v>
      </c>
      <c r="I1015" s="10">
        <f>73.472 * CHOOSE(CONTROL!$C$15, $E$9, 100%, $G$9) + CHOOSE(CONTROL!$C$38, 0.0357, 0)</f>
        <v>73.5077</v>
      </c>
      <c r="J1015" s="26">
        <f>536.9976</f>
        <v>536.99760000000003</v>
      </c>
    </row>
    <row r="1016" spans="1:10" ht="15.75">
      <c r="A1016" s="13">
        <v>72228</v>
      </c>
      <c r="B1016" s="10">
        <f>79.8925 * CHOOSE(CONTROL!$C$15, $E$9, 100%, $G$9) + CHOOSE(CONTROL!$C$38, 0.0266, 0)</f>
        <v>79.9191</v>
      </c>
      <c r="C1016" s="10">
        <f>73.7488 * CHOOSE(CONTROL!$C$15, $E$9, 100%, $G$9) + CHOOSE(CONTROL!$C$38, 0.0357, 0)</f>
        <v>73.784500000000008</v>
      </c>
      <c r="D1016" s="10">
        <f>73.741 * CHOOSE(CONTROL!$C$15, $E$9, 100%, $G$9) + CHOOSE(CONTROL!$C$38, 0.0357, 0)</f>
        <v>73.776700000000005</v>
      </c>
      <c r="E1016" s="28">
        <f>79.7362 * CHOOSE(CONTROL!$C$15, $E$9, 100%, $G$9) + CHOOSE(CONTROL!$C$38, 0.0357, 0)</f>
        <v>79.771900000000002</v>
      </c>
      <c r="F1016" s="27">
        <f>79.7362 * CHOOSE(CONTROL!$C$15, $E$9, 100%, $G$9) + CHOOSE(CONTROL!$C$38, 0.0266, 0)</f>
        <v>79.762799999999999</v>
      </c>
      <c r="G1016" s="10">
        <f>73.7472 * CHOOSE(CONTROL!$C$15, $E$9, 100%, $G$9) + CHOOSE(CONTROL!$C$38, 0.0357, 0)</f>
        <v>73.782900000000012</v>
      </c>
      <c r="H1016" s="10">
        <f>73.7472 * CHOOSE(CONTROL!$C$15, $E$9, 100%, $G$9) + CHOOSE(CONTROL!$C$38, 0.0357, 0)</f>
        <v>73.782900000000012</v>
      </c>
      <c r="I1016" s="10">
        <f>73.7488 * CHOOSE(CONTROL!$C$15, $E$9, 100%, $G$9) + CHOOSE(CONTROL!$C$38, 0.0357, 0)</f>
        <v>73.784500000000008</v>
      </c>
      <c r="J1016" s="26">
        <f>519.1487</f>
        <v>519.14869999999996</v>
      </c>
    </row>
    <row r="1017" spans="1:10" ht="15.75">
      <c r="A1017" s="13">
        <v>72259</v>
      </c>
      <c r="B1017" s="10">
        <f>80.1243 * CHOOSE(CONTROL!$C$15, $E$9, 100%, $G$9) + CHOOSE(CONTROL!$C$38, 0.0266, 0)</f>
        <v>80.150900000000007</v>
      </c>
      <c r="C1017" s="10">
        <f>73.9806 * CHOOSE(CONTROL!$C$15, $E$9, 100%, $G$9) + CHOOSE(CONTROL!$C$38, 0.0357, 0)</f>
        <v>74.016300000000001</v>
      </c>
      <c r="D1017" s="10">
        <f>73.9728 * CHOOSE(CONTROL!$C$15, $E$9, 100%, $G$9) + CHOOSE(CONTROL!$C$38, 0.0357, 0)</f>
        <v>74.008500000000012</v>
      </c>
      <c r="E1017" s="28">
        <f>79.968 * CHOOSE(CONTROL!$C$15, $E$9, 100%, $G$9) + CHOOSE(CONTROL!$C$38, 0.0357, 0)</f>
        <v>80.003700000000009</v>
      </c>
      <c r="F1017" s="27">
        <f>79.968 * CHOOSE(CONTROL!$C$15, $E$9, 100%, $G$9) + CHOOSE(CONTROL!$C$38, 0.0266, 0)</f>
        <v>79.994600000000005</v>
      </c>
      <c r="G1017" s="10">
        <f>73.9791 * CHOOSE(CONTROL!$C$15, $E$9, 100%, $G$9) + CHOOSE(CONTROL!$C$38, 0.0357, 0)</f>
        <v>74.014800000000008</v>
      </c>
      <c r="H1017" s="10">
        <f>73.9791 * CHOOSE(CONTROL!$C$15, $E$9, 100%, $G$9) + CHOOSE(CONTROL!$C$38, 0.0357, 0)</f>
        <v>74.014800000000008</v>
      </c>
      <c r="I1017" s="10">
        <f>73.9806 * CHOOSE(CONTROL!$C$15, $E$9, 100%, $G$9) + CHOOSE(CONTROL!$C$38, 0.0357, 0)</f>
        <v>74.016300000000001</v>
      </c>
      <c r="J1017" s="26">
        <f>501.196</f>
        <v>501.19600000000003</v>
      </c>
    </row>
    <row r="1018" spans="1:10" ht="15.75">
      <c r="A1018" s="13">
        <v>72289</v>
      </c>
      <c r="B1018" s="10">
        <f>80.3177 * CHOOSE(CONTROL!$C$15, $E$9, 100%, $G$9) + CHOOSE(CONTROL!$C$38, 0.0266, 0)</f>
        <v>80.344300000000004</v>
      </c>
      <c r="C1018" s="10">
        <f>74.1741 * CHOOSE(CONTROL!$C$15, $E$9, 100%, $G$9) + CHOOSE(CONTROL!$C$38, 0.0357, 0)</f>
        <v>74.209800000000001</v>
      </c>
      <c r="D1018" s="10">
        <f>74.1662 * CHOOSE(CONTROL!$C$15, $E$9, 100%, $G$9) + CHOOSE(CONTROL!$C$38, 0.0357, 0)</f>
        <v>74.201900000000009</v>
      </c>
      <c r="E1018" s="28">
        <f>80.1615 * CHOOSE(CONTROL!$C$15, $E$9, 100%, $G$9) + CHOOSE(CONTROL!$C$38, 0.0357, 0)</f>
        <v>80.197200000000009</v>
      </c>
      <c r="F1018" s="27">
        <f>80.1615 * CHOOSE(CONTROL!$C$15, $E$9, 100%, $G$9) + CHOOSE(CONTROL!$C$38, 0.0266, 0)</f>
        <v>80.188100000000006</v>
      </c>
      <c r="G1018" s="10">
        <f>74.1725 * CHOOSE(CONTROL!$C$15, $E$9, 100%, $G$9) + CHOOSE(CONTROL!$C$38, 0.0357, 0)</f>
        <v>74.208200000000005</v>
      </c>
      <c r="H1018" s="10">
        <f>74.1725 * CHOOSE(CONTROL!$C$15, $E$9, 100%, $G$9) + CHOOSE(CONTROL!$C$38, 0.0357, 0)</f>
        <v>74.208200000000005</v>
      </c>
      <c r="I1018" s="10">
        <f>74.1741 * CHOOSE(CONTROL!$C$15, $E$9, 100%, $G$9) + CHOOSE(CONTROL!$C$38, 0.0357, 0)</f>
        <v>74.209800000000001</v>
      </c>
      <c r="J1018" s="26">
        <f>497.6249</f>
        <v>497.62490000000003</v>
      </c>
    </row>
    <row r="1019" spans="1:10" ht="15.75">
      <c r="A1019" s="13">
        <v>72320</v>
      </c>
      <c r="B1019" s="10">
        <f>80.9138 * CHOOSE(CONTROL!$C$15, $E$9, 100%, $G$9) + CHOOSE(CONTROL!$C$38, 0.0266, 0)</f>
        <v>80.940399999999997</v>
      </c>
      <c r="C1019" s="10">
        <f>74.7701 * CHOOSE(CONTROL!$C$15, $E$9, 100%, $G$9) + CHOOSE(CONTROL!$C$38, 0.0357, 0)</f>
        <v>74.805800000000005</v>
      </c>
      <c r="D1019" s="10">
        <f>74.7623 * CHOOSE(CONTROL!$C$15, $E$9, 100%, $G$9) + CHOOSE(CONTROL!$C$38, 0.0357, 0)</f>
        <v>74.798000000000002</v>
      </c>
      <c r="E1019" s="28">
        <f>80.7575 * CHOOSE(CONTROL!$C$15, $E$9, 100%, $G$9) + CHOOSE(CONTROL!$C$38, 0.0357, 0)</f>
        <v>80.793199999999999</v>
      </c>
      <c r="F1019" s="27">
        <f>80.7575 * CHOOSE(CONTROL!$C$15, $E$9, 100%, $G$9) + CHOOSE(CONTROL!$C$38, 0.0266, 0)</f>
        <v>80.784099999999995</v>
      </c>
      <c r="G1019" s="10">
        <f>74.7686 * CHOOSE(CONTROL!$C$15, $E$9, 100%, $G$9) + CHOOSE(CONTROL!$C$38, 0.0357, 0)</f>
        <v>74.804300000000012</v>
      </c>
      <c r="H1019" s="10">
        <f>74.7686 * CHOOSE(CONTROL!$C$15, $E$9, 100%, $G$9) + CHOOSE(CONTROL!$C$38, 0.0357, 0)</f>
        <v>74.804300000000012</v>
      </c>
      <c r="I1019" s="10">
        <f>74.7701 * CHOOSE(CONTROL!$C$15, $E$9, 100%, $G$9) + CHOOSE(CONTROL!$C$38, 0.0357, 0)</f>
        <v>74.805800000000005</v>
      </c>
      <c r="J1019" s="26">
        <f>482.8578</f>
        <v>482.8578</v>
      </c>
    </row>
    <row r="1020" spans="1:10" ht="15.75">
      <c r="A1020" s="13">
        <v>72351</v>
      </c>
      <c r="B1020" s="10">
        <f>82.7933 * CHOOSE(CONTROL!$C$15, $E$9, 100%, $G$9) + CHOOSE(CONTROL!$C$38, 0.0266, 0)</f>
        <v>82.819900000000004</v>
      </c>
      <c r="C1020" s="10">
        <f>76.5439 * CHOOSE(CONTROL!$C$15, $E$9, 100%, $G$9) + CHOOSE(CONTROL!$C$38, 0.0357, 0)</f>
        <v>76.579599999999999</v>
      </c>
      <c r="D1020" s="10">
        <f>76.5361 * CHOOSE(CONTROL!$C$15, $E$9, 100%, $G$9) + CHOOSE(CONTROL!$C$38, 0.0357, 0)</f>
        <v>76.57180000000001</v>
      </c>
      <c r="E1020" s="28">
        <f>82.6371 * CHOOSE(CONTROL!$C$15, $E$9, 100%, $G$9) + CHOOSE(CONTROL!$C$38, 0.0357, 0)</f>
        <v>82.672800000000009</v>
      </c>
      <c r="F1020" s="27">
        <f>82.6371 * CHOOSE(CONTROL!$C$15, $E$9, 100%, $G$9) + CHOOSE(CONTROL!$C$38, 0.0266, 0)</f>
        <v>82.663700000000006</v>
      </c>
      <c r="G1020" s="10">
        <f>76.5423 * CHOOSE(CONTROL!$C$15, $E$9, 100%, $G$9) + CHOOSE(CONTROL!$C$38, 0.0357, 0)</f>
        <v>76.578000000000003</v>
      </c>
      <c r="H1020" s="10">
        <f>76.5423 * CHOOSE(CONTROL!$C$15, $E$9, 100%, $G$9) + CHOOSE(CONTROL!$C$38, 0.0357, 0)</f>
        <v>76.578000000000003</v>
      </c>
      <c r="I1020" s="10">
        <f>76.5439 * CHOOSE(CONTROL!$C$15, $E$9, 100%, $G$9) + CHOOSE(CONTROL!$C$38, 0.0357, 0)</f>
        <v>76.579599999999999</v>
      </c>
      <c r="J1020" s="26">
        <f>479.6234</f>
        <v>479.6234</v>
      </c>
    </row>
    <row r="1021" spans="1:10" ht="15.75">
      <c r="A1021" s="13">
        <v>72379</v>
      </c>
      <c r="B1021" s="10">
        <f>83.0141 * CHOOSE(CONTROL!$C$15, $E$9, 100%, $G$9) + CHOOSE(CONTROL!$C$38, 0.0266, 0)</f>
        <v>83.040700000000001</v>
      </c>
      <c r="C1021" s="10">
        <f>76.7647 * CHOOSE(CONTROL!$C$15, $E$9, 100%, $G$9) + CHOOSE(CONTROL!$C$38, 0.0357, 0)</f>
        <v>76.80040000000001</v>
      </c>
      <c r="D1021" s="10">
        <f>76.7568 * CHOOSE(CONTROL!$C$15, $E$9, 100%, $G$9) + CHOOSE(CONTROL!$C$38, 0.0357, 0)</f>
        <v>76.792500000000004</v>
      </c>
      <c r="E1021" s="28">
        <f>82.8579 * CHOOSE(CONTROL!$C$15, $E$9, 100%, $G$9) + CHOOSE(CONTROL!$C$38, 0.0357, 0)</f>
        <v>82.893600000000006</v>
      </c>
      <c r="F1021" s="27">
        <f>82.8579 * CHOOSE(CONTROL!$C$15, $E$9, 100%, $G$9) + CHOOSE(CONTROL!$C$38, 0.0266, 0)</f>
        <v>82.884500000000003</v>
      </c>
      <c r="G1021" s="10">
        <f>76.7631 * CHOOSE(CONTROL!$C$15, $E$9, 100%, $G$9) + CHOOSE(CONTROL!$C$38, 0.0357, 0)</f>
        <v>76.7988</v>
      </c>
      <c r="H1021" s="10">
        <f>76.7631 * CHOOSE(CONTROL!$C$15, $E$9, 100%, $G$9) + CHOOSE(CONTROL!$C$38, 0.0357, 0)</f>
        <v>76.7988</v>
      </c>
      <c r="I1021" s="10">
        <f>76.7647 * CHOOSE(CONTROL!$C$15, $E$9, 100%, $G$9) + CHOOSE(CONTROL!$C$38, 0.0357, 0)</f>
        <v>76.80040000000001</v>
      </c>
      <c r="J1021" s="26">
        <f>478.2902</f>
        <v>478.29020000000003</v>
      </c>
    </row>
    <row r="1022" spans="1:10" ht="15.75">
      <c r="A1022" s="13">
        <v>72410</v>
      </c>
      <c r="B1022" s="10">
        <f>82.5031 * CHOOSE(CONTROL!$C$15, $E$9, 100%, $G$9) + CHOOSE(CONTROL!$C$38, 0.0266, 0)</f>
        <v>82.529700000000005</v>
      </c>
      <c r="C1022" s="10">
        <f>76.2536 * CHOOSE(CONTROL!$C$15, $E$9, 100%, $G$9) + CHOOSE(CONTROL!$C$38, 0.0357, 0)</f>
        <v>76.289300000000011</v>
      </c>
      <c r="D1022" s="10">
        <f>76.2458 * CHOOSE(CONTROL!$C$15, $E$9, 100%, $G$9) + CHOOSE(CONTROL!$C$38, 0.0357, 0)</f>
        <v>76.281500000000008</v>
      </c>
      <c r="E1022" s="28">
        <f>82.3468 * CHOOSE(CONTROL!$C$15, $E$9, 100%, $G$9) + CHOOSE(CONTROL!$C$38, 0.0357, 0)</f>
        <v>82.382500000000007</v>
      </c>
      <c r="F1022" s="27">
        <f>82.3468 * CHOOSE(CONTROL!$C$15, $E$9, 100%, $G$9) + CHOOSE(CONTROL!$C$38, 0.0266, 0)</f>
        <v>82.373400000000004</v>
      </c>
      <c r="G1022" s="10">
        <f>76.2521 * CHOOSE(CONTROL!$C$15, $E$9, 100%, $G$9) + CHOOSE(CONTROL!$C$38, 0.0357, 0)</f>
        <v>76.287800000000004</v>
      </c>
      <c r="H1022" s="10">
        <f>76.2521 * CHOOSE(CONTROL!$C$15, $E$9, 100%, $G$9) + CHOOSE(CONTROL!$C$38, 0.0357, 0)</f>
        <v>76.287800000000004</v>
      </c>
      <c r="I1022" s="10">
        <f>76.2536 * CHOOSE(CONTROL!$C$15, $E$9, 100%, $G$9) + CHOOSE(CONTROL!$C$38, 0.0357, 0)</f>
        <v>76.289300000000011</v>
      </c>
      <c r="J1022" s="26">
        <f>503.4989</f>
        <v>503.49889999999999</v>
      </c>
    </row>
    <row r="1023" spans="1:10" ht="15.75">
      <c r="A1023" s="13">
        <v>72440</v>
      </c>
      <c r="B1023" s="10">
        <f>82.0079 * CHOOSE(CONTROL!$C$15, $E$9, 100%, $G$9) + CHOOSE(CONTROL!$C$38, 0.0266, 0)</f>
        <v>82.034500000000008</v>
      </c>
      <c r="C1023" s="10">
        <f>75.7585 * CHOOSE(CONTROL!$C$15, $E$9, 100%, $G$9) + CHOOSE(CONTROL!$C$38, 0.0357, 0)</f>
        <v>75.794200000000004</v>
      </c>
      <c r="D1023" s="10">
        <f>75.7506 * CHOOSE(CONTROL!$C$15, $E$9, 100%, $G$9) + CHOOSE(CONTROL!$C$38, 0.0357, 0)</f>
        <v>75.786300000000011</v>
      </c>
      <c r="E1023" s="28">
        <f>81.8516 * CHOOSE(CONTROL!$C$15, $E$9, 100%, $G$9) + CHOOSE(CONTROL!$C$38, 0.0357, 0)</f>
        <v>81.88730000000001</v>
      </c>
      <c r="F1023" s="27">
        <f>81.8516 * CHOOSE(CONTROL!$C$15, $E$9, 100%, $G$9) + CHOOSE(CONTROL!$C$38, 0.0266, 0)</f>
        <v>81.878200000000007</v>
      </c>
      <c r="G1023" s="10">
        <f>75.7569 * CHOOSE(CONTROL!$C$15, $E$9, 100%, $G$9) + CHOOSE(CONTROL!$C$38, 0.0357, 0)</f>
        <v>75.792600000000007</v>
      </c>
      <c r="H1023" s="10">
        <f>75.7569 * CHOOSE(CONTROL!$C$15, $E$9, 100%, $G$9) + CHOOSE(CONTROL!$C$38, 0.0357, 0)</f>
        <v>75.792600000000007</v>
      </c>
      <c r="I1023" s="10">
        <f>75.7585 * CHOOSE(CONTROL!$C$15, $E$9, 100%, $G$9) + CHOOSE(CONTROL!$C$38, 0.0357, 0)</f>
        <v>75.794200000000004</v>
      </c>
      <c r="J1023" s="26">
        <f>536.1885</f>
        <v>536.18849999999998</v>
      </c>
    </row>
    <row r="1024" spans="1:10" ht="15.75">
      <c r="A1024" s="13">
        <v>72471</v>
      </c>
      <c r="B1024" s="10">
        <f>81.4918 * CHOOSE(CONTROL!$C$15, $E$9, 100%, $G$9) + CHOOSE(CONTROL!$C$38, 0.0266, 0)</f>
        <v>81.5184</v>
      </c>
      <c r="C1024" s="10">
        <f>75.2423 * CHOOSE(CONTROL!$C$15, $E$9, 100%, $G$9) + CHOOSE(CONTROL!$C$38, 0.0357, 0)</f>
        <v>75.278000000000006</v>
      </c>
      <c r="D1024" s="10">
        <f>75.2345 * CHOOSE(CONTROL!$C$15, $E$9, 100%, $G$9) + CHOOSE(CONTROL!$C$38, 0.0357, 0)</f>
        <v>75.270200000000003</v>
      </c>
      <c r="E1024" s="28">
        <f>81.3355 * CHOOSE(CONTROL!$C$15, $E$9, 100%, $G$9) + CHOOSE(CONTROL!$C$38, 0.0357, 0)</f>
        <v>81.371200000000002</v>
      </c>
      <c r="F1024" s="27">
        <f>81.3355 * CHOOSE(CONTROL!$C$15, $E$9, 100%, $G$9) + CHOOSE(CONTROL!$C$38, 0.0266, 0)</f>
        <v>81.362099999999998</v>
      </c>
      <c r="G1024" s="10">
        <f>75.2408 * CHOOSE(CONTROL!$C$15, $E$9, 100%, $G$9) + CHOOSE(CONTROL!$C$38, 0.0357, 0)</f>
        <v>75.276499999999999</v>
      </c>
      <c r="H1024" s="10">
        <f>75.2408 * CHOOSE(CONTROL!$C$15, $E$9, 100%, $G$9) + CHOOSE(CONTROL!$C$38, 0.0357, 0)</f>
        <v>75.276499999999999</v>
      </c>
      <c r="I1024" s="10">
        <f>75.2423 * CHOOSE(CONTROL!$C$15, $E$9, 100%, $G$9) + CHOOSE(CONTROL!$C$38, 0.0357, 0)</f>
        <v>75.278000000000006</v>
      </c>
      <c r="J1024" s="26">
        <f>554.1819</f>
        <v>554.18190000000004</v>
      </c>
    </row>
    <row r="1025" spans="1:10" ht="15.75">
      <c r="A1025" s="13">
        <v>72501</v>
      </c>
      <c r="B1025" s="10">
        <f>81.1299 * CHOOSE(CONTROL!$C$15, $E$9, 100%, $G$9) + CHOOSE(CONTROL!$C$38, 0.0266, 0)</f>
        <v>81.156500000000008</v>
      </c>
      <c r="C1025" s="10">
        <f>74.8805 * CHOOSE(CONTROL!$C$15, $E$9, 100%, $G$9) + CHOOSE(CONTROL!$C$38, 0.0357, 0)</f>
        <v>74.916200000000003</v>
      </c>
      <c r="D1025" s="10">
        <f>74.8727 * CHOOSE(CONTROL!$C$15, $E$9, 100%, $G$9) + CHOOSE(CONTROL!$C$38, 0.0357, 0)</f>
        <v>74.9084</v>
      </c>
      <c r="E1025" s="28">
        <f>80.9737 * CHOOSE(CONTROL!$C$15, $E$9, 100%, $G$9) + CHOOSE(CONTROL!$C$38, 0.0357, 0)</f>
        <v>81.009399999999999</v>
      </c>
      <c r="F1025" s="27">
        <f>80.9737 * CHOOSE(CONTROL!$C$15, $E$9, 100%, $G$9) + CHOOSE(CONTROL!$C$38, 0.0266, 0)</f>
        <v>81.000299999999996</v>
      </c>
      <c r="G1025" s="10">
        <f>74.8789 * CHOOSE(CONTROL!$C$15, $E$9, 100%, $G$9) + CHOOSE(CONTROL!$C$38, 0.0357, 0)</f>
        <v>74.914600000000007</v>
      </c>
      <c r="H1025" s="10">
        <f>74.8789 * CHOOSE(CONTROL!$C$15, $E$9, 100%, $G$9) + CHOOSE(CONTROL!$C$38, 0.0357, 0)</f>
        <v>74.914600000000007</v>
      </c>
      <c r="I1025" s="10">
        <f>74.8805 * CHOOSE(CONTROL!$C$15, $E$9, 100%, $G$9) + CHOOSE(CONTROL!$C$38, 0.0357, 0)</f>
        <v>74.916200000000003</v>
      </c>
      <c r="J1025" s="26">
        <f>562.1671</f>
        <v>562.1671</v>
      </c>
    </row>
    <row r="1026" spans="1:10" ht="15.75">
      <c r="A1026" s="13">
        <v>72532</v>
      </c>
      <c r="B1026" s="10">
        <f>80.9235 * CHOOSE(CONTROL!$C$15, $E$9, 100%, $G$9) + CHOOSE(CONTROL!$C$38, 0.0266, 0)</f>
        <v>80.950100000000006</v>
      </c>
      <c r="C1026" s="10">
        <f>74.674 * CHOOSE(CONTROL!$C$15, $E$9, 100%, $G$9) + CHOOSE(CONTROL!$C$38, 0.0357, 0)</f>
        <v>74.709700000000012</v>
      </c>
      <c r="D1026" s="10">
        <f>74.6662 * CHOOSE(CONTROL!$C$15, $E$9, 100%, $G$9) + CHOOSE(CONTROL!$C$38, 0.0357, 0)</f>
        <v>74.701900000000009</v>
      </c>
      <c r="E1026" s="28">
        <f>80.7672 * CHOOSE(CONTROL!$C$15, $E$9, 100%, $G$9) + CHOOSE(CONTROL!$C$38, 0.0357, 0)</f>
        <v>80.802900000000008</v>
      </c>
      <c r="F1026" s="27">
        <f>80.7672 * CHOOSE(CONTROL!$C$15, $E$9, 100%, $G$9) + CHOOSE(CONTROL!$C$38, 0.0266, 0)</f>
        <v>80.793800000000005</v>
      </c>
      <c r="G1026" s="10">
        <f>74.6725 * CHOOSE(CONTROL!$C$15, $E$9, 100%, $G$9) + CHOOSE(CONTROL!$C$38, 0.0357, 0)</f>
        <v>74.708200000000005</v>
      </c>
      <c r="H1026" s="10">
        <f>74.6725 * CHOOSE(CONTROL!$C$15, $E$9, 100%, $G$9) + CHOOSE(CONTROL!$C$38, 0.0357, 0)</f>
        <v>74.708200000000005</v>
      </c>
      <c r="I1026" s="10">
        <f>74.674 * CHOOSE(CONTROL!$C$15, $E$9, 100%, $G$9) + CHOOSE(CONTROL!$C$38, 0.0357, 0)</f>
        <v>74.709700000000012</v>
      </c>
      <c r="J1026" s="26">
        <f>559.538</f>
        <v>559.53800000000001</v>
      </c>
    </row>
    <row r="1027" spans="1:10" ht="15.75">
      <c r="A1027" s="13">
        <v>72563</v>
      </c>
      <c r="B1027" s="10">
        <f>81.0254 * CHOOSE(CONTROL!$C$15, $E$9, 100%, $G$9) + CHOOSE(CONTROL!$C$38, 0.0266, 0)</f>
        <v>81.052000000000007</v>
      </c>
      <c r="C1027" s="10">
        <f>74.7759 * CHOOSE(CONTROL!$C$15, $E$9, 100%, $G$9) + CHOOSE(CONTROL!$C$38, 0.0357, 0)</f>
        <v>74.811599999999999</v>
      </c>
      <c r="D1027" s="10">
        <f>74.7681 * CHOOSE(CONTROL!$C$15, $E$9, 100%, $G$9) + CHOOSE(CONTROL!$C$38, 0.0357, 0)</f>
        <v>74.80380000000001</v>
      </c>
      <c r="E1027" s="28">
        <f>80.8691 * CHOOSE(CONTROL!$C$15, $E$9, 100%, $G$9) + CHOOSE(CONTROL!$C$38, 0.0357, 0)</f>
        <v>80.904800000000009</v>
      </c>
      <c r="F1027" s="27">
        <f>80.8691 * CHOOSE(CONTROL!$C$15, $E$9, 100%, $G$9) + CHOOSE(CONTROL!$C$38, 0.0266, 0)</f>
        <v>80.895700000000005</v>
      </c>
      <c r="G1027" s="10">
        <f>74.7744 * CHOOSE(CONTROL!$C$15, $E$9, 100%, $G$9) + CHOOSE(CONTROL!$C$38, 0.0357, 0)</f>
        <v>74.810100000000006</v>
      </c>
      <c r="H1027" s="10">
        <f>74.7744 * CHOOSE(CONTROL!$C$15, $E$9, 100%, $G$9) + CHOOSE(CONTROL!$C$38, 0.0357, 0)</f>
        <v>74.810100000000006</v>
      </c>
      <c r="I1027" s="10">
        <f>74.7759 * CHOOSE(CONTROL!$C$15, $E$9, 100%, $G$9) + CHOOSE(CONTROL!$C$38, 0.0357, 0)</f>
        <v>74.811599999999999</v>
      </c>
      <c r="J1027" s="26">
        <f>546.5122</f>
        <v>546.51220000000001</v>
      </c>
    </row>
    <row r="1028" spans="1:10" ht="15.75">
      <c r="A1028" s="13">
        <v>72593</v>
      </c>
      <c r="B1028" s="10">
        <f>81.3022 * CHOOSE(CONTROL!$C$15, $E$9, 100%, $G$9) + CHOOSE(CONTROL!$C$38, 0.0266, 0)</f>
        <v>81.328800000000001</v>
      </c>
      <c r="C1028" s="10">
        <f>75.0527 * CHOOSE(CONTROL!$C$15, $E$9, 100%, $G$9) + CHOOSE(CONTROL!$C$38, 0.0357, 0)</f>
        <v>75.088400000000007</v>
      </c>
      <c r="D1028" s="10">
        <f>75.0449 * CHOOSE(CONTROL!$C$15, $E$9, 100%, $G$9) + CHOOSE(CONTROL!$C$38, 0.0357, 0)</f>
        <v>75.080600000000004</v>
      </c>
      <c r="E1028" s="28">
        <f>81.1459 * CHOOSE(CONTROL!$C$15, $E$9, 100%, $G$9) + CHOOSE(CONTROL!$C$38, 0.0357, 0)</f>
        <v>81.181600000000003</v>
      </c>
      <c r="F1028" s="27">
        <f>81.1459 * CHOOSE(CONTROL!$C$15, $E$9, 100%, $G$9) + CHOOSE(CONTROL!$C$38, 0.0266, 0)</f>
        <v>81.172499999999999</v>
      </c>
      <c r="G1028" s="10">
        <f>75.0512 * CHOOSE(CONTROL!$C$15, $E$9, 100%, $G$9) + CHOOSE(CONTROL!$C$38, 0.0357, 0)</f>
        <v>75.0869</v>
      </c>
      <c r="H1028" s="10">
        <f>75.0512 * CHOOSE(CONTROL!$C$15, $E$9, 100%, $G$9) + CHOOSE(CONTROL!$C$38, 0.0357, 0)</f>
        <v>75.0869</v>
      </c>
      <c r="I1028" s="10">
        <f>75.0527 * CHOOSE(CONTROL!$C$15, $E$9, 100%, $G$9) + CHOOSE(CONTROL!$C$38, 0.0357, 0)</f>
        <v>75.088400000000007</v>
      </c>
      <c r="J1028" s="26">
        <f>528.3471</f>
        <v>528.34709999999995</v>
      </c>
    </row>
    <row r="1029" spans="1:10" ht="15.75">
      <c r="A1029" s="13">
        <v>72624</v>
      </c>
      <c r="B1029" s="10">
        <f>81.534 * CHOOSE(CONTROL!$C$15, $E$9, 100%, $G$9) + CHOOSE(CONTROL!$C$38, 0.0266, 0)</f>
        <v>81.560600000000008</v>
      </c>
      <c r="C1029" s="10">
        <f>75.2845 * CHOOSE(CONTROL!$C$15, $E$9, 100%, $G$9) + CHOOSE(CONTROL!$C$38, 0.0357, 0)</f>
        <v>75.3202</v>
      </c>
      <c r="D1029" s="10">
        <f>75.2767 * CHOOSE(CONTROL!$C$15, $E$9, 100%, $G$9) + CHOOSE(CONTROL!$C$38, 0.0357, 0)</f>
        <v>75.312400000000011</v>
      </c>
      <c r="E1029" s="28">
        <f>81.3777 * CHOOSE(CONTROL!$C$15, $E$9, 100%, $G$9) + CHOOSE(CONTROL!$C$38, 0.0357, 0)</f>
        <v>81.41340000000001</v>
      </c>
      <c r="F1029" s="27">
        <f>81.3777 * CHOOSE(CONTROL!$C$15, $E$9, 100%, $G$9) + CHOOSE(CONTROL!$C$38, 0.0266, 0)</f>
        <v>81.404300000000006</v>
      </c>
      <c r="G1029" s="10">
        <f>75.283 * CHOOSE(CONTROL!$C$15, $E$9, 100%, $G$9) + CHOOSE(CONTROL!$C$38, 0.0357, 0)</f>
        <v>75.318700000000007</v>
      </c>
      <c r="H1029" s="10">
        <f>75.283 * CHOOSE(CONTROL!$C$15, $E$9, 100%, $G$9) + CHOOSE(CONTROL!$C$38, 0.0357, 0)</f>
        <v>75.318700000000007</v>
      </c>
      <c r="I1029" s="10">
        <f>75.2845 * CHOOSE(CONTROL!$C$15, $E$9, 100%, $G$9) + CHOOSE(CONTROL!$C$38, 0.0357, 0)</f>
        <v>75.3202</v>
      </c>
      <c r="J1029" s="26">
        <f>510.0763</f>
        <v>510.0763</v>
      </c>
    </row>
    <row r="1030" spans="1:10" ht="15.75">
      <c r="A1030" s="13">
        <v>72654</v>
      </c>
      <c r="B1030" s="10">
        <f>81.7274 * CHOOSE(CONTROL!$C$15, $E$9, 100%, $G$9) + CHOOSE(CONTROL!$C$38, 0.0266, 0)</f>
        <v>81.754000000000005</v>
      </c>
      <c r="C1030" s="10">
        <f>75.478 * CHOOSE(CONTROL!$C$15, $E$9, 100%, $G$9) + CHOOSE(CONTROL!$C$38, 0.0357, 0)</f>
        <v>75.5137</v>
      </c>
      <c r="D1030" s="10">
        <f>75.4702 * CHOOSE(CONTROL!$C$15, $E$9, 100%, $G$9) + CHOOSE(CONTROL!$C$38, 0.0357, 0)</f>
        <v>75.505900000000011</v>
      </c>
      <c r="E1030" s="28">
        <f>81.5712 * CHOOSE(CONTROL!$C$15, $E$9, 100%, $G$9) + CHOOSE(CONTROL!$C$38, 0.0357, 0)</f>
        <v>81.60690000000001</v>
      </c>
      <c r="F1030" s="27">
        <f>81.5712 * CHOOSE(CONTROL!$C$15, $E$9, 100%, $G$9) + CHOOSE(CONTROL!$C$38, 0.0266, 0)</f>
        <v>81.597800000000007</v>
      </c>
      <c r="G1030" s="10">
        <f>75.4764 * CHOOSE(CONTROL!$C$15, $E$9, 100%, $G$9) + CHOOSE(CONTROL!$C$38, 0.0357, 0)</f>
        <v>75.512100000000004</v>
      </c>
      <c r="H1030" s="10">
        <f>75.4764 * CHOOSE(CONTROL!$C$15, $E$9, 100%, $G$9) + CHOOSE(CONTROL!$C$38, 0.0357, 0)</f>
        <v>75.512100000000004</v>
      </c>
      <c r="I1030" s="10">
        <f>75.478 * CHOOSE(CONTROL!$C$15, $E$9, 100%, $G$9) + CHOOSE(CONTROL!$C$38, 0.0357, 0)</f>
        <v>75.5137</v>
      </c>
      <c r="J1030" s="26">
        <f>506.4419</f>
        <v>506.44189999999998</v>
      </c>
    </row>
    <row r="1031" spans="1:10" ht="15.75">
      <c r="A1031" s="13">
        <v>72685</v>
      </c>
      <c r="B1031" s="10">
        <f>82.3235 * CHOOSE(CONTROL!$C$15, $E$9, 100%, $G$9) + CHOOSE(CONTROL!$C$38, 0.0266, 0)</f>
        <v>82.350099999999998</v>
      </c>
      <c r="C1031" s="10">
        <f>76.0741 * CHOOSE(CONTROL!$C$15, $E$9, 100%, $G$9) + CHOOSE(CONTROL!$C$38, 0.0357, 0)</f>
        <v>76.109800000000007</v>
      </c>
      <c r="D1031" s="10">
        <f>76.0662 * CHOOSE(CONTROL!$C$15, $E$9, 100%, $G$9) + CHOOSE(CONTROL!$C$38, 0.0357, 0)</f>
        <v>76.101900000000001</v>
      </c>
      <c r="E1031" s="28">
        <f>82.1672 * CHOOSE(CONTROL!$C$15, $E$9, 100%, $G$9) + CHOOSE(CONTROL!$C$38, 0.0357, 0)</f>
        <v>82.2029</v>
      </c>
      <c r="F1031" s="27">
        <f>82.1672 * CHOOSE(CONTROL!$C$15, $E$9, 100%, $G$9) + CHOOSE(CONTROL!$C$38, 0.0266, 0)</f>
        <v>82.193799999999996</v>
      </c>
      <c r="G1031" s="10">
        <f>76.0725 * CHOOSE(CONTROL!$C$15, $E$9, 100%, $G$9) + CHOOSE(CONTROL!$C$38, 0.0357, 0)</f>
        <v>76.108200000000011</v>
      </c>
      <c r="H1031" s="10">
        <f>76.0725 * CHOOSE(CONTROL!$C$15, $E$9, 100%, $G$9) + CHOOSE(CONTROL!$C$38, 0.0357, 0)</f>
        <v>76.108200000000011</v>
      </c>
      <c r="I1031" s="10">
        <f>76.0741 * CHOOSE(CONTROL!$C$15, $E$9, 100%, $G$9) + CHOOSE(CONTROL!$C$38, 0.0357, 0)</f>
        <v>76.109800000000007</v>
      </c>
      <c r="J1031" s="26">
        <f>491.4132</f>
        <v>491.41320000000002</v>
      </c>
    </row>
    <row r="1032" spans="1:10" ht="15.75">
      <c r="A1032" s="13">
        <v>72716</v>
      </c>
      <c r="B1032" s="10">
        <f>84.228 * CHOOSE(CONTROL!$C$15, $E$9, 100%, $G$9) + CHOOSE(CONTROL!$C$38, 0.0266, 0)</f>
        <v>84.254599999999996</v>
      </c>
      <c r="C1032" s="10">
        <f>77.8709 * CHOOSE(CONTROL!$C$15, $E$9, 100%, $G$9) + CHOOSE(CONTROL!$C$38, 0.0357, 0)</f>
        <v>77.906600000000012</v>
      </c>
      <c r="D1032" s="10">
        <f>77.8631 * CHOOSE(CONTROL!$C$15, $E$9, 100%, $G$9) + CHOOSE(CONTROL!$C$38, 0.0357, 0)</f>
        <v>77.898800000000008</v>
      </c>
      <c r="E1032" s="28">
        <f>84.0717 * CHOOSE(CONTROL!$C$15, $E$9, 100%, $G$9) + CHOOSE(CONTROL!$C$38, 0.0357, 0)</f>
        <v>84.107400000000013</v>
      </c>
      <c r="F1032" s="27">
        <f>84.0717 * CHOOSE(CONTROL!$C$15, $E$9, 100%, $G$9) + CHOOSE(CONTROL!$C$38, 0.0266, 0)</f>
        <v>84.098300000000009</v>
      </c>
      <c r="G1032" s="10">
        <f>77.8693 * CHOOSE(CONTROL!$C$15, $E$9, 100%, $G$9) + CHOOSE(CONTROL!$C$38, 0.0357, 0)</f>
        <v>77.905000000000001</v>
      </c>
      <c r="H1032" s="10">
        <f>77.8693 * CHOOSE(CONTROL!$C$15, $E$9, 100%, $G$9) + CHOOSE(CONTROL!$C$38, 0.0357, 0)</f>
        <v>77.905000000000001</v>
      </c>
      <c r="I1032" s="10">
        <f>77.8709 * CHOOSE(CONTROL!$C$15, $E$9, 100%, $G$9) + CHOOSE(CONTROL!$C$38, 0.0357, 0)</f>
        <v>77.906600000000012</v>
      </c>
      <c r="J1032" s="26">
        <f>488.1215</f>
        <v>488.12150000000003</v>
      </c>
    </row>
    <row r="1033" spans="1:10" ht="15.75">
      <c r="A1033" s="13">
        <v>72744</v>
      </c>
      <c r="B1033" s="10">
        <f>84.4487 * CHOOSE(CONTROL!$C$15, $E$9, 100%, $G$9) + CHOOSE(CONTROL!$C$38, 0.0266, 0)</f>
        <v>84.475300000000004</v>
      </c>
      <c r="C1033" s="10">
        <f>78.0916 * CHOOSE(CONTROL!$C$15, $E$9, 100%, $G$9) + CHOOSE(CONTROL!$C$38, 0.0357, 0)</f>
        <v>78.127300000000005</v>
      </c>
      <c r="D1033" s="10">
        <f>78.0838 * CHOOSE(CONTROL!$C$15, $E$9, 100%, $G$9) + CHOOSE(CONTROL!$C$38, 0.0357, 0)</f>
        <v>78.119500000000002</v>
      </c>
      <c r="E1033" s="28">
        <f>84.2925 * CHOOSE(CONTROL!$C$15, $E$9, 100%, $G$9) + CHOOSE(CONTROL!$C$38, 0.0357, 0)</f>
        <v>84.32820000000001</v>
      </c>
      <c r="F1033" s="27">
        <f>84.2925 * CHOOSE(CONTROL!$C$15, $E$9, 100%, $G$9) + CHOOSE(CONTROL!$C$38, 0.0266, 0)</f>
        <v>84.319100000000006</v>
      </c>
      <c r="G1033" s="10">
        <f>78.0901 * CHOOSE(CONTROL!$C$15, $E$9, 100%, $G$9) + CHOOSE(CONTROL!$C$38, 0.0357, 0)</f>
        <v>78.125800000000012</v>
      </c>
      <c r="H1033" s="10">
        <f>78.0901 * CHOOSE(CONTROL!$C$15, $E$9, 100%, $G$9) + CHOOSE(CONTROL!$C$38, 0.0357, 0)</f>
        <v>78.125800000000012</v>
      </c>
      <c r="I1033" s="10">
        <f>78.0916 * CHOOSE(CONTROL!$C$15, $E$9, 100%, $G$9) + CHOOSE(CONTROL!$C$38, 0.0357, 0)</f>
        <v>78.127300000000005</v>
      </c>
      <c r="J1033" s="26">
        <f>486.7646</f>
        <v>486.76459999999997</v>
      </c>
    </row>
    <row r="1034" spans="1:10" ht="15.75">
      <c r="A1034" s="13">
        <v>72775</v>
      </c>
      <c r="B1034" s="10">
        <f>83.9377 * CHOOSE(CONTROL!$C$15, $E$9, 100%, $G$9) + CHOOSE(CONTROL!$C$38, 0.0266, 0)</f>
        <v>83.964300000000009</v>
      </c>
      <c r="C1034" s="10">
        <f>77.5806 * CHOOSE(CONTROL!$C$15, $E$9, 100%, $G$9) + CHOOSE(CONTROL!$C$38, 0.0357, 0)</f>
        <v>77.61630000000001</v>
      </c>
      <c r="D1034" s="10">
        <f>77.5728 * CHOOSE(CONTROL!$C$15, $E$9, 100%, $G$9) + CHOOSE(CONTROL!$C$38, 0.0357, 0)</f>
        <v>77.608500000000006</v>
      </c>
      <c r="E1034" s="28">
        <f>83.7814 * CHOOSE(CONTROL!$C$15, $E$9, 100%, $G$9) + CHOOSE(CONTROL!$C$38, 0.0357, 0)</f>
        <v>83.817100000000011</v>
      </c>
      <c r="F1034" s="27">
        <f>83.7814 * CHOOSE(CONTROL!$C$15, $E$9, 100%, $G$9) + CHOOSE(CONTROL!$C$38, 0.0266, 0)</f>
        <v>83.808000000000007</v>
      </c>
      <c r="G1034" s="10">
        <f>77.579 * CHOOSE(CONTROL!$C$15, $E$9, 100%, $G$9) + CHOOSE(CONTROL!$C$38, 0.0357, 0)</f>
        <v>77.614699999999999</v>
      </c>
      <c r="H1034" s="10">
        <f>77.579 * CHOOSE(CONTROL!$C$15, $E$9, 100%, $G$9) + CHOOSE(CONTROL!$C$38, 0.0357, 0)</f>
        <v>77.614699999999999</v>
      </c>
      <c r="I1034" s="10">
        <f>77.5806 * CHOOSE(CONTROL!$C$15, $E$9, 100%, $G$9) + CHOOSE(CONTROL!$C$38, 0.0357, 0)</f>
        <v>77.61630000000001</v>
      </c>
      <c r="J1034" s="26">
        <f>512.42</f>
        <v>512.41999999999996</v>
      </c>
    </row>
    <row r="1035" spans="1:10" ht="15.75">
      <c r="A1035" s="13">
        <v>72805</v>
      </c>
      <c r="B1035" s="10">
        <f>83.4425 * CHOOSE(CONTROL!$C$15, $E$9, 100%, $G$9) + CHOOSE(CONTROL!$C$38, 0.0266, 0)</f>
        <v>83.469099999999997</v>
      </c>
      <c r="C1035" s="10">
        <f>77.0854 * CHOOSE(CONTROL!$C$15, $E$9, 100%, $G$9) + CHOOSE(CONTROL!$C$38, 0.0357, 0)</f>
        <v>77.121100000000013</v>
      </c>
      <c r="D1035" s="10">
        <f>77.0776 * CHOOSE(CONTROL!$C$15, $E$9, 100%, $G$9) + CHOOSE(CONTROL!$C$38, 0.0357, 0)</f>
        <v>77.11330000000001</v>
      </c>
      <c r="E1035" s="28">
        <f>83.2863 * CHOOSE(CONTROL!$C$15, $E$9, 100%, $G$9) + CHOOSE(CONTROL!$C$38, 0.0357, 0)</f>
        <v>83.322000000000003</v>
      </c>
      <c r="F1035" s="27">
        <f>83.2863 * CHOOSE(CONTROL!$C$15, $E$9, 100%, $G$9) + CHOOSE(CONTROL!$C$38, 0.0266, 0)</f>
        <v>83.312899999999999</v>
      </c>
      <c r="G1035" s="10">
        <f>77.0839 * CHOOSE(CONTROL!$C$15, $E$9, 100%, $G$9) + CHOOSE(CONTROL!$C$38, 0.0357, 0)</f>
        <v>77.119600000000005</v>
      </c>
      <c r="H1035" s="10">
        <f>77.0839 * CHOOSE(CONTROL!$C$15, $E$9, 100%, $G$9) + CHOOSE(CONTROL!$C$38, 0.0357, 0)</f>
        <v>77.119600000000005</v>
      </c>
      <c r="I1035" s="10">
        <f>77.0854 * CHOOSE(CONTROL!$C$15, $E$9, 100%, $G$9) + CHOOSE(CONTROL!$C$38, 0.0357, 0)</f>
        <v>77.121100000000013</v>
      </c>
      <c r="J1035" s="26">
        <f>545.6888</f>
        <v>545.68880000000001</v>
      </c>
    </row>
    <row r="1036" spans="1:10" ht="15.75">
      <c r="A1036" s="13">
        <v>72836</v>
      </c>
      <c r="B1036" s="10">
        <f>82.9264 * CHOOSE(CONTROL!$C$15, $E$9, 100%, $G$9) + CHOOSE(CONTROL!$C$38, 0.0266, 0)</f>
        <v>82.953000000000003</v>
      </c>
      <c r="C1036" s="10">
        <f>76.5693 * CHOOSE(CONTROL!$C$15, $E$9, 100%, $G$9) + CHOOSE(CONTROL!$C$38, 0.0357, 0)</f>
        <v>76.605000000000004</v>
      </c>
      <c r="D1036" s="10">
        <f>76.5615 * CHOOSE(CONTROL!$C$15, $E$9, 100%, $G$9) + CHOOSE(CONTROL!$C$38, 0.0357, 0)</f>
        <v>76.597200000000001</v>
      </c>
      <c r="E1036" s="28">
        <f>82.7702 * CHOOSE(CONTROL!$C$15, $E$9, 100%, $G$9) + CHOOSE(CONTROL!$C$38, 0.0357, 0)</f>
        <v>82.805900000000008</v>
      </c>
      <c r="F1036" s="27">
        <f>82.7702 * CHOOSE(CONTROL!$C$15, $E$9, 100%, $G$9) + CHOOSE(CONTROL!$C$38, 0.0266, 0)</f>
        <v>82.796800000000005</v>
      </c>
      <c r="G1036" s="10">
        <f>76.5677 * CHOOSE(CONTROL!$C$15, $E$9, 100%, $G$9) + CHOOSE(CONTROL!$C$38, 0.0357, 0)</f>
        <v>76.603400000000008</v>
      </c>
      <c r="H1036" s="10">
        <f>76.5677 * CHOOSE(CONTROL!$C$15, $E$9, 100%, $G$9) + CHOOSE(CONTROL!$C$38, 0.0357, 0)</f>
        <v>76.603400000000008</v>
      </c>
      <c r="I1036" s="10">
        <f>76.5693 * CHOOSE(CONTROL!$C$15, $E$9, 100%, $G$9) + CHOOSE(CONTROL!$C$38, 0.0357, 0)</f>
        <v>76.605000000000004</v>
      </c>
      <c r="J1036" s="26">
        <f>564.001</f>
        <v>564.00099999999998</v>
      </c>
    </row>
    <row r="1037" spans="1:10" ht="15.75">
      <c r="A1037" s="13">
        <v>72866</v>
      </c>
      <c r="B1037" s="10">
        <f>82.5646 * CHOOSE(CONTROL!$C$15, $E$9, 100%, $G$9) + CHOOSE(CONTROL!$C$38, 0.0266, 0)</f>
        <v>82.591200000000001</v>
      </c>
      <c r="C1037" s="10">
        <f>76.2075 * CHOOSE(CONTROL!$C$15, $E$9, 100%, $G$9) + CHOOSE(CONTROL!$C$38, 0.0357, 0)</f>
        <v>76.243200000000002</v>
      </c>
      <c r="D1037" s="10">
        <f>76.1997 * CHOOSE(CONTROL!$C$15, $E$9, 100%, $G$9) + CHOOSE(CONTROL!$C$38, 0.0357, 0)</f>
        <v>76.235400000000013</v>
      </c>
      <c r="E1037" s="28">
        <f>82.4083 * CHOOSE(CONTROL!$C$15, $E$9, 100%, $G$9) + CHOOSE(CONTROL!$C$38, 0.0357, 0)</f>
        <v>82.444000000000003</v>
      </c>
      <c r="F1037" s="27">
        <f>82.4083 * CHOOSE(CONTROL!$C$15, $E$9, 100%, $G$9) + CHOOSE(CONTROL!$C$38, 0.0266, 0)</f>
        <v>82.434899999999999</v>
      </c>
      <c r="G1037" s="10">
        <f>76.2059 * CHOOSE(CONTROL!$C$15, $E$9, 100%, $G$9) + CHOOSE(CONTROL!$C$38, 0.0357, 0)</f>
        <v>76.241600000000005</v>
      </c>
      <c r="H1037" s="10">
        <f>76.2059 * CHOOSE(CONTROL!$C$15, $E$9, 100%, $G$9) + CHOOSE(CONTROL!$C$38, 0.0357, 0)</f>
        <v>76.241600000000005</v>
      </c>
      <c r="I1037" s="10">
        <f>76.2075 * CHOOSE(CONTROL!$C$15, $E$9, 100%, $G$9) + CHOOSE(CONTROL!$C$38, 0.0357, 0)</f>
        <v>76.243200000000002</v>
      </c>
      <c r="J1037" s="26">
        <f>572.1276</f>
        <v>572.12760000000003</v>
      </c>
    </row>
    <row r="1038" spans="1:10" ht="15.75">
      <c r="A1038" s="13">
        <v>72897</v>
      </c>
      <c r="B1038" s="10">
        <f>82.3581 * CHOOSE(CONTROL!$C$15, $E$9, 100%, $G$9) + CHOOSE(CONTROL!$C$38, 0.0266, 0)</f>
        <v>82.384699999999995</v>
      </c>
      <c r="C1038" s="10">
        <f>76.001 * CHOOSE(CONTROL!$C$15, $E$9, 100%, $G$9) + CHOOSE(CONTROL!$C$38, 0.0357, 0)</f>
        <v>76.03670000000001</v>
      </c>
      <c r="D1038" s="10">
        <f>75.9932 * CHOOSE(CONTROL!$C$15, $E$9, 100%, $G$9) + CHOOSE(CONTROL!$C$38, 0.0357, 0)</f>
        <v>76.028900000000007</v>
      </c>
      <c r="E1038" s="28">
        <f>82.2018 * CHOOSE(CONTROL!$C$15, $E$9, 100%, $G$9) + CHOOSE(CONTROL!$C$38, 0.0357, 0)</f>
        <v>82.237500000000011</v>
      </c>
      <c r="F1038" s="27">
        <f>82.2018 * CHOOSE(CONTROL!$C$15, $E$9, 100%, $G$9) + CHOOSE(CONTROL!$C$38, 0.0266, 0)</f>
        <v>82.228400000000008</v>
      </c>
      <c r="G1038" s="10">
        <f>75.9994 * CHOOSE(CONTROL!$C$15, $E$9, 100%, $G$9) + CHOOSE(CONTROL!$C$38, 0.0357, 0)</f>
        <v>76.0351</v>
      </c>
      <c r="H1038" s="10">
        <f>75.9994 * CHOOSE(CONTROL!$C$15, $E$9, 100%, $G$9) + CHOOSE(CONTROL!$C$38, 0.0357, 0)</f>
        <v>76.0351</v>
      </c>
      <c r="I1038" s="10">
        <f>76.001 * CHOOSE(CONTROL!$C$15, $E$9, 100%, $G$9) + CHOOSE(CONTROL!$C$38, 0.0357, 0)</f>
        <v>76.03670000000001</v>
      </c>
      <c r="J1038" s="26">
        <f>569.452</f>
        <v>569.452</v>
      </c>
    </row>
    <row r="1039" spans="1:10" ht="15.75">
      <c r="A1039" s="13">
        <v>72928</v>
      </c>
      <c r="B1039" s="10">
        <f>82.46 * CHOOSE(CONTROL!$C$15, $E$9, 100%, $G$9) + CHOOSE(CONTROL!$C$38, 0.0266, 0)</f>
        <v>82.486599999999996</v>
      </c>
      <c r="C1039" s="10">
        <f>76.1029 * CHOOSE(CONTROL!$C$15, $E$9, 100%, $G$9) + CHOOSE(CONTROL!$C$38, 0.0357, 0)</f>
        <v>76.138600000000011</v>
      </c>
      <c r="D1039" s="10">
        <f>76.0951 * CHOOSE(CONTROL!$C$15, $E$9, 100%, $G$9) + CHOOSE(CONTROL!$C$38, 0.0357, 0)</f>
        <v>76.130800000000008</v>
      </c>
      <c r="E1039" s="28">
        <f>82.3037 * CHOOSE(CONTROL!$C$15, $E$9, 100%, $G$9) + CHOOSE(CONTROL!$C$38, 0.0357, 0)</f>
        <v>82.339400000000012</v>
      </c>
      <c r="F1039" s="27">
        <f>82.3037 * CHOOSE(CONTROL!$C$15, $E$9, 100%, $G$9) + CHOOSE(CONTROL!$C$38, 0.0266, 0)</f>
        <v>82.330300000000008</v>
      </c>
      <c r="G1039" s="10">
        <f>76.1013 * CHOOSE(CONTROL!$C$15, $E$9, 100%, $G$9) + CHOOSE(CONTROL!$C$38, 0.0357, 0)</f>
        <v>76.137</v>
      </c>
      <c r="H1039" s="10">
        <f>76.1013 * CHOOSE(CONTROL!$C$15, $E$9, 100%, $G$9) + CHOOSE(CONTROL!$C$38, 0.0357, 0)</f>
        <v>76.137</v>
      </c>
      <c r="I1039" s="10">
        <f>76.1029 * CHOOSE(CONTROL!$C$15, $E$9, 100%, $G$9) + CHOOSE(CONTROL!$C$38, 0.0357, 0)</f>
        <v>76.138600000000011</v>
      </c>
      <c r="J1039" s="26">
        <f>556.1954</f>
        <v>556.19539999999995</v>
      </c>
    </row>
    <row r="1040" spans="1:10" ht="15.75">
      <c r="A1040" s="13">
        <v>72958</v>
      </c>
      <c r="B1040" s="10">
        <f>82.7368 * CHOOSE(CONTROL!$C$15, $E$9, 100%, $G$9) + CHOOSE(CONTROL!$C$38, 0.0266, 0)</f>
        <v>82.763400000000004</v>
      </c>
      <c r="C1040" s="10">
        <f>76.3797 * CHOOSE(CONTROL!$C$15, $E$9, 100%, $G$9) + CHOOSE(CONTROL!$C$38, 0.0357, 0)</f>
        <v>76.415400000000005</v>
      </c>
      <c r="D1040" s="10">
        <f>76.3719 * CHOOSE(CONTROL!$C$15, $E$9, 100%, $G$9) + CHOOSE(CONTROL!$C$38, 0.0357, 0)</f>
        <v>76.407600000000002</v>
      </c>
      <c r="E1040" s="28">
        <f>82.5805 * CHOOSE(CONTROL!$C$15, $E$9, 100%, $G$9) + CHOOSE(CONTROL!$C$38, 0.0357, 0)</f>
        <v>82.616200000000006</v>
      </c>
      <c r="F1040" s="27">
        <f>82.5805 * CHOOSE(CONTROL!$C$15, $E$9, 100%, $G$9) + CHOOSE(CONTROL!$C$38, 0.0266, 0)</f>
        <v>82.607100000000003</v>
      </c>
      <c r="G1040" s="10">
        <f>76.3781 * CHOOSE(CONTROL!$C$15, $E$9, 100%, $G$9) + CHOOSE(CONTROL!$C$38, 0.0357, 0)</f>
        <v>76.413800000000009</v>
      </c>
      <c r="H1040" s="10">
        <f>76.3781 * CHOOSE(CONTROL!$C$15, $E$9, 100%, $G$9) + CHOOSE(CONTROL!$C$38, 0.0357, 0)</f>
        <v>76.413800000000009</v>
      </c>
      <c r="I1040" s="10">
        <f>76.3797 * CHOOSE(CONTROL!$C$15, $E$9, 100%, $G$9) + CHOOSE(CONTROL!$C$38, 0.0357, 0)</f>
        <v>76.415400000000005</v>
      </c>
      <c r="J1040" s="26">
        <f>537.7084</f>
        <v>537.70839999999998</v>
      </c>
    </row>
    <row r="1041" spans="1:10" ht="15.75">
      <c r="A1041" s="13">
        <v>72989</v>
      </c>
      <c r="B1041" s="10">
        <f>82.9686 * CHOOSE(CONTROL!$C$15, $E$9, 100%, $G$9) + CHOOSE(CONTROL!$C$38, 0.0266, 0)</f>
        <v>82.995199999999997</v>
      </c>
      <c r="C1041" s="10">
        <f>76.6115 * CHOOSE(CONTROL!$C$15, $E$9, 100%, $G$9) + CHOOSE(CONTROL!$C$38, 0.0357, 0)</f>
        <v>76.647200000000012</v>
      </c>
      <c r="D1041" s="10">
        <f>76.6037 * CHOOSE(CONTROL!$C$15, $E$9, 100%, $G$9) + CHOOSE(CONTROL!$C$38, 0.0357, 0)</f>
        <v>76.639400000000009</v>
      </c>
      <c r="E1041" s="28">
        <f>82.8124 * CHOOSE(CONTROL!$C$15, $E$9, 100%, $G$9) + CHOOSE(CONTROL!$C$38, 0.0357, 0)</f>
        <v>82.848100000000002</v>
      </c>
      <c r="F1041" s="27">
        <f>82.8124 * CHOOSE(CONTROL!$C$15, $E$9, 100%, $G$9) + CHOOSE(CONTROL!$C$38, 0.0266, 0)</f>
        <v>82.838999999999999</v>
      </c>
      <c r="G1041" s="10">
        <f>76.6099 * CHOOSE(CONTROL!$C$15, $E$9, 100%, $G$9) + CHOOSE(CONTROL!$C$38, 0.0357, 0)</f>
        <v>76.645600000000002</v>
      </c>
      <c r="H1041" s="10">
        <f>76.6099 * CHOOSE(CONTROL!$C$15, $E$9, 100%, $G$9) + CHOOSE(CONTROL!$C$38, 0.0357, 0)</f>
        <v>76.645600000000002</v>
      </c>
      <c r="I1041" s="10">
        <f>76.6115 * CHOOSE(CONTROL!$C$15, $E$9, 100%, $G$9) + CHOOSE(CONTROL!$C$38, 0.0357, 0)</f>
        <v>76.647200000000012</v>
      </c>
      <c r="J1041" s="26">
        <f>519.1139</f>
        <v>519.11389999999994</v>
      </c>
    </row>
    <row r="1042" spans="1:10" ht="15.75">
      <c r="A1042" s="13">
        <v>73019</v>
      </c>
      <c r="B1042" s="10">
        <f>83.162 * CHOOSE(CONTROL!$C$15, $E$9, 100%, $G$9) + CHOOSE(CONTROL!$C$38, 0.0266, 0)</f>
        <v>83.188600000000008</v>
      </c>
      <c r="C1042" s="10">
        <f>76.8049 * CHOOSE(CONTROL!$C$15, $E$9, 100%, $G$9) + CHOOSE(CONTROL!$C$38, 0.0357, 0)</f>
        <v>76.840600000000009</v>
      </c>
      <c r="D1042" s="10">
        <f>76.7971 * CHOOSE(CONTROL!$C$15, $E$9, 100%, $G$9) + CHOOSE(CONTROL!$C$38, 0.0357, 0)</f>
        <v>76.832800000000006</v>
      </c>
      <c r="E1042" s="28">
        <f>83.0058 * CHOOSE(CONTROL!$C$15, $E$9, 100%, $G$9) + CHOOSE(CONTROL!$C$38, 0.0357, 0)</f>
        <v>83.041499999999999</v>
      </c>
      <c r="F1042" s="27">
        <f>83.0058 * CHOOSE(CONTROL!$C$15, $E$9, 100%, $G$9) + CHOOSE(CONTROL!$C$38, 0.0266, 0)</f>
        <v>83.032399999999996</v>
      </c>
      <c r="G1042" s="10">
        <f>76.8034 * CHOOSE(CONTROL!$C$15, $E$9, 100%, $G$9) + CHOOSE(CONTROL!$C$38, 0.0357, 0)</f>
        <v>76.839100000000002</v>
      </c>
      <c r="H1042" s="10">
        <f>76.8034 * CHOOSE(CONTROL!$C$15, $E$9, 100%, $G$9) + CHOOSE(CONTROL!$C$38, 0.0357, 0)</f>
        <v>76.839100000000002</v>
      </c>
      <c r="I1042" s="10">
        <f>76.8049 * CHOOSE(CONTROL!$C$15, $E$9, 100%, $G$9) + CHOOSE(CONTROL!$C$38, 0.0357, 0)</f>
        <v>76.840600000000009</v>
      </c>
      <c r="J1042" s="26">
        <f>515.4151</f>
        <v>515.41510000000005</v>
      </c>
    </row>
    <row r="1043" spans="1:10" ht="15.75">
      <c r="A1043" s="13">
        <v>73050</v>
      </c>
      <c r="B1043" s="10">
        <f>83.7581 * CHOOSE(CONTROL!$C$15, $E$9, 100%, $G$9) + CHOOSE(CONTROL!$C$38, 0.0266, 0)</f>
        <v>83.784700000000001</v>
      </c>
      <c r="C1043" s="10">
        <f>77.401 * CHOOSE(CONTROL!$C$15, $E$9, 100%, $G$9) + CHOOSE(CONTROL!$C$38, 0.0357, 0)</f>
        <v>77.436700000000002</v>
      </c>
      <c r="D1043" s="10">
        <f>77.3932 * CHOOSE(CONTROL!$C$15, $E$9, 100%, $G$9) + CHOOSE(CONTROL!$C$38, 0.0357, 0)</f>
        <v>77.428899999999999</v>
      </c>
      <c r="E1043" s="28">
        <f>83.6019 * CHOOSE(CONTROL!$C$15, $E$9, 100%, $G$9) + CHOOSE(CONTROL!$C$38, 0.0357, 0)</f>
        <v>83.637600000000006</v>
      </c>
      <c r="F1043" s="27">
        <f>83.6019 * CHOOSE(CONTROL!$C$15, $E$9, 100%, $G$9) + CHOOSE(CONTROL!$C$38, 0.0266, 0)</f>
        <v>83.628500000000003</v>
      </c>
      <c r="G1043" s="10">
        <f>77.3995 * CHOOSE(CONTROL!$C$15, $E$9, 100%, $G$9) + CHOOSE(CONTROL!$C$38, 0.0357, 0)</f>
        <v>77.435200000000009</v>
      </c>
      <c r="H1043" s="10">
        <f>77.3995 * CHOOSE(CONTROL!$C$15, $E$9, 100%, $G$9) + CHOOSE(CONTROL!$C$38, 0.0357, 0)</f>
        <v>77.435200000000009</v>
      </c>
      <c r="I1043" s="10">
        <f>77.401 * CHOOSE(CONTROL!$C$15, $E$9, 100%, $G$9) + CHOOSE(CONTROL!$C$38, 0.0357, 0)</f>
        <v>77.436700000000002</v>
      </c>
      <c r="J1043" s="26">
        <f>500.1201</f>
        <v>500.12009999999998</v>
      </c>
    </row>
    <row r="1044" spans="1:10" ht="15.75">
      <c r="A1044" s="13">
        <v>73081</v>
      </c>
      <c r="B1044" s="10">
        <f>85.6879 * CHOOSE(CONTROL!$C$15, $E$9, 100%, $G$9) + CHOOSE(CONTROL!$C$38, 0.0266, 0)</f>
        <v>85.714500000000001</v>
      </c>
      <c r="C1044" s="10">
        <f>79.2213 * CHOOSE(CONTROL!$C$15, $E$9, 100%, $G$9) + CHOOSE(CONTROL!$C$38, 0.0357, 0)</f>
        <v>79.257000000000005</v>
      </c>
      <c r="D1044" s="10">
        <f>79.2135 * CHOOSE(CONTROL!$C$15, $E$9, 100%, $G$9) + CHOOSE(CONTROL!$C$38, 0.0357, 0)</f>
        <v>79.249200000000002</v>
      </c>
      <c r="E1044" s="28">
        <f>85.5317 * CHOOSE(CONTROL!$C$15, $E$9, 100%, $G$9) + CHOOSE(CONTROL!$C$38, 0.0357, 0)</f>
        <v>85.567400000000006</v>
      </c>
      <c r="F1044" s="27">
        <f>85.5317 * CHOOSE(CONTROL!$C$15, $E$9, 100%, $G$9) + CHOOSE(CONTROL!$C$38, 0.0266, 0)</f>
        <v>85.558300000000003</v>
      </c>
      <c r="G1044" s="10">
        <f>79.2197 * CHOOSE(CONTROL!$C$15, $E$9, 100%, $G$9) + CHOOSE(CONTROL!$C$38, 0.0357, 0)</f>
        <v>79.255400000000009</v>
      </c>
      <c r="H1044" s="10">
        <f>79.2197 * CHOOSE(CONTROL!$C$15, $E$9, 100%, $G$9) + CHOOSE(CONTROL!$C$38, 0.0357, 0)</f>
        <v>79.255400000000009</v>
      </c>
      <c r="I1044" s="10">
        <f>79.2213 * CHOOSE(CONTROL!$C$15, $E$9, 100%, $G$9) + CHOOSE(CONTROL!$C$38, 0.0357, 0)</f>
        <v>79.257000000000005</v>
      </c>
      <c r="J1044" s="26">
        <f>496.77</f>
        <v>496.77</v>
      </c>
    </row>
    <row r="1045" spans="1:10" ht="15.75">
      <c r="A1045" s="13">
        <v>73109</v>
      </c>
      <c r="B1045" s="10">
        <f>85.9087 * CHOOSE(CONTROL!$C$15, $E$9, 100%, $G$9) + CHOOSE(CONTROL!$C$38, 0.0266, 0)</f>
        <v>85.935299999999998</v>
      </c>
      <c r="C1045" s="10">
        <f>79.442 * CHOOSE(CONTROL!$C$15, $E$9, 100%, $G$9) + CHOOSE(CONTROL!$C$38, 0.0357, 0)</f>
        <v>79.477699999999999</v>
      </c>
      <c r="D1045" s="10">
        <f>79.4342 * CHOOSE(CONTROL!$C$15, $E$9, 100%, $G$9) + CHOOSE(CONTROL!$C$38, 0.0357, 0)</f>
        <v>79.46990000000001</v>
      </c>
      <c r="E1045" s="28">
        <f>85.7524 * CHOOSE(CONTROL!$C$15, $E$9, 100%, $G$9) + CHOOSE(CONTROL!$C$38, 0.0357, 0)</f>
        <v>85.7881</v>
      </c>
      <c r="F1045" s="27">
        <f>85.7524 * CHOOSE(CONTROL!$C$15, $E$9, 100%, $G$9) + CHOOSE(CONTROL!$C$38, 0.0266, 0)</f>
        <v>85.778999999999996</v>
      </c>
      <c r="G1045" s="10">
        <f>79.4405 * CHOOSE(CONTROL!$C$15, $E$9, 100%, $G$9) + CHOOSE(CONTROL!$C$38, 0.0357, 0)</f>
        <v>79.476200000000006</v>
      </c>
      <c r="H1045" s="10">
        <f>79.4405 * CHOOSE(CONTROL!$C$15, $E$9, 100%, $G$9) + CHOOSE(CONTROL!$C$38, 0.0357, 0)</f>
        <v>79.476200000000006</v>
      </c>
      <c r="I1045" s="10">
        <f>79.442 * CHOOSE(CONTROL!$C$15, $E$9, 100%, $G$9) + CHOOSE(CONTROL!$C$38, 0.0357, 0)</f>
        <v>79.477699999999999</v>
      </c>
      <c r="J1045" s="26">
        <f>495.3892</f>
        <v>495.38920000000002</v>
      </c>
    </row>
    <row r="1046" spans="1:10" ht="15.75">
      <c r="A1046" s="13">
        <v>73140</v>
      </c>
      <c r="B1046" s="10">
        <f>85.3977 * CHOOSE(CONTROL!$C$15, $E$9, 100%, $G$9) + CHOOSE(CONTROL!$C$38, 0.0266, 0)</f>
        <v>85.424300000000002</v>
      </c>
      <c r="C1046" s="10">
        <f>78.931 * CHOOSE(CONTROL!$C$15, $E$9, 100%, $G$9) + CHOOSE(CONTROL!$C$38, 0.0357, 0)</f>
        <v>78.966700000000003</v>
      </c>
      <c r="D1046" s="10">
        <f>78.9232 * CHOOSE(CONTROL!$C$15, $E$9, 100%, $G$9) + CHOOSE(CONTROL!$C$38, 0.0357, 0)</f>
        <v>78.9589</v>
      </c>
      <c r="E1046" s="28">
        <f>85.2414 * CHOOSE(CONTROL!$C$15, $E$9, 100%, $G$9) + CHOOSE(CONTROL!$C$38, 0.0357, 0)</f>
        <v>85.277100000000004</v>
      </c>
      <c r="F1046" s="27">
        <f>85.2414 * CHOOSE(CONTROL!$C$15, $E$9, 100%, $G$9) + CHOOSE(CONTROL!$C$38, 0.0266, 0)</f>
        <v>85.268000000000001</v>
      </c>
      <c r="G1046" s="10">
        <f>78.9294 * CHOOSE(CONTROL!$C$15, $E$9, 100%, $G$9) + CHOOSE(CONTROL!$C$38, 0.0357, 0)</f>
        <v>78.965100000000007</v>
      </c>
      <c r="H1046" s="10">
        <f>78.9294 * CHOOSE(CONTROL!$C$15, $E$9, 100%, $G$9) + CHOOSE(CONTROL!$C$38, 0.0357, 0)</f>
        <v>78.965100000000007</v>
      </c>
      <c r="I1046" s="10">
        <f>78.931 * CHOOSE(CONTROL!$C$15, $E$9, 100%, $G$9) + CHOOSE(CONTROL!$C$38, 0.0357, 0)</f>
        <v>78.966700000000003</v>
      </c>
      <c r="J1046" s="26">
        <f>521.4991</f>
        <v>521.4991</v>
      </c>
    </row>
    <row r="1047" spans="1:10" ht="15.75">
      <c r="A1047" s="13">
        <v>73170</v>
      </c>
      <c r="B1047" s="10">
        <f>84.9025 * CHOOSE(CONTROL!$C$15, $E$9, 100%, $G$9) + CHOOSE(CONTROL!$C$38, 0.0266, 0)</f>
        <v>84.929100000000005</v>
      </c>
      <c r="C1047" s="10">
        <f>78.4358 * CHOOSE(CONTROL!$C$15, $E$9, 100%, $G$9) + CHOOSE(CONTROL!$C$38, 0.0357, 0)</f>
        <v>78.471500000000006</v>
      </c>
      <c r="D1047" s="10">
        <f>78.428 * CHOOSE(CONTROL!$C$15, $E$9, 100%, $G$9) + CHOOSE(CONTROL!$C$38, 0.0357, 0)</f>
        <v>78.463700000000003</v>
      </c>
      <c r="E1047" s="28">
        <f>84.7462 * CHOOSE(CONTROL!$C$15, $E$9, 100%, $G$9) + CHOOSE(CONTROL!$C$38, 0.0357, 0)</f>
        <v>84.781900000000007</v>
      </c>
      <c r="F1047" s="27">
        <f>84.7462 * CHOOSE(CONTROL!$C$15, $E$9, 100%, $G$9) + CHOOSE(CONTROL!$C$38, 0.0266, 0)</f>
        <v>84.772800000000004</v>
      </c>
      <c r="G1047" s="10">
        <f>78.4343 * CHOOSE(CONTROL!$C$15, $E$9, 100%, $G$9) + CHOOSE(CONTROL!$C$38, 0.0357, 0)</f>
        <v>78.47</v>
      </c>
      <c r="H1047" s="10">
        <f>78.4343 * CHOOSE(CONTROL!$C$15, $E$9, 100%, $G$9) + CHOOSE(CONTROL!$C$38, 0.0357, 0)</f>
        <v>78.47</v>
      </c>
      <c r="I1047" s="10">
        <f>78.4358 * CHOOSE(CONTROL!$C$15, $E$9, 100%, $G$9) + CHOOSE(CONTROL!$C$38, 0.0357, 0)</f>
        <v>78.471500000000006</v>
      </c>
      <c r="J1047" s="26">
        <f>555.3573</f>
        <v>555.35730000000001</v>
      </c>
    </row>
    <row r="1048" spans="1:10" ht="15.75">
      <c r="A1048" s="13">
        <v>73201</v>
      </c>
      <c r="B1048" s="10">
        <f>84.3864 * CHOOSE(CONTROL!$C$15, $E$9, 100%, $G$9) + CHOOSE(CONTROL!$C$38, 0.0266, 0)</f>
        <v>84.412999999999997</v>
      </c>
      <c r="C1048" s="10">
        <f>77.9197 * CHOOSE(CONTROL!$C$15, $E$9, 100%, $G$9) + CHOOSE(CONTROL!$C$38, 0.0357, 0)</f>
        <v>77.955400000000012</v>
      </c>
      <c r="D1048" s="10">
        <f>77.9119 * CHOOSE(CONTROL!$C$15, $E$9, 100%, $G$9) + CHOOSE(CONTROL!$C$38, 0.0357, 0)</f>
        <v>77.947600000000008</v>
      </c>
      <c r="E1048" s="28">
        <f>84.2301 * CHOOSE(CONTROL!$C$15, $E$9, 100%, $G$9) + CHOOSE(CONTROL!$C$38, 0.0357, 0)</f>
        <v>84.265799999999999</v>
      </c>
      <c r="F1048" s="27">
        <f>84.2301 * CHOOSE(CONTROL!$C$15, $E$9, 100%, $G$9) + CHOOSE(CONTROL!$C$38, 0.0266, 0)</f>
        <v>84.256699999999995</v>
      </c>
      <c r="G1048" s="10">
        <f>77.9181 * CHOOSE(CONTROL!$C$15, $E$9, 100%, $G$9) + CHOOSE(CONTROL!$C$38, 0.0357, 0)</f>
        <v>77.953800000000001</v>
      </c>
      <c r="H1048" s="10">
        <f>77.9181 * CHOOSE(CONTROL!$C$15, $E$9, 100%, $G$9) + CHOOSE(CONTROL!$C$38, 0.0357, 0)</f>
        <v>77.953800000000001</v>
      </c>
      <c r="I1048" s="10">
        <f>77.9197 * CHOOSE(CONTROL!$C$15, $E$9, 100%, $G$9) + CHOOSE(CONTROL!$C$38, 0.0357, 0)</f>
        <v>77.955400000000012</v>
      </c>
      <c r="J1048" s="26">
        <f>573.994</f>
        <v>573.99400000000003</v>
      </c>
    </row>
    <row r="1049" spans="1:10" ht="15.75">
      <c r="A1049" s="13">
        <v>73231</v>
      </c>
      <c r="B1049" s="10">
        <f>84.0245 * CHOOSE(CONTROL!$C$15, $E$9, 100%, $G$9) + CHOOSE(CONTROL!$C$38, 0.0266, 0)</f>
        <v>84.051100000000005</v>
      </c>
      <c r="C1049" s="10">
        <f>77.5579 * CHOOSE(CONTROL!$C$15, $E$9, 100%, $G$9) + CHOOSE(CONTROL!$C$38, 0.0357, 0)</f>
        <v>77.593600000000009</v>
      </c>
      <c r="D1049" s="10">
        <f>77.5501 * CHOOSE(CONTROL!$C$15, $E$9, 100%, $G$9) + CHOOSE(CONTROL!$C$38, 0.0357, 0)</f>
        <v>77.585800000000006</v>
      </c>
      <c r="E1049" s="28">
        <f>83.8683 * CHOOSE(CONTROL!$C$15, $E$9, 100%, $G$9) + CHOOSE(CONTROL!$C$38, 0.0357, 0)</f>
        <v>83.904000000000011</v>
      </c>
      <c r="F1049" s="27">
        <f>83.8683 * CHOOSE(CONTROL!$C$15, $E$9, 100%, $G$9) + CHOOSE(CONTROL!$C$38, 0.0266, 0)</f>
        <v>83.894900000000007</v>
      </c>
      <c r="G1049" s="10">
        <f>77.5563 * CHOOSE(CONTROL!$C$15, $E$9, 100%, $G$9) + CHOOSE(CONTROL!$C$38, 0.0357, 0)</f>
        <v>77.591999999999999</v>
      </c>
      <c r="H1049" s="10">
        <f>77.5563 * CHOOSE(CONTROL!$C$15, $E$9, 100%, $G$9) + CHOOSE(CONTROL!$C$38, 0.0357, 0)</f>
        <v>77.591999999999999</v>
      </c>
      <c r="I1049" s="10">
        <f>77.5579 * CHOOSE(CONTROL!$C$15, $E$9, 100%, $G$9) + CHOOSE(CONTROL!$C$38, 0.0357, 0)</f>
        <v>77.593600000000009</v>
      </c>
      <c r="J1049" s="26">
        <f>582.2647</f>
        <v>582.26469999999995</v>
      </c>
    </row>
    <row r="1050" spans="1:10" ht="15.75">
      <c r="A1050" s="13">
        <v>73262</v>
      </c>
      <c r="B1050" s="10">
        <f>83.818 * CHOOSE(CONTROL!$C$15, $E$9, 100%, $G$9) + CHOOSE(CONTROL!$C$38, 0.0266, 0)</f>
        <v>83.8446</v>
      </c>
      <c r="C1050" s="10">
        <f>77.3514 * CHOOSE(CONTROL!$C$15, $E$9, 100%, $G$9) + CHOOSE(CONTROL!$C$38, 0.0357, 0)</f>
        <v>77.387100000000004</v>
      </c>
      <c r="D1050" s="10">
        <f>77.3436 * CHOOSE(CONTROL!$C$15, $E$9, 100%, $G$9) + CHOOSE(CONTROL!$C$38, 0.0357, 0)</f>
        <v>77.379300000000001</v>
      </c>
      <c r="E1050" s="28">
        <f>83.6618 * CHOOSE(CONTROL!$C$15, $E$9, 100%, $G$9) + CHOOSE(CONTROL!$C$38, 0.0357, 0)</f>
        <v>83.697500000000005</v>
      </c>
      <c r="F1050" s="27">
        <f>83.6618 * CHOOSE(CONTROL!$C$15, $E$9, 100%, $G$9) + CHOOSE(CONTROL!$C$38, 0.0266, 0)</f>
        <v>83.688400000000001</v>
      </c>
      <c r="G1050" s="10">
        <f>77.3498 * CHOOSE(CONTROL!$C$15, $E$9, 100%, $G$9) + CHOOSE(CONTROL!$C$38, 0.0357, 0)</f>
        <v>77.385500000000008</v>
      </c>
      <c r="H1050" s="10">
        <f>77.3498 * CHOOSE(CONTROL!$C$15, $E$9, 100%, $G$9) + CHOOSE(CONTROL!$C$38, 0.0357, 0)</f>
        <v>77.385500000000008</v>
      </c>
      <c r="I1050" s="10">
        <f>77.3514 * CHOOSE(CONTROL!$C$15, $E$9, 100%, $G$9) + CHOOSE(CONTROL!$C$38, 0.0357, 0)</f>
        <v>77.387100000000004</v>
      </c>
      <c r="J1050" s="26">
        <f>579.5416</f>
        <v>579.54160000000002</v>
      </c>
    </row>
    <row r="1051" spans="1:10" ht="15.75">
      <c r="A1051" s="13">
        <v>73293</v>
      </c>
      <c r="B1051" s="10">
        <f>83.92 * CHOOSE(CONTROL!$C$15, $E$9, 100%, $G$9) + CHOOSE(CONTROL!$C$38, 0.0266, 0)</f>
        <v>83.946600000000004</v>
      </c>
      <c r="C1051" s="10">
        <f>77.4533 * CHOOSE(CONTROL!$C$15, $E$9, 100%, $G$9) + CHOOSE(CONTROL!$C$38, 0.0357, 0)</f>
        <v>77.489000000000004</v>
      </c>
      <c r="D1051" s="10">
        <f>77.4455 * CHOOSE(CONTROL!$C$15, $E$9, 100%, $G$9) + CHOOSE(CONTROL!$C$38, 0.0357, 0)</f>
        <v>77.481200000000001</v>
      </c>
      <c r="E1051" s="28">
        <f>83.7637 * CHOOSE(CONTROL!$C$15, $E$9, 100%, $G$9) + CHOOSE(CONTROL!$C$38, 0.0357, 0)</f>
        <v>83.799400000000006</v>
      </c>
      <c r="F1051" s="27">
        <f>83.7637 * CHOOSE(CONTROL!$C$15, $E$9, 100%, $G$9) + CHOOSE(CONTROL!$C$38, 0.0266, 0)</f>
        <v>83.790300000000002</v>
      </c>
      <c r="G1051" s="10">
        <f>77.4517 * CHOOSE(CONTROL!$C$15, $E$9, 100%, $G$9) + CHOOSE(CONTROL!$C$38, 0.0357, 0)</f>
        <v>77.487400000000008</v>
      </c>
      <c r="H1051" s="10">
        <f>77.4517 * CHOOSE(CONTROL!$C$15, $E$9, 100%, $G$9) + CHOOSE(CONTROL!$C$38, 0.0357, 0)</f>
        <v>77.487400000000008</v>
      </c>
      <c r="I1051" s="10">
        <f>77.4533 * CHOOSE(CONTROL!$C$15, $E$9, 100%, $G$9) + CHOOSE(CONTROL!$C$38, 0.0357, 0)</f>
        <v>77.489000000000004</v>
      </c>
      <c r="J1051" s="26">
        <f>566.0501</f>
        <v>566.05010000000004</v>
      </c>
    </row>
    <row r="1052" spans="1:10" ht="15.75">
      <c r="A1052" s="13">
        <v>73323</v>
      </c>
      <c r="B1052" s="10">
        <f>84.1968 * CHOOSE(CONTROL!$C$15, $E$9, 100%, $G$9) + CHOOSE(CONTROL!$C$38, 0.0266, 0)</f>
        <v>84.223399999999998</v>
      </c>
      <c r="C1052" s="10">
        <f>77.7301 * CHOOSE(CONTROL!$C$15, $E$9, 100%, $G$9) + CHOOSE(CONTROL!$C$38, 0.0357, 0)</f>
        <v>77.765799999999999</v>
      </c>
      <c r="D1052" s="10">
        <f>77.7223 * CHOOSE(CONTROL!$C$15, $E$9, 100%, $G$9) + CHOOSE(CONTROL!$C$38, 0.0357, 0)</f>
        <v>77.75800000000001</v>
      </c>
      <c r="E1052" s="28">
        <f>84.0405 * CHOOSE(CONTROL!$C$15, $E$9, 100%, $G$9) + CHOOSE(CONTROL!$C$38, 0.0357, 0)</f>
        <v>84.0762</v>
      </c>
      <c r="F1052" s="27">
        <f>84.0405 * CHOOSE(CONTROL!$C$15, $E$9, 100%, $G$9) + CHOOSE(CONTROL!$C$38, 0.0266, 0)</f>
        <v>84.067099999999996</v>
      </c>
      <c r="G1052" s="10">
        <f>77.7285 * CHOOSE(CONTROL!$C$15, $E$9, 100%, $G$9) + CHOOSE(CONTROL!$C$38, 0.0357, 0)</f>
        <v>77.764200000000002</v>
      </c>
      <c r="H1052" s="10">
        <f>77.7285 * CHOOSE(CONTROL!$C$15, $E$9, 100%, $G$9) + CHOOSE(CONTROL!$C$38, 0.0357, 0)</f>
        <v>77.764200000000002</v>
      </c>
      <c r="I1052" s="10">
        <f>77.7301 * CHOOSE(CONTROL!$C$15, $E$9, 100%, $G$9) + CHOOSE(CONTROL!$C$38, 0.0357, 0)</f>
        <v>77.765799999999999</v>
      </c>
      <c r="J1052" s="26">
        <f>547.2356</f>
        <v>547.23559999999998</v>
      </c>
    </row>
    <row r="1053" spans="1:10" ht="15.75">
      <c r="A1053" s="13">
        <v>73354</v>
      </c>
      <c r="B1053" s="10">
        <f>84.4286 * CHOOSE(CONTROL!$C$15, $E$9, 100%, $G$9) + CHOOSE(CONTROL!$C$38, 0.0266, 0)</f>
        <v>84.455200000000005</v>
      </c>
      <c r="C1053" s="10">
        <f>77.9619 * CHOOSE(CONTROL!$C$15, $E$9, 100%, $G$9) + CHOOSE(CONTROL!$C$38, 0.0357, 0)</f>
        <v>77.997600000000006</v>
      </c>
      <c r="D1053" s="10">
        <f>77.9541 * CHOOSE(CONTROL!$C$15, $E$9, 100%, $G$9) + CHOOSE(CONTROL!$C$38, 0.0357, 0)</f>
        <v>77.989800000000002</v>
      </c>
      <c r="E1053" s="28">
        <f>84.2723 * CHOOSE(CONTROL!$C$15, $E$9, 100%, $G$9) + CHOOSE(CONTROL!$C$38, 0.0357, 0)</f>
        <v>84.308000000000007</v>
      </c>
      <c r="F1053" s="27">
        <f>84.2723 * CHOOSE(CONTROL!$C$15, $E$9, 100%, $G$9) + CHOOSE(CONTROL!$C$38, 0.0266, 0)</f>
        <v>84.298900000000003</v>
      </c>
      <c r="G1053" s="10">
        <f>77.9604 * CHOOSE(CONTROL!$C$15, $E$9, 100%, $G$9) + CHOOSE(CONTROL!$C$38, 0.0357, 0)</f>
        <v>77.996100000000013</v>
      </c>
      <c r="H1053" s="10">
        <f>77.9604 * CHOOSE(CONTROL!$C$15, $E$9, 100%, $G$9) + CHOOSE(CONTROL!$C$38, 0.0357, 0)</f>
        <v>77.996100000000013</v>
      </c>
      <c r="I1053" s="10">
        <f>77.9619 * CHOOSE(CONTROL!$C$15, $E$9, 100%, $G$9) + CHOOSE(CONTROL!$C$38, 0.0357, 0)</f>
        <v>77.997600000000006</v>
      </c>
      <c r="J1053" s="26">
        <f>528.3116</f>
        <v>528.3116</v>
      </c>
    </row>
    <row r="1054" spans="1:10" ht="15.75">
      <c r="A1054" s="13">
        <v>73384</v>
      </c>
      <c r="B1054" s="10">
        <f>84.622 * CHOOSE(CONTROL!$C$15, $E$9, 100%, $G$9) + CHOOSE(CONTROL!$C$38, 0.0266, 0)</f>
        <v>84.648600000000002</v>
      </c>
      <c r="C1054" s="10">
        <f>78.1554 * CHOOSE(CONTROL!$C$15, $E$9, 100%, $G$9) + CHOOSE(CONTROL!$C$38, 0.0357, 0)</f>
        <v>78.191100000000006</v>
      </c>
      <c r="D1054" s="10">
        <f>78.1475 * CHOOSE(CONTROL!$C$15, $E$9, 100%, $G$9) + CHOOSE(CONTROL!$C$38, 0.0357, 0)</f>
        <v>78.183199999999999</v>
      </c>
      <c r="E1054" s="28">
        <f>84.4658 * CHOOSE(CONTROL!$C$15, $E$9, 100%, $G$9) + CHOOSE(CONTROL!$C$38, 0.0357, 0)</f>
        <v>84.501500000000007</v>
      </c>
      <c r="F1054" s="27">
        <f>84.4658 * CHOOSE(CONTROL!$C$15, $E$9, 100%, $G$9) + CHOOSE(CONTROL!$C$38, 0.0266, 0)</f>
        <v>84.492400000000004</v>
      </c>
      <c r="G1054" s="10">
        <f>78.1538 * CHOOSE(CONTROL!$C$15, $E$9, 100%, $G$9) + CHOOSE(CONTROL!$C$38, 0.0357, 0)</f>
        <v>78.18950000000001</v>
      </c>
      <c r="H1054" s="10">
        <f>78.1538 * CHOOSE(CONTROL!$C$15, $E$9, 100%, $G$9) + CHOOSE(CONTROL!$C$38, 0.0357, 0)</f>
        <v>78.18950000000001</v>
      </c>
      <c r="I1054" s="10">
        <f>78.1554 * CHOOSE(CONTROL!$C$15, $E$9, 100%, $G$9) + CHOOSE(CONTROL!$C$38, 0.0357, 0)</f>
        <v>78.191100000000006</v>
      </c>
      <c r="J1054" s="26">
        <f>524.5472</f>
        <v>524.54719999999998</v>
      </c>
    </row>
    <row r="1055" spans="1:10" ht="15.75">
      <c r="A1055" s="13">
        <v>73415</v>
      </c>
      <c r="B1055" s="10">
        <f>85.2181 * CHOOSE(CONTROL!$C$15, $E$9, 100%, $G$9) + CHOOSE(CONTROL!$C$38, 0.0266, 0)</f>
        <v>85.244700000000009</v>
      </c>
      <c r="C1055" s="10">
        <f>78.7514 * CHOOSE(CONTROL!$C$15, $E$9, 100%, $G$9) + CHOOSE(CONTROL!$C$38, 0.0357, 0)</f>
        <v>78.787100000000009</v>
      </c>
      <c r="D1055" s="10">
        <f>78.7436 * CHOOSE(CONTROL!$C$15, $E$9, 100%, $G$9) + CHOOSE(CONTROL!$C$38, 0.0357, 0)</f>
        <v>78.779300000000006</v>
      </c>
      <c r="E1055" s="28">
        <f>85.0618 * CHOOSE(CONTROL!$C$15, $E$9, 100%, $G$9) + CHOOSE(CONTROL!$C$38, 0.0357, 0)</f>
        <v>85.097500000000011</v>
      </c>
      <c r="F1055" s="27">
        <f>85.0618 * CHOOSE(CONTROL!$C$15, $E$9, 100%, $G$9) + CHOOSE(CONTROL!$C$38, 0.0266, 0)</f>
        <v>85.088400000000007</v>
      </c>
      <c r="G1055" s="10">
        <f>78.7499 * CHOOSE(CONTROL!$C$15, $E$9, 100%, $G$9) + CHOOSE(CONTROL!$C$38, 0.0357, 0)</f>
        <v>78.785600000000002</v>
      </c>
      <c r="H1055" s="10">
        <f>78.7499 * CHOOSE(CONTROL!$C$15, $E$9, 100%, $G$9) + CHOOSE(CONTROL!$C$38, 0.0357, 0)</f>
        <v>78.785600000000002</v>
      </c>
      <c r="I1055" s="10">
        <f>78.7514 * CHOOSE(CONTROL!$C$15, $E$9, 100%, $G$9) + CHOOSE(CONTROL!$C$38, 0.0357, 0)</f>
        <v>78.787100000000009</v>
      </c>
      <c r="J1055" s="26">
        <f>508.9813</f>
        <v>508.98129999999998</v>
      </c>
    </row>
    <row r="1056" spans="1:10" ht="1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11" ht="15">
      <c r="A1057" s="11">
        <v>2014</v>
      </c>
      <c r="B1057" s="10">
        <f t="shared" ref="B1057:J1057" si="0">AVERAGE(B12:B23)</f>
        <v>16.146799919946016</v>
      </c>
      <c r="C1057" s="10">
        <f t="shared" si="0"/>
        <v>15.573087249047587</v>
      </c>
      <c r="D1057" s="10">
        <f t="shared" si="0"/>
        <v>15.56528204071426</v>
      </c>
      <c r="E1057" s="10">
        <f t="shared" si="0"/>
        <v>15.99957162404759</v>
      </c>
      <c r="F1057" s="10">
        <f t="shared" si="0"/>
        <v>15.990537419946017</v>
      </c>
      <c r="G1057" s="10">
        <f t="shared" si="0"/>
        <v>15.57152787404759</v>
      </c>
      <c r="H1057" s="10">
        <f t="shared" si="0"/>
        <v>15.57152787404759</v>
      </c>
      <c r="I1057" s="10">
        <f t="shared" si="0"/>
        <v>15.573087249047587</v>
      </c>
      <c r="J1057" s="10">
        <f t="shared" si="0"/>
        <v>98.071666666666658</v>
      </c>
      <c r="K1057" s="10"/>
    </row>
    <row r="1058" spans="1:11" ht="15">
      <c r="A1058" s="11">
        <v>2015</v>
      </c>
      <c r="B1058" s="10">
        <f t="shared" ref="B1058:J1058" si="1">AVERAGE(B24:B35)</f>
        <v>14.9383</v>
      </c>
      <c r="C1058" s="10">
        <f t="shared" si="1"/>
        <v>14.441949999999999</v>
      </c>
      <c r="D1058" s="10">
        <f t="shared" si="1"/>
        <v>14.434149999999997</v>
      </c>
      <c r="E1058" s="10">
        <f t="shared" si="1"/>
        <v>14.791175000000003</v>
      </c>
      <c r="F1058" s="10">
        <f t="shared" si="1"/>
        <v>14.782074999999997</v>
      </c>
      <c r="G1058" s="10">
        <f t="shared" si="1"/>
        <v>14.44035</v>
      </c>
      <c r="H1058" s="10">
        <f t="shared" si="1"/>
        <v>14.44035</v>
      </c>
      <c r="I1058" s="10">
        <f t="shared" si="1"/>
        <v>14.441949999999999</v>
      </c>
      <c r="J1058" s="10">
        <f t="shared" si="1"/>
        <v>90.295833333333334</v>
      </c>
      <c r="K1058" s="10"/>
    </row>
    <row r="1059" spans="1:11" ht="15">
      <c r="A1059" s="11">
        <v>2016</v>
      </c>
      <c r="B1059" s="10">
        <f t="shared" ref="B1059:J1059" si="2">AVERAGE(B36:B47)</f>
        <v>14.148091666666668</v>
      </c>
      <c r="C1059" s="10">
        <f t="shared" si="2"/>
        <v>14.027900000000001</v>
      </c>
      <c r="D1059" s="10">
        <f t="shared" si="2"/>
        <v>14.020100000000001</v>
      </c>
      <c r="E1059" s="10">
        <f t="shared" si="2"/>
        <v>14.000925000000002</v>
      </c>
      <c r="F1059" s="10">
        <f t="shared" si="2"/>
        <v>13.991824999999999</v>
      </c>
      <c r="G1059" s="10">
        <f t="shared" si="2"/>
        <v>14.026300000000001</v>
      </c>
      <c r="H1059" s="10">
        <f t="shared" si="2"/>
        <v>14.026300000000001</v>
      </c>
      <c r="I1059" s="10">
        <f t="shared" si="2"/>
        <v>14.027900000000001</v>
      </c>
      <c r="J1059" s="10">
        <f t="shared" si="2"/>
        <v>85.23833333333333</v>
      </c>
      <c r="K1059" s="10"/>
    </row>
    <row r="1060" spans="1:11" ht="15">
      <c r="A1060" s="11">
        <v>2017</v>
      </c>
      <c r="B1060" s="10">
        <f t="shared" ref="B1060:J1060" si="3">AVERAGE(B48:B59)</f>
        <v>14.227550000000001</v>
      </c>
      <c r="C1060" s="10">
        <f t="shared" si="3"/>
        <v>13.808525000000003</v>
      </c>
      <c r="D1060" s="10">
        <f t="shared" si="3"/>
        <v>13.800708333333333</v>
      </c>
      <c r="E1060" s="10">
        <f t="shared" si="3"/>
        <v>14.080399999999999</v>
      </c>
      <c r="F1060" s="10">
        <f t="shared" si="3"/>
        <v>14.071300000000001</v>
      </c>
      <c r="G1060" s="10">
        <f t="shared" si="3"/>
        <v>13.806975</v>
      </c>
      <c r="H1060" s="10">
        <f t="shared" si="3"/>
        <v>13.806975</v>
      </c>
      <c r="I1060" s="10">
        <f t="shared" si="3"/>
        <v>13.808525000000003</v>
      </c>
      <c r="J1060" s="10">
        <f t="shared" si="3"/>
        <v>86.689991666666671</v>
      </c>
      <c r="K1060" s="10"/>
    </row>
    <row r="1061" spans="1:11" ht="15">
      <c r="A1061" s="11">
        <v>2018</v>
      </c>
      <c r="B1061" s="10">
        <f t="shared" ref="B1061:J1061" si="4">AVERAGE(B60:B71)</f>
        <v>14.488900000000003</v>
      </c>
      <c r="C1061" s="10">
        <f t="shared" si="4"/>
        <v>14.075591666666668</v>
      </c>
      <c r="D1061" s="10">
        <f t="shared" si="4"/>
        <v>14.067783333333336</v>
      </c>
      <c r="E1061" s="10">
        <f t="shared" si="4"/>
        <v>14.341749999999999</v>
      </c>
      <c r="F1061" s="10">
        <f t="shared" si="4"/>
        <v>14.332649999999999</v>
      </c>
      <c r="G1061" s="10">
        <f t="shared" si="4"/>
        <v>14.074016666666665</v>
      </c>
      <c r="H1061" s="10">
        <f t="shared" si="4"/>
        <v>14.074016666666665</v>
      </c>
      <c r="I1061" s="10">
        <f t="shared" si="4"/>
        <v>14.075591666666668</v>
      </c>
      <c r="J1061" s="10">
        <f t="shared" si="4"/>
        <v>89.042483333333337</v>
      </c>
      <c r="K1061" s="10"/>
    </row>
    <row r="1062" spans="1:11" ht="15">
      <c r="A1062" s="11">
        <v>2019</v>
      </c>
      <c r="B1062" s="10">
        <f t="shared" ref="B1062:J1062" si="5">AVERAGE(B72:B83)</f>
        <v>16.071633333333331</v>
      </c>
      <c r="C1062" s="10">
        <f t="shared" si="5"/>
        <v>15.20445</v>
      </c>
      <c r="D1062" s="10">
        <f t="shared" si="5"/>
        <v>15.196633333333333</v>
      </c>
      <c r="E1062" s="10">
        <f t="shared" si="5"/>
        <v>15.924491666666666</v>
      </c>
      <c r="F1062" s="10">
        <f t="shared" si="5"/>
        <v>15.91539166666667</v>
      </c>
      <c r="G1062" s="10">
        <f t="shared" si="5"/>
        <v>15.202891666666668</v>
      </c>
      <c r="H1062" s="10">
        <f t="shared" si="5"/>
        <v>15.202891666666668</v>
      </c>
      <c r="I1062" s="10">
        <f t="shared" si="5"/>
        <v>15.20445</v>
      </c>
      <c r="J1062" s="10">
        <f t="shared" si="5"/>
        <v>101.32</v>
      </c>
      <c r="K1062" s="10"/>
    </row>
    <row r="1063" spans="1:11" ht="15">
      <c r="A1063" s="11">
        <v>2020</v>
      </c>
      <c r="B1063" s="10">
        <f t="shared" ref="B1063:J1063" si="6">AVERAGE(B84:B95)</f>
        <v>16.984525000000001</v>
      </c>
      <c r="C1063" s="10">
        <f t="shared" si="6"/>
        <v>15.946633333333331</v>
      </c>
      <c r="D1063" s="10">
        <f t="shared" si="6"/>
        <v>15.938816666666666</v>
      </c>
      <c r="E1063" s="10">
        <f t="shared" si="6"/>
        <v>16.837391666666665</v>
      </c>
      <c r="F1063" s="10">
        <f t="shared" si="6"/>
        <v>16.828291666666665</v>
      </c>
      <c r="G1063" s="10">
        <f t="shared" si="6"/>
        <v>15.945083333333335</v>
      </c>
      <c r="H1063" s="10">
        <f t="shared" si="6"/>
        <v>15.945083333333335</v>
      </c>
      <c r="I1063" s="10">
        <f t="shared" si="6"/>
        <v>15.946633333333331</v>
      </c>
      <c r="J1063" s="10">
        <f t="shared" si="6"/>
        <v>105.48999166666665</v>
      </c>
      <c r="K1063" s="10"/>
    </row>
    <row r="1064" spans="1:11" ht="15">
      <c r="A1064" s="11">
        <v>2021</v>
      </c>
      <c r="B1064" s="10">
        <f t="shared" ref="B1064:J1064" si="7">AVERAGE(B96:B107)</f>
        <v>17.764491666666668</v>
      </c>
      <c r="C1064" s="10">
        <f t="shared" si="7"/>
        <v>16.496633333333335</v>
      </c>
      <c r="D1064" s="10">
        <f t="shared" si="7"/>
        <v>16.488816666666668</v>
      </c>
      <c r="E1064" s="10">
        <f t="shared" si="7"/>
        <v>17.617341666666665</v>
      </c>
      <c r="F1064" s="10">
        <f t="shared" si="7"/>
        <v>17.608241666666661</v>
      </c>
      <c r="G1064" s="10">
        <f t="shared" si="7"/>
        <v>16.49508333333333</v>
      </c>
      <c r="H1064" s="10">
        <f t="shared" si="7"/>
        <v>16.49508333333333</v>
      </c>
      <c r="I1064" s="10">
        <f t="shared" si="7"/>
        <v>16.496633333333335</v>
      </c>
      <c r="J1064" s="10">
        <f t="shared" si="7"/>
        <v>109.84999166666665</v>
      </c>
      <c r="K1064" s="10"/>
    </row>
    <row r="1065" spans="1:11" ht="15">
      <c r="A1065" s="11">
        <v>2022</v>
      </c>
      <c r="B1065" s="10">
        <f t="shared" ref="B1065:J1065" si="8">AVERAGE(B108:B119)</f>
        <v>18.403500000000001</v>
      </c>
      <c r="C1065" s="10">
        <f t="shared" si="8"/>
        <v>17.041950000000003</v>
      </c>
      <c r="D1065" s="10">
        <f t="shared" si="8"/>
        <v>17.034133333333333</v>
      </c>
      <c r="E1065" s="10">
        <f t="shared" si="8"/>
        <v>18.256374999999995</v>
      </c>
      <c r="F1065" s="10">
        <f t="shared" si="8"/>
        <v>18.247274999999998</v>
      </c>
      <c r="G1065" s="10">
        <f t="shared" si="8"/>
        <v>17.040391666666665</v>
      </c>
      <c r="H1065" s="10">
        <f t="shared" si="8"/>
        <v>17.040391666666665</v>
      </c>
      <c r="I1065" s="10">
        <f t="shared" si="8"/>
        <v>17.041950000000003</v>
      </c>
      <c r="J1065" s="10">
        <f t="shared" si="8"/>
        <v>114.37999166666667</v>
      </c>
      <c r="K1065" s="10"/>
    </row>
    <row r="1066" spans="1:11" ht="15">
      <c r="A1066" s="11">
        <v>2023</v>
      </c>
      <c r="B1066" s="10">
        <f t="shared" ref="B1066:J1066" si="9">AVERAGE(B120:B131)</f>
        <v>19.2027</v>
      </c>
      <c r="C1066" s="10">
        <f t="shared" si="9"/>
        <v>17.665391666666665</v>
      </c>
      <c r="D1066" s="10">
        <f t="shared" si="9"/>
        <v>17.657583333333335</v>
      </c>
      <c r="E1066" s="10">
        <f t="shared" si="9"/>
        <v>19.055541666666667</v>
      </c>
      <c r="F1066" s="10">
        <f t="shared" si="9"/>
        <v>19.046441666666666</v>
      </c>
      <c r="G1066" s="10">
        <f t="shared" si="9"/>
        <v>17.663816666666666</v>
      </c>
      <c r="H1066" s="10">
        <f t="shared" si="9"/>
        <v>17.663816666666666</v>
      </c>
      <c r="I1066" s="10">
        <f t="shared" si="9"/>
        <v>17.665391666666665</v>
      </c>
      <c r="J1066" s="10">
        <f t="shared" si="9"/>
        <v>119.10000833333334</v>
      </c>
      <c r="K1066" s="10"/>
    </row>
    <row r="1067" spans="1:11" ht="15">
      <c r="A1067" s="11">
        <v>2024</v>
      </c>
      <c r="B1067" s="10">
        <f t="shared" ref="B1067:J1067" si="10">AVERAGE(B132:B143)</f>
        <v>20.0307</v>
      </c>
      <c r="C1067" s="10">
        <f t="shared" si="10"/>
        <v>18.316949999999995</v>
      </c>
      <c r="D1067" s="10">
        <f t="shared" si="10"/>
        <v>18.309133333333332</v>
      </c>
      <c r="E1067" s="10">
        <f t="shared" si="10"/>
        <v>19.883550000000003</v>
      </c>
      <c r="F1067" s="10">
        <f t="shared" si="10"/>
        <v>19.874449999999992</v>
      </c>
      <c r="G1067" s="10">
        <f t="shared" si="10"/>
        <v>18.315391666666663</v>
      </c>
      <c r="H1067" s="10">
        <f t="shared" si="10"/>
        <v>18.315391666666663</v>
      </c>
      <c r="I1067" s="10">
        <f t="shared" si="10"/>
        <v>18.316949999999995</v>
      </c>
      <c r="J1067" s="10">
        <f t="shared" si="10"/>
        <v>124.01</v>
      </c>
      <c r="K1067" s="10"/>
    </row>
    <row r="1068" spans="1:11" ht="15">
      <c r="A1068" s="11">
        <v>2025</v>
      </c>
      <c r="B1068" s="10">
        <f t="shared" ref="B1068:J1068" si="11">AVERAGE(B144:B155)</f>
        <v>20.917974999999998</v>
      </c>
      <c r="C1068" s="10">
        <f t="shared" si="11"/>
        <v>19.026316666666666</v>
      </c>
      <c r="D1068" s="10">
        <f t="shared" si="11"/>
        <v>19.018499999999996</v>
      </c>
      <c r="E1068" s="10">
        <f t="shared" si="11"/>
        <v>20.770808333333331</v>
      </c>
      <c r="F1068" s="10">
        <f t="shared" si="11"/>
        <v>20.761708333333331</v>
      </c>
      <c r="G1068" s="10">
        <f t="shared" si="11"/>
        <v>19.024766666666668</v>
      </c>
      <c r="H1068" s="10">
        <f t="shared" si="11"/>
        <v>19.024766666666668</v>
      </c>
      <c r="I1068" s="10">
        <f t="shared" si="11"/>
        <v>19.026316666666666</v>
      </c>
      <c r="J1068" s="10">
        <f t="shared" si="11"/>
        <v>129.10999166666667</v>
      </c>
      <c r="K1068" s="10"/>
    </row>
    <row r="1069" spans="1:11" ht="15">
      <c r="A1069" s="11">
        <v>2026</v>
      </c>
      <c r="B1069" s="10">
        <f t="shared" ref="B1069:J1069" si="12">AVERAGE(B156:B167)</f>
        <v>21.6755</v>
      </c>
      <c r="C1069" s="10">
        <f t="shared" si="12"/>
        <v>19.76539166666667</v>
      </c>
      <c r="D1069" s="10">
        <f t="shared" si="12"/>
        <v>19.757583333333333</v>
      </c>
      <c r="E1069" s="10">
        <f t="shared" si="12"/>
        <v>21.528366666666667</v>
      </c>
      <c r="F1069" s="10">
        <f t="shared" si="12"/>
        <v>21.519266666666667</v>
      </c>
      <c r="G1069" s="10">
        <f t="shared" si="12"/>
        <v>19.763816666666667</v>
      </c>
      <c r="H1069" s="10">
        <f t="shared" si="12"/>
        <v>19.763816666666667</v>
      </c>
      <c r="I1069" s="10">
        <f t="shared" si="12"/>
        <v>19.76539166666667</v>
      </c>
      <c r="J1069" s="10">
        <f t="shared" si="12"/>
        <v>134.43001666666669</v>
      </c>
      <c r="K1069" s="10"/>
    </row>
    <row r="1070" spans="1:11" ht="15">
      <c r="A1070" s="11">
        <v>2027</v>
      </c>
      <c r="B1070" s="10">
        <f t="shared" ref="B1070:J1070" si="13">AVERAGE(B168:B179)</f>
        <v>22.484525000000001</v>
      </c>
      <c r="C1070" s="10">
        <f t="shared" si="13"/>
        <v>20.554691666666667</v>
      </c>
      <c r="D1070" s="10">
        <f t="shared" si="13"/>
        <v>20.546875</v>
      </c>
      <c r="E1070" s="10">
        <f t="shared" si="13"/>
        <v>22.337391666666672</v>
      </c>
      <c r="F1070" s="10">
        <f t="shared" si="13"/>
        <v>22.328291666666662</v>
      </c>
      <c r="G1070" s="10">
        <f t="shared" si="13"/>
        <v>20.553108333333331</v>
      </c>
      <c r="H1070" s="10">
        <f t="shared" si="13"/>
        <v>20.553108333333331</v>
      </c>
      <c r="I1070" s="10">
        <f t="shared" si="13"/>
        <v>20.554691666666667</v>
      </c>
      <c r="J1070" s="10">
        <f t="shared" si="13"/>
        <v>139.9599916666667</v>
      </c>
      <c r="K1070" s="10"/>
    </row>
    <row r="1071" spans="1:11" ht="15">
      <c r="A1071" s="11">
        <v>2028</v>
      </c>
      <c r="B1071" s="10">
        <f t="shared" ref="B1071:J1071" si="14">AVERAGE(B180:B191)</f>
        <v>23.40359166666666</v>
      </c>
      <c r="C1071" s="10">
        <f t="shared" si="14"/>
        <v>21.451316666666667</v>
      </c>
      <c r="D1071" s="10">
        <f t="shared" si="14"/>
        <v>21.4435</v>
      </c>
      <c r="E1071" s="10">
        <f t="shared" si="14"/>
        <v>23.256441666666664</v>
      </c>
      <c r="F1071" s="10">
        <f t="shared" si="14"/>
        <v>23.247341666666667</v>
      </c>
      <c r="G1071" s="10">
        <f t="shared" si="14"/>
        <v>21.449766666666665</v>
      </c>
      <c r="H1071" s="10">
        <f t="shared" si="14"/>
        <v>21.449766666666665</v>
      </c>
      <c r="I1071" s="10">
        <f t="shared" si="14"/>
        <v>21.451316666666667</v>
      </c>
      <c r="J1071" s="10">
        <f t="shared" si="14"/>
        <v>145.7099916666667</v>
      </c>
      <c r="K1071" s="10"/>
    </row>
    <row r="1072" spans="1:11" ht="15">
      <c r="A1072" s="11">
        <v>2029</v>
      </c>
      <c r="B1072" s="10">
        <f t="shared" ref="B1072:J1072" si="15">AVERAGE(B192:B203)</f>
        <v>24.343699999999998</v>
      </c>
      <c r="C1072" s="10">
        <f t="shared" si="15"/>
        <v>22.368499999999997</v>
      </c>
      <c r="D1072" s="10">
        <f t="shared" si="15"/>
        <v>22.360700000000005</v>
      </c>
      <c r="E1072" s="10">
        <f t="shared" si="15"/>
        <v>24.196566666666666</v>
      </c>
      <c r="F1072" s="10">
        <f t="shared" si="15"/>
        <v>24.187466666666666</v>
      </c>
      <c r="G1072" s="10">
        <f t="shared" si="15"/>
        <v>22.366949999999992</v>
      </c>
      <c r="H1072" s="10">
        <f t="shared" si="15"/>
        <v>22.366949999999992</v>
      </c>
      <c r="I1072" s="10">
        <f t="shared" si="15"/>
        <v>22.368499999999997</v>
      </c>
      <c r="J1072" s="10">
        <f t="shared" si="15"/>
        <v>151.69999166666668</v>
      </c>
      <c r="K1072" s="10"/>
    </row>
    <row r="1073" spans="1:11" ht="15">
      <c r="A1073" s="11">
        <v>2030</v>
      </c>
      <c r="B1073" s="10">
        <f t="shared" ref="B1073:J1073" si="16">AVERAGE(B204:B215)</f>
        <v>25.322274999999994</v>
      </c>
      <c r="C1073" s="10">
        <f t="shared" si="16"/>
        <v>23.323199999999996</v>
      </c>
      <c r="D1073" s="10">
        <f t="shared" si="16"/>
        <v>23.315391666666667</v>
      </c>
      <c r="E1073" s="10">
        <f t="shared" si="16"/>
        <v>25.175099999999997</v>
      </c>
      <c r="F1073" s="10">
        <f t="shared" si="16"/>
        <v>25.166</v>
      </c>
      <c r="G1073" s="10">
        <f t="shared" si="16"/>
        <v>23.321633333333327</v>
      </c>
      <c r="H1073" s="10">
        <f t="shared" si="16"/>
        <v>23.321633333333327</v>
      </c>
      <c r="I1073" s="10">
        <f t="shared" si="16"/>
        <v>23.323199999999996</v>
      </c>
      <c r="J1073" s="10">
        <f t="shared" si="16"/>
        <v>157.93</v>
      </c>
      <c r="K1073" s="10"/>
    </row>
    <row r="1074" spans="1:11" ht="15">
      <c r="A1074" s="11">
        <v>2031</v>
      </c>
      <c r="B1074" s="10">
        <f t="shared" ref="B1074:J1074" si="17">AVERAGE(B216:B227)</f>
        <v>25.758291666666668</v>
      </c>
      <c r="C1074" s="10">
        <f t="shared" si="17"/>
        <v>23.726499999999998</v>
      </c>
      <c r="D1074" s="10">
        <f t="shared" si="17"/>
        <v>23.718699999999998</v>
      </c>
      <c r="E1074" s="10">
        <f t="shared" si="17"/>
        <v>25.611141666666668</v>
      </c>
      <c r="F1074" s="10">
        <f t="shared" si="17"/>
        <v>25.602041666666665</v>
      </c>
      <c r="G1074" s="10">
        <f t="shared" si="17"/>
        <v>23.724941666666666</v>
      </c>
      <c r="H1074" s="10">
        <f t="shared" si="17"/>
        <v>23.724941666666666</v>
      </c>
      <c r="I1074" s="10">
        <f t="shared" si="17"/>
        <v>23.726499999999998</v>
      </c>
      <c r="J1074" s="10">
        <f t="shared" si="17"/>
        <v>160.72820833333336</v>
      </c>
      <c r="K1074" s="10"/>
    </row>
    <row r="1075" spans="1:11" ht="15">
      <c r="A1075" s="11">
        <v>2032</v>
      </c>
      <c r="B1075" s="10">
        <f t="shared" ref="B1075:J1075" si="18">AVERAGE(B228:B239)</f>
        <v>26.202008333333335</v>
      </c>
      <c r="C1075" s="10">
        <f t="shared" si="18"/>
        <v>24.136933333333332</v>
      </c>
      <c r="D1075" s="10">
        <f t="shared" si="18"/>
        <v>24.129116666666661</v>
      </c>
      <c r="E1075" s="10">
        <f t="shared" si="18"/>
        <v>26.054874999999996</v>
      </c>
      <c r="F1075" s="10">
        <f t="shared" si="18"/>
        <v>26.045774999999995</v>
      </c>
      <c r="G1075" s="10">
        <f t="shared" si="18"/>
        <v>24.135383333333333</v>
      </c>
      <c r="H1075" s="10">
        <f t="shared" si="18"/>
        <v>24.135383333333333</v>
      </c>
      <c r="I1075" s="10">
        <f t="shared" si="18"/>
        <v>24.136933333333332</v>
      </c>
      <c r="J1075" s="10">
        <f t="shared" si="18"/>
        <v>163.57602499999999</v>
      </c>
      <c r="K1075" s="10"/>
    </row>
    <row r="1076" spans="1:11" ht="15">
      <c r="A1076" s="11">
        <v>2033</v>
      </c>
      <c r="B1076" s="10">
        <f t="shared" ref="B1076:J1076" si="19">AVERAGE(B240:B251)</f>
        <v>26.653591666666667</v>
      </c>
      <c r="C1076" s="10">
        <f t="shared" si="19"/>
        <v>24.554608333333334</v>
      </c>
      <c r="D1076" s="10">
        <f t="shared" si="19"/>
        <v>24.546800000000001</v>
      </c>
      <c r="E1076" s="10">
        <f t="shared" si="19"/>
        <v>26.506441666666664</v>
      </c>
      <c r="F1076" s="10">
        <f t="shared" si="19"/>
        <v>26.497341666666667</v>
      </c>
      <c r="G1076" s="10">
        <f t="shared" si="19"/>
        <v>24.553066666666666</v>
      </c>
      <c r="H1076" s="10">
        <f t="shared" si="19"/>
        <v>24.553066666666666</v>
      </c>
      <c r="I1076" s="10">
        <f t="shared" si="19"/>
        <v>24.554608333333334</v>
      </c>
      <c r="J1076" s="10">
        <f t="shared" si="19"/>
        <v>166.47429166666666</v>
      </c>
      <c r="K1076" s="10"/>
    </row>
    <row r="1077" spans="1:11" ht="15">
      <c r="A1077" s="11">
        <v>2034</v>
      </c>
      <c r="B1077" s="10">
        <f t="shared" ref="B1077:J1077" si="20">AVERAGE(B252:B263)</f>
        <v>27.113133333333334</v>
      </c>
      <c r="C1077" s="10">
        <f t="shared" si="20"/>
        <v>24.979691666666668</v>
      </c>
      <c r="D1077" s="10">
        <f t="shared" si="20"/>
        <v>24.971875000000001</v>
      </c>
      <c r="E1077" s="10">
        <f t="shared" si="20"/>
        <v>26.965991666666667</v>
      </c>
      <c r="F1077" s="10">
        <f t="shared" si="20"/>
        <v>26.956891666666667</v>
      </c>
      <c r="G1077" s="10">
        <f t="shared" si="20"/>
        <v>24.978108333333328</v>
      </c>
      <c r="H1077" s="10">
        <f t="shared" si="20"/>
        <v>24.978108333333328</v>
      </c>
      <c r="I1077" s="10">
        <f t="shared" si="20"/>
        <v>24.979691666666668</v>
      </c>
      <c r="J1077" s="10">
        <f t="shared" si="20"/>
        <v>169.4239</v>
      </c>
      <c r="K1077" s="10"/>
    </row>
    <row r="1078" spans="1:11" ht="15">
      <c r="A1078" s="11">
        <v>2035</v>
      </c>
      <c r="B1078" s="10">
        <f t="shared" ref="B1078:J1078" si="21">AVERAGE(B264:B275)</f>
        <v>27.5808</v>
      </c>
      <c r="C1078" s="10">
        <f t="shared" si="21"/>
        <v>25.412266666666667</v>
      </c>
      <c r="D1078" s="10">
        <f t="shared" si="21"/>
        <v>25.40444166666666</v>
      </c>
      <c r="E1078" s="10">
        <f t="shared" si="21"/>
        <v>27.43365833333333</v>
      </c>
      <c r="F1078" s="10">
        <f t="shared" si="21"/>
        <v>27.424558333333334</v>
      </c>
      <c r="G1078" s="10">
        <f t="shared" si="21"/>
        <v>25.410700000000002</v>
      </c>
      <c r="H1078" s="10">
        <f t="shared" si="21"/>
        <v>25.410700000000002</v>
      </c>
      <c r="I1078" s="10">
        <f t="shared" si="21"/>
        <v>25.412266666666667</v>
      </c>
      <c r="J1078" s="10">
        <f t="shared" si="21"/>
        <v>172.42575833333331</v>
      </c>
      <c r="K1078" s="10"/>
    </row>
    <row r="1079" spans="1:11" ht="15">
      <c r="A1079" s="11">
        <v>2036</v>
      </c>
      <c r="B1079" s="10">
        <f t="shared" ref="B1079:J1079" si="22">AVERAGE(B276:B287)</f>
        <v>28.05673333333333</v>
      </c>
      <c r="C1079" s="10">
        <f t="shared" si="22"/>
        <v>25.852483333333328</v>
      </c>
      <c r="D1079" s="10">
        <f t="shared" si="22"/>
        <v>25.844666666666665</v>
      </c>
      <c r="E1079" s="10">
        <f t="shared" si="22"/>
        <v>27.909591666666667</v>
      </c>
      <c r="F1079" s="10">
        <f t="shared" si="22"/>
        <v>27.900491666666664</v>
      </c>
      <c r="G1079" s="10">
        <f t="shared" si="22"/>
        <v>25.850899999999996</v>
      </c>
      <c r="H1079" s="10">
        <f t="shared" si="22"/>
        <v>25.850899999999996</v>
      </c>
      <c r="I1079" s="10">
        <f t="shared" si="22"/>
        <v>25.852483333333328</v>
      </c>
      <c r="J1079" s="10">
        <f t="shared" si="22"/>
        <v>175.48080000000002</v>
      </c>
      <c r="K1079" s="10"/>
    </row>
    <row r="1080" spans="1:11" ht="15">
      <c r="A1080" s="11">
        <v>2037</v>
      </c>
      <c r="B1080" s="10">
        <f t="shared" ref="B1080:J1080" si="23">AVERAGE(B288:B299)</f>
        <v>28.541091666666663</v>
      </c>
      <c r="C1080" s="10">
        <f t="shared" si="23"/>
        <v>26.300474999999995</v>
      </c>
      <c r="D1080" s="10">
        <f t="shared" si="23"/>
        <v>26.292658333333332</v>
      </c>
      <c r="E1080" s="10">
        <f t="shared" si="23"/>
        <v>28.393924999999999</v>
      </c>
      <c r="F1080" s="10">
        <f t="shared" si="23"/>
        <v>28.384824999999996</v>
      </c>
      <c r="G1080" s="10">
        <f t="shared" si="23"/>
        <v>26.2989</v>
      </c>
      <c r="H1080" s="10">
        <f t="shared" si="23"/>
        <v>26.2989</v>
      </c>
      <c r="I1080" s="10">
        <f t="shared" si="23"/>
        <v>26.300474999999995</v>
      </c>
      <c r="J1080" s="10">
        <f t="shared" si="23"/>
        <v>178.59000833333334</v>
      </c>
      <c r="K1080" s="10"/>
    </row>
    <row r="1081" spans="1:11" ht="15">
      <c r="A1081" s="11">
        <f t="shared" ref="A1081:A1112" si="24">A1080+1</f>
        <v>2038</v>
      </c>
      <c r="B1081" s="10">
        <f t="shared" ref="B1081:J1081" si="25">AVERAGE(B300:B311)</f>
        <v>29.033983333333335</v>
      </c>
      <c r="C1081" s="10">
        <f t="shared" si="25"/>
        <v>26.756391666666662</v>
      </c>
      <c r="D1081" s="10">
        <f t="shared" si="25"/>
        <v>26.748574999999999</v>
      </c>
      <c r="E1081" s="10">
        <f t="shared" si="25"/>
        <v>28.886816666666665</v>
      </c>
      <c r="F1081" s="10">
        <f t="shared" si="25"/>
        <v>28.877716666666668</v>
      </c>
      <c r="G1081" s="10">
        <f t="shared" si="25"/>
        <v>26.75480833333333</v>
      </c>
      <c r="H1081" s="10">
        <f t="shared" si="25"/>
        <v>26.75480833333333</v>
      </c>
      <c r="I1081" s="10">
        <f t="shared" si="25"/>
        <v>26.756391666666662</v>
      </c>
      <c r="J1081" s="10">
        <f t="shared" si="25"/>
        <v>181.75430000000003</v>
      </c>
    </row>
    <row r="1082" spans="1:11" ht="15">
      <c r="A1082" s="11">
        <f t="shared" si="24"/>
        <v>2039</v>
      </c>
      <c r="B1082" s="10">
        <f t="shared" ref="B1082:J1082" si="26">AVERAGE(B312:B323)</f>
        <v>29.535591666666665</v>
      </c>
      <c r="C1082" s="10">
        <f t="shared" si="26"/>
        <v>27.220341666666659</v>
      </c>
      <c r="D1082" s="10">
        <f t="shared" si="26"/>
        <v>27.212524999999999</v>
      </c>
      <c r="E1082" s="10">
        <f t="shared" si="26"/>
        <v>29.388424999999998</v>
      </c>
      <c r="F1082" s="10">
        <f t="shared" si="26"/>
        <v>29.379324999999998</v>
      </c>
      <c r="G1082" s="10">
        <f t="shared" si="26"/>
        <v>27.218791666666664</v>
      </c>
      <c r="H1082" s="10">
        <f t="shared" si="26"/>
        <v>27.218791666666664</v>
      </c>
      <c r="I1082" s="10">
        <f t="shared" si="26"/>
        <v>27.220341666666659</v>
      </c>
      <c r="J1082" s="10">
        <f t="shared" si="26"/>
        <v>184.97461666666663</v>
      </c>
    </row>
    <row r="1083" spans="1:11" ht="15">
      <c r="A1083" s="11">
        <f t="shared" si="24"/>
        <v>2040</v>
      </c>
      <c r="B1083" s="10">
        <f t="shared" ref="B1083:J1083" si="27">AVERAGE(B324:B335)</f>
        <v>30.046049999999994</v>
      </c>
      <c r="C1083" s="10">
        <f t="shared" si="27"/>
        <v>27.692499999999999</v>
      </c>
      <c r="D1083" s="10">
        <f t="shared" si="27"/>
        <v>27.684691666666662</v>
      </c>
      <c r="E1083" s="10">
        <f t="shared" si="27"/>
        <v>29.898899999999998</v>
      </c>
      <c r="F1083" s="10">
        <f t="shared" si="27"/>
        <v>29.889799999999997</v>
      </c>
      <c r="G1083" s="10">
        <f t="shared" si="27"/>
        <v>27.690941666666664</v>
      </c>
      <c r="H1083" s="10">
        <f t="shared" si="27"/>
        <v>27.690941666666664</v>
      </c>
      <c r="I1083" s="10">
        <f t="shared" si="27"/>
        <v>27.692499999999999</v>
      </c>
      <c r="J1083" s="10">
        <f t="shared" si="27"/>
        <v>188.25203333333332</v>
      </c>
    </row>
    <row r="1084" spans="1:11" ht="15">
      <c r="A1084" s="11">
        <f t="shared" si="24"/>
        <v>2041</v>
      </c>
      <c r="B1084" s="10">
        <f t="shared" ref="B1084:J1084" si="28">AVERAGE(B336:B347)</f>
        <v>30.565533333333331</v>
      </c>
      <c r="C1084" s="10">
        <f t="shared" si="28"/>
        <v>28.173000000000002</v>
      </c>
      <c r="D1084" s="10">
        <f t="shared" si="28"/>
        <v>28.165199999999999</v>
      </c>
      <c r="E1084" s="10">
        <f t="shared" si="28"/>
        <v>30.418391666666661</v>
      </c>
      <c r="F1084" s="10">
        <f t="shared" si="28"/>
        <v>30.409291666666665</v>
      </c>
      <c r="G1084" s="10">
        <f t="shared" si="28"/>
        <v>28.171441666666666</v>
      </c>
      <c r="H1084" s="10">
        <f t="shared" si="28"/>
        <v>28.171441666666666</v>
      </c>
      <c r="I1084" s="10">
        <f t="shared" si="28"/>
        <v>28.173000000000002</v>
      </c>
      <c r="J1084" s="10">
        <f t="shared" si="28"/>
        <v>191.58750000000001</v>
      </c>
    </row>
    <row r="1085" spans="1:11" ht="15">
      <c r="A1085" s="11">
        <f t="shared" si="24"/>
        <v>2042</v>
      </c>
      <c r="B1085" s="10">
        <f t="shared" ref="B1085:J1085" si="29">AVERAGE(B348:B359)</f>
        <v>31.094200000000001</v>
      </c>
      <c r="C1085" s="10">
        <f t="shared" si="29"/>
        <v>28.661999999999995</v>
      </c>
      <c r="D1085" s="10">
        <f t="shared" si="29"/>
        <v>28.654191666666662</v>
      </c>
      <c r="E1085" s="10">
        <f t="shared" si="29"/>
        <v>30.947050000000001</v>
      </c>
      <c r="F1085" s="10">
        <f t="shared" si="29"/>
        <v>30.937950000000001</v>
      </c>
      <c r="G1085" s="10">
        <f t="shared" si="29"/>
        <v>28.66043333333333</v>
      </c>
      <c r="H1085" s="10">
        <f t="shared" si="29"/>
        <v>28.66043333333333</v>
      </c>
      <c r="I1085" s="10">
        <f t="shared" si="29"/>
        <v>28.661999999999995</v>
      </c>
      <c r="J1085" s="10">
        <f t="shared" si="29"/>
        <v>194.9820583333333</v>
      </c>
    </row>
    <row r="1086" spans="1:11" ht="15">
      <c r="A1086" s="11">
        <f t="shared" si="24"/>
        <v>2043</v>
      </c>
      <c r="B1086" s="10">
        <f t="shared" ref="B1086:J1086" si="30">AVERAGE(B360:B371)</f>
        <v>31.632200000000001</v>
      </c>
      <c r="C1086" s="10">
        <f t="shared" si="30"/>
        <v>29.159633333333336</v>
      </c>
      <c r="D1086" s="10">
        <f t="shared" si="30"/>
        <v>29.151808333333332</v>
      </c>
      <c r="E1086" s="10">
        <f t="shared" si="30"/>
        <v>31.485066666666668</v>
      </c>
      <c r="F1086" s="10">
        <f t="shared" si="30"/>
        <v>31.475966666666661</v>
      </c>
      <c r="G1086" s="10">
        <f t="shared" si="30"/>
        <v>29.158075</v>
      </c>
      <c r="H1086" s="10">
        <f t="shared" si="30"/>
        <v>29.158075</v>
      </c>
      <c r="I1086" s="10">
        <f t="shared" si="30"/>
        <v>29.159633333333336</v>
      </c>
      <c r="J1086" s="10">
        <f t="shared" si="30"/>
        <v>198.43678333333335</v>
      </c>
    </row>
    <row r="1087" spans="1:11" ht="15">
      <c r="A1087" s="11">
        <f t="shared" si="24"/>
        <v>2044</v>
      </c>
      <c r="B1087" s="10">
        <f t="shared" ref="B1087:J1087" si="31">AVERAGE(B372:B383)</f>
        <v>32.17970833333333</v>
      </c>
      <c r="C1087" s="10">
        <f t="shared" si="31"/>
        <v>29.666066666666666</v>
      </c>
      <c r="D1087" s="10">
        <f t="shared" si="31"/>
        <v>29.658249999999999</v>
      </c>
      <c r="E1087" s="10">
        <f t="shared" si="31"/>
        <v>32.032575000000001</v>
      </c>
      <c r="F1087" s="10">
        <f t="shared" si="31"/>
        <v>32.023474999999998</v>
      </c>
      <c r="G1087" s="10">
        <f t="shared" si="31"/>
        <v>29.664499999999993</v>
      </c>
      <c r="H1087" s="10">
        <f t="shared" si="31"/>
        <v>29.664499999999993</v>
      </c>
      <c r="I1087" s="10">
        <f t="shared" si="31"/>
        <v>29.666066666666666</v>
      </c>
      <c r="J1087" s="10">
        <f t="shared" si="31"/>
        <v>201.95271666666665</v>
      </c>
    </row>
    <row r="1088" spans="1:11" ht="15">
      <c r="A1088" s="11">
        <f t="shared" si="24"/>
        <v>2045</v>
      </c>
      <c r="B1088" s="10">
        <f t="shared" ref="B1088:J1088" si="32">AVERAGE(B384:B395)</f>
        <v>32.736900000000006</v>
      </c>
      <c r="C1088" s="10">
        <f t="shared" si="32"/>
        <v>30.181433333333331</v>
      </c>
      <c r="D1088" s="10">
        <f t="shared" si="32"/>
        <v>30.17360833333333</v>
      </c>
      <c r="E1088" s="10">
        <f t="shared" si="32"/>
        <v>32.589758333333329</v>
      </c>
      <c r="F1088" s="10">
        <f t="shared" si="32"/>
        <v>32.580658333333339</v>
      </c>
      <c r="G1088" s="10">
        <f t="shared" si="32"/>
        <v>30.179874999999999</v>
      </c>
      <c r="H1088" s="10">
        <f t="shared" si="32"/>
        <v>30.179874999999999</v>
      </c>
      <c r="I1088" s="10">
        <f t="shared" si="32"/>
        <v>30.181433333333331</v>
      </c>
      <c r="J1088" s="10">
        <f t="shared" si="32"/>
        <v>205.53093333333331</v>
      </c>
    </row>
    <row r="1089" spans="1:10" ht="15">
      <c r="A1089" s="11">
        <f t="shared" si="24"/>
        <v>2046</v>
      </c>
      <c r="B1089" s="10">
        <f t="shared" ref="B1089:J1089" si="33">AVERAGE(B396:B407)</f>
        <v>33.303933333333333</v>
      </c>
      <c r="C1089" s="10">
        <f t="shared" si="33"/>
        <v>30.705899999999996</v>
      </c>
      <c r="D1089" s="10">
        <f t="shared" si="33"/>
        <v>30.6981</v>
      </c>
      <c r="E1089" s="10">
        <f t="shared" si="33"/>
        <v>33.15679166666667</v>
      </c>
      <c r="F1089" s="10">
        <f t="shared" si="33"/>
        <v>33.147691666666674</v>
      </c>
      <c r="G1089" s="10">
        <f t="shared" si="33"/>
        <v>30.704349999999991</v>
      </c>
      <c r="H1089" s="10">
        <f t="shared" si="33"/>
        <v>30.704349999999991</v>
      </c>
      <c r="I1089" s="10">
        <f t="shared" si="33"/>
        <v>30.705899999999996</v>
      </c>
      <c r="J1089" s="10">
        <f t="shared" si="33"/>
        <v>209.17255</v>
      </c>
    </row>
    <row r="1090" spans="1:10" ht="15">
      <c r="A1090" s="11">
        <f t="shared" si="24"/>
        <v>2047</v>
      </c>
      <c r="B1090" s="10">
        <f t="shared" ref="B1090:J1090" si="34">AVERAGE(B408:B419)</f>
        <v>33.880991666666667</v>
      </c>
      <c r="C1090" s="10">
        <f t="shared" si="34"/>
        <v>31.239666666666665</v>
      </c>
      <c r="D1090" s="10">
        <f t="shared" si="34"/>
        <v>31.231849999999994</v>
      </c>
      <c r="E1090" s="10">
        <f t="shared" si="34"/>
        <v>33.73383333333333</v>
      </c>
      <c r="F1090" s="10">
        <f t="shared" si="34"/>
        <v>33.724733333333333</v>
      </c>
      <c r="G1090" s="10">
        <f t="shared" si="34"/>
        <v>31.238099999999999</v>
      </c>
      <c r="H1090" s="10">
        <f t="shared" si="34"/>
        <v>31.238099999999999</v>
      </c>
      <c r="I1090" s="10">
        <f t="shared" si="34"/>
        <v>31.239666666666665</v>
      </c>
      <c r="J1090" s="10">
        <f t="shared" si="34"/>
        <v>212.87868333333333</v>
      </c>
    </row>
    <row r="1091" spans="1:10" ht="15">
      <c r="A1091" s="11">
        <f t="shared" si="24"/>
        <v>2048</v>
      </c>
      <c r="B1091" s="10">
        <f t="shared" ref="B1091:J1091" si="35">AVERAGE(B420:B431)</f>
        <v>34.468224999999997</v>
      </c>
      <c r="C1091" s="10">
        <f t="shared" si="35"/>
        <v>31.782833333333333</v>
      </c>
      <c r="D1091" s="10">
        <f t="shared" si="35"/>
        <v>31.775016666666669</v>
      </c>
      <c r="E1091" s="10">
        <f t="shared" si="35"/>
        <v>34.321091666666668</v>
      </c>
      <c r="F1091" s="10">
        <f t="shared" si="35"/>
        <v>34.311991666666664</v>
      </c>
      <c r="G1091" s="10">
        <f t="shared" si="35"/>
        <v>31.781283333333331</v>
      </c>
      <c r="H1091" s="10">
        <f t="shared" si="35"/>
        <v>31.781283333333331</v>
      </c>
      <c r="I1091" s="10">
        <f t="shared" si="35"/>
        <v>31.782833333333333</v>
      </c>
      <c r="J1091" s="10">
        <f t="shared" si="35"/>
        <v>216.65049999999999</v>
      </c>
    </row>
    <row r="1092" spans="1:10" ht="15">
      <c r="A1092" s="11">
        <f t="shared" si="24"/>
        <v>2049</v>
      </c>
      <c r="B1092" s="10">
        <f t="shared" ref="B1092:J1092" si="36">AVERAGE(B432:B443)</f>
        <v>35.065850000000005</v>
      </c>
      <c r="C1092" s="10">
        <f t="shared" si="36"/>
        <v>32.335599999999999</v>
      </c>
      <c r="D1092" s="10">
        <f t="shared" si="36"/>
        <v>32.327799999999996</v>
      </c>
      <c r="E1092" s="10">
        <f t="shared" si="36"/>
        <v>34.918700000000001</v>
      </c>
      <c r="F1092" s="10">
        <f t="shared" si="36"/>
        <v>34.909600000000005</v>
      </c>
      <c r="G1092" s="10">
        <f t="shared" si="36"/>
        <v>32.334049999999998</v>
      </c>
      <c r="H1092" s="10">
        <f t="shared" si="36"/>
        <v>32.334049999999998</v>
      </c>
      <c r="I1092" s="10">
        <f t="shared" si="36"/>
        <v>32.335599999999999</v>
      </c>
      <c r="J1092" s="10">
        <f t="shared" si="36"/>
        <v>220.48913333333337</v>
      </c>
    </row>
    <row r="1093" spans="1:10" ht="15">
      <c r="A1093" s="11">
        <f t="shared" si="24"/>
        <v>2050</v>
      </c>
      <c r="B1093" s="10">
        <f t="shared" ref="B1093:J1093" si="37">AVERAGE(B444:B455)</f>
        <v>35.674025</v>
      </c>
      <c r="C1093" s="10">
        <f t="shared" si="37"/>
        <v>32.898150000000001</v>
      </c>
      <c r="D1093" s="10">
        <f t="shared" si="37"/>
        <v>32.890333333333324</v>
      </c>
      <c r="E1093" s="10">
        <f t="shared" si="37"/>
        <v>35.526891666666664</v>
      </c>
      <c r="F1093" s="10">
        <f t="shared" si="37"/>
        <v>35.517791666666675</v>
      </c>
      <c r="G1093" s="10">
        <f t="shared" si="37"/>
        <v>32.896591666666666</v>
      </c>
      <c r="H1093" s="10">
        <f t="shared" si="37"/>
        <v>32.896591666666666</v>
      </c>
      <c r="I1093" s="10">
        <f t="shared" si="37"/>
        <v>32.898150000000001</v>
      </c>
      <c r="J1093" s="10">
        <f t="shared" si="37"/>
        <v>224.39579166666667</v>
      </c>
    </row>
    <row r="1094" spans="1:10" ht="15">
      <c r="A1094" s="11">
        <f t="shared" si="24"/>
        <v>2051</v>
      </c>
      <c r="B1094" s="10">
        <f t="shared" ref="B1094:J1094" si="38">AVERAGE(B456:B467)</f>
        <v>36.292949999999998</v>
      </c>
      <c r="C1094" s="10">
        <f t="shared" si="38"/>
        <v>33.470625000000005</v>
      </c>
      <c r="D1094" s="10">
        <f t="shared" si="38"/>
        <v>33.462808333333335</v>
      </c>
      <c r="E1094" s="10">
        <f t="shared" si="38"/>
        <v>36.145800000000001</v>
      </c>
      <c r="F1094" s="10">
        <f t="shared" si="38"/>
        <v>36.136699999999998</v>
      </c>
      <c r="G1094" s="10">
        <f t="shared" si="38"/>
        <v>33.469074999999997</v>
      </c>
      <c r="H1094" s="10">
        <f t="shared" si="38"/>
        <v>33.469074999999997</v>
      </c>
      <c r="I1094" s="10">
        <f t="shared" si="38"/>
        <v>33.470625000000005</v>
      </c>
      <c r="J1094" s="10">
        <f t="shared" si="38"/>
        <v>228.37164166666662</v>
      </c>
    </row>
    <row r="1095" spans="1:10" ht="15">
      <c r="A1095" s="11">
        <f t="shared" si="24"/>
        <v>2052</v>
      </c>
      <c r="B1095" s="10">
        <f t="shared" ref="B1095:J1095" si="39">AVERAGE(B468:B479)</f>
        <v>36.922800000000002</v>
      </c>
      <c r="C1095" s="10">
        <f t="shared" si="39"/>
        <v>34.053208333333338</v>
      </c>
      <c r="D1095" s="10">
        <f t="shared" si="39"/>
        <v>34.045399999999994</v>
      </c>
      <c r="E1095" s="10">
        <f t="shared" si="39"/>
        <v>36.775666666666666</v>
      </c>
      <c r="F1095" s="10">
        <f t="shared" si="39"/>
        <v>36.76656666666667</v>
      </c>
      <c r="G1095" s="10">
        <f t="shared" si="39"/>
        <v>34.051666666666669</v>
      </c>
      <c r="H1095" s="10">
        <f t="shared" si="39"/>
        <v>34.051666666666669</v>
      </c>
      <c r="I1095" s="10">
        <f t="shared" si="39"/>
        <v>34.053208333333338</v>
      </c>
      <c r="J1095" s="10">
        <f t="shared" si="39"/>
        <v>232.41797499999998</v>
      </c>
    </row>
    <row r="1096" spans="1:10" ht="15">
      <c r="A1096" s="11">
        <f t="shared" si="24"/>
        <v>2053</v>
      </c>
      <c r="B1096" s="10">
        <f t="shared" ref="B1096:J1096" si="40">AVERAGE(B480:B491)</f>
        <v>37.563800000000008</v>
      </c>
      <c r="C1096" s="10">
        <f t="shared" si="40"/>
        <v>34.646100000000004</v>
      </c>
      <c r="D1096" s="10">
        <f t="shared" si="40"/>
        <v>34.638300000000001</v>
      </c>
      <c r="E1096" s="10">
        <f t="shared" si="40"/>
        <v>37.416649999999997</v>
      </c>
      <c r="F1096" s="10">
        <f t="shared" si="40"/>
        <v>37.407550000000001</v>
      </c>
      <c r="G1096" s="10">
        <f t="shared" si="40"/>
        <v>34.644549999999995</v>
      </c>
      <c r="H1096" s="10">
        <f t="shared" si="40"/>
        <v>34.644549999999995</v>
      </c>
      <c r="I1096" s="10">
        <f t="shared" si="40"/>
        <v>34.646100000000004</v>
      </c>
      <c r="J1096" s="10">
        <f t="shared" si="40"/>
        <v>236.53596666666667</v>
      </c>
    </row>
    <row r="1097" spans="1:10" ht="15">
      <c r="A1097" s="11">
        <f t="shared" si="24"/>
        <v>2054</v>
      </c>
      <c r="B1097" s="10">
        <f t="shared" ref="B1097:J1097" si="41">AVERAGE(B492:B503)</f>
        <v>38.216100000000004</v>
      </c>
      <c r="C1097" s="10">
        <f t="shared" si="41"/>
        <v>35.249474999999997</v>
      </c>
      <c r="D1097" s="10">
        <f t="shared" si="41"/>
        <v>35.241666666666667</v>
      </c>
      <c r="E1097" s="10">
        <f t="shared" si="41"/>
        <v>38.068966666666661</v>
      </c>
      <c r="F1097" s="10">
        <f t="shared" si="41"/>
        <v>38.059866666666665</v>
      </c>
      <c r="G1097" s="10">
        <f t="shared" si="41"/>
        <v>35.247899999999994</v>
      </c>
      <c r="H1097" s="10">
        <f t="shared" si="41"/>
        <v>35.247899999999994</v>
      </c>
      <c r="I1097" s="10">
        <f t="shared" si="41"/>
        <v>35.249474999999997</v>
      </c>
      <c r="J1097" s="10">
        <f t="shared" si="41"/>
        <v>240.72695000000002</v>
      </c>
    </row>
    <row r="1098" spans="1:10" ht="15">
      <c r="A1098" s="11">
        <f t="shared" si="24"/>
        <v>2055</v>
      </c>
      <c r="B1098" s="10">
        <f t="shared" ref="B1098:J1098" si="42">AVERAGE(B504:B515)</f>
        <v>38.879950000000001</v>
      </c>
      <c r="C1098" s="10">
        <f t="shared" si="42"/>
        <v>35.863500000000002</v>
      </c>
      <c r="D1098" s="10">
        <f t="shared" si="42"/>
        <v>35.855691666666665</v>
      </c>
      <c r="E1098" s="10">
        <f t="shared" si="42"/>
        <v>38.732800000000005</v>
      </c>
      <c r="F1098" s="10">
        <f t="shared" si="42"/>
        <v>38.723700000000001</v>
      </c>
      <c r="G1098" s="10">
        <f t="shared" si="42"/>
        <v>35.861924999999992</v>
      </c>
      <c r="H1098" s="10">
        <f t="shared" si="42"/>
        <v>35.861924999999992</v>
      </c>
      <c r="I1098" s="10">
        <f t="shared" si="42"/>
        <v>35.863500000000002</v>
      </c>
      <c r="J1098" s="10">
        <f t="shared" si="42"/>
        <v>244.99216666666666</v>
      </c>
    </row>
    <row r="1099" spans="1:10" ht="15">
      <c r="A1099" s="11">
        <f t="shared" si="24"/>
        <v>2056</v>
      </c>
      <c r="B1099" s="10">
        <f t="shared" ref="B1099:J1099" si="43">AVERAGE(B516:B527)</f>
        <v>39.555508333333336</v>
      </c>
      <c r="C1099" s="10">
        <f t="shared" si="43"/>
        <v>36.488374999999998</v>
      </c>
      <c r="D1099" s="10">
        <f t="shared" si="43"/>
        <v>36.480558333333335</v>
      </c>
      <c r="E1099" s="10">
        <f t="shared" si="43"/>
        <v>39.408374999999999</v>
      </c>
      <c r="F1099" s="10">
        <f t="shared" si="43"/>
        <v>39.399275000000003</v>
      </c>
      <c r="G1099" s="10">
        <f t="shared" si="43"/>
        <v>36.486799999999995</v>
      </c>
      <c r="H1099" s="10">
        <f t="shared" si="43"/>
        <v>36.486799999999995</v>
      </c>
      <c r="I1099" s="10">
        <f t="shared" si="43"/>
        <v>36.488374999999998</v>
      </c>
      <c r="J1099" s="10">
        <f t="shared" si="43"/>
        <v>249.332975</v>
      </c>
    </row>
    <row r="1100" spans="1:10" ht="15">
      <c r="A1100" s="11">
        <f t="shared" si="24"/>
        <v>2057</v>
      </c>
      <c r="B1100" s="10">
        <f t="shared" ref="B1100:J1100" si="44">AVERAGE(B528:B539)</f>
        <v>40.243008333333336</v>
      </c>
      <c r="C1100" s="10">
        <f t="shared" si="44"/>
        <v>37.124291666666657</v>
      </c>
      <c r="D1100" s="10">
        <f t="shared" si="44"/>
        <v>37.116475000000001</v>
      </c>
      <c r="E1100" s="10">
        <f t="shared" si="44"/>
        <v>40.095874999999999</v>
      </c>
      <c r="F1100" s="10">
        <f t="shared" si="44"/>
        <v>40.086775000000003</v>
      </c>
      <c r="G1100" s="10">
        <f t="shared" si="44"/>
        <v>37.122708333333328</v>
      </c>
      <c r="H1100" s="10">
        <f t="shared" si="44"/>
        <v>37.122708333333328</v>
      </c>
      <c r="I1100" s="10">
        <f t="shared" si="44"/>
        <v>37.124291666666657</v>
      </c>
      <c r="J1100" s="10">
        <f t="shared" si="44"/>
        <v>253.75069166666671</v>
      </c>
    </row>
    <row r="1101" spans="1:10" ht="15">
      <c r="A1101" s="11">
        <f t="shared" si="24"/>
        <v>2058</v>
      </c>
      <c r="B1101" s="10">
        <f t="shared" ref="B1101:J1101" si="45">AVERAGE(B540:B551)</f>
        <v>40.942675000000001</v>
      </c>
      <c r="C1101" s="10">
        <f t="shared" si="45"/>
        <v>37.77141666666666</v>
      </c>
      <c r="D1101" s="10">
        <f t="shared" si="45"/>
        <v>37.763600000000004</v>
      </c>
      <c r="E1101" s="10">
        <f t="shared" si="45"/>
        <v>40.795508333333331</v>
      </c>
      <c r="F1101" s="10">
        <f t="shared" si="45"/>
        <v>40.786408333333334</v>
      </c>
      <c r="G1101" s="10">
        <f t="shared" si="45"/>
        <v>37.769874999999992</v>
      </c>
      <c r="H1101" s="10">
        <f t="shared" si="45"/>
        <v>37.769874999999992</v>
      </c>
      <c r="I1101" s="10">
        <f t="shared" si="45"/>
        <v>37.77141666666666</v>
      </c>
      <c r="J1101" s="10">
        <f t="shared" si="45"/>
        <v>258.24666666666667</v>
      </c>
    </row>
    <row r="1102" spans="1:10" ht="15">
      <c r="A1102" s="11">
        <f t="shared" si="24"/>
        <v>2059</v>
      </c>
      <c r="B1102" s="10">
        <f t="shared" ref="B1102:J1102" si="46">AVERAGE(B552:B563)</f>
        <v>41.654691666666672</v>
      </c>
      <c r="C1102" s="10">
        <f t="shared" si="46"/>
        <v>38.43</v>
      </c>
      <c r="D1102" s="10">
        <f t="shared" si="46"/>
        <v>38.422199999999997</v>
      </c>
      <c r="E1102" s="10">
        <f t="shared" si="46"/>
        <v>41.507524999999994</v>
      </c>
      <c r="F1102" s="10">
        <f t="shared" si="46"/>
        <v>41.498424999999997</v>
      </c>
      <c r="G1102" s="10">
        <f t="shared" si="46"/>
        <v>38.428441666666664</v>
      </c>
      <c r="H1102" s="10">
        <f t="shared" si="46"/>
        <v>38.428441666666664</v>
      </c>
      <c r="I1102" s="10">
        <f t="shared" si="46"/>
        <v>38.43</v>
      </c>
      <c r="J1102" s="10">
        <f t="shared" si="46"/>
        <v>262.82230000000004</v>
      </c>
    </row>
    <row r="1103" spans="1:10" ht="15">
      <c r="A1103" s="11">
        <f t="shared" si="24"/>
        <v>2060</v>
      </c>
      <c r="B1103" s="10">
        <f t="shared" ref="B1103:J1103" si="47">AVERAGE(B564:B575)</f>
        <v>42.379283333333341</v>
      </c>
      <c r="C1103" s="10">
        <f t="shared" si="47"/>
        <v>39.100216666666661</v>
      </c>
      <c r="D1103" s="10">
        <f t="shared" si="47"/>
        <v>39.092399999999998</v>
      </c>
      <c r="E1103" s="10">
        <f t="shared" si="47"/>
        <v>42.232116666666663</v>
      </c>
      <c r="F1103" s="10">
        <f t="shared" si="47"/>
        <v>42.223016666666666</v>
      </c>
      <c r="G1103" s="10">
        <f t="shared" si="47"/>
        <v>39.098666666666666</v>
      </c>
      <c r="H1103" s="10">
        <f t="shared" si="47"/>
        <v>39.098666666666666</v>
      </c>
      <c r="I1103" s="10">
        <f t="shared" si="47"/>
        <v>39.100216666666661</v>
      </c>
      <c r="J1103" s="10">
        <f t="shared" si="47"/>
        <v>267.47902500000004</v>
      </c>
    </row>
    <row r="1104" spans="1:10" ht="15">
      <c r="A1104" s="11">
        <f t="shared" si="24"/>
        <v>2061</v>
      </c>
      <c r="B1104" s="10">
        <f t="shared" ref="B1104:J1104" si="48">AVERAGE(B576:B587)</f>
        <v>43.116675000000008</v>
      </c>
      <c r="C1104" s="10">
        <f t="shared" si="48"/>
        <v>39.782291666666659</v>
      </c>
      <c r="D1104" s="10">
        <f t="shared" si="48"/>
        <v>39.774475000000002</v>
      </c>
      <c r="E1104" s="10">
        <f t="shared" si="48"/>
        <v>42.969508333333344</v>
      </c>
      <c r="F1104" s="10">
        <f t="shared" si="48"/>
        <v>42.960408333333341</v>
      </c>
      <c r="G1104" s="10">
        <f t="shared" si="48"/>
        <v>39.78070833333333</v>
      </c>
      <c r="H1104" s="10">
        <f t="shared" si="48"/>
        <v>39.78070833333333</v>
      </c>
      <c r="I1104" s="10">
        <f t="shared" si="48"/>
        <v>39.782291666666659</v>
      </c>
      <c r="J1104" s="10">
        <f t="shared" si="48"/>
        <v>272.21823333333333</v>
      </c>
    </row>
    <row r="1105" spans="1:10" ht="15">
      <c r="A1105" s="11">
        <f t="shared" si="24"/>
        <v>2062</v>
      </c>
      <c r="B1105" s="10">
        <f t="shared" ref="B1105:J1114" ca="1" si="49">AVERAGE(OFFSET(B$588,($A1105-$A$1105)*12,0,12,1))</f>
        <v>43.867100000000015</v>
      </c>
      <c r="C1105" s="10">
        <f t="shared" ca="1" si="49"/>
        <v>40.476400000000005</v>
      </c>
      <c r="D1105" s="10">
        <f t="shared" ca="1" si="49"/>
        <v>40.468591666666669</v>
      </c>
      <c r="E1105" s="10">
        <f t="shared" ca="1" si="49"/>
        <v>43.719941666666664</v>
      </c>
      <c r="F1105" s="10">
        <f t="shared" ca="1" si="49"/>
        <v>43.710841666666674</v>
      </c>
      <c r="G1105" s="10">
        <f t="shared" ca="1" si="49"/>
        <v>40.474824999999996</v>
      </c>
      <c r="H1105" s="10">
        <f t="shared" ca="1" si="49"/>
        <v>40.474824999999996</v>
      </c>
      <c r="I1105" s="10">
        <f t="shared" ca="1" si="49"/>
        <v>40.476400000000005</v>
      </c>
      <c r="J1105" s="10">
        <f t="shared" ca="1" si="49"/>
        <v>277.04143333333337</v>
      </c>
    </row>
    <row r="1106" spans="1:10" ht="15">
      <c r="A1106" s="11">
        <f t="shared" si="24"/>
        <v>2063</v>
      </c>
      <c r="B1106" s="10">
        <f t="shared" ca="1" si="49"/>
        <v>44.630783333333333</v>
      </c>
      <c r="C1106" s="10">
        <f t="shared" ca="1" si="49"/>
        <v>41.182774999999999</v>
      </c>
      <c r="D1106" s="10">
        <f t="shared" ca="1" si="49"/>
        <v>41.174958333333329</v>
      </c>
      <c r="E1106" s="10">
        <f t="shared" ca="1" si="49"/>
        <v>44.483616666666656</v>
      </c>
      <c r="F1106" s="10">
        <f t="shared" ca="1" si="49"/>
        <v>44.474516666666666</v>
      </c>
      <c r="G1106" s="10">
        <f t="shared" ca="1" si="49"/>
        <v>41.181200000000004</v>
      </c>
      <c r="H1106" s="10">
        <f t="shared" ca="1" si="49"/>
        <v>41.181200000000004</v>
      </c>
      <c r="I1106" s="10">
        <f t="shared" ca="1" si="49"/>
        <v>41.182774999999999</v>
      </c>
      <c r="J1106" s="10">
        <f t="shared" ca="1" si="49"/>
        <v>281.95010833333333</v>
      </c>
    </row>
    <row r="1107" spans="1:10" ht="15">
      <c r="A1107" s="11">
        <f t="shared" si="24"/>
        <v>2064</v>
      </c>
      <c r="B1107" s="10">
        <f t="shared" ca="1" si="49"/>
        <v>45.40795</v>
      </c>
      <c r="C1107" s="10">
        <f t="shared" ca="1" si="49"/>
        <v>41.901608333333328</v>
      </c>
      <c r="D1107" s="10">
        <f t="shared" ca="1" si="49"/>
        <v>41.893800000000006</v>
      </c>
      <c r="E1107" s="10">
        <f t="shared" ca="1" si="49"/>
        <v>45.260799999999996</v>
      </c>
      <c r="F1107" s="10">
        <f t="shared" ca="1" si="49"/>
        <v>45.2517</v>
      </c>
      <c r="G1107" s="10">
        <f t="shared" ca="1" si="49"/>
        <v>41.900066666666667</v>
      </c>
      <c r="H1107" s="10">
        <f t="shared" ca="1" si="49"/>
        <v>41.900066666666667</v>
      </c>
      <c r="I1107" s="10">
        <f t="shared" ca="1" si="49"/>
        <v>41.901608333333328</v>
      </c>
      <c r="J1107" s="10">
        <f t="shared" ca="1" si="49"/>
        <v>286.94570000000004</v>
      </c>
    </row>
    <row r="1108" spans="1:10" ht="15">
      <c r="A1108" s="11">
        <f t="shared" si="24"/>
        <v>2065</v>
      </c>
      <c r="B1108" s="10">
        <f t="shared" ca="1" si="49"/>
        <v>46.198858333333334</v>
      </c>
      <c r="C1108" s="10">
        <f t="shared" ca="1" si="49"/>
        <v>42.633183333333335</v>
      </c>
      <c r="D1108" s="10">
        <f t="shared" ca="1" si="49"/>
        <v>42.625374999999998</v>
      </c>
      <c r="E1108" s="10">
        <f t="shared" ca="1" si="49"/>
        <v>46.051700000000004</v>
      </c>
      <c r="F1108" s="10">
        <f t="shared" ca="1" si="49"/>
        <v>46.042600000000014</v>
      </c>
      <c r="G1108" s="10">
        <f t="shared" ca="1" si="49"/>
        <v>42.631599999999999</v>
      </c>
      <c r="H1108" s="10">
        <f t="shared" ca="1" si="49"/>
        <v>42.631599999999999</v>
      </c>
      <c r="I1108" s="10">
        <f t="shared" ca="1" si="49"/>
        <v>42.633183333333335</v>
      </c>
      <c r="J1108" s="10">
        <f t="shared" ca="1" si="49"/>
        <v>292.02985000000007</v>
      </c>
    </row>
    <row r="1109" spans="1:10" ht="15">
      <c r="A1109" s="11">
        <f t="shared" si="24"/>
        <v>2066</v>
      </c>
      <c r="B1109" s="10">
        <f t="shared" ca="1" si="49"/>
        <v>47.003733333333336</v>
      </c>
      <c r="C1109" s="10">
        <f t="shared" ca="1" si="49"/>
        <v>43.377658333333329</v>
      </c>
      <c r="D1109" s="10">
        <f t="shared" ca="1" si="49"/>
        <v>43.369841666666666</v>
      </c>
      <c r="E1109" s="10">
        <f t="shared" ca="1" si="49"/>
        <v>46.856591666666667</v>
      </c>
      <c r="F1109" s="10">
        <f t="shared" ca="1" si="49"/>
        <v>46.847491666666677</v>
      </c>
      <c r="G1109" s="10">
        <f t="shared" ca="1" si="49"/>
        <v>43.376100000000001</v>
      </c>
      <c r="H1109" s="10">
        <f t="shared" ca="1" si="49"/>
        <v>43.376100000000001</v>
      </c>
      <c r="I1109" s="10">
        <f t="shared" ca="1" si="49"/>
        <v>43.377658333333329</v>
      </c>
      <c r="J1109" s="10">
        <f t="shared" ca="1" si="49"/>
        <v>297.20406666666662</v>
      </c>
    </row>
    <row r="1110" spans="1:10" ht="15">
      <c r="A1110" s="11">
        <f t="shared" si="24"/>
        <v>2067</v>
      </c>
      <c r="B1110" s="10">
        <f t="shared" ca="1" si="49"/>
        <v>47.822833333333328</v>
      </c>
      <c r="C1110" s="10">
        <f t="shared" ca="1" si="49"/>
        <v>44.135291666666667</v>
      </c>
      <c r="D1110" s="10">
        <f t="shared" ca="1" si="49"/>
        <v>44.127491666666678</v>
      </c>
      <c r="E1110" s="10">
        <f t="shared" ca="1" si="49"/>
        <v>47.675691666666658</v>
      </c>
      <c r="F1110" s="10">
        <f t="shared" ca="1" si="49"/>
        <v>47.666591666666669</v>
      </c>
      <c r="G1110" s="10">
        <f t="shared" ca="1" si="49"/>
        <v>44.133724999999998</v>
      </c>
      <c r="H1110" s="10">
        <f t="shared" ca="1" si="49"/>
        <v>44.133724999999998</v>
      </c>
      <c r="I1110" s="10">
        <f t="shared" ca="1" si="49"/>
        <v>44.135291666666667</v>
      </c>
      <c r="J1110" s="10">
        <f t="shared" ca="1" si="49"/>
        <v>302.46996666666661</v>
      </c>
    </row>
    <row r="1111" spans="1:10" ht="15">
      <c r="A1111" s="11">
        <f t="shared" si="24"/>
        <v>2068</v>
      </c>
      <c r="B1111" s="10">
        <f t="shared" ca="1" si="49"/>
        <v>48.656399999999998</v>
      </c>
      <c r="C1111" s="10">
        <f t="shared" ca="1" si="49"/>
        <v>44.906300000000009</v>
      </c>
      <c r="D1111" s="10">
        <f t="shared" ca="1" si="49"/>
        <v>44.898500000000006</v>
      </c>
      <c r="E1111" s="10">
        <f t="shared" ca="1" si="49"/>
        <v>48.509266666666669</v>
      </c>
      <c r="F1111" s="10">
        <f t="shared" ca="1" si="49"/>
        <v>48.500166666666672</v>
      </c>
      <c r="G1111" s="10">
        <f t="shared" ca="1" si="49"/>
        <v>44.904750000000007</v>
      </c>
      <c r="H1111" s="10">
        <f t="shared" ca="1" si="49"/>
        <v>44.904750000000007</v>
      </c>
      <c r="I1111" s="10">
        <f t="shared" ca="1" si="49"/>
        <v>44.906300000000009</v>
      </c>
      <c r="J1111" s="10">
        <f t="shared" ca="1" si="49"/>
        <v>307.82914166666666</v>
      </c>
    </row>
    <row r="1112" spans="1:10" ht="15">
      <c r="A1112" s="11">
        <f t="shared" si="24"/>
        <v>2069</v>
      </c>
      <c r="B1112" s="10">
        <f t="shared" ca="1" si="49"/>
        <v>49.504700000000007</v>
      </c>
      <c r="C1112" s="10">
        <f t="shared" ca="1" si="49"/>
        <v>45.690950000000008</v>
      </c>
      <c r="D1112" s="10">
        <f t="shared" ca="1" si="49"/>
        <v>45.683141666666664</v>
      </c>
      <c r="E1112" s="10">
        <f t="shared" ca="1" si="49"/>
        <v>49.357566666666663</v>
      </c>
      <c r="F1112" s="10">
        <f t="shared" ca="1" si="49"/>
        <v>49.348466666666674</v>
      </c>
      <c r="G1112" s="10">
        <f t="shared" ca="1" si="49"/>
        <v>45.689391666666666</v>
      </c>
      <c r="H1112" s="10">
        <f t="shared" ca="1" si="49"/>
        <v>45.689391666666666</v>
      </c>
      <c r="I1112" s="10">
        <f t="shared" ca="1" si="49"/>
        <v>45.690950000000008</v>
      </c>
      <c r="J1112" s="10">
        <f t="shared" ca="1" si="49"/>
        <v>313.28330833333337</v>
      </c>
    </row>
    <row r="1113" spans="1:10" ht="15">
      <c r="A1113" s="11">
        <f t="shared" ref="A1113:A1143" si="50">A1112+1</f>
        <v>2070</v>
      </c>
      <c r="B1113" s="10">
        <f t="shared" ca="1" si="49"/>
        <v>50.368000000000002</v>
      </c>
      <c r="C1113" s="10">
        <f t="shared" ca="1" si="49"/>
        <v>46.489466666666665</v>
      </c>
      <c r="D1113" s="10">
        <f t="shared" ca="1" si="49"/>
        <v>46.481650000000002</v>
      </c>
      <c r="E1113" s="10">
        <f t="shared" ca="1" si="49"/>
        <v>50.220850000000006</v>
      </c>
      <c r="F1113" s="10">
        <f t="shared" ca="1" si="49"/>
        <v>50.211749999999995</v>
      </c>
      <c r="G1113" s="10">
        <f t="shared" ca="1" si="49"/>
        <v>46.487899999999996</v>
      </c>
      <c r="H1113" s="10">
        <f t="shared" ca="1" si="49"/>
        <v>46.487899999999996</v>
      </c>
      <c r="I1113" s="10">
        <f t="shared" ca="1" si="49"/>
        <v>46.489466666666665</v>
      </c>
      <c r="J1113" s="10">
        <f t="shared" ca="1" si="49"/>
        <v>318.83410833333335</v>
      </c>
    </row>
    <row r="1114" spans="1:10" ht="15">
      <c r="A1114" s="11">
        <f t="shared" si="50"/>
        <v>2071</v>
      </c>
      <c r="B1114" s="10">
        <f t="shared" ca="1" si="49"/>
        <v>51.246533333333339</v>
      </c>
      <c r="C1114" s="10">
        <f t="shared" ca="1" si="49"/>
        <v>47.302074999999995</v>
      </c>
      <c r="D1114" s="10">
        <f t="shared" ca="1" si="49"/>
        <v>47.294266666666665</v>
      </c>
      <c r="E1114" s="10">
        <f t="shared" ca="1" si="49"/>
        <v>51.099391666666662</v>
      </c>
      <c r="F1114" s="10">
        <f t="shared" ca="1" si="49"/>
        <v>51.090291666666673</v>
      </c>
      <c r="G1114" s="10">
        <f t="shared" ca="1" si="49"/>
        <v>47.3005</v>
      </c>
      <c r="H1114" s="10">
        <f t="shared" ca="1" si="49"/>
        <v>47.3005</v>
      </c>
      <c r="I1114" s="10">
        <f t="shared" ca="1" si="49"/>
        <v>47.302074999999995</v>
      </c>
      <c r="J1114" s="10">
        <f t="shared" ca="1" si="49"/>
        <v>324.48324166666663</v>
      </c>
    </row>
    <row r="1115" spans="1:10" ht="15">
      <c r="A1115" s="11">
        <f t="shared" si="50"/>
        <v>2072</v>
      </c>
      <c r="B1115" s="10">
        <f t="shared" ref="B1115:J1124" ca="1" si="51">AVERAGE(OFFSET(B$588,($A1115-$A$1105)*12,0,12,1))</f>
        <v>52.140599999999999</v>
      </c>
      <c r="C1115" s="10">
        <f t="shared" ca="1" si="51"/>
        <v>48.129041666666659</v>
      </c>
      <c r="D1115" s="10">
        <f t="shared" ca="1" si="51"/>
        <v>48.121225000000003</v>
      </c>
      <c r="E1115" s="10">
        <f t="shared" ca="1" si="51"/>
        <v>51.993449999999996</v>
      </c>
      <c r="F1115" s="10">
        <f t="shared" ca="1" si="51"/>
        <v>51.984350000000006</v>
      </c>
      <c r="G1115" s="10">
        <f t="shared" ca="1" si="51"/>
        <v>48.127491666666678</v>
      </c>
      <c r="H1115" s="10">
        <f t="shared" ca="1" si="51"/>
        <v>48.127491666666678</v>
      </c>
      <c r="I1115" s="10">
        <f t="shared" ca="1" si="51"/>
        <v>48.129041666666659</v>
      </c>
      <c r="J1115" s="10">
        <f t="shared" ca="1" si="51"/>
        <v>330.23245833333334</v>
      </c>
    </row>
    <row r="1116" spans="1:10" ht="15">
      <c r="A1116" s="11">
        <f t="shared" si="50"/>
        <v>2073</v>
      </c>
      <c r="B1116" s="10">
        <f t="shared" ca="1" si="51"/>
        <v>53.050466666666672</v>
      </c>
      <c r="C1116" s="10">
        <f t="shared" ca="1" si="51"/>
        <v>48.970625000000013</v>
      </c>
      <c r="D1116" s="10">
        <f t="shared" ca="1" si="51"/>
        <v>48.962808333333328</v>
      </c>
      <c r="E1116" s="10">
        <f t="shared" ca="1" si="51"/>
        <v>52.903299999999994</v>
      </c>
      <c r="F1116" s="10">
        <f t="shared" ca="1" si="51"/>
        <v>52.894200000000005</v>
      </c>
      <c r="G1116" s="10">
        <f t="shared" ca="1" si="51"/>
        <v>48.969074999999997</v>
      </c>
      <c r="H1116" s="10">
        <f t="shared" ca="1" si="51"/>
        <v>48.969074999999997</v>
      </c>
      <c r="I1116" s="10">
        <f t="shared" ca="1" si="51"/>
        <v>48.970625000000013</v>
      </c>
      <c r="J1116" s="10">
        <f t="shared" ca="1" si="51"/>
        <v>336.08356666666668</v>
      </c>
    </row>
    <row r="1117" spans="1:10" ht="15">
      <c r="A1117" s="11">
        <f t="shared" si="50"/>
        <v>2074</v>
      </c>
      <c r="B1117" s="10">
        <f t="shared" ca="1" si="51"/>
        <v>53.976399999999991</v>
      </c>
      <c r="C1117" s="10">
        <f t="shared" ca="1" si="51"/>
        <v>49.827091666666668</v>
      </c>
      <c r="D1117" s="10">
        <f t="shared" ca="1" si="51"/>
        <v>49.819274999999998</v>
      </c>
      <c r="E1117" s="10">
        <f t="shared" ca="1" si="51"/>
        <v>53.829249999999981</v>
      </c>
      <c r="F1117" s="10">
        <f t="shared" ca="1" si="51"/>
        <v>53.820149999999991</v>
      </c>
      <c r="G1117" s="10">
        <f t="shared" ca="1" si="51"/>
        <v>49.825508333333339</v>
      </c>
      <c r="H1117" s="10">
        <f t="shared" ca="1" si="51"/>
        <v>49.825508333333339</v>
      </c>
      <c r="I1117" s="10">
        <f t="shared" ca="1" si="51"/>
        <v>49.827091666666668</v>
      </c>
      <c r="J1117" s="10">
        <f t="shared" ca="1" si="51"/>
        <v>342.03833333333336</v>
      </c>
    </row>
    <row r="1118" spans="1:10" ht="15">
      <c r="A1118" s="11">
        <f t="shared" si="50"/>
        <v>2075</v>
      </c>
      <c r="B1118" s="10">
        <f t="shared" ca="1" si="51"/>
        <v>54.918700000000008</v>
      </c>
      <c r="C1118" s="10">
        <f t="shared" ca="1" si="51"/>
        <v>50.698674999999987</v>
      </c>
      <c r="D1118" s="10">
        <f t="shared" ca="1" si="51"/>
        <v>50.69084999999999</v>
      </c>
      <c r="E1118" s="10">
        <f t="shared" ca="1" si="51"/>
        <v>54.771541666666657</v>
      </c>
      <c r="F1118" s="10">
        <f t="shared" ca="1" si="51"/>
        <v>54.762441666666668</v>
      </c>
      <c r="G1118" s="10">
        <f t="shared" ca="1" si="51"/>
        <v>50.697100000000006</v>
      </c>
      <c r="H1118" s="10">
        <f t="shared" ca="1" si="51"/>
        <v>50.697100000000006</v>
      </c>
      <c r="I1118" s="10">
        <f t="shared" ca="1" si="51"/>
        <v>50.698674999999987</v>
      </c>
      <c r="J1118" s="10">
        <f t="shared" ca="1" si="51"/>
        <v>348.09859166666666</v>
      </c>
    </row>
    <row r="1119" spans="1:10" ht="15">
      <c r="A1119" s="11">
        <f t="shared" si="50"/>
        <v>2076</v>
      </c>
      <c r="B1119" s="10">
        <f t="shared" ca="1" si="51"/>
        <v>55.877633333333328</v>
      </c>
      <c r="C1119" s="10">
        <f t="shared" ca="1" si="51"/>
        <v>51.585649999999994</v>
      </c>
      <c r="D1119" s="10">
        <f t="shared" ca="1" si="51"/>
        <v>51.577833333333324</v>
      </c>
      <c r="E1119" s="10">
        <f t="shared" ca="1" si="51"/>
        <v>55.730491666666659</v>
      </c>
      <c r="F1119" s="10">
        <f t="shared" ca="1" si="51"/>
        <v>55.721391666666669</v>
      </c>
      <c r="G1119" s="10">
        <f t="shared" ca="1" si="51"/>
        <v>51.584091666666666</v>
      </c>
      <c r="H1119" s="10">
        <f t="shared" ca="1" si="51"/>
        <v>51.584091666666666</v>
      </c>
      <c r="I1119" s="10">
        <f t="shared" ca="1" si="51"/>
        <v>51.585649999999994</v>
      </c>
      <c r="J1119" s="10">
        <f t="shared" ca="1" si="51"/>
        <v>354.26625833333338</v>
      </c>
    </row>
    <row r="1120" spans="1:10" ht="15">
      <c r="A1120" s="11">
        <f t="shared" si="50"/>
        <v>2077</v>
      </c>
      <c r="B1120" s="10">
        <f t="shared" ca="1" si="51"/>
        <v>56.853516666666671</v>
      </c>
      <c r="C1120" s="10">
        <f t="shared" ca="1" si="51"/>
        <v>52.48830000000001</v>
      </c>
      <c r="D1120" s="10">
        <f t="shared" ca="1" si="51"/>
        <v>52.480491666666659</v>
      </c>
      <c r="E1120" s="10">
        <f t="shared" ca="1" si="51"/>
        <v>56.706383333333328</v>
      </c>
      <c r="F1120" s="10">
        <f t="shared" ca="1" si="51"/>
        <v>56.697283333333338</v>
      </c>
      <c r="G1120" s="10">
        <f t="shared" ca="1" si="51"/>
        <v>52.486741666666667</v>
      </c>
      <c r="H1120" s="10">
        <f t="shared" ca="1" si="51"/>
        <v>52.486741666666667</v>
      </c>
      <c r="I1120" s="10">
        <f t="shared" ca="1" si="51"/>
        <v>52.48830000000001</v>
      </c>
      <c r="J1120" s="10">
        <f t="shared" ca="1" si="51"/>
        <v>360.54316666666665</v>
      </c>
    </row>
    <row r="1121" spans="1:10" ht="15">
      <c r="A1121" s="11">
        <f t="shared" si="50"/>
        <v>2078</v>
      </c>
      <c r="B1121" s="10">
        <f t="shared" ca="1" si="51"/>
        <v>57.846658333333345</v>
      </c>
      <c r="C1121" s="10">
        <f t="shared" ca="1" si="51"/>
        <v>53.4069</v>
      </c>
      <c r="D1121" s="10">
        <f t="shared" ca="1" si="51"/>
        <v>53.399100000000004</v>
      </c>
      <c r="E1121" s="10">
        <f t="shared" ca="1" si="51"/>
        <v>57.699499999999993</v>
      </c>
      <c r="F1121" s="10">
        <f t="shared" ca="1" si="51"/>
        <v>57.690400000000004</v>
      </c>
      <c r="G1121" s="10">
        <f t="shared" ca="1" si="51"/>
        <v>53.405341666666665</v>
      </c>
      <c r="H1121" s="10">
        <f t="shared" ca="1" si="51"/>
        <v>53.405341666666665</v>
      </c>
      <c r="I1121" s="10">
        <f t="shared" ca="1" si="51"/>
        <v>53.4069</v>
      </c>
      <c r="J1121" s="10">
        <f t="shared" ca="1" si="51"/>
        <v>366.93133333333327</v>
      </c>
    </row>
    <row r="1122" spans="1:10" ht="15">
      <c r="A1122" s="11">
        <f t="shared" si="50"/>
        <v>2079</v>
      </c>
      <c r="B1122" s="10">
        <f t="shared" ca="1" si="51"/>
        <v>58.857324999999996</v>
      </c>
      <c r="C1122" s="10">
        <f t="shared" ca="1" si="51"/>
        <v>54.34173333333333</v>
      </c>
      <c r="D1122" s="10">
        <f t="shared" ca="1" si="51"/>
        <v>54.333925000000001</v>
      </c>
      <c r="E1122" s="10">
        <f t="shared" ca="1" si="51"/>
        <v>58.710191666666667</v>
      </c>
      <c r="F1122" s="10">
        <f t="shared" ca="1" si="51"/>
        <v>58.701091666666649</v>
      </c>
      <c r="G1122" s="10">
        <f t="shared" ca="1" si="51"/>
        <v>54.340191666666669</v>
      </c>
      <c r="H1122" s="10">
        <f t="shared" ca="1" si="51"/>
        <v>54.340191666666669</v>
      </c>
      <c r="I1122" s="10">
        <f t="shared" ca="1" si="51"/>
        <v>54.34173333333333</v>
      </c>
      <c r="J1122" s="10">
        <f t="shared" ca="1" si="51"/>
        <v>373.43265000000002</v>
      </c>
    </row>
    <row r="1123" spans="1:10" ht="15">
      <c r="A1123" s="11">
        <f t="shared" si="50"/>
        <v>2080</v>
      </c>
      <c r="B1123" s="10">
        <f t="shared" ca="1" si="51"/>
        <v>59.885874999999999</v>
      </c>
      <c r="C1123" s="10">
        <f t="shared" ca="1" si="51"/>
        <v>55.293091666666669</v>
      </c>
      <c r="D1123" s="10">
        <f t="shared" ca="1" si="51"/>
        <v>55.285291666666659</v>
      </c>
      <c r="E1123" s="10">
        <f t="shared" ca="1" si="51"/>
        <v>59.738699999999973</v>
      </c>
      <c r="F1123" s="10">
        <f t="shared" ca="1" si="51"/>
        <v>59.729599999999984</v>
      </c>
      <c r="G1123" s="10">
        <f t="shared" ca="1" si="51"/>
        <v>55.291525</v>
      </c>
      <c r="H1123" s="10">
        <f t="shared" ca="1" si="51"/>
        <v>55.291525</v>
      </c>
      <c r="I1123" s="10">
        <f t="shared" ca="1" si="51"/>
        <v>55.293091666666669</v>
      </c>
      <c r="J1123" s="10">
        <f t="shared" ca="1" si="51"/>
        <v>380.04917500000005</v>
      </c>
    </row>
    <row r="1124" spans="1:10" ht="15">
      <c r="A1124" s="11">
        <f t="shared" si="50"/>
        <v>2081</v>
      </c>
      <c r="B1124" s="10">
        <f t="shared" ca="1" si="51"/>
        <v>60.932575000000007</v>
      </c>
      <c r="C1124" s="10">
        <f t="shared" ca="1" si="51"/>
        <v>56.26124999999999</v>
      </c>
      <c r="D1124" s="10">
        <f t="shared" ca="1" si="51"/>
        <v>56.253433333333334</v>
      </c>
      <c r="E1124" s="10">
        <f t="shared" ca="1" si="51"/>
        <v>60.785408333333343</v>
      </c>
      <c r="F1124" s="10">
        <f t="shared" ca="1" si="51"/>
        <v>60.77630833333334</v>
      </c>
      <c r="G1124" s="10">
        <f t="shared" ca="1" si="51"/>
        <v>56.259691666666669</v>
      </c>
      <c r="H1124" s="10">
        <f t="shared" ca="1" si="51"/>
        <v>56.259691666666669</v>
      </c>
      <c r="I1124" s="10">
        <f t="shared" ca="1" si="51"/>
        <v>56.26124999999999</v>
      </c>
      <c r="J1124" s="10">
        <f t="shared" ca="1" si="51"/>
        <v>386.7829083333333</v>
      </c>
    </row>
    <row r="1125" spans="1:10" ht="15">
      <c r="A1125" s="11">
        <f t="shared" si="50"/>
        <v>2082</v>
      </c>
      <c r="B1125" s="10">
        <f t="shared" ref="B1125:J1134" ca="1" si="52">AVERAGE(OFFSET(B$588,($A1125-$A$1105)*12,0,12,1))</f>
        <v>61.997774999999997</v>
      </c>
      <c r="C1125" s="10">
        <f t="shared" ca="1" si="52"/>
        <v>57.246500000000005</v>
      </c>
      <c r="D1125" s="10">
        <f t="shared" ca="1" si="52"/>
        <v>57.238699999999973</v>
      </c>
      <c r="E1125" s="10">
        <f t="shared" ca="1" si="52"/>
        <v>61.850608333333348</v>
      </c>
      <c r="F1125" s="10">
        <f t="shared" ca="1" si="52"/>
        <v>61.84150833333333</v>
      </c>
      <c r="G1125" s="10">
        <f t="shared" ca="1" si="52"/>
        <v>57.244949999999996</v>
      </c>
      <c r="H1125" s="10">
        <f t="shared" ca="1" si="52"/>
        <v>57.244949999999996</v>
      </c>
      <c r="I1125" s="10">
        <f t="shared" ca="1" si="52"/>
        <v>57.246500000000005</v>
      </c>
      <c r="J1125" s="10">
        <f t="shared" ca="1" si="52"/>
        <v>393.63598333333334</v>
      </c>
    </row>
    <row r="1126" spans="1:10" ht="15">
      <c r="A1126" s="11">
        <f t="shared" si="50"/>
        <v>2083</v>
      </c>
      <c r="B1126" s="10">
        <f t="shared" ca="1" si="52"/>
        <v>63.081791666666675</v>
      </c>
      <c r="C1126" s="10">
        <f t="shared" ca="1" si="52"/>
        <v>58.249191666666661</v>
      </c>
      <c r="D1126" s="10">
        <f t="shared" ca="1" si="52"/>
        <v>58.241383333333317</v>
      </c>
      <c r="E1126" s="10">
        <f t="shared" ca="1" si="52"/>
        <v>62.934633333333331</v>
      </c>
      <c r="F1126" s="10">
        <f t="shared" ca="1" si="52"/>
        <v>62.925533333333334</v>
      </c>
      <c r="G1126" s="10">
        <f t="shared" ca="1" si="52"/>
        <v>58.247616666666666</v>
      </c>
      <c r="H1126" s="10">
        <f t="shared" ca="1" si="52"/>
        <v>58.247616666666666</v>
      </c>
      <c r="I1126" s="10">
        <f t="shared" ca="1" si="52"/>
        <v>58.249191666666661</v>
      </c>
      <c r="J1126" s="10">
        <f t="shared" ca="1" si="52"/>
        <v>400.61046666666658</v>
      </c>
    </row>
    <row r="1127" spans="1:10" ht="15">
      <c r="A1127" s="11">
        <f t="shared" si="50"/>
        <v>2084</v>
      </c>
      <c r="B1127" s="10">
        <f t="shared" ca="1" si="52"/>
        <v>64.184966666666682</v>
      </c>
      <c r="C1127" s="10">
        <f t="shared" ca="1" si="52"/>
        <v>59.269583333333337</v>
      </c>
      <c r="D1127" s="10">
        <f t="shared" ca="1" si="52"/>
        <v>59.261766666666652</v>
      </c>
      <c r="E1127" s="10">
        <f t="shared" ca="1" si="52"/>
        <v>64.037800000000004</v>
      </c>
      <c r="F1127" s="10">
        <f t="shared" ca="1" si="52"/>
        <v>64.028700000000015</v>
      </c>
      <c r="G1127" s="10">
        <f t="shared" ca="1" si="52"/>
        <v>59.268000000000001</v>
      </c>
      <c r="H1127" s="10">
        <f t="shared" ca="1" si="52"/>
        <v>59.268000000000001</v>
      </c>
      <c r="I1127" s="10">
        <f t="shared" ca="1" si="52"/>
        <v>59.269583333333337</v>
      </c>
      <c r="J1127" s="10">
        <f t="shared" ca="1" si="52"/>
        <v>407.70853333333338</v>
      </c>
    </row>
    <row r="1128" spans="1:10" ht="15">
      <c r="A1128" s="11">
        <f t="shared" si="50"/>
        <v>2085</v>
      </c>
      <c r="B1128" s="10">
        <f t="shared" ca="1" si="52"/>
        <v>65.307616666666675</v>
      </c>
      <c r="C1128" s="10">
        <f t="shared" ca="1" si="52"/>
        <v>60.307991666666659</v>
      </c>
      <c r="D1128" s="10">
        <f t="shared" ca="1" si="52"/>
        <v>60.300191666666656</v>
      </c>
      <c r="E1128" s="10">
        <f t="shared" ca="1" si="52"/>
        <v>65.160483333333346</v>
      </c>
      <c r="F1128" s="10">
        <f t="shared" ca="1" si="52"/>
        <v>65.151383333333342</v>
      </c>
      <c r="G1128" s="10">
        <f t="shared" ca="1" si="52"/>
        <v>60.306424999999997</v>
      </c>
      <c r="H1128" s="10">
        <f t="shared" ca="1" si="52"/>
        <v>60.306424999999997</v>
      </c>
      <c r="I1128" s="10">
        <f t="shared" ca="1" si="52"/>
        <v>60.307991666666659</v>
      </c>
      <c r="J1128" s="10">
        <f t="shared" ca="1" si="52"/>
        <v>414.93236666666667</v>
      </c>
    </row>
    <row r="1129" spans="1:10" ht="15">
      <c r="A1129" s="11">
        <f t="shared" si="50"/>
        <v>2086</v>
      </c>
      <c r="B1129" s="10">
        <f t="shared" ca="1" si="52"/>
        <v>66.450108333333333</v>
      </c>
      <c r="C1129" s="10">
        <f t="shared" ca="1" si="52"/>
        <v>61.364758333333334</v>
      </c>
      <c r="D1129" s="10">
        <f t="shared" ca="1" si="52"/>
        <v>61.35694166666665</v>
      </c>
      <c r="E1129" s="10">
        <f t="shared" ca="1" si="52"/>
        <v>66.302975000000004</v>
      </c>
      <c r="F1129" s="10">
        <f t="shared" ca="1" si="52"/>
        <v>66.293875</v>
      </c>
      <c r="G1129" s="10">
        <f t="shared" ca="1" si="52"/>
        <v>61.363199999999985</v>
      </c>
      <c r="H1129" s="10">
        <f t="shared" ca="1" si="52"/>
        <v>61.363199999999985</v>
      </c>
      <c r="I1129" s="10">
        <f t="shared" ca="1" si="52"/>
        <v>61.364758333333334</v>
      </c>
      <c r="J1129" s="10">
        <f t="shared" ca="1" si="52"/>
        <v>422.28418333333326</v>
      </c>
    </row>
    <row r="1130" spans="1:10" ht="15">
      <c r="A1130" s="11">
        <f t="shared" si="50"/>
        <v>2087</v>
      </c>
      <c r="B1130" s="10">
        <f t="shared" ca="1" si="52"/>
        <v>67.612799999999993</v>
      </c>
      <c r="C1130" s="10">
        <f t="shared" ca="1" si="52"/>
        <v>62.440191666666657</v>
      </c>
      <c r="D1130" s="10">
        <f t="shared" ca="1" si="52"/>
        <v>62.432391666666668</v>
      </c>
      <c r="E1130" s="10">
        <f t="shared" ca="1" si="52"/>
        <v>67.465666666666678</v>
      </c>
      <c r="F1130" s="10">
        <f t="shared" ca="1" si="52"/>
        <v>67.45656666666666</v>
      </c>
      <c r="G1130" s="10">
        <f t="shared" ca="1" si="52"/>
        <v>62.438624999999995</v>
      </c>
      <c r="H1130" s="10">
        <f t="shared" ca="1" si="52"/>
        <v>62.438624999999995</v>
      </c>
      <c r="I1130" s="10">
        <f t="shared" ca="1" si="52"/>
        <v>62.440191666666657</v>
      </c>
      <c r="J1130" s="10">
        <f t="shared" ca="1" si="52"/>
        <v>429.76625833333327</v>
      </c>
    </row>
    <row r="1131" spans="1:10" ht="15">
      <c r="A1131" s="11">
        <f t="shared" si="50"/>
        <v>2088</v>
      </c>
      <c r="B1131" s="10">
        <f t="shared" ca="1" si="52"/>
        <v>68.796033333333341</v>
      </c>
      <c r="C1131" s="10">
        <f t="shared" ca="1" si="52"/>
        <v>63.534625000000005</v>
      </c>
      <c r="D1131" s="10">
        <f t="shared" ca="1" si="52"/>
        <v>63.526800000000009</v>
      </c>
      <c r="E1131" s="10">
        <f t="shared" ca="1" si="52"/>
        <v>68.648891666666671</v>
      </c>
      <c r="F1131" s="10">
        <f t="shared" ca="1" si="52"/>
        <v>68.639791666666667</v>
      </c>
      <c r="G1131" s="10">
        <f t="shared" ca="1" si="52"/>
        <v>63.533074999999997</v>
      </c>
      <c r="H1131" s="10">
        <f t="shared" ca="1" si="52"/>
        <v>63.533074999999997</v>
      </c>
      <c r="I1131" s="10">
        <f t="shared" ca="1" si="52"/>
        <v>63.534625000000005</v>
      </c>
      <c r="J1131" s="10">
        <f t="shared" ca="1" si="52"/>
        <v>437.38088333333332</v>
      </c>
    </row>
    <row r="1132" spans="1:10" ht="15">
      <c r="A1132" s="11">
        <f t="shared" si="50"/>
        <v>2089</v>
      </c>
      <c r="B1132" s="10">
        <f t="shared" ca="1" si="52"/>
        <v>70.000175000000013</v>
      </c>
      <c r="C1132" s="10">
        <f t="shared" ca="1" si="52"/>
        <v>64.648399999999995</v>
      </c>
      <c r="D1132" s="10">
        <f t="shared" ca="1" si="52"/>
        <v>64.64059166666668</v>
      </c>
      <c r="E1132" s="10">
        <f t="shared" ca="1" si="52"/>
        <v>69.853008333333349</v>
      </c>
      <c r="F1132" s="10">
        <f t="shared" ca="1" si="52"/>
        <v>69.843908333333346</v>
      </c>
      <c r="G1132" s="10">
        <f t="shared" ca="1" si="52"/>
        <v>64.646833333333348</v>
      </c>
      <c r="H1132" s="10">
        <f t="shared" ca="1" si="52"/>
        <v>64.646833333333348</v>
      </c>
      <c r="I1132" s="10">
        <f t="shared" ca="1" si="52"/>
        <v>64.648399999999995</v>
      </c>
      <c r="J1132" s="10">
        <f t="shared" ca="1" si="52"/>
        <v>445.13045833333331</v>
      </c>
    </row>
    <row r="1133" spans="1:10" ht="15">
      <c r="A1133" s="11">
        <f t="shared" si="50"/>
        <v>2090</v>
      </c>
      <c r="B1133" s="10">
        <f t="shared" ca="1" si="52"/>
        <v>71.225583333333333</v>
      </c>
      <c r="C1133" s="10">
        <f t="shared" ca="1" si="52"/>
        <v>65.78185000000002</v>
      </c>
      <c r="D1133" s="10">
        <f t="shared" ca="1" si="52"/>
        <v>65.774033333333335</v>
      </c>
      <c r="E1133" s="10">
        <f t="shared" ca="1" si="52"/>
        <v>71.078416666666683</v>
      </c>
      <c r="F1133" s="10">
        <f t="shared" ca="1" si="52"/>
        <v>71.069316666666651</v>
      </c>
      <c r="G1133" s="10">
        <f t="shared" ca="1" si="52"/>
        <v>65.780291666666656</v>
      </c>
      <c r="H1133" s="10">
        <f t="shared" ca="1" si="52"/>
        <v>65.780291666666656</v>
      </c>
      <c r="I1133" s="10">
        <f t="shared" ca="1" si="52"/>
        <v>65.78185000000002</v>
      </c>
      <c r="J1133" s="10">
        <f t="shared" ca="1" si="52"/>
        <v>453.0173416666666</v>
      </c>
    </row>
    <row r="1134" spans="1:10" ht="15">
      <c r="A1134" s="11">
        <f t="shared" si="50"/>
        <v>2091</v>
      </c>
      <c r="B1134" s="10">
        <f t="shared" ca="1" si="52"/>
        <v>72.472633333333349</v>
      </c>
      <c r="C1134" s="10">
        <f t="shared" ca="1" si="52"/>
        <v>66.935325000000006</v>
      </c>
      <c r="D1134" s="10">
        <f t="shared" ca="1" si="52"/>
        <v>66.927508333333321</v>
      </c>
      <c r="E1134" s="10">
        <f t="shared" ca="1" si="52"/>
        <v>72.325491666666679</v>
      </c>
      <c r="F1134" s="10">
        <f t="shared" ca="1" si="52"/>
        <v>72.316391666666661</v>
      </c>
      <c r="G1134" s="10">
        <f t="shared" ca="1" si="52"/>
        <v>66.933774999999997</v>
      </c>
      <c r="H1134" s="10">
        <f t="shared" ca="1" si="52"/>
        <v>66.933774999999997</v>
      </c>
      <c r="I1134" s="10">
        <f t="shared" ca="1" si="52"/>
        <v>66.935325000000006</v>
      </c>
      <c r="J1134" s="10">
        <f t="shared" ca="1" si="52"/>
        <v>461.04394166666663</v>
      </c>
    </row>
    <row r="1135" spans="1:10" ht="15">
      <c r="A1135" s="11">
        <f t="shared" si="50"/>
        <v>2092</v>
      </c>
      <c r="B1135" s="10">
        <f t="shared" ref="B1135:J1143" ca="1" si="53">AVERAGE(OFFSET(B$588,($A1135-$A$1105)*12,0,12,1))</f>
        <v>73.741725000000002</v>
      </c>
      <c r="C1135" s="10">
        <f t="shared" ca="1" si="53"/>
        <v>68.109191666666661</v>
      </c>
      <c r="D1135" s="10">
        <f t="shared" ca="1" si="53"/>
        <v>68.101375000000004</v>
      </c>
      <c r="E1135" s="10">
        <f t="shared" ca="1" si="53"/>
        <v>73.594591666666659</v>
      </c>
      <c r="F1135" s="10">
        <f t="shared" ca="1" si="53"/>
        <v>73.58549166666667</v>
      </c>
      <c r="G1135" s="10">
        <f t="shared" ca="1" si="53"/>
        <v>68.107608333333346</v>
      </c>
      <c r="H1135" s="10">
        <f t="shared" ca="1" si="53"/>
        <v>68.107608333333346</v>
      </c>
      <c r="I1135" s="10">
        <f t="shared" ca="1" si="53"/>
        <v>68.109191666666661</v>
      </c>
      <c r="J1135" s="10">
        <f t="shared" ca="1" si="53"/>
        <v>469.21278333333322</v>
      </c>
    </row>
    <row r="1136" spans="1:10" ht="15">
      <c r="A1136" s="11">
        <f t="shared" si="50"/>
        <v>2093</v>
      </c>
      <c r="B1136" s="10">
        <f t="shared" ca="1" si="53"/>
        <v>75.033241666666683</v>
      </c>
      <c r="C1136" s="10">
        <f t="shared" ca="1" si="53"/>
        <v>69.303791666666669</v>
      </c>
      <c r="D1136" s="10">
        <f t="shared" ca="1" si="53"/>
        <v>69.295975000000013</v>
      </c>
      <c r="E1136" s="10">
        <f t="shared" ca="1" si="53"/>
        <v>74.886091666666672</v>
      </c>
      <c r="F1136" s="10">
        <f t="shared" ca="1" si="53"/>
        <v>74.876991666666683</v>
      </c>
      <c r="G1136" s="10">
        <f t="shared" ca="1" si="53"/>
        <v>69.30220833333334</v>
      </c>
      <c r="H1136" s="10">
        <f t="shared" ca="1" si="53"/>
        <v>69.30220833333334</v>
      </c>
      <c r="I1136" s="10">
        <f t="shared" ca="1" si="53"/>
        <v>69.303791666666669</v>
      </c>
      <c r="J1136" s="10">
        <f t="shared" ca="1" si="53"/>
        <v>477.52635833333329</v>
      </c>
    </row>
    <row r="1137" spans="1:10" ht="15">
      <c r="A1137" s="11">
        <f t="shared" si="50"/>
        <v>2094</v>
      </c>
      <c r="B1137" s="10">
        <f t="shared" ca="1" si="53"/>
        <v>76.347583333333347</v>
      </c>
      <c r="C1137" s="10">
        <f t="shared" ca="1" si="53"/>
        <v>70.519491666666667</v>
      </c>
      <c r="D1137" s="10">
        <f t="shared" ca="1" si="53"/>
        <v>70.511683333333323</v>
      </c>
      <c r="E1137" s="10">
        <f t="shared" ca="1" si="53"/>
        <v>76.200416666666669</v>
      </c>
      <c r="F1137" s="10">
        <f t="shared" ca="1" si="53"/>
        <v>76.19131666666668</v>
      </c>
      <c r="G1137" s="10">
        <f t="shared" ca="1" si="53"/>
        <v>70.517916666666665</v>
      </c>
      <c r="H1137" s="10">
        <f t="shared" ca="1" si="53"/>
        <v>70.517916666666665</v>
      </c>
      <c r="I1137" s="10">
        <f t="shared" ca="1" si="53"/>
        <v>70.519491666666667</v>
      </c>
      <c r="J1137" s="10">
        <f t="shared" ca="1" si="53"/>
        <v>485.98719999999997</v>
      </c>
    </row>
    <row r="1138" spans="1:10" ht="15">
      <c r="A1138" s="11">
        <f t="shared" si="50"/>
        <v>2095</v>
      </c>
      <c r="B1138" s="10">
        <f t="shared" ca="1" si="53"/>
        <v>77.685124999999999</v>
      </c>
      <c r="C1138" s="10">
        <f t="shared" ca="1" si="53"/>
        <v>71.756675000000001</v>
      </c>
      <c r="D1138" s="10">
        <f t="shared" ca="1" si="53"/>
        <v>71.748866666666672</v>
      </c>
      <c r="E1138" s="10">
        <f t="shared" ca="1" si="53"/>
        <v>77.537991666666656</v>
      </c>
      <c r="F1138" s="10">
        <f t="shared" ca="1" si="53"/>
        <v>77.528891666666667</v>
      </c>
      <c r="G1138" s="10">
        <f t="shared" ca="1" si="53"/>
        <v>71.755100000000013</v>
      </c>
      <c r="H1138" s="10">
        <f t="shared" ca="1" si="53"/>
        <v>71.755100000000013</v>
      </c>
      <c r="I1138" s="10">
        <f t="shared" ca="1" si="53"/>
        <v>71.756675000000001</v>
      </c>
      <c r="J1138" s="10">
        <f t="shared" ca="1" si="53"/>
        <v>494.59798333333339</v>
      </c>
    </row>
    <row r="1139" spans="1:10" ht="15">
      <c r="A1139" s="11">
        <f t="shared" si="50"/>
        <v>2096</v>
      </c>
      <c r="B1139" s="10">
        <f t="shared" ca="1" si="53"/>
        <v>79.046308333333343</v>
      </c>
      <c r="C1139" s="10">
        <f t="shared" ca="1" si="53"/>
        <v>73.015699999999995</v>
      </c>
      <c r="D1139" s="10">
        <f t="shared" ca="1" si="53"/>
        <v>73.007900000000021</v>
      </c>
      <c r="E1139" s="10">
        <f t="shared" ca="1" si="53"/>
        <v>78.899175000000014</v>
      </c>
      <c r="F1139" s="10">
        <f t="shared" ca="1" si="53"/>
        <v>78.890075000000024</v>
      </c>
      <c r="G1139" s="10">
        <f t="shared" ca="1" si="53"/>
        <v>73.014150000000015</v>
      </c>
      <c r="H1139" s="10">
        <f t="shared" ca="1" si="53"/>
        <v>73.014150000000015</v>
      </c>
      <c r="I1139" s="10">
        <f t="shared" ca="1" si="53"/>
        <v>73.015699999999995</v>
      </c>
      <c r="J1139" s="10">
        <f t="shared" ca="1" si="53"/>
        <v>503.36131666666665</v>
      </c>
    </row>
    <row r="1140" spans="1:10" ht="15">
      <c r="A1140" s="11">
        <f t="shared" si="50"/>
        <v>2097</v>
      </c>
      <c r="B1140" s="10">
        <f t="shared" ca="1" si="53"/>
        <v>80.431566666666654</v>
      </c>
      <c r="C1140" s="10">
        <f t="shared" ca="1" si="53"/>
        <v>74.296999999999997</v>
      </c>
      <c r="D1140" s="10">
        <f t="shared" ca="1" si="53"/>
        <v>74.289191666666667</v>
      </c>
      <c r="E1140" s="10">
        <f t="shared" ca="1" si="53"/>
        <v>80.284399999999991</v>
      </c>
      <c r="F1140" s="10">
        <f t="shared" ca="1" si="53"/>
        <v>80.275300000000001</v>
      </c>
      <c r="G1140" s="10">
        <f t="shared" ca="1" si="53"/>
        <v>74.295433333333349</v>
      </c>
      <c r="H1140" s="10">
        <f t="shared" ca="1" si="53"/>
        <v>74.295433333333349</v>
      </c>
      <c r="I1140" s="10">
        <f t="shared" ca="1" si="53"/>
        <v>74.296999999999997</v>
      </c>
      <c r="J1140" s="10">
        <f t="shared" ca="1" si="53"/>
        <v>512.27993333333325</v>
      </c>
    </row>
    <row r="1141" spans="1:10" ht="15">
      <c r="A1141" s="11">
        <f t="shared" si="50"/>
        <v>2098</v>
      </c>
      <c r="B1141" s="10">
        <f t="shared" ca="1" si="53"/>
        <v>81.84127500000001</v>
      </c>
      <c r="C1141" s="10">
        <f t="shared" ca="1" si="53"/>
        <v>75.600925000000004</v>
      </c>
      <c r="D1141" s="10">
        <f t="shared" ca="1" si="53"/>
        <v>75.593100000000007</v>
      </c>
      <c r="E1141" s="10">
        <f t="shared" ca="1" si="53"/>
        <v>81.694108333333347</v>
      </c>
      <c r="F1141" s="10">
        <f t="shared" ca="1" si="53"/>
        <v>81.685008333333343</v>
      </c>
      <c r="G1141" s="10">
        <f t="shared" ca="1" si="53"/>
        <v>75.599375000000009</v>
      </c>
      <c r="H1141" s="10">
        <f t="shared" ca="1" si="53"/>
        <v>75.599375000000009</v>
      </c>
      <c r="I1141" s="10">
        <f t="shared" ca="1" si="53"/>
        <v>75.600925000000004</v>
      </c>
      <c r="J1141" s="10">
        <f t="shared" ca="1" si="53"/>
        <v>521.35655833333328</v>
      </c>
    </row>
    <row r="1142" spans="1:10" ht="15">
      <c r="A1142" s="11">
        <f t="shared" si="50"/>
        <v>2099</v>
      </c>
      <c r="B1142" s="10">
        <f t="shared" ca="1" si="53"/>
        <v>83.275891666666681</v>
      </c>
      <c r="C1142" s="10">
        <f t="shared" ca="1" si="53"/>
        <v>76.927891666666667</v>
      </c>
      <c r="D1142" s="10">
        <f t="shared" ca="1" si="53"/>
        <v>76.920091666666664</v>
      </c>
      <c r="E1142" s="10">
        <f t="shared" ca="1" si="53"/>
        <v>83.128741666666699</v>
      </c>
      <c r="F1142" s="10">
        <f t="shared" ca="1" si="53"/>
        <v>83.119641666666666</v>
      </c>
      <c r="G1142" s="10">
        <f t="shared" ca="1" si="53"/>
        <v>76.92632500000002</v>
      </c>
      <c r="H1142" s="10">
        <f t="shared" ca="1" si="53"/>
        <v>76.92632500000002</v>
      </c>
      <c r="I1142" s="10">
        <f t="shared" ca="1" si="53"/>
        <v>76.927891666666667</v>
      </c>
      <c r="J1142" s="10">
        <f t="shared" ca="1" si="53"/>
        <v>530.5940333333333</v>
      </c>
    </row>
    <row r="1143" spans="1:10" ht="15">
      <c r="A1143" s="11">
        <f t="shared" si="50"/>
        <v>2100</v>
      </c>
      <c r="B1143" s="10">
        <f t="shared" ca="1" si="53"/>
        <v>84.735866666666666</v>
      </c>
      <c r="C1143" s="10">
        <f t="shared" ca="1" si="53"/>
        <v>78.278300000000016</v>
      </c>
      <c r="D1143" s="10">
        <f t="shared" ca="1" si="53"/>
        <v>78.270491666666672</v>
      </c>
      <c r="E1143" s="10">
        <f t="shared" ca="1" si="53"/>
        <v>84.588700000000003</v>
      </c>
      <c r="F1143" s="10">
        <f t="shared" ca="1" si="53"/>
        <v>84.579599999999999</v>
      </c>
      <c r="G1143" s="10">
        <f t="shared" ca="1" si="53"/>
        <v>78.276733333333326</v>
      </c>
      <c r="H1143" s="10">
        <f t="shared" ca="1" si="53"/>
        <v>78.276733333333326</v>
      </c>
      <c r="I1143" s="10">
        <f t="shared" ca="1" si="53"/>
        <v>78.278300000000016</v>
      </c>
      <c r="J1143" s="10">
        <f t="shared" ca="1" si="53"/>
        <v>539.99514166666665</v>
      </c>
    </row>
    <row r="1144" spans="1:10">
      <c r="A1144" s="8"/>
    </row>
    <row r="1145" spans="1:10">
      <c r="A1145" s="8"/>
    </row>
    <row r="1146" spans="1:10">
      <c r="A1146" s="8"/>
    </row>
    <row r="1147" spans="1:10">
      <c r="A1147" s="8"/>
    </row>
    <row r="1148" spans="1:10">
      <c r="A1148" s="8"/>
    </row>
    <row r="1149" spans="1:10">
      <c r="A1149" s="8"/>
    </row>
    <row r="1150" spans="1:10">
      <c r="A1150" s="8"/>
    </row>
    <row r="1151" spans="1:10">
      <c r="A1151" s="8"/>
    </row>
    <row r="1152" spans="1:10">
      <c r="A1152" s="8"/>
    </row>
    <row r="1153" spans="1:1">
      <c r="A1153" s="8"/>
    </row>
    <row r="1154" spans="1:1">
      <c r="A1154" s="8"/>
    </row>
    <row r="1155" spans="1:1">
      <c r="A1155" s="8"/>
    </row>
    <row r="1156" spans="1:1">
      <c r="A1156" s="8"/>
    </row>
    <row r="1157" spans="1:1">
      <c r="A1157" s="8"/>
    </row>
    <row r="1158" spans="1:1">
      <c r="A1158" s="8"/>
    </row>
    <row r="1159" spans="1:1">
      <c r="A1159" s="8"/>
    </row>
    <row r="1160" spans="1:1">
      <c r="A1160" s="8"/>
    </row>
    <row r="1161" spans="1:1">
      <c r="A1161" s="8"/>
    </row>
    <row r="1162" spans="1:1">
      <c r="A1162" s="8"/>
    </row>
    <row r="1163" spans="1:1">
      <c r="A1163" s="8"/>
    </row>
  </sheetData>
  <pageMargins left="0.25" right="0.25" top="0.5" bottom="0.5" header="0.25" footer="0.25"/>
  <pageSetup paperSize="5" scale="9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7</xdr:col>
                    <xdr:colOff>171450</xdr:colOff>
                    <xdr:row>7</xdr:row>
                    <xdr:rowOff>133350</xdr:rowOff>
                  </from>
                  <to>
                    <xdr:col>8</xdr:col>
                    <xdr:colOff>304800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8</xdr:col>
                    <xdr:colOff>438150</xdr:colOff>
                    <xdr:row>7</xdr:row>
                    <xdr:rowOff>133350</xdr:rowOff>
                  </from>
                  <to>
                    <xdr:col>9</xdr:col>
                    <xdr:colOff>571500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AD1159"/>
  <sheetViews>
    <sheetView zoomScale="70" zoomScaleNormal="70" workbookViewId="0">
      <pane xSplit="1" ySplit="12" topLeftCell="B13" activePane="bottomRight" state="frozen"/>
      <selection activeCell="D6" sqref="D6"/>
      <selection pane="topRight" activeCell="D6" sqref="D6"/>
      <selection pane="bottomLeft" activeCell="D6" sqref="D6"/>
      <selection pane="bottomRight" activeCell="A6" sqref="A6"/>
    </sheetView>
  </sheetViews>
  <sheetFormatPr defaultColWidth="7.109375" defaultRowHeight="12.75"/>
  <cols>
    <col min="1" max="1" width="18.21875" style="9" customWidth="1"/>
    <col min="2" max="12" width="13" style="9" customWidth="1"/>
    <col min="13" max="16" width="20.6640625" style="9" customWidth="1"/>
    <col min="17" max="17" width="15.5546875" style="9" customWidth="1"/>
    <col min="18" max="18" width="16.21875" style="9" customWidth="1"/>
    <col min="19" max="19" width="13" style="8" customWidth="1"/>
    <col min="20" max="26" width="19.77734375" style="8" customWidth="1"/>
    <col min="27" max="27" width="15.5546875" style="8" customWidth="1"/>
    <col min="28" max="28" width="16.88671875" style="8" customWidth="1"/>
    <col min="29" max="30" width="14.77734375" style="8" customWidth="1"/>
    <col min="31" max="31" width="14" style="8" customWidth="1"/>
    <col min="32" max="32" width="10.21875" style="8" customWidth="1"/>
    <col min="33" max="33" width="11.77734375" style="8" customWidth="1"/>
    <col min="34" max="34" width="7.109375" style="8" customWidth="1"/>
    <col min="35" max="35" width="8.77734375" style="8" customWidth="1"/>
    <col min="36" max="36" width="9.21875" style="8" customWidth="1"/>
    <col min="37" max="37" width="11.77734375" style="8" customWidth="1"/>
    <col min="38" max="38" width="7.109375" style="8" customWidth="1"/>
    <col min="39" max="39" width="9.21875" style="8" customWidth="1"/>
    <col min="40" max="40" width="9.33203125" style="8" customWidth="1"/>
    <col min="41" max="41" width="8.21875" style="8" customWidth="1"/>
    <col min="42" max="42" width="9" style="8" customWidth="1"/>
    <col min="43" max="16384" width="7.109375" style="8"/>
  </cols>
  <sheetData>
    <row r="1" spans="1:30" ht="15.75">
      <c r="A1" s="98" t="s">
        <v>93</v>
      </c>
    </row>
    <row r="2" spans="1:30" ht="15.75">
      <c r="A2" s="98" t="s">
        <v>94</v>
      </c>
    </row>
    <row r="3" spans="1:30" ht="15.75">
      <c r="A3" s="98" t="s">
        <v>95</v>
      </c>
    </row>
    <row r="4" spans="1:30" ht="15.75">
      <c r="A4" s="98" t="s">
        <v>96</v>
      </c>
    </row>
    <row r="5" spans="1:30" ht="15.75">
      <c r="A5" s="98" t="s">
        <v>98</v>
      </c>
    </row>
    <row r="6" spans="1:30" ht="15.75">
      <c r="A6" s="98" t="s">
        <v>101</v>
      </c>
    </row>
    <row r="8" spans="1:30" ht="15.75">
      <c r="A8" s="25" t="s">
        <v>28</v>
      </c>
      <c r="M8" s="55"/>
      <c r="N8" s="55"/>
      <c r="O8" s="51"/>
      <c r="P8" s="51"/>
      <c r="T8" s="103" t="s">
        <v>71</v>
      </c>
      <c r="U8" s="103"/>
      <c r="V8" s="103"/>
      <c r="W8" s="103"/>
      <c r="X8" s="103"/>
      <c r="Y8" s="103"/>
      <c r="Z8" s="103"/>
    </row>
    <row r="9" spans="1:30" ht="16.5" thickBot="1">
      <c r="A9" s="25"/>
      <c r="B9" s="23" t="s">
        <v>27</v>
      </c>
      <c r="C9" s="54">
        <f>1-0.209</f>
        <v>0.79100000000000004</v>
      </c>
      <c r="D9" s="23"/>
      <c r="E9" s="54">
        <f>1+0.209</f>
        <v>1.2090000000000001</v>
      </c>
      <c r="F9" s="54"/>
      <c r="G9" s="54"/>
      <c r="H9" s="1"/>
      <c r="I9" s="1"/>
      <c r="J9" s="1"/>
      <c r="K9" s="1"/>
      <c r="L9" s="1"/>
      <c r="M9" s="1"/>
      <c r="N9" s="1"/>
      <c r="O9" s="1"/>
      <c r="P9" s="1"/>
      <c r="T9" s="103" t="s">
        <v>70</v>
      </c>
      <c r="U9" s="103"/>
      <c r="V9" s="103"/>
      <c r="W9" s="103"/>
      <c r="X9" s="103"/>
      <c r="Y9" s="103"/>
      <c r="Z9" s="103"/>
      <c r="AA9" s="102"/>
      <c r="AB9" s="102"/>
      <c r="AC9" s="1"/>
    </row>
    <row r="10" spans="1:30" ht="21.75" thickTop="1" thickBot="1">
      <c r="B10" s="53"/>
      <c r="C10" s="52"/>
      <c r="D10" s="53"/>
      <c r="E10" s="52"/>
      <c r="F10" s="52"/>
      <c r="G10" s="52"/>
      <c r="H10" s="1"/>
      <c r="I10" s="1"/>
      <c r="J10" s="1"/>
      <c r="K10" s="1"/>
      <c r="L10" s="1"/>
      <c r="M10" s="1"/>
      <c r="N10" s="1"/>
      <c r="O10" s="1"/>
      <c r="P10" s="1"/>
      <c r="T10" s="104" t="s">
        <v>69</v>
      </c>
      <c r="U10" s="105"/>
      <c r="V10" s="105"/>
      <c r="W10" s="105"/>
      <c r="X10" s="105"/>
      <c r="Y10" s="105"/>
      <c r="Z10" s="106"/>
      <c r="AA10" s="51"/>
      <c r="AB10" s="51"/>
      <c r="AC10" s="1"/>
    </row>
    <row r="11" spans="1:30" s="18" customFormat="1" ht="112.5" customHeight="1" thickTop="1">
      <c r="B11" s="47" t="s">
        <v>68</v>
      </c>
      <c r="C11" s="50" t="s">
        <v>67</v>
      </c>
      <c r="D11" s="47" t="s">
        <v>66</v>
      </c>
      <c r="E11" s="47" t="s">
        <v>65</v>
      </c>
      <c r="F11" s="50" t="s">
        <v>64</v>
      </c>
      <c r="G11" s="50" t="s">
        <v>63</v>
      </c>
      <c r="H11" s="50" t="s">
        <v>62</v>
      </c>
      <c r="I11" s="50" t="s">
        <v>61</v>
      </c>
      <c r="J11" s="50" t="s">
        <v>60</v>
      </c>
      <c r="K11" s="50" t="s">
        <v>59</v>
      </c>
      <c r="L11" s="19" t="s">
        <v>58</v>
      </c>
      <c r="M11" s="49" t="s">
        <v>57</v>
      </c>
      <c r="N11" s="49" t="s">
        <v>56</v>
      </c>
      <c r="O11" s="49" t="s">
        <v>55</v>
      </c>
      <c r="P11" s="49" t="s">
        <v>54</v>
      </c>
      <c r="Q11" s="19" t="s">
        <v>53</v>
      </c>
      <c r="R11" s="21" t="s">
        <v>52</v>
      </c>
      <c r="S11" s="19" t="s">
        <v>51</v>
      </c>
      <c r="T11" s="46" t="s">
        <v>50</v>
      </c>
      <c r="U11" s="46" t="s">
        <v>49</v>
      </c>
      <c r="V11" s="46" t="s">
        <v>48</v>
      </c>
      <c r="W11" s="46" t="s">
        <v>47</v>
      </c>
      <c r="X11" s="46" t="s">
        <v>46</v>
      </c>
      <c r="Y11" s="46" t="s">
        <v>45</v>
      </c>
      <c r="Z11" s="46" t="s">
        <v>44</v>
      </c>
      <c r="AA11" s="21" t="s">
        <v>43</v>
      </c>
      <c r="AB11" s="21" t="s">
        <v>42</v>
      </c>
      <c r="AC11" s="47" t="s">
        <v>41</v>
      </c>
      <c r="AD11" s="48" t="s">
        <v>40</v>
      </c>
    </row>
    <row r="12" spans="1:30" s="18" customFormat="1" ht="15.75">
      <c r="A12" s="20" t="s">
        <v>15</v>
      </c>
      <c r="B12" s="19" t="s">
        <v>14</v>
      </c>
      <c r="C12" s="19" t="s">
        <v>14</v>
      </c>
      <c r="D12" s="19" t="s">
        <v>14</v>
      </c>
      <c r="E12" s="19" t="s">
        <v>14</v>
      </c>
      <c r="F12" s="19" t="s">
        <v>14</v>
      </c>
      <c r="G12" s="19" t="s">
        <v>14</v>
      </c>
      <c r="H12" s="19" t="s">
        <v>14</v>
      </c>
      <c r="I12" s="19" t="s">
        <v>14</v>
      </c>
      <c r="J12" s="19" t="s">
        <v>14</v>
      </c>
      <c r="K12" s="19" t="s">
        <v>14</v>
      </c>
      <c r="L12" s="19" t="s">
        <v>14</v>
      </c>
      <c r="M12" s="19" t="s">
        <v>14</v>
      </c>
      <c r="N12" s="19" t="s">
        <v>14</v>
      </c>
      <c r="O12" s="19" t="s">
        <v>14</v>
      </c>
      <c r="P12" s="19" t="s">
        <v>14</v>
      </c>
      <c r="Q12" s="19" t="s">
        <v>14</v>
      </c>
      <c r="R12" s="19" t="s">
        <v>14</v>
      </c>
      <c r="S12" s="19" t="s">
        <v>14</v>
      </c>
      <c r="T12" s="46" t="s">
        <v>39</v>
      </c>
      <c r="U12" s="46" t="s">
        <v>39</v>
      </c>
      <c r="V12" s="46" t="s">
        <v>39</v>
      </c>
      <c r="W12" s="46" t="s">
        <v>39</v>
      </c>
      <c r="X12" s="46" t="s">
        <v>39</v>
      </c>
      <c r="Y12" s="46" t="s">
        <v>39</v>
      </c>
      <c r="Z12" s="46" t="s">
        <v>39</v>
      </c>
      <c r="AA12" s="19" t="s">
        <v>14</v>
      </c>
      <c r="AB12" s="19" t="s">
        <v>39</v>
      </c>
      <c r="AC12" s="47" t="s">
        <v>14</v>
      </c>
      <c r="AD12" s="46" t="s">
        <v>14</v>
      </c>
    </row>
    <row r="13" spans="1:30" ht="15">
      <c r="A13" s="16">
        <v>41640</v>
      </c>
      <c r="B13" s="10">
        <v>4.5403508981821297</v>
      </c>
      <c r="C13" s="10">
        <v>4.5453053729014501</v>
      </c>
      <c r="D13" s="10">
        <v>4.5955088080806696</v>
      </c>
      <c r="E13" s="10">
        <v>4.6292860121002901</v>
      </c>
      <c r="F13" s="10">
        <v>4.5057134542830504</v>
      </c>
      <c r="G13" s="10">
        <v>4.5232699624600601</v>
      </c>
      <c r="H13" s="10">
        <v>4.6184822160436596</v>
      </c>
      <c r="I13" s="10">
        <v>4.5142474091236702</v>
      </c>
      <c r="J13" s="10">
        <v>4.4987134542830498</v>
      </c>
      <c r="K13" s="10">
        <f>CHOOSE(CONTROL!$C$42, 4.5331, 4.5331) * CHOOSE(CONTROL!$C$21, $C$9, 100%, $E$9)</f>
        <v>4.5331000000000001</v>
      </c>
      <c r="L13" s="10">
        <v>5.2054822160436602</v>
      </c>
      <c r="M13" s="10">
        <v>4.4671409331847798</v>
      </c>
      <c r="N13" s="10">
        <v>4.4845202655912004</v>
      </c>
      <c r="O13" s="10">
        <v>4.5857010193679901</v>
      </c>
      <c r="P13" s="10">
        <v>4.48255738022426</v>
      </c>
      <c r="Q13" s="10">
        <v>5.1810010193679901</v>
      </c>
      <c r="R13" s="10">
        <v>5.7809535219164099</v>
      </c>
      <c r="S13" s="10">
        <v>4.407</v>
      </c>
      <c r="T13" s="38">
        <v>29.253942540000001</v>
      </c>
      <c r="U13" s="38">
        <v>12.063650000000001</v>
      </c>
      <c r="V13" s="38">
        <v>4.9444999999999997</v>
      </c>
      <c r="W13" s="38">
        <v>0.71033400000000002</v>
      </c>
      <c r="X13" s="38">
        <v>0</v>
      </c>
      <c r="Y13" s="38"/>
      <c r="Z13" s="38">
        <v>0.4</v>
      </c>
      <c r="AA13" s="10">
        <v>4.4959996929375601</v>
      </c>
      <c r="AB13" s="45">
        <v>1.0435350000000001</v>
      </c>
      <c r="AC13" s="33">
        <v>4.5470654716081098</v>
      </c>
      <c r="AD13" s="27">
        <v>4.5299185954854799</v>
      </c>
    </row>
    <row r="14" spans="1:30" ht="15">
      <c r="A14" s="16">
        <v>41671</v>
      </c>
      <c r="B14" s="10">
        <v>5.7253939823975104</v>
      </c>
      <c r="C14" s="10">
        <v>5.7303484571168299</v>
      </c>
      <c r="D14" s="10">
        <v>5.7908494929551004</v>
      </c>
      <c r="E14" s="10">
        <v>5.8246266969747102</v>
      </c>
      <c r="F14" s="10">
        <v>5.7186228492538103</v>
      </c>
      <c r="G14" s="10">
        <v>5.7359240116945696</v>
      </c>
      <c r="H14" s="10">
        <v>5.8138229009180904</v>
      </c>
      <c r="I14" s="10">
        <v>5.7121624941628601</v>
      </c>
      <c r="J14" s="10">
        <v>5.7116228492538204</v>
      </c>
      <c r="K14" s="10">
        <f>CHOOSE(CONTROL!$C$42, 5.7786, 5.7786) * CHOOSE(CONTROL!$C$21, $C$9, 100%, $E$9)</f>
        <v>5.7786</v>
      </c>
      <c r="L14" s="10">
        <v>6.4008229009180804</v>
      </c>
      <c r="M14" s="10">
        <v>5.6678099581145602</v>
      </c>
      <c r="N14" s="10">
        <v>5.6849365216683001</v>
      </c>
      <c r="O14" s="10">
        <v>5.7689786331106596</v>
      </c>
      <c r="P14" s="10">
        <v>5.6683834139465397</v>
      </c>
      <c r="Q14" s="10">
        <v>6.3642786331106604</v>
      </c>
      <c r="R14" s="10">
        <v>6.9671893296934302</v>
      </c>
      <c r="S14" s="10">
        <v>5.55779533908155</v>
      </c>
      <c r="T14" s="38">
        <v>26.512149040000001</v>
      </c>
      <c r="U14" s="38">
        <v>10.8962</v>
      </c>
      <c r="V14" s="38">
        <v>4.4660000000000002</v>
      </c>
      <c r="W14" s="38">
        <v>0.64159200000000005</v>
      </c>
      <c r="X14" s="38">
        <v>0</v>
      </c>
      <c r="Y14" s="38"/>
      <c r="Z14" s="38">
        <v>0.4</v>
      </c>
      <c r="AA14" s="10">
        <v>5.6800276756208303</v>
      </c>
      <c r="AB14" s="45">
        <v>1.0435350000000001</v>
      </c>
      <c r="AC14" s="33">
        <v>5.7440587165890404</v>
      </c>
      <c r="AD14" s="27">
        <v>5.7195685555344298</v>
      </c>
    </row>
    <row r="15" spans="1:30" ht="15">
      <c r="A15" s="16">
        <v>41699</v>
      </c>
      <c r="B15" s="10">
        <v>5.0025024161324501</v>
      </c>
      <c r="C15" s="10">
        <v>5.0074568908517696</v>
      </c>
      <c r="D15" s="10">
        <v>5.0988507286671796</v>
      </c>
      <c r="E15" s="10">
        <v>5.1326279326867903</v>
      </c>
      <c r="F15" s="10">
        <v>5.0323589513456204</v>
      </c>
      <c r="G15" s="10">
        <v>5.0518543218713896</v>
      </c>
      <c r="H15" s="10">
        <v>5.1218241366301598</v>
      </c>
      <c r="I15" s="10">
        <v>5.0253125302044603</v>
      </c>
      <c r="J15" s="10">
        <v>5.0253589513456198</v>
      </c>
      <c r="K15" s="10">
        <v>5.0444680614808997</v>
      </c>
      <c r="L15" s="10">
        <v>5.7088241366301604</v>
      </c>
      <c r="M15" s="10">
        <v>4.9884716591760796</v>
      </c>
      <c r="N15" s="10">
        <v>5.0077702874304899</v>
      </c>
      <c r="O15" s="10">
        <v>5.0839633425907804</v>
      </c>
      <c r="P15" s="10">
        <v>4.98846496338588</v>
      </c>
      <c r="Q15" s="10">
        <v>5.6792633425907804</v>
      </c>
      <c r="R15" s="10">
        <v>6.2804615009472498</v>
      </c>
      <c r="S15" s="10">
        <v>4.85579533908155</v>
      </c>
      <c r="T15" s="38">
        <v>29.394616540000001</v>
      </c>
      <c r="U15" s="38">
        <v>12.063650000000001</v>
      </c>
      <c r="V15" s="38">
        <v>4.9444999999999997</v>
      </c>
      <c r="W15" s="38">
        <v>0.71033400000000002</v>
      </c>
      <c r="X15" s="38">
        <v>0</v>
      </c>
      <c r="Y15" s="38"/>
      <c r="Z15" s="38">
        <v>0.4</v>
      </c>
      <c r="AA15" s="10">
        <v>4.9655957411274896</v>
      </c>
      <c r="AB15" s="45">
        <v>1.0435350000000001</v>
      </c>
      <c r="AC15" s="33">
        <v>5.0429066154505398</v>
      </c>
      <c r="AD15" s="27">
        <v>5.0372470232526201</v>
      </c>
    </row>
    <row r="16" spans="1:30" ht="15">
      <c r="A16" s="16">
        <v>41730</v>
      </c>
      <c r="B16" s="10">
        <v>4.7242193852928898</v>
      </c>
      <c r="C16" s="10">
        <v>4.7285916418283396</v>
      </c>
      <c r="D16" s="10">
        <v>4.8778331736331699</v>
      </c>
      <c r="E16" s="10">
        <v>4.9096107035116399</v>
      </c>
      <c r="F16" s="10">
        <v>4.7425977349984798</v>
      </c>
      <c r="G16" s="10">
        <v>4.7606282068366204</v>
      </c>
      <c r="H16" s="10">
        <v>4.8993959623947596</v>
      </c>
      <c r="I16" s="10">
        <v>4.7410987520147803</v>
      </c>
      <c r="J16" s="10">
        <v>4.7355977349984801</v>
      </c>
      <c r="K16" s="10">
        <v>4.7562598941315004</v>
      </c>
      <c r="L16" s="10">
        <v>5.4863959623947602</v>
      </c>
      <c r="M16" s="10">
        <v>4.7016346385902397</v>
      </c>
      <c r="N16" s="10">
        <v>4.7194831515382702</v>
      </c>
      <c r="O16" s="10">
        <v>4.8637798563522399</v>
      </c>
      <c r="P16" s="10">
        <v>4.7071193976366503</v>
      </c>
      <c r="Q16" s="10">
        <v>5.4590798563522398</v>
      </c>
      <c r="R16" s="10">
        <v>6.0597275559931196</v>
      </c>
      <c r="S16" s="10">
        <v>4.5847953390815501</v>
      </c>
      <c r="T16" s="38">
        <v>30.193848039999999</v>
      </c>
      <c r="U16" s="38">
        <v>11.6745</v>
      </c>
      <c r="V16" s="38">
        <v>4.7850000000000001</v>
      </c>
      <c r="W16" s="38">
        <v>0.68742000000000003</v>
      </c>
      <c r="X16" s="38">
        <v>0.77903628000000003</v>
      </c>
      <c r="Y16" s="38"/>
      <c r="Z16" s="38">
        <v>0.3</v>
      </c>
      <c r="AA16" s="10">
        <v>4.68923954870169</v>
      </c>
      <c r="AB16" s="45">
        <v>1.0435350000000001</v>
      </c>
      <c r="AC16" s="33">
        <v>4.7822326339714403</v>
      </c>
      <c r="AD16" s="27">
        <v>4.7603316510110698</v>
      </c>
    </row>
    <row r="17" spans="1:30" ht="15">
      <c r="A17" s="16">
        <v>41760</v>
      </c>
      <c r="B17" s="10">
        <f>CHOOSE(CONTROL!$C$42, 4.9381, 4.9381) * CHOOSE(CONTROL!$C$21, $C$9, 100%, $E$9)</f>
        <v>4.9381000000000004</v>
      </c>
      <c r="C17" s="10">
        <f>CHOOSE(CONTROL!$C$42, 4.9461, 4.9461) * CHOOSE(CONTROL!$C$21, $C$9, 100%, $E$9)</f>
        <v>4.9461000000000004</v>
      </c>
      <c r="D17" s="10">
        <f>CHOOSE(CONTROL!$C$42, 5.1083, 5.1083) * CHOOSE(CONTROL!$C$21, $C$9, 100%, $E$9)</f>
        <v>5.1082999999999998</v>
      </c>
      <c r="E17" s="10">
        <f>CHOOSE(CONTROL!$C$42, 5.1395, 5.1395) * CHOOSE(CONTROL!$C$21, $C$9, 100%, $E$9)</f>
        <v>5.1395</v>
      </c>
      <c r="F17" s="10">
        <f>CHOOSE(CONTROL!$C$42, 4.927, 4.927)*CHOOSE(CONTROL!$C$21, $C$9, 100%, $E$9)</f>
        <v>4.9269999999999996</v>
      </c>
      <c r="G17" s="10">
        <f>CHOOSE(CONTROL!$C$42, 4.9452, 4.9452)*CHOOSE(CONTROL!$C$21, $C$9, 100%, $E$9)</f>
        <v>4.9451999999999998</v>
      </c>
      <c r="H17" s="10">
        <f>CHOOSE(CONTROL!$C$42, 5.1279, 5.1279) * CHOOSE(CONTROL!$C$21, $C$9, 100%, $E$9)</f>
        <v>5.1279000000000003</v>
      </c>
      <c r="I17" s="10">
        <f>CHOOSE(CONTROL!$C$42, 4.9252, 4.9252)* CHOOSE(CONTROL!$C$21, $C$9, 100%, $E$9)</f>
        <v>4.9252000000000002</v>
      </c>
      <c r="J17" s="10">
        <f>CHOOSE(CONTROL!$C$42, 4.9196, 4.9196)* CHOOSE(CONTROL!$C$21, $C$9, 100%, $E$9)</f>
        <v>4.9196</v>
      </c>
      <c r="K17" s="10">
        <f>CHOOSE(CONTROL!$C$42, 4.9482, 4.9482) * CHOOSE(CONTROL!$C$21, $C$9, 100%, $E$9)</f>
        <v>4.9481999999999999</v>
      </c>
      <c r="L17" s="10">
        <f>CHOOSE(CONTROL!$C$42, 5.7149, 5.7149) * CHOOSE(CONTROL!$C$21, $C$9, 100%, $E$9)</f>
        <v>5.7149000000000001</v>
      </c>
      <c r="M17" s="10">
        <v>4.8988304312716204</v>
      </c>
      <c r="N17" s="10">
        <v>4.9169503026399699</v>
      </c>
      <c r="O17" s="10">
        <v>5.0843506976763697</v>
      </c>
      <c r="P17" s="10">
        <v>4.8970491992054201</v>
      </c>
      <c r="Q17" s="10">
        <v>5.6796506976763697</v>
      </c>
      <c r="R17" s="10">
        <v>6.2808498244205602</v>
      </c>
      <c r="S17" s="10">
        <v>4.7961753344205196</v>
      </c>
      <c r="T17" s="41">
        <v>32.596418040000003</v>
      </c>
      <c r="U17" s="38">
        <v>12.063650000000001</v>
      </c>
      <c r="V17" s="38">
        <v>4.9444999999999997</v>
      </c>
      <c r="W17" s="38">
        <v>0.71033400000000002</v>
      </c>
      <c r="X17" s="38">
        <v>0.80500415599999997</v>
      </c>
      <c r="Y17" s="38"/>
      <c r="Z17" s="38">
        <v>0.3</v>
      </c>
      <c r="AA17" s="10">
        <v>4.9055957363567204</v>
      </c>
      <c r="AB17" s="45">
        <v>1.0435350000000001</v>
      </c>
      <c r="AC17" s="33">
        <v>4.9910625190834104</v>
      </c>
      <c r="AD17" s="27">
        <v>4.9644326240236998</v>
      </c>
    </row>
    <row r="18" spans="1:30" ht="15">
      <c r="A18" s="16">
        <v>41791</v>
      </c>
      <c r="B18" s="10">
        <f>CHOOSE(CONTROL!$C$42, 4.8279, 4.8279) * CHOOSE(CONTROL!$C$21, $C$9, 100%, $E$9)</f>
        <v>4.8278999999999996</v>
      </c>
      <c r="C18" s="10">
        <f>CHOOSE(CONTROL!$C$42, 4.8358, 4.8358) * CHOOSE(CONTROL!$C$21, $C$9, 100%, $E$9)</f>
        <v>4.8357999999999999</v>
      </c>
      <c r="D18" s="10">
        <f>CHOOSE(CONTROL!$C$42, 4.9955, 4.9955) * CHOOSE(CONTROL!$C$21, $C$9, 100%, $E$9)</f>
        <v>4.9954999999999998</v>
      </c>
      <c r="E18" s="10">
        <f>CHOOSE(CONTROL!$C$42, 5.0267, 5.0267) * CHOOSE(CONTROL!$C$21, $C$9, 100%, $E$9)</f>
        <v>5.0266999999999999</v>
      </c>
      <c r="F18" s="10">
        <f>CHOOSE(CONTROL!$C$42, 4.8153, 4.8153)*CHOOSE(CONTROL!$C$21, $C$9, 100%, $E$9)</f>
        <v>4.8152999999999997</v>
      </c>
      <c r="G18" s="10">
        <f>CHOOSE(CONTROL!$C$42, 4.8331, 4.8331)*CHOOSE(CONTROL!$C$21, $C$9, 100%, $E$9)</f>
        <v>4.8331</v>
      </c>
      <c r="H18" s="10">
        <f>CHOOSE(CONTROL!$C$42, 5.015, 5.015) * CHOOSE(CONTROL!$C$21, $C$9, 100%, $E$9)</f>
        <v>5.0149999999999997</v>
      </c>
      <c r="I18" s="10">
        <f>CHOOSE(CONTROL!$C$42, 4.8071, 4.8071)* CHOOSE(CONTROL!$C$21, $C$9, 100%, $E$9)</f>
        <v>4.8071000000000002</v>
      </c>
      <c r="J18" s="10">
        <f>CHOOSE(CONTROL!$C$42, 4.8079, 4.8079)* CHOOSE(CONTROL!$C$21, $C$9, 100%, $E$9)</f>
        <v>4.8079000000000001</v>
      </c>
      <c r="K18" s="10">
        <f>CHOOSE(CONTROL!$C$42, 4.8305, 4.8305) * CHOOSE(CONTROL!$C$21, $C$9, 100%, $E$9)</f>
        <v>4.8304999999999998</v>
      </c>
      <c r="L18" s="10">
        <f>CHOOSE(CONTROL!$C$42, 5.602, 5.602) * CHOOSE(CONTROL!$C$21, $C$9, 100%, $E$9)</f>
        <v>5.6020000000000003</v>
      </c>
      <c r="M18" s="10">
        <f>CHOOSE(CONTROL!$C$42, 4.7739, 4.7739) * CHOOSE(CONTROL!$C$21, $C$9, 100%, $E$9)</f>
        <v>4.7739000000000003</v>
      </c>
      <c r="N18" s="10">
        <f>CHOOSE(CONTROL!$C$42, 4.7914, 4.7914) * CHOOSE(CONTROL!$C$21, $C$9, 100%, $E$9)</f>
        <v>4.7914000000000003</v>
      </c>
      <c r="O18" s="10">
        <f>CHOOSE(CONTROL!$C$42, 4.9781, 4.9781) * CHOOSE(CONTROL!$C$21, $C$9, 100%, $E$9)</f>
        <v>4.9781000000000004</v>
      </c>
      <c r="P18" s="10">
        <f>CHOOSE(CONTROL!$C$42, 4.7732, 4.7732) * CHOOSE(CONTROL!$C$21, $C$9, 100%, $E$9)</f>
        <v>4.7732000000000001</v>
      </c>
      <c r="Q18" s="10">
        <f>CHOOSE(CONTROL!$C$42, 5.5734, 5.5734) * CHOOSE(CONTROL!$C$21, $C$9, 100%, $E$9)</f>
        <v>5.5734000000000004</v>
      </c>
      <c r="R18" s="10">
        <f>CHOOSE(CONTROL!$C$42, 6.1743, 6.1743) * CHOOSE(CONTROL!$C$21, $C$9, 100%, $E$9)</f>
        <v>6.1742999999999997</v>
      </c>
      <c r="S18" s="10">
        <f>CHOOSE(CONTROL!$C$42, 4.6894, 4.6894) * CHOOSE(CONTROL!$C$21, $C$9, 100%, $E$9)</f>
        <v>4.6894</v>
      </c>
      <c r="T18" s="41">
        <f>((((430000*CHOOSE(CONTROL!$C$42, 0.4694, 0.4694)+(874000-430000)*CHOOSE(CONTROL!$C$42, 0.7185, 0.7185)+400000*CHOOSE(CONTROL!$C$42, 1.14, 1.14)+50000*0.98)*CHOOSE(CONTROL!$C$42, 30, 30))/1000000))+CHOOSE(CONTROL!$C$42, 0.1573, 0.1573)+CHOOSE(CONTROL!$C$42, 0.6376, 0.6376)</f>
        <v>31.57058</v>
      </c>
      <c r="U18" s="38">
        <f>(1000*CHOOSE(CONTROL!$C$42, 695, 695)*CHOOSE(CONTROL!$C$42, 0.5599, 0.5599)*CHOOSE(CONTROL!$C$42, 30, 30))/1000000</f>
        <v>11.673914999999997</v>
      </c>
      <c r="V18" s="38">
        <f>(1000*CHOOSE(CONTROL!$C$42, 580, 580)*CHOOSE(CONTROL!$C$42, 0.275, 0.275)*CHOOSE(CONTROL!$C$42, 30, 30))/1000000</f>
        <v>4.7850000000000001</v>
      </c>
      <c r="W18" s="38">
        <f>(1000*CHOOSE(CONTROL!$C$42, 0.1146, 0.1146)*CHOOSE(CONTROL!$C$42, 200, 200)*CHOOSE(CONTROL!$C$42, 30, 30))/1000000</f>
        <v>0.68759999999999999</v>
      </c>
      <c r="X18" s="38">
        <f>30*0.1790888*145000/1000000</f>
        <v>0.77903627999999991</v>
      </c>
      <c r="Y18" s="38"/>
      <c r="Z18" s="38">
        <f t="shared" ref="Z18:Z52" si="0">(0.12*2500000)/1000000</f>
        <v>0.3</v>
      </c>
      <c r="AA18" s="10">
        <f>CHOOSE(CONTROL!$C$42, 4.7886, 4.7886) * CHOOSE(CONTROL!$C$21, $C$9, 100%, $E$9)</f>
        <v>4.7885999999999997</v>
      </c>
      <c r="AB18" s="44">
        <f>(30*((7.95*31500+8.07*100000)/30))/1000000</f>
        <v>1.0574250000000001</v>
      </c>
      <c r="AC18" s="33">
        <f>(B18*194.205+C18*267.466+D18*133.845+E18*213.484+F18*40+G18*25+H18*50+I18*100+J18*300)/(194.205+267.466+133.845+213.484+50+40+25+100+300)</f>
        <v>4.8791741862537767</v>
      </c>
      <c r="AD18" s="27">
        <f>(M18*240+N18*120+O18*235+P18*100)/(240+120+235+100)</f>
        <v>4.8458669064748205</v>
      </c>
    </row>
    <row r="19" spans="1:30" ht="15">
      <c r="A19" s="16">
        <v>41821</v>
      </c>
      <c r="B19" s="10">
        <f>CHOOSE(CONTROL!$C$42, 4.8557, 4.8557) * CHOOSE(CONTROL!$C$21, $C$9, 100%, $E$9)</f>
        <v>4.8556999999999997</v>
      </c>
      <c r="C19" s="10">
        <f>CHOOSE(CONTROL!$C$42, 4.8637, 4.8637) * CHOOSE(CONTROL!$C$21, $C$9, 100%, $E$9)</f>
        <v>4.8636999999999997</v>
      </c>
      <c r="D19" s="10">
        <f>CHOOSE(CONTROL!$C$42, 5.0395, 5.0395) * CHOOSE(CONTROL!$C$21, $C$9, 100%, $E$9)</f>
        <v>5.0395000000000003</v>
      </c>
      <c r="E19" s="10">
        <f>CHOOSE(CONTROL!$C$42, 5.0707, 5.0707) * CHOOSE(CONTROL!$C$21, $C$9, 100%, $E$9)</f>
        <v>5.0707000000000004</v>
      </c>
      <c r="F19" s="10">
        <f>CHOOSE(CONTROL!$C$42, 4.8318, 4.8318)*CHOOSE(CONTROL!$C$21, $C$9, 100%, $E$9)</f>
        <v>4.8318000000000003</v>
      </c>
      <c r="G19" s="10">
        <f>CHOOSE(CONTROL!$C$42, 4.8497, 4.8497)*CHOOSE(CONTROL!$C$21, $C$9, 100%, $E$9)</f>
        <v>4.8497000000000003</v>
      </c>
      <c r="H19" s="10">
        <f>CHOOSE(CONTROL!$C$42, 5.059, 5.059) * CHOOSE(CONTROL!$C$21, $C$9, 100%, $E$9)</f>
        <v>5.0590000000000002</v>
      </c>
      <c r="I19" s="10">
        <f>CHOOSE(CONTROL!$C$42, 4.8331, 4.8331)* CHOOSE(CONTROL!$C$21, $C$9, 100%, $E$9)</f>
        <v>4.8331</v>
      </c>
      <c r="J19" s="10">
        <f>CHOOSE(CONTROL!$C$42, 4.8244, 4.8244)* CHOOSE(CONTROL!$C$21, $C$9, 100%, $E$9)</f>
        <v>4.8243999999999998</v>
      </c>
      <c r="K19" s="10">
        <f>CHOOSE(CONTROL!$C$42, 4.8564, 4.8564) * CHOOSE(CONTROL!$C$21, $C$9, 100%, $E$9)</f>
        <v>4.8563999999999998</v>
      </c>
      <c r="L19" s="10">
        <f>CHOOSE(CONTROL!$C$42, 5.646, 5.646) * CHOOSE(CONTROL!$C$21, $C$9, 100%, $E$9)</f>
        <v>5.6459999999999999</v>
      </c>
      <c r="M19" s="10">
        <f>CHOOSE(CONTROL!$C$42, 4.7901, 4.7901) * CHOOSE(CONTROL!$C$21, $C$9, 100%, $E$9)</f>
        <v>4.7900999999999998</v>
      </c>
      <c r="N19" s="10">
        <f>CHOOSE(CONTROL!$C$42, 4.8077, 4.8077) * CHOOSE(CONTROL!$C$21, $C$9, 100%, $E$9)</f>
        <v>4.8076999999999996</v>
      </c>
      <c r="O19" s="10">
        <f>CHOOSE(CONTROL!$C$42, 5.0215, 5.0215) * CHOOSE(CONTROL!$C$21, $C$9, 100%, $E$9)</f>
        <v>5.0214999999999996</v>
      </c>
      <c r="P19" s="10">
        <f>CHOOSE(CONTROL!$C$42, 4.7987, 4.7987) * CHOOSE(CONTROL!$C$21, $C$9, 100%, $E$9)</f>
        <v>4.7987000000000002</v>
      </c>
      <c r="Q19" s="10">
        <f>CHOOSE(CONTROL!$C$42, 5.6168, 5.6168) * CHOOSE(CONTROL!$C$21, $C$9, 100%, $E$9)</f>
        <v>5.6167999999999996</v>
      </c>
      <c r="R19" s="10">
        <f>CHOOSE(CONTROL!$C$42, 6.2178, 6.2178) * CHOOSE(CONTROL!$C$21, $C$9, 100%, $E$9)</f>
        <v>6.2178000000000004</v>
      </c>
      <c r="S19" s="10">
        <f>CHOOSE(CONTROL!$C$42, 4.7164, 4.7164) * CHOOSE(CONTROL!$C$21, $C$9, 100%, $E$9)</f>
        <v>4.7164000000000001</v>
      </c>
      <c r="T19" s="41">
        <f>((((430000*CHOOSE(CONTROL!$C$42, 0.4694, 0.4694)+(874000-430000)*CHOOSE(CONTROL!$C$42, 0.7185, 0.7185)+400000*CHOOSE(CONTROL!$C$42, 1.14, 1.14)+50000*0.98)*CHOOSE(CONTROL!$C$42, 31, 31))/1000000))+CHOOSE(CONTROL!$C$42, 0.1519, 0.1519)+CHOOSE(CONTROL!$C$42, 0.626, 0.626)</f>
        <v>32.579436000000001</v>
      </c>
      <c r="U19" s="38">
        <f>(1000*CHOOSE(CONTROL!$C$42, 695, 695)*CHOOSE(CONTROL!$C$42, 0.5599, 0.5599)*CHOOSE(CONTROL!$C$42, 31, 31))/1000000</f>
        <v>12.063045499999998</v>
      </c>
      <c r="V19" s="38">
        <f>(1000*CHOOSE(CONTROL!$C$42, 580, 580)*CHOOSE(CONTROL!$C$42, 0.275, 0.275)*CHOOSE(CONTROL!$C$42, 31, 31))/1000000</f>
        <v>4.9444999999999997</v>
      </c>
      <c r="W19" s="38">
        <f>(1000*CHOOSE(CONTROL!$C$42, 0.1146, 0.1146)*CHOOSE(CONTROL!$C$42, 200, 200)*CHOOSE(CONTROL!$C$42, 31, 31))/1000000</f>
        <v>0.71052000000000004</v>
      </c>
      <c r="X19" s="38">
        <f>31*0.1790888*145000/1000000</f>
        <v>0.80500415599999997</v>
      </c>
      <c r="Y19" s="38"/>
      <c r="Z19" s="38">
        <f t="shared" si="0"/>
        <v>0.3</v>
      </c>
      <c r="AA19" s="10">
        <f>CHOOSE(CONTROL!$C$42, 4.8144, 4.8144) * CHOOSE(CONTROL!$C$21, $C$9, 100%, $E$9)</f>
        <v>4.8144</v>
      </c>
      <c r="AB19" s="43">
        <f>(31*((8.01*31500+8.07*100000)/31))/1000000</f>
        <v>1.059315</v>
      </c>
      <c r="AC19" s="33">
        <f>(B19*194.205+C19*267.466+D19*133.845+E19*213.484+F19*40+G19*25+H19*50+I19*100+J19*300)/(194.205+267.466+133.845+213.484+50+40+25+100+300)</f>
        <v>4.908606721299094</v>
      </c>
      <c r="AD19" s="27">
        <f>(M19*240+N19*120+O19*235+P19*100)/(240+120+235+100)</f>
        <v>4.8726194244604315</v>
      </c>
    </row>
    <row r="20" spans="1:30" ht="15">
      <c r="A20" s="16">
        <v>41852</v>
      </c>
      <c r="B20" s="10">
        <f>CHOOSE(CONTROL!$C$42, 4.8526, 4.8526) * CHOOSE(CONTROL!$C$21, $C$9, 100%, $E$9)</f>
        <v>4.8525999999999998</v>
      </c>
      <c r="C20" s="10">
        <f>CHOOSE(CONTROL!$C$42, 4.8606, 4.8606) * CHOOSE(CONTROL!$C$21, $C$9, 100%, $E$9)</f>
        <v>4.8605999999999998</v>
      </c>
      <c r="D20" s="10">
        <f>CHOOSE(CONTROL!$C$42, 5.0364, 5.0364) * CHOOSE(CONTROL!$C$21, $C$9, 100%, $E$9)</f>
        <v>5.0364000000000004</v>
      </c>
      <c r="E20" s="10">
        <f>CHOOSE(CONTROL!$C$42, 5.0676, 5.0676) * CHOOSE(CONTROL!$C$21, $C$9, 100%, $E$9)</f>
        <v>5.0675999999999997</v>
      </c>
      <c r="F20" s="10">
        <f>CHOOSE(CONTROL!$C$42, 4.8287, 4.8287)*CHOOSE(CONTROL!$C$21, $C$9, 100%, $E$9)</f>
        <v>4.8287000000000004</v>
      </c>
      <c r="G20" s="10">
        <f>CHOOSE(CONTROL!$C$42, 4.8465, 4.8465)*CHOOSE(CONTROL!$C$21, $C$9, 100%, $E$9)</f>
        <v>4.8464999999999998</v>
      </c>
      <c r="H20" s="10">
        <f>CHOOSE(CONTROL!$C$42, 5.056, 5.056) * CHOOSE(CONTROL!$C$21, $C$9, 100%, $E$9)</f>
        <v>5.056</v>
      </c>
      <c r="I20" s="10">
        <f>CHOOSE(CONTROL!$C$42, 4.83, 4.83)* CHOOSE(CONTROL!$C$21, $C$9, 100%, $E$9)</f>
        <v>4.83</v>
      </c>
      <c r="J20" s="10">
        <f>CHOOSE(CONTROL!$C$42, 4.8213, 4.8213)* CHOOSE(CONTROL!$C$21, $C$9, 100%, $E$9)</f>
        <v>4.8212999999999999</v>
      </c>
      <c r="K20" s="10">
        <f>CHOOSE(CONTROL!$C$42, 4.8533, 4.8533) * CHOOSE(CONTROL!$C$21, $C$9, 100%, $E$9)</f>
        <v>4.8532999999999999</v>
      </c>
      <c r="L20" s="10">
        <f>CHOOSE(CONTROL!$C$42, 5.643, 5.643) * CHOOSE(CONTROL!$C$21, $C$9, 100%, $E$9)</f>
        <v>5.6429999999999998</v>
      </c>
      <c r="M20" s="10">
        <f>CHOOSE(CONTROL!$C$42, 4.787, 4.787) * CHOOSE(CONTROL!$C$21, $C$9, 100%, $E$9)</f>
        <v>4.7869999999999999</v>
      </c>
      <c r="N20" s="10">
        <f>CHOOSE(CONTROL!$C$42, 4.8046, 4.8046) * CHOOSE(CONTROL!$C$21, $C$9, 100%, $E$9)</f>
        <v>4.8045999999999998</v>
      </c>
      <c r="O20" s="10">
        <f>CHOOSE(CONTROL!$C$42, 5.0184, 5.0184) * CHOOSE(CONTROL!$C$21, $C$9, 100%, $E$9)</f>
        <v>5.0183999999999997</v>
      </c>
      <c r="P20" s="10">
        <f>CHOOSE(CONTROL!$C$42, 4.7957, 4.7957) * CHOOSE(CONTROL!$C$21, $C$9, 100%, $E$9)</f>
        <v>4.7957000000000001</v>
      </c>
      <c r="Q20" s="10">
        <f>CHOOSE(CONTROL!$C$42, 5.6137, 5.6137) * CHOOSE(CONTROL!$C$21, $C$9, 100%, $E$9)</f>
        <v>5.6136999999999997</v>
      </c>
      <c r="R20" s="10">
        <f>CHOOSE(CONTROL!$C$42, 6.2148, 6.2148) * CHOOSE(CONTROL!$C$21, $C$9, 100%, $E$9)</f>
        <v>6.2148000000000003</v>
      </c>
      <c r="S20" s="10">
        <f>CHOOSE(CONTROL!$C$42, 4.7134, 4.7134) * CHOOSE(CONTROL!$C$21, $C$9, 100%, $E$9)</f>
        <v>4.7134</v>
      </c>
      <c r="T20" s="41">
        <f>((((430000*CHOOSE(CONTROL!$C$42, 0.4694, 0.4694)+(874000-430000)*CHOOSE(CONTROL!$C$42, 0.7185, 0.7185)+400000*CHOOSE(CONTROL!$C$42, 1.14, 1.14)+50000*0.98)*CHOOSE(CONTROL!$C$42, 31, 31))/1000000))+CHOOSE(CONTROL!$C$42, 0.1868, 0.1868)+CHOOSE(CONTROL!$C$42, 0.6257, 0.6257)</f>
        <v>32.614035999999999</v>
      </c>
      <c r="U20" s="38">
        <f>(1000*CHOOSE(CONTROL!$C$42, 695, 695)*CHOOSE(CONTROL!$C$42, 0.5599, 0.5599)*CHOOSE(CONTROL!$C$42, 31, 31))/1000000</f>
        <v>12.063045499999998</v>
      </c>
      <c r="V20" s="38">
        <f>(1000*CHOOSE(CONTROL!$C$42, 580, 580)*CHOOSE(CONTROL!$C$42, 0.275, 0.275)*CHOOSE(CONTROL!$C$42, 31, 31))/1000000</f>
        <v>4.9444999999999997</v>
      </c>
      <c r="W20" s="38">
        <f>(1000*CHOOSE(CONTROL!$C$42, 0.1146, 0.1146)*CHOOSE(CONTROL!$C$42, 200, 200)*CHOOSE(CONTROL!$C$42, 31, 31))/1000000</f>
        <v>0.71052000000000004</v>
      </c>
      <c r="X20" s="38">
        <f>31*0.1790888*145000/1000000</f>
        <v>0.80500415599999997</v>
      </c>
      <c r="Y20" s="38"/>
      <c r="Z20" s="38">
        <f t="shared" si="0"/>
        <v>0.3</v>
      </c>
      <c r="AA20" s="10">
        <f>CHOOSE(CONTROL!$C$42, 4.8113, 4.8113) * CHOOSE(CONTROL!$C$21, $C$9, 100%, $E$9)</f>
        <v>4.8113000000000001</v>
      </c>
      <c r="AB20" s="43">
        <f>(31*((8.01*31500+8.07*100000)/31))/1000000</f>
        <v>1.059315</v>
      </c>
      <c r="AC20" s="33">
        <f>(B20*194.205+C20*267.466+D20*133.845+E20*213.484+F20*40+G20*25+H20*50+I20*100+J20*300)/(194.205+267.466+133.845+213.484+50+40+25+100+300)</f>
        <v>4.9055086095166169</v>
      </c>
      <c r="AD20" s="27">
        <f>(M20*240+N20*120+O20*235+P20*100)/(240+120+235+100)</f>
        <v>4.8695338129496397</v>
      </c>
    </row>
    <row r="21" spans="1:30" ht="15">
      <c r="A21" s="16">
        <v>41883</v>
      </c>
      <c r="B21" s="10">
        <f>CHOOSE(CONTROL!$C$42, 4.8289, 4.8289) * CHOOSE(CONTROL!$C$21, $C$9, 100%, $E$9)</f>
        <v>4.8289</v>
      </c>
      <c r="C21" s="10">
        <f>CHOOSE(CONTROL!$C$42, 4.8369, 4.8369) * CHOOSE(CONTROL!$C$21, $C$9, 100%, $E$9)</f>
        <v>4.8369</v>
      </c>
      <c r="D21" s="10">
        <f>CHOOSE(CONTROL!$C$42, 5.0127, 5.0127) * CHOOSE(CONTROL!$C$21, $C$9, 100%, $E$9)</f>
        <v>5.0126999999999997</v>
      </c>
      <c r="E21" s="10">
        <f>CHOOSE(CONTROL!$C$42, 5.0439, 5.0439) * CHOOSE(CONTROL!$C$21, $C$9, 100%, $E$9)</f>
        <v>5.0438999999999998</v>
      </c>
      <c r="F21" s="10">
        <f>CHOOSE(CONTROL!$C$42, 4.8046, 4.8046)*CHOOSE(CONTROL!$C$21, $C$9, 100%, $E$9)</f>
        <v>4.8045999999999998</v>
      </c>
      <c r="G21" s="10">
        <f>CHOOSE(CONTROL!$C$42, 4.8224, 4.8224)*CHOOSE(CONTROL!$C$21, $C$9, 100%, $E$9)</f>
        <v>4.8224</v>
      </c>
      <c r="H21" s="10">
        <f>CHOOSE(CONTROL!$C$42, 5.0322, 5.0322) * CHOOSE(CONTROL!$C$21, $C$9, 100%, $E$9)</f>
        <v>5.0321999999999996</v>
      </c>
      <c r="I21" s="10">
        <f>CHOOSE(CONTROL!$C$42, 4.8062, 4.8062)* CHOOSE(CONTROL!$C$21, $C$9, 100%, $E$9)</f>
        <v>4.8061999999999996</v>
      </c>
      <c r="J21" s="10">
        <f>CHOOSE(CONTROL!$C$42, 4.7972, 4.7972)* CHOOSE(CONTROL!$C$21, $C$9, 100%, $E$9)</f>
        <v>4.7972000000000001</v>
      </c>
      <c r="K21" s="10">
        <f>CHOOSE(CONTROL!$C$42, 4.8296, 4.8296) * CHOOSE(CONTROL!$C$21, $C$9, 100%, $E$9)</f>
        <v>4.8296000000000001</v>
      </c>
      <c r="L21" s="10">
        <f>CHOOSE(CONTROL!$C$42, 5.6192, 5.6192) * CHOOSE(CONTROL!$C$21, $C$9, 100%, $E$9)</f>
        <v>5.6192000000000002</v>
      </c>
      <c r="M21" s="10">
        <f>CHOOSE(CONTROL!$C$42, 4.7633, 4.7633) * CHOOSE(CONTROL!$C$21, $C$9, 100%, $E$9)</f>
        <v>4.7633000000000001</v>
      </c>
      <c r="N21" s="10">
        <f>CHOOSE(CONTROL!$C$42, 4.7808, 4.7808) * CHOOSE(CONTROL!$C$21, $C$9, 100%, $E$9)</f>
        <v>4.7808000000000002</v>
      </c>
      <c r="O21" s="10">
        <f>CHOOSE(CONTROL!$C$42, 4.995, 4.995) * CHOOSE(CONTROL!$C$21, $C$9, 100%, $E$9)</f>
        <v>4.9950000000000001</v>
      </c>
      <c r="P21" s="10">
        <f>CHOOSE(CONTROL!$C$42, 4.7723, 4.7723) * CHOOSE(CONTROL!$C$21, $C$9, 100%, $E$9)</f>
        <v>4.7723000000000004</v>
      </c>
      <c r="Q21" s="10">
        <f>CHOOSE(CONTROL!$C$42, 5.5903, 5.5903) * CHOOSE(CONTROL!$C$21, $C$9, 100%, $E$9)</f>
        <v>5.5903</v>
      </c>
      <c r="R21" s="10">
        <f>CHOOSE(CONTROL!$C$42, 6.1913, 6.1913) * CHOOSE(CONTROL!$C$21, $C$9, 100%, $E$9)</f>
        <v>6.1913</v>
      </c>
      <c r="S21" s="10">
        <f>CHOOSE(CONTROL!$C$42, 4.6904, 4.6904) * CHOOSE(CONTROL!$C$21, $C$9, 100%, $E$9)</f>
        <v>4.6904000000000003</v>
      </c>
      <c r="T21" s="41">
        <f>((((430000*CHOOSE(CONTROL!$C$42, 0.4694, 0.4694)+(874000-430000)*CHOOSE(CONTROL!$C$42, 0.7185, 0.7185)+400000*CHOOSE(CONTROL!$C$42, 1.14, 1.14)+50000*0.98)*CHOOSE(CONTROL!$C$42, 30, 30))/1000000))+CHOOSE(CONTROL!$C$42, 0.1677, 0.1677)+CHOOSE(CONTROL!$C$42, 0.1997, 0.1997)</f>
        <v>31.143080000000001</v>
      </c>
      <c r="U21" s="38">
        <f>(1000*CHOOSE(CONTROL!$C$42, 695, 695)*CHOOSE(CONTROL!$C$42, 0.5599, 0.5599)*CHOOSE(CONTROL!$C$42, 30, 30))/1000000</f>
        <v>11.673914999999997</v>
      </c>
      <c r="V21" s="38">
        <f>(1000*CHOOSE(CONTROL!$C$42, 580, 580)*CHOOSE(CONTROL!$C$42, 0.275, 0.275)*CHOOSE(CONTROL!$C$42, 30, 30))/1000000</f>
        <v>4.7850000000000001</v>
      </c>
      <c r="W21" s="38">
        <f>(1000*CHOOSE(CONTROL!$C$42, 0.1146, 0.1146)*CHOOSE(CONTROL!$C$42, 200, 200)*CHOOSE(CONTROL!$C$42, 30, 30))/1000000</f>
        <v>0.68759999999999999</v>
      </c>
      <c r="X21" s="38">
        <f>30*0.1790888*145000/1000000</f>
        <v>0.77903627999999991</v>
      </c>
      <c r="Y21" s="38"/>
      <c r="Z21" s="38">
        <f t="shared" si="0"/>
        <v>0.3</v>
      </c>
      <c r="AA21" s="10">
        <f>CHOOSE(CONTROL!$C$42, 4.7877, 4.7877) * CHOOSE(CONTROL!$C$21, $C$9, 100%, $E$9)</f>
        <v>4.7877000000000001</v>
      </c>
      <c r="AB21" s="43">
        <f>(30*((8.01*31500+8.07*100000)/30))/1000000</f>
        <v>1.059315</v>
      </c>
      <c r="AC21" s="33">
        <f>(B21*194.205+C21*267.466+D21*133.845+E21*213.484+F21*40+G21*25+H21*50+I21*100+J21*300)/(194.205+267.466+133.845+213.484+50+40+25+100+300)</f>
        <v>4.8816870083081572</v>
      </c>
      <c r="AD21" s="27">
        <f>(M21*240+N21*120+O21*235+P21*100)/(240+120+235+100)</f>
        <v>4.8459611510791367</v>
      </c>
    </row>
    <row r="22" spans="1:30" ht="15">
      <c r="A22" s="16">
        <v>41913</v>
      </c>
      <c r="B22" s="10">
        <f>CHOOSE(CONTROL!$C$42, 4.8339, 4.8339) * CHOOSE(CONTROL!$C$21, $C$9, 100%, $E$9)</f>
        <v>4.8338999999999999</v>
      </c>
      <c r="C22" s="10">
        <f>CHOOSE(CONTROL!$C$42, 4.8393, 4.8393) * CHOOSE(CONTROL!$C$21, $C$9, 100%, $E$9)</f>
        <v>4.8392999999999997</v>
      </c>
      <c r="D22" s="10">
        <f>CHOOSE(CONTROL!$C$42, 5.0199, 5.0199) * CHOOSE(CONTROL!$C$21, $C$9, 100%, $E$9)</f>
        <v>5.0198999999999998</v>
      </c>
      <c r="E22" s="10">
        <f>CHOOSE(CONTROL!$C$42, 5.0488, 5.0488) * CHOOSE(CONTROL!$C$21, $C$9, 100%, $E$9)</f>
        <v>5.0488</v>
      </c>
      <c r="F22" s="10">
        <f>CHOOSE(CONTROL!$C$42, 4.8115, 4.8115)*CHOOSE(CONTROL!$C$21, $C$9, 100%, $E$9)</f>
        <v>4.8114999999999997</v>
      </c>
      <c r="G22" s="10">
        <f>CHOOSE(CONTROL!$C$42, 4.8288, 4.8288)*CHOOSE(CONTROL!$C$21, $C$9, 100%, $E$9)</f>
        <v>4.8288000000000002</v>
      </c>
      <c r="H22" s="10">
        <f>CHOOSE(CONTROL!$C$42, 5.039, 5.039) * CHOOSE(CONTROL!$C$21, $C$9, 100%, $E$9)</f>
        <v>5.0389999999999997</v>
      </c>
      <c r="I22" s="10">
        <f>CHOOSE(CONTROL!$C$42, 4.813, 4.813)* CHOOSE(CONTROL!$C$21, $C$9, 100%, $E$9)</f>
        <v>4.8129999999999997</v>
      </c>
      <c r="J22" s="10">
        <f>CHOOSE(CONTROL!$C$42, 4.8041, 4.8041)* CHOOSE(CONTROL!$C$21, $C$9, 100%, $E$9)</f>
        <v>4.8041</v>
      </c>
      <c r="K22" s="10">
        <f>CHOOSE(CONTROL!$C$42, 4.8364, 4.8364) * CHOOSE(CONTROL!$C$21, $C$9, 100%, $E$9)</f>
        <v>4.8364000000000003</v>
      </c>
      <c r="L22" s="10">
        <f>CHOOSE(CONTROL!$C$42, 5.626, 5.626) * CHOOSE(CONTROL!$C$21, $C$9, 100%, $E$9)</f>
        <v>5.6260000000000003</v>
      </c>
      <c r="M22" s="10">
        <f>CHOOSE(CONTROL!$C$42, 4.7701, 4.7701) * CHOOSE(CONTROL!$C$21, $C$9, 100%, $E$9)</f>
        <v>4.7701000000000002</v>
      </c>
      <c r="N22" s="10">
        <f>CHOOSE(CONTROL!$C$42, 4.7872, 4.7872) * CHOOSE(CONTROL!$C$21, $C$9, 100%, $E$9)</f>
        <v>4.7872000000000003</v>
      </c>
      <c r="O22" s="10">
        <f>CHOOSE(CONTROL!$C$42, 5.0017, 5.0017) * CHOOSE(CONTROL!$C$21, $C$9, 100%, $E$9)</f>
        <v>5.0016999999999996</v>
      </c>
      <c r="P22" s="10">
        <f>CHOOSE(CONTROL!$C$42, 4.7789, 4.7789) * CHOOSE(CONTROL!$C$21, $C$9, 100%, $E$9)</f>
        <v>4.7789000000000001</v>
      </c>
      <c r="Q22" s="10">
        <f>CHOOSE(CONTROL!$C$42, 5.597, 5.597) * CHOOSE(CONTROL!$C$21, $C$9, 100%, $E$9)</f>
        <v>5.5970000000000004</v>
      </c>
      <c r="R22" s="10">
        <f>CHOOSE(CONTROL!$C$42, 6.198, 6.198) * CHOOSE(CONTROL!$C$21, $C$9, 100%, $E$9)</f>
        <v>6.1980000000000004</v>
      </c>
      <c r="S22" s="10">
        <f>CHOOSE(CONTROL!$C$42, 4.697, 4.697) * CHOOSE(CONTROL!$C$21, $C$9, 100%, $E$9)</f>
        <v>4.6970000000000001</v>
      </c>
      <c r="T2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2" s="38">
        <f>(1000*CHOOSE(CONTROL!$C$42, 695, 695)*CHOOSE(CONTROL!$C$42, 0.5599, 0.5599)*CHOOSE(CONTROL!$C$42, 31, 31))/1000000</f>
        <v>12.063045499999998</v>
      </c>
      <c r="V22" s="38">
        <f>(1000*CHOOSE(CONTROL!$C$42, 580, 580)*CHOOSE(CONTROL!$C$42, 0.275, 0.275)*CHOOSE(CONTROL!$C$42, 31, 31))/1000000</f>
        <v>4.9444999999999997</v>
      </c>
      <c r="W22" s="38">
        <f>(1000*CHOOSE(CONTROL!$C$42, 0.1146, 0.1146)*CHOOSE(CONTROL!$C$42, 200, 200)*CHOOSE(CONTROL!$C$42, 31, 31))/1000000</f>
        <v>0.71052000000000004</v>
      </c>
      <c r="X22" s="38">
        <f>31*0.1790888*145000/1000000</f>
        <v>0.80500415599999997</v>
      </c>
      <c r="Y22" s="38"/>
      <c r="Z22" s="38">
        <f t="shared" si="0"/>
        <v>0.3</v>
      </c>
      <c r="AA22" s="10">
        <f>CHOOSE(CONTROL!$C$42, 4.7945, 4.7945) * CHOOSE(CONTROL!$C$21, $C$9, 100%, $E$9)</f>
        <v>4.7945000000000002</v>
      </c>
      <c r="AB22" s="43">
        <f>(31*((8.01*31500+8.07*100000)/31))/1000000</f>
        <v>1.059315</v>
      </c>
      <c r="AC22" s="33">
        <f>(B22*131.881+C22*277.167+D22*79.08+E22*285.872+F22*40+G22*25+H22*0+I22*100+J22*300)/(131.881+277.167+79.08+285.872+0+40+25+100+300)</f>
        <v>4.8868346041969337</v>
      </c>
      <c r="AD22" s="27">
        <f>(M22*240+N22*120+O22*235+P22*100)/(240+120+235+100)</f>
        <v>4.8526294964028773</v>
      </c>
    </row>
    <row r="23" spans="1:30" ht="15">
      <c r="A23" s="16">
        <v>41944</v>
      </c>
      <c r="B23" s="10">
        <f>CHOOSE(CONTROL!$C$42, 4.8717, 4.8717) * CHOOSE(CONTROL!$C$21, $C$9, 100%, $E$9)</f>
        <v>4.8716999999999997</v>
      </c>
      <c r="C23" s="10">
        <f>CHOOSE(CONTROL!$C$42, 4.8768, 4.8768) * CHOOSE(CONTROL!$C$21, $C$9, 100%, $E$9)</f>
        <v>4.8768000000000002</v>
      </c>
      <c r="D23" s="10">
        <f>CHOOSE(CONTROL!$C$42, 4.9093, 4.9093) * CHOOSE(CONTROL!$C$21, $C$9, 100%, $E$9)</f>
        <v>4.9093</v>
      </c>
      <c r="E23" s="10">
        <f>CHOOSE(CONTROL!$C$42, 4.9431, 4.9431) * CHOOSE(CONTROL!$C$21, $C$9, 100%, $E$9)</f>
        <v>4.9431000000000003</v>
      </c>
      <c r="F23" s="10">
        <f>CHOOSE(CONTROL!$C$42, 4.8536, 4.8536)*CHOOSE(CONTROL!$C$21, $C$9, 100%, $E$9)</f>
        <v>4.8536000000000001</v>
      </c>
      <c r="G23" s="10">
        <f>CHOOSE(CONTROL!$C$42, 4.8711, 4.8711)*CHOOSE(CONTROL!$C$21, $C$9, 100%, $E$9)</f>
        <v>4.8711000000000002</v>
      </c>
      <c r="H23" s="10">
        <f>CHOOSE(CONTROL!$C$42, 4.932, 4.932) * CHOOSE(CONTROL!$C$21, $C$9, 100%, $E$9)</f>
        <v>4.9320000000000004</v>
      </c>
      <c r="I23" s="10">
        <f>CHOOSE(CONTROL!$C$42, 4.8852, 4.8852)* CHOOSE(CONTROL!$C$21, $C$9, 100%, $E$9)</f>
        <v>4.8852000000000002</v>
      </c>
      <c r="J23" s="10">
        <f>CHOOSE(CONTROL!$C$42, 4.8462, 4.8462)* CHOOSE(CONTROL!$C$21, $C$9, 100%, $E$9)</f>
        <v>4.8461999999999996</v>
      </c>
      <c r="K23" s="10">
        <f>CHOOSE(CONTROL!$C$42, 4.9083, 4.9083) * CHOOSE(CONTROL!$C$21, $C$9, 100%, $E$9)</f>
        <v>4.9082999999999997</v>
      </c>
      <c r="L23" s="10">
        <f>CHOOSE(CONTROL!$C$42, 5.519, 5.519) * CHOOSE(CONTROL!$C$21, $C$9, 100%, $E$9)</f>
        <v>5.5190000000000001</v>
      </c>
      <c r="M23" s="10">
        <f>CHOOSE(CONTROL!$C$42, 4.8116, 4.8116) * CHOOSE(CONTROL!$C$21, $C$9, 100%, $E$9)</f>
        <v>4.8116000000000003</v>
      </c>
      <c r="N23" s="10">
        <f>CHOOSE(CONTROL!$C$42, 4.8288, 4.8288) * CHOOSE(CONTROL!$C$21, $C$9, 100%, $E$9)</f>
        <v>4.8288000000000002</v>
      </c>
      <c r="O23" s="10">
        <f>CHOOSE(CONTROL!$C$42, 4.8962, 4.8962) * CHOOSE(CONTROL!$C$21, $C$9, 100%, $E$9)</f>
        <v>4.8962000000000003</v>
      </c>
      <c r="P23" s="10">
        <f>CHOOSE(CONTROL!$C$42, 4.8501, 4.8501) * CHOOSE(CONTROL!$C$21, $C$9, 100%, $E$9)</f>
        <v>4.8501000000000003</v>
      </c>
      <c r="Q23" s="10">
        <f>CHOOSE(CONTROL!$C$42, 5.4915, 5.4915) * CHOOSE(CONTROL!$C$21, $C$9, 100%, $E$9)</f>
        <v>5.4915000000000003</v>
      </c>
      <c r="R23" s="10">
        <f>CHOOSE(CONTROL!$C$42, 6.0922, 6.0922) * CHOOSE(CONTROL!$C$21, $C$9, 100%, $E$9)</f>
        <v>6.0922000000000001</v>
      </c>
      <c r="S23" s="10">
        <f>CHOOSE(CONTROL!$C$42, 4.734, 4.734) * CHOOSE(CONTROL!$C$21, $C$9, 100%, $E$9)</f>
        <v>4.734</v>
      </c>
      <c r="T2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3" s="38">
        <f>(1000*CHOOSE(CONTROL!$C$42, 695, 695)*CHOOSE(CONTROL!$C$42, 0.5599, 0.5599)*CHOOSE(CONTROL!$C$42, 30, 30))/1000000</f>
        <v>11.673914999999997</v>
      </c>
      <c r="V23" s="38">
        <f>(1000*CHOOSE(CONTROL!$C$42, 580, 580)*CHOOSE(CONTROL!$C$42, 0.275, 0.275)*CHOOSE(CONTROL!$C$42, 30, 30))/1000000</f>
        <v>4.7850000000000001</v>
      </c>
      <c r="W23" s="38">
        <f>(1000*CHOOSE(CONTROL!$C$42, 0.1146, 0.1146)*CHOOSE(CONTROL!$C$42, 200, 200)*CHOOSE(CONTROL!$C$42, 30, 30))/1000000</f>
        <v>0.68759999999999999</v>
      </c>
      <c r="X23" s="38">
        <v>0</v>
      </c>
      <c r="Y23" s="38"/>
      <c r="Z23" s="38">
        <f t="shared" si="0"/>
        <v>0.3</v>
      </c>
      <c r="AA23" s="10">
        <f>CHOOSE(CONTROL!$C$42, 4.8368, 4.8368) * CHOOSE(CONTROL!$C$21, $C$9, 100%, $E$9)</f>
        <v>4.8368000000000002</v>
      </c>
      <c r="AB23" s="43">
        <f>(30*((8.01*31500+8.07*100000)/30))/1000000</f>
        <v>1.059315</v>
      </c>
      <c r="AC23" s="33">
        <f>(B23*122.58+C23*297.941+D23*89.177+E23*200.302+F23*40+G23*0+H23*0+I23*100+J23*300)/(122.58+297.941+89.177+200.302+0+40+0+100+300)</f>
        <v>4.8822653192173915</v>
      </c>
      <c r="AD23" s="27">
        <f>(M23*240+N23*0+O23*355+P23*100)/(240+0+355+100)</f>
        <v>4.8603525179856124</v>
      </c>
    </row>
    <row r="24" spans="1:30" ht="15">
      <c r="A24" s="16">
        <v>41974</v>
      </c>
      <c r="B24" s="10">
        <f>CHOOSE(CONTROL!$C$42, 4.9781, 4.9781) * CHOOSE(CONTROL!$C$21, $C$9, 100%, $E$9)</f>
        <v>4.9781000000000004</v>
      </c>
      <c r="C24" s="10">
        <f>CHOOSE(CONTROL!$C$42, 4.9832, 4.9832) * CHOOSE(CONTROL!$C$21, $C$9, 100%, $E$9)</f>
        <v>4.9832000000000001</v>
      </c>
      <c r="D24" s="10">
        <f>CHOOSE(CONTROL!$C$42, 5.0156, 5.0156) * CHOOSE(CONTROL!$C$21, $C$9, 100%, $E$9)</f>
        <v>5.0156000000000001</v>
      </c>
      <c r="E24" s="10">
        <f>CHOOSE(CONTROL!$C$42, 5.0494, 5.0494) * CHOOSE(CONTROL!$C$21, $C$9, 100%, $E$9)</f>
        <v>5.0494000000000003</v>
      </c>
      <c r="F24" s="10">
        <f>CHOOSE(CONTROL!$C$42, 4.9614, 4.9614)*CHOOSE(CONTROL!$C$21, $C$9, 100%, $E$9)</f>
        <v>4.9614000000000003</v>
      </c>
      <c r="G24" s="10">
        <f>CHOOSE(CONTROL!$C$42, 4.9792, 4.9792)*CHOOSE(CONTROL!$C$21, $C$9, 100%, $E$9)</f>
        <v>4.9791999999999996</v>
      </c>
      <c r="H24" s="10">
        <f>CHOOSE(CONTROL!$C$42, 5.0383, 5.0383) * CHOOSE(CONTROL!$C$21, $C$9, 100%, $E$9)</f>
        <v>5.0382999999999996</v>
      </c>
      <c r="I24" s="10">
        <f>CHOOSE(CONTROL!$C$42, 4.9916, 4.9916)* CHOOSE(CONTROL!$C$21, $C$9, 100%, $E$9)</f>
        <v>4.9916</v>
      </c>
      <c r="J24" s="10">
        <f>CHOOSE(CONTROL!$C$42, 4.954, 4.954)* CHOOSE(CONTROL!$C$21, $C$9, 100%, $E$9)</f>
        <v>4.9539999999999997</v>
      </c>
      <c r="K24" s="10">
        <f>CHOOSE(CONTROL!$C$42, 5.0144, 5.0144) * CHOOSE(CONTROL!$C$21, $C$9, 100%, $E$9)</f>
        <v>5.0144000000000002</v>
      </c>
      <c r="L24" s="10">
        <f>CHOOSE(CONTROL!$C$42, 5.6253, 5.6253) * CHOOSE(CONTROL!$C$21, $C$9, 100%, $E$9)</f>
        <v>5.6253000000000002</v>
      </c>
      <c r="M24" s="10">
        <f>CHOOSE(CONTROL!$C$42, 4.9179, 4.9179) * CHOOSE(CONTROL!$C$21, $C$9, 100%, $E$9)</f>
        <v>4.9179000000000004</v>
      </c>
      <c r="N24" s="10">
        <f>CHOOSE(CONTROL!$C$42, 4.9354, 4.9354) * CHOOSE(CONTROL!$C$21, $C$9, 100%, $E$9)</f>
        <v>4.9353999999999996</v>
      </c>
      <c r="O24" s="10">
        <f>CHOOSE(CONTROL!$C$42, 5.0011, 5.0011) * CHOOSE(CONTROL!$C$21, $C$9, 100%, $E$9)</f>
        <v>5.0011000000000001</v>
      </c>
      <c r="P24" s="10">
        <f>CHOOSE(CONTROL!$C$42, 4.955, 4.955) * CHOOSE(CONTROL!$C$21, $C$9, 100%, $E$9)</f>
        <v>4.9550000000000001</v>
      </c>
      <c r="Q24" s="10">
        <f>CHOOSE(CONTROL!$C$42, 5.5964, 5.5964) * CHOOSE(CONTROL!$C$21, $C$9, 100%, $E$9)</f>
        <v>5.5964</v>
      </c>
      <c r="R24" s="10">
        <f>CHOOSE(CONTROL!$C$42, 6.1974, 6.1974) * CHOOSE(CONTROL!$C$21, $C$9, 100%, $E$9)</f>
        <v>6.1974</v>
      </c>
      <c r="S24" s="10">
        <f>CHOOSE(CONTROL!$C$42, 4.837, 4.837) * CHOOSE(CONTROL!$C$21, $C$9, 100%, $E$9)</f>
        <v>4.8369999999999997</v>
      </c>
      <c r="T2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4" s="38">
        <f>(1000*CHOOSE(CONTROL!$C$42, 695, 695)*CHOOSE(CONTROL!$C$42, 0.5599, 0.5599)*CHOOSE(CONTROL!$C$42, 31, 31))/1000000</f>
        <v>12.063045499999998</v>
      </c>
      <c r="V24" s="38">
        <f>(1000*CHOOSE(CONTROL!$C$42, 580, 580)*CHOOSE(CONTROL!$C$42, 0.275, 0.275)*CHOOSE(CONTROL!$C$42, 31, 31))/1000000</f>
        <v>4.9444999999999997</v>
      </c>
      <c r="W24" s="38">
        <f>(1000*CHOOSE(CONTROL!$C$42, 0.1146, 0.1146)*CHOOSE(CONTROL!$C$42, 200, 200)*CHOOSE(CONTROL!$C$42, 31, 31))/1000000</f>
        <v>0.71052000000000004</v>
      </c>
      <c r="X24" s="38">
        <v>0</v>
      </c>
      <c r="Y24" s="38"/>
      <c r="Z24" s="38">
        <f t="shared" si="0"/>
        <v>0.3</v>
      </c>
      <c r="AA24" s="10">
        <f>CHOOSE(CONTROL!$C$42, 4.9422, 4.9422) * CHOOSE(CONTROL!$C$21, $C$9, 100%, $E$9)</f>
        <v>4.9421999999999997</v>
      </c>
      <c r="AB24" s="43">
        <f>(31*((8.01*31500+8.07*100000)/31))/1000000</f>
        <v>1.059315</v>
      </c>
      <c r="AC24" s="33">
        <f>(B24*122.58+C24*297.941+D24*89.177+E24*200.302+F24*40+G24*0+H24*0+I24*100+J24*300)/(122.58+297.941+89.177+200.302+0+40+0+100+300)</f>
        <v>4.9890540601739133</v>
      </c>
      <c r="AD24" s="27">
        <f>(M24*240+N24*0+O24*355+P24*100)/(240+0+355+100)</f>
        <v>4.9657359712230216</v>
      </c>
    </row>
    <row r="25" spans="1:30" ht="15">
      <c r="A25" s="16">
        <v>42005</v>
      </c>
      <c r="B25" s="10">
        <f>CHOOSE(CONTROL!$C$42, 5.0504, 5.0504) * CHOOSE(CONTROL!$C$21, $C$9, 100%, $E$9)</f>
        <v>5.0503999999999998</v>
      </c>
      <c r="C25" s="10">
        <f>CHOOSE(CONTROL!$C$42, 5.0555, 5.0555) * CHOOSE(CONTROL!$C$21, $C$9, 100%, $E$9)</f>
        <v>5.0555000000000003</v>
      </c>
      <c r="D25" s="10">
        <f>CHOOSE(CONTROL!$C$42, 5.0879, 5.0879) * CHOOSE(CONTROL!$C$21, $C$9, 100%, $E$9)</f>
        <v>5.0879000000000003</v>
      </c>
      <c r="E25" s="10">
        <f>CHOOSE(CONTROL!$C$42, 5.1217, 5.1217) * CHOOSE(CONTROL!$C$21, $C$9, 100%, $E$9)</f>
        <v>5.1216999999999997</v>
      </c>
      <c r="F25" s="10">
        <f>CHOOSE(CONTROL!$C$42, 5.0346, 5.0346)*CHOOSE(CONTROL!$C$21, $C$9, 100%, $E$9)</f>
        <v>5.0346000000000002</v>
      </c>
      <c r="G25" s="10">
        <f>CHOOSE(CONTROL!$C$42, 5.0526, 5.0526)*CHOOSE(CONTROL!$C$21, $C$9, 100%, $E$9)</f>
        <v>5.0526</v>
      </c>
      <c r="H25" s="10">
        <f>CHOOSE(CONTROL!$C$42, 5.1106, 5.1106) * CHOOSE(CONTROL!$C$21, $C$9, 100%, $E$9)</f>
        <v>5.1105999999999998</v>
      </c>
      <c r="I25" s="10">
        <f>CHOOSE(CONTROL!$C$42, 5.0638, 5.0638)* CHOOSE(CONTROL!$C$21, $C$9, 100%, $E$9)</f>
        <v>5.0637999999999996</v>
      </c>
      <c r="J25" s="10">
        <f>CHOOSE(CONTROL!$C$42, 5.0272, 5.0272)* CHOOSE(CONTROL!$C$21, $C$9, 100%, $E$9)</f>
        <v>5.0271999999999997</v>
      </c>
      <c r="K25" s="10">
        <f>CHOOSE(CONTROL!$C$42, 5.0864, 5.0864) * CHOOSE(CONTROL!$C$21, $C$9, 100%, $E$9)</f>
        <v>5.0864000000000003</v>
      </c>
      <c r="L25" s="10">
        <f>CHOOSE(CONTROL!$C$42, 5.6976, 5.6976) * CHOOSE(CONTROL!$C$21, $C$9, 100%, $E$9)</f>
        <v>5.6976000000000004</v>
      </c>
      <c r="M25" s="10">
        <f>CHOOSE(CONTROL!$C$42, 4.9901, 4.9901) * CHOOSE(CONTROL!$C$21, $C$9, 100%, $E$9)</f>
        <v>4.9901</v>
      </c>
      <c r="N25" s="10">
        <f>CHOOSE(CONTROL!$C$42, 5.0079, 5.0079) * CHOOSE(CONTROL!$C$21, $C$9, 100%, $E$9)</f>
        <v>5.0079000000000002</v>
      </c>
      <c r="O25" s="10">
        <f>CHOOSE(CONTROL!$C$42, 5.0723, 5.0723) * CHOOSE(CONTROL!$C$21, $C$9, 100%, $E$9)</f>
        <v>5.0723000000000003</v>
      </c>
      <c r="P25" s="10">
        <f>CHOOSE(CONTROL!$C$42, 5.0263, 5.0263) * CHOOSE(CONTROL!$C$21, $C$9, 100%, $E$9)</f>
        <v>5.0263</v>
      </c>
      <c r="Q25" s="10">
        <f>CHOOSE(CONTROL!$C$42, 5.6676, 5.6676) * CHOOSE(CONTROL!$C$21, $C$9, 100%, $E$9)</f>
        <v>5.6676000000000002</v>
      </c>
      <c r="R25" s="10">
        <f>CHOOSE(CONTROL!$C$42, 6.2688, 6.2688) * CHOOSE(CONTROL!$C$21, $C$9, 100%, $E$9)</f>
        <v>6.2687999999999997</v>
      </c>
      <c r="S25" s="10">
        <f>CHOOSE(CONTROL!$C$42, 4.907, 4.907) * CHOOSE(CONTROL!$C$21, $C$9, 100%, $E$9)</f>
        <v>4.907</v>
      </c>
      <c r="T2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5" s="38">
        <f>(1000*CHOOSE(CONTROL!$C$42, 695, 695)*CHOOSE(CONTROL!$C$42, 0.5599, 0.5599)*CHOOSE(CONTROL!$C$42, 31, 31))/1000000</f>
        <v>12.063045499999998</v>
      </c>
      <c r="V25" s="38">
        <f>(1000*CHOOSE(CONTROL!$C$42, 580, 580)*CHOOSE(CONTROL!$C$42, 0.275, 0.275)*CHOOSE(CONTROL!$C$42, 31, 31))/1000000</f>
        <v>4.9444999999999997</v>
      </c>
      <c r="W25" s="38">
        <f>(1000*CHOOSE(CONTROL!$C$42, 0.1146, 0.1146)*CHOOSE(CONTROL!$C$42, 200, 200)*CHOOSE(CONTROL!$C$42, 31, 31))/1000000</f>
        <v>0.71052000000000004</v>
      </c>
      <c r="X25" s="38">
        <v>0</v>
      </c>
      <c r="Y25" s="38"/>
      <c r="Z25" s="38">
        <f t="shared" si="0"/>
        <v>0.3</v>
      </c>
      <c r="AA25" s="10">
        <f>CHOOSE(CONTROL!$C$42, 5.0139, 5.0139) * CHOOSE(CONTROL!$C$21, $C$9, 100%, $E$9)</f>
        <v>5.0138999999999996</v>
      </c>
      <c r="AB25" s="43">
        <f>(31*((8.01*31500+8.07*100000)/31))/1000000</f>
        <v>1.059315</v>
      </c>
      <c r="AC25" s="33">
        <f>(B25*122.58+C25*297.941+D25*89.177+E25*200.302+F25*40+G25*0+H25*0+I25*100+J25*300)/(122.58+297.941+89.177+200.302+0+40+0+100+300)</f>
        <v>5.0616114514782602</v>
      </c>
      <c r="AD25" s="27">
        <f>(M25*240+N25*0+O25*355+P25*100)/(240+0+355+100)</f>
        <v>5.0372956834532374</v>
      </c>
    </row>
    <row r="26" spans="1:30" ht="15">
      <c r="A26" s="16">
        <v>42036</v>
      </c>
      <c r="B26" s="10">
        <f>CHOOSE(CONTROL!$C$42, 5.0153, 5.0153) * CHOOSE(CONTROL!$C$21, $C$9, 100%, $E$9)</f>
        <v>5.0152999999999999</v>
      </c>
      <c r="C26" s="10">
        <f>CHOOSE(CONTROL!$C$42, 5.0204, 5.0204) * CHOOSE(CONTROL!$C$21, $C$9, 100%, $E$9)</f>
        <v>5.0204000000000004</v>
      </c>
      <c r="D26" s="10">
        <f>CHOOSE(CONTROL!$C$42, 5.0528, 5.0528) * CHOOSE(CONTROL!$C$21, $C$9, 100%, $E$9)</f>
        <v>5.0528000000000004</v>
      </c>
      <c r="E26" s="10">
        <f>CHOOSE(CONTROL!$C$42, 5.0866, 5.0866) * CHOOSE(CONTROL!$C$21, $C$9, 100%, $E$9)</f>
        <v>5.0865999999999998</v>
      </c>
      <c r="F26" s="10">
        <f>CHOOSE(CONTROL!$C$42, 4.999, 4.999)*CHOOSE(CONTROL!$C$21, $C$9, 100%, $E$9)</f>
        <v>4.9989999999999997</v>
      </c>
      <c r="G26" s="10">
        <f>CHOOSE(CONTROL!$C$42, 5.0169, 5.0169)*CHOOSE(CONTROL!$C$21, $C$9, 100%, $E$9)</f>
        <v>5.0168999999999997</v>
      </c>
      <c r="H26" s="10">
        <f>CHOOSE(CONTROL!$C$42, 5.0755, 5.0755) * CHOOSE(CONTROL!$C$21, $C$9, 100%, $E$9)</f>
        <v>5.0754999999999999</v>
      </c>
      <c r="I26" s="10">
        <f>CHOOSE(CONTROL!$C$42, 5.0287, 5.0287)* CHOOSE(CONTROL!$C$21, $C$9, 100%, $E$9)</f>
        <v>5.0286999999999997</v>
      </c>
      <c r="J26" s="10">
        <f>CHOOSE(CONTROL!$C$42, 4.9916, 4.9916)* CHOOSE(CONTROL!$C$21, $C$9, 100%, $E$9)</f>
        <v>4.9916</v>
      </c>
      <c r="K26" s="10">
        <f>CHOOSE(CONTROL!$C$42, 5.0514, 5.0514) * CHOOSE(CONTROL!$C$21, $C$9, 100%, $E$9)</f>
        <v>5.0514000000000001</v>
      </c>
      <c r="L26" s="10">
        <f>CHOOSE(CONTROL!$C$42, 5.6625, 5.6625) * CHOOSE(CONTROL!$C$21, $C$9, 100%, $E$9)</f>
        <v>5.6624999999999996</v>
      </c>
      <c r="M26" s="10">
        <f>CHOOSE(CONTROL!$C$42, 4.955, 4.955) * CHOOSE(CONTROL!$C$21, $C$9, 100%, $E$9)</f>
        <v>4.9550000000000001</v>
      </c>
      <c r="N26" s="10">
        <f>CHOOSE(CONTROL!$C$42, 4.9727, 4.9727) * CHOOSE(CONTROL!$C$21, $C$9, 100%, $E$9)</f>
        <v>4.9726999999999997</v>
      </c>
      <c r="O26" s="10">
        <f>CHOOSE(CONTROL!$C$42, 5.0377, 5.0377) * CHOOSE(CONTROL!$C$21, $C$9, 100%, $E$9)</f>
        <v>5.0377000000000001</v>
      </c>
      <c r="P26" s="10">
        <f>CHOOSE(CONTROL!$C$42, 4.9917, 4.9917) * CHOOSE(CONTROL!$C$21, $C$9, 100%, $E$9)</f>
        <v>4.9916999999999998</v>
      </c>
      <c r="Q26" s="10">
        <f>CHOOSE(CONTROL!$C$42, 5.633, 5.633) * CHOOSE(CONTROL!$C$21, $C$9, 100%, $E$9)</f>
        <v>5.633</v>
      </c>
      <c r="R26" s="10">
        <f>CHOOSE(CONTROL!$C$42, 6.2341, 6.2341) * CHOOSE(CONTROL!$C$21, $C$9, 100%, $E$9)</f>
        <v>6.2340999999999998</v>
      </c>
      <c r="S26" s="10">
        <f>CHOOSE(CONTROL!$C$42, 4.873, 4.873) * CHOOSE(CONTROL!$C$21, $C$9, 100%, $E$9)</f>
        <v>4.8730000000000002</v>
      </c>
      <c r="T2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6" s="38">
        <f>(1000*CHOOSE(CONTROL!$C$42, 695, 695)*CHOOSE(CONTROL!$C$42, 0.5599, 0.5599)*CHOOSE(CONTROL!$C$42, 28, 28))/1000000</f>
        <v>10.895653999999999</v>
      </c>
      <c r="V26" s="38">
        <f>(1000*CHOOSE(CONTROL!$C$42, 580, 580)*CHOOSE(CONTROL!$C$42, 0.275, 0.275)*CHOOSE(CONTROL!$C$42, 28, 28))/1000000</f>
        <v>4.4660000000000002</v>
      </c>
      <c r="W26" s="38">
        <f>(1000*CHOOSE(CONTROL!$C$42, 0.1146, 0.1146)*CHOOSE(CONTROL!$C$42, 200, 200)*CHOOSE(CONTROL!$C$42, 28, 28))/1000000</f>
        <v>0.64176</v>
      </c>
      <c r="X26" s="38">
        <v>0</v>
      </c>
      <c r="Y26" s="38"/>
      <c r="Z26" s="38">
        <f t="shared" si="0"/>
        <v>0.3</v>
      </c>
      <c r="AA26" s="10">
        <f>CHOOSE(CONTROL!$C$42, 4.9791, 4.9791) * CHOOSE(CONTROL!$C$21, $C$9, 100%, $E$9)</f>
        <v>4.9790999999999999</v>
      </c>
      <c r="AB26" s="43">
        <f>(28*((8.01*31500+8.07*100000)/28))/1000000</f>
        <v>1.059315</v>
      </c>
      <c r="AC26" s="33">
        <f>(B26*122.58+C26*297.941+D26*89.177+E26*200.302+F26*40+G26*0+H26*0+I26*100+J26*300)/(122.58+297.941+89.177+200.302+0+40+0+100+300)</f>
        <v>5.026363625391304</v>
      </c>
      <c r="AD26" s="27">
        <f>(M26*240+N26*0+O26*355+P26*100)/(240+0+355+100)</f>
        <v>5.0025230215827339</v>
      </c>
    </row>
    <row r="27" spans="1:30" ht="15">
      <c r="A27" s="16">
        <v>42064</v>
      </c>
      <c r="B27" s="10">
        <f>CHOOSE(CONTROL!$C$42, 4.9027, 4.9027) * CHOOSE(CONTROL!$C$21, $C$9, 100%, $E$9)</f>
        <v>4.9027000000000003</v>
      </c>
      <c r="C27" s="10">
        <f>CHOOSE(CONTROL!$C$42, 4.9078, 4.9078) * CHOOSE(CONTROL!$C$21, $C$9, 100%, $E$9)</f>
        <v>4.9077999999999999</v>
      </c>
      <c r="D27" s="10">
        <f>CHOOSE(CONTROL!$C$42, 4.9403, 4.9403) * CHOOSE(CONTROL!$C$21, $C$9, 100%, $E$9)</f>
        <v>4.9402999999999997</v>
      </c>
      <c r="E27" s="10">
        <f>CHOOSE(CONTROL!$C$42, 4.9741, 4.9741) * CHOOSE(CONTROL!$C$21, $C$9, 100%, $E$9)</f>
        <v>4.9741</v>
      </c>
      <c r="F27" s="10">
        <f>CHOOSE(CONTROL!$C$42, 4.885, 4.885)*CHOOSE(CONTROL!$C$21, $C$9, 100%, $E$9)</f>
        <v>4.8849999999999998</v>
      </c>
      <c r="G27" s="10">
        <f>CHOOSE(CONTROL!$C$42, 4.9025, 4.9025)*CHOOSE(CONTROL!$C$21, $C$9, 100%, $E$9)</f>
        <v>4.9024999999999999</v>
      </c>
      <c r="H27" s="10">
        <f>CHOOSE(CONTROL!$C$42, 4.9629, 4.9629) * CHOOSE(CONTROL!$C$21, $C$9, 100%, $E$9)</f>
        <v>4.9629000000000003</v>
      </c>
      <c r="I27" s="10">
        <f>CHOOSE(CONTROL!$C$42, 4.9162, 4.9162)* CHOOSE(CONTROL!$C$21, $C$9, 100%, $E$9)</f>
        <v>4.9161999999999999</v>
      </c>
      <c r="J27" s="10">
        <f>CHOOSE(CONTROL!$C$42, 4.8776, 4.8776)* CHOOSE(CONTROL!$C$21, $C$9, 100%, $E$9)</f>
        <v>4.8776000000000002</v>
      </c>
      <c r="K27" s="10">
        <f>CHOOSE(CONTROL!$C$42, 4.9392, 4.9392) * CHOOSE(CONTROL!$C$21, $C$9, 100%, $E$9)</f>
        <v>4.9391999999999996</v>
      </c>
      <c r="L27" s="10">
        <f>CHOOSE(CONTROL!$C$42, 5.5499, 5.5499) * CHOOSE(CONTROL!$C$21, $C$9, 100%, $E$9)</f>
        <v>5.5499000000000001</v>
      </c>
      <c r="M27" s="10">
        <f>CHOOSE(CONTROL!$C$42, 4.8425, 4.8425) * CHOOSE(CONTROL!$C$21, $C$9, 100%, $E$9)</f>
        <v>4.8425000000000002</v>
      </c>
      <c r="N27" s="10">
        <f>CHOOSE(CONTROL!$C$42, 4.8599, 4.8599) * CHOOSE(CONTROL!$C$21, $C$9, 100%, $E$9)</f>
        <v>4.8598999999999997</v>
      </c>
      <c r="O27" s="10">
        <f>CHOOSE(CONTROL!$C$42, 4.9267, 4.9267) * CHOOSE(CONTROL!$C$21, $C$9, 100%, $E$9)</f>
        <v>4.9267000000000003</v>
      </c>
      <c r="P27" s="10">
        <f>CHOOSE(CONTROL!$C$42, 4.8807, 4.8807) * CHOOSE(CONTROL!$C$21, $C$9, 100%, $E$9)</f>
        <v>4.8807</v>
      </c>
      <c r="Q27" s="10">
        <f>CHOOSE(CONTROL!$C$42, 5.522, 5.522) * CHOOSE(CONTROL!$C$21, $C$9, 100%, $E$9)</f>
        <v>5.5220000000000002</v>
      </c>
      <c r="R27" s="10">
        <f>CHOOSE(CONTROL!$C$42, 6.1228, 6.1228) * CHOOSE(CONTROL!$C$21, $C$9, 100%, $E$9)</f>
        <v>6.1227999999999998</v>
      </c>
      <c r="S27" s="10">
        <f>CHOOSE(CONTROL!$C$42, 4.764, 4.764) * CHOOSE(CONTROL!$C$21, $C$9, 100%, $E$9)</f>
        <v>4.7640000000000002</v>
      </c>
      <c r="T2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7" s="38">
        <f>(1000*CHOOSE(CONTROL!$C$42, 695, 695)*CHOOSE(CONTROL!$C$42, 0.5599, 0.5599)*CHOOSE(CONTROL!$C$42, 31, 31))/1000000</f>
        <v>12.063045499999998</v>
      </c>
      <c r="V27" s="38">
        <f>(1000*CHOOSE(CONTROL!$C$42, 580, 580)*CHOOSE(CONTROL!$C$42, 0.275, 0.275)*CHOOSE(CONTROL!$C$42, 31, 31))/1000000</f>
        <v>4.9444999999999997</v>
      </c>
      <c r="W27" s="38">
        <f>(1000*CHOOSE(CONTROL!$C$42, 0.1146, 0.1146)*CHOOSE(CONTROL!$C$42, 200, 200)*CHOOSE(CONTROL!$C$42, 31, 31))/1000000</f>
        <v>0.71052000000000004</v>
      </c>
      <c r="X27" s="38">
        <v>0</v>
      </c>
      <c r="Y27" s="38"/>
      <c r="Z27" s="38">
        <f t="shared" si="0"/>
        <v>0.3</v>
      </c>
      <c r="AA27" s="10">
        <f>CHOOSE(CONTROL!$C$42, 4.8675, 4.8675) * CHOOSE(CONTROL!$C$21, $C$9, 100%, $E$9)</f>
        <v>4.8674999999999997</v>
      </c>
      <c r="AB27" s="43">
        <f>(31*((8.01*31500+8.07*100000)/31))/1000000</f>
        <v>1.059315</v>
      </c>
      <c r="AC27" s="33">
        <f>(B27*122.58+C27*297.941+D27*89.177+E27*200.302+F27*40+G27*0+H27*0+I27*100+J27*300)/(122.58+297.941+89.177+200.302+0+40+0+100+300)</f>
        <v>4.9133835800869567</v>
      </c>
      <c r="AD27" s="27">
        <f>(M27*240+N27*0+O27*355+P27*100)/(240+0+355+100)</f>
        <v>4.8910050359712232</v>
      </c>
    </row>
    <row r="28" spans="1:30" ht="15">
      <c r="A28" s="16">
        <v>42095</v>
      </c>
      <c r="B28" s="10">
        <f>CHOOSE(CONTROL!$C$42, 4.3623, 4.3623) * CHOOSE(CONTROL!$C$21, $C$9, 100%, $E$9)</f>
        <v>4.3623000000000003</v>
      </c>
      <c r="C28" s="10">
        <f>CHOOSE(CONTROL!$C$42, 4.3669, 4.3669) * CHOOSE(CONTROL!$C$21, $C$9, 100%, $E$9)</f>
        <v>4.3669000000000002</v>
      </c>
      <c r="D28" s="10">
        <f>CHOOSE(CONTROL!$C$42, 4.527, 4.527) * CHOOSE(CONTROL!$C$21, $C$9, 100%, $E$9)</f>
        <v>4.5270000000000001</v>
      </c>
      <c r="E28" s="10">
        <f>CHOOSE(CONTROL!$C$42, 4.5588, 4.5588) * CHOOSE(CONTROL!$C$21, $C$9, 100%, $E$9)</f>
        <v>4.5587999999999997</v>
      </c>
      <c r="F28" s="10">
        <f>CHOOSE(CONTROL!$C$42, 4.3084, 4.3084)*CHOOSE(CONTROL!$C$21, $C$9, 100%, $E$9)</f>
        <v>4.3083999999999998</v>
      </c>
      <c r="G28" s="10">
        <f>CHOOSE(CONTROL!$C$42, 4.3243, 4.3243)*CHOOSE(CONTROL!$C$21, $C$9, 100%, $E$9)</f>
        <v>4.3243</v>
      </c>
      <c r="H28" s="10">
        <f>CHOOSE(CONTROL!$C$42, 4.5483, 4.5483) * CHOOSE(CONTROL!$C$21, $C$9, 100%, $E$9)</f>
        <v>4.5483000000000002</v>
      </c>
      <c r="I28" s="10">
        <f>CHOOSE(CONTROL!$C$42, 4.3425, 4.3425)* CHOOSE(CONTROL!$C$21, $C$9, 100%, $E$9)</f>
        <v>4.3425000000000002</v>
      </c>
      <c r="J28" s="10">
        <f>CHOOSE(CONTROL!$C$42, 4.301, 4.301)* CHOOSE(CONTROL!$C$21, $C$9, 100%, $E$9)</f>
        <v>4.3010000000000002</v>
      </c>
      <c r="K28" s="10">
        <f>CHOOSE(CONTROL!$C$42, 4.3674, 4.3674) * CHOOSE(CONTROL!$C$21, $C$9, 100%, $E$9)</f>
        <v>4.3673999999999999</v>
      </c>
      <c r="L28" s="10">
        <f>CHOOSE(CONTROL!$C$42, 5.1353, 5.1353) * CHOOSE(CONTROL!$C$21, $C$9, 100%, $E$9)</f>
        <v>5.1353</v>
      </c>
      <c r="M28" s="10">
        <f>CHOOSE(CONTROL!$C$42, 4.2741, 4.2741) * CHOOSE(CONTROL!$C$21, $C$9, 100%, $E$9)</f>
        <v>4.2740999999999998</v>
      </c>
      <c r="N28" s="10">
        <f>CHOOSE(CONTROL!$C$42, 4.2897, 4.2897) * CHOOSE(CONTROL!$C$21, $C$9, 100%, $E$9)</f>
        <v>4.2896999999999998</v>
      </c>
      <c r="O28" s="10">
        <f>CHOOSE(CONTROL!$C$42, 4.5179, 4.5179) * CHOOSE(CONTROL!$C$21, $C$9, 100%, $E$9)</f>
        <v>4.5179</v>
      </c>
      <c r="P28" s="10">
        <f>CHOOSE(CONTROL!$C$42, 4.315, 4.315) * CHOOSE(CONTROL!$C$21, $C$9, 100%, $E$9)</f>
        <v>4.3150000000000004</v>
      </c>
      <c r="Q28" s="10">
        <f>CHOOSE(CONTROL!$C$42, 5.1132, 5.1132) * CHOOSE(CONTROL!$C$21, $C$9, 100%, $E$9)</f>
        <v>5.1132</v>
      </c>
      <c r="R28" s="10">
        <f>CHOOSE(CONTROL!$C$42, 5.7129, 5.7129) * CHOOSE(CONTROL!$C$21, $C$9, 100%, $E$9)</f>
        <v>5.7129000000000003</v>
      </c>
      <c r="S28" s="10">
        <f>CHOOSE(CONTROL!$C$42, 4.24, 4.24) * CHOOSE(CONTROL!$C$21, $C$9, 100%, $E$9)</f>
        <v>4.24</v>
      </c>
      <c r="T2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8" s="38">
        <f>(1000*CHOOSE(CONTROL!$C$42, 695, 695)*CHOOSE(CONTROL!$C$42, 0.5599, 0.5599)*CHOOSE(CONTROL!$C$42, 30, 30))/1000000</f>
        <v>11.673914999999997</v>
      </c>
      <c r="V28" s="38">
        <f>(1000*CHOOSE(CONTROL!$C$42, 580, 580)*CHOOSE(CONTROL!$C$42, 0.275, 0.275)*CHOOSE(CONTROL!$C$42, 30, 30))/1000000</f>
        <v>4.7850000000000001</v>
      </c>
      <c r="W28" s="38">
        <f>(1000*CHOOSE(CONTROL!$C$42, 0.1146, 0.1146)*CHOOSE(CONTROL!$C$42, 200, 200)*CHOOSE(CONTROL!$C$42, 30, 30))/1000000</f>
        <v>0.68759999999999999</v>
      </c>
      <c r="X28" s="38">
        <f>(30*0.1790888*245000/1000000)+(30*0.2374*100000/1000000)</f>
        <v>2.0285026799999999</v>
      </c>
      <c r="Y28" s="38"/>
      <c r="Z28" s="38">
        <f t="shared" si="0"/>
        <v>0.3</v>
      </c>
      <c r="AA28" s="10">
        <f>CHOOSE(CONTROL!$C$42, 4.3271, 4.3271) * CHOOSE(CONTROL!$C$21, $C$9, 100%, $E$9)</f>
        <v>4.3270999999999997</v>
      </c>
      <c r="AB28" s="43">
        <f>(30*((8.01*31500+8.07*100000)/30))/1000000</f>
        <v>1.059315</v>
      </c>
      <c r="AC28" s="33">
        <f>(B28*141.293+C28*267.993+D28*115.016+E28*89.698+F28*40+G28*185+H28*0+I28*100+J28*300)/(141.293+267.993+115.016+89.698+0+40+185+100+300)</f>
        <v>4.3689550121065377</v>
      </c>
      <c r="AD28" s="27">
        <f t="shared" ref="AD28:AD34" si="1">(M28*240+N28*160+O28*195+P28*100)/(240+160+195+100)</f>
        <v>4.3519805755395682</v>
      </c>
    </row>
    <row r="29" spans="1:30" ht="15">
      <c r="A29" s="16">
        <v>42125</v>
      </c>
      <c r="B29" s="10">
        <f>CHOOSE(CONTROL!$C$42, 4.3177, 4.3177) * CHOOSE(CONTROL!$C$21, $C$9, 100%, $E$9)</f>
        <v>4.3177000000000003</v>
      </c>
      <c r="C29" s="10">
        <f>CHOOSE(CONTROL!$C$42, 4.3257, 4.3257) * CHOOSE(CONTROL!$C$21, $C$9, 100%, $E$9)</f>
        <v>4.3257000000000003</v>
      </c>
      <c r="D29" s="10">
        <f>CHOOSE(CONTROL!$C$42, 4.4827, 4.4827) * CHOOSE(CONTROL!$C$21, $C$9, 100%, $E$9)</f>
        <v>4.4827000000000004</v>
      </c>
      <c r="E29" s="10">
        <f>CHOOSE(CONTROL!$C$42, 4.5139, 4.5139) * CHOOSE(CONTROL!$C$21, $C$9, 100%, $E$9)</f>
        <v>4.5138999999999996</v>
      </c>
      <c r="F29" s="10">
        <f>CHOOSE(CONTROL!$C$42, 4.2618, 4.2618)*CHOOSE(CONTROL!$C$21, $C$9, 100%, $E$9)</f>
        <v>4.2618</v>
      </c>
      <c r="G29" s="10">
        <f>CHOOSE(CONTROL!$C$42, 4.2779, 4.2779)*CHOOSE(CONTROL!$C$21, $C$9, 100%, $E$9)</f>
        <v>4.2778999999999998</v>
      </c>
      <c r="H29" s="10">
        <f>CHOOSE(CONTROL!$C$42, 4.5023, 4.5023) * CHOOSE(CONTROL!$C$21, $C$9, 100%, $E$9)</f>
        <v>4.5023</v>
      </c>
      <c r="I29" s="10">
        <f>CHOOSE(CONTROL!$C$42, 4.2965, 4.2965)* CHOOSE(CONTROL!$C$21, $C$9, 100%, $E$9)</f>
        <v>4.2965</v>
      </c>
      <c r="J29" s="10">
        <f>CHOOSE(CONTROL!$C$42, 4.2544, 4.2544)* CHOOSE(CONTROL!$C$21, $C$9, 100%, $E$9)</f>
        <v>4.2544000000000004</v>
      </c>
      <c r="K29" s="10">
        <f>CHOOSE(CONTROL!$C$42, 4.3215, 4.3215) * CHOOSE(CONTROL!$C$21, $C$9, 100%, $E$9)</f>
        <v>4.3215000000000003</v>
      </c>
      <c r="L29" s="10">
        <f>CHOOSE(CONTROL!$C$42, 5.0893, 5.0893) * CHOOSE(CONTROL!$C$21, $C$9, 100%, $E$9)</f>
        <v>5.0892999999999997</v>
      </c>
      <c r="M29" s="10">
        <f>CHOOSE(CONTROL!$C$42, 4.2281, 4.2281) * CHOOSE(CONTROL!$C$21, $C$9, 100%, $E$9)</f>
        <v>4.2281000000000004</v>
      </c>
      <c r="N29" s="10">
        <f>CHOOSE(CONTROL!$C$42, 4.244, 4.244) * CHOOSE(CONTROL!$C$21, $C$9, 100%, $E$9)</f>
        <v>4.2439999999999998</v>
      </c>
      <c r="O29" s="10">
        <f>CHOOSE(CONTROL!$C$42, 4.4725, 4.4725) * CHOOSE(CONTROL!$C$21, $C$9, 100%, $E$9)</f>
        <v>4.4725000000000001</v>
      </c>
      <c r="P29" s="10">
        <f>CHOOSE(CONTROL!$C$42, 4.2696, 4.2696) * CHOOSE(CONTROL!$C$21, $C$9, 100%, $E$9)</f>
        <v>4.2695999999999996</v>
      </c>
      <c r="Q29" s="10">
        <f>CHOOSE(CONTROL!$C$42, 5.0678, 5.0678) * CHOOSE(CONTROL!$C$21, $C$9, 100%, $E$9)</f>
        <v>5.0678000000000001</v>
      </c>
      <c r="R29" s="10">
        <f>CHOOSE(CONTROL!$C$42, 5.6675, 5.6675) * CHOOSE(CONTROL!$C$21, $C$9, 100%, $E$9)</f>
        <v>5.6675000000000004</v>
      </c>
      <c r="S29" s="10">
        <f>CHOOSE(CONTROL!$C$42, 4.1954, 4.1954) * CHOOSE(CONTROL!$C$21, $C$9, 100%, $E$9)</f>
        <v>4.1954000000000002</v>
      </c>
      <c r="T29" s="41">
        <f>((((430000*CHOOSE(CONTROL!$C$42, 0.4694, 0.4694)+(874000-430000)*CHOOSE(CONTROL!$C$42, 0.7185, 0.7185)+400000*CHOOSE(CONTROL!$C$42, 1.14, 1.14)+50000*0.98)*CHOOSE(CONTROL!$C$42, 31, 31))/1000000))+CHOOSE(CONTROL!$C$42, 0.1662, 0.1662)+CHOOSE(CONTROL!$C$42, 0.6286, 0.6286)</f>
        <v>32.596336000000001</v>
      </c>
      <c r="U29" s="38">
        <f>(1000*CHOOSE(CONTROL!$C$42, 695, 695)*CHOOSE(CONTROL!$C$42, 0.5599, 0.5599)*CHOOSE(CONTROL!$C$42, 31, 31))/1000000</f>
        <v>12.063045499999998</v>
      </c>
      <c r="V29" s="38">
        <f>(1000*CHOOSE(CONTROL!$C$42, 580, 580)*CHOOSE(CONTROL!$C$42, 0.275, 0.275)*CHOOSE(CONTROL!$C$42, 31, 31))/1000000</f>
        <v>4.9444999999999997</v>
      </c>
      <c r="W29" s="38">
        <f>(1000*CHOOSE(CONTROL!$C$42, 0.1146, 0.1146)*CHOOSE(CONTROL!$C$42, 200, 200)*CHOOSE(CONTROL!$C$42, 31, 31))/1000000</f>
        <v>0.71052000000000004</v>
      </c>
      <c r="X29" s="38">
        <f>(31*0.1790888*245000/1000000)+(31*0.2374*100000/1000000)</f>
        <v>2.0961194359999999</v>
      </c>
      <c r="Y29" s="38"/>
      <c r="Z29" s="38">
        <f t="shared" si="0"/>
        <v>0.3</v>
      </c>
      <c r="AA29" s="10">
        <f>CHOOSE(CONTROL!$C$42, 4.2815, 4.2815) * CHOOSE(CONTROL!$C$21, $C$9, 100%, $E$9)</f>
        <v>4.2815000000000003</v>
      </c>
      <c r="AB29" s="43">
        <f>(31*((8.01*31500+8.07*100000)/31))/1000000</f>
        <v>1.059315</v>
      </c>
      <c r="AC29" s="33">
        <f>(B29*194.205+C29*267.466+D29*133.845+E29*53.484+F29*40+G29*185+H29*50+I29*100+J29*300)/(194.205+267.466+133.845+53.484+50+40+185+100+300)</f>
        <v>4.3276990285498487</v>
      </c>
      <c r="AD29" s="27">
        <f t="shared" si="1"/>
        <v>4.3063043165467629</v>
      </c>
    </row>
    <row r="30" spans="1:30" ht="15">
      <c r="A30" s="16">
        <v>42156</v>
      </c>
      <c r="B30" s="10">
        <f>CHOOSE(CONTROL!$C$42, 4.3321, 4.3321) * CHOOSE(CONTROL!$C$21, $C$9, 100%, $E$9)</f>
        <v>4.3320999999999996</v>
      </c>
      <c r="C30" s="10">
        <f>CHOOSE(CONTROL!$C$42, 4.3401, 4.3401) * CHOOSE(CONTROL!$C$21, $C$9, 100%, $E$9)</f>
        <v>4.3400999999999996</v>
      </c>
      <c r="D30" s="10">
        <f>CHOOSE(CONTROL!$C$42, 4.4972, 4.4972) * CHOOSE(CONTROL!$C$21, $C$9, 100%, $E$9)</f>
        <v>4.4972000000000003</v>
      </c>
      <c r="E30" s="10">
        <f>CHOOSE(CONTROL!$C$42, 4.5284, 4.5284) * CHOOSE(CONTROL!$C$21, $C$9, 100%, $E$9)</f>
        <v>4.5284000000000004</v>
      </c>
      <c r="F30" s="10">
        <f>CHOOSE(CONTROL!$C$42, 4.2765, 4.2765)*CHOOSE(CONTROL!$C$21, $C$9, 100%, $E$9)</f>
        <v>4.2765000000000004</v>
      </c>
      <c r="G30" s="10">
        <f>CHOOSE(CONTROL!$C$42, 4.2926, 4.2926)*CHOOSE(CONTROL!$C$21, $C$9, 100%, $E$9)</f>
        <v>4.2926000000000002</v>
      </c>
      <c r="H30" s="10">
        <f>CHOOSE(CONTROL!$C$42, 4.5167, 4.5167) * CHOOSE(CONTROL!$C$21, $C$9, 100%, $E$9)</f>
        <v>4.5167000000000002</v>
      </c>
      <c r="I30" s="10">
        <f>CHOOSE(CONTROL!$C$42, 4.3109, 4.3109)* CHOOSE(CONTROL!$C$21, $C$9, 100%, $E$9)</f>
        <v>4.3109000000000002</v>
      </c>
      <c r="J30" s="10">
        <f>CHOOSE(CONTROL!$C$42, 4.2691, 4.2691)* CHOOSE(CONTROL!$C$21, $C$9, 100%, $E$9)</f>
        <v>4.2690999999999999</v>
      </c>
      <c r="K30" s="10">
        <f>CHOOSE(CONTROL!$C$42, 4.336, 4.336) * CHOOSE(CONTROL!$C$21, $C$9, 100%, $E$9)</f>
        <v>4.3360000000000003</v>
      </c>
      <c r="L30" s="10">
        <f>CHOOSE(CONTROL!$C$42, 5.1037, 5.1037) * CHOOSE(CONTROL!$C$21, $C$9, 100%, $E$9)</f>
        <v>5.1036999999999999</v>
      </c>
      <c r="M30" s="10">
        <f>CHOOSE(CONTROL!$C$42, 4.2425, 4.2425) * CHOOSE(CONTROL!$C$21, $C$9, 100%, $E$9)</f>
        <v>4.2424999999999997</v>
      </c>
      <c r="N30" s="10">
        <f>CHOOSE(CONTROL!$C$42, 4.2585, 4.2585) * CHOOSE(CONTROL!$C$21, $C$9, 100%, $E$9)</f>
        <v>4.2584999999999997</v>
      </c>
      <c r="O30" s="10">
        <f>CHOOSE(CONTROL!$C$42, 4.4867, 4.4867) * CHOOSE(CONTROL!$C$21, $C$9, 100%, $E$9)</f>
        <v>4.4866999999999999</v>
      </c>
      <c r="P30" s="10">
        <f>CHOOSE(CONTROL!$C$42, 4.2839, 4.2839) * CHOOSE(CONTROL!$C$21, $C$9, 100%, $E$9)</f>
        <v>4.2839</v>
      </c>
      <c r="Q30" s="10">
        <f>CHOOSE(CONTROL!$C$42, 5.082, 5.082) * CHOOSE(CONTROL!$C$21, $C$9, 100%, $E$9)</f>
        <v>5.0819999999999999</v>
      </c>
      <c r="R30" s="10">
        <f>CHOOSE(CONTROL!$C$42, 5.6818, 5.6818) * CHOOSE(CONTROL!$C$21, $C$9, 100%, $E$9)</f>
        <v>5.6818</v>
      </c>
      <c r="S30" s="10">
        <f>CHOOSE(CONTROL!$C$42, 4.2094, 4.2094) * CHOOSE(CONTROL!$C$21, $C$9, 100%, $E$9)</f>
        <v>4.2093999999999996</v>
      </c>
      <c r="T30" s="41">
        <f>((((430000*CHOOSE(CONTROL!$C$42, 0.4694, 0.4694)+(874000-430000)*CHOOSE(CONTROL!$C$42, 0.7185, 0.7185)+400000*CHOOSE(CONTROL!$C$42, 1.14, 1.14)+50000*0.98)*CHOOSE(CONTROL!$C$42, 30, 30))/1000000))+CHOOSE(CONTROL!$C$42, 0.1573, 0.1573)+CHOOSE(CONTROL!$C$42, 0.6376, 0.6376)</f>
        <v>31.57058</v>
      </c>
      <c r="U30" s="38">
        <f>(1000*CHOOSE(CONTROL!$C$42, 695, 695)*CHOOSE(CONTROL!$C$42, 0.5599, 0.5599)*CHOOSE(CONTROL!$C$42, 30, 30))/1000000</f>
        <v>11.673914999999997</v>
      </c>
      <c r="V30" s="38">
        <f>(1000*CHOOSE(CONTROL!$C$42, 580, 580)*CHOOSE(CONTROL!$C$42, 0.275, 0.275)*CHOOSE(CONTROL!$C$42, 30, 30))/1000000</f>
        <v>4.7850000000000001</v>
      </c>
      <c r="W30" s="38">
        <f>(1000*CHOOSE(CONTROL!$C$42, 0.1146, 0.1146)*CHOOSE(CONTROL!$C$42, 200, 200)*CHOOSE(CONTROL!$C$42, 30, 30))/1000000</f>
        <v>0.68759999999999999</v>
      </c>
      <c r="X30" s="38">
        <f>(30*0.1790888*245000/1000000)+(30*0.2374*100000/1000000)</f>
        <v>2.0285026799999999</v>
      </c>
      <c r="Y30" s="38"/>
      <c r="Z30" s="38">
        <f t="shared" si="0"/>
        <v>0.3</v>
      </c>
      <c r="AA30" s="10">
        <f>CHOOSE(CONTROL!$C$42, 4.2958, 4.2958) * CHOOSE(CONTROL!$C$21, $C$9, 100%, $E$9)</f>
        <v>4.2957999999999998</v>
      </c>
      <c r="AB30" s="42">
        <f>(30*((8.07*31500+8.18*100000)/30))/1000000</f>
        <v>1.0722050000000001</v>
      </c>
      <c r="AC30" s="33">
        <f>(B30*194.205+C30*267.466+D30*133.845+E30*53.484+F30*40+G30*185+H30*50+I30*100+J30*300)/(194.205+267.466+133.845+53.484+50+40+185+100+300)</f>
        <v>4.3422321349697892</v>
      </c>
      <c r="AD30" s="27">
        <f t="shared" si="1"/>
        <v>4.3206568345323735</v>
      </c>
    </row>
    <row r="31" spans="1:30" ht="15">
      <c r="A31" s="16">
        <v>42186</v>
      </c>
      <c r="B31" s="10">
        <f>CHOOSE(CONTROL!$C$42, 4.3569, 4.3569) * CHOOSE(CONTROL!$C$21, $C$9, 100%, $E$9)</f>
        <v>4.3569000000000004</v>
      </c>
      <c r="C31" s="10">
        <f>CHOOSE(CONTROL!$C$42, 4.3649, 4.3649) * CHOOSE(CONTROL!$C$21, $C$9, 100%, $E$9)</f>
        <v>4.3648999999999996</v>
      </c>
      <c r="D31" s="10">
        <f>CHOOSE(CONTROL!$C$42, 4.522, 4.522) * CHOOSE(CONTROL!$C$21, $C$9, 100%, $E$9)</f>
        <v>4.5220000000000002</v>
      </c>
      <c r="E31" s="10">
        <f>CHOOSE(CONTROL!$C$42, 4.5532, 4.5532) * CHOOSE(CONTROL!$C$21, $C$9, 100%, $E$9)</f>
        <v>4.5532000000000004</v>
      </c>
      <c r="F31" s="10">
        <f>CHOOSE(CONTROL!$C$42, 4.3016, 4.3016)*CHOOSE(CONTROL!$C$21, $C$9, 100%, $E$9)</f>
        <v>4.3015999999999996</v>
      </c>
      <c r="G31" s="10">
        <f>CHOOSE(CONTROL!$C$42, 4.3178, 4.3178)*CHOOSE(CONTROL!$C$21, $C$9, 100%, $E$9)</f>
        <v>4.3178000000000001</v>
      </c>
      <c r="H31" s="10">
        <f>CHOOSE(CONTROL!$C$42, 4.5415, 4.5415) * CHOOSE(CONTROL!$C$21, $C$9, 100%, $E$9)</f>
        <v>4.5415000000000001</v>
      </c>
      <c r="I31" s="10">
        <f>CHOOSE(CONTROL!$C$42, 4.3357, 4.3357)* CHOOSE(CONTROL!$C$21, $C$9, 100%, $E$9)</f>
        <v>4.3357000000000001</v>
      </c>
      <c r="J31" s="10">
        <f>CHOOSE(CONTROL!$C$42, 4.2942, 4.2942)* CHOOSE(CONTROL!$C$21, $C$9, 100%, $E$9)</f>
        <v>4.2942</v>
      </c>
      <c r="K31" s="10">
        <f>CHOOSE(CONTROL!$C$42, 4.3607, 4.3607) * CHOOSE(CONTROL!$C$21, $C$9, 100%, $E$9)</f>
        <v>4.3606999999999996</v>
      </c>
      <c r="L31" s="10">
        <f>CHOOSE(CONTROL!$C$42, 5.1285, 5.1285) * CHOOSE(CONTROL!$C$21, $C$9, 100%, $E$9)</f>
        <v>5.1284999999999998</v>
      </c>
      <c r="M31" s="10">
        <f>CHOOSE(CONTROL!$C$42, 4.2673, 4.2673) * CHOOSE(CONTROL!$C$21, $C$9, 100%, $E$9)</f>
        <v>4.2672999999999996</v>
      </c>
      <c r="N31" s="10">
        <f>CHOOSE(CONTROL!$C$42, 4.2833, 4.2833) * CHOOSE(CONTROL!$C$21, $C$9, 100%, $E$9)</f>
        <v>4.2832999999999997</v>
      </c>
      <c r="O31" s="10">
        <f>CHOOSE(CONTROL!$C$42, 4.5112, 4.5112) * CHOOSE(CONTROL!$C$21, $C$9, 100%, $E$9)</f>
        <v>4.5111999999999997</v>
      </c>
      <c r="P31" s="10">
        <f>CHOOSE(CONTROL!$C$42, 4.3083, 4.3083) * CHOOSE(CONTROL!$C$21, $C$9, 100%, $E$9)</f>
        <v>4.3083</v>
      </c>
      <c r="Q31" s="10">
        <f>CHOOSE(CONTROL!$C$42, 5.1065, 5.1065) * CHOOSE(CONTROL!$C$21, $C$9, 100%, $E$9)</f>
        <v>5.1064999999999996</v>
      </c>
      <c r="R31" s="10">
        <f>CHOOSE(CONTROL!$C$42, 5.7063, 5.7063) * CHOOSE(CONTROL!$C$21, $C$9, 100%, $E$9)</f>
        <v>5.7062999999999997</v>
      </c>
      <c r="S31" s="10">
        <f>CHOOSE(CONTROL!$C$42, 4.2334, 4.2334) * CHOOSE(CONTROL!$C$21, $C$9, 100%, $E$9)</f>
        <v>4.2333999999999996</v>
      </c>
      <c r="T31" s="41">
        <f>((((430000*CHOOSE(CONTROL!$C$42, 0.4694, 0.4694)+(874000-430000)*CHOOSE(CONTROL!$C$42, 0.7185, 0.7185)+400000*CHOOSE(CONTROL!$C$42, 1.14, 1.14)+50000*0.98)*CHOOSE(CONTROL!$C$42, 31, 31))/1000000))+CHOOSE(CONTROL!$C$42, 0.1519, 0.1519)+CHOOSE(CONTROL!$C$42, 0.626, 0.626)</f>
        <v>32.579436000000001</v>
      </c>
      <c r="U31" s="38">
        <f>(1000*CHOOSE(CONTROL!$C$42, 695, 695)*CHOOSE(CONTROL!$C$42, 0.5599, 0.5599)*CHOOSE(CONTROL!$C$42, 31, 31))/1000000</f>
        <v>12.063045499999998</v>
      </c>
      <c r="V31" s="38">
        <f>(1000*CHOOSE(CONTROL!$C$42, 580, 580)*CHOOSE(CONTROL!$C$42, 0.275, 0.275)*CHOOSE(CONTROL!$C$42, 31, 31))/1000000</f>
        <v>4.9444999999999997</v>
      </c>
      <c r="W31" s="38">
        <f>(1000*CHOOSE(CONTROL!$C$42, 0.1146, 0.1146)*CHOOSE(CONTROL!$C$42, 200, 200)*CHOOSE(CONTROL!$C$42, 31, 31))/1000000</f>
        <v>0.71052000000000004</v>
      </c>
      <c r="X31" s="38">
        <f>(31*0.1790888*245000/1000000)+(31*0.2374*100000/1000000)</f>
        <v>2.0961194359999999</v>
      </c>
      <c r="Y31" s="38"/>
      <c r="Z31" s="38">
        <f t="shared" si="0"/>
        <v>0.3</v>
      </c>
      <c r="AA31" s="10">
        <f>CHOOSE(CONTROL!$C$42, 4.3204, 4.3204) * CHOOSE(CONTROL!$C$21, $C$9, 100%, $E$9)</f>
        <v>4.3204000000000002</v>
      </c>
      <c r="AB31" s="40">
        <f>(31*((8.12*31500+8.18*100000)/31))/1000000</f>
        <v>1.07378</v>
      </c>
      <c r="AC31" s="33">
        <f>(B31*194.205+C31*267.466+D31*133.845+E31*53.484+F31*40+G31*185+H31*50+I31*100+J31*300)/(194.205+267.466+133.845+53.484+50+40+185+100+300)</f>
        <v>4.367165065483384</v>
      </c>
      <c r="AD31" s="27">
        <f t="shared" si="1"/>
        <v>4.3453151079136685</v>
      </c>
    </row>
    <row r="32" spans="1:30" ht="15">
      <c r="A32" s="16">
        <v>42217</v>
      </c>
      <c r="B32" s="10">
        <f>CHOOSE(CONTROL!$C$42, 4.3518, 4.3518) * CHOOSE(CONTROL!$C$21, $C$9, 100%, $E$9)</f>
        <v>4.3517999999999999</v>
      </c>
      <c r="C32" s="10">
        <f>CHOOSE(CONTROL!$C$42, 4.3598, 4.3598) * CHOOSE(CONTROL!$C$21, $C$9, 100%, $E$9)</f>
        <v>4.3597999999999999</v>
      </c>
      <c r="D32" s="10">
        <f>CHOOSE(CONTROL!$C$42, 4.5168, 4.5168) * CHOOSE(CONTROL!$C$21, $C$9, 100%, $E$9)</f>
        <v>4.5167999999999999</v>
      </c>
      <c r="E32" s="10">
        <f>CHOOSE(CONTROL!$C$42, 4.548, 4.548) * CHOOSE(CONTROL!$C$21, $C$9, 100%, $E$9)</f>
        <v>4.548</v>
      </c>
      <c r="F32" s="10">
        <f>CHOOSE(CONTROL!$C$42, 4.2963, 4.2963)*CHOOSE(CONTROL!$C$21, $C$9, 100%, $E$9)</f>
        <v>4.2962999999999996</v>
      </c>
      <c r="G32" s="10">
        <f>CHOOSE(CONTROL!$C$42, 4.3126, 4.3126)*CHOOSE(CONTROL!$C$21, $C$9, 100%, $E$9)</f>
        <v>4.3125999999999998</v>
      </c>
      <c r="H32" s="10">
        <f>CHOOSE(CONTROL!$C$42, 4.5364, 4.5364) * CHOOSE(CONTROL!$C$21, $C$9, 100%, $E$9)</f>
        <v>4.5364000000000004</v>
      </c>
      <c r="I32" s="10">
        <f>CHOOSE(CONTROL!$C$42, 4.3305, 4.3305)* CHOOSE(CONTROL!$C$21, $C$9, 100%, $E$9)</f>
        <v>4.3304999999999998</v>
      </c>
      <c r="J32" s="10">
        <f>CHOOSE(CONTROL!$C$42, 4.2889, 4.2889)* CHOOSE(CONTROL!$C$21, $C$9, 100%, $E$9)</f>
        <v>4.2888999999999999</v>
      </c>
      <c r="K32" s="10">
        <f>CHOOSE(CONTROL!$C$42, 4.3555, 4.3555) * CHOOSE(CONTROL!$C$21, $C$9, 100%, $E$9)</f>
        <v>4.3555000000000001</v>
      </c>
      <c r="L32" s="10">
        <f>CHOOSE(CONTROL!$C$42, 5.1234, 5.1234) * CHOOSE(CONTROL!$C$21, $C$9, 100%, $E$9)</f>
        <v>5.1234000000000002</v>
      </c>
      <c r="M32" s="10">
        <f>CHOOSE(CONTROL!$C$42, 4.2621, 4.2621) * CHOOSE(CONTROL!$C$21, $C$9, 100%, $E$9)</f>
        <v>4.2621000000000002</v>
      </c>
      <c r="N32" s="10">
        <f>CHOOSE(CONTROL!$C$42, 4.2781, 4.2781) * CHOOSE(CONTROL!$C$21, $C$9, 100%, $E$9)</f>
        <v>4.2781000000000002</v>
      </c>
      <c r="O32" s="10">
        <f>CHOOSE(CONTROL!$C$42, 4.5061, 4.5061) * CHOOSE(CONTROL!$C$21, $C$9, 100%, $E$9)</f>
        <v>4.5061</v>
      </c>
      <c r="P32" s="10">
        <f>CHOOSE(CONTROL!$C$42, 4.3032, 4.3032) * CHOOSE(CONTROL!$C$21, $C$9, 100%, $E$9)</f>
        <v>4.3032000000000004</v>
      </c>
      <c r="Q32" s="10">
        <f>CHOOSE(CONTROL!$C$42, 5.1014, 5.1014) * CHOOSE(CONTROL!$C$21, $C$9, 100%, $E$9)</f>
        <v>5.1013999999999999</v>
      </c>
      <c r="R32" s="10">
        <f>CHOOSE(CONTROL!$C$42, 5.7011, 5.7011) * CHOOSE(CONTROL!$C$21, $C$9, 100%, $E$9)</f>
        <v>5.7011000000000003</v>
      </c>
      <c r="S32" s="10">
        <f>CHOOSE(CONTROL!$C$42, 4.2284, 4.2284) * CHOOSE(CONTROL!$C$21, $C$9, 100%, $E$9)</f>
        <v>4.2283999999999997</v>
      </c>
      <c r="T32" s="41">
        <f>((((430000*CHOOSE(CONTROL!$C$42, 0.4694, 0.4694)+(874000-430000)*CHOOSE(CONTROL!$C$42, 0.7185, 0.7185)+400000*CHOOSE(CONTROL!$C$42, 1.14, 1.14)+50000*0.98)*CHOOSE(CONTROL!$C$42, 31, 31))/1000000))+CHOOSE(CONTROL!$C$42, 0.1868, 0.1868)+CHOOSE(CONTROL!$C$42, 0.6257, 0.6257)</f>
        <v>32.614035999999999</v>
      </c>
      <c r="U32" s="38">
        <f>(1000*CHOOSE(CONTROL!$C$42, 695, 695)*CHOOSE(CONTROL!$C$42, 0.5599, 0.5599)*CHOOSE(CONTROL!$C$42, 31, 31))/1000000</f>
        <v>12.063045499999998</v>
      </c>
      <c r="V32" s="38">
        <f>(1000*CHOOSE(CONTROL!$C$42, 580, 580)*CHOOSE(CONTROL!$C$42, 0.275, 0.275)*CHOOSE(CONTROL!$C$42, 31, 31))/1000000</f>
        <v>4.9444999999999997</v>
      </c>
      <c r="W32" s="38">
        <f>(1000*CHOOSE(CONTROL!$C$42, 0.1146, 0.1146)*CHOOSE(CONTROL!$C$42, 200, 200)*CHOOSE(CONTROL!$C$42, 31, 31))/1000000</f>
        <v>0.71052000000000004</v>
      </c>
      <c r="X32" s="38">
        <f>(31*0.1790888*245000/1000000)+(31*0.2374*100000/1000000)</f>
        <v>2.0961194359999999</v>
      </c>
      <c r="Y32" s="38"/>
      <c r="Z32" s="38">
        <f t="shared" si="0"/>
        <v>0.3</v>
      </c>
      <c r="AA32" s="10">
        <f>CHOOSE(CONTROL!$C$42, 4.3152, 4.3152) * CHOOSE(CONTROL!$C$21, $C$9, 100%, $E$9)</f>
        <v>4.3151999999999999</v>
      </c>
      <c r="AB32" s="40">
        <f>(31*((8.12*31500+8.18*100000)/31))/1000000</f>
        <v>1.07378</v>
      </c>
      <c r="AC32" s="33">
        <f>(B32*194.205+C32*267.466+D32*133.845+E32*53.484+F32*40+G32*185+H32*50+I32*100+J32*300)/(194.205+267.466+133.845+53.484+50+40+185+100+300)</f>
        <v>4.3619780315709971</v>
      </c>
      <c r="AD32" s="27">
        <f t="shared" si="1"/>
        <v>4.3401575539568347</v>
      </c>
    </row>
    <row r="33" spans="1:30" ht="15">
      <c r="A33" s="16">
        <v>42248</v>
      </c>
      <c r="B33" s="10">
        <f>CHOOSE(CONTROL!$C$42, 4.3363, 4.3363) * CHOOSE(CONTROL!$C$21, $C$9, 100%, $E$9)</f>
        <v>4.3362999999999996</v>
      </c>
      <c r="C33" s="10">
        <f>CHOOSE(CONTROL!$C$42, 4.3443, 4.3443) * CHOOSE(CONTROL!$C$21, $C$9, 100%, $E$9)</f>
        <v>4.3442999999999996</v>
      </c>
      <c r="D33" s="10">
        <f>CHOOSE(CONTROL!$C$42, 4.5013, 4.5013) * CHOOSE(CONTROL!$C$21, $C$9, 100%, $E$9)</f>
        <v>4.5012999999999996</v>
      </c>
      <c r="E33" s="10">
        <f>CHOOSE(CONTROL!$C$42, 4.5325, 4.5325) * CHOOSE(CONTROL!$C$21, $C$9, 100%, $E$9)</f>
        <v>4.5324999999999998</v>
      </c>
      <c r="F33" s="10">
        <f>CHOOSE(CONTROL!$C$42, 4.2806, 4.2806)*CHOOSE(CONTROL!$C$21, $C$9, 100%, $E$9)</f>
        <v>4.2805999999999997</v>
      </c>
      <c r="G33" s="10">
        <f>CHOOSE(CONTROL!$C$42, 4.2968, 4.2968)*CHOOSE(CONTROL!$C$21, $C$9, 100%, $E$9)</f>
        <v>4.2968000000000002</v>
      </c>
      <c r="H33" s="10">
        <f>CHOOSE(CONTROL!$C$42, 4.5209, 4.5209) * CHOOSE(CONTROL!$C$21, $C$9, 100%, $E$9)</f>
        <v>4.5209000000000001</v>
      </c>
      <c r="I33" s="10">
        <f>CHOOSE(CONTROL!$C$42, 4.315, 4.315)* CHOOSE(CONTROL!$C$21, $C$9, 100%, $E$9)</f>
        <v>4.3150000000000004</v>
      </c>
      <c r="J33" s="10">
        <f>CHOOSE(CONTROL!$C$42, 4.2732, 4.2732)* CHOOSE(CONTROL!$C$21, $C$9, 100%, $E$9)</f>
        <v>4.2732000000000001</v>
      </c>
      <c r="K33" s="10">
        <f>CHOOSE(CONTROL!$C$42, 4.3401, 4.3401) * CHOOSE(CONTROL!$C$21, $C$9, 100%, $E$9)</f>
        <v>4.3400999999999996</v>
      </c>
      <c r="L33" s="10">
        <f>CHOOSE(CONTROL!$C$42, 5.1079, 5.1079) * CHOOSE(CONTROL!$C$21, $C$9, 100%, $E$9)</f>
        <v>5.1078999999999999</v>
      </c>
      <c r="M33" s="10">
        <f>CHOOSE(CONTROL!$C$42, 4.2467, 4.2467) * CHOOSE(CONTROL!$C$21, $C$9, 100%, $E$9)</f>
        <v>4.2466999999999997</v>
      </c>
      <c r="N33" s="10">
        <f>CHOOSE(CONTROL!$C$42, 4.2626, 4.2626) * CHOOSE(CONTROL!$C$21, $C$9, 100%, $E$9)</f>
        <v>4.2625999999999999</v>
      </c>
      <c r="O33" s="10">
        <f>CHOOSE(CONTROL!$C$42, 4.4908, 4.4908) * CHOOSE(CONTROL!$C$21, $C$9, 100%, $E$9)</f>
        <v>4.4908000000000001</v>
      </c>
      <c r="P33" s="10">
        <f>CHOOSE(CONTROL!$C$42, 4.2879, 4.2879) * CHOOSE(CONTROL!$C$21, $C$9, 100%, $E$9)</f>
        <v>4.2878999999999996</v>
      </c>
      <c r="Q33" s="10">
        <f>CHOOSE(CONTROL!$C$42, 5.0861, 5.0861) * CHOOSE(CONTROL!$C$21, $C$9, 100%, $E$9)</f>
        <v>5.0861000000000001</v>
      </c>
      <c r="R33" s="10">
        <f>CHOOSE(CONTROL!$C$42, 5.6858, 5.6858) * CHOOSE(CONTROL!$C$21, $C$9, 100%, $E$9)</f>
        <v>5.6858000000000004</v>
      </c>
      <c r="S33" s="10">
        <f>CHOOSE(CONTROL!$C$42, 4.2134, 4.2134) * CHOOSE(CONTROL!$C$21, $C$9, 100%, $E$9)</f>
        <v>4.2134</v>
      </c>
      <c r="T33" s="41">
        <f>((((430000*CHOOSE(CONTROL!$C$42, 0.4694, 0.4694)+(874000-430000)*CHOOSE(CONTROL!$C$42, 0.7185, 0.7185)+400000*CHOOSE(CONTROL!$C$42, 1.14, 1.14)+50000*0.98)*CHOOSE(CONTROL!$C$42, 30, 30))/1000000))+CHOOSE(CONTROL!$C$42, 0.1677, 0.1677)+CHOOSE(CONTROL!$C$42, 0.1997, 0.1997)</f>
        <v>31.143080000000001</v>
      </c>
      <c r="U33" s="38">
        <f>(1000*CHOOSE(CONTROL!$C$42, 695, 695)*CHOOSE(CONTROL!$C$42, 0.5599, 0.5599)*CHOOSE(CONTROL!$C$42, 30, 30))/1000000</f>
        <v>11.673914999999997</v>
      </c>
      <c r="V33" s="38">
        <f>(1000*CHOOSE(CONTROL!$C$42, 580, 580)*CHOOSE(CONTROL!$C$42, 0.275, 0.275)*CHOOSE(CONTROL!$C$42, 30, 30))/1000000</f>
        <v>4.7850000000000001</v>
      </c>
      <c r="W33" s="38">
        <f>(1000*CHOOSE(CONTROL!$C$42, 0.1146, 0.1146)*CHOOSE(CONTROL!$C$42, 200, 200)*CHOOSE(CONTROL!$C$42, 30, 30))/1000000</f>
        <v>0.68759999999999999</v>
      </c>
      <c r="X33" s="38">
        <f>(30*0.1790888*245000/1000000)+(30*0.2374*100000/1000000)</f>
        <v>2.0285026799999999</v>
      </c>
      <c r="Y33" s="38"/>
      <c r="Z33" s="38">
        <f t="shared" si="0"/>
        <v>0.3</v>
      </c>
      <c r="AA33" s="10">
        <f>CHOOSE(CONTROL!$C$42, 4.2999, 4.2999) * CHOOSE(CONTROL!$C$21, $C$9, 100%, $E$9)</f>
        <v>4.2999000000000001</v>
      </c>
      <c r="AB33" s="40">
        <f>(30*((8.12*31500+8.18*100000)/30))/1000000</f>
        <v>1.07378</v>
      </c>
      <c r="AC33" s="33">
        <f>(B33*194.205+C33*267.466+D33*133.845+E33*53.484+F33*40+G33*185+H33*50+I33*100+J33*300)/(194.205+267.466+133.845+53.484+50+40+185+100+300)</f>
        <v>4.3463847536253777</v>
      </c>
      <c r="AD33" s="27">
        <f t="shared" si="1"/>
        <v>4.3247769784172663</v>
      </c>
    </row>
    <row r="34" spans="1:30" ht="15">
      <c r="A34" s="16">
        <v>42278</v>
      </c>
      <c r="B34" s="10">
        <f>CHOOSE(CONTROL!$C$42, 4.3568, 4.3568) * CHOOSE(CONTROL!$C$21, $C$9, 100%, $E$9)</f>
        <v>4.3567999999999998</v>
      </c>
      <c r="C34" s="10">
        <f>CHOOSE(CONTROL!$C$42, 4.3622, 4.3622) * CHOOSE(CONTROL!$C$21, $C$9, 100%, $E$9)</f>
        <v>4.3621999999999996</v>
      </c>
      <c r="D34" s="10">
        <f>CHOOSE(CONTROL!$C$42, 4.5241, 4.5241) * CHOOSE(CONTROL!$C$21, $C$9, 100%, $E$9)</f>
        <v>4.5240999999999998</v>
      </c>
      <c r="E34" s="10">
        <f>CHOOSE(CONTROL!$C$42, 4.553, 4.553) * CHOOSE(CONTROL!$C$21, $C$9, 100%, $E$9)</f>
        <v>4.5529999999999999</v>
      </c>
      <c r="F34" s="10">
        <f>CHOOSE(CONTROL!$C$42, 4.3032, 4.3032)*CHOOSE(CONTROL!$C$21, $C$9, 100%, $E$9)</f>
        <v>4.3032000000000004</v>
      </c>
      <c r="G34" s="10">
        <f>CHOOSE(CONTROL!$C$42, 4.319, 4.319)*CHOOSE(CONTROL!$C$21, $C$9, 100%, $E$9)</f>
        <v>4.319</v>
      </c>
      <c r="H34" s="10">
        <f>CHOOSE(CONTROL!$C$42, 4.5431, 4.5431) * CHOOSE(CONTROL!$C$21, $C$9, 100%, $E$9)</f>
        <v>4.5430999999999999</v>
      </c>
      <c r="I34" s="10">
        <f>CHOOSE(CONTROL!$C$42, 4.3373, 4.3373)* CHOOSE(CONTROL!$C$21, $C$9, 100%, $E$9)</f>
        <v>4.3372999999999999</v>
      </c>
      <c r="J34" s="10">
        <f>CHOOSE(CONTROL!$C$42, 4.2958, 4.2958)* CHOOSE(CONTROL!$C$21, $C$9, 100%, $E$9)</f>
        <v>4.2957999999999998</v>
      </c>
      <c r="K34" s="10">
        <f>CHOOSE(CONTROL!$C$42, 4.3623, 4.3623) * CHOOSE(CONTROL!$C$21, $C$9, 100%, $E$9)</f>
        <v>4.3623000000000003</v>
      </c>
      <c r="L34" s="10">
        <f>CHOOSE(CONTROL!$C$42, 5.1301, 5.1301) * CHOOSE(CONTROL!$C$21, $C$9, 100%, $E$9)</f>
        <v>5.1300999999999997</v>
      </c>
      <c r="M34" s="10">
        <f>CHOOSE(CONTROL!$C$42, 4.2689, 4.2689) * CHOOSE(CONTROL!$C$21, $C$9, 100%, $E$9)</f>
        <v>4.2689000000000004</v>
      </c>
      <c r="N34" s="10">
        <f>CHOOSE(CONTROL!$C$42, 4.2845, 4.2845) * CHOOSE(CONTROL!$C$21, $C$9, 100%, $E$9)</f>
        <v>4.2845000000000004</v>
      </c>
      <c r="O34" s="10">
        <f>CHOOSE(CONTROL!$C$42, 4.5128, 4.5128) * CHOOSE(CONTROL!$C$21, $C$9, 100%, $E$9)</f>
        <v>4.5128000000000004</v>
      </c>
      <c r="P34" s="10">
        <f>CHOOSE(CONTROL!$C$42, 4.3099, 4.3099) * CHOOSE(CONTROL!$C$21, $C$9, 100%, $E$9)</f>
        <v>4.3098999999999998</v>
      </c>
      <c r="Q34" s="10">
        <f>CHOOSE(CONTROL!$C$42, 5.1081, 5.1081) * CHOOSE(CONTROL!$C$21, $C$9, 100%, $E$9)</f>
        <v>5.1081000000000003</v>
      </c>
      <c r="R34" s="10">
        <f>CHOOSE(CONTROL!$C$42, 5.7078, 5.7078) * CHOOSE(CONTROL!$C$21, $C$9, 100%, $E$9)</f>
        <v>5.7077999999999998</v>
      </c>
      <c r="S34" s="10">
        <f>CHOOSE(CONTROL!$C$42, 4.235, 4.235) * CHOOSE(CONTROL!$C$21, $C$9, 100%, $E$9)</f>
        <v>4.2350000000000003</v>
      </c>
      <c r="T3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4" s="38">
        <f>(1000*CHOOSE(CONTROL!$C$42, 695, 695)*CHOOSE(CONTROL!$C$42, 0.5599, 0.5599)*CHOOSE(CONTROL!$C$42, 31, 31))/1000000</f>
        <v>12.063045499999998</v>
      </c>
      <c r="V34" s="38">
        <f>(1000*CHOOSE(CONTROL!$C$42, 580, 580)*CHOOSE(CONTROL!$C$42, 0.275, 0.275)*CHOOSE(CONTROL!$C$42, 31, 31))/1000000</f>
        <v>4.9444999999999997</v>
      </c>
      <c r="W34" s="38">
        <f>(1000*CHOOSE(CONTROL!$C$42, 0.1146, 0.1146)*CHOOSE(CONTROL!$C$42, 200, 200)*CHOOSE(CONTROL!$C$42, 31, 31))/1000000</f>
        <v>0.71052000000000004</v>
      </c>
      <c r="X34" s="38">
        <f>(31*0.1790888*245000/1000000)+(31*0.2374*100000/1000000)</f>
        <v>2.0961194359999999</v>
      </c>
      <c r="Y34" s="38"/>
      <c r="Z34" s="38">
        <f t="shared" si="0"/>
        <v>0.3</v>
      </c>
      <c r="AA34" s="10">
        <f>CHOOSE(CONTROL!$C$42, 4.322, 4.322) * CHOOSE(CONTROL!$C$21, $C$9, 100%, $E$9)</f>
        <v>4.3220000000000001</v>
      </c>
      <c r="AB34" s="40">
        <f>(31*((8.12*31500+8.18*100000)/31))/1000000</f>
        <v>1.07378</v>
      </c>
      <c r="AC34" s="33">
        <f>(B34*131.881+C34*277.167+D34*79.08+E34*125.872+F34*40+G34*185+H34*0+I34*100+J34*300)/(131.881+277.167+79.08+125.872+0+40+185+100+300)</f>
        <v>4.3648999775625503</v>
      </c>
      <c r="AD34" s="27">
        <f t="shared" si="1"/>
        <v>4.3468230215827344</v>
      </c>
    </row>
    <row r="35" spans="1:30" ht="15">
      <c r="A35" s="16">
        <v>42309</v>
      </c>
      <c r="B35" s="10">
        <f>CHOOSE(CONTROL!$C$42, 4.4018, 4.4018) * CHOOSE(CONTROL!$C$21, $C$9, 100%, $E$9)</f>
        <v>4.4017999999999997</v>
      </c>
      <c r="C35" s="10">
        <f>CHOOSE(CONTROL!$C$42, 4.4069, 4.4069) * CHOOSE(CONTROL!$C$21, $C$9, 100%, $E$9)</f>
        <v>4.4069000000000003</v>
      </c>
      <c r="D35" s="10">
        <f>CHOOSE(CONTROL!$C$42, 4.4316, 4.4316) * CHOOSE(CONTROL!$C$21, $C$9, 100%, $E$9)</f>
        <v>4.4316000000000004</v>
      </c>
      <c r="E35" s="10">
        <f>CHOOSE(CONTROL!$C$42, 4.4654, 4.4654) * CHOOSE(CONTROL!$C$21, $C$9, 100%, $E$9)</f>
        <v>4.4653999999999998</v>
      </c>
      <c r="F35" s="10">
        <f>CHOOSE(CONTROL!$C$42, 4.3702, 4.3702)*CHOOSE(CONTROL!$C$21, $C$9, 100%, $E$9)</f>
        <v>4.3701999999999996</v>
      </c>
      <c r="G35" s="10">
        <f>CHOOSE(CONTROL!$C$42, 4.3862, 4.3862)*CHOOSE(CONTROL!$C$21, $C$9, 100%, $E$9)</f>
        <v>4.3861999999999997</v>
      </c>
      <c r="H35" s="10">
        <f>CHOOSE(CONTROL!$C$42, 4.4543, 4.4543) * CHOOSE(CONTROL!$C$21, $C$9, 100%, $E$9)</f>
        <v>4.4542999999999999</v>
      </c>
      <c r="I35" s="10">
        <f>CHOOSE(CONTROL!$C$42, 4.4168, 4.4168)* CHOOSE(CONTROL!$C$21, $C$9, 100%, $E$9)</f>
        <v>4.4168000000000003</v>
      </c>
      <c r="J35" s="10">
        <f>CHOOSE(CONTROL!$C$42, 4.3628, 4.3628)* CHOOSE(CONTROL!$C$21, $C$9, 100%, $E$9)</f>
        <v>4.3628</v>
      </c>
      <c r="K35" s="10">
        <f>CHOOSE(CONTROL!$C$42, 4.4415, 4.4415) * CHOOSE(CONTROL!$C$21, $C$9, 100%, $E$9)</f>
        <v>4.4414999999999996</v>
      </c>
      <c r="L35" s="10">
        <f>CHOOSE(CONTROL!$C$42, 5.0413, 5.0413) * CHOOSE(CONTROL!$C$21, $C$9, 100%, $E$9)</f>
        <v>5.0412999999999997</v>
      </c>
      <c r="M35" s="10">
        <f>CHOOSE(CONTROL!$C$42, 4.3349, 4.3349) * CHOOSE(CONTROL!$C$21, $C$9, 100%, $E$9)</f>
        <v>4.3349000000000002</v>
      </c>
      <c r="N35" s="10">
        <f>CHOOSE(CONTROL!$C$42, 4.3507, 4.3507) * CHOOSE(CONTROL!$C$21, $C$9, 100%, $E$9)</f>
        <v>4.3506999999999998</v>
      </c>
      <c r="O35" s="10">
        <f>CHOOSE(CONTROL!$C$42, 4.4252, 4.4252) * CHOOSE(CONTROL!$C$21, $C$9, 100%, $E$9)</f>
        <v>4.4252000000000002</v>
      </c>
      <c r="P35" s="10">
        <f>CHOOSE(CONTROL!$C$42, 4.3883, 4.3883) * CHOOSE(CONTROL!$C$21, $C$9, 100%, $E$9)</f>
        <v>4.3883000000000001</v>
      </c>
      <c r="Q35" s="10">
        <f>CHOOSE(CONTROL!$C$42, 5.0205, 5.0205) * CHOOSE(CONTROL!$C$21, $C$9, 100%, $E$9)</f>
        <v>5.0205000000000002</v>
      </c>
      <c r="R35" s="10">
        <f>CHOOSE(CONTROL!$C$42, 5.62, 5.62) * CHOOSE(CONTROL!$C$21, $C$9, 100%, $E$9)</f>
        <v>5.62</v>
      </c>
      <c r="S35" s="10">
        <f>CHOOSE(CONTROL!$C$42, 4.279, 4.279) * CHOOSE(CONTROL!$C$21, $C$9, 100%, $E$9)</f>
        <v>4.2789999999999999</v>
      </c>
      <c r="T3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5" s="38">
        <f>(1000*CHOOSE(CONTROL!$C$42, 695, 695)*CHOOSE(CONTROL!$C$42, 0.5599, 0.5599)*CHOOSE(CONTROL!$C$42, 30, 30))/1000000</f>
        <v>11.673914999999997</v>
      </c>
      <c r="V35" s="38">
        <f>(1000*CHOOSE(CONTROL!$C$42, 580, 580)*CHOOSE(CONTROL!$C$42, 0.275, 0.275)*CHOOSE(CONTROL!$C$42, 30, 30))/1000000</f>
        <v>4.7850000000000001</v>
      </c>
      <c r="W35" s="38">
        <f>(1000*CHOOSE(CONTROL!$C$42, 0.1146, 0.1146)*CHOOSE(CONTROL!$C$42, 200, 200)*CHOOSE(CONTROL!$C$42, 30, 30))/1000000</f>
        <v>0.68759999999999999</v>
      </c>
      <c r="X35" s="38">
        <f>(30*0.1790888*100000/1000000)+(30*0.2374*100000/1000000)</f>
        <v>1.2494664</v>
      </c>
      <c r="Y35" s="38"/>
      <c r="Z35" s="38">
        <f t="shared" si="0"/>
        <v>0.3</v>
      </c>
      <c r="AA35" s="10">
        <f>CHOOSE(CONTROL!$C$42, 4.3609, 4.3609) * CHOOSE(CONTROL!$C$21, $C$9, 100%, $E$9)</f>
        <v>4.3609</v>
      </c>
      <c r="AB35" s="40">
        <f>(30*((8.12*31500+8.18*100000)/30))/1000000</f>
        <v>1.07378</v>
      </c>
      <c r="AC35" s="33">
        <f>(B35*122.58+C35*297.941+D35*89.177+E35*40.302+F35*40+G35*160+H35*0+I35*100+J35*300)/(122.58+297.941+89.177+40.302+0+40+160+100+300)</f>
        <v>4.3955218964347829</v>
      </c>
      <c r="AD35" s="27">
        <f>(M35*240+N35*40+O35*315+P35*100)/(240+40+315+100)</f>
        <v>4.384420143884892</v>
      </c>
    </row>
    <row r="36" spans="1:30" ht="15">
      <c r="A36" s="16">
        <v>42339</v>
      </c>
      <c r="B36" s="10">
        <f>CHOOSE(CONTROL!$C$42, 4.5495, 4.5495) * CHOOSE(CONTROL!$C$21, $C$9, 100%, $E$9)</f>
        <v>4.5495000000000001</v>
      </c>
      <c r="C36" s="10">
        <f>CHOOSE(CONTROL!$C$42, 4.5546, 4.5546) * CHOOSE(CONTROL!$C$21, $C$9, 100%, $E$9)</f>
        <v>4.5545999999999998</v>
      </c>
      <c r="D36" s="10">
        <f>CHOOSE(CONTROL!$C$42, 4.5793, 4.5793) * CHOOSE(CONTROL!$C$21, $C$9, 100%, $E$9)</f>
        <v>4.5792999999999999</v>
      </c>
      <c r="E36" s="10">
        <f>CHOOSE(CONTROL!$C$42, 4.6131, 4.6131) * CHOOSE(CONTROL!$C$21, $C$9, 100%, $E$9)</f>
        <v>4.6131000000000002</v>
      </c>
      <c r="F36" s="10">
        <f>CHOOSE(CONTROL!$C$42, 4.5198, 4.5198)*CHOOSE(CONTROL!$C$21, $C$9, 100%, $E$9)</f>
        <v>4.5198</v>
      </c>
      <c r="G36" s="10">
        <f>CHOOSE(CONTROL!$C$42, 4.5363, 4.5363)*CHOOSE(CONTROL!$C$21, $C$9, 100%, $E$9)</f>
        <v>4.5362999999999998</v>
      </c>
      <c r="H36" s="10">
        <f>CHOOSE(CONTROL!$C$42, 4.602, 4.602) * CHOOSE(CONTROL!$C$21, $C$9, 100%, $E$9)</f>
        <v>4.6020000000000003</v>
      </c>
      <c r="I36" s="10">
        <f>CHOOSE(CONTROL!$C$42, 4.5645, 4.5645)* CHOOSE(CONTROL!$C$21, $C$9, 100%, $E$9)</f>
        <v>4.5644999999999998</v>
      </c>
      <c r="J36" s="10">
        <f>CHOOSE(CONTROL!$C$42, 4.5124, 4.5124)* CHOOSE(CONTROL!$C$21, $C$9, 100%, $E$9)</f>
        <v>4.5124000000000004</v>
      </c>
      <c r="K36" s="10">
        <f>CHOOSE(CONTROL!$C$42, 4.5887, 4.5887) * CHOOSE(CONTROL!$C$21, $C$9, 100%, $E$9)</f>
        <v>4.5887000000000002</v>
      </c>
      <c r="L36" s="10">
        <f>CHOOSE(CONTROL!$C$42, 5.189, 5.189) * CHOOSE(CONTROL!$C$21, $C$9, 100%, $E$9)</f>
        <v>5.1890000000000001</v>
      </c>
      <c r="M36" s="10">
        <f>CHOOSE(CONTROL!$C$42, 4.4825, 4.4825) * CHOOSE(CONTROL!$C$21, $C$9, 100%, $E$9)</f>
        <v>4.4824999999999999</v>
      </c>
      <c r="N36" s="10">
        <f>CHOOSE(CONTROL!$C$42, 4.4987, 4.4987) * CHOOSE(CONTROL!$C$21, $C$9, 100%, $E$9)</f>
        <v>4.4987000000000004</v>
      </c>
      <c r="O36" s="10">
        <f>CHOOSE(CONTROL!$C$42, 4.5708, 4.5708) * CHOOSE(CONTROL!$C$21, $C$9, 100%, $E$9)</f>
        <v>4.5708000000000002</v>
      </c>
      <c r="P36" s="10">
        <f>CHOOSE(CONTROL!$C$42, 4.5339, 4.5339) * CHOOSE(CONTROL!$C$21, $C$9, 100%, $E$9)</f>
        <v>4.5339</v>
      </c>
      <c r="Q36" s="10">
        <f>CHOOSE(CONTROL!$C$42, 5.1661, 5.1661) * CHOOSE(CONTROL!$C$21, $C$9, 100%, $E$9)</f>
        <v>5.1661000000000001</v>
      </c>
      <c r="R36" s="10">
        <f>CHOOSE(CONTROL!$C$42, 5.766, 5.766) * CHOOSE(CONTROL!$C$21, $C$9, 100%, $E$9)</f>
        <v>5.766</v>
      </c>
      <c r="S36" s="10">
        <f>CHOOSE(CONTROL!$C$42, 4.422, 4.422) * CHOOSE(CONTROL!$C$21, $C$9, 100%, $E$9)</f>
        <v>4.4219999999999997</v>
      </c>
      <c r="T3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6" s="38">
        <f>(1000*CHOOSE(CONTROL!$C$42, 695, 695)*CHOOSE(CONTROL!$C$42, 0.5599, 0.5599)*CHOOSE(CONTROL!$C$42, 31, 31))/1000000</f>
        <v>12.063045499999998</v>
      </c>
      <c r="V36" s="38">
        <f>(1000*CHOOSE(CONTROL!$C$42, 580, 580)*CHOOSE(CONTROL!$C$42, 0.275, 0.275)*CHOOSE(CONTROL!$C$42, 31, 31))/1000000</f>
        <v>4.9444999999999997</v>
      </c>
      <c r="W36" s="38">
        <f>(1000*CHOOSE(CONTROL!$C$42, 0.1146, 0.1146)*CHOOSE(CONTROL!$C$42, 200, 200)*CHOOSE(CONTROL!$C$42, 31, 31))/1000000</f>
        <v>0.71052000000000004</v>
      </c>
      <c r="X36" s="38">
        <f>(31*0.1790888*100000/1000000)+(31*0.2374*100000/1000000)</f>
        <v>1.2911152800000001</v>
      </c>
      <c r="Y36" s="38"/>
      <c r="Z36" s="38">
        <f t="shared" si="0"/>
        <v>0.3</v>
      </c>
      <c r="AA36" s="10">
        <f>CHOOSE(CONTROL!$C$42, 4.5072, 4.5072) * CHOOSE(CONTROL!$C$21, $C$9, 100%, $E$9)</f>
        <v>4.5072000000000001</v>
      </c>
      <c r="AB36" s="40">
        <f>(31*((8.12*31500+8.18*100000)/31))/1000000</f>
        <v>1.07378</v>
      </c>
      <c r="AC36" s="33">
        <f>(B36*122.58+C36*297.941+D36*89.177+E36*40.302+F36*40+G36*160+H36*0+I36*100+J36*300)/(122.58+297.941+89.177+40.302+0+40+160+100+300)</f>
        <v>4.5441175486086962</v>
      </c>
      <c r="AD36" s="27">
        <f>(M36*240+N36*40+O36*315+P36*100)/(240+40+315+100)</f>
        <v>4.5308489208633098</v>
      </c>
    </row>
    <row r="37" spans="1:30" ht="15">
      <c r="A37" s="16">
        <v>42370</v>
      </c>
      <c r="B37" s="10">
        <f>CHOOSE(CONTROL!$C$42, 4.691, 4.691) * CHOOSE(CONTROL!$C$21, $C$9, 100%, $E$9)</f>
        <v>4.6909999999999998</v>
      </c>
      <c r="C37" s="10">
        <f>CHOOSE(CONTROL!$C$42, 4.6961, 4.6961) * CHOOSE(CONTROL!$C$21, $C$9, 100%, $E$9)</f>
        <v>4.6961000000000004</v>
      </c>
      <c r="D37" s="10">
        <f>CHOOSE(CONTROL!$C$42, 4.7285, 4.7285) * CHOOSE(CONTROL!$C$21, $C$9, 100%, $E$9)</f>
        <v>4.7285000000000004</v>
      </c>
      <c r="E37" s="10">
        <f>CHOOSE(CONTROL!$C$42, 4.7623, 4.7623) * CHOOSE(CONTROL!$C$21, $C$9, 100%, $E$9)</f>
        <v>4.7622999999999998</v>
      </c>
      <c r="F37" s="10">
        <f>CHOOSE(CONTROL!$C$42, 4.6752, 4.6752)*CHOOSE(CONTROL!$C$21, $C$9, 100%, $E$9)</f>
        <v>4.6752000000000002</v>
      </c>
      <c r="G37" s="10">
        <f>CHOOSE(CONTROL!$C$42, 4.6932, 4.6932)*CHOOSE(CONTROL!$C$21, $C$9, 100%, $E$9)</f>
        <v>4.6932</v>
      </c>
      <c r="H37" s="10">
        <f>CHOOSE(CONTROL!$C$42, 4.7512, 4.7512) * CHOOSE(CONTROL!$C$21, $C$9, 100%, $E$9)</f>
        <v>4.7511999999999999</v>
      </c>
      <c r="I37" s="10">
        <f>CHOOSE(CONTROL!$C$42, 4.7044, 4.7044)* CHOOSE(CONTROL!$C$21, $C$9, 100%, $E$9)</f>
        <v>4.7043999999999997</v>
      </c>
      <c r="J37" s="10">
        <f>CHOOSE(CONTROL!$C$42, 4.6678, 4.6678)* CHOOSE(CONTROL!$C$21, $C$9, 100%, $E$9)</f>
        <v>4.6677999999999997</v>
      </c>
      <c r="K37" s="10">
        <f>CHOOSE(CONTROL!$C$42, 4.7382, 4.7382) * CHOOSE(CONTROL!$C$21, $C$9, 100%, $E$9)</f>
        <v>4.7382</v>
      </c>
      <c r="L37" s="10">
        <f>CHOOSE(CONTROL!$C$42, 5.3382, 5.3382) * CHOOSE(CONTROL!$C$21, $C$9, 100%, $E$9)</f>
        <v>5.3381999999999996</v>
      </c>
      <c r="M37" s="10">
        <f>CHOOSE(CONTROL!$C$42, 4.6357, 4.6357) * CHOOSE(CONTROL!$C$21, $C$9, 100%, $E$9)</f>
        <v>4.6356999999999999</v>
      </c>
      <c r="N37" s="10">
        <f>CHOOSE(CONTROL!$C$42, 4.6535, 4.6535) * CHOOSE(CONTROL!$C$21, $C$9, 100%, $E$9)</f>
        <v>4.6535000000000002</v>
      </c>
      <c r="O37" s="10">
        <f>CHOOSE(CONTROL!$C$42, 4.718, 4.718) * CHOOSE(CONTROL!$C$21, $C$9, 100%, $E$9)</f>
        <v>4.718</v>
      </c>
      <c r="P37" s="10">
        <f>CHOOSE(CONTROL!$C$42, 4.6719, 4.6719) * CHOOSE(CONTROL!$C$21, $C$9, 100%, $E$9)</f>
        <v>4.6718999999999999</v>
      </c>
      <c r="Q37" s="10">
        <f>CHOOSE(CONTROL!$C$42, 5.3133, 5.3133) * CHOOSE(CONTROL!$C$21, $C$9, 100%, $E$9)</f>
        <v>5.3132999999999999</v>
      </c>
      <c r="R37" s="10">
        <f>CHOOSE(CONTROL!$C$42, 5.9135, 5.9135) * CHOOSE(CONTROL!$C$21, $C$9, 100%, $E$9)</f>
        <v>5.9135</v>
      </c>
      <c r="S37" s="10">
        <f>CHOOSE(CONTROL!$C$42, 4.559, 4.559) * CHOOSE(CONTROL!$C$21, $C$9, 100%, $E$9)</f>
        <v>4.5590000000000002</v>
      </c>
      <c r="T3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7" s="38">
        <f>(1000*CHOOSE(CONTROL!$C$42, 695, 695)*CHOOSE(CONTROL!$C$42, 0.5599, 0.5599)*CHOOSE(CONTROL!$C$42, 31, 31))/1000000</f>
        <v>12.063045499999998</v>
      </c>
      <c r="V37" s="38">
        <f>(1000*CHOOSE(CONTROL!$C$42, 580, 580)*CHOOSE(CONTROL!$C$42, 0.275, 0.275)*CHOOSE(CONTROL!$C$42, 31, 31))/1000000</f>
        <v>4.9444999999999997</v>
      </c>
      <c r="W37" s="38">
        <f>(1000*CHOOSE(CONTROL!$C$42, 0.1146, 0.1146)*CHOOSE(CONTROL!$C$42, 200, 200)*CHOOSE(CONTROL!$C$42, 31, 31))/1000000</f>
        <v>0.71052000000000004</v>
      </c>
      <c r="X37" s="38">
        <f>(31*0.1790888*100000/1000000)+(31*0.2374*100000/1000000)</f>
        <v>1.2911152800000001</v>
      </c>
      <c r="Y37" s="38"/>
      <c r="Z37" s="38">
        <f t="shared" si="0"/>
        <v>0.3</v>
      </c>
      <c r="AA37" s="10"/>
      <c r="AB37" s="39"/>
      <c r="AC37" s="33">
        <f>(B37*122.58+C37*297.941+D37*89.177+E37*40.302+F37*40+G37*160+H37*0+I37*100+J37*300)/(122.58+297.941+89.177+40.302+0+40+160+100+300)</f>
        <v>4.6925975384347822</v>
      </c>
      <c r="AD37" s="27">
        <f>(M37*'RAP TEMPLATE-GAS AVAILABILITY'!O36+N37*'RAP TEMPLATE-GAS AVAILABILITY'!P36+O37*'RAP TEMPLATE-GAS AVAILABILITY'!Q36+P37*'RAP TEMPLATE-GAS AVAILABILITY'!R36)/('RAP TEMPLATE-GAS AVAILABILITY'!O36+'RAP TEMPLATE-GAS AVAILABILITY'!P36+'RAP TEMPLATE-GAS AVAILABILITY'!Q36+'RAP TEMPLATE-GAS AVAILABILITY'!R36)</f>
        <v>4.6792345323741014</v>
      </c>
    </row>
    <row r="38" spans="1:30" ht="15">
      <c r="A38" s="16">
        <v>42401</v>
      </c>
      <c r="B38" s="10">
        <f>CHOOSE(CONTROL!$C$42, 4.6683, 4.6683) * CHOOSE(CONTROL!$C$21, $C$9, 100%, $E$9)</f>
        <v>4.6683000000000003</v>
      </c>
      <c r="C38" s="10">
        <f>CHOOSE(CONTROL!$C$42, 4.6734, 4.6734) * CHOOSE(CONTROL!$C$21, $C$9, 100%, $E$9)</f>
        <v>4.6734</v>
      </c>
      <c r="D38" s="10">
        <f>CHOOSE(CONTROL!$C$42, 4.7058, 4.7058) * CHOOSE(CONTROL!$C$21, $C$9, 100%, $E$9)</f>
        <v>4.7058</v>
      </c>
      <c r="E38" s="10">
        <f>CHOOSE(CONTROL!$C$42, 4.7396, 4.7396) * CHOOSE(CONTROL!$C$21, $C$9, 100%, $E$9)</f>
        <v>4.7396000000000003</v>
      </c>
      <c r="F38" s="10">
        <f>CHOOSE(CONTROL!$C$42, 4.652, 4.652)*CHOOSE(CONTROL!$C$21, $C$9, 100%, $E$9)</f>
        <v>4.6520000000000001</v>
      </c>
      <c r="G38" s="10">
        <f>CHOOSE(CONTROL!$C$42, 4.6699, 4.6699)*CHOOSE(CONTROL!$C$21, $C$9, 100%, $E$9)</f>
        <v>4.6699000000000002</v>
      </c>
      <c r="H38" s="10">
        <f>CHOOSE(CONTROL!$C$42, 4.7285, 4.7285) * CHOOSE(CONTROL!$C$21, $C$9, 100%, $E$9)</f>
        <v>4.7285000000000004</v>
      </c>
      <c r="I38" s="10">
        <f>CHOOSE(CONTROL!$C$42, 4.6817, 4.6817)* CHOOSE(CONTROL!$C$21, $C$9, 100%, $E$9)</f>
        <v>4.6817000000000002</v>
      </c>
      <c r="J38" s="10">
        <f>CHOOSE(CONTROL!$C$42, 4.6446, 4.6446)* CHOOSE(CONTROL!$C$21, $C$9, 100%, $E$9)</f>
        <v>4.6445999999999996</v>
      </c>
      <c r="K38" s="10">
        <f>CHOOSE(CONTROL!$C$42, 4.7152, 4.7152) * CHOOSE(CONTROL!$C$21, $C$9, 100%, $E$9)</f>
        <v>4.7152000000000003</v>
      </c>
      <c r="L38" s="10">
        <f>CHOOSE(CONTROL!$C$42, 5.3155, 5.3155) * CHOOSE(CONTROL!$C$21, $C$9, 100%, $E$9)</f>
        <v>5.3155000000000001</v>
      </c>
      <c r="M38" s="10">
        <f>CHOOSE(CONTROL!$C$42, 4.6129, 4.6129) * CHOOSE(CONTROL!$C$21, $C$9, 100%, $E$9)</f>
        <v>4.6128999999999998</v>
      </c>
      <c r="N38" s="10">
        <f>CHOOSE(CONTROL!$C$42, 4.6305, 4.6305) * CHOOSE(CONTROL!$C$21, $C$9, 100%, $E$9)</f>
        <v>4.6304999999999996</v>
      </c>
      <c r="O38" s="10">
        <f>CHOOSE(CONTROL!$C$42, 4.6956, 4.6956) * CHOOSE(CONTROL!$C$21, $C$9, 100%, $E$9)</f>
        <v>4.6955999999999998</v>
      </c>
      <c r="P38" s="10">
        <f>CHOOSE(CONTROL!$C$42, 4.6495, 4.6495) * CHOOSE(CONTROL!$C$21, $C$9, 100%, $E$9)</f>
        <v>4.6494999999999997</v>
      </c>
      <c r="Q38" s="10">
        <f>CHOOSE(CONTROL!$C$42, 5.2909, 5.2909) * CHOOSE(CONTROL!$C$21, $C$9, 100%, $E$9)</f>
        <v>5.2908999999999997</v>
      </c>
      <c r="R38" s="10">
        <f>CHOOSE(CONTROL!$C$42, 5.8911, 5.8911) * CHOOSE(CONTROL!$C$21, $C$9, 100%, $E$9)</f>
        <v>5.8910999999999998</v>
      </c>
      <c r="S38" s="10">
        <f>CHOOSE(CONTROL!$C$42, 4.537, 4.537) * CHOOSE(CONTROL!$C$21, $C$9, 100%, $E$9)</f>
        <v>4.5369999999999999</v>
      </c>
      <c r="T38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38" s="38">
        <f>(1000*CHOOSE(CONTROL!$C$42, 695, 695)*CHOOSE(CONTROL!$C$42, 0.5599, 0.5599)*CHOOSE(CONTROL!$C$42, 29, 29))/1000000</f>
        <v>11.284784499999999</v>
      </c>
      <c r="V38" s="38">
        <f>(1000*CHOOSE(CONTROL!$C$42, 580, 580)*CHOOSE(CONTROL!$C$42, 0.275, 0.275)*CHOOSE(CONTROL!$C$42, 29, 29))/1000000</f>
        <v>4.6254999999999997</v>
      </c>
      <c r="W38" s="38">
        <f>(1000*CHOOSE(CONTROL!$C$42, 0.1146, 0.1146)*CHOOSE(CONTROL!$C$42, 200, 200)*CHOOSE(CONTROL!$C$42, 29, 29))/1000000</f>
        <v>0.66468000000000005</v>
      </c>
      <c r="X38" s="38">
        <f>(29*0.1790888*100000/1000000)+(29*0.2374*100000/1000000)</f>
        <v>1.2078175199999999</v>
      </c>
      <c r="Y38" s="38"/>
      <c r="Z38" s="38">
        <f t="shared" si="0"/>
        <v>0.3</v>
      </c>
      <c r="AA38" s="10"/>
      <c r="AB38" s="39"/>
      <c r="AC38" s="33">
        <f>(B38*122.58+C38*297.941+D38*89.177+E38*40.302+F38*40+G38*160+H38*0+I38*100+J38*300)/(122.58+297.941+89.177+40.302+0+40+160+100+300)</f>
        <v>4.6696662340869564</v>
      </c>
      <c r="AD38" s="27">
        <f>(M38*'RAP TEMPLATE-GAS AVAILABILITY'!O37+N38*'RAP TEMPLATE-GAS AVAILABILITY'!P37+O38*'RAP TEMPLATE-GAS AVAILABILITY'!Q37+P38*'RAP TEMPLATE-GAS AVAILABILITY'!R37)/('RAP TEMPLATE-GAS AVAILABILITY'!O37+'RAP TEMPLATE-GAS AVAILABILITY'!P37+'RAP TEMPLATE-GAS AVAILABILITY'!Q37+'RAP TEMPLATE-GAS AVAILABILITY'!R37)</f>
        <v>4.6566618705035969</v>
      </c>
    </row>
    <row r="39" spans="1:30" ht="15">
      <c r="A39" s="16">
        <v>42430</v>
      </c>
      <c r="B39" s="10">
        <f>CHOOSE(CONTROL!$C$42, 4.6043, 4.6043) * CHOOSE(CONTROL!$C$21, $C$9, 100%, $E$9)</f>
        <v>4.6043000000000003</v>
      </c>
      <c r="C39" s="10">
        <f>CHOOSE(CONTROL!$C$42, 4.6094, 4.6094) * CHOOSE(CONTROL!$C$21, $C$9, 100%, $E$9)</f>
        <v>4.6093999999999999</v>
      </c>
      <c r="D39" s="10">
        <f>CHOOSE(CONTROL!$C$42, 4.6418, 4.6418) * CHOOSE(CONTROL!$C$21, $C$9, 100%, $E$9)</f>
        <v>4.6417999999999999</v>
      </c>
      <c r="E39" s="10">
        <f>CHOOSE(CONTROL!$C$42, 4.6756, 4.6756) * CHOOSE(CONTROL!$C$21, $C$9, 100%, $E$9)</f>
        <v>4.6756000000000002</v>
      </c>
      <c r="F39" s="10">
        <f>CHOOSE(CONTROL!$C$42, 4.5865, 4.5865)*CHOOSE(CONTROL!$C$21, $C$9, 100%, $E$9)</f>
        <v>4.5865</v>
      </c>
      <c r="G39" s="10">
        <f>CHOOSE(CONTROL!$C$42, 4.6041, 4.6041)*CHOOSE(CONTROL!$C$21, $C$9, 100%, $E$9)</f>
        <v>4.6040999999999999</v>
      </c>
      <c r="H39" s="10">
        <f>CHOOSE(CONTROL!$C$42, 4.6645, 4.6645) * CHOOSE(CONTROL!$C$21, $C$9, 100%, $E$9)</f>
        <v>4.6645000000000003</v>
      </c>
      <c r="I39" s="10">
        <f>CHOOSE(CONTROL!$C$42, 4.6177, 4.6177)* CHOOSE(CONTROL!$C$21, $C$9, 100%, $E$9)</f>
        <v>4.6177000000000001</v>
      </c>
      <c r="J39" s="10">
        <f>CHOOSE(CONTROL!$C$42, 4.5791, 4.5791)* CHOOSE(CONTROL!$C$21, $C$9, 100%, $E$9)</f>
        <v>4.5791000000000004</v>
      </c>
      <c r="K39" s="10">
        <f>CHOOSE(CONTROL!$C$42, 4.6501, 4.6501) * CHOOSE(CONTROL!$C$21, $C$9, 100%, $E$9)</f>
        <v>4.6501000000000001</v>
      </c>
      <c r="L39" s="10">
        <f>CHOOSE(CONTROL!$C$42, 5.2515, 5.2515) * CHOOSE(CONTROL!$C$21, $C$9, 100%, $E$9)</f>
        <v>5.2515000000000001</v>
      </c>
      <c r="M39" s="10">
        <f>CHOOSE(CONTROL!$C$42, 4.5483, 4.5483) * CHOOSE(CONTROL!$C$21, $C$9, 100%, $E$9)</f>
        <v>4.5483000000000002</v>
      </c>
      <c r="N39" s="10">
        <f>CHOOSE(CONTROL!$C$42, 4.5656, 4.5656) * CHOOSE(CONTROL!$C$21, $C$9, 100%, $E$9)</f>
        <v>4.5655999999999999</v>
      </c>
      <c r="O39" s="10">
        <f>CHOOSE(CONTROL!$C$42, 4.6324, 4.6324) * CHOOSE(CONTROL!$C$21, $C$9, 100%, $E$9)</f>
        <v>4.6323999999999996</v>
      </c>
      <c r="P39" s="10">
        <f>CHOOSE(CONTROL!$C$42, 4.5864, 4.5864) * CHOOSE(CONTROL!$C$21, $C$9, 100%, $E$9)</f>
        <v>4.5864000000000003</v>
      </c>
      <c r="Q39" s="10">
        <f>CHOOSE(CONTROL!$C$42, 5.2277, 5.2277) * CHOOSE(CONTROL!$C$21, $C$9, 100%, $E$9)</f>
        <v>5.2276999999999996</v>
      </c>
      <c r="R39" s="10">
        <f>CHOOSE(CONTROL!$C$42, 5.8278, 5.8278) * CHOOSE(CONTROL!$C$21, $C$9, 100%, $E$9)</f>
        <v>5.8277999999999999</v>
      </c>
      <c r="S39" s="10">
        <f>CHOOSE(CONTROL!$C$42, 4.475, 4.475) * CHOOSE(CONTROL!$C$21, $C$9, 100%, $E$9)</f>
        <v>4.4749999999999996</v>
      </c>
      <c r="T3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9" s="38">
        <f>(1000*CHOOSE(CONTROL!$C$42, 695, 695)*CHOOSE(CONTROL!$C$42, 0.5599, 0.5599)*CHOOSE(CONTROL!$C$42, 31, 31))/1000000</f>
        <v>12.063045499999998</v>
      </c>
      <c r="V39" s="38">
        <f>(1000*CHOOSE(CONTROL!$C$42, 580, 580)*CHOOSE(CONTROL!$C$42, 0.275, 0.275)*CHOOSE(CONTROL!$C$42, 31, 31))/1000000</f>
        <v>4.9444999999999997</v>
      </c>
      <c r="W39" s="38">
        <f>(1000*CHOOSE(CONTROL!$C$42, 0.1146, 0.1146)*CHOOSE(CONTROL!$C$42, 200, 200)*CHOOSE(CONTROL!$C$42, 31, 31))/1000000</f>
        <v>0.71052000000000004</v>
      </c>
      <c r="X39" s="38">
        <f>(31*0.1790888*100000/1000000)+(31*0.2374*100000/1000000)</f>
        <v>1.2911152800000001</v>
      </c>
      <c r="Y39" s="38"/>
      <c r="Z39" s="38">
        <f t="shared" si="0"/>
        <v>0.3</v>
      </c>
      <c r="AA39" s="10"/>
      <c r="AB39" s="39"/>
      <c r="AC39" s="33">
        <f>(B39*122.58+C39*297.941+D39*89.177+E39*40.302+F39*40+G39*160+H39*0+I39*100+J39*300)/(122.58+297.941+89.177+40.302+0+40+160+100+300)</f>
        <v>4.6049723210434781</v>
      </c>
      <c r="AD39" s="27">
        <f>(M39*'RAP TEMPLATE-GAS AVAILABILITY'!O38+N39*'RAP TEMPLATE-GAS AVAILABILITY'!P38+O39*'RAP TEMPLATE-GAS AVAILABILITY'!Q38+P39*'RAP TEMPLATE-GAS AVAILABILITY'!R38)/('RAP TEMPLATE-GAS AVAILABILITY'!O38+'RAP TEMPLATE-GAS AVAILABILITY'!P38+'RAP TEMPLATE-GAS AVAILABILITY'!Q38+'RAP TEMPLATE-GAS AVAILABILITY'!R38)</f>
        <v>4.5928949640287771</v>
      </c>
    </row>
    <row r="40" spans="1:30" ht="15">
      <c r="A40" s="16">
        <v>42461</v>
      </c>
      <c r="B40" s="10">
        <f>CHOOSE(CONTROL!$C$42, 4.3138, 4.3138) * CHOOSE(CONTROL!$C$21, $C$9, 100%, $E$9)</f>
        <v>4.3137999999999996</v>
      </c>
      <c r="C40" s="10">
        <f>CHOOSE(CONTROL!$C$42, 4.3183, 4.3183) * CHOOSE(CONTROL!$C$21, $C$9, 100%, $E$9)</f>
        <v>4.3182999999999998</v>
      </c>
      <c r="D40" s="10">
        <f>CHOOSE(CONTROL!$C$42, 4.4784, 4.4784) * CHOOSE(CONTROL!$C$21, $C$9, 100%, $E$9)</f>
        <v>4.4783999999999997</v>
      </c>
      <c r="E40" s="10">
        <f>CHOOSE(CONTROL!$C$42, 4.5103, 4.5103) * CHOOSE(CONTROL!$C$21, $C$9, 100%, $E$9)</f>
        <v>4.5103</v>
      </c>
      <c r="F40" s="10">
        <f>CHOOSE(CONTROL!$C$42, 4.2599, 4.2599)*CHOOSE(CONTROL!$C$21, $C$9, 100%, $E$9)</f>
        <v>4.2599</v>
      </c>
      <c r="G40" s="10">
        <f>CHOOSE(CONTROL!$C$42, 4.2757, 4.2757)*CHOOSE(CONTROL!$C$21, $C$9, 100%, $E$9)</f>
        <v>4.2756999999999996</v>
      </c>
      <c r="H40" s="10">
        <f>CHOOSE(CONTROL!$C$42, 4.4998, 4.4998) * CHOOSE(CONTROL!$C$21, $C$9, 100%, $E$9)</f>
        <v>4.4997999999999996</v>
      </c>
      <c r="I40" s="10">
        <f>CHOOSE(CONTROL!$C$42, 4.2939, 4.2939)* CHOOSE(CONTROL!$C$21, $C$9, 100%, $E$9)</f>
        <v>4.2938999999999998</v>
      </c>
      <c r="J40" s="10">
        <f>CHOOSE(CONTROL!$C$42, 4.2525, 4.2525)* CHOOSE(CONTROL!$C$21, $C$9, 100%, $E$9)</f>
        <v>4.2525000000000004</v>
      </c>
      <c r="K40" s="10">
        <f>CHOOSE(CONTROL!$C$42, 4.3204, 4.3204) * CHOOSE(CONTROL!$C$21, $C$9, 100%, $E$9)</f>
        <v>4.3204000000000002</v>
      </c>
      <c r="L40" s="10">
        <f>CHOOSE(CONTROL!$C$42, 5.0868, 5.0868) * CHOOSE(CONTROL!$C$21, $C$9, 100%, $E$9)</f>
        <v>5.0868000000000002</v>
      </c>
      <c r="M40" s="10">
        <f>CHOOSE(CONTROL!$C$42, 4.2262, 4.2262) * CHOOSE(CONTROL!$C$21, $C$9, 100%, $E$9)</f>
        <v>4.2262000000000004</v>
      </c>
      <c r="N40" s="10">
        <f>CHOOSE(CONTROL!$C$42, 4.2418, 4.2418) * CHOOSE(CONTROL!$C$21, $C$9, 100%, $E$9)</f>
        <v>4.2417999999999996</v>
      </c>
      <c r="O40" s="10">
        <f>CHOOSE(CONTROL!$C$42, 4.47, 4.47) * CHOOSE(CONTROL!$C$21, $C$9, 100%, $E$9)</f>
        <v>4.47</v>
      </c>
      <c r="P40" s="10">
        <f>CHOOSE(CONTROL!$C$42, 4.2671, 4.2671) * CHOOSE(CONTROL!$C$21, $C$9, 100%, $E$9)</f>
        <v>4.2671000000000001</v>
      </c>
      <c r="Q40" s="10">
        <f>CHOOSE(CONTROL!$C$42, 5.0653, 5.0653) * CHOOSE(CONTROL!$C$21, $C$9, 100%, $E$9)</f>
        <v>5.0652999999999997</v>
      </c>
      <c r="R40" s="10">
        <f>CHOOSE(CONTROL!$C$42, 5.665, 5.665) * CHOOSE(CONTROL!$C$21, $C$9, 100%, $E$9)</f>
        <v>5.665</v>
      </c>
      <c r="S40" s="10">
        <f>CHOOSE(CONTROL!$C$42, 4.193, 4.193) * CHOOSE(CONTROL!$C$21, $C$9, 100%, $E$9)</f>
        <v>4.1929999999999996</v>
      </c>
      <c r="T4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0" s="38">
        <f>(1000*CHOOSE(CONTROL!$C$42, 695, 695)*CHOOSE(CONTROL!$C$42, 0.5599, 0.5599)*CHOOSE(CONTROL!$C$42, 30, 30))/1000000</f>
        <v>11.673914999999997</v>
      </c>
      <c r="V40" s="38">
        <f>(1000*CHOOSE(CONTROL!$C$42, 580, 580)*CHOOSE(CONTROL!$C$42, 0.275, 0.275)*CHOOSE(CONTROL!$C$42, 30, 30))/1000000</f>
        <v>4.7850000000000001</v>
      </c>
      <c r="W40" s="38">
        <f>(1000*CHOOSE(CONTROL!$C$42, 0.1146, 0.1146)*CHOOSE(CONTROL!$C$42, 200, 200)*CHOOSE(CONTROL!$C$42, 30, 30))/1000000</f>
        <v>0.68759999999999999</v>
      </c>
      <c r="X40" s="38">
        <f>(30*0.1790888*245000/1000000)+(30*0.2374*100000/1000000)</f>
        <v>2.0285026799999999</v>
      </c>
      <c r="Y40" s="38"/>
      <c r="Z40" s="38">
        <f t="shared" si="0"/>
        <v>0.3</v>
      </c>
      <c r="AA40" s="10"/>
      <c r="AB40" s="39"/>
      <c r="AC40" s="33">
        <f>(B40*141.293+C40*267.993+D40*115.016+E40*89.698+F40*40+G40*185+H40*0+I40*100+J40*300)/(141.293+267.993+115.016+89.698+0+40+185+100+300)</f>
        <v>4.3204010969330104</v>
      </c>
      <c r="AD40" s="27">
        <f>(M40*'RAP TEMPLATE-GAS AVAILABILITY'!O39+N40*'RAP TEMPLATE-GAS AVAILABILITY'!P39+O40*'RAP TEMPLATE-GAS AVAILABILITY'!Q39+P40*'RAP TEMPLATE-GAS AVAILABILITY'!R39)/('RAP TEMPLATE-GAS AVAILABILITY'!O39+'RAP TEMPLATE-GAS AVAILABILITY'!P39+'RAP TEMPLATE-GAS AVAILABILITY'!Q39+'RAP TEMPLATE-GAS AVAILABILITY'!R39)</f>
        <v>4.3040805755395688</v>
      </c>
    </row>
    <row r="41" spans="1:30" ht="15">
      <c r="A41" s="16">
        <v>42491</v>
      </c>
      <c r="B41" s="10">
        <f>CHOOSE(CONTROL!$C$42, 4.3301, 4.3301) * CHOOSE(CONTROL!$C$21, $C$9, 100%, $E$9)</f>
        <v>4.3300999999999998</v>
      </c>
      <c r="C41" s="10">
        <f>CHOOSE(CONTROL!$C$42, 4.3381, 4.3381) * CHOOSE(CONTROL!$C$21, $C$9, 100%, $E$9)</f>
        <v>4.3380999999999998</v>
      </c>
      <c r="D41" s="10">
        <f>CHOOSE(CONTROL!$C$42, 4.4951, 4.4951) * CHOOSE(CONTROL!$C$21, $C$9, 100%, $E$9)</f>
        <v>4.4950999999999999</v>
      </c>
      <c r="E41" s="10">
        <f>CHOOSE(CONTROL!$C$42, 4.5263, 4.5263) * CHOOSE(CONTROL!$C$21, $C$9, 100%, $E$9)</f>
        <v>4.5263</v>
      </c>
      <c r="F41" s="10">
        <f>CHOOSE(CONTROL!$C$42, 4.2742, 4.2742)*CHOOSE(CONTROL!$C$21, $C$9, 100%, $E$9)</f>
        <v>4.2742000000000004</v>
      </c>
      <c r="G41" s="10">
        <f>CHOOSE(CONTROL!$C$42, 4.2903, 4.2903)*CHOOSE(CONTROL!$C$21, $C$9, 100%, $E$9)</f>
        <v>4.2903000000000002</v>
      </c>
      <c r="H41" s="10">
        <f>CHOOSE(CONTROL!$C$42, 4.5147, 4.5147) * CHOOSE(CONTROL!$C$21, $C$9, 100%, $E$9)</f>
        <v>4.5147000000000004</v>
      </c>
      <c r="I41" s="10">
        <f>CHOOSE(CONTROL!$C$42, 4.3089, 4.3089)* CHOOSE(CONTROL!$C$21, $C$9, 100%, $E$9)</f>
        <v>4.3089000000000004</v>
      </c>
      <c r="J41" s="10">
        <f>CHOOSE(CONTROL!$C$42, 4.2668, 4.2668)* CHOOSE(CONTROL!$C$21, $C$9, 100%, $E$9)</f>
        <v>4.2667999999999999</v>
      </c>
      <c r="K41" s="10">
        <f>CHOOSE(CONTROL!$C$42, 4.3336, 4.3336) * CHOOSE(CONTROL!$C$21, $C$9, 100%, $E$9)</f>
        <v>4.3335999999999997</v>
      </c>
      <c r="L41" s="10">
        <f>CHOOSE(CONTROL!$C$42, 5.1017, 5.1017) * CHOOSE(CONTROL!$C$21, $C$9, 100%, $E$9)</f>
        <v>5.1017000000000001</v>
      </c>
      <c r="M41" s="10">
        <f>CHOOSE(CONTROL!$C$42, 4.2403, 4.2403) * CHOOSE(CONTROL!$C$21, $C$9, 100%, $E$9)</f>
        <v>4.2403000000000004</v>
      </c>
      <c r="N41" s="10">
        <f>CHOOSE(CONTROL!$C$42, 4.2562, 4.2562) * CHOOSE(CONTROL!$C$21, $C$9, 100%, $E$9)</f>
        <v>4.2561999999999998</v>
      </c>
      <c r="O41" s="10">
        <f>CHOOSE(CONTROL!$C$42, 4.4847, 4.4847) * CHOOSE(CONTROL!$C$21, $C$9, 100%, $E$9)</f>
        <v>4.4847000000000001</v>
      </c>
      <c r="P41" s="10">
        <f>CHOOSE(CONTROL!$C$42, 4.2818, 4.2818) * CHOOSE(CONTROL!$C$21, $C$9, 100%, $E$9)</f>
        <v>4.2817999999999996</v>
      </c>
      <c r="Q41" s="10">
        <f>CHOOSE(CONTROL!$C$42, 5.08, 5.08) * CHOOSE(CONTROL!$C$21, $C$9, 100%, $E$9)</f>
        <v>5.08</v>
      </c>
      <c r="R41" s="10">
        <f>CHOOSE(CONTROL!$C$42, 5.6797, 5.6797) * CHOOSE(CONTROL!$C$21, $C$9, 100%, $E$9)</f>
        <v>5.6797000000000004</v>
      </c>
      <c r="S41" s="10">
        <f>CHOOSE(CONTROL!$C$42, 4.2074, 4.2074) * CHOOSE(CONTROL!$C$21, $C$9, 100%, $E$9)</f>
        <v>4.2073999999999998</v>
      </c>
      <c r="T4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1" s="38">
        <f>(1000*CHOOSE(CONTROL!$C$42, 695, 695)*CHOOSE(CONTROL!$C$42, 0.5599, 0.5599)*CHOOSE(CONTROL!$C$42, 31, 31))/1000000</f>
        <v>12.063045499999998</v>
      </c>
      <c r="V41" s="38">
        <f>(1000*CHOOSE(CONTROL!$C$42, 580, 580)*CHOOSE(CONTROL!$C$42, 0.275, 0.275)*CHOOSE(CONTROL!$C$42, 31, 31))/1000000</f>
        <v>4.9444999999999997</v>
      </c>
      <c r="W41" s="38">
        <f>(1000*CHOOSE(CONTROL!$C$42, 0.1146, 0.1146)*CHOOSE(CONTROL!$C$42, 121.5, 121.5)*CHOOSE(CONTROL!$C$42, 31, 31))/1000000</f>
        <v>0.43164089999999994</v>
      </c>
      <c r="X41" s="38">
        <f>(31*0.1790888*245000/1000000)+(31*0.2374*100000/1000000)</f>
        <v>2.0961194359999999</v>
      </c>
      <c r="Y41" s="38"/>
      <c r="Z41" s="38">
        <f t="shared" si="0"/>
        <v>0.3</v>
      </c>
      <c r="AA41" s="10"/>
      <c r="AB41" s="39"/>
      <c r="AC41" s="33">
        <f>(B41*194.205+C41*267.466+D41*133.845+E41*53.484+F41*40+G41*185+H41*0+I41*100+J41*300)/(194.205+267.466+133.845+53.484+0+40+185+100+300)</f>
        <v>4.3332465571428562</v>
      </c>
      <c r="AD41" s="27">
        <f>(M41*'RAP TEMPLATE-GAS AVAILABILITY'!O40+N41*'RAP TEMPLATE-GAS AVAILABILITY'!P40+O41*'RAP TEMPLATE-GAS AVAILABILITY'!Q40+P41*'RAP TEMPLATE-GAS AVAILABILITY'!R40)/('RAP TEMPLATE-GAS AVAILABILITY'!O40+'RAP TEMPLATE-GAS AVAILABILITY'!P40+'RAP TEMPLATE-GAS AVAILABILITY'!Q40+'RAP TEMPLATE-GAS AVAILABILITY'!R40)</f>
        <v>4.3185043165467629</v>
      </c>
    </row>
    <row r="42" spans="1:30" ht="15">
      <c r="A42" s="16">
        <v>42522</v>
      </c>
      <c r="B42" s="10">
        <f>CHOOSE(CONTROL!$C$42, 4.3549, 4.3549) * CHOOSE(CONTROL!$C$21, $C$9, 100%, $E$9)</f>
        <v>4.3548999999999998</v>
      </c>
      <c r="C42" s="10">
        <f>CHOOSE(CONTROL!$C$42, 4.3629, 4.3629) * CHOOSE(CONTROL!$C$21, $C$9, 100%, $E$9)</f>
        <v>4.3628999999999998</v>
      </c>
      <c r="D42" s="10">
        <f>CHOOSE(CONTROL!$C$42, 4.5199, 4.5199) * CHOOSE(CONTROL!$C$21, $C$9, 100%, $E$9)</f>
        <v>4.5198999999999998</v>
      </c>
      <c r="E42" s="10">
        <f>CHOOSE(CONTROL!$C$42, 4.5511, 4.5511) * CHOOSE(CONTROL!$C$21, $C$9, 100%, $E$9)</f>
        <v>4.5510999999999999</v>
      </c>
      <c r="F42" s="10">
        <f>CHOOSE(CONTROL!$C$42, 4.2992, 4.2992)*CHOOSE(CONTROL!$C$21, $C$9, 100%, $E$9)</f>
        <v>4.2991999999999999</v>
      </c>
      <c r="G42" s="10">
        <f>CHOOSE(CONTROL!$C$42, 4.3154, 4.3154)*CHOOSE(CONTROL!$C$21, $C$9, 100%, $E$9)</f>
        <v>4.3154000000000003</v>
      </c>
      <c r="H42" s="10">
        <f>CHOOSE(CONTROL!$C$42, 4.5395, 4.5395) * CHOOSE(CONTROL!$C$21, $C$9, 100%, $E$9)</f>
        <v>4.5395000000000003</v>
      </c>
      <c r="I42" s="10">
        <f>CHOOSE(CONTROL!$C$42, 4.3336, 4.3336)* CHOOSE(CONTROL!$C$21, $C$9, 100%, $E$9)</f>
        <v>4.3335999999999997</v>
      </c>
      <c r="J42" s="10">
        <f>CHOOSE(CONTROL!$C$42, 4.2918, 4.2918)* CHOOSE(CONTROL!$C$21, $C$9, 100%, $E$9)</f>
        <v>4.2918000000000003</v>
      </c>
      <c r="K42" s="10">
        <f>CHOOSE(CONTROL!$C$42, 4.358, 4.358) * CHOOSE(CONTROL!$C$21, $C$9, 100%, $E$9)</f>
        <v>4.3579999999999997</v>
      </c>
      <c r="L42" s="10">
        <f>CHOOSE(CONTROL!$C$42, 5.1265, 5.1265) * CHOOSE(CONTROL!$C$21, $C$9, 100%, $E$9)</f>
        <v>5.1265000000000001</v>
      </c>
      <c r="M42" s="10">
        <f>CHOOSE(CONTROL!$C$42, 4.2649, 4.2649) * CHOOSE(CONTROL!$C$21, $C$9, 100%, $E$9)</f>
        <v>4.2648999999999999</v>
      </c>
      <c r="N42" s="10">
        <f>CHOOSE(CONTROL!$C$42, 4.2809, 4.2809) * CHOOSE(CONTROL!$C$21, $C$9, 100%, $E$9)</f>
        <v>4.2808999999999999</v>
      </c>
      <c r="O42" s="10">
        <f>CHOOSE(CONTROL!$C$42, 4.5091, 4.5091) * CHOOSE(CONTROL!$C$21, $C$9, 100%, $E$9)</f>
        <v>4.5091000000000001</v>
      </c>
      <c r="P42" s="10">
        <f>CHOOSE(CONTROL!$C$42, 4.3063, 4.3063) * CHOOSE(CONTROL!$C$21, $C$9, 100%, $E$9)</f>
        <v>4.3063000000000002</v>
      </c>
      <c r="Q42" s="10">
        <f>CHOOSE(CONTROL!$C$42, 5.1044, 5.1044) * CHOOSE(CONTROL!$C$21, $C$9, 100%, $E$9)</f>
        <v>5.1044</v>
      </c>
      <c r="R42" s="10">
        <f>CHOOSE(CONTROL!$C$42, 5.7042, 5.7042) * CHOOSE(CONTROL!$C$21, $C$9, 100%, $E$9)</f>
        <v>5.7042000000000002</v>
      </c>
      <c r="S42" s="10">
        <f>CHOOSE(CONTROL!$C$42, 4.2314, 4.2314) * CHOOSE(CONTROL!$C$21, $C$9, 100%, $E$9)</f>
        <v>4.2313999999999998</v>
      </c>
      <c r="T4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2" s="38">
        <f>(1000*CHOOSE(CONTROL!$C$42, 695, 695)*CHOOSE(CONTROL!$C$42, 0.5599, 0.5599)*CHOOSE(CONTROL!$C$42, 30, 30))/1000000</f>
        <v>11.673914999999997</v>
      </c>
      <c r="V42" s="38">
        <f>(1000*CHOOSE(CONTROL!$C$42, 580, 580)*CHOOSE(CONTROL!$C$42, 0.275, 0.275)*CHOOSE(CONTROL!$C$42, 30, 30))/1000000</f>
        <v>4.7850000000000001</v>
      </c>
      <c r="W42" s="38">
        <f>(1000*CHOOSE(CONTROL!$C$42, 0.1146, 0.1146)*CHOOSE(CONTROL!$C$42, 121.5, 121.5)*CHOOSE(CONTROL!$C$42, 30, 30))/1000000</f>
        <v>0.417717</v>
      </c>
      <c r="X42" s="38">
        <f>(30*0.1790888*245000/1000000)+(30*0.2374*100000/1000000)</f>
        <v>2.0285026799999999</v>
      </c>
      <c r="Y42" s="38"/>
      <c r="Z42" s="38">
        <f t="shared" si="0"/>
        <v>0.3</v>
      </c>
      <c r="AA42" s="10"/>
      <c r="AB42" s="39"/>
      <c r="AC42" s="33">
        <f>(B42*194.205+C42*267.466+D42*133.845+E42*53.484+F42*40+G42*185+H42*0+I42*100+J42*300)/(194.205+267.466+133.845+53.484+0+40+185+100+300)</f>
        <v>4.3581356466248033</v>
      </c>
      <c r="AD42" s="27">
        <f>(M42*'RAP TEMPLATE-GAS AVAILABILITY'!O41+N42*'RAP TEMPLATE-GAS AVAILABILITY'!P41+O42*'RAP TEMPLATE-GAS AVAILABILITY'!Q41+P42*'RAP TEMPLATE-GAS AVAILABILITY'!R41)/('RAP TEMPLATE-GAS AVAILABILITY'!O41+'RAP TEMPLATE-GAS AVAILABILITY'!P41+'RAP TEMPLATE-GAS AVAILABILITY'!Q41+'RAP TEMPLATE-GAS AVAILABILITY'!R41)</f>
        <v>4.3430568345323746</v>
      </c>
    </row>
    <row r="43" spans="1:30" ht="15">
      <c r="A43" s="16">
        <v>42552</v>
      </c>
      <c r="B43" s="10">
        <f>CHOOSE(CONTROL!$C$42, 4.3807, 4.3807) * CHOOSE(CONTROL!$C$21, $C$9, 100%, $E$9)</f>
        <v>4.3807</v>
      </c>
      <c r="C43" s="10">
        <f>CHOOSE(CONTROL!$C$42, 4.3887, 4.3887) * CHOOSE(CONTROL!$C$21, $C$9, 100%, $E$9)</f>
        <v>4.3887</v>
      </c>
      <c r="D43" s="10">
        <f>CHOOSE(CONTROL!$C$42, 4.5457, 4.5457) * CHOOSE(CONTROL!$C$21, $C$9, 100%, $E$9)</f>
        <v>4.5457000000000001</v>
      </c>
      <c r="E43" s="10">
        <f>CHOOSE(CONTROL!$C$42, 4.5769, 4.5769) * CHOOSE(CONTROL!$C$21, $C$9, 100%, $E$9)</f>
        <v>4.5769000000000002</v>
      </c>
      <c r="F43" s="10">
        <f>CHOOSE(CONTROL!$C$42, 4.3253, 4.3253)*CHOOSE(CONTROL!$C$21, $C$9, 100%, $E$9)</f>
        <v>4.3253000000000004</v>
      </c>
      <c r="G43" s="10">
        <f>CHOOSE(CONTROL!$C$42, 4.3416, 4.3416)*CHOOSE(CONTROL!$C$21, $C$9, 100%, $E$9)</f>
        <v>4.3415999999999997</v>
      </c>
      <c r="H43" s="10">
        <f>CHOOSE(CONTROL!$C$42, 4.5653, 4.5653) * CHOOSE(CONTROL!$C$21, $C$9, 100%, $E$9)</f>
        <v>4.5652999999999997</v>
      </c>
      <c r="I43" s="10">
        <f>CHOOSE(CONTROL!$C$42, 4.3595, 4.3595)* CHOOSE(CONTROL!$C$21, $C$9, 100%, $E$9)</f>
        <v>4.3594999999999997</v>
      </c>
      <c r="J43" s="10">
        <f>CHOOSE(CONTROL!$C$42, 4.3179, 4.3179)* CHOOSE(CONTROL!$C$21, $C$9, 100%, $E$9)</f>
        <v>4.3178999999999998</v>
      </c>
      <c r="K43" s="10">
        <f>CHOOSE(CONTROL!$C$42, 4.3837, 4.3837) * CHOOSE(CONTROL!$C$21, $C$9, 100%, $E$9)</f>
        <v>4.3837000000000002</v>
      </c>
      <c r="L43" s="10">
        <f>CHOOSE(CONTROL!$C$42, 5.1523, 5.1523) * CHOOSE(CONTROL!$C$21, $C$9, 100%, $E$9)</f>
        <v>5.1523000000000003</v>
      </c>
      <c r="M43" s="10">
        <f>CHOOSE(CONTROL!$C$42, 4.2907, 4.2907) * CHOOSE(CONTROL!$C$21, $C$9, 100%, $E$9)</f>
        <v>4.2907000000000002</v>
      </c>
      <c r="N43" s="10">
        <f>CHOOSE(CONTROL!$C$42, 4.3067, 4.3067) * CHOOSE(CONTROL!$C$21, $C$9, 100%, $E$9)</f>
        <v>4.3067000000000002</v>
      </c>
      <c r="O43" s="10">
        <f>CHOOSE(CONTROL!$C$42, 4.5346, 4.5346) * CHOOSE(CONTROL!$C$21, $C$9, 100%, $E$9)</f>
        <v>4.5346000000000002</v>
      </c>
      <c r="P43" s="10">
        <f>CHOOSE(CONTROL!$C$42, 4.3317, 4.3317) * CHOOSE(CONTROL!$C$21, $C$9, 100%, $E$9)</f>
        <v>4.3316999999999997</v>
      </c>
      <c r="Q43" s="10">
        <f>CHOOSE(CONTROL!$C$42, 5.1299, 5.1299) * CHOOSE(CONTROL!$C$21, $C$9, 100%, $E$9)</f>
        <v>5.1299000000000001</v>
      </c>
      <c r="R43" s="10">
        <f>CHOOSE(CONTROL!$C$42, 5.7297, 5.7297) * CHOOSE(CONTROL!$C$21, $C$9, 100%, $E$9)</f>
        <v>5.7297000000000002</v>
      </c>
      <c r="S43" s="10">
        <f>CHOOSE(CONTROL!$C$42, 4.2564, 4.2564) * CHOOSE(CONTROL!$C$21, $C$9, 100%, $E$9)</f>
        <v>4.2564000000000002</v>
      </c>
      <c r="T4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3" s="38">
        <f>(1000*CHOOSE(CONTROL!$C$42, 695, 695)*CHOOSE(CONTROL!$C$42, 0.5599, 0.5599)*CHOOSE(CONTROL!$C$42, 31, 31))/1000000</f>
        <v>12.063045499999998</v>
      </c>
      <c r="V43" s="38">
        <f>(1000*CHOOSE(CONTROL!$C$42, 580, 580)*CHOOSE(CONTROL!$C$42, 0.275, 0.275)*CHOOSE(CONTROL!$C$42, 31, 31))/1000000</f>
        <v>4.9444999999999997</v>
      </c>
      <c r="W43" s="38">
        <f>(1000*CHOOSE(CONTROL!$C$42, 0.1146, 0.1146)*CHOOSE(CONTROL!$C$42, 121.5, 121.5)*CHOOSE(CONTROL!$C$42, 31, 31))/1000000</f>
        <v>0.43164089999999994</v>
      </c>
      <c r="X43" s="38">
        <f>(31*0.1790888*245000/1000000)+(31*0.2374*100000/1000000)</f>
        <v>2.0961194359999999</v>
      </c>
      <c r="Y43" s="38"/>
      <c r="Z43" s="38">
        <f t="shared" si="0"/>
        <v>0.3</v>
      </c>
      <c r="AA43" s="10"/>
      <c r="AB43" s="39"/>
      <c r="AC43" s="33">
        <f>(B43*194.205+C43*267.466+D43*133.845+E43*53.484+F43*40+G43*185+H43*0+I43*100+J43*300)/(194.205+267.466+133.845+53.484+0+40+185+100+300)</f>
        <v>4.3840816434850867</v>
      </c>
      <c r="AD43" s="27">
        <f>(M43*'RAP TEMPLATE-GAS AVAILABILITY'!O42+N43*'RAP TEMPLATE-GAS AVAILABILITY'!P42+O43*'RAP TEMPLATE-GAS AVAILABILITY'!Q42+P43*'RAP TEMPLATE-GAS AVAILABILITY'!R42)/('RAP TEMPLATE-GAS AVAILABILITY'!O42+'RAP TEMPLATE-GAS AVAILABILITY'!P42+'RAP TEMPLATE-GAS AVAILABILITY'!Q42+'RAP TEMPLATE-GAS AVAILABILITY'!R42)</f>
        <v>4.3687151079136699</v>
      </c>
    </row>
    <row r="44" spans="1:30" ht="15">
      <c r="A44" s="16">
        <v>42583</v>
      </c>
      <c r="B44" s="10">
        <f>CHOOSE(CONTROL!$C$42, 4.391, 4.391) * CHOOSE(CONTROL!$C$21, $C$9, 100%, $E$9)</f>
        <v>4.391</v>
      </c>
      <c r="C44" s="10">
        <f>CHOOSE(CONTROL!$C$42, 4.399, 4.399) * CHOOSE(CONTROL!$C$21, $C$9, 100%, $E$9)</f>
        <v>4.399</v>
      </c>
      <c r="D44" s="10">
        <f>CHOOSE(CONTROL!$C$42, 4.5561, 4.5561) * CHOOSE(CONTROL!$C$21, $C$9, 100%, $E$9)</f>
        <v>4.5560999999999998</v>
      </c>
      <c r="E44" s="10">
        <f>CHOOSE(CONTROL!$C$42, 4.5873, 4.5873) * CHOOSE(CONTROL!$C$21, $C$9, 100%, $E$9)</f>
        <v>4.5872999999999999</v>
      </c>
      <c r="F44" s="10">
        <f>CHOOSE(CONTROL!$C$42, 4.3356, 4.3356)*CHOOSE(CONTROL!$C$21, $C$9, 100%, $E$9)</f>
        <v>4.3356000000000003</v>
      </c>
      <c r="G44" s="10">
        <f>CHOOSE(CONTROL!$C$42, 4.3518, 4.3518)*CHOOSE(CONTROL!$C$21, $C$9, 100%, $E$9)</f>
        <v>4.3517999999999999</v>
      </c>
      <c r="H44" s="10">
        <f>CHOOSE(CONTROL!$C$42, 4.5756, 4.5756) * CHOOSE(CONTROL!$C$21, $C$9, 100%, $E$9)</f>
        <v>4.5755999999999997</v>
      </c>
      <c r="I44" s="10">
        <f>CHOOSE(CONTROL!$C$42, 4.3698, 4.3698)* CHOOSE(CONTROL!$C$21, $C$9, 100%, $E$9)</f>
        <v>4.3697999999999997</v>
      </c>
      <c r="J44" s="10">
        <f>CHOOSE(CONTROL!$C$42, 4.3282, 4.3282)* CHOOSE(CONTROL!$C$21, $C$9, 100%, $E$9)</f>
        <v>4.3281999999999998</v>
      </c>
      <c r="K44" s="10">
        <f>CHOOSE(CONTROL!$C$42, 4.3935, 4.3935) * CHOOSE(CONTROL!$C$21, $C$9, 100%, $E$9)</f>
        <v>4.3935000000000004</v>
      </c>
      <c r="L44" s="10">
        <f>CHOOSE(CONTROL!$C$42, 5.1626, 5.1626) * CHOOSE(CONTROL!$C$21, $C$9, 100%, $E$9)</f>
        <v>5.1626000000000003</v>
      </c>
      <c r="M44" s="10">
        <f>CHOOSE(CONTROL!$C$42, 4.3008, 4.3008) * CHOOSE(CONTROL!$C$21, $C$9, 100%, $E$9)</f>
        <v>4.3007999999999997</v>
      </c>
      <c r="N44" s="10">
        <f>CHOOSE(CONTROL!$C$42, 4.3168, 4.3168) * CHOOSE(CONTROL!$C$21, $C$9, 100%, $E$9)</f>
        <v>4.3167999999999997</v>
      </c>
      <c r="O44" s="10">
        <f>CHOOSE(CONTROL!$C$42, 4.5448, 4.5448) * CHOOSE(CONTROL!$C$21, $C$9, 100%, $E$9)</f>
        <v>4.5448000000000004</v>
      </c>
      <c r="P44" s="10">
        <f>CHOOSE(CONTROL!$C$42, 4.3419, 4.3419) * CHOOSE(CONTROL!$C$21, $C$9, 100%, $E$9)</f>
        <v>4.3418999999999999</v>
      </c>
      <c r="Q44" s="10">
        <f>CHOOSE(CONTROL!$C$42, 5.1401, 5.1401) * CHOOSE(CONTROL!$C$21, $C$9, 100%, $E$9)</f>
        <v>5.1401000000000003</v>
      </c>
      <c r="R44" s="10">
        <f>CHOOSE(CONTROL!$C$42, 5.7399, 5.7399) * CHOOSE(CONTROL!$C$21, $C$9, 100%, $E$9)</f>
        <v>5.7398999999999996</v>
      </c>
      <c r="S44" s="10">
        <f>CHOOSE(CONTROL!$C$42, 4.2664, 4.2664) * CHOOSE(CONTROL!$C$21, $C$9, 100%, $E$9)</f>
        <v>4.2664</v>
      </c>
      <c r="T4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4" s="38">
        <f>(1000*CHOOSE(CONTROL!$C$42, 695, 695)*CHOOSE(CONTROL!$C$42, 0.5599, 0.5599)*CHOOSE(CONTROL!$C$42, 31, 31))/1000000</f>
        <v>12.063045499999998</v>
      </c>
      <c r="V44" s="38">
        <f>(1000*CHOOSE(CONTROL!$C$42, 580, 580)*CHOOSE(CONTROL!$C$42, 0.275, 0.275)*CHOOSE(CONTROL!$C$42, 31, 31))/1000000</f>
        <v>4.9444999999999997</v>
      </c>
      <c r="W44" s="38">
        <f>(1000*CHOOSE(CONTROL!$C$42, 0.1146, 0.1146)*CHOOSE(CONTROL!$C$42, 121.5, 121.5)*CHOOSE(CONTROL!$C$42, 31, 31))/1000000</f>
        <v>0.43164089999999994</v>
      </c>
      <c r="X44" s="38">
        <f>(31*0.1790888*245000/1000000)+(31*0.2374*100000/1000000)</f>
        <v>2.0961194359999999</v>
      </c>
      <c r="Y44" s="38"/>
      <c r="Z44" s="38">
        <f t="shared" si="0"/>
        <v>0.3</v>
      </c>
      <c r="AA44" s="10"/>
      <c r="AB44" s="39"/>
      <c r="AC44" s="33">
        <f>(B44*194.205+C44*267.466+D44*133.845+E44*53.484+F44*40+G44*185+H44*0+I44*100+J44*300)/(194.205+267.466+133.845+53.484+0+40+185+100+300)</f>
        <v>4.3943818262951337</v>
      </c>
      <c r="AD44" s="27">
        <f>(M44*'RAP TEMPLATE-GAS AVAILABILITY'!O43+N44*'RAP TEMPLATE-GAS AVAILABILITY'!P43+O44*'RAP TEMPLATE-GAS AVAILABILITY'!Q43+P44*'RAP TEMPLATE-GAS AVAILABILITY'!R43)/('RAP TEMPLATE-GAS AVAILABILITY'!O43+'RAP TEMPLATE-GAS AVAILABILITY'!P43+'RAP TEMPLATE-GAS AVAILABILITY'!Q43+'RAP TEMPLATE-GAS AVAILABILITY'!R43)</f>
        <v>4.3788575539568342</v>
      </c>
    </row>
    <row r="45" spans="1:30" ht="15">
      <c r="A45" s="16">
        <v>42614</v>
      </c>
      <c r="B45" s="10">
        <f>CHOOSE(CONTROL!$C$42, 4.3848, 4.3848) * CHOOSE(CONTROL!$C$21, $C$9, 100%, $E$9)</f>
        <v>4.3848000000000003</v>
      </c>
      <c r="C45" s="10">
        <f>CHOOSE(CONTROL!$C$42, 4.3928, 4.3928) * CHOOSE(CONTROL!$C$21, $C$9, 100%, $E$9)</f>
        <v>4.3928000000000003</v>
      </c>
      <c r="D45" s="10">
        <f>CHOOSE(CONTROL!$C$42, 4.5499, 4.5499) * CHOOSE(CONTROL!$C$21, $C$9, 100%, $E$9)</f>
        <v>4.5499000000000001</v>
      </c>
      <c r="E45" s="10">
        <f>CHOOSE(CONTROL!$C$42, 4.5811, 4.5811) * CHOOSE(CONTROL!$C$21, $C$9, 100%, $E$9)</f>
        <v>4.5811000000000002</v>
      </c>
      <c r="F45" s="10">
        <f>CHOOSE(CONTROL!$C$42, 4.3292, 4.3292)*CHOOSE(CONTROL!$C$21, $C$9, 100%, $E$9)</f>
        <v>4.3292000000000002</v>
      </c>
      <c r="G45" s="10">
        <f>CHOOSE(CONTROL!$C$42, 4.3454, 4.3454)*CHOOSE(CONTROL!$C$21, $C$9, 100%, $E$9)</f>
        <v>4.3453999999999997</v>
      </c>
      <c r="H45" s="10">
        <f>CHOOSE(CONTROL!$C$42, 4.5694, 4.5694) * CHOOSE(CONTROL!$C$21, $C$9, 100%, $E$9)</f>
        <v>4.5693999999999999</v>
      </c>
      <c r="I45" s="10">
        <f>CHOOSE(CONTROL!$C$42, 4.3636, 4.3636)* CHOOSE(CONTROL!$C$21, $C$9, 100%, $E$9)</f>
        <v>4.3635999999999999</v>
      </c>
      <c r="J45" s="10">
        <f>CHOOSE(CONTROL!$C$42, 4.3218, 4.3218)* CHOOSE(CONTROL!$C$21, $C$9, 100%, $E$9)</f>
        <v>4.3217999999999996</v>
      </c>
      <c r="K45" s="10">
        <f>CHOOSE(CONTROL!$C$42, 4.3871, 4.3871) * CHOOSE(CONTROL!$C$21, $C$9, 100%, $E$9)</f>
        <v>4.3871000000000002</v>
      </c>
      <c r="L45" s="10">
        <f>CHOOSE(CONTROL!$C$42, 5.1564, 5.1564) * CHOOSE(CONTROL!$C$21, $C$9, 100%, $E$9)</f>
        <v>5.1563999999999997</v>
      </c>
      <c r="M45" s="10">
        <f>CHOOSE(CONTROL!$C$42, 4.2945, 4.2945) * CHOOSE(CONTROL!$C$21, $C$9, 100%, $E$9)</f>
        <v>4.2945000000000002</v>
      </c>
      <c r="N45" s="10">
        <f>CHOOSE(CONTROL!$C$42, 4.3105, 4.3105) * CHOOSE(CONTROL!$C$21, $C$9, 100%, $E$9)</f>
        <v>4.3105000000000002</v>
      </c>
      <c r="O45" s="10">
        <f>CHOOSE(CONTROL!$C$42, 4.5387, 4.5387) * CHOOSE(CONTROL!$C$21, $C$9, 100%, $E$9)</f>
        <v>4.5387000000000004</v>
      </c>
      <c r="P45" s="10">
        <f>CHOOSE(CONTROL!$C$42, 4.3358, 4.3358) * CHOOSE(CONTROL!$C$21, $C$9, 100%, $E$9)</f>
        <v>4.3357999999999999</v>
      </c>
      <c r="Q45" s="10">
        <f>CHOOSE(CONTROL!$C$42, 5.134, 5.134) * CHOOSE(CONTROL!$C$21, $C$9, 100%, $E$9)</f>
        <v>5.1340000000000003</v>
      </c>
      <c r="R45" s="10">
        <f>CHOOSE(CONTROL!$C$42, 5.7338, 5.7338) * CHOOSE(CONTROL!$C$21, $C$9, 100%, $E$9)</f>
        <v>5.7337999999999996</v>
      </c>
      <c r="S45" s="10">
        <f>CHOOSE(CONTROL!$C$42, 4.2604, 4.2604) * CHOOSE(CONTROL!$C$21, $C$9, 100%, $E$9)</f>
        <v>4.2603999999999997</v>
      </c>
      <c r="T4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5" s="38">
        <f>(1000*CHOOSE(CONTROL!$C$42, 695, 695)*CHOOSE(CONTROL!$C$42, 0.5599, 0.5599)*CHOOSE(CONTROL!$C$42, 30, 30))/1000000</f>
        <v>11.673914999999997</v>
      </c>
      <c r="V45" s="38">
        <f>(1000*CHOOSE(CONTROL!$C$42, 580, 580)*CHOOSE(CONTROL!$C$42, 0.275, 0.275)*CHOOSE(CONTROL!$C$42, 30, 30))/1000000</f>
        <v>4.7850000000000001</v>
      </c>
      <c r="W45" s="38">
        <f>(1000*CHOOSE(CONTROL!$C$42, 0.1146, 0.1146)*CHOOSE(CONTROL!$C$42, 121.5, 121.5)*CHOOSE(CONTROL!$C$42, 30, 30))/1000000</f>
        <v>0.417717</v>
      </c>
      <c r="X45" s="38">
        <f>(30*0.1790888*245000/1000000)+(30*0.2374*100000/1000000)</f>
        <v>2.0285026799999999</v>
      </c>
      <c r="Y45" s="38"/>
      <c r="Z45" s="38">
        <f t="shared" si="0"/>
        <v>0.3</v>
      </c>
      <c r="AA45" s="10"/>
      <c r="AB45" s="39"/>
      <c r="AC45" s="33">
        <f>(B45*194.205+C45*267.466+D45*133.845+E45*53.484+F45*40+G45*185+H45*0+I45*100+J45*300)/(194.205+267.466+133.845+53.484+0+40+185+100+300)</f>
        <v>4.3880994087127165</v>
      </c>
      <c r="AD45" s="27">
        <f>(M45*'RAP TEMPLATE-GAS AVAILABILITY'!O44+N45*'RAP TEMPLATE-GAS AVAILABILITY'!P44+O45*'RAP TEMPLATE-GAS AVAILABILITY'!Q44+P45*'RAP TEMPLATE-GAS AVAILABILITY'!R44)/('RAP TEMPLATE-GAS AVAILABILITY'!O44+'RAP TEMPLATE-GAS AVAILABILITY'!P44+'RAP TEMPLATE-GAS AVAILABILITY'!Q44+'RAP TEMPLATE-GAS AVAILABILITY'!R44)</f>
        <v>4.3726424460431659</v>
      </c>
    </row>
    <row r="46" spans="1:30" ht="15">
      <c r="A46" s="16">
        <v>42644</v>
      </c>
      <c r="B46" s="10">
        <f>CHOOSE(CONTROL!$C$42, 4.4095, 4.4095) * CHOOSE(CONTROL!$C$21, $C$9, 100%, $E$9)</f>
        <v>4.4095000000000004</v>
      </c>
      <c r="C46" s="10">
        <f>CHOOSE(CONTROL!$C$42, 4.4148, 4.4148) * CHOOSE(CONTROL!$C$21, $C$9, 100%, $E$9)</f>
        <v>4.4147999999999996</v>
      </c>
      <c r="D46" s="10">
        <f>CHOOSE(CONTROL!$C$42, 4.5767, 4.5767) * CHOOSE(CONTROL!$C$21, $C$9, 100%, $E$9)</f>
        <v>4.5766999999999998</v>
      </c>
      <c r="E46" s="10">
        <f>CHOOSE(CONTROL!$C$42, 4.6057, 4.6057) * CHOOSE(CONTROL!$C$21, $C$9, 100%, $E$9)</f>
        <v>4.6056999999999997</v>
      </c>
      <c r="F46" s="10">
        <f>CHOOSE(CONTROL!$C$42, 4.3559, 4.3559)*CHOOSE(CONTROL!$C$21, $C$9, 100%, $E$9)</f>
        <v>4.3559000000000001</v>
      </c>
      <c r="G46" s="10">
        <f>CHOOSE(CONTROL!$C$42, 4.3717, 4.3717)*CHOOSE(CONTROL!$C$21, $C$9, 100%, $E$9)</f>
        <v>4.3716999999999997</v>
      </c>
      <c r="H46" s="10">
        <f>CHOOSE(CONTROL!$C$42, 4.5958, 4.5958) * CHOOSE(CONTROL!$C$21, $C$9, 100%, $E$9)</f>
        <v>4.5957999999999997</v>
      </c>
      <c r="I46" s="10">
        <f>CHOOSE(CONTROL!$C$42, 4.39, 4.39)* CHOOSE(CONTROL!$C$21, $C$9, 100%, $E$9)</f>
        <v>4.3899999999999997</v>
      </c>
      <c r="J46" s="10">
        <f>CHOOSE(CONTROL!$C$42, 4.3485, 4.3485)* CHOOSE(CONTROL!$C$21, $C$9, 100%, $E$9)</f>
        <v>4.3484999999999996</v>
      </c>
      <c r="K46" s="10">
        <f>CHOOSE(CONTROL!$C$42, 4.4133, 4.4133) * CHOOSE(CONTROL!$C$21, $C$9, 100%, $E$9)</f>
        <v>4.4132999999999996</v>
      </c>
      <c r="L46" s="10">
        <f>CHOOSE(CONTROL!$C$42, 5.1828, 5.1828) * CHOOSE(CONTROL!$C$21, $C$9, 100%, $E$9)</f>
        <v>5.1828000000000003</v>
      </c>
      <c r="M46" s="10">
        <f>CHOOSE(CONTROL!$C$42, 4.3208, 4.3208) * CHOOSE(CONTROL!$C$21, $C$9, 100%, $E$9)</f>
        <v>4.3208000000000002</v>
      </c>
      <c r="N46" s="10">
        <f>CHOOSE(CONTROL!$C$42, 4.3364, 4.3364) * CHOOSE(CONTROL!$C$21, $C$9, 100%, $E$9)</f>
        <v>4.3364000000000003</v>
      </c>
      <c r="O46" s="10">
        <f>CHOOSE(CONTROL!$C$42, 4.5647, 4.5647) * CHOOSE(CONTROL!$C$21, $C$9, 100%, $E$9)</f>
        <v>4.5647000000000002</v>
      </c>
      <c r="P46" s="10">
        <f>CHOOSE(CONTROL!$C$42, 4.3618, 4.3618) * CHOOSE(CONTROL!$C$21, $C$9, 100%, $E$9)</f>
        <v>4.3617999999999997</v>
      </c>
      <c r="Q46" s="10">
        <f>CHOOSE(CONTROL!$C$42, 5.16, 5.16) * CHOOSE(CONTROL!$C$21, $C$9, 100%, $E$9)</f>
        <v>5.16</v>
      </c>
      <c r="R46" s="10">
        <f>CHOOSE(CONTROL!$C$42, 5.7599, 5.7599) * CHOOSE(CONTROL!$C$21, $C$9, 100%, $E$9)</f>
        <v>5.7599</v>
      </c>
      <c r="S46" s="10">
        <f>CHOOSE(CONTROL!$C$42, 4.286, 4.286) * CHOOSE(CONTROL!$C$21, $C$9, 100%, $E$9)</f>
        <v>4.2859999999999996</v>
      </c>
      <c r="T4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6" s="38">
        <f>(1000*CHOOSE(CONTROL!$C$42, 695, 695)*CHOOSE(CONTROL!$C$42, 0.5599, 0.5599)*CHOOSE(CONTROL!$C$42, 31, 31))/1000000</f>
        <v>12.063045499999998</v>
      </c>
      <c r="V46" s="38">
        <f>(1000*CHOOSE(CONTROL!$C$42, 580, 580)*CHOOSE(CONTROL!$C$42, 0.275, 0.275)*CHOOSE(CONTROL!$C$42, 31, 31))/1000000</f>
        <v>4.9444999999999997</v>
      </c>
      <c r="W46" s="38">
        <f>(1000*CHOOSE(CONTROL!$C$42, 0.1146, 0.1146)*CHOOSE(CONTROL!$C$42, 121.5, 121.5)*CHOOSE(CONTROL!$C$42, 31, 31))/1000000</f>
        <v>0.43164089999999994</v>
      </c>
      <c r="X46" s="38">
        <f>(31*0.1790888*245000/1000000)+(31*0.2374*100000/1000000)</f>
        <v>2.0961194359999999</v>
      </c>
      <c r="Y46" s="38"/>
      <c r="Z46" s="38">
        <f t="shared" si="0"/>
        <v>0.3</v>
      </c>
      <c r="AA46" s="10"/>
      <c r="AB46" s="39"/>
      <c r="AC46" s="33">
        <f>(B46*131.881+C46*277.167+D46*79.08+E46*125.872+F46*40+G46*185+H46*0+I46*100+J46*300)/(131.881+277.167+79.08+125.872+0+40+185+100+300)</f>
        <v>4.4175712247780465</v>
      </c>
      <c r="AD46" s="27">
        <f>(M46*'RAP TEMPLATE-GAS AVAILABILITY'!O45+N46*'RAP TEMPLATE-GAS AVAILABILITY'!P45+O46*'RAP TEMPLATE-GAS AVAILABILITY'!Q45+P46*'RAP TEMPLATE-GAS AVAILABILITY'!R45)/('RAP TEMPLATE-GAS AVAILABILITY'!O45+'RAP TEMPLATE-GAS AVAILABILITY'!P45+'RAP TEMPLATE-GAS AVAILABILITY'!Q45+'RAP TEMPLATE-GAS AVAILABILITY'!R45)</f>
        <v>4.3987230215827333</v>
      </c>
    </row>
    <row r="47" spans="1:30" ht="15">
      <c r="A47" s="16">
        <v>42675</v>
      </c>
      <c r="B47" s="10">
        <f>CHOOSE(CONTROL!$C$42, 4.47, 4.47) * CHOOSE(CONTROL!$C$21, $C$9, 100%, $E$9)</f>
        <v>4.47</v>
      </c>
      <c r="C47" s="10">
        <f>CHOOSE(CONTROL!$C$42, 4.4751, 4.4751) * CHOOSE(CONTROL!$C$21, $C$9, 100%, $E$9)</f>
        <v>4.4751000000000003</v>
      </c>
      <c r="D47" s="10">
        <f>CHOOSE(CONTROL!$C$42, 4.4998, 4.4998) * CHOOSE(CONTROL!$C$21, $C$9, 100%, $E$9)</f>
        <v>4.4997999999999996</v>
      </c>
      <c r="E47" s="10">
        <f>CHOOSE(CONTROL!$C$42, 4.5336, 4.5336) * CHOOSE(CONTROL!$C$21, $C$9, 100%, $E$9)</f>
        <v>4.5335999999999999</v>
      </c>
      <c r="F47" s="10">
        <f>CHOOSE(CONTROL!$C$42, 4.4383, 4.4383)*CHOOSE(CONTROL!$C$21, $C$9, 100%, $E$9)</f>
        <v>4.4382999999999999</v>
      </c>
      <c r="G47" s="10">
        <f>CHOOSE(CONTROL!$C$42, 4.4543, 4.4543)*CHOOSE(CONTROL!$C$21, $C$9, 100%, $E$9)</f>
        <v>4.4542999999999999</v>
      </c>
      <c r="H47" s="10">
        <f>CHOOSE(CONTROL!$C$42, 4.5225, 4.5225) * CHOOSE(CONTROL!$C$21, $C$9, 100%, $E$9)</f>
        <v>4.5225</v>
      </c>
      <c r="I47" s="10">
        <f>CHOOSE(CONTROL!$C$42, 4.485, 4.485)* CHOOSE(CONTROL!$C$21, $C$9, 100%, $E$9)</f>
        <v>4.4850000000000003</v>
      </c>
      <c r="J47" s="10">
        <f>CHOOSE(CONTROL!$C$42, 4.4309, 4.4309)* CHOOSE(CONTROL!$C$21, $C$9, 100%, $E$9)</f>
        <v>4.4309000000000003</v>
      </c>
      <c r="K47" s="10">
        <f>CHOOSE(CONTROL!$C$42, 4.5076, 4.5076) * CHOOSE(CONTROL!$C$21, $C$9, 100%, $E$9)</f>
        <v>4.5076000000000001</v>
      </c>
      <c r="L47" s="10">
        <f>CHOOSE(CONTROL!$C$42, 5.1095, 5.1095) * CHOOSE(CONTROL!$C$21, $C$9, 100%, $E$9)</f>
        <v>5.1094999999999997</v>
      </c>
      <c r="M47" s="10">
        <f>CHOOSE(CONTROL!$C$42, 4.4021, 4.4021) * CHOOSE(CONTROL!$C$21, $C$9, 100%, $E$9)</f>
        <v>4.4020999999999999</v>
      </c>
      <c r="N47" s="10">
        <f>CHOOSE(CONTROL!$C$42, 4.4179, 4.4179) * CHOOSE(CONTROL!$C$21, $C$9, 100%, $E$9)</f>
        <v>4.4179000000000004</v>
      </c>
      <c r="O47" s="10">
        <f>CHOOSE(CONTROL!$C$42, 4.4924, 4.4924) * CHOOSE(CONTROL!$C$21, $C$9, 100%, $E$9)</f>
        <v>4.4923999999999999</v>
      </c>
      <c r="P47" s="10">
        <f>CHOOSE(CONTROL!$C$42, 4.4555, 4.4555) * CHOOSE(CONTROL!$C$21, $C$9, 100%, $E$9)</f>
        <v>4.4554999999999998</v>
      </c>
      <c r="Q47" s="10">
        <f>CHOOSE(CONTROL!$C$42, 5.0877, 5.0877) * CHOOSE(CONTROL!$C$21, $C$9, 100%, $E$9)</f>
        <v>5.0876999999999999</v>
      </c>
      <c r="R47" s="10">
        <f>CHOOSE(CONTROL!$C$42, 5.6874, 5.6874) * CHOOSE(CONTROL!$C$21, $C$9, 100%, $E$9)</f>
        <v>5.6874000000000002</v>
      </c>
      <c r="S47" s="10">
        <f>CHOOSE(CONTROL!$C$42, 4.345, 4.345) * CHOOSE(CONTROL!$C$21, $C$9, 100%, $E$9)</f>
        <v>4.3449999999999998</v>
      </c>
      <c r="T4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7" s="38">
        <f>(1000*CHOOSE(CONTROL!$C$42, 695, 695)*CHOOSE(CONTROL!$C$42, 0.5599, 0.5599)*CHOOSE(CONTROL!$C$42, 30, 30))/1000000</f>
        <v>11.673914999999997</v>
      </c>
      <c r="V47" s="38">
        <f>(1000*CHOOSE(CONTROL!$C$42, 580, 580)*CHOOSE(CONTROL!$C$42, 0.275, 0.275)*CHOOSE(CONTROL!$C$42, 30, 30))/1000000</f>
        <v>4.7850000000000001</v>
      </c>
      <c r="W47" s="38">
        <f>(1000*CHOOSE(CONTROL!$C$42, 0.1146, 0.1146)*CHOOSE(CONTROL!$C$42, 121.5, 121.5)*CHOOSE(CONTROL!$C$42, 30, 30))/1000000</f>
        <v>0.417717</v>
      </c>
      <c r="X47" s="38">
        <f>(30*0.1790888*100000/1000000)+(30*0.2374*100000/1000000)</f>
        <v>1.2494664</v>
      </c>
      <c r="Y47" s="38"/>
      <c r="Z47" s="38">
        <f t="shared" si="0"/>
        <v>0.3</v>
      </c>
      <c r="AA47" s="10"/>
      <c r="AB47" s="39"/>
      <c r="AC47" s="33">
        <f>(B47*122.58+C47*297.941+D47*89.177+E47*40.302+F47*40+G47*160+H47*0+I47*100+J47*300)/(122.58+297.941+89.177+40.302+0+40+160+100+300)</f>
        <v>4.4636784181739131</v>
      </c>
      <c r="AD47" s="27">
        <f>(M47*'RAP TEMPLATE-GAS AVAILABILITY'!O46+N47*'RAP TEMPLATE-GAS AVAILABILITY'!P46+O47*'RAP TEMPLATE-GAS AVAILABILITY'!Q46+P47*'RAP TEMPLATE-GAS AVAILABILITY'!R46)/('RAP TEMPLATE-GAS AVAILABILITY'!O46+'RAP TEMPLATE-GAS AVAILABILITY'!P46+'RAP TEMPLATE-GAS AVAILABILITY'!Q46+'RAP TEMPLATE-GAS AVAILABILITY'!R46)</f>
        <v>4.4516201438848926</v>
      </c>
    </row>
    <row r="48" spans="1:30" ht="15">
      <c r="A48" s="16">
        <v>42705</v>
      </c>
      <c r="B48" s="10">
        <f>CHOOSE(CONTROL!$C$42, 4.627, 4.627) * CHOOSE(CONTROL!$C$21, $C$9, 100%, $E$9)</f>
        <v>4.6269999999999998</v>
      </c>
      <c r="C48" s="10">
        <f>CHOOSE(CONTROL!$C$42, 4.6321, 4.6321) * CHOOSE(CONTROL!$C$21, $C$9, 100%, $E$9)</f>
        <v>4.6321000000000003</v>
      </c>
      <c r="D48" s="10">
        <f>CHOOSE(CONTROL!$C$42, 4.6568, 4.6568) * CHOOSE(CONTROL!$C$21, $C$9, 100%, $E$9)</f>
        <v>4.6567999999999996</v>
      </c>
      <c r="E48" s="10">
        <f>CHOOSE(CONTROL!$C$42, 4.6906, 4.6906) * CHOOSE(CONTROL!$C$21, $C$9, 100%, $E$9)</f>
        <v>4.6905999999999999</v>
      </c>
      <c r="F48" s="10">
        <f>CHOOSE(CONTROL!$C$42, 4.5973, 4.5973)*CHOOSE(CONTROL!$C$21, $C$9, 100%, $E$9)</f>
        <v>4.5972999999999997</v>
      </c>
      <c r="G48" s="10">
        <f>CHOOSE(CONTROL!$C$42, 4.6137, 4.6137)*CHOOSE(CONTROL!$C$21, $C$9, 100%, $E$9)</f>
        <v>4.6136999999999997</v>
      </c>
      <c r="H48" s="10">
        <f>CHOOSE(CONTROL!$C$42, 4.6794, 4.6794) * CHOOSE(CONTROL!$C$21, $C$9, 100%, $E$9)</f>
        <v>4.6794000000000002</v>
      </c>
      <c r="I48" s="10">
        <f>CHOOSE(CONTROL!$C$42, 4.642, 4.642)* CHOOSE(CONTROL!$C$21, $C$9, 100%, $E$9)</f>
        <v>4.6420000000000003</v>
      </c>
      <c r="J48" s="10">
        <f>CHOOSE(CONTROL!$C$42, 4.5899, 4.5899)* CHOOSE(CONTROL!$C$21, $C$9, 100%, $E$9)</f>
        <v>4.5899000000000001</v>
      </c>
      <c r="K48" s="10">
        <f>CHOOSE(CONTROL!$C$42, 4.6638, 4.6638) * CHOOSE(CONTROL!$C$21, $C$9, 100%, $E$9)</f>
        <v>4.6638000000000002</v>
      </c>
      <c r="L48" s="10">
        <f>CHOOSE(CONTROL!$C$42, 5.2664, 5.2664) * CHOOSE(CONTROL!$C$21, $C$9, 100%, $E$9)</f>
        <v>5.2664</v>
      </c>
      <c r="M48" s="10">
        <f>CHOOSE(CONTROL!$C$42, 4.5588, 4.5588) * CHOOSE(CONTROL!$C$21, $C$9, 100%, $E$9)</f>
        <v>4.5587999999999997</v>
      </c>
      <c r="N48" s="10">
        <f>CHOOSE(CONTROL!$C$42, 4.5751, 4.5751) * CHOOSE(CONTROL!$C$21, $C$9, 100%, $E$9)</f>
        <v>4.5750999999999999</v>
      </c>
      <c r="O48" s="10">
        <f>CHOOSE(CONTROL!$C$42, 4.6472, 4.6472) * CHOOSE(CONTROL!$C$21, $C$9, 100%, $E$9)</f>
        <v>4.6471999999999998</v>
      </c>
      <c r="P48" s="10">
        <f>CHOOSE(CONTROL!$C$42, 4.6103, 4.6103) * CHOOSE(CONTROL!$C$21, $C$9, 100%, $E$9)</f>
        <v>4.6102999999999996</v>
      </c>
      <c r="Q48" s="10">
        <f>CHOOSE(CONTROL!$C$42, 5.2425, 5.2425) * CHOOSE(CONTROL!$C$21, $C$9, 100%, $E$9)</f>
        <v>5.2424999999999997</v>
      </c>
      <c r="R48" s="10">
        <f>CHOOSE(CONTROL!$C$42, 5.8426, 5.8426) * CHOOSE(CONTROL!$C$21, $C$9, 100%, $E$9)</f>
        <v>5.8426</v>
      </c>
      <c r="S48" s="10">
        <f>CHOOSE(CONTROL!$C$42, 4.497, 4.497) * CHOOSE(CONTROL!$C$21, $C$9, 100%, $E$9)</f>
        <v>4.4969999999999999</v>
      </c>
      <c r="T4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8" s="38">
        <f>(1000*CHOOSE(CONTROL!$C$42, 695, 695)*CHOOSE(CONTROL!$C$42, 0.5599, 0.5599)*CHOOSE(CONTROL!$C$42, 31, 31))/1000000</f>
        <v>12.063045499999998</v>
      </c>
      <c r="V48" s="38">
        <f>(1000*CHOOSE(CONTROL!$C$42, 580, 580)*CHOOSE(CONTROL!$C$42, 0.275, 0.275)*CHOOSE(CONTROL!$C$42, 31, 31))/1000000</f>
        <v>4.9444999999999997</v>
      </c>
      <c r="W48" s="38">
        <f>(1000*CHOOSE(CONTROL!$C$42, 0.1146, 0.1146)*CHOOSE(CONTROL!$C$42, 121.5, 121.5)*CHOOSE(CONTROL!$C$42, 31, 31))/1000000</f>
        <v>0.43164089999999994</v>
      </c>
      <c r="X48" s="38">
        <f>(31*0.1790888*100000/1000000)+(31*0.2374*100000/1000000)</f>
        <v>1.2911152800000001</v>
      </c>
      <c r="Y48" s="38"/>
      <c r="Z48" s="38">
        <f t="shared" si="0"/>
        <v>0.3</v>
      </c>
      <c r="AA48" s="10"/>
      <c r="AB48" s="39"/>
      <c r="AC48" s="33">
        <f>(B48*122.58+C48*297.941+D48*89.177+E48*40.302+F48*40+G48*160+H48*0+I48*100+J48*300)/(122.58+297.941+89.177+40.302+0+40+160+100+300)</f>
        <v>4.6216036355652177</v>
      </c>
      <c r="AD48" s="27">
        <f>(M48*'RAP TEMPLATE-GAS AVAILABILITY'!O47+N48*'RAP TEMPLATE-GAS AVAILABILITY'!P47+O48*'RAP TEMPLATE-GAS AVAILABILITY'!Q47+P48*'RAP TEMPLATE-GAS AVAILABILITY'!R47)/('RAP TEMPLATE-GAS AVAILABILITY'!O47+'RAP TEMPLATE-GAS AVAILABILITY'!P47+'RAP TEMPLATE-GAS AVAILABILITY'!Q47+'RAP TEMPLATE-GAS AVAILABILITY'!R47)</f>
        <v>4.6072143884892078</v>
      </c>
    </row>
    <row r="49" spans="1:30" ht="15">
      <c r="A49" s="16">
        <v>42736</v>
      </c>
      <c r="B49" s="10">
        <f>CHOOSE(CONTROL!$C$42, 4.9149, 4.9149) * CHOOSE(CONTROL!$C$21, $C$9, 100%, $E$9)</f>
        <v>4.9149000000000003</v>
      </c>
      <c r="C49" s="10">
        <f>CHOOSE(CONTROL!$C$42, 4.92, 4.92) * CHOOSE(CONTROL!$C$21, $C$9, 100%, $E$9)</f>
        <v>4.92</v>
      </c>
      <c r="D49" s="10">
        <f>CHOOSE(CONTROL!$C$42, 4.9524, 4.9524) * CHOOSE(CONTROL!$C$21, $C$9, 100%, $E$9)</f>
        <v>4.9523999999999999</v>
      </c>
      <c r="E49" s="10">
        <f>CHOOSE(CONTROL!$C$42, 4.9863, 4.9863) * CHOOSE(CONTROL!$C$21, $C$9, 100%, $E$9)</f>
        <v>4.9863</v>
      </c>
      <c r="F49" s="10">
        <f>CHOOSE(CONTROL!$C$42, 4.8991, 4.8991)*CHOOSE(CONTROL!$C$21, $C$9, 100%, $E$9)</f>
        <v>4.8990999999999998</v>
      </c>
      <c r="G49" s="10">
        <f>CHOOSE(CONTROL!$C$42, 4.9171, 4.9171)*CHOOSE(CONTROL!$C$21, $C$9, 100%, $E$9)</f>
        <v>4.9170999999999996</v>
      </c>
      <c r="H49" s="10">
        <f>CHOOSE(CONTROL!$C$42, 4.9751, 4.9751) * CHOOSE(CONTROL!$C$21, $C$9, 100%, $E$9)</f>
        <v>4.9751000000000003</v>
      </c>
      <c r="I49" s="10">
        <f>CHOOSE(CONTROL!$C$42, 4.9284, 4.9284)* CHOOSE(CONTROL!$C$21, $C$9, 100%, $E$9)</f>
        <v>4.9283999999999999</v>
      </c>
      <c r="J49" s="10">
        <f>CHOOSE(CONTROL!$C$42, 4.8917, 4.8917)* CHOOSE(CONTROL!$C$21, $C$9, 100%, $E$9)</f>
        <v>4.8917000000000002</v>
      </c>
      <c r="K49" s="10">
        <f>CHOOSE(CONTROL!$C$42, 4.9551, 4.9551) * CHOOSE(CONTROL!$C$21, $C$9, 100%, $E$9)</f>
        <v>4.9550999999999998</v>
      </c>
      <c r="L49" s="10">
        <f>CHOOSE(CONTROL!$C$42, 5.5621, 5.5621) * CHOOSE(CONTROL!$C$21, $C$9, 100%, $E$9)</f>
        <v>5.5621</v>
      </c>
      <c r="M49" s="10">
        <f>CHOOSE(CONTROL!$C$42, 4.8565, 4.8565) * CHOOSE(CONTROL!$C$21, $C$9, 100%, $E$9)</f>
        <v>4.8564999999999996</v>
      </c>
      <c r="N49" s="10">
        <f>CHOOSE(CONTROL!$C$42, 4.8743, 4.8743) * CHOOSE(CONTROL!$C$21, $C$9, 100%, $E$9)</f>
        <v>4.8742999999999999</v>
      </c>
      <c r="O49" s="10">
        <f>CHOOSE(CONTROL!$C$42, 4.9387, 4.9387) * CHOOSE(CONTROL!$C$21, $C$9, 100%, $E$9)</f>
        <v>4.9386999999999999</v>
      </c>
      <c r="P49" s="10">
        <f>CHOOSE(CONTROL!$C$42, 4.8927, 4.8927) * CHOOSE(CONTROL!$C$21, $C$9, 100%, $E$9)</f>
        <v>4.8926999999999996</v>
      </c>
      <c r="Q49" s="10">
        <f>CHOOSE(CONTROL!$C$42, 5.534, 5.534) * CHOOSE(CONTROL!$C$21, $C$9, 100%, $E$9)</f>
        <v>5.5339999999999998</v>
      </c>
      <c r="R49" s="10">
        <f>CHOOSE(CONTROL!$C$42, 6.1349, 6.1349) * CHOOSE(CONTROL!$C$21, $C$9, 100%, $E$9)</f>
        <v>6.1349</v>
      </c>
      <c r="S49" s="10">
        <f>CHOOSE(CONTROL!$C$42, 4.7758, 4.7758) * CHOOSE(CONTROL!$C$21, $C$9, 100%, $E$9)</f>
        <v>4.7758000000000003</v>
      </c>
      <c r="T4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9" s="38">
        <f>(1000*CHOOSE(CONTROL!$C$42, 695, 695)*CHOOSE(CONTROL!$C$42, 0.5599, 0.5599)*CHOOSE(CONTROL!$C$42, 31, 31))/1000000</f>
        <v>12.063045499999998</v>
      </c>
      <c r="V49" s="38">
        <f>(1000*CHOOSE(CONTROL!$C$42, 580, 580)*CHOOSE(CONTROL!$C$42, 0.275, 0.275)*CHOOSE(CONTROL!$C$42, 31, 31))/1000000</f>
        <v>4.9444999999999997</v>
      </c>
      <c r="W49" s="38">
        <f>(1000*CHOOSE(CONTROL!$C$42, 0.1146, 0.1146)*CHOOSE(CONTROL!$C$42, 121.5, 121.5)*CHOOSE(CONTROL!$C$42, 31, 31))/1000000</f>
        <v>0.43164089999999994</v>
      </c>
      <c r="X49" s="38">
        <f>(31*0.1790888*100000/1000000)+(31*0.2374*100000/1000000)</f>
        <v>1.2911152800000001</v>
      </c>
      <c r="Y49" s="38"/>
      <c r="Z49" s="38">
        <f t="shared" si="0"/>
        <v>0.3</v>
      </c>
      <c r="AA49" s="10"/>
      <c r="AB49" s="39"/>
      <c r="AC49" s="33">
        <f>(B49*122.58+C49*297.941+D49*89.177+E49*40.302+F49*40+G49*160+H49*0+I49*100+J49*300)/(122.58+297.941+89.177+40.302+0+40+160+100+300)</f>
        <v>4.9165097386086956</v>
      </c>
      <c r="AD49" s="27">
        <f>(M49*'RAP TEMPLATE-GAS AVAILABILITY'!O48+N49*'RAP TEMPLATE-GAS AVAILABILITY'!P48+O49*'RAP TEMPLATE-GAS AVAILABILITY'!Q48+P49*'RAP TEMPLATE-GAS AVAILABILITY'!R48)/('RAP TEMPLATE-GAS AVAILABILITY'!O48+'RAP TEMPLATE-GAS AVAILABILITY'!P48+'RAP TEMPLATE-GAS AVAILABILITY'!Q48+'RAP TEMPLATE-GAS AVAILABILITY'!R48)</f>
        <v>4.8999892086330936</v>
      </c>
    </row>
    <row r="50" spans="1:30" ht="15">
      <c r="A50" s="16">
        <v>42767</v>
      </c>
      <c r="B50" s="10">
        <f>CHOOSE(CONTROL!$C$42, 5.0027, 5.0027) * CHOOSE(CONTROL!$C$21, $C$9, 100%, $E$9)</f>
        <v>5.0026999999999999</v>
      </c>
      <c r="C50" s="10">
        <f>CHOOSE(CONTROL!$C$42, 5.0078, 5.0078) * CHOOSE(CONTROL!$C$21, $C$9, 100%, $E$9)</f>
        <v>5.0077999999999996</v>
      </c>
      <c r="D50" s="10">
        <f>CHOOSE(CONTROL!$C$42, 5.0402, 5.0402) * CHOOSE(CONTROL!$C$21, $C$9, 100%, $E$9)</f>
        <v>5.0401999999999996</v>
      </c>
      <c r="E50" s="10">
        <f>CHOOSE(CONTROL!$C$42, 5.074, 5.074) * CHOOSE(CONTROL!$C$21, $C$9, 100%, $E$9)</f>
        <v>5.0739999999999998</v>
      </c>
      <c r="F50" s="10">
        <f>CHOOSE(CONTROL!$C$42, 4.9864, 4.9864)*CHOOSE(CONTROL!$C$21, $C$9, 100%, $E$9)</f>
        <v>4.9863999999999997</v>
      </c>
      <c r="G50" s="10">
        <f>CHOOSE(CONTROL!$C$42, 5.0044, 5.0044)*CHOOSE(CONTROL!$C$21, $C$9, 100%, $E$9)</f>
        <v>5.0044000000000004</v>
      </c>
      <c r="H50" s="10">
        <f>CHOOSE(CONTROL!$C$42, 5.0629, 5.0629) * CHOOSE(CONTROL!$C$21, $C$9, 100%, $E$9)</f>
        <v>5.0629</v>
      </c>
      <c r="I50" s="10">
        <f>CHOOSE(CONTROL!$C$42, 5.0161, 5.0161)* CHOOSE(CONTROL!$C$21, $C$9, 100%, $E$9)</f>
        <v>5.0160999999999998</v>
      </c>
      <c r="J50" s="10">
        <f>CHOOSE(CONTROL!$C$42, 4.979, 4.979)* CHOOSE(CONTROL!$C$21, $C$9, 100%, $E$9)</f>
        <v>4.9790000000000001</v>
      </c>
      <c r="K50" s="10">
        <f>CHOOSE(CONTROL!$C$42, 5.0392, 5.0392) * CHOOSE(CONTROL!$C$21, $C$9, 100%, $E$9)</f>
        <v>5.0392000000000001</v>
      </c>
      <c r="L50" s="10">
        <f>CHOOSE(CONTROL!$C$42, 5.6499, 5.6499) * CHOOSE(CONTROL!$C$21, $C$9, 100%, $E$9)</f>
        <v>5.6498999999999997</v>
      </c>
      <c r="M50" s="10">
        <f>CHOOSE(CONTROL!$C$42, 4.9426, 4.9426) * CHOOSE(CONTROL!$C$21, $C$9, 100%, $E$9)</f>
        <v>4.9425999999999997</v>
      </c>
      <c r="N50" s="10">
        <f>CHOOSE(CONTROL!$C$42, 4.9603, 4.9603) * CHOOSE(CONTROL!$C$21, $C$9, 100%, $E$9)</f>
        <v>4.9603000000000002</v>
      </c>
      <c r="O50" s="10">
        <f>CHOOSE(CONTROL!$C$42, 5.0253, 5.0253) * CHOOSE(CONTROL!$C$21, $C$9, 100%, $E$9)</f>
        <v>5.0252999999999997</v>
      </c>
      <c r="P50" s="10">
        <f>CHOOSE(CONTROL!$C$42, 4.9792, 4.9792) * CHOOSE(CONTROL!$C$21, $C$9, 100%, $E$9)</f>
        <v>4.9791999999999996</v>
      </c>
      <c r="Q50" s="10">
        <f>CHOOSE(CONTROL!$C$42, 5.6206, 5.6206) * CHOOSE(CONTROL!$C$21, $C$9, 100%, $E$9)</f>
        <v>5.6205999999999996</v>
      </c>
      <c r="R50" s="10">
        <f>CHOOSE(CONTROL!$C$42, 6.2217, 6.2217) * CHOOSE(CONTROL!$C$21, $C$9, 100%, $E$9)</f>
        <v>6.2217000000000002</v>
      </c>
      <c r="S50" s="10">
        <f>CHOOSE(CONTROL!$C$42, 4.8608, 4.8608) * CHOOSE(CONTROL!$C$21, $C$9, 100%, $E$9)</f>
        <v>4.8608000000000002</v>
      </c>
      <c r="T5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0" s="38">
        <f>(1000*CHOOSE(CONTROL!$C$42, 695, 695)*CHOOSE(CONTROL!$C$42, 0.5599, 0.5599)*CHOOSE(CONTROL!$C$42, 28, 28))/1000000</f>
        <v>10.895653999999999</v>
      </c>
      <c r="V50" s="38">
        <f>(1000*CHOOSE(CONTROL!$C$42, 580, 580)*CHOOSE(CONTROL!$C$42, 0.275, 0.275)*CHOOSE(CONTROL!$C$42, 28, 28))/1000000</f>
        <v>4.4660000000000002</v>
      </c>
      <c r="W50" s="38">
        <f>(1000*CHOOSE(CONTROL!$C$42, 0.1146, 0.1146)*CHOOSE(CONTROL!$C$42, 121.5, 121.5)*CHOOSE(CONTROL!$C$42, 28, 28))/1000000</f>
        <v>0.38986920000000003</v>
      </c>
      <c r="X50" s="38">
        <f>(28*0.1790888*100000/1000000)+(28*0.2374*100000/1000000)</f>
        <v>1.16616864</v>
      </c>
      <c r="Y50" s="38"/>
      <c r="Z50" s="38">
        <f t="shared" si="0"/>
        <v>0.3</v>
      </c>
      <c r="AA50" s="10"/>
      <c r="AB50" s="39"/>
      <c r="AC50" s="33">
        <f>(B50*122.58+C50*297.941+D50*89.177+E50*40.302+F50*40+G50*160+H50*0+I50*100+J50*300)/(122.58+297.941+89.177+40.302+0+40+160+100+300)</f>
        <v>5.0040801471304341</v>
      </c>
      <c r="AD50" s="27">
        <f>(M50*'RAP TEMPLATE-GAS AVAILABILITY'!O49+N50*'RAP TEMPLATE-GAS AVAILABILITY'!P49+O50*'RAP TEMPLATE-GAS AVAILABILITY'!Q49+P50*'RAP TEMPLATE-GAS AVAILABILITY'!R49)/('RAP TEMPLATE-GAS AVAILABILITY'!O49+'RAP TEMPLATE-GAS AVAILABILITY'!P49+'RAP TEMPLATE-GAS AVAILABILITY'!Q49+'RAP TEMPLATE-GAS AVAILABILITY'!R49)</f>
        <v>4.9863676258992804</v>
      </c>
    </row>
    <row r="51" spans="1:30" ht="15">
      <c r="A51" s="16">
        <v>42795</v>
      </c>
      <c r="B51" s="10">
        <f>CHOOSE(CONTROL!$C$42, 4.8602, 4.8602) * CHOOSE(CONTROL!$C$21, $C$9, 100%, $E$9)</f>
        <v>4.8601999999999999</v>
      </c>
      <c r="C51" s="10">
        <f>CHOOSE(CONTROL!$C$42, 4.8653, 4.8653) * CHOOSE(CONTROL!$C$21, $C$9, 100%, $E$9)</f>
        <v>4.8653000000000004</v>
      </c>
      <c r="D51" s="10">
        <f>CHOOSE(CONTROL!$C$42, 4.8977, 4.8977) * CHOOSE(CONTROL!$C$21, $C$9, 100%, $E$9)</f>
        <v>4.8977000000000004</v>
      </c>
      <c r="E51" s="10">
        <f>CHOOSE(CONTROL!$C$42, 4.9315, 4.9315) * CHOOSE(CONTROL!$C$21, $C$9, 100%, $E$9)</f>
        <v>4.9314999999999998</v>
      </c>
      <c r="F51" s="10">
        <f>CHOOSE(CONTROL!$C$42, 4.8425, 4.8425)*CHOOSE(CONTROL!$C$21, $C$9, 100%, $E$9)</f>
        <v>4.8425000000000002</v>
      </c>
      <c r="G51" s="10">
        <f>CHOOSE(CONTROL!$C$42, 4.86, 4.86)*CHOOSE(CONTROL!$C$21, $C$9, 100%, $E$9)</f>
        <v>4.8600000000000003</v>
      </c>
      <c r="H51" s="10">
        <f>CHOOSE(CONTROL!$C$42, 4.9204, 4.9204) * CHOOSE(CONTROL!$C$21, $C$9, 100%, $E$9)</f>
        <v>4.9203999999999999</v>
      </c>
      <c r="I51" s="10">
        <f>CHOOSE(CONTROL!$C$42, 4.8736, 4.8736)* CHOOSE(CONTROL!$C$21, $C$9, 100%, $E$9)</f>
        <v>4.8735999999999997</v>
      </c>
      <c r="J51" s="10">
        <f>CHOOSE(CONTROL!$C$42, 4.8351, 4.8351)* CHOOSE(CONTROL!$C$21, $C$9, 100%, $E$9)</f>
        <v>4.8350999999999997</v>
      </c>
      <c r="K51" s="10">
        <f>CHOOSE(CONTROL!$C$42, 4.898, 4.898) * CHOOSE(CONTROL!$C$21, $C$9, 100%, $E$9)</f>
        <v>4.8979999999999997</v>
      </c>
      <c r="L51" s="10">
        <f>CHOOSE(CONTROL!$C$42, 5.5074, 5.5074) * CHOOSE(CONTROL!$C$21, $C$9, 100%, $E$9)</f>
        <v>5.5073999999999996</v>
      </c>
      <c r="M51" s="10">
        <f>CHOOSE(CONTROL!$C$42, 4.8006, 4.8006) * CHOOSE(CONTROL!$C$21, $C$9, 100%, $E$9)</f>
        <v>4.8006000000000002</v>
      </c>
      <c r="N51" s="10">
        <f>CHOOSE(CONTROL!$C$42, 4.818, 4.818) * CHOOSE(CONTROL!$C$21, $C$9, 100%, $E$9)</f>
        <v>4.8179999999999996</v>
      </c>
      <c r="O51" s="10">
        <f>CHOOSE(CONTROL!$C$42, 4.8848, 4.8848) * CHOOSE(CONTROL!$C$21, $C$9, 100%, $E$9)</f>
        <v>4.8848000000000003</v>
      </c>
      <c r="P51" s="10">
        <f>CHOOSE(CONTROL!$C$42, 4.8387, 4.8387) * CHOOSE(CONTROL!$C$21, $C$9, 100%, $E$9)</f>
        <v>4.8387000000000002</v>
      </c>
      <c r="Q51" s="10">
        <f>CHOOSE(CONTROL!$C$42, 5.4801, 5.4801) * CHOOSE(CONTROL!$C$21, $C$9, 100%, $E$9)</f>
        <v>5.4801000000000002</v>
      </c>
      <c r="R51" s="10">
        <f>CHOOSE(CONTROL!$C$42, 6.0808, 6.0808) * CHOOSE(CONTROL!$C$21, $C$9, 100%, $E$9)</f>
        <v>6.0808</v>
      </c>
      <c r="S51" s="10">
        <f>CHOOSE(CONTROL!$C$42, 4.7228, 4.7228) * CHOOSE(CONTROL!$C$21, $C$9, 100%, $E$9)</f>
        <v>4.7228000000000003</v>
      </c>
      <c r="T5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1" s="38">
        <f>(1000*CHOOSE(CONTROL!$C$42, 695, 695)*CHOOSE(CONTROL!$C$42, 0.5599, 0.5599)*CHOOSE(CONTROL!$C$42, 31, 31))/1000000</f>
        <v>12.063045499999998</v>
      </c>
      <c r="V51" s="38">
        <f>(1000*CHOOSE(CONTROL!$C$42, 580, 580)*CHOOSE(CONTROL!$C$42, 0.275, 0.275)*CHOOSE(CONTROL!$C$42, 31, 31))/1000000</f>
        <v>4.9444999999999997</v>
      </c>
      <c r="W51" s="38">
        <f>(1000*CHOOSE(CONTROL!$C$42, 0.1146, 0.1146)*CHOOSE(CONTROL!$C$42, 121.5, 121.5)*CHOOSE(CONTROL!$C$42, 31, 31))/1000000</f>
        <v>0.43164089999999994</v>
      </c>
      <c r="X51" s="38">
        <f>(31*0.1790888*100000/1000000)+(31*0.2374*100000/1000000)</f>
        <v>1.2911152800000001</v>
      </c>
      <c r="Y51" s="38"/>
      <c r="Z51" s="38">
        <f t="shared" si="0"/>
        <v>0.3</v>
      </c>
      <c r="AA51" s="10"/>
      <c r="AB51" s="39"/>
      <c r="AC51" s="33">
        <f>(B51*122.58+C51*297.941+D51*89.177+E51*40.302+F51*40+G51*160+H51*0+I51*100+J51*300)/(122.58+297.941+89.177+40.302+0+40+160+100+300)</f>
        <v>4.8609018862608684</v>
      </c>
      <c r="AD51" s="27">
        <f>(M51*'RAP TEMPLATE-GAS AVAILABILITY'!O50+N51*'RAP TEMPLATE-GAS AVAILABILITY'!P50+O51*'RAP TEMPLATE-GAS AVAILABILITY'!Q50+P51*'RAP TEMPLATE-GAS AVAILABILITY'!R50)/('RAP TEMPLATE-GAS AVAILABILITY'!O50+'RAP TEMPLATE-GAS AVAILABILITY'!P50+'RAP TEMPLATE-GAS AVAILABILITY'!Q50+'RAP TEMPLATE-GAS AVAILABILITY'!R50)</f>
        <v>4.8452460431654671</v>
      </c>
    </row>
    <row r="52" spans="1:30" ht="15">
      <c r="A52" s="16">
        <v>42826</v>
      </c>
      <c r="B52" s="10">
        <f>CHOOSE(CONTROL!$C$42, 4.8464, 4.8464) * CHOOSE(CONTROL!$C$21, $C$9, 100%, $E$9)</f>
        <v>4.8464</v>
      </c>
      <c r="C52" s="10">
        <f>CHOOSE(CONTROL!$C$42, 4.8509, 4.8509) * CHOOSE(CONTROL!$C$21, $C$9, 100%, $E$9)</f>
        <v>4.8509000000000002</v>
      </c>
      <c r="D52" s="10">
        <f>CHOOSE(CONTROL!$C$42, 5.011, 5.011) * CHOOSE(CONTROL!$C$21, $C$9, 100%, $E$9)</f>
        <v>5.0110000000000001</v>
      </c>
      <c r="E52" s="10">
        <f>CHOOSE(CONTROL!$C$42, 5.0429, 5.0429) * CHOOSE(CONTROL!$C$21, $C$9, 100%, $E$9)</f>
        <v>5.0429000000000004</v>
      </c>
      <c r="F52" s="10">
        <f>CHOOSE(CONTROL!$C$42, 4.7925, 4.7925)*CHOOSE(CONTROL!$C$21, $C$9, 100%, $E$9)</f>
        <v>4.7925000000000004</v>
      </c>
      <c r="G52" s="10">
        <f>CHOOSE(CONTROL!$C$42, 4.8083, 4.8083)*CHOOSE(CONTROL!$C$21, $C$9, 100%, $E$9)</f>
        <v>4.8083</v>
      </c>
      <c r="H52" s="10">
        <f>CHOOSE(CONTROL!$C$42, 5.0323, 5.0323) * CHOOSE(CONTROL!$C$21, $C$9, 100%, $E$9)</f>
        <v>5.0323000000000002</v>
      </c>
      <c r="I52" s="10">
        <f>CHOOSE(CONTROL!$C$42, 4.8265, 4.8265)* CHOOSE(CONTROL!$C$21, $C$9, 100%, $E$9)</f>
        <v>4.8265000000000002</v>
      </c>
      <c r="J52" s="10">
        <f>CHOOSE(CONTROL!$C$42, 4.7851, 4.7851)* CHOOSE(CONTROL!$C$21, $C$9, 100%, $E$9)</f>
        <v>4.7850999999999999</v>
      </c>
      <c r="K52" s="10">
        <f>CHOOSE(CONTROL!$C$42, 4.8364, 4.8364) * CHOOSE(CONTROL!$C$21, $C$9, 100%, $E$9)</f>
        <v>4.8364000000000003</v>
      </c>
      <c r="L52" s="10">
        <f>CHOOSE(CONTROL!$C$42, 5.6193, 5.6193) * CHOOSE(CONTROL!$C$21, $C$9, 100%, $E$9)</f>
        <v>5.6193</v>
      </c>
      <c r="M52" s="10">
        <f>CHOOSE(CONTROL!$C$42, 4.7513, 4.7513) * CHOOSE(CONTROL!$C$21, $C$9, 100%, $E$9)</f>
        <v>4.7512999999999996</v>
      </c>
      <c r="N52" s="10">
        <f>CHOOSE(CONTROL!$C$42, 4.7669, 4.7669) * CHOOSE(CONTROL!$C$21, $C$9, 100%, $E$9)</f>
        <v>4.7668999999999997</v>
      </c>
      <c r="O52" s="10">
        <f>CHOOSE(CONTROL!$C$42, 4.9952, 4.9952) * CHOOSE(CONTROL!$C$21, $C$9, 100%, $E$9)</f>
        <v>4.9951999999999996</v>
      </c>
      <c r="P52" s="10">
        <f>CHOOSE(CONTROL!$C$42, 4.7923, 4.7923) * CHOOSE(CONTROL!$C$21, $C$9, 100%, $E$9)</f>
        <v>4.7923</v>
      </c>
      <c r="Q52" s="10">
        <f>CHOOSE(CONTROL!$C$42, 5.5905, 5.5905) * CHOOSE(CONTROL!$C$21, $C$9, 100%, $E$9)</f>
        <v>5.5904999999999996</v>
      </c>
      <c r="R52" s="10">
        <f>CHOOSE(CONTROL!$C$42, 6.1914, 6.1914) * CHOOSE(CONTROL!$C$21, $C$9, 100%, $E$9)</f>
        <v>6.1913999999999998</v>
      </c>
      <c r="S52" s="10">
        <f>CHOOSE(CONTROL!$C$42, 4.7087, 4.7087) * CHOOSE(CONTROL!$C$21, $C$9, 100%, $E$9)</f>
        <v>4.7087000000000003</v>
      </c>
      <c r="T5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2" s="38">
        <f>(1000*CHOOSE(CONTROL!$C$42, 695, 695)*CHOOSE(CONTROL!$C$42, 0.5599, 0.5599)*CHOOSE(CONTROL!$C$42, 30, 30))/1000000</f>
        <v>11.673914999999997</v>
      </c>
      <c r="V52" s="38">
        <f>(1000*CHOOSE(CONTROL!$C$42, 580, 580)*CHOOSE(CONTROL!$C$42, 0.275, 0.275)*CHOOSE(CONTROL!$C$42, 30, 30))/1000000</f>
        <v>4.7850000000000001</v>
      </c>
      <c r="W52" s="38">
        <f>(1000*CHOOSE(CONTROL!$C$42, 0.1146, 0.1146)*CHOOSE(CONTROL!$C$42, 121.5, 121.5)*CHOOSE(CONTROL!$C$42, 30, 30))/1000000</f>
        <v>0.417717</v>
      </c>
      <c r="X52" s="38">
        <f>(30*0.1790888*245000/1000000)+(30*0.2374*100000/1000000)</f>
        <v>2.0285026799999999</v>
      </c>
      <c r="Y52" s="38"/>
      <c r="Z52" s="38">
        <f t="shared" si="0"/>
        <v>0.3</v>
      </c>
      <c r="AA52" s="10"/>
      <c r="AB52" s="39"/>
      <c r="AC52" s="33">
        <f>(B52*141.293+C52*267.993+D52*115.016+E52*89.698+F52*40+G52*185+H52*0+I52*100+J52*300)/(141.293+267.993+115.016+89.698+0+40+185+100+300)</f>
        <v>4.85300109693301</v>
      </c>
      <c r="AD52" s="27">
        <f>(M52*'RAP TEMPLATE-GAS AVAILABILITY'!O51+N52*'RAP TEMPLATE-GAS AVAILABILITY'!P51+O52*'RAP TEMPLATE-GAS AVAILABILITY'!Q51+P52*'RAP TEMPLATE-GAS AVAILABILITY'!R51)/('RAP TEMPLATE-GAS AVAILABILITY'!O51+'RAP TEMPLATE-GAS AVAILABILITY'!P51+'RAP TEMPLATE-GAS AVAILABILITY'!Q51+'RAP TEMPLATE-GAS AVAILABILITY'!R51)</f>
        <v>4.8292230215827336</v>
      </c>
    </row>
    <row r="53" spans="1:30" ht="15">
      <c r="A53" s="16">
        <v>42856</v>
      </c>
      <c r="B53" s="10">
        <f>CHOOSE(CONTROL!$C$42, 4.8911, 4.8911) * CHOOSE(CONTROL!$C$21, $C$9, 100%, $E$9)</f>
        <v>4.8910999999999998</v>
      </c>
      <c r="C53" s="10">
        <f>CHOOSE(CONTROL!$C$42, 4.8991, 4.8991) * CHOOSE(CONTROL!$C$21, $C$9, 100%, $E$9)</f>
        <v>4.8990999999999998</v>
      </c>
      <c r="D53" s="10">
        <f>CHOOSE(CONTROL!$C$42, 5.0562, 5.0562) * CHOOSE(CONTROL!$C$21, $C$9, 100%, $E$9)</f>
        <v>5.0561999999999996</v>
      </c>
      <c r="E53" s="10">
        <f>CHOOSE(CONTROL!$C$42, 5.0874, 5.0874) * CHOOSE(CONTROL!$C$21, $C$9, 100%, $E$9)</f>
        <v>5.0873999999999997</v>
      </c>
      <c r="F53" s="10">
        <f>CHOOSE(CONTROL!$C$42, 4.8352, 4.8352)*CHOOSE(CONTROL!$C$21, $C$9, 100%, $E$9)</f>
        <v>4.8352000000000004</v>
      </c>
      <c r="G53" s="10">
        <f>CHOOSE(CONTROL!$C$42, 4.8514, 4.8514)*CHOOSE(CONTROL!$C$21, $C$9, 100%, $E$9)</f>
        <v>4.8513999999999999</v>
      </c>
      <c r="H53" s="10">
        <f>CHOOSE(CONTROL!$C$42, 5.0757, 5.0757) * CHOOSE(CONTROL!$C$21, $C$9, 100%, $E$9)</f>
        <v>5.0757000000000003</v>
      </c>
      <c r="I53" s="10">
        <f>CHOOSE(CONTROL!$C$42, 4.8699, 4.8699)* CHOOSE(CONTROL!$C$21, $C$9, 100%, $E$9)</f>
        <v>4.8699000000000003</v>
      </c>
      <c r="J53" s="10">
        <f>CHOOSE(CONTROL!$C$42, 4.8278, 4.8278)* CHOOSE(CONTROL!$C$21, $C$9, 100%, $E$9)</f>
        <v>4.8277999999999999</v>
      </c>
      <c r="K53" s="10">
        <f>CHOOSE(CONTROL!$C$42, 4.8771, 4.8771) * CHOOSE(CONTROL!$C$21, $C$9, 100%, $E$9)</f>
        <v>4.8771000000000004</v>
      </c>
      <c r="L53" s="10">
        <f>CHOOSE(CONTROL!$C$42, 5.6627, 5.6627) * CHOOSE(CONTROL!$C$21, $C$9, 100%, $E$9)</f>
        <v>5.6627000000000001</v>
      </c>
      <c r="M53" s="10">
        <f>CHOOSE(CONTROL!$C$42, 4.7935, 4.7935) * CHOOSE(CONTROL!$C$21, $C$9, 100%, $E$9)</f>
        <v>4.7934999999999999</v>
      </c>
      <c r="N53" s="10">
        <f>CHOOSE(CONTROL!$C$42, 4.8094, 4.8094) * CHOOSE(CONTROL!$C$21, $C$9, 100%, $E$9)</f>
        <v>4.8094000000000001</v>
      </c>
      <c r="O53" s="10">
        <f>CHOOSE(CONTROL!$C$42, 5.0379, 5.0379) * CHOOSE(CONTROL!$C$21, $C$9, 100%, $E$9)</f>
        <v>5.0378999999999996</v>
      </c>
      <c r="P53" s="10">
        <f>CHOOSE(CONTROL!$C$42, 4.835, 4.835) * CHOOSE(CONTROL!$C$21, $C$9, 100%, $E$9)</f>
        <v>4.835</v>
      </c>
      <c r="Q53" s="10">
        <f>CHOOSE(CONTROL!$C$42, 5.6332, 5.6332) * CHOOSE(CONTROL!$C$21, $C$9, 100%, $E$9)</f>
        <v>5.6332000000000004</v>
      </c>
      <c r="R53" s="10">
        <f>CHOOSE(CONTROL!$C$42, 6.2343, 6.2343) * CHOOSE(CONTROL!$C$21, $C$9, 100%, $E$9)</f>
        <v>6.2343000000000002</v>
      </c>
      <c r="S53" s="10">
        <f>CHOOSE(CONTROL!$C$42, 4.7507, 4.7507) * CHOOSE(CONTROL!$C$21, $C$9, 100%, $E$9)</f>
        <v>4.7507000000000001</v>
      </c>
      <c r="T5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3" s="38">
        <f>(1000*CHOOSE(CONTROL!$C$42, 695, 695)*CHOOSE(CONTROL!$C$42, 0.5599, 0.5599)*CHOOSE(CONTROL!$C$42, 31, 31))/1000000</f>
        <v>12.063045499999998</v>
      </c>
      <c r="V53" s="38">
        <f>(1000*CHOOSE(CONTROL!$C$42, 580, 580)*CHOOSE(CONTROL!$C$42, 0.275, 0.275)*CHOOSE(CONTROL!$C$42, 31, 31))/1000000</f>
        <v>4.9444999999999997</v>
      </c>
      <c r="W53" s="38">
        <f>(1000*CHOOSE(CONTROL!$C$42, 0.1146, 0.1146)*CHOOSE(CONTROL!$C$42, 121.5, 121.5)*CHOOSE(CONTROL!$C$42, 31, 31))/1000000</f>
        <v>0.43164089999999994</v>
      </c>
      <c r="X53" s="38">
        <f>(31*0.1790888*245000/1000000)+(31*0.2374*100000/1000000)</f>
        <v>2.0961194359999999</v>
      </c>
      <c r="Y53" s="38">
        <f>(1000*400*CHOOSE(CONTROL!$C$42, 2.0223, 2.0223)*CHOOSE(CONTROL!$C$42, 31, 31))/1000000</f>
        <v>25.076519999999999</v>
      </c>
      <c r="Z53" s="38"/>
      <c r="AA53" s="10"/>
      <c r="AB53" s="39"/>
      <c r="AC53" s="33">
        <f>(B53*194.205+C53*267.466+D53*133.845+E53*53.484+F53*40+G53*185+H53*0+I53*100+J53*300)/(194.205+267.466+133.845+53.484+0+40+185+100+300)</f>
        <v>4.894275782339089</v>
      </c>
      <c r="AD53" s="27">
        <f>(M53*'RAP TEMPLATE-GAS AVAILABILITY'!O52+N53*'RAP TEMPLATE-GAS AVAILABILITY'!P52+O53*'RAP TEMPLATE-GAS AVAILABILITY'!Q52+P53*'RAP TEMPLATE-GAS AVAILABILITY'!R52)/('RAP TEMPLATE-GAS AVAILABILITY'!O52+'RAP TEMPLATE-GAS AVAILABILITY'!P52+'RAP TEMPLATE-GAS AVAILABILITY'!Q52+'RAP TEMPLATE-GAS AVAILABILITY'!R52)</f>
        <v>4.8717043165467624</v>
      </c>
    </row>
    <row r="54" spans="1:30" ht="15">
      <c r="A54" s="16">
        <v>42887</v>
      </c>
      <c r="B54" s="10">
        <f>CHOOSE(CONTROL!$C$42, 5.0302, 5.0302) * CHOOSE(CONTROL!$C$21, $C$9, 100%, $E$9)</f>
        <v>5.0301999999999998</v>
      </c>
      <c r="C54" s="10">
        <f>CHOOSE(CONTROL!$C$42, 5.0382, 5.0382) * CHOOSE(CONTROL!$C$21, $C$9, 100%, $E$9)</f>
        <v>5.0381999999999998</v>
      </c>
      <c r="D54" s="10">
        <f>CHOOSE(CONTROL!$C$42, 5.1953, 5.1953) * CHOOSE(CONTROL!$C$21, $C$9, 100%, $E$9)</f>
        <v>5.1952999999999996</v>
      </c>
      <c r="E54" s="10">
        <f>CHOOSE(CONTROL!$C$42, 5.2265, 5.2265) * CHOOSE(CONTROL!$C$21, $C$9, 100%, $E$9)</f>
        <v>5.2264999999999997</v>
      </c>
      <c r="F54" s="10">
        <f>CHOOSE(CONTROL!$C$42, 4.9746, 4.9746)*CHOOSE(CONTROL!$C$21, $C$9, 100%, $E$9)</f>
        <v>4.9745999999999997</v>
      </c>
      <c r="G54" s="10">
        <f>CHOOSE(CONTROL!$C$42, 4.9907, 4.9907)*CHOOSE(CONTROL!$C$21, $C$9, 100%, $E$9)</f>
        <v>4.9907000000000004</v>
      </c>
      <c r="H54" s="10">
        <f>CHOOSE(CONTROL!$C$42, 5.2148, 5.2148) * CHOOSE(CONTROL!$C$21, $C$9, 100%, $E$9)</f>
        <v>5.2148000000000003</v>
      </c>
      <c r="I54" s="10">
        <f>CHOOSE(CONTROL!$C$42, 5.009, 5.009)* CHOOSE(CONTROL!$C$21, $C$9, 100%, $E$9)</f>
        <v>5.0090000000000003</v>
      </c>
      <c r="J54" s="10">
        <f>CHOOSE(CONTROL!$C$42, 4.9672, 4.9672)* CHOOSE(CONTROL!$C$21, $C$9, 100%, $E$9)</f>
        <v>4.9672000000000001</v>
      </c>
      <c r="K54" s="10">
        <f>CHOOSE(CONTROL!$C$42, 5.0123, 5.0123) * CHOOSE(CONTROL!$C$21, $C$9, 100%, $E$9)</f>
        <v>5.0122999999999998</v>
      </c>
      <c r="L54" s="10">
        <f>CHOOSE(CONTROL!$C$42, 5.8018, 5.8018) * CHOOSE(CONTROL!$C$21, $C$9, 100%, $E$9)</f>
        <v>5.8018000000000001</v>
      </c>
      <c r="M54" s="10">
        <f>CHOOSE(CONTROL!$C$42, 4.9309, 4.9309) * CHOOSE(CONTROL!$C$21, $C$9, 100%, $E$9)</f>
        <v>4.9309000000000003</v>
      </c>
      <c r="N54" s="10">
        <f>CHOOSE(CONTROL!$C$42, 4.9468, 4.9468) * CHOOSE(CONTROL!$C$21, $C$9, 100%, $E$9)</f>
        <v>4.9467999999999996</v>
      </c>
      <c r="O54" s="10">
        <f>CHOOSE(CONTROL!$C$42, 5.1751, 5.1751) * CHOOSE(CONTROL!$C$21, $C$9, 100%, $E$9)</f>
        <v>5.1750999999999996</v>
      </c>
      <c r="P54" s="10">
        <f>CHOOSE(CONTROL!$C$42, 4.9722, 4.9722) * CHOOSE(CONTROL!$C$21, $C$9, 100%, $E$9)</f>
        <v>4.9722</v>
      </c>
      <c r="Q54" s="10">
        <f>CHOOSE(CONTROL!$C$42, 5.7704, 5.7704) * CHOOSE(CONTROL!$C$21, $C$9, 100%, $E$9)</f>
        <v>5.7704000000000004</v>
      </c>
      <c r="R54" s="10">
        <f>CHOOSE(CONTROL!$C$42, 6.3718, 6.3718) * CHOOSE(CONTROL!$C$21, $C$9, 100%, $E$9)</f>
        <v>6.3718000000000004</v>
      </c>
      <c r="S54" s="10">
        <f>CHOOSE(CONTROL!$C$42, 4.8854, 4.8854) * CHOOSE(CONTROL!$C$21, $C$9, 100%, $E$9)</f>
        <v>4.8853999999999997</v>
      </c>
      <c r="T5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4" s="38">
        <f>(1000*CHOOSE(CONTROL!$C$42, 695, 695)*CHOOSE(CONTROL!$C$42, 0.5599, 0.5599)*CHOOSE(CONTROL!$C$42, 30, 30))/1000000</f>
        <v>11.673914999999997</v>
      </c>
      <c r="V54" s="38">
        <f>(1000*CHOOSE(CONTROL!$C$42, 580, 580)*CHOOSE(CONTROL!$C$42, 0.275, 0.275)*CHOOSE(CONTROL!$C$42, 30, 30))/1000000</f>
        <v>4.7850000000000001</v>
      </c>
      <c r="W54" s="38">
        <f>(1000*CHOOSE(CONTROL!$C$42, 0.1146, 0.1146)*CHOOSE(CONTROL!$C$42, 121.5, 121.5)*CHOOSE(CONTROL!$C$42, 30, 30))/1000000</f>
        <v>0.417717</v>
      </c>
      <c r="X54" s="38">
        <f>(30*0.1790888*245000/1000000)+(30*0.2374*100000/1000000)</f>
        <v>2.0285026799999999</v>
      </c>
      <c r="Y54" s="38">
        <f>(1000*400*CHOOSE(CONTROL!$C$42, 2.0223, 2.0223)*CHOOSE(CONTROL!$C$42, 30, 30))/1000000</f>
        <v>24.267600000000002</v>
      </c>
      <c r="Z54" s="38"/>
      <c r="AA54" s="10"/>
      <c r="AB54" s="39"/>
      <c r="AC54" s="33">
        <f>(B54*194.205+C54*267.466+D54*133.845+E54*53.484+F54*40+G54*185+H54*0+I54*100+J54*300)/(194.205+267.466+133.845+53.484+0+40+185+100+300)</f>
        <v>5.0334848875196228</v>
      </c>
      <c r="AD54" s="27">
        <f>(M54*'RAP TEMPLATE-GAS AVAILABILITY'!O53+N54*'RAP TEMPLATE-GAS AVAILABILITY'!P53+O54*'RAP TEMPLATE-GAS AVAILABILITY'!Q53+P54*'RAP TEMPLATE-GAS AVAILABILITY'!R53)/('RAP TEMPLATE-GAS AVAILABILITY'!O53+'RAP TEMPLATE-GAS AVAILABILITY'!P53+'RAP TEMPLATE-GAS AVAILABILITY'!Q53+'RAP TEMPLATE-GAS AVAILABILITY'!R53)</f>
        <v>5.0090194244604316</v>
      </c>
    </row>
    <row r="55" spans="1:30" ht="15">
      <c r="A55" s="16">
        <v>42917</v>
      </c>
      <c r="B55" s="10">
        <f>CHOOSE(CONTROL!$C$42, 4.9335, 4.9335) * CHOOSE(CONTROL!$C$21, $C$9, 100%, $E$9)</f>
        <v>4.9335000000000004</v>
      </c>
      <c r="C55" s="10">
        <f>CHOOSE(CONTROL!$C$42, 4.9415, 4.9415) * CHOOSE(CONTROL!$C$21, $C$9, 100%, $E$9)</f>
        <v>4.9414999999999996</v>
      </c>
      <c r="D55" s="10">
        <f>CHOOSE(CONTROL!$C$42, 5.0985, 5.0985) * CHOOSE(CONTROL!$C$21, $C$9, 100%, $E$9)</f>
        <v>5.0984999999999996</v>
      </c>
      <c r="E55" s="10">
        <f>CHOOSE(CONTROL!$C$42, 5.1297, 5.1297) * CHOOSE(CONTROL!$C$21, $C$9, 100%, $E$9)</f>
        <v>5.1296999999999997</v>
      </c>
      <c r="F55" s="10">
        <f>CHOOSE(CONTROL!$C$42, 4.8781, 4.8781)*CHOOSE(CONTROL!$C$21, $C$9, 100%, $E$9)</f>
        <v>4.8780999999999999</v>
      </c>
      <c r="G55" s="10">
        <f>CHOOSE(CONTROL!$C$42, 4.8944, 4.8944)*CHOOSE(CONTROL!$C$21, $C$9, 100%, $E$9)</f>
        <v>4.8944000000000001</v>
      </c>
      <c r="H55" s="10">
        <f>CHOOSE(CONTROL!$C$42, 5.1181, 5.1181) * CHOOSE(CONTROL!$C$21, $C$9, 100%, $E$9)</f>
        <v>5.1181000000000001</v>
      </c>
      <c r="I55" s="10">
        <f>CHOOSE(CONTROL!$C$42, 4.9122, 4.9122)* CHOOSE(CONTROL!$C$21, $C$9, 100%, $E$9)</f>
        <v>4.9122000000000003</v>
      </c>
      <c r="J55" s="10">
        <f>CHOOSE(CONTROL!$C$42, 4.8707, 4.8707)* CHOOSE(CONTROL!$C$21, $C$9, 100%, $E$9)</f>
        <v>4.8707000000000003</v>
      </c>
      <c r="K55" s="10">
        <f>CHOOSE(CONTROL!$C$42, 4.9192, 4.9192) * CHOOSE(CONTROL!$C$21, $C$9, 100%, $E$9)</f>
        <v>4.9192</v>
      </c>
      <c r="L55" s="10">
        <f>CHOOSE(CONTROL!$C$42, 5.7051, 5.7051) * CHOOSE(CONTROL!$C$21, $C$9, 100%, $E$9)</f>
        <v>5.7050999999999998</v>
      </c>
      <c r="M55" s="10">
        <f>CHOOSE(CONTROL!$C$42, 4.8358, 4.8358) * CHOOSE(CONTROL!$C$21, $C$9, 100%, $E$9)</f>
        <v>4.8357999999999999</v>
      </c>
      <c r="N55" s="10">
        <f>CHOOSE(CONTROL!$C$42, 4.8518, 4.8518) * CHOOSE(CONTROL!$C$21, $C$9, 100%, $E$9)</f>
        <v>4.8517999999999999</v>
      </c>
      <c r="O55" s="10">
        <f>CHOOSE(CONTROL!$C$42, 5.0797, 5.0797) * CHOOSE(CONTROL!$C$21, $C$9, 100%, $E$9)</f>
        <v>5.0796999999999999</v>
      </c>
      <c r="P55" s="10">
        <f>CHOOSE(CONTROL!$C$42, 4.8768, 4.8768) * CHOOSE(CONTROL!$C$21, $C$9, 100%, $E$9)</f>
        <v>4.8768000000000002</v>
      </c>
      <c r="Q55" s="10">
        <f>CHOOSE(CONTROL!$C$42, 5.675, 5.675) * CHOOSE(CONTROL!$C$21, $C$9, 100%, $E$9)</f>
        <v>5.6749999999999998</v>
      </c>
      <c r="R55" s="10">
        <f>CHOOSE(CONTROL!$C$42, 6.2762, 6.2762) * CHOOSE(CONTROL!$C$21, $C$9, 100%, $E$9)</f>
        <v>6.2762000000000002</v>
      </c>
      <c r="S55" s="10">
        <f>CHOOSE(CONTROL!$C$42, 4.7917, 4.7917) * CHOOSE(CONTROL!$C$21, $C$9, 100%, $E$9)</f>
        <v>4.7916999999999996</v>
      </c>
      <c r="T5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5" s="38">
        <f>(1000*CHOOSE(CONTROL!$C$42, 695, 695)*CHOOSE(CONTROL!$C$42, 0.5599, 0.5599)*CHOOSE(CONTROL!$C$42, 31, 31))/1000000</f>
        <v>12.063045499999998</v>
      </c>
      <c r="V55" s="38">
        <f>(1000*CHOOSE(CONTROL!$C$42, 580, 580)*CHOOSE(CONTROL!$C$42, 0.275, 0.275)*CHOOSE(CONTROL!$C$42, 31, 31))/1000000</f>
        <v>4.9444999999999997</v>
      </c>
      <c r="W55" s="38">
        <f>(1000*CHOOSE(CONTROL!$C$42, 0.1146, 0.1146)*CHOOSE(CONTROL!$C$42, 121.5, 121.5)*CHOOSE(CONTROL!$C$42, 31, 31))/1000000</f>
        <v>0.43164089999999994</v>
      </c>
      <c r="X55" s="38">
        <f>(31*0.1790888*245000/1000000)+(31*0.2374*100000/1000000)</f>
        <v>2.0961194359999999</v>
      </c>
      <c r="Y55" s="38">
        <f>(1000*400*CHOOSE(CONTROL!$C$42, 2.0223, 2.0223)*CHOOSE(CONTROL!$C$42, 31, 31))/1000000</f>
        <v>25.076519999999999</v>
      </c>
      <c r="Z55" s="38"/>
      <c r="AA55" s="10"/>
      <c r="AB55" s="39"/>
      <c r="AC55" s="33">
        <f>(B55*194.205+C55*267.466+D55*133.845+E55*53.484+F55*40+G55*185+H55*0+I55*100+J55*300)/(194.205+267.466+133.845+53.484+0+40+185+100+300)</f>
        <v>4.9368737941915226</v>
      </c>
      <c r="AD55" s="27">
        <f>(M55*'RAP TEMPLATE-GAS AVAILABILITY'!O54+N55*'RAP TEMPLATE-GAS AVAILABILITY'!P54+O55*'RAP TEMPLATE-GAS AVAILABILITY'!Q54+P55*'RAP TEMPLATE-GAS AVAILABILITY'!R54)/('RAP TEMPLATE-GAS AVAILABILITY'!O54+'RAP TEMPLATE-GAS AVAILABILITY'!P54+'RAP TEMPLATE-GAS AVAILABILITY'!Q54+'RAP TEMPLATE-GAS AVAILABILITY'!R54)</f>
        <v>4.9138151079136687</v>
      </c>
    </row>
    <row r="56" spans="1:30" ht="15">
      <c r="A56" s="16">
        <v>42948</v>
      </c>
      <c r="B56" s="10">
        <f>CHOOSE(CONTROL!$C$42, 4.6891, 4.6891) * CHOOSE(CONTROL!$C$21, $C$9, 100%, $E$9)</f>
        <v>4.6890999999999998</v>
      </c>
      <c r="C56" s="10">
        <f>CHOOSE(CONTROL!$C$42, 4.6971, 4.6971) * CHOOSE(CONTROL!$C$21, $C$9, 100%, $E$9)</f>
        <v>4.6970999999999998</v>
      </c>
      <c r="D56" s="10">
        <f>CHOOSE(CONTROL!$C$42, 4.8542, 4.8542) * CHOOSE(CONTROL!$C$21, $C$9, 100%, $E$9)</f>
        <v>4.8541999999999996</v>
      </c>
      <c r="E56" s="10">
        <f>CHOOSE(CONTROL!$C$42, 4.8854, 4.8854) * CHOOSE(CONTROL!$C$21, $C$9, 100%, $E$9)</f>
        <v>4.8853999999999997</v>
      </c>
      <c r="F56" s="10">
        <f>CHOOSE(CONTROL!$C$42, 4.6337, 4.6337)*CHOOSE(CONTROL!$C$21, $C$9, 100%, $E$9)</f>
        <v>4.6337000000000002</v>
      </c>
      <c r="G56" s="10">
        <f>CHOOSE(CONTROL!$C$42, 4.6499, 4.6499)*CHOOSE(CONTROL!$C$21, $C$9, 100%, $E$9)</f>
        <v>4.6498999999999997</v>
      </c>
      <c r="H56" s="10">
        <f>CHOOSE(CONTROL!$C$42, 4.8737, 4.8737) * CHOOSE(CONTROL!$C$21, $C$9, 100%, $E$9)</f>
        <v>4.8737000000000004</v>
      </c>
      <c r="I56" s="10">
        <f>CHOOSE(CONTROL!$C$42, 4.6679, 4.6679)* CHOOSE(CONTROL!$C$21, $C$9, 100%, $E$9)</f>
        <v>4.6679000000000004</v>
      </c>
      <c r="J56" s="10">
        <f>CHOOSE(CONTROL!$C$42, 4.6263, 4.6263)* CHOOSE(CONTROL!$C$21, $C$9, 100%, $E$9)</f>
        <v>4.6262999999999996</v>
      </c>
      <c r="K56" s="10">
        <f>CHOOSE(CONTROL!$C$42, 4.6823, 4.6823) * CHOOSE(CONTROL!$C$21, $C$9, 100%, $E$9)</f>
        <v>4.6822999999999997</v>
      </c>
      <c r="L56" s="10">
        <f>CHOOSE(CONTROL!$C$42, 5.4607, 5.4607) * CHOOSE(CONTROL!$C$21, $C$9, 100%, $E$9)</f>
        <v>5.4607000000000001</v>
      </c>
      <c r="M56" s="10">
        <f>CHOOSE(CONTROL!$C$42, 4.5948, 4.5948) * CHOOSE(CONTROL!$C$21, $C$9, 100%, $E$9)</f>
        <v>4.5948000000000002</v>
      </c>
      <c r="N56" s="10">
        <f>CHOOSE(CONTROL!$C$42, 4.6108, 4.6108) * CHOOSE(CONTROL!$C$21, $C$9, 100%, $E$9)</f>
        <v>4.6108000000000002</v>
      </c>
      <c r="O56" s="10">
        <f>CHOOSE(CONTROL!$C$42, 4.8387, 4.8387) * CHOOSE(CONTROL!$C$21, $C$9, 100%, $E$9)</f>
        <v>4.8387000000000002</v>
      </c>
      <c r="P56" s="10">
        <f>CHOOSE(CONTROL!$C$42, 4.6358, 4.6358) * CHOOSE(CONTROL!$C$21, $C$9, 100%, $E$9)</f>
        <v>4.6357999999999997</v>
      </c>
      <c r="Q56" s="10">
        <f>CHOOSE(CONTROL!$C$42, 5.434, 5.434) * CHOOSE(CONTROL!$C$21, $C$9, 100%, $E$9)</f>
        <v>5.4340000000000002</v>
      </c>
      <c r="R56" s="10">
        <f>CHOOSE(CONTROL!$C$42, 6.0346, 6.0346) * CHOOSE(CONTROL!$C$21, $C$9, 100%, $E$9)</f>
        <v>6.0346000000000002</v>
      </c>
      <c r="S56" s="10">
        <f>CHOOSE(CONTROL!$C$42, 4.5551, 4.5551) * CHOOSE(CONTROL!$C$21, $C$9, 100%, $E$9)</f>
        <v>4.5551000000000004</v>
      </c>
      <c r="T5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6" s="38">
        <f>(1000*CHOOSE(CONTROL!$C$42, 695, 695)*CHOOSE(CONTROL!$C$42, 0.5599, 0.5599)*CHOOSE(CONTROL!$C$42, 31, 31))/1000000</f>
        <v>12.063045499999998</v>
      </c>
      <c r="V56" s="38">
        <f>(1000*CHOOSE(CONTROL!$C$42, 580, 580)*CHOOSE(CONTROL!$C$42, 0.275, 0.275)*CHOOSE(CONTROL!$C$42, 31, 31))/1000000</f>
        <v>4.9444999999999997</v>
      </c>
      <c r="W56" s="38">
        <f>(1000*CHOOSE(CONTROL!$C$42, 0.1146, 0.1146)*CHOOSE(CONTROL!$C$42, 121.5, 121.5)*CHOOSE(CONTROL!$C$42, 31, 31))/1000000</f>
        <v>0.43164089999999994</v>
      </c>
      <c r="X56" s="38">
        <f>(31*0.1790888*245000/1000000)+(31*0.2374*100000/1000000)</f>
        <v>2.0961194359999999</v>
      </c>
      <c r="Y56" s="38">
        <f>(1000*400*CHOOSE(CONTROL!$C$42, 2.0223, 2.0223)*CHOOSE(CONTROL!$C$42, 31, 31))/1000000</f>
        <v>25.076519999999999</v>
      </c>
      <c r="Z56" s="38"/>
      <c r="AA56" s="10"/>
      <c r="AB56" s="39"/>
      <c r="AC56" s="33">
        <f>(B56*194.205+C56*267.466+D56*133.845+E56*53.484+F56*40+G56*185+H56*0+I56*100+J56*300)/(194.205+267.466+133.845+53.484+0+40+185+100+300)</f>
        <v>4.6924818262951336</v>
      </c>
      <c r="AD56" s="27">
        <f>(M56*'RAP TEMPLATE-GAS AVAILABILITY'!O55+N56*'RAP TEMPLATE-GAS AVAILABILITY'!P55+O56*'RAP TEMPLATE-GAS AVAILABILITY'!Q55+P56*'RAP TEMPLATE-GAS AVAILABILITY'!R55)/('RAP TEMPLATE-GAS AVAILABILITY'!O55+'RAP TEMPLATE-GAS AVAILABILITY'!P55+'RAP TEMPLATE-GAS AVAILABILITY'!Q55+'RAP TEMPLATE-GAS AVAILABILITY'!R55)</f>
        <v>4.6728151079136691</v>
      </c>
    </row>
    <row r="57" spans="1:30" ht="15">
      <c r="A57" s="16">
        <v>42979</v>
      </c>
      <c r="B57" s="10">
        <f>CHOOSE(CONTROL!$C$42, 4.3905, 4.3905) * CHOOSE(CONTROL!$C$21, $C$9, 100%, $E$9)</f>
        <v>4.3905000000000003</v>
      </c>
      <c r="C57" s="10">
        <f>CHOOSE(CONTROL!$C$42, 4.3985, 4.3985) * CHOOSE(CONTROL!$C$21, $C$9, 100%, $E$9)</f>
        <v>4.3985000000000003</v>
      </c>
      <c r="D57" s="10">
        <f>CHOOSE(CONTROL!$C$42, 4.5556, 4.5556) * CHOOSE(CONTROL!$C$21, $C$9, 100%, $E$9)</f>
        <v>4.5556000000000001</v>
      </c>
      <c r="E57" s="10">
        <f>CHOOSE(CONTROL!$C$42, 4.5868, 4.5868) * CHOOSE(CONTROL!$C$21, $C$9, 100%, $E$9)</f>
        <v>4.5868000000000002</v>
      </c>
      <c r="F57" s="10">
        <f>CHOOSE(CONTROL!$C$42, 4.3349, 4.3349)*CHOOSE(CONTROL!$C$21, $C$9, 100%, $E$9)</f>
        <v>4.3349000000000002</v>
      </c>
      <c r="G57" s="10">
        <f>CHOOSE(CONTROL!$C$42, 4.3511, 4.3511)*CHOOSE(CONTROL!$C$21, $C$9, 100%, $E$9)</f>
        <v>4.3510999999999997</v>
      </c>
      <c r="H57" s="10">
        <f>CHOOSE(CONTROL!$C$42, 4.5751, 4.5751) * CHOOSE(CONTROL!$C$21, $C$9, 100%, $E$9)</f>
        <v>4.5750999999999999</v>
      </c>
      <c r="I57" s="10">
        <f>CHOOSE(CONTROL!$C$42, 4.3693, 4.3693)* CHOOSE(CONTROL!$C$21, $C$9, 100%, $E$9)</f>
        <v>4.3693</v>
      </c>
      <c r="J57" s="10">
        <f>CHOOSE(CONTROL!$C$42, 4.3275, 4.3275)* CHOOSE(CONTROL!$C$21, $C$9, 100%, $E$9)</f>
        <v>4.3274999999999997</v>
      </c>
      <c r="K57" s="10">
        <f>CHOOSE(CONTROL!$C$42, 4.3926, 4.3926) * CHOOSE(CONTROL!$C$21, $C$9, 100%, $E$9)</f>
        <v>4.3925999999999998</v>
      </c>
      <c r="L57" s="10">
        <f>CHOOSE(CONTROL!$C$42, 5.1621, 5.1621) * CHOOSE(CONTROL!$C$21, $C$9, 100%, $E$9)</f>
        <v>5.1620999999999997</v>
      </c>
      <c r="M57" s="10">
        <f>CHOOSE(CONTROL!$C$42, 4.3002, 4.3002) * CHOOSE(CONTROL!$C$21, $C$9, 100%, $E$9)</f>
        <v>4.3002000000000002</v>
      </c>
      <c r="N57" s="10">
        <f>CHOOSE(CONTROL!$C$42, 4.3161, 4.3161) * CHOOSE(CONTROL!$C$21, $C$9, 100%, $E$9)</f>
        <v>4.3160999999999996</v>
      </c>
      <c r="O57" s="10">
        <f>CHOOSE(CONTROL!$C$42, 4.5443, 4.5443) * CHOOSE(CONTROL!$C$21, $C$9, 100%, $E$9)</f>
        <v>4.5442999999999998</v>
      </c>
      <c r="P57" s="10">
        <f>CHOOSE(CONTROL!$C$42, 4.3414, 4.3414) * CHOOSE(CONTROL!$C$21, $C$9, 100%, $E$9)</f>
        <v>4.3414000000000001</v>
      </c>
      <c r="Q57" s="10">
        <f>CHOOSE(CONTROL!$C$42, 5.1396, 5.1396) * CHOOSE(CONTROL!$C$21, $C$9, 100%, $E$9)</f>
        <v>5.1395999999999997</v>
      </c>
      <c r="R57" s="10">
        <f>CHOOSE(CONTROL!$C$42, 5.7395, 5.7395) * CHOOSE(CONTROL!$C$21, $C$9, 100%, $E$9)</f>
        <v>5.7394999999999996</v>
      </c>
      <c r="S57" s="10">
        <f>CHOOSE(CONTROL!$C$42, 4.266, 4.266) * CHOOSE(CONTROL!$C$21, $C$9, 100%, $E$9)</f>
        <v>4.266</v>
      </c>
      <c r="T5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7" s="38">
        <f>(1000*CHOOSE(CONTROL!$C$42, 695, 695)*CHOOSE(CONTROL!$C$42, 0.5599, 0.5599)*CHOOSE(CONTROL!$C$42, 30, 30))/1000000</f>
        <v>11.673914999999997</v>
      </c>
      <c r="V57" s="38">
        <f>(1000*CHOOSE(CONTROL!$C$42, 580, 580)*CHOOSE(CONTROL!$C$42, 0.275, 0.275)*CHOOSE(CONTROL!$C$42, 30, 30))/1000000</f>
        <v>4.7850000000000001</v>
      </c>
      <c r="W57" s="38">
        <f>(1000*CHOOSE(CONTROL!$C$42, 0.1146, 0.1146)*CHOOSE(CONTROL!$C$42, 121.5, 121.5)*CHOOSE(CONTROL!$C$42, 30, 30))/1000000</f>
        <v>0.417717</v>
      </c>
      <c r="X57" s="38">
        <f>(30*0.1790888*245000/1000000)+(30*0.2374*100000/1000000)</f>
        <v>2.0285026799999999</v>
      </c>
      <c r="Y57" s="38">
        <f>(1000*400*CHOOSE(CONTROL!$C$42, 2.0223, 2.0223)*CHOOSE(CONTROL!$C$42, 30, 30))/1000000</f>
        <v>24.267600000000002</v>
      </c>
      <c r="Z57" s="38"/>
      <c r="AA57" s="10"/>
      <c r="AB57" s="39"/>
      <c r="AC57" s="33">
        <f>(B57*194.205+C57*267.466+D57*133.845+E57*53.484+F57*40+G57*185+H57*0+I57*100+J57*300)/(194.205+267.466+133.845+53.484+0+40+185+100+300)</f>
        <v>4.3937994087127166</v>
      </c>
      <c r="AD57" s="27">
        <f>(M57*'RAP TEMPLATE-GAS AVAILABILITY'!O56+N57*'RAP TEMPLATE-GAS AVAILABILITY'!P56+O57*'RAP TEMPLATE-GAS AVAILABILITY'!Q56+P57*'RAP TEMPLATE-GAS AVAILABILITY'!R56)/('RAP TEMPLATE-GAS AVAILABILITY'!O56+'RAP TEMPLATE-GAS AVAILABILITY'!P56+'RAP TEMPLATE-GAS AVAILABILITY'!Q56+'RAP TEMPLATE-GAS AVAILABILITY'!R56)</f>
        <v>4.3782769784172659</v>
      </c>
    </row>
    <row r="58" spans="1:30" ht="15">
      <c r="A58" s="16">
        <v>43009</v>
      </c>
      <c r="B58" s="10">
        <f>CHOOSE(CONTROL!$C$42, 4.2989, 4.2989) * CHOOSE(CONTROL!$C$21, $C$9, 100%, $E$9)</f>
        <v>4.2988999999999997</v>
      </c>
      <c r="C58" s="10">
        <f>CHOOSE(CONTROL!$C$42, 4.3043, 4.3043) * CHOOSE(CONTROL!$C$21, $C$9, 100%, $E$9)</f>
        <v>4.3042999999999996</v>
      </c>
      <c r="D58" s="10">
        <f>CHOOSE(CONTROL!$C$42, 4.4662, 4.4662) * CHOOSE(CONTROL!$C$21, $C$9, 100%, $E$9)</f>
        <v>4.4661999999999997</v>
      </c>
      <c r="E58" s="10">
        <f>CHOOSE(CONTROL!$C$42, 4.4951, 4.4951) * CHOOSE(CONTROL!$C$21, $C$9, 100%, $E$9)</f>
        <v>4.4950999999999999</v>
      </c>
      <c r="F58" s="10">
        <f>CHOOSE(CONTROL!$C$42, 4.2453, 4.2453)*CHOOSE(CONTROL!$C$21, $C$9, 100%, $E$9)</f>
        <v>4.2453000000000003</v>
      </c>
      <c r="G58" s="10">
        <f>CHOOSE(CONTROL!$C$42, 4.2611, 4.2611)*CHOOSE(CONTROL!$C$21, $C$9, 100%, $E$9)</f>
        <v>4.2610999999999999</v>
      </c>
      <c r="H58" s="10">
        <f>CHOOSE(CONTROL!$C$42, 4.4853, 4.4853) * CHOOSE(CONTROL!$C$21, $C$9, 100%, $E$9)</f>
        <v>4.4852999999999996</v>
      </c>
      <c r="I58" s="10">
        <f>CHOOSE(CONTROL!$C$42, 4.2794, 4.2794)* CHOOSE(CONTROL!$C$21, $C$9, 100%, $E$9)</f>
        <v>4.2793999999999999</v>
      </c>
      <c r="J58" s="10">
        <f>CHOOSE(CONTROL!$C$42, 4.2379, 4.2379)* CHOOSE(CONTROL!$C$21, $C$9, 100%, $E$9)</f>
        <v>4.2378999999999998</v>
      </c>
      <c r="K58" s="10">
        <f>CHOOSE(CONTROL!$C$42, 4.3062, 4.3062) * CHOOSE(CONTROL!$C$21, $C$9, 100%, $E$9)</f>
        <v>4.3061999999999996</v>
      </c>
      <c r="L58" s="10">
        <f>CHOOSE(CONTROL!$C$42, 5.0723, 5.0723) * CHOOSE(CONTROL!$C$21, $C$9, 100%, $E$9)</f>
        <v>5.0723000000000003</v>
      </c>
      <c r="M58" s="10">
        <f>CHOOSE(CONTROL!$C$42, 4.2118, 4.2118) * CHOOSE(CONTROL!$C$21, $C$9, 100%, $E$9)</f>
        <v>4.2118000000000002</v>
      </c>
      <c r="N58" s="10">
        <f>CHOOSE(CONTROL!$C$42, 4.2274, 4.2274) * CHOOSE(CONTROL!$C$21, $C$9, 100%, $E$9)</f>
        <v>4.2274000000000003</v>
      </c>
      <c r="O58" s="10">
        <f>CHOOSE(CONTROL!$C$42, 4.4557, 4.4557) * CHOOSE(CONTROL!$C$21, $C$9, 100%, $E$9)</f>
        <v>4.4557000000000002</v>
      </c>
      <c r="P58" s="10">
        <f>CHOOSE(CONTROL!$C$42, 4.2528, 4.2528) * CHOOSE(CONTROL!$C$21, $C$9, 100%, $E$9)</f>
        <v>4.2527999999999997</v>
      </c>
      <c r="Q58" s="10">
        <f>CHOOSE(CONTROL!$C$42, 5.051, 5.051) * CHOOSE(CONTROL!$C$21, $C$9, 100%, $E$9)</f>
        <v>5.0510000000000002</v>
      </c>
      <c r="R58" s="10">
        <f>CHOOSE(CONTROL!$C$42, 5.6506, 5.6506) * CHOOSE(CONTROL!$C$21, $C$9, 100%, $E$9)</f>
        <v>5.6505999999999998</v>
      </c>
      <c r="S58" s="10">
        <f>CHOOSE(CONTROL!$C$42, 4.1789, 4.1789) * CHOOSE(CONTROL!$C$21, $C$9, 100%, $E$9)</f>
        <v>4.1788999999999996</v>
      </c>
      <c r="T5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8" s="38">
        <f>(1000*CHOOSE(CONTROL!$C$42, 695, 695)*CHOOSE(CONTROL!$C$42, 0.5599, 0.5599)*CHOOSE(CONTROL!$C$42, 31, 31))/1000000</f>
        <v>12.063045499999998</v>
      </c>
      <c r="V58" s="38">
        <f>(1000*CHOOSE(CONTROL!$C$42, 580, 580)*CHOOSE(CONTROL!$C$42, 0.275, 0.275)*CHOOSE(CONTROL!$C$42, 31, 31))/1000000</f>
        <v>4.9444999999999997</v>
      </c>
      <c r="W58" s="38">
        <f>(1000*CHOOSE(CONTROL!$C$42, 0.1146, 0.1146)*CHOOSE(CONTROL!$C$42, 121.5, 121.5)*CHOOSE(CONTROL!$C$42, 31, 31))/1000000</f>
        <v>0.43164089999999994</v>
      </c>
      <c r="X58" s="38">
        <f>(31*0.1790888*245000/1000000)+(31*0.2374*100000/1000000)</f>
        <v>2.0961194359999999</v>
      </c>
      <c r="Y58" s="38">
        <f>(1000*400*CHOOSE(CONTROL!$C$42, 2.0223, 2.0223)*CHOOSE(CONTROL!$C$42, 31, 31))/1000000</f>
        <v>25.076519999999999</v>
      </c>
      <c r="Z58" s="38"/>
      <c r="AA58" s="10"/>
      <c r="AB58" s="39"/>
      <c r="AC58" s="33">
        <f>(B58*131.881+C58*277.167+D58*79.08+E58*125.872+F58*40+G58*185+H58*0+I58*100+J58*300)/(131.881+277.167+79.08+125.872+0+40+185+100+300)</f>
        <v>4.3069999775625503</v>
      </c>
      <c r="AD58" s="27">
        <f>(M58*'RAP TEMPLATE-GAS AVAILABILITY'!O57+N58*'RAP TEMPLATE-GAS AVAILABILITY'!P57+O58*'RAP TEMPLATE-GAS AVAILABILITY'!Q57+P58*'RAP TEMPLATE-GAS AVAILABILITY'!R57)/('RAP TEMPLATE-GAS AVAILABILITY'!O57+'RAP TEMPLATE-GAS AVAILABILITY'!P57+'RAP TEMPLATE-GAS AVAILABILITY'!Q57+'RAP TEMPLATE-GAS AVAILABILITY'!R57)</f>
        <v>4.2897230215827342</v>
      </c>
    </row>
    <row r="59" spans="1:30" ht="15">
      <c r="A59" s="16">
        <v>43040</v>
      </c>
      <c r="B59" s="10">
        <f>CHOOSE(CONTROL!$C$42, 4.4122, 4.4122) * CHOOSE(CONTROL!$C$21, $C$9, 100%, $E$9)</f>
        <v>4.4122000000000003</v>
      </c>
      <c r="C59" s="10">
        <f>CHOOSE(CONTROL!$C$42, 4.4173, 4.4173) * CHOOSE(CONTROL!$C$21, $C$9, 100%, $E$9)</f>
        <v>4.4173</v>
      </c>
      <c r="D59" s="10">
        <f>CHOOSE(CONTROL!$C$42, 4.442, 4.442) * CHOOSE(CONTROL!$C$21, $C$9, 100%, $E$9)</f>
        <v>4.4420000000000002</v>
      </c>
      <c r="E59" s="10">
        <f>CHOOSE(CONTROL!$C$42, 4.4758, 4.4758) * CHOOSE(CONTROL!$C$21, $C$9, 100%, $E$9)</f>
        <v>4.4757999999999996</v>
      </c>
      <c r="F59" s="10">
        <f>CHOOSE(CONTROL!$C$42, 4.3805, 4.3805)*CHOOSE(CONTROL!$C$21, $C$9, 100%, $E$9)</f>
        <v>4.3804999999999996</v>
      </c>
      <c r="G59" s="10">
        <f>CHOOSE(CONTROL!$C$42, 4.3965, 4.3965)*CHOOSE(CONTROL!$C$21, $C$9, 100%, $E$9)</f>
        <v>4.3964999999999996</v>
      </c>
      <c r="H59" s="10">
        <f>CHOOSE(CONTROL!$C$42, 4.4647, 4.4647) * CHOOSE(CONTROL!$C$21, $C$9, 100%, $E$9)</f>
        <v>4.4646999999999997</v>
      </c>
      <c r="I59" s="10">
        <f>CHOOSE(CONTROL!$C$42, 4.4272, 4.4272)* CHOOSE(CONTROL!$C$21, $C$9, 100%, $E$9)</f>
        <v>4.4272</v>
      </c>
      <c r="J59" s="10">
        <f>CHOOSE(CONTROL!$C$42, 4.3731, 4.3731)* CHOOSE(CONTROL!$C$21, $C$9, 100%, $E$9)</f>
        <v>4.3731</v>
      </c>
      <c r="K59" s="10">
        <f>CHOOSE(CONTROL!$C$42, 4.4516, 4.4516) * CHOOSE(CONTROL!$C$21, $C$9, 100%, $E$9)</f>
        <v>4.4516</v>
      </c>
      <c r="L59" s="10">
        <f>CHOOSE(CONTROL!$C$42, 5.0517, 5.0517) * CHOOSE(CONTROL!$C$21, $C$9, 100%, $E$9)</f>
        <v>5.0517000000000003</v>
      </c>
      <c r="M59" s="10">
        <f>CHOOSE(CONTROL!$C$42, 4.3451, 4.3451) * CHOOSE(CONTROL!$C$21, $C$9, 100%, $E$9)</f>
        <v>4.3451000000000004</v>
      </c>
      <c r="N59" s="10">
        <f>CHOOSE(CONTROL!$C$42, 4.3609, 4.3609) * CHOOSE(CONTROL!$C$21, $C$9, 100%, $E$9)</f>
        <v>4.3609</v>
      </c>
      <c r="O59" s="10">
        <f>CHOOSE(CONTROL!$C$42, 4.4354, 4.4354) * CHOOSE(CONTROL!$C$21, $C$9, 100%, $E$9)</f>
        <v>4.4353999999999996</v>
      </c>
      <c r="P59" s="10">
        <f>CHOOSE(CONTROL!$C$42, 4.3985, 4.3985) * CHOOSE(CONTROL!$C$21, $C$9, 100%, $E$9)</f>
        <v>4.3985000000000003</v>
      </c>
      <c r="Q59" s="10">
        <f>CHOOSE(CONTROL!$C$42, 5.0307, 5.0307) * CHOOSE(CONTROL!$C$21, $C$9, 100%, $E$9)</f>
        <v>5.0307000000000004</v>
      </c>
      <c r="R59" s="10">
        <f>CHOOSE(CONTROL!$C$42, 5.6303, 5.6303) * CHOOSE(CONTROL!$C$21, $C$9, 100%, $E$9)</f>
        <v>5.6303000000000001</v>
      </c>
      <c r="S59" s="10">
        <f>CHOOSE(CONTROL!$C$42, 4.289, 4.289) * CHOOSE(CONTROL!$C$21, $C$9, 100%, $E$9)</f>
        <v>4.2889999999999997</v>
      </c>
      <c r="T5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9" s="38">
        <f>(1000*CHOOSE(CONTROL!$C$42, 695, 695)*CHOOSE(CONTROL!$C$42, 0.5599, 0.5599)*CHOOSE(CONTROL!$C$42, 30, 30))/1000000</f>
        <v>11.673914999999997</v>
      </c>
      <c r="V59" s="38">
        <f>(1000*CHOOSE(CONTROL!$C$42, 580, 580)*CHOOSE(CONTROL!$C$42, 0.275, 0.275)*CHOOSE(CONTROL!$C$42, 30, 30))/1000000</f>
        <v>4.7850000000000001</v>
      </c>
      <c r="W59" s="38">
        <f>(1000*CHOOSE(CONTROL!$C$42, 0.1146, 0.1146)*CHOOSE(CONTROL!$C$42, 121.5, 121.5)*CHOOSE(CONTROL!$C$42, 30, 30))/1000000</f>
        <v>0.417717</v>
      </c>
      <c r="X59" s="38">
        <f>(30*0.1790888*100000/1000000)+(30*0.2374*100000/1000000)</f>
        <v>1.2494664</v>
      </c>
      <c r="Y59" s="38">
        <f>(1000*400*CHOOSE(CONTROL!$C$42, 2.0223, 2.0223)*CHOOSE(CONTROL!$C$42, 30, 30))/1000000</f>
        <v>24.267600000000002</v>
      </c>
      <c r="Z59" s="38"/>
      <c r="AA59" s="10"/>
      <c r="AB59" s="39"/>
      <c r="AC59" s="33">
        <f>(B59*122.58+C59*297.941+D59*89.177+E59*40.302+F59*40+G59*160+H59*0+I59*100+J59*300)/(122.58+297.941+89.177+40.302+0+40+160+100+300)</f>
        <v>4.4058784181739128</v>
      </c>
      <c r="AD59" s="27">
        <f>(M59*'RAP TEMPLATE-GAS AVAILABILITY'!O58+N59*'RAP TEMPLATE-GAS AVAILABILITY'!P58+O59*'RAP TEMPLATE-GAS AVAILABILITY'!Q58+P59*'RAP TEMPLATE-GAS AVAILABILITY'!R58)/('RAP TEMPLATE-GAS AVAILABILITY'!O58+'RAP TEMPLATE-GAS AVAILABILITY'!P58+'RAP TEMPLATE-GAS AVAILABILITY'!Q58+'RAP TEMPLATE-GAS AVAILABILITY'!R58)</f>
        <v>4.3946201438848922</v>
      </c>
    </row>
    <row r="60" spans="1:30" ht="15">
      <c r="A60" s="16">
        <v>43070</v>
      </c>
      <c r="B60" s="10">
        <f>CHOOSE(CONTROL!$C$42, 4.7141, 4.7141) * CHOOSE(CONTROL!$C$21, $C$9, 100%, $E$9)</f>
        <v>4.7141000000000002</v>
      </c>
      <c r="C60" s="10">
        <f>CHOOSE(CONTROL!$C$42, 4.7192, 4.7192) * CHOOSE(CONTROL!$C$21, $C$9, 100%, $E$9)</f>
        <v>4.7191999999999998</v>
      </c>
      <c r="D60" s="10">
        <f>CHOOSE(CONTROL!$C$42, 4.7439, 4.7439) * CHOOSE(CONTROL!$C$21, $C$9, 100%, $E$9)</f>
        <v>4.7439</v>
      </c>
      <c r="E60" s="10">
        <f>CHOOSE(CONTROL!$C$42, 4.7777, 4.7777) * CHOOSE(CONTROL!$C$21, $C$9, 100%, $E$9)</f>
        <v>4.7777000000000003</v>
      </c>
      <c r="F60" s="10">
        <f>CHOOSE(CONTROL!$C$42, 4.6844, 4.6844)*CHOOSE(CONTROL!$C$21, $C$9, 100%, $E$9)</f>
        <v>4.6844000000000001</v>
      </c>
      <c r="G60" s="10">
        <f>CHOOSE(CONTROL!$C$42, 4.7009, 4.7009)*CHOOSE(CONTROL!$C$21, $C$9, 100%, $E$9)</f>
        <v>4.7008999999999999</v>
      </c>
      <c r="H60" s="10">
        <f>CHOOSE(CONTROL!$C$42, 4.7666, 4.7666) * CHOOSE(CONTROL!$C$21, $C$9, 100%, $E$9)</f>
        <v>4.7666000000000004</v>
      </c>
      <c r="I60" s="10">
        <f>CHOOSE(CONTROL!$C$42, 4.7291, 4.7291)* CHOOSE(CONTROL!$C$21, $C$9, 100%, $E$9)</f>
        <v>4.7290999999999999</v>
      </c>
      <c r="J60" s="10">
        <f>CHOOSE(CONTROL!$C$42, 4.677, 4.677)* CHOOSE(CONTROL!$C$21, $C$9, 100%, $E$9)</f>
        <v>4.6769999999999996</v>
      </c>
      <c r="K60" s="10">
        <f>CHOOSE(CONTROL!$C$42, 4.7482, 4.7482) * CHOOSE(CONTROL!$C$21, $C$9, 100%, $E$9)</f>
        <v>4.7481999999999998</v>
      </c>
      <c r="L60" s="10">
        <f>CHOOSE(CONTROL!$C$42, 5.3536, 5.3536) * CHOOSE(CONTROL!$C$21, $C$9, 100%, $E$9)</f>
        <v>5.3536000000000001</v>
      </c>
      <c r="M60" s="10">
        <f>CHOOSE(CONTROL!$C$42, 4.6448, 4.6448) * CHOOSE(CONTROL!$C$21, $C$9, 100%, $E$9)</f>
        <v>4.6448</v>
      </c>
      <c r="N60" s="10">
        <f>CHOOSE(CONTROL!$C$42, 4.661, 4.661) * CHOOSE(CONTROL!$C$21, $C$9, 100%, $E$9)</f>
        <v>4.6609999999999996</v>
      </c>
      <c r="O60" s="10">
        <f>CHOOSE(CONTROL!$C$42, 4.7331, 4.7331) * CHOOSE(CONTROL!$C$21, $C$9, 100%, $E$9)</f>
        <v>4.7331000000000003</v>
      </c>
      <c r="P60" s="10">
        <f>CHOOSE(CONTROL!$C$42, 4.6962, 4.6962) * CHOOSE(CONTROL!$C$21, $C$9, 100%, $E$9)</f>
        <v>4.6962000000000002</v>
      </c>
      <c r="Q60" s="10">
        <f>CHOOSE(CONTROL!$C$42, 5.3284, 5.3284) * CHOOSE(CONTROL!$C$21, $C$9, 100%, $E$9)</f>
        <v>5.3284000000000002</v>
      </c>
      <c r="R60" s="10">
        <f>CHOOSE(CONTROL!$C$42, 5.9287, 5.9287) * CHOOSE(CONTROL!$C$21, $C$9, 100%, $E$9)</f>
        <v>5.9287000000000001</v>
      </c>
      <c r="S60" s="10">
        <f>CHOOSE(CONTROL!$C$42, 4.5813, 4.5813) * CHOOSE(CONTROL!$C$21, $C$9, 100%, $E$9)</f>
        <v>4.5812999999999997</v>
      </c>
      <c r="T6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0" s="38">
        <f>(1000*CHOOSE(CONTROL!$C$42, 695, 695)*CHOOSE(CONTROL!$C$42, 0.5599, 0.5599)*CHOOSE(CONTROL!$C$42, 31, 31))/1000000</f>
        <v>12.063045499999998</v>
      </c>
      <c r="V60" s="38">
        <f>(1000*CHOOSE(CONTROL!$C$42, 580, 580)*CHOOSE(CONTROL!$C$42, 0.275, 0.275)*CHOOSE(CONTROL!$C$42, 31, 31))/1000000</f>
        <v>4.9444999999999997</v>
      </c>
      <c r="W60" s="38">
        <f>(1000*CHOOSE(CONTROL!$C$42, 0.1146, 0.1146)*CHOOSE(CONTROL!$C$42, 121.5, 121.5)*CHOOSE(CONTROL!$C$42, 31, 31))/1000000</f>
        <v>0.43164089999999994</v>
      </c>
      <c r="X60" s="38">
        <f>(31*0.1790888*100000/1000000)+(31*0.2374*100000/1000000)</f>
        <v>1.2911152800000001</v>
      </c>
      <c r="Y60" s="38">
        <f>(1000*400*CHOOSE(CONTROL!$C$42, 2.0223, 2.0223)*CHOOSE(CONTROL!$C$42, 31, 31))/1000000</f>
        <v>25.076519999999999</v>
      </c>
      <c r="Z60" s="38"/>
      <c r="AA60" s="10"/>
      <c r="AB60" s="39"/>
      <c r="AC60" s="33">
        <f>(B60*122.58+C60*297.941+D60*89.177+E60*40.302+F60*40+G60*160+H60*0+I60*100+J60*300)/(122.58+297.941+89.177+40.302+0+40+160+100+300)</f>
        <v>4.7087175486086954</v>
      </c>
      <c r="AD60" s="27">
        <f>(M60*'RAP TEMPLATE-GAS AVAILABILITY'!O59+N60*'RAP TEMPLATE-GAS AVAILABILITY'!P59+O60*'RAP TEMPLATE-GAS AVAILABILITY'!Q59+P60*'RAP TEMPLATE-GAS AVAILABILITY'!R59)/('RAP TEMPLATE-GAS AVAILABILITY'!O59+'RAP TEMPLATE-GAS AVAILABILITY'!P59+'RAP TEMPLATE-GAS AVAILABILITY'!Q59+'RAP TEMPLATE-GAS AVAILABILITY'!R59)</f>
        <v>4.693148920863309</v>
      </c>
    </row>
    <row r="61" spans="1:30" ht="15">
      <c r="A61" s="16">
        <v>43101</v>
      </c>
      <c r="B61" s="10">
        <f>CHOOSE(CONTROL!$C$42, 5.144, 5.144) * CHOOSE(CONTROL!$C$21, $C$9, 100%, $E$9)</f>
        <v>5.1440000000000001</v>
      </c>
      <c r="C61" s="10">
        <f>CHOOSE(CONTROL!$C$42, 5.1491, 5.1491) * CHOOSE(CONTROL!$C$21, $C$9, 100%, $E$9)</f>
        <v>5.1490999999999998</v>
      </c>
      <c r="D61" s="10">
        <f>CHOOSE(CONTROL!$C$42, 5.1815, 5.1815) * CHOOSE(CONTROL!$C$21, $C$9, 100%, $E$9)</f>
        <v>5.1814999999999998</v>
      </c>
      <c r="E61" s="10">
        <f>CHOOSE(CONTROL!$C$42, 5.2153, 5.2153) * CHOOSE(CONTROL!$C$21, $C$9, 100%, $E$9)</f>
        <v>5.2153</v>
      </c>
      <c r="F61" s="10">
        <f>CHOOSE(CONTROL!$C$42, 5.1282, 5.1282)*CHOOSE(CONTROL!$C$21, $C$9, 100%, $E$9)</f>
        <v>5.1281999999999996</v>
      </c>
      <c r="G61" s="10">
        <f>CHOOSE(CONTROL!$C$42, 5.1462, 5.1462)*CHOOSE(CONTROL!$C$21, $C$9, 100%, $E$9)</f>
        <v>5.1462000000000003</v>
      </c>
      <c r="H61" s="10">
        <f>CHOOSE(CONTROL!$C$42, 5.2042, 5.2042) * CHOOSE(CONTROL!$C$21, $C$9, 100%, $E$9)</f>
        <v>5.2042000000000002</v>
      </c>
      <c r="I61" s="10">
        <f>CHOOSE(CONTROL!$C$42, 5.1574, 5.1574)* CHOOSE(CONTROL!$C$21, $C$9, 100%, $E$9)</f>
        <v>5.1574</v>
      </c>
      <c r="J61" s="10">
        <f>CHOOSE(CONTROL!$C$42, 5.1208, 5.1208)* CHOOSE(CONTROL!$C$21, $C$9, 100%, $E$9)</f>
        <v>5.1208</v>
      </c>
      <c r="K61" s="10">
        <f>CHOOSE(CONTROL!$C$42, 5.177, 5.177) * CHOOSE(CONTROL!$C$21, $C$9, 100%, $E$9)</f>
        <v>5.1769999999999996</v>
      </c>
      <c r="L61" s="10">
        <f>CHOOSE(CONTROL!$C$42, 5.7912, 5.7912) * CHOOSE(CONTROL!$C$21, $C$9, 100%, $E$9)</f>
        <v>5.7911999999999999</v>
      </c>
      <c r="M61" s="10">
        <f>CHOOSE(CONTROL!$C$42, 5.0823, 5.0823) * CHOOSE(CONTROL!$C$21, $C$9, 100%, $E$9)</f>
        <v>5.0823</v>
      </c>
      <c r="N61" s="10">
        <f>CHOOSE(CONTROL!$C$42, 5.1001, 5.1001) * CHOOSE(CONTROL!$C$21, $C$9, 100%, $E$9)</f>
        <v>5.1001000000000003</v>
      </c>
      <c r="O61" s="10">
        <f>CHOOSE(CONTROL!$C$42, 5.1646, 5.1646) * CHOOSE(CONTROL!$C$21, $C$9, 100%, $E$9)</f>
        <v>5.1646000000000001</v>
      </c>
      <c r="P61" s="10">
        <f>CHOOSE(CONTROL!$C$42, 5.1185, 5.1185) * CHOOSE(CONTROL!$C$21, $C$9, 100%, $E$9)</f>
        <v>5.1185</v>
      </c>
      <c r="Q61" s="10">
        <f>CHOOSE(CONTROL!$C$42, 5.7599, 5.7599) * CHOOSE(CONTROL!$C$21, $C$9, 100%, $E$9)</f>
        <v>5.7599</v>
      </c>
      <c r="R61" s="10">
        <f>CHOOSE(CONTROL!$C$42, 6.3613, 6.3613) * CHOOSE(CONTROL!$C$21, $C$9, 100%, $E$9)</f>
        <v>6.3613</v>
      </c>
      <c r="S61" s="10">
        <f>CHOOSE(CONTROL!$C$42, 4.9976, 4.9976) * CHOOSE(CONTROL!$C$21, $C$9, 100%, $E$9)</f>
        <v>4.9976000000000003</v>
      </c>
      <c r="T6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1" s="38">
        <f>(1000*CHOOSE(CONTROL!$C$42, 695, 695)*CHOOSE(CONTROL!$C$42, 0.5599, 0.5599)*CHOOSE(CONTROL!$C$42, 31, 31))/1000000</f>
        <v>12.063045499999998</v>
      </c>
      <c r="V61" s="38">
        <f>(1000*CHOOSE(CONTROL!$C$42, 500, 500)*CHOOSE(CONTROL!$C$42, 0.275, 0.275)*CHOOSE(CONTROL!$C$42, 31, 31))/1000000</f>
        <v>4.2625000000000002</v>
      </c>
      <c r="W61" s="38">
        <f>(1000*CHOOSE(CONTROL!$C$42, 0.1146, 0.1146)*CHOOSE(CONTROL!$C$42, 121.5, 121.5)*CHOOSE(CONTROL!$C$42, 31, 31))/1000000</f>
        <v>0.43164089999999994</v>
      </c>
      <c r="X61" s="38">
        <f>(31*0.1790888*100000/1000000)+(31*0.2374*100000/1000000)</f>
        <v>1.2911152800000001</v>
      </c>
      <c r="Y61" s="38">
        <f>(1000*400*CHOOSE(CONTROL!$C$42, 2.0082, 2.0082)*CHOOSE(CONTROL!$C$42, 31, 31))/1000000</f>
        <v>24.901679999999999</v>
      </c>
      <c r="Z61" s="38"/>
      <c r="AA61" s="10"/>
      <c r="AB61" s="39"/>
      <c r="AC61" s="33">
        <f>(B61*122.58+C61*297.941+D61*89.177+E61*40.302+F61*40+G61*160+H61*0+I61*100+J61*300)/(122.58+297.941+89.177+40.302+0+40+160+100+300)</f>
        <v>5.1455975384347825</v>
      </c>
      <c r="AD61" s="27">
        <f>(M61*'RAP TEMPLATE-GAS AVAILABILITY'!O60+N61*'RAP TEMPLATE-GAS AVAILABILITY'!P60+O61*'RAP TEMPLATE-GAS AVAILABILITY'!Q60+P61*'RAP TEMPLATE-GAS AVAILABILITY'!R60)/('RAP TEMPLATE-GAS AVAILABILITY'!O60+'RAP TEMPLATE-GAS AVAILABILITY'!P60+'RAP TEMPLATE-GAS AVAILABILITY'!Q60+'RAP TEMPLATE-GAS AVAILABILITY'!R60)</f>
        <v>5.1258345323740997</v>
      </c>
    </row>
    <row r="62" spans="1:30" ht="15">
      <c r="A62" s="16">
        <v>43132</v>
      </c>
      <c r="B62" s="10">
        <f>CHOOSE(CONTROL!$C$42, 5.2358, 5.2358) * CHOOSE(CONTROL!$C$21, $C$9, 100%, $E$9)</f>
        <v>5.2358000000000002</v>
      </c>
      <c r="C62" s="10">
        <f>CHOOSE(CONTROL!$C$42, 5.2409, 5.2409) * CHOOSE(CONTROL!$C$21, $C$9, 100%, $E$9)</f>
        <v>5.2408999999999999</v>
      </c>
      <c r="D62" s="10">
        <f>CHOOSE(CONTROL!$C$42, 5.2733, 5.2733) * CHOOSE(CONTROL!$C$21, $C$9, 100%, $E$9)</f>
        <v>5.2732999999999999</v>
      </c>
      <c r="E62" s="10">
        <f>CHOOSE(CONTROL!$C$42, 5.3072, 5.3072) * CHOOSE(CONTROL!$C$21, $C$9, 100%, $E$9)</f>
        <v>5.3071999999999999</v>
      </c>
      <c r="F62" s="10">
        <f>CHOOSE(CONTROL!$C$42, 5.2195, 5.2195)*CHOOSE(CONTROL!$C$21, $C$9, 100%, $E$9)</f>
        <v>5.2195</v>
      </c>
      <c r="G62" s="10">
        <f>CHOOSE(CONTROL!$C$42, 5.2375, 5.2375)*CHOOSE(CONTROL!$C$21, $C$9, 100%, $E$9)</f>
        <v>5.2374999999999998</v>
      </c>
      <c r="H62" s="10">
        <f>CHOOSE(CONTROL!$C$42, 5.296, 5.296) * CHOOSE(CONTROL!$C$21, $C$9, 100%, $E$9)</f>
        <v>5.2960000000000003</v>
      </c>
      <c r="I62" s="10">
        <f>CHOOSE(CONTROL!$C$42, 5.2493, 5.2493)* CHOOSE(CONTROL!$C$21, $C$9, 100%, $E$9)</f>
        <v>5.2492999999999999</v>
      </c>
      <c r="J62" s="10">
        <f>CHOOSE(CONTROL!$C$42, 5.2121, 5.2121)* CHOOSE(CONTROL!$C$21, $C$9, 100%, $E$9)</f>
        <v>5.2121000000000004</v>
      </c>
      <c r="K62" s="10">
        <f>CHOOSE(CONTROL!$C$42, 5.2651, 5.2651) * CHOOSE(CONTROL!$C$21, $C$9, 100%, $E$9)</f>
        <v>5.2651000000000003</v>
      </c>
      <c r="L62" s="10">
        <f>CHOOSE(CONTROL!$C$42, 5.883, 5.883) * CHOOSE(CONTROL!$C$21, $C$9, 100%, $E$9)</f>
        <v>5.883</v>
      </c>
      <c r="M62" s="10">
        <f>CHOOSE(CONTROL!$C$42, 5.1725, 5.1725) * CHOOSE(CONTROL!$C$21, $C$9, 100%, $E$9)</f>
        <v>5.1725000000000003</v>
      </c>
      <c r="N62" s="10">
        <f>CHOOSE(CONTROL!$C$42, 5.1901, 5.1901) * CHOOSE(CONTROL!$C$21, $C$9, 100%, $E$9)</f>
        <v>5.1901000000000002</v>
      </c>
      <c r="O62" s="10">
        <f>CHOOSE(CONTROL!$C$42, 5.2552, 5.2552) * CHOOSE(CONTROL!$C$21, $C$9, 100%, $E$9)</f>
        <v>5.2552000000000003</v>
      </c>
      <c r="P62" s="10">
        <f>CHOOSE(CONTROL!$C$42, 5.2091, 5.2091) * CHOOSE(CONTROL!$C$21, $C$9, 100%, $E$9)</f>
        <v>5.2091000000000003</v>
      </c>
      <c r="Q62" s="10">
        <f>CHOOSE(CONTROL!$C$42, 5.8505, 5.8505) * CHOOSE(CONTROL!$C$21, $C$9, 100%, $E$9)</f>
        <v>5.8505000000000003</v>
      </c>
      <c r="R62" s="10">
        <f>CHOOSE(CONTROL!$C$42, 6.4521, 6.4521) * CHOOSE(CONTROL!$C$21, $C$9, 100%, $E$9)</f>
        <v>6.4520999999999997</v>
      </c>
      <c r="S62" s="10">
        <f>CHOOSE(CONTROL!$C$42, 5.0865, 5.0865) * CHOOSE(CONTROL!$C$21, $C$9, 100%, $E$9)</f>
        <v>5.0865</v>
      </c>
      <c r="T6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2" s="38">
        <f>(1000*CHOOSE(CONTROL!$C$42, 695, 695)*CHOOSE(CONTROL!$C$42, 0.5599, 0.5599)*CHOOSE(CONTROL!$C$42, 28, 28))/1000000</f>
        <v>10.895653999999999</v>
      </c>
      <c r="V62" s="38">
        <f>(1000*CHOOSE(CONTROL!$C$42, 500, 500)*CHOOSE(CONTROL!$C$42, 0.275, 0.275)*CHOOSE(CONTROL!$C$42, 28, 28))/1000000</f>
        <v>3.85</v>
      </c>
      <c r="W62" s="38">
        <f>(1000*CHOOSE(CONTROL!$C$42, 0.1146, 0.1146)*CHOOSE(CONTROL!$C$42, 121.5, 121.5)*CHOOSE(CONTROL!$C$42, 28, 28))/1000000</f>
        <v>0.38986920000000003</v>
      </c>
      <c r="X62" s="38">
        <f>(28*0.1790888*100000/1000000)+(28*0.2374*100000/1000000)</f>
        <v>1.16616864</v>
      </c>
      <c r="Y62" s="38">
        <f>(1000*400*CHOOSE(CONTROL!$C$42, 2.0082, 2.0082)*CHOOSE(CONTROL!$C$42, 28, 28))/1000000</f>
        <v>22.49184</v>
      </c>
      <c r="Z62" s="38"/>
      <c r="AA62" s="10"/>
      <c r="AB62" s="39"/>
      <c r="AC62" s="33">
        <f>(B62*122.58+C62*297.941+D62*89.177+E62*40.302+F62*40+G62*160+H62*0+I62*100+J62*300)/(122.58+297.941+89.177+40.302+0+40+160+100+300)</f>
        <v>5.2371923473043482</v>
      </c>
      <c r="AD62" s="27">
        <f>(M62*'RAP TEMPLATE-GAS AVAILABILITY'!O61+N62*'RAP TEMPLATE-GAS AVAILABILITY'!P61+O62*'RAP TEMPLATE-GAS AVAILABILITY'!Q61+P62*'RAP TEMPLATE-GAS AVAILABILITY'!R61)/('RAP TEMPLATE-GAS AVAILABILITY'!O61+'RAP TEMPLATE-GAS AVAILABILITY'!P61+'RAP TEMPLATE-GAS AVAILABILITY'!Q61+'RAP TEMPLATE-GAS AVAILABILITY'!R61)</f>
        <v>5.2162618705035984</v>
      </c>
    </row>
    <row r="63" spans="1:30" ht="15">
      <c r="A63" s="16">
        <v>43160</v>
      </c>
      <c r="B63" s="10">
        <f>CHOOSE(CONTROL!$C$42, 5.0867, 5.0867) * CHOOSE(CONTROL!$C$21, $C$9, 100%, $E$9)</f>
        <v>5.0867000000000004</v>
      </c>
      <c r="C63" s="10">
        <f>CHOOSE(CONTROL!$C$42, 5.0918, 5.0918) * CHOOSE(CONTROL!$C$21, $C$9, 100%, $E$9)</f>
        <v>5.0918000000000001</v>
      </c>
      <c r="D63" s="10">
        <f>CHOOSE(CONTROL!$C$42, 5.1242, 5.1242) * CHOOSE(CONTROL!$C$21, $C$9, 100%, $E$9)</f>
        <v>5.1242000000000001</v>
      </c>
      <c r="E63" s="10">
        <f>CHOOSE(CONTROL!$C$42, 5.158, 5.158) * CHOOSE(CONTROL!$C$21, $C$9, 100%, $E$9)</f>
        <v>5.1580000000000004</v>
      </c>
      <c r="F63" s="10">
        <f>CHOOSE(CONTROL!$C$42, 5.069, 5.069)*CHOOSE(CONTROL!$C$21, $C$9, 100%, $E$9)</f>
        <v>5.069</v>
      </c>
      <c r="G63" s="10">
        <f>CHOOSE(CONTROL!$C$42, 5.0865, 5.0865)*CHOOSE(CONTROL!$C$21, $C$9, 100%, $E$9)</f>
        <v>5.0865</v>
      </c>
      <c r="H63" s="10">
        <f>CHOOSE(CONTROL!$C$42, 5.1469, 5.1469) * CHOOSE(CONTROL!$C$21, $C$9, 100%, $E$9)</f>
        <v>5.1468999999999996</v>
      </c>
      <c r="I63" s="10">
        <f>CHOOSE(CONTROL!$C$42, 5.1001, 5.1001)* CHOOSE(CONTROL!$C$21, $C$9, 100%, $E$9)</f>
        <v>5.1001000000000003</v>
      </c>
      <c r="J63" s="10">
        <f>CHOOSE(CONTROL!$C$42, 5.0616, 5.0616)* CHOOSE(CONTROL!$C$21, $C$9, 100%, $E$9)</f>
        <v>5.0616000000000003</v>
      </c>
      <c r="K63" s="10">
        <f>CHOOSE(CONTROL!$C$42, 5.1175, 5.1175) * CHOOSE(CONTROL!$C$21, $C$9, 100%, $E$9)</f>
        <v>5.1174999999999997</v>
      </c>
      <c r="L63" s="10">
        <f>CHOOSE(CONTROL!$C$42, 5.7339, 5.7339) * CHOOSE(CONTROL!$C$21, $C$9, 100%, $E$9)</f>
        <v>5.7339000000000002</v>
      </c>
      <c r="M63" s="10">
        <f>CHOOSE(CONTROL!$C$42, 5.024, 5.024) * CHOOSE(CONTROL!$C$21, $C$9, 100%, $E$9)</f>
        <v>5.024</v>
      </c>
      <c r="N63" s="10">
        <f>CHOOSE(CONTROL!$C$42, 5.0413, 5.0413) * CHOOSE(CONTROL!$C$21, $C$9, 100%, $E$9)</f>
        <v>5.0412999999999997</v>
      </c>
      <c r="O63" s="10">
        <f>CHOOSE(CONTROL!$C$42, 5.1081, 5.1081) * CHOOSE(CONTROL!$C$21, $C$9, 100%, $E$9)</f>
        <v>5.1081000000000003</v>
      </c>
      <c r="P63" s="10">
        <f>CHOOSE(CONTROL!$C$42, 5.0621, 5.0621) * CHOOSE(CONTROL!$C$21, $C$9, 100%, $E$9)</f>
        <v>5.0621</v>
      </c>
      <c r="Q63" s="10">
        <f>CHOOSE(CONTROL!$C$42, 5.7034, 5.7034) * CHOOSE(CONTROL!$C$21, $C$9, 100%, $E$9)</f>
        <v>5.7034000000000002</v>
      </c>
      <c r="R63" s="10">
        <f>CHOOSE(CONTROL!$C$42, 6.3047, 6.3047) * CHOOSE(CONTROL!$C$21, $C$9, 100%, $E$9)</f>
        <v>6.3047000000000004</v>
      </c>
      <c r="S63" s="10">
        <f>CHOOSE(CONTROL!$C$42, 4.9421, 4.9421) * CHOOSE(CONTROL!$C$21, $C$9, 100%, $E$9)</f>
        <v>4.9420999999999999</v>
      </c>
      <c r="T6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3" s="38">
        <f>(1000*CHOOSE(CONTROL!$C$42, 695, 695)*CHOOSE(CONTROL!$C$42, 0.5599, 0.5599)*CHOOSE(CONTROL!$C$42, 31, 31))/1000000</f>
        <v>12.063045499999998</v>
      </c>
      <c r="V63" s="38">
        <f>(1000*CHOOSE(CONTROL!$C$42, 500, 500)*CHOOSE(CONTROL!$C$42, 0.275, 0.275)*CHOOSE(CONTROL!$C$42, 31, 31))/1000000</f>
        <v>4.2625000000000002</v>
      </c>
      <c r="W63" s="38">
        <f>(1000*CHOOSE(CONTROL!$C$42, 0.1146, 0.1146)*CHOOSE(CONTROL!$C$42, 121.5, 121.5)*CHOOSE(CONTROL!$C$42, 31, 31))/1000000</f>
        <v>0.43164089999999994</v>
      </c>
      <c r="X63" s="38">
        <f>(31*0.1790888*100000/1000000)+(31*0.2374*100000/1000000)</f>
        <v>1.2911152800000001</v>
      </c>
      <c r="Y63" s="38">
        <f>(1000*400*CHOOSE(CONTROL!$C$42, 2.0082, 2.0082)*CHOOSE(CONTROL!$C$42, 31, 31))/1000000</f>
        <v>24.901679999999999</v>
      </c>
      <c r="Z63" s="38"/>
      <c r="AA63" s="10"/>
      <c r="AB63" s="39"/>
      <c r="AC63" s="33">
        <f>(B63*122.58+C63*297.941+D63*89.177+E63*40.302+F63*40+G63*160+H63*0+I63*100+J63*300)/(122.58+297.941+89.177+40.302+0+40+160+100+300)</f>
        <v>5.087401886260869</v>
      </c>
      <c r="AD63" s="27">
        <f>(M63*'RAP TEMPLATE-GAS AVAILABILITY'!O62+N63*'RAP TEMPLATE-GAS AVAILABILITY'!P62+O63*'RAP TEMPLATE-GAS AVAILABILITY'!Q62+P63*'RAP TEMPLATE-GAS AVAILABILITY'!R62)/('RAP TEMPLATE-GAS AVAILABILITY'!O62+'RAP TEMPLATE-GAS AVAILABILITY'!P62+'RAP TEMPLATE-GAS AVAILABILITY'!Q62+'RAP TEMPLATE-GAS AVAILABILITY'!R62)</f>
        <v>5.0685949640287769</v>
      </c>
    </row>
    <row r="64" spans="1:30" ht="15">
      <c r="A64" s="16">
        <v>43191</v>
      </c>
      <c r="B64" s="10">
        <f>CHOOSE(CONTROL!$C$42, 5.0722, 5.0722) * CHOOSE(CONTROL!$C$21, $C$9, 100%, $E$9)</f>
        <v>5.0721999999999996</v>
      </c>
      <c r="C64" s="10">
        <f>CHOOSE(CONTROL!$C$42, 5.0767, 5.0767) * CHOOSE(CONTROL!$C$21, $C$9, 100%, $E$9)</f>
        <v>5.0766999999999998</v>
      </c>
      <c r="D64" s="10">
        <f>CHOOSE(CONTROL!$C$42, 5.2369, 5.2369) * CHOOSE(CONTROL!$C$21, $C$9, 100%, $E$9)</f>
        <v>5.2369000000000003</v>
      </c>
      <c r="E64" s="10">
        <f>CHOOSE(CONTROL!$C$42, 5.2687, 5.2687) * CHOOSE(CONTROL!$C$21, $C$9, 100%, $E$9)</f>
        <v>5.2686999999999999</v>
      </c>
      <c r="F64" s="10">
        <f>CHOOSE(CONTROL!$C$42, 5.0183, 5.0183)*CHOOSE(CONTROL!$C$21, $C$9, 100%, $E$9)</f>
        <v>5.0183</v>
      </c>
      <c r="G64" s="10">
        <f>CHOOSE(CONTROL!$C$42, 5.0341, 5.0341)*CHOOSE(CONTROL!$C$21, $C$9, 100%, $E$9)</f>
        <v>5.0340999999999996</v>
      </c>
      <c r="H64" s="10">
        <f>CHOOSE(CONTROL!$C$42, 5.2582, 5.2582) * CHOOSE(CONTROL!$C$21, $C$9, 100%, $E$9)</f>
        <v>5.2582000000000004</v>
      </c>
      <c r="I64" s="10">
        <f>CHOOSE(CONTROL!$C$42, 5.0523, 5.0523)* CHOOSE(CONTROL!$C$21, $C$9, 100%, $E$9)</f>
        <v>5.0522999999999998</v>
      </c>
      <c r="J64" s="10">
        <f>CHOOSE(CONTROL!$C$42, 5.0109, 5.0109)* CHOOSE(CONTROL!$C$21, $C$9, 100%, $E$9)</f>
        <v>5.0109000000000004</v>
      </c>
      <c r="K64" s="10">
        <f>CHOOSE(CONTROL!$C$42, 5.0551, 5.0551) * CHOOSE(CONTROL!$C$21, $C$9, 100%, $E$9)</f>
        <v>5.0551000000000004</v>
      </c>
      <c r="L64" s="10">
        <f>CHOOSE(CONTROL!$C$42, 5.8452, 5.8452) * CHOOSE(CONTROL!$C$21, $C$9, 100%, $E$9)</f>
        <v>5.8452000000000002</v>
      </c>
      <c r="M64" s="10">
        <f>CHOOSE(CONTROL!$C$42, 4.974, 4.974) * CHOOSE(CONTROL!$C$21, $C$9, 100%, $E$9)</f>
        <v>4.9740000000000002</v>
      </c>
      <c r="N64" s="10">
        <f>CHOOSE(CONTROL!$C$42, 4.9896, 4.9896) * CHOOSE(CONTROL!$C$21, $C$9, 100%, $E$9)</f>
        <v>4.9896000000000003</v>
      </c>
      <c r="O64" s="10">
        <f>CHOOSE(CONTROL!$C$42, 5.2178, 5.2178) * CHOOSE(CONTROL!$C$21, $C$9, 100%, $E$9)</f>
        <v>5.2178000000000004</v>
      </c>
      <c r="P64" s="10">
        <f>CHOOSE(CONTROL!$C$42, 5.0149, 5.0149) * CHOOSE(CONTROL!$C$21, $C$9, 100%, $E$9)</f>
        <v>5.0148999999999999</v>
      </c>
      <c r="Q64" s="10">
        <f>CHOOSE(CONTROL!$C$42, 5.8131, 5.8131) * CHOOSE(CONTROL!$C$21, $C$9, 100%, $E$9)</f>
        <v>5.8131000000000004</v>
      </c>
      <c r="R64" s="10">
        <f>CHOOSE(CONTROL!$C$42, 6.4147, 6.4147) * CHOOSE(CONTROL!$C$21, $C$9, 100%, $E$9)</f>
        <v>6.4146999999999998</v>
      </c>
      <c r="S64" s="10">
        <f>CHOOSE(CONTROL!$C$42, 4.9273, 4.9273) * CHOOSE(CONTROL!$C$21, $C$9, 100%, $E$9)</f>
        <v>4.9272999999999998</v>
      </c>
      <c r="T6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4" s="38">
        <f>(1000*CHOOSE(CONTROL!$C$42, 695, 695)*CHOOSE(CONTROL!$C$42, 0.5599, 0.5599)*CHOOSE(CONTROL!$C$42, 30, 30))/1000000</f>
        <v>11.673914999999997</v>
      </c>
      <c r="V64" s="38">
        <f>(1000*CHOOSE(CONTROL!$C$42, 500, 500)*CHOOSE(CONTROL!$C$42, 0.275, 0.275)*CHOOSE(CONTROL!$C$42, 30, 30))/1000000</f>
        <v>4.125</v>
      </c>
      <c r="W64" s="38">
        <f>(1000*CHOOSE(CONTROL!$C$42, 0.1146, 0.1146)*CHOOSE(CONTROL!$C$42, 121.5, 121.5)*CHOOSE(CONTROL!$C$42, 30, 30))/1000000</f>
        <v>0.417717</v>
      </c>
      <c r="X64" s="38">
        <f>(30*0.1790888*245000/1000000)+(30*0.2374*100000/1000000)</f>
        <v>2.0285026799999999</v>
      </c>
      <c r="Y64" s="38">
        <f>(1000*400*CHOOSE(CONTROL!$C$42, 2.0082, 2.0082)*CHOOSE(CONTROL!$C$42, 30, 30))/1000000</f>
        <v>24.098400000000002</v>
      </c>
      <c r="Z64" s="38"/>
      <c r="AA64" s="10"/>
      <c r="AB64" s="39"/>
      <c r="AC64" s="33">
        <f>(B64*141.293+C64*267.993+D64*115.016+E64*89.698+F64*40+G64*185+H64*0+I64*100+J64*300)/(141.293+267.993+115.016+89.698+0+40+185+100+300)</f>
        <v>5.0788103799031479</v>
      </c>
      <c r="AD64" s="27">
        <f>(M64*'RAP TEMPLATE-GAS AVAILABILITY'!O63+N64*'RAP TEMPLATE-GAS AVAILABILITY'!P63+O64*'RAP TEMPLATE-GAS AVAILABILITY'!Q63+P64*'RAP TEMPLATE-GAS AVAILABILITY'!R63)/('RAP TEMPLATE-GAS AVAILABILITY'!O63+'RAP TEMPLATE-GAS AVAILABILITY'!P63+'RAP TEMPLATE-GAS AVAILABILITY'!Q63+'RAP TEMPLATE-GAS AVAILABILITY'!R63)</f>
        <v>5.0518805755395677</v>
      </c>
    </row>
    <row r="65" spans="1:30" ht="15">
      <c r="A65" s="16">
        <v>43221</v>
      </c>
      <c r="B65" s="10">
        <f>CHOOSE(CONTROL!$C$42, 5.1189, 5.1189) * CHOOSE(CONTROL!$C$21, $C$9, 100%, $E$9)</f>
        <v>5.1189</v>
      </c>
      <c r="C65" s="10">
        <f>CHOOSE(CONTROL!$C$42, 5.1269, 5.1269) * CHOOSE(CONTROL!$C$21, $C$9, 100%, $E$9)</f>
        <v>5.1269</v>
      </c>
      <c r="D65" s="10">
        <f>CHOOSE(CONTROL!$C$42, 5.284, 5.284) * CHOOSE(CONTROL!$C$21, $C$9, 100%, $E$9)</f>
        <v>5.2839999999999998</v>
      </c>
      <c r="E65" s="10">
        <f>CHOOSE(CONTROL!$C$42, 5.3152, 5.3152) * CHOOSE(CONTROL!$C$21, $C$9, 100%, $E$9)</f>
        <v>5.3151999999999999</v>
      </c>
      <c r="F65" s="10">
        <f>CHOOSE(CONTROL!$C$42, 5.063, 5.063)*CHOOSE(CONTROL!$C$21, $C$9, 100%, $E$9)</f>
        <v>5.0629999999999997</v>
      </c>
      <c r="G65" s="10">
        <f>CHOOSE(CONTROL!$C$42, 5.0792, 5.0792)*CHOOSE(CONTROL!$C$21, $C$9, 100%, $E$9)</f>
        <v>5.0792000000000002</v>
      </c>
      <c r="H65" s="10">
        <f>CHOOSE(CONTROL!$C$42, 5.3035, 5.3035) * CHOOSE(CONTROL!$C$21, $C$9, 100%, $E$9)</f>
        <v>5.3034999999999997</v>
      </c>
      <c r="I65" s="10">
        <f>CHOOSE(CONTROL!$C$42, 5.0977, 5.0977)* CHOOSE(CONTROL!$C$21, $C$9, 100%, $E$9)</f>
        <v>5.0976999999999997</v>
      </c>
      <c r="J65" s="10">
        <f>CHOOSE(CONTROL!$C$42, 5.0556, 5.0556)* CHOOSE(CONTROL!$C$21, $C$9, 100%, $E$9)</f>
        <v>5.0556000000000001</v>
      </c>
      <c r="K65" s="10">
        <f>CHOOSE(CONTROL!$C$42, 5.0978, 5.0978) * CHOOSE(CONTROL!$C$21, $C$9, 100%, $E$9)</f>
        <v>5.0978000000000003</v>
      </c>
      <c r="L65" s="10">
        <f>CHOOSE(CONTROL!$C$42, 5.8905, 5.8905) * CHOOSE(CONTROL!$C$21, $C$9, 100%, $E$9)</f>
        <v>5.8905000000000003</v>
      </c>
      <c r="M65" s="10">
        <f>CHOOSE(CONTROL!$C$42, 5.0181, 5.0181) * CHOOSE(CONTROL!$C$21, $C$9, 100%, $E$9)</f>
        <v>5.0180999999999996</v>
      </c>
      <c r="N65" s="10">
        <f>CHOOSE(CONTROL!$C$42, 5.0341, 5.0341) * CHOOSE(CONTROL!$C$21, $C$9, 100%, $E$9)</f>
        <v>5.0340999999999996</v>
      </c>
      <c r="O65" s="10">
        <f>CHOOSE(CONTROL!$C$42, 5.2626, 5.2626) * CHOOSE(CONTROL!$C$21, $C$9, 100%, $E$9)</f>
        <v>5.2625999999999999</v>
      </c>
      <c r="P65" s="10">
        <f>CHOOSE(CONTROL!$C$42, 5.0597, 5.0597) * CHOOSE(CONTROL!$C$21, $C$9, 100%, $E$9)</f>
        <v>5.0597000000000003</v>
      </c>
      <c r="Q65" s="10">
        <f>CHOOSE(CONTROL!$C$42, 5.8579, 5.8579) * CHOOSE(CONTROL!$C$21, $C$9, 100%, $E$9)</f>
        <v>5.8578999999999999</v>
      </c>
      <c r="R65" s="10">
        <f>CHOOSE(CONTROL!$C$42, 6.4595, 6.4595) * CHOOSE(CONTROL!$C$21, $C$9, 100%, $E$9)</f>
        <v>6.4595000000000002</v>
      </c>
      <c r="S65" s="10">
        <f>CHOOSE(CONTROL!$C$42, 4.9712, 4.9712) * CHOOSE(CONTROL!$C$21, $C$9, 100%, $E$9)</f>
        <v>4.9711999999999996</v>
      </c>
      <c r="T6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5" s="38">
        <f>(1000*CHOOSE(CONTROL!$C$42, 695, 695)*CHOOSE(CONTROL!$C$42, 0.5599, 0.5599)*CHOOSE(CONTROL!$C$42, 31, 31))/1000000</f>
        <v>12.063045499999998</v>
      </c>
      <c r="V65" s="38">
        <f>(1000*CHOOSE(CONTROL!$C$42, 500, 500)*CHOOSE(CONTROL!$C$42, 0.275, 0.275)*CHOOSE(CONTROL!$C$42, 31, 31))/1000000</f>
        <v>4.2625000000000002</v>
      </c>
      <c r="W65" s="38">
        <f>(1000*CHOOSE(CONTROL!$C$42, 0.1146, 0.1146)*CHOOSE(CONTROL!$C$42, 121.5, 121.5)*CHOOSE(CONTROL!$C$42, 31, 31))/1000000</f>
        <v>0.43164089999999994</v>
      </c>
      <c r="X65" s="38">
        <f>(31*0.1790888*245000/1000000)+(31*0.2374*100000/1000000)</f>
        <v>2.0961194359999999</v>
      </c>
      <c r="Y65" s="38">
        <f>(1000*400*CHOOSE(CONTROL!$C$42, 2.0082, 2.0082)*CHOOSE(CONTROL!$C$42, 31, 31))/1000000</f>
        <v>24.901679999999999</v>
      </c>
      <c r="Z65" s="38"/>
      <c r="AA65" s="10"/>
      <c r="AB65" s="39"/>
      <c r="AC65" s="33">
        <f>(B65*194.205+C65*267.466+D65*133.845+E65*53.484+F65*40+G65*185+H65*0+I65*100+J65*300)/(194.205+267.466+133.845+53.484+0+40+185+100+300)</f>
        <v>5.1220757823390901</v>
      </c>
      <c r="AD65" s="27">
        <f>(M65*'RAP TEMPLATE-GAS AVAILABILITY'!O64+N65*'RAP TEMPLATE-GAS AVAILABILITY'!P64+O65*'RAP TEMPLATE-GAS AVAILABILITY'!Q64+P65*'RAP TEMPLATE-GAS AVAILABILITY'!R64)/('RAP TEMPLATE-GAS AVAILABILITY'!O64+'RAP TEMPLATE-GAS AVAILABILITY'!P64+'RAP TEMPLATE-GAS AVAILABILITY'!Q64+'RAP TEMPLATE-GAS AVAILABILITY'!R64)</f>
        <v>5.0963697841726621</v>
      </c>
    </row>
    <row r="66" spans="1:30" ht="15">
      <c r="A66" s="16">
        <v>43252</v>
      </c>
      <c r="B66" s="10">
        <f>CHOOSE(CONTROL!$C$42, 5.2645, 5.2645) * CHOOSE(CONTROL!$C$21, $C$9, 100%, $E$9)</f>
        <v>5.2645</v>
      </c>
      <c r="C66" s="10">
        <f>CHOOSE(CONTROL!$C$42, 5.2725, 5.2725) * CHOOSE(CONTROL!$C$21, $C$9, 100%, $E$9)</f>
        <v>5.2725</v>
      </c>
      <c r="D66" s="10">
        <f>CHOOSE(CONTROL!$C$42, 5.4296, 5.4296) * CHOOSE(CONTROL!$C$21, $C$9, 100%, $E$9)</f>
        <v>5.4295999999999998</v>
      </c>
      <c r="E66" s="10">
        <f>CHOOSE(CONTROL!$C$42, 5.4608, 5.4608) * CHOOSE(CONTROL!$C$21, $C$9, 100%, $E$9)</f>
        <v>5.4607999999999999</v>
      </c>
      <c r="F66" s="10">
        <f>CHOOSE(CONTROL!$C$42, 5.2088, 5.2088)*CHOOSE(CONTROL!$C$21, $C$9, 100%, $E$9)</f>
        <v>5.2088000000000001</v>
      </c>
      <c r="G66" s="10">
        <f>CHOOSE(CONTROL!$C$42, 5.225, 5.225)*CHOOSE(CONTROL!$C$21, $C$9, 100%, $E$9)</f>
        <v>5.2249999999999996</v>
      </c>
      <c r="H66" s="10">
        <f>CHOOSE(CONTROL!$C$42, 5.4491, 5.4491) * CHOOSE(CONTROL!$C$21, $C$9, 100%, $E$9)</f>
        <v>5.4490999999999996</v>
      </c>
      <c r="I66" s="10">
        <f>CHOOSE(CONTROL!$C$42, 5.2433, 5.2433)* CHOOSE(CONTROL!$C$21, $C$9, 100%, $E$9)</f>
        <v>5.2432999999999996</v>
      </c>
      <c r="J66" s="10">
        <f>CHOOSE(CONTROL!$C$42, 5.2014, 5.2014)* CHOOSE(CONTROL!$C$21, $C$9, 100%, $E$9)</f>
        <v>5.2013999999999996</v>
      </c>
      <c r="K66" s="10">
        <f>CHOOSE(CONTROL!$C$42, 5.2392, 5.2392) * CHOOSE(CONTROL!$C$21, $C$9, 100%, $E$9)</f>
        <v>5.2392000000000003</v>
      </c>
      <c r="L66" s="10">
        <f>CHOOSE(CONTROL!$C$42, 6.0361, 6.0361) * CHOOSE(CONTROL!$C$21, $C$9, 100%, $E$9)</f>
        <v>6.0361000000000002</v>
      </c>
      <c r="M66" s="10">
        <f>CHOOSE(CONTROL!$C$42, 5.1619, 5.1619) * CHOOSE(CONTROL!$C$21, $C$9, 100%, $E$9)</f>
        <v>5.1619000000000002</v>
      </c>
      <c r="N66" s="10">
        <f>CHOOSE(CONTROL!$C$42, 5.1778, 5.1778) * CHOOSE(CONTROL!$C$21, $C$9, 100%, $E$9)</f>
        <v>5.1778000000000004</v>
      </c>
      <c r="O66" s="10">
        <f>CHOOSE(CONTROL!$C$42, 5.4061, 5.4061) * CHOOSE(CONTROL!$C$21, $C$9, 100%, $E$9)</f>
        <v>5.4061000000000003</v>
      </c>
      <c r="P66" s="10">
        <f>CHOOSE(CONTROL!$C$42, 5.2032, 5.2032) * CHOOSE(CONTROL!$C$21, $C$9, 100%, $E$9)</f>
        <v>5.2031999999999998</v>
      </c>
      <c r="Q66" s="10">
        <f>CHOOSE(CONTROL!$C$42, 6.0014, 6.0014) * CHOOSE(CONTROL!$C$21, $C$9, 100%, $E$9)</f>
        <v>6.0014000000000003</v>
      </c>
      <c r="R66" s="10">
        <f>CHOOSE(CONTROL!$C$42, 6.6034, 6.6034) * CHOOSE(CONTROL!$C$21, $C$9, 100%, $E$9)</f>
        <v>6.6033999999999997</v>
      </c>
      <c r="S66" s="10">
        <f>CHOOSE(CONTROL!$C$42, 5.1122, 5.1122) * CHOOSE(CONTROL!$C$21, $C$9, 100%, $E$9)</f>
        <v>5.1121999999999996</v>
      </c>
      <c r="T6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6" s="38">
        <f>(1000*CHOOSE(CONTROL!$C$42, 695, 695)*CHOOSE(CONTROL!$C$42, 0.5599, 0.5599)*CHOOSE(CONTROL!$C$42, 30, 30))/1000000</f>
        <v>11.673914999999997</v>
      </c>
      <c r="V66" s="38">
        <f>(1000*CHOOSE(CONTROL!$C$42, 500, 500)*CHOOSE(CONTROL!$C$42, 0.275, 0.275)*CHOOSE(CONTROL!$C$42, 30, 30))/1000000</f>
        <v>4.125</v>
      </c>
      <c r="W66" s="38">
        <f>(1000*CHOOSE(CONTROL!$C$42, 0.1146, 0.1146)*CHOOSE(CONTROL!$C$42, 121.5, 121.5)*CHOOSE(CONTROL!$C$42, 30, 30))/1000000</f>
        <v>0.417717</v>
      </c>
      <c r="X66" s="38">
        <f>(30*0.1790888*245000/1000000)+(30*0.2374*100000/1000000)</f>
        <v>2.0285026799999999</v>
      </c>
      <c r="Y66" s="38">
        <f>(1000*400*CHOOSE(CONTROL!$C$42, 2.0082, 2.0082)*CHOOSE(CONTROL!$C$42, 30, 30))/1000000</f>
        <v>24.098400000000002</v>
      </c>
      <c r="Z66" s="38"/>
      <c r="AA66" s="10"/>
      <c r="AB66" s="39"/>
      <c r="AC66" s="33">
        <f>(B66*194.205+C66*267.466+D66*133.845+E66*53.484+F66*40+G66*185+H66*0+I66*100+J66*300)/(194.205+267.466+133.845+53.484+0+40+185+100+300)</f>
        <v>5.2677581999215066</v>
      </c>
      <c r="AD66" s="27">
        <f>(M66*'RAP TEMPLATE-GAS AVAILABILITY'!O65+N66*'RAP TEMPLATE-GAS AVAILABILITY'!P65+O66*'RAP TEMPLATE-GAS AVAILABILITY'!Q65+P66*'RAP TEMPLATE-GAS AVAILABILITY'!R65)/('RAP TEMPLATE-GAS AVAILABILITY'!O65+'RAP TEMPLATE-GAS AVAILABILITY'!P65+'RAP TEMPLATE-GAS AVAILABILITY'!Q65+'RAP TEMPLATE-GAS AVAILABILITY'!R65)</f>
        <v>5.2400194244604323</v>
      </c>
    </row>
    <row r="67" spans="1:30" ht="15">
      <c r="A67" s="16">
        <v>43282</v>
      </c>
      <c r="B67" s="10">
        <f>CHOOSE(CONTROL!$C$42, 5.1633, 5.1633) * CHOOSE(CONTROL!$C$21, $C$9, 100%, $E$9)</f>
        <v>5.1632999999999996</v>
      </c>
      <c r="C67" s="10">
        <f>CHOOSE(CONTROL!$C$42, 5.1712, 5.1712) * CHOOSE(CONTROL!$C$21, $C$9, 100%, $E$9)</f>
        <v>5.1711999999999998</v>
      </c>
      <c r="D67" s="10">
        <f>CHOOSE(CONTROL!$C$42, 5.3283, 5.3283) * CHOOSE(CONTROL!$C$21, $C$9, 100%, $E$9)</f>
        <v>5.3282999999999996</v>
      </c>
      <c r="E67" s="10">
        <f>CHOOSE(CONTROL!$C$42, 5.3595, 5.3595) * CHOOSE(CONTROL!$C$21, $C$9, 100%, $E$9)</f>
        <v>5.3594999999999997</v>
      </c>
      <c r="F67" s="10">
        <f>CHOOSE(CONTROL!$C$42, 5.1079, 5.1079)*CHOOSE(CONTROL!$C$21, $C$9, 100%, $E$9)</f>
        <v>5.1078999999999999</v>
      </c>
      <c r="G67" s="10">
        <f>CHOOSE(CONTROL!$C$42, 5.1241, 5.1241)*CHOOSE(CONTROL!$C$21, $C$9, 100%, $E$9)</f>
        <v>5.1241000000000003</v>
      </c>
      <c r="H67" s="10">
        <f>CHOOSE(CONTROL!$C$42, 5.3478, 5.3478) * CHOOSE(CONTROL!$C$21, $C$9, 100%, $E$9)</f>
        <v>5.3478000000000003</v>
      </c>
      <c r="I67" s="10">
        <f>CHOOSE(CONTROL!$C$42, 5.142, 5.142)* CHOOSE(CONTROL!$C$21, $C$9, 100%, $E$9)</f>
        <v>5.1420000000000003</v>
      </c>
      <c r="J67" s="10">
        <f>CHOOSE(CONTROL!$C$42, 5.1005, 5.1005)* CHOOSE(CONTROL!$C$21, $C$9, 100%, $E$9)</f>
        <v>5.1005000000000003</v>
      </c>
      <c r="K67" s="10">
        <f>CHOOSE(CONTROL!$C$42, 5.1418, 5.1418) * CHOOSE(CONTROL!$C$21, $C$9, 100%, $E$9)</f>
        <v>5.1417999999999999</v>
      </c>
      <c r="L67" s="10">
        <f>CHOOSE(CONTROL!$C$42, 5.9348, 5.9348) * CHOOSE(CONTROL!$C$21, $C$9, 100%, $E$9)</f>
        <v>5.9348000000000001</v>
      </c>
      <c r="M67" s="10">
        <f>CHOOSE(CONTROL!$C$42, 5.0624, 5.0624) * CHOOSE(CONTROL!$C$21, $C$9, 100%, $E$9)</f>
        <v>5.0624000000000002</v>
      </c>
      <c r="N67" s="10">
        <f>CHOOSE(CONTROL!$C$42, 5.0784, 5.0784) * CHOOSE(CONTROL!$C$21, $C$9, 100%, $E$9)</f>
        <v>5.0784000000000002</v>
      </c>
      <c r="O67" s="10">
        <f>CHOOSE(CONTROL!$C$42, 5.3063, 5.3063) * CHOOSE(CONTROL!$C$21, $C$9, 100%, $E$9)</f>
        <v>5.3063000000000002</v>
      </c>
      <c r="P67" s="10">
        <f>CHOOSE(CONTROL!$C$42, 5.1034, 5.1034) * CHOOSE(CONTROL!$C$21, $C$9, 100%, $E$9)</f>
        <v>5.1033999999999997</v>
      </c>
      <c r="Q67" s="10">
        <f>CHOOSE(CONTROL!$C$42, 5.9016, 5.9016) * CHOOSE(CONTROL!$C$21, $C$9, 100%, $E$9)</f>
        <v>5.9016000000000002</v>
      </c>
      <c r="R67" s="10">
        <f>CHOOSE(CONTROL!$C$42, 6.5033, 6.5033) * CHOOSE(CONTROL!$C$21, $C$9, 100%, $E$9)</f>
        <v>6.5033000000000003</v>
      </c>
      <c r="S67" s="10">
        <f>CHOOSE(CONTROL!$C$42, 5.0142, 5.0142) * CHOOSE(CONTROL!$C$21, $C$9, 100%, $E$9)</f>
        <v>5.0141999999999998</v>
      </c>
      <c r="T6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7" s="38">
        <f>(1000*CHOOSE(CONTROL!$C$42, 695, 695)*CHOOSE(CONTROL!$C$42, 0.5599, 0.5599)*CHOOSE(CONTROL!$C$42, 31, 31))/1000000</f>
        <v>12.063045499999998</v>
      </c>
      <c r="V67" s="38">
        <f>(1000*CHOOSE(CONTROL!$C$42, 500, 500)*CHOOSE(CONTROL!$C$42, 0.275, 0.275)*CHOOSE(CONTROL!$C$42, 31, 31))/1000000</f>
        <v>4.2625000000000002</v>
      </c>
      <c r="W67" s="38">
        <f>(1000*CHOOSE(CONTROL!$C$42, 0.1146, 0.1146)*CHOOSE(CONTROL!$C$42, 121.5, 121.5)*CHOOSE(CONTROL!$C$42, 31, 31))/1000000</f>
        <v>0.43164089999999994</v>
      </c>
      <c r="X67" s="38">
        <f>(31*0.1790888*245000/1000000)+(31*0.2374*100000/1000000)</f>
        <v>2.0961194359999999</v>
      </c>
      <c r="Y67" s="38">
        <f>(1000*400*CHOOSE(CONTROL!$C$42, 2.0082, 2.0082)*CHOOSE(CONTROL!$C$42, 31, 31))/1000000</f>
        <v>24.901679999999999</v>
      </c>
      <c r="Z67" s="38"/>
      <c r="AA67" s="10"/>
      <c r="AB67" s="39"/>
      <c r="AC67" s="33">
        <f>(B67*194.205+C67*267.466+D67*133.845+E67*53.484+F67*40+G67*185+H67*0+I67*100+J67*300)/(194.205+267.466+133.845+53.484+0+40+185+100+300)</f>
        <v>5.1666382788069063</v>
      </c>
      <c r="AD67" s="27">
        <f>(M67*'RAP TEMPLATE-GAS AVAILABILITY'!O66+N67*'RAP TEMPLATE-GAS AVAILABILITY'!P66+O67*'RAP TEMPLATE-GAS AVAILABILITY'!Q66+P67*'RAP TEMPLATE-GAS AVAILABILITY'!R66)/('RAP TEMPLATE-GAS AVAILABILITY'!O66+'RAP TEMPLATE-GAS AVAILABILITY'!P66+'RAP TEMPLATE-GAS AVAILABILITY'!Q66+'RAP TEMPLATE-GAS AVAILABILITY'!R66)</f>
        <v>5.1404151079136691</v>
      </c>
    </row>
    <row r="68" spans="1:30" ht="15">
      <c r="A68" s="16">
        <v>43313</v>
      </c>
      <c r="B68" s="10">
        <f>CHOOSE(CONTROL!$C$42, 4.9075, 4.9075) * CHOOSE(CONTROL!$C$21, $C$9, 100%, $E$9)</f>
        <v>4.9074999999999998</v>
      </c>
      <c r="C68" s="10">
        <f>CHOOSE(CONTROL!$C$42, 4.9155, 4.9155) * CHOOSE(CONTROL!$C$21, $C$9, 100%, $E$9)</f>
        <v>4.9154999999999998</v>
      </c>
      <c r="D68" s="10">
        <f>CHOOSE(CONTROL!$C$42, 5.0726, 5.0726) * CHOOSE(CONTROL!$C$21, $C$9, 100%, $E$9)</f>
        <v>5.0726000000000004</v>
      </c>
      <c r="E68" s="10">
        <f>CHOOSE(CONTROL!$C$42, 5.1038, 5.1038) * CHOOSE(CONTROL!$C$21, $C$9, 100%, $E$9)</f>
        <v>5.1037999999999997</v>
      </c>
      <c r="F68" s="10">
        <f>CHOOSE(CONTROL!$C$42, 4.8521, 4.8521)*CHOOSE(CONTROL!$C$21, $C$9, 100%, $E$9)</f>
        <v>4.8521000000000001</v>
      </c>
      <c r="G68" s="10">
        <f>CHOOSE(CONTROL!$C$42, 4.8684, 4.8684)*CHOOSE(CONTROL!$C$21, $C$9, 100%, $E$9)</f>
        <v>4.8684000000000003</v>
      </c>
      <c r="H68" s="10">
        <f>CHOOSE(CONTROL!$C$42, 5.0921, 5.0921) * CHOOSE(CONTROL!$C$21, $C$9, 100%, $E$9)</f>
        <v>5.0921000000000003</v>
      </c>
      <c r="I68" s="10">
        <f>CHOOSE(CONTROL!$C$42, 4.8863, 4.8863)* CHOOSE(CONTROL!$C$21, $C$9, 100%, $E$9)</f>
        <v>4.8863000000000003</v>
      </c>
      <c r="J68" s="10">
        <f>CHOOSE(CONTROL!$C$42, 4.8447, 4.8447)* CHOOSE(CONTROL!$C$21, $C$9, 100%, $E$9)</f>
        <v>4.8446999999999996</v>
      </c>
      <c r="K68" s="10">
        <f>CHOOSE(CONTROL!$C$42, 4.8939, 4.8939) * CHOOSE(CONTROL!$C$21, $C$9, 100%, $E$9)</f>
        <v>4.8939000000000004</v>
      </c>
      <c r="L68" s="10">
        <f>CHOOSE(CONTROL!$C$42, 5.6791, 5.6791) * CHOOSE(CONTROL!$C$21, $C$9, 100%, $E$9)</f>
        <v>5.6791</v>
      </c>
      <c r="M68" s="10">
        <f>CHOOSE(CONTROL!$C$42, 4.8102, 4.8102) * CHOOSE(CONTROL!$C$21, $C$9, 100%, $E$9)</f>
        <v>4.8102</v>
      </c>
      <c r="N68" s="10">
        <f>CHOOSE(CONTROL!$C$42, 4.8262, 4.8262) * CHOOSE(CONTROL!$C$21, $C$9, 100%, $E$9)</f>
        <v>4.8262</v>
      </c>
      <c r="O68" s="10">
        <f>CHOOSE(CONTROL!$C$42, 5.0541, 5.0541) * CHOOSE(CONTROL!$C$21, $C$9, 100%, $E$9)</f>
        <v>5.0541</v>
      </c>
      <c r="P68" s="10">
        <f>CHOOSE(CONTROL!$C$42, 4.8512, 4.8512) * CHOOSE(CONTROL!$C$21, $C$9, 100%, $E$9)</f>
        <v>4.8512000000000004</v>
      </c>
      <c r="Q68" s="10">
        <f>CHOOSE(CONTROL!$C$42, 5.6494, 5.6494) * CHOOSE(CONTROL!$C$21, $C$9, 100%, $E$9)</f>
        <v>5.6494</v>
      </c>
      <c r="R68" s="10">
        <f>CHOOSE(CONTROL!$C$42, 6.2505, 6.2505) * CHOOSE(CONTROL!$C$21, $C$9, 100%, $E$9)</f>
        <v>6.2504999999999997</v>
      </c>
      <c r="S68" s="10">
        <f>CHOOSE(CONTROL!$C$42, 4.7666, 4.7666) * CHOOSE(CONTROL!$C$21, $C$9, 100%, $E$9)</f>
        <v>4.7666000000000004</v>
      </c>
      <c r="T6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8" s="38">
        <f>(1000*CHOOSE(CONTROL!$C$42, 695, 695)*CHOOSE(CONTROL!$C$42, 0.5599, 0.5599)*CHOOSE(CONTROL!$C$42, 31, 31))/1000000</f>
        <v>12.063045499999998</v>
      </c>
      <c r="V68" s="38">
        <f>(1000*CHOOSE(CONTROL!$C$42, 500, 500)*CHOOSE(CONTROL!$C$42, 0.275, 0.275)*CHOOSE(CONTROL!$C$42, 31, 31))/1000000</f>
        <v>4.2625000000000002</v>
      </c>
      <c r="W68" s="38">
        <f>(1000*CHOOSE(CONTROL!$C$42, 0.1146, 0.1146)*CHOOSE(CONTROL!$C$42, 121.5, 121.5)*CHOOSE(CONTROL!$C$42, 31, 31))/1000000</f>
        <v>0.43164089999999994</v>
      </c>
      <c r="X68" s="38">
        <f>(31*0.1790888*245000/1000000)+(31*0.2374*100000/1000000)</f>
        <v>2.0961194359999999</v>
      </c>
      <c r="Y68" s="38">
        <f>(1000*400*CHOOSE(CONTROL!$C$42, 2.0082, 2.0082)*CHOOSE(CONTROL!$C$42, 31, 31))/1000000</f>
        <v>24.901679999999999</v>
      </c>
      <c r="Z68" s="38"/>
      <c r="AA68" s="10"/>
      <c r="AB68" s="39"/>
      <c r="AC68" s="33">
        <f>(B68*194.205+C68*267.466+D68*133.845+E68*53.484+F68*40+G68*185+H68*0+I68*100+J68*300)/(194.205+267.466+133.845+53.484+0+40+185+100+300)</f>
        <v>4.9108963474882268</v>
      </c>
      <c r="AD68" s="27">
        <f>(M68*'RAP TEMPLATE-GAS AVAILABILITY'!O67+N68*'RAP TEMPLATE-GAS AVAILABILITY'!P67+O68*'RAP TEMPLATE-GAS AVAILABILITY'!Q67+P68*'RAP TEMPLATE-GAS AVAILABILITY'!R67)/('RAP TEMPLATE-GAS AVAILABILITY'!O67+'RAP TEMPLATE-GAS AVAILABILITY'!P67+'RAP TEMPLATE-GAS AVAILABILITY'!Q67+'RAP TEMPLATE-GAS AVAILABILITY'!R67)</f>
        <v>4.8882151079136689</v>
      </c>
    </row>
    <row r="69" spans="1:30" ht="15">
      <c r="A69" s="16">
        <v>43344</v>
      </c>
      <c r="B69" s="10">
        <f>CHOOSE(CONTROL!$C$42, 4.5951, 4.5951) * CHOOSE(CONTROL!$C$21, $C$9, 100%, $E$9)</f>
        <v>4.5951000000000004</v>
      </c>
      <c r="C69" s="10">
        <f>CHOOSE(CONTROL!$C$42, 4.6031, 4.6031) * CHOOSE(CONTROL!$C$21, $C$9, 100%, $E$9)</f>
        <v>4.6031000000000004</v>
      </c>
      <c r="D69" s="10">
        <f>CHOOSE(CONTROL!$C$42, 4.7602, 4.7602) * CHOOSE(CONTROL!$C$21, $C$9, 100%, $E$9)</f>
        <v>4.7602000000000002</v>
      </c>
      <c r="E69" s="10">
        <f>CHOOSE(CONTROL!$C$42, 4.7914, 4.7914) * CHOOSE(CONTROL!$C$21, $C$9, 100%, $E$9)</f>
        <v>4.7914000000000003</v>
      </c>
      <c r="F69" s="10">
        <f>CHOOSE(CONTROL!$C$42, 4.5395, 4.5395)*CHOOSE(CONTROL!$C$21, $C$9, 100%, $E$9)</f>
        <v>4.5395000000000003</v>
      </c>
      <c r="G69" s="10">
        <f>CHOOSE(CONTROL!$C$42, 4.5557, 4.5557)*CHOOSE(CONTROL!$C$21, $C$9, 100%, $E$9)</f>
        <v>4.5556999999999999</v>
      </c>
      <c r="H69" s="10">
        <f>CHOOSE(CONTROL!$C$42, 4.7797, 4.7797) * CHOOSE(CONTROL!$C$21, $C$9, 100%, $E$9)</f>
        <v>4.7797000000000001</v>
      </c>
      <c r="I69" s="10">
        <f>CHOOSE(CONTROL!$C$42, 4.5739, 4.5739)* CHOOSE(CONTROL!$C$21, $C$9, 100%, $E$9)</f>
        <v>4.5739000000000001</v>
      </c>
      <c r="J69" s="10">
        <f>CHOOSE(CONTROL!$C$42, 4.5321, 4.5321)* CHOOSE(CONTROL!$C$21, $C$9, 100%, $E$9)</f>
        <v>4.5320999999999998</v>
      </c>
      <c r="K69" s="10">
        <f>CHOOSE(CONTROL!$C$42, 4.5908, 4.5908) * CHOOSE(CONTROL!$C$21, $C$9, 100%, $E$9)</f>
        <v>4.5907999999999998</v>
      </c>
      <c r="L69" s="10">
        <f>CHOOSE(CONTROL!$C$42, 5.3667, 5.3667) * CHOOSE(CONTROL!$C$21, $C$9, 100%, $E$9)</f>
        <v>5.3666999999999998</v>
      </c>
      <c r="M69" s="10">
        <f>CHOOSE(CONTROL!$C$42, 4.5019, 4.5019) * CHOOSE(CONTROL!$C$21, $C$9, 100%, $E$9)</f>
        <v>4.5019</v>
      </c>
      <c r="N69" s="10">
        <f>CHOOSE(CONTROL!$C$42, 4.5178, 4.5178) * CHOOSE(CONTROL!$C$21, $C$9, 100%, $E$9)</f>
        <v>4.5178000000000003</v>
      </c>
      <c r="O69" s="10">
        <f>CHOOSE(CONTROL!$C$42, 4.746, 4.746) * CHOOSE(CONTROL!$C$21, $C$9, 100%, $E$9)</f>
        <v>4.7460000000000004</v>
      </c>
      <c r="P69" s="10">
        <f>CHOOSE(CONTROL!$C$42, 4.5432, 4.5432) * CHOOSE(CONTROL!$C$21, $C$9, 100%, $E$9)</f>
        <v>4.5431999999999997</v>
      </c>
      <c r="Q69" s="10">
        <f>CHOOSE(CONTROL!$C$42, 5.3413, 5.3413) * CHOOSE(CONTROL!$C$21, $C$9, 100%, $E$9)</f>
        <v>5.3413000000000004</v>
      </c>
      <c r="R69" s="10">
        <f>CHOOSE(CONTROL!$C$42, 5.9417, 5.9417) * CHOOSE(CONTROL!$C$21, $C$9, 100%, $E$9)</f>
        <v>5.9417</v>
      </c>
      <c r="S69" s="10">
        <f>CHOOSE(CONTROL!$C$42, 4.464, 4.464) * CHOOSE(CONTROL!$C$21, $C$9, 100%, $E$9)</f>
        <v>4.4640000000000004</v>
      </c>
      <c r="T6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9" s="38">
        <f>(1000*CHOOSE(CONTROL!$C$42, 695, 695)*CHOOSE(CONTROL!$C$42, 0.5599, 0.5599)*CHOOSE(CONTROL!$C$42, 30, 30))/1000000</f>
        <v>11.673914999999997</v>
      </c>
      <c r="V69" s="38">
        <f>(1000*CHOOSE(CONTROL!$C$42, 500, 500)*CHOOSE(CONTROL!$C$42, 0.275, 0.275)*CHOOSE(CONTROL!$C$42, 30, 30))/1000000</f>
        <v>4.125</v>
      </c>
      <c r="W69" s="38">
        <f>(1000*CHOOSE(CONTROL!$C$42, 0.1146, 0.1146)*CHOOSE(CONTROL!$C$42, 121.5, 121.5)*CHOOSE(CONTROL!$C$42, 30, 30))/1000000</f>
        <v>0.417717</v>
      </c>
      <c r="X69" s="38">
        <f>(30*0.1790888*245000/1000000)+(30*0.2374*100000/1000000)</f>
        <v>2.0285026799999999</v>
      </c>
      <c r="Y69" s="38">
        <f>(1000*400*CHOOSE(CONTROL!$C$42, 2.0082, 2.0082)*CHOOSE(CONTROL!$C$42, 30, 30))/1000000</f>
        <v>24.098400000000002</v>
      </c>
      <c r="Z69" s="38"/>
      <c r="AA69" s="10"/>
      <c r="AB69" s="39"/>
      <c r="AC69" s="33">
        <f>(B69*194.205+C69*267.466+D69*133.845+E69*53.484+F69*40+G69*185+H69*0+I69*100+J69*300)/(194.205+267.466+133.845+53.484+0+40+185+100+300)</f>
        <v>4.5983994087127158</v>
      </c>
      <c r="AD69" s="27">
        <f>(M69*'RAP TEMPLATE-GAS AVAILABILITY'!O68+N69*'RAP TEMPLATE-GAS AVAILABILITY'!P68+O69*'RAP TEMPLATE-GAS AVAILABILITY'!Q68+P69*'RAP TEMPLATE-GAS AVAILABILITY'!R68)/('RAP TEMPLATE-GAS AVAILABILITY'!O68+'RAP TEMPLATE-GAS AVAILABILITY'!P68+'RAP TEMPLATE-GAS AVAILABILITY'!Q68+'RAP TEMPLATE-GAS AVAILABILITY'!R68)</f>
        <v>4.5799913669064756</v>
      </c>
    </row>
    <row r="70" spans="1:30" ht="15">
      <c r="A70" s="16">
        <v>43374</v>
      </c>
      <c r="B70" s="10">
        <f>CHOOSE(CONTROL!$C$42, 4.4993, 4.4993) * CHOOSE(CONTROL!$C$21, $C$9, 100%, $E$9)</f>
        <v>4.4992999999999999</v>
      </c>
      <c r="C70" s="10">
        <f>CHOOSE(CONTROL!$C$42, 4.5047, 4.5047) * CHOOSE(CONTROL!$C$21, $C$9, 100%, $E$9)</f>
        <v>4.5046999999999997</v>
      </c>
      <c r="D70" s="10">
        <f>CHOOSE(CONTROL!$C$42, 4.6666, 4.6666) * CHOOSE(CONTROL!$C$21, $C$9, 100%, $E$9)</f>
        <v>4.6665999999999999</v>
      </c>
      <c r="E70" s="10">
        <f>CHOOSE(CONTROL!$C$42, 4.6955, 4.6955) * CHOOSE(CONTROL!$C$21, $C$9, 100%, $E$9)</f>
        <v>4.6955</v>
      </c>
      <c r="F70" s="10">
        <f>CHOOSE(CONTROL!$C$42, 4.4457, 4.4457)*CHOOSE(CONTROL!$C$21, $C$9, 100%, $E$9)</f>
        <v>4.4457000000000004</v>
      </c>
      <c r="G70" s="10">
        <f>CHOOSE(CONTROL!$C$42, 4.4615, 4.4615)*CHOOSE(CONTROL!$C$21, $C$9, 100%, $E$9)</f>
        <v>4.4615</v>
      </c>
      <c r="H70" s="10">
        <f>CHOOSE(CONTROL!$C$42, 4.6857, 4.6857) * CHOOSE(CONTROL!$C$21, $C$9, 100%, $E$9)</f>
        <v>4.6856999999999998</v>
      </c>
      <c r="I70" s="10">
        <f>CHOOSE(CONTROL!$C$42, 4.4798, 4.4798)* CHOOSE(CONTROL!$C$21, $C$9, 100%, $E$9)</f>
        <v>4.4798</v>
      </c>
      <c r="J70" s="10">
        <f>CHOOSE(CONTROL!$C$42, 4.4383, 4.4383)* CHOOSE(CONTROL!$C$21, $C$9, 100%, $E$9)</f>
        <v>4.4382999999999999</v>
      </c>
      <c r="K70" s="10">
        <f>CHOOSE(CONTROL!$C$42, 4.5004, 4.5004) * CHOOSE(CONTROL!$C$21, $C$9, 100%, $E$9)</f>
        <v>4.5004</v>
      </c>
      <c r="L70" s="10">
        <f>CHOOSE(CONTROL!$C$42, 5.2727, 5.2727) * CHOOSE(CONTROL!$C$21, $C$9, 100%, $E$9)</f>
        <v>5.2727000000000004</v>
      </c>
      <c r="M70" s="10">
        <f>CHOOSE(CONTROL!$C$42, 4.4095, 4.4095) * CHOOSE(CONTROL!$C$21, $C$9, 100%, $E$9)</f>
        <v>4.4095000000000004</v>
      </c>
      <c r="N70" s="10">
        <f>CHOOSE(CONTROL!$C$42, 4.425, 4.425) * CHOOSE(CONTROL!$C$21, $C$9, 100%, $E$9)</f>
        <v>4.4249999999999998</v>
      </c>
      <c r="O70" s="10">
        <f>CHOOSE(CONTROL!$C$42, 4.6533, 4.6533) * CHOOSE(CONTROL!$C$21, $C$9, 100%, $E$9)</f>
        <v>4.6532999999999998</v>
      </c>
      <c r="P70" s="10">
        <f>CHOOSE(CONTROL!$C$42, 4.4504, 4.4504) * CHOOSE(CONTROL!$C$21, $C$9, 100%, $E$9)</f>
        <v>4.4504000000000001</v>
      </c>
      <c r="Q70" s="10">
        <f>CHOOSE(CONTROL!$C$42, 5.2486, 5.2486) * CHOOSE(CONTROL!$C$21, $C$9, 100%, $E$9)</f>
        <v>5.2485999999999997</v>
      </c>
      <c r="R70" s="10">
        <f>CHOOSE(CONTROL!$C$42, 5.8487, 5.8487) * CHOOSE(CONTROL!$C$21, $C$9, 100%, $E$9)</f>
        <v>5.8487</v>
      </c>
      <c r="S70" s="10">
        <f>CHOOSE(CONTROL!$C$42, 4.373, 4.373) * CHOOSE(CONTROL!$C$21, $C$9, 100%, $E$9)</f>
        <v>4.3730000000000002</v>
      </c>
      <c r="T7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0" s="38">
        <f>(1000*CHOOSE(CONTROL!$C$42, 695, 695)*CHOOSE(CONTROL!$C$42, 0.5599, 0.5599)*CHOOSE(CONTROL!$C$42, 31, 31))/1000000</f>
        <v>12.063045499999998</v>
      </c>
      <c r="V70" s="38">
        <f>(1000*CHOOSE(CONTROL!$C$42, 500, 500)*CHOOSE(CONTROL!$C$42, 0.275, 0.275)*CHOOSE(CONTROL!$C$42, 31, 31))/1000000</f>
        <v>4.2625000000000002</v>
      </c>
      <c r="W70" s="38">
        <f>(1000*CHOOSE(CONTROL!$C$42, 0.1146, 0.1146)*CHOOSE(CONTROL!$C$42, 121.5, 121.5)*CHOOSE(CONTROL!$C$42, 31, 31))/1000000</f>
        <v>0.43164089999999994</v>
      </c>
      <c r="X70" s="38">
        <f>(31*0.1790888*245000/1000000)+(31*0.2374*100000/1000000)</f>
        <v>2.0961194359999999</v>
      </c>
      <c r="Y70" s="38">
        <f>(1000*400*CHOOSE(CONTROL!$C$42, 2.0082, 2.0082)*CHOOSE(CONTROL!$C$42, 31, 31))/1000000</f>
        <v>24.901679999999999</v>
      </c>
      <c r="Z70" s="38"/>
      <c r="AA70" s="10"/>
      <c r="AB70" s="39"/>
      <c r="AC70" s="33">
        <f>(B70*131.881+C70*277.167+D70*79.08+E70*125.872+F70*40+G70*185+H70*0+I70*100+J70*300)/(131.881+277.167+79.08+125.872+0+40+185+100+300)</f>
        <v>4.5073999775625504</v>
      </c>
      <c r="AD70" s="27">
        <f>(M70*'RAP TEMPLATE-GAS AVAILABILITY'!O69+N70*'RAP TEMPLATE-GAS AVAILABILITY'!P69+O70*'RAP TEMPLATE-GAS AVAILABILITY'!Q69+P70*'RAP TEMPLATE-GAS AVAILABILITY'!R69)/('RAP TEMPLATE-GAS AVAILABILITY'!O69+'RAP TEMPLATE-GAS AVAILABILITY'!P69+'RAP TEMPLATE-GAS AVAILABILITY'!Q69+'RAP TEMPLATE-GAS AVAILABILITY'!R69)</f>
        <v>4.4873575539568344</v>
      </c>
    </row>
    <row r="71" spans="1:30" ht="15">
      <c r="A71" s="16">
        <v>43405</v>
      </c>
      <c r="B71" s="10">
        <f>CHOOSE(CONTROL!$C$42, 4.6179, 4.6179) * CHOOSE(CONTROL!$C$21, $C$9, 100%, $E$9)</f>
        <v>4.6178999999999997</v>
      </c>
      <c r="C71" s="10">
        <f>CHOOSE(CONTROL!$C$42, 4.623, 4.623) * CHOOSE(CONTROL!$C$21, $C$9, 100%, $E$9)</f>
        <v>4.6230000000000002</v>
      </c>
      <c r="D71" s="10">
        <f>CHOOSE(CONTROL!$C$42, 4.6477, 4.6477) * CHOOSE(CONTROL!$C$21, $C$9, 100%, $E$9)</f>
        <v>4.6477000000000004</v>
      </c>
      <c r="E71" s="10">
        <f>CHOOSE(CONTROL!$C$42, 4.6815, 4.6815) * CHOOSE(CONTROL!$C$21, $C$9, 100%, $E$9)</f>
        <v>4.6814999999999998</v>
      </c>
      <c r="F71" s="10">
        <f>CHOOSE(CONTROL!$C$42, 4.5862, 4.5862)*CHOOSE(CONTROL!$C$21, $C$9, 100%, $E$9)</f>
        <v>4.5861999999999998</v>
      </c>
      <c r="G71" s="10">
        <f>CHOOSE(CONTROL!$C$42, 4.6022, 4.6022)*CHOOSE(CONTROL!$C$21, $C$9, 100%, $E$9)</f>
        <v>4.6021999999999998</v>
      </c>
      <c r="H71" s="10">
        <f>CHOOSE(CONTROL!$C$42, 4.6704, 4.6704) * CHOOSE(CONTROL!$C$21, $C$9, 100%, $E$9)</f>
        <v>4.6703999999999999</v>
      </c>
      <c r="I71" s="10">
        <f>CHOOSE(CONTROL!$C$42, 4.6329, 4.6329)* CHOOSE(CONTROL!$C$21, $C$9, 100%, $E$9)</f>
        <v>4.6329000000000002</v>
      </c>
      <c r="J71" s="10">
        <f>CHOOSE(CONTROL!$C$42, 4.5788, 4.5788)* CHOOSE(CONTROL!$C$21, $C$9, 100%, $E$9)</f>
        <v>4.5788000000000002</v>
      </c>
      <c r="K71" s="10">
        <f>CHOOSE(CONTROL!$C$42, 4.6508, 4.6508) * CHOOSE(CONTROL!$C$21, $C$9, 100%, $E$9)</f>
        <v>4.6508000000000003</v>
      </c>
      <c r="L71" s="10">
        <f>CHOOSE(CONTROL!$C$42, 5.2574, 5.2574) * CHOOSE(CONTROL!$C$21, $C$9, 100%, $E$9)</f>
        <v>5.2573999999999996</v>
      </c>
      <c r="M71" s="10">
        <f>CHOOSE(CONTROL!$C$42, 4.548, 4.548) * CHOOSE(CONTROL!$C$21, $C$9, 100%, $E$9)</f>
        <v>4.548</v>
      </c>
      <c r="N71" s="10">
        <f>CHOOSE(CONTROL!$C$42, 4.5638, 4.5638) * CHOOSE(CONTROL!$C$21, $C$9, 100%, $E$9)</f>
        <v>4.5637999999999996</v>
      </c>
      <c r="O71" s="10">
        <f>CHOOSE(CONTROL!$C$42, 4.6382, 4.6382) * CHOOSE(CONTROL!$C$21, $C$9, 100%, $E$9)</f>
        <v>4.6382000000000003</v>
      </c>
      <c r="P71" s="10">
        <f>CHOOSE(CONTROL!$C$42, 4.6013, 4.6013) * CHOOSE(CONTROL!$C$21, $C$9, 100%, $E$9)</f>
        <v>4.6013000000000002</v>
      </c>
      <c r="Q71" s="10">
        <f>CHOOSE(CONTROL!$C$42, 5.2335, 5.2335) * CHOOSE(CONTROL!$C$21, $C$9, 100%, $E$9)</f>
        <v>5.2335000000000003</v>
      </c>
      <c r="R71" s="10">
        <f>CHOOSE(CONTROL!$C$42, 5.8336, 5.8336) * CHOOSE(CONTROL!$C$21, $C$9, 100%, $E$9)</f>
        <v>5.8335999999999997</v>
      </c>
      <c r="S71" s="10">
        <f>CHOOSE(CONTROL!$C$42, 4.4882, 4.4882) * CHOOSE(CONTROL!$C$21, $C$9, 100%, $E$9)</f>
        <v>4.4882</v>
      </c>
      <c r="T7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1" s="38">
        <f>(1000*CHOOSE(CONTROL!$C$42, 695, 695)*CHOOSE(CONTROL!$C$42, 0.5599, 0.5599)*CHOOSE(CONTROL!$C$42, 30, 30))/1000000</f>
        <v>11.673914999999997</v>
      </c>
      <c r="V71" s="38">
        <f>(1000*CHOOSE(CONTROL!$C$42, 500, 500)*CHOOSE(CONTROL!$C$42, 0.275, 0.275)*CHOOSE(CONTROL!$C$42, 30, 30))/1000000</f>
        <v>4.125</v>
      </c>
      <c r="W71" s="38">
        <f>(1000*CHOOSE(CONTROL!$C$42, 0.1146, 0.1146)*CHOOSE(CONTROL!$C$42, 121.5, 121.5)*CHOOSE(CONTROL!$C$42, 30, 30))/1000000</f>
        <v>0.417717</v>
      </c>
      <c r="X71" s="38">
        <f>(30*0.1790888*100000/1000000)+(30*0.2374*100000/1000000)</f>
        <v>1.2494664</v>
      </c>
      <c r="Y71" s="38">
        <f>(1000*400*CHOOSE(CONTROL!$C$42, 2.0082, 2.0082)*CHOOSE(CONTROL!$C$42, 30, 30))/1000000</f>
        <v>24.098400000000002</v>
      </c>
      <c r="Z71" s="38"/>
      <c r="AA71" s="10"/>
      <c r="AB71" s="39"/>
      <c r="AC71" s="33">
        <f>(B71*122.58+C71*297.941+D71*89.177+E71*40.302+F71*40+G71*160+H71*0+I71*100+J71*300)/(122.58+297.941+89.177+40.302+0+40+160+100+300)</f>
        <v>4.611578418173913</v>
      </c>
      <c r="AD71" s="27">
        <f>(M71*'RAP TEMPLATE-GAS AVAILABILITY'!O70+N71*'RAP TEMPLATE-GAS AVAILABILITY'!P70+O71*'RAP TEMPLATE-GAS AVAILABILITY'!Q70+P71*'RAP TEMPLATE-GAS AVAILABILITY'!R70)/('RAP TEMPLATE-GAS AVAILABILITY'!O70+'RAP TEMPLATE-GAS AVAILABILITY'!P70+'RAP TEMPLATE-GAS AVAILABILITY'!Q70+'RAP TEMPLATE-GAS AVAILABILITY'!R70)</f>
        <v>4.5974604316546763</v>
      </c>
    </row>
    <row r="72" spans="1:30" ht="15">
      <c r="A72" s="16">
        <v>43435</v>
      </c>
      <c r="B72" s="10">
        <f>CHOOSE(CONTROL!$C$42, 4.9338, 4.9338) * CHOOSE(CONTROL!$C$21, $C$9, 100%, $E$9)</f>
        <v>4.9337999999999997</v>
      </c>
      <c r="C72" s="10">
        <f>CHOOSE(CONTROL!$C$42, 4.9389, 4.9389) * CHOOSE(CONTROL!$C$21, $C$9, 100%, $E$9)</f>
        <v>4.9389000000000003</v>
      </c>
      <c r="D72" s="10">
        <f>CHOOSE(CONTROL!$C$42, 4.9636, 4.9636) * CHOOSE(CONTROL!$C$21, $C$9, 100%, $E$9)</f>
        <v>4.9635999999999996</v>
      </c>
      <c r="E72" s="10">
        <f>CHOOSE(CONTROL!$C$42, 4.9974, 4.9974) * CHOOSE(CONTROL!$C$21, $C$9, 100%, $E$9)</f>
        <v>4.9973999999999998</v>
      </c>
      <c r="F72" s="10">
        <f>CHOOSE(CONTROL!$C$42, 4.9041, 4.9041)*CHOOSE(CONTROL!$C$21, $C$9, 100%, $E$9)</f>
        <v>4.9040999999999997</v>
      </c>
      <c r="G72" s="10">
        <f>CHOOSE(CONTROL!$C$42, 4.9206, 4.9206)*CHOOSE(CONTROL!$C$21, $C$9, 100%, $E$9)</f>
        <v>4.9206000000000003</v>
      </c>
      <c r="H72" s="10">
        <f>CHOOSE(CONTROL!$C$42, 4.9863, 4.9863) * CHOOSE(CONTROL!$C$21, $C$9, 100%, $E$9)</f>
        <v>4.9863</v>
      </c>
      <c r="I72" s="10">
        <f>CHOOSE(CONTROL!$C$42, 4.9488, 4.9488)* CHOOSE(CONTROL!$C$21, $C$9, 100%, $E$9)</f>
        <v>4.9488000000000003</v>
      </c>
      <c r="J72" s="10">
        <f>CHOOSE(CONTROL!$C$42, 4.8967, 4.8967)* CHOOSE(CONTROL!$C$21, $C$9, 100%, $E$9)</f>
        <v>4.8967000000000001</v>
      </c>
      <c r="K72" s="10">
        <f>CHOOSE(CONTROL!$C$42, 4.961, 4.961) * CHOOSE(CONTROL!$C$21, $C$9, 100%, $E$9)</f>
        <v>4.9610000000000003</v>
      </c>
      <c r="L72" s="10">
        <f>CHOOSE(CONTROL!$C$42, 5.5733, 5.5733) * CHOOSE(CONTROL!$C$21, $C$9, 100%, $E$9)</f>
        <v>5.5732999999999997</v>
      </c>
      <c r="M72" s="10">
        <f>CHOOSE(CONTROL!$C$42, 4.8614, 4.8614) * CHOOSE(CONTROL!$C$21, $C$9, 100%, $E$9)</f>
        <v>4.8613999999999997</v>
      </c>
      <c r="N72" s="10">
        <f>CHOOSE(CONTROL!$C$42, 4.8777, 4.8777) * CHOOSE(CONTROL!$C$21, $C$9, 100%, $E$9)</f>
        <v>4.8776999999999999</v>
      </c>
      <c r="O72" s="10">
        <f>CHOOSE(CONTROL!$C$42, 4.9498, 4.9498) * CHOOSE(CONTROL!$C$21, $C$9, 100%, $E$9)</f>
        <v>4.9497999999999998</v>
      </c>
      <c r="P72" s="10">
        <f>CHOOSE(CONTROL!$C$42, 4.9129, 4.9129) * CHOOSE(CONTROL!$C$21, $C$9, 100%, $E$9)</f>
        <v>4.9128999999999996</v>
      </c>
      <c r="Q72" s="10">
        <f>CHOOSE(CONTROL!$C$42, 5.5451, 5.5451) * CHOOSE(CONTROL!$C$21, $C$9, 100%, $E$9)</f>
        <v>5.5450999999999997</v>
      </c>
      <c r="R72" s="10">
        <f>CHOOSE(CONTROL!$C$42, 6.1459, 6.1459) * CHOOSE(CONTROL!$C$21, $C$9, 100%, $E$9)</f>
        <v>6.1459000000000001</v>
      </c>
      <c r="S72" s="10">
        <f>CHOOSE(CONTROL!$C$42, 4.7941, 4.7941) * CHOOSE(CONTROL!$C$21, $C$9, 100%, $E$9)</f>
        <v>4.7941000000000003</v>
      </c>
      <c r="T7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2" s="38">
        <f>(1000*CHOOSE(CONTROL!$C$42, 695, 695)*CHOOSE(CONTROL!$C$42, 0.5599, 0.5599)*CHOOSE(CONTROL!$C$42, 31, 31))/1000000</f>
        <v>12.063045499999998</v>
      </c>
      <c r="V72" s="38">
        <f>(1000*CHOOSE(CONTROL!$C$42, 500, 500)*CHOOSE(CONTROL!$C$42, 0.275, 0.275)*CHOOSE(CONTROL!$C$42, 31, 31))/1000000</f>
        <v>4.2625000000000002</v>
      </c>
      <c r="W72" s="38">
        <f>(1000*CHOOSE(CONTROL!$C$42, 0.1146, 0.1146)*CHOOSE(CONTROL!$C$42, 121.5, 121.5)*CHOOSE(CONTROL!$C$42, 31, 31))/1000000</f>
        <v>0.43164089999999994</v>
      </c>
      <c r="X72" s="38">
        <f>(31*0.1790888*100000/1000000)+(31*0.2374*100000/1000000)</f>
        <v>1.2911152800000001</v>
      </c>
      <c r="Y72" s="38">
        <f>(1000*400*CHOOSE(CONTROL!$C$42, 2.0082, 2.0082)*CHOOSE(CONTROL!$C$42, 31, 31))/1000000</f>
        <v>24.901679999999999</v>
      </c>
      <c r="Z72" s="38"/>
      <c r="AA72" s="10"/>
      <c r="AB72" s="39"/>
      <c r="AC72" s="33">
        <f>(B72*122.58+C72*297.941+D72*89.177+E72*40.302+F72*40+G72*160+H72*0+I72*100+J72*300)/(122.58+297.941+89.177+40.302+0+40+160+100+300)</f>
        <v>4.9284175486086967</v>
      </c>
      <c r="AD72" s="27">
        <f>(M72*'RAP TEMPLATE-GAS AVAILABILITY'!O71+N72*'RAP TEMPLATE-GAS AVAILABILITY'!P71+O72*'RAP TEMPLATE-GAS AVAILABILITY'!Q71+P72*'RAP TEMPLATE-GAS AVAILABILITY'!R71)/('RAP TEMPLATE-GAS AVAILABILITY'!O71+'RAP TEMPLATE-GAS AVAILABILITY'!P71+'RAP TEMPLATE-GAS AVAILABILITY'!Q71+'RAP TEMPLATE-GAS AVAILABILITY'!R71)</f>
        <v>4.9098143884892087</v>
      </c>
    </row>
    <row r="73" spans="1:30" ht="15">
      <c r="A73" s="16">
        <v>43466</v>
      </c>
      <c r="B73" s="10">
        <f>CHOOSE(CONTROL!$C$42, 5.6497, 5.6497) * CHOOSE(CONTROL!$C$21, $C$9, 100%, $E$9)</f>
        <v>5.6497000000000002</v>
      </c>
      <c r="C73" s="10">
        <f>CHOOSE(CONTROL!$C$42, 5.6548, 5.6548) * CHOOSE(CONTROL!$C$21, $C$9, 100%, $E$9)</f>
        <v>5.6547999999999998</v>
      </c>
      <c r="D73" s="10">
        <f>CHOOSE(CONTROL!$C$42, 5.6872, 5.6872) * CHOOSE(CONTROL!$C$21, $C$9, 100%, $E$9)</f>
        <v>5.6871999999999998</v>
      </c>
      <c r="E73" s="10">
        <f>CHOOSE(CONTROL!$C$42, 5.721, 5.721) * CHOOSE(CONTROL!$C$21, $C$9, 100%, $E$9)</f>
        <v>5.7210000000000001</v>
      </c>
      <c r="F73" s="10">
        <f>CHOOSE(CONTROL!$C$42, 5.6339, 5.6339)*CHOOSE(CONTROL!$C$21, $C$9, 100%, $E$9)</f>
        <v>5.6338999999999997</v>
      </c>
      <c r="G73" s="10">
        <f>CHOOSE(CONTROL!$C$42, 5.6519, 5.6519)*CHOOSE(CONTROL!$C$21, $C$9, 100%, $E$9)</f>
        <v>5.6519000000000004</v>
      </c>
      <c r="H73" s="10">
        <f>CHOOSE(CONTROL!$C$42, 5.7099, 5.7099) * CHOOSE(CONTROL!$C$21, $C$9, 100%, $E$9)</f>
        <v>5.7099000000000002</v>
      </c>
      <c r="I73" s="10">
        <f>CHOOSE(CONTROL!$C$42, 5.6631, 5.6631)* CHOOSE(CONTROL!$C$21, $C$9, 100%, $E$9)</f>
        <v>5.6631</v>
      </c>
      <c r="J73" s="10">
        <f>CHOOSE(CONTROL!$C$42, 5.6265, 5.6265)* CHOOSE(CONTROL!$C$21, $C$9, 100%, $E$9)</f>
        <v>5.6265000000000001</v>
      </c>
      <c r="K73" s="10">
        <f>CHOOSE(CONTROL!$C$42, 5.667, 5.667) * CHOOSE(CONTROL!$C$21, $C$9, 100%, $E$9)</f>
        <v>5.6669999999999998</v>
      </c>
      <c r="L73" s="10">
        <f>CHOOSE(CONTROL!$C$42, 6.2969, 6.2969) * CHOOSE(CONTROL!$C$21, $C$9, 100%, $E$9)</f>
        <v>6.2968999999999999</v>
      </c>
      <c r="M73" s="10">
        <f>CHOOSE(CONTROL!$C$42, 5.581, 5.581) * CHOOSE(CONTROL!$C$21, $C$9, 100%, $E$9)</f>
        <v>5.5810000000000004</v>
      </c>
      <c r="N73" s="10">
        <f>CHOOSE(CONTROL!$C$42, 5.5988, 5.5988) * CHOOSE(CONTROL!$C$21, $C$9, 100%, $E$9)</f>
        <v>5.5987999999999998</v>
      </c>
      <c r="O73" s="10">
        <f>CHOOSE(CONTROL!$C$42, 5.6633, 5.6633) * CHOOSE(CONTROL!$C$21, $C$9, 100%, $E$9)</f>
        <v>5.6632999999999996</v>
      </c>
      <c r="P73" s="10">
        <f>CHOOSE(CONTROL!$C$42, 5.6172, 5.6172) * CHOOSE(CONTROL!$C$21, $C$9, 100%, $E$9)</f>
        <v>5.6172000000000004</v>
      </c>
      <c r="Q73" s="10">
        <f>CHOOSE(CONTROL!$C$42, 6.2586, 6.2586) * CHOOSE(CONTROL!$C$21, $C$9, 100%, $E$9)</f>
        <v>6.2586000000000004</v>
      </c>
      <c r="R73" s="10">
        <f>CHOOSE(CONTROL!$C$42, 6.8612, 6.8612) * CHOOSE(CONTROL!$C$21, $C$9, 100%, $E$9)</f>
        <v>6.8612000000000002</v>
      </c>
      <c r="S73" s="10">
        <f>CHOOSE(CONTROL!$C$42, 5.4873, 5.4873) * CHOOSE(CONTROL!$C$21, $C$9, 100%, $E$9)</f>
        <v>5.4873000000000003</v>
      </c>
      <c r="T7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3" s="38">
        <f>(1000*CHOOSE(CONTROL!$C$42, 695, 695)*CHOOSE(CONTROL!$C$42, 0.5599, 0.5599)*CHOOSE(CONTROL!$C$42, 31, 31))/1000000</f>
        <v>12.063045499999998</v>
      </c>
      <c r="V73" s="38">
        <f>(1000*CHOOSE(CONTROL!$C$42, 500, 500)*CHOOSE(CONTROL!$C$42, 0.275, 0.275)*CHOOSE(CONTROL!$C$42, 31, 31))/1000000</f>
        <v>4.2625000000000002</v>
      </c>
      <c r="W73" s="38">
        <f>(1000*CHOOSE(CONTROL!$C$42, 0.1146, 0.1146)*CHOOSE(CONTROL!$C$42, 121.5, 121.5)*CHOOSE(CONTROL!$C$42, 31, 31))/1000000</f>
        <v>0.43164089999999994</v>
      </c>
      <c r="X73" s="38">
        <f>(31*0.1790888*100000/1000000)+(31*0.2374*100000/1000000)</f>
        <v>1.2911152800000001</v>
      </c>
      <c r="Y73" s="38">
        <f>(1000*400*CHOOSE(CONTROL!$C$42, 1.988, 1.988)*CHOOSE(CONTROL!$C$42, 31, 31))/1000000</f>
        <v>24.651199999999999</v>
      </c>
      <c r="Z73" s="38"/>
      <c r="AA73" s="10"/>
      <c r="AB73" s="39"/>
      <c r="AC73" s="33">
        <f>(B73*122.58+C73*297.941+D73*89.177+E73*40.302+F73*40+G73*160+H73*0+I73*100+J73*300)/(122.58+297.941+89.177+40.302+0+40+160+100+300)</f>
        <v>5.6512975384347826</v>
      </c>
      <c r="AD73" s="27">
        <f>(M73*'RAP TEMPLATE-GAS AVAILABILITY'!O72+N73*'RAP TEMPLATE-GAS AVAILABILITY'!P72+O73*'RAP TEMPLATE-GAS AVAILABILITY'!Q72+P73*'RAP TEMPLATE-GAS AVAILABILITY'!R72)/('RAP TEMPLATE-GAS AVAILABILITY'!O72+'RAP TEMPLATE-GAS AVAILABILITY'!P72+'RAP TEMPLATE-GAS AVAILABILITY'!Q72+'RAP TEMPLATE-GAS AVAILABILITY'!R72)</f>
        <v>5.6245345323741018</v>
      </c>
    </row>
    <row r="74" spans="1:30" ht="15">
      <c r="A74" s="16">
        <v>43497</v>
      </c>
      <c r="B74" s="10">
        <f>CHOOSE(CONTROL!$C$42, 5.7506, 5.7506) * CHOOSE(CONTROL!$C$21, $C$9, 100%, $E$9)</f>
        <v>5.7506000000000004</v>
      </c>
      <c r="C74" s="10">
        <f>CHOOSE(CONTROL!$C$42, 5.7557, 5.7557) * CHOOSE(CONTROL!$C$21, $C$9, 100%, $E$9)</f>
        <v>5.7557</v>
      </c>
      <c r="D74" s="10">
        <f>CHOOSE(CONTROL!$C$42, 5.7881, 5.7881) * CHOOSE(CONTROL!$C$21, $C$9, 100%, $E$9)</f>
        <v>5.7881</v>
      </c>
      <c r="E74" s="10">
        <f>CHOOSE(CONTROL!$C$42, 5.8219, 5.8219) * CHOOSE(CONTROL!$C$21, $C$9, 100%, $E$9)</f>
        <v>5.8219000000000003</v>
      </c>
      <c r="F74" s="10">
        <f>CHOOSE(CONTROL!$C$42, 5.7343, 5.7343)*CHOOSE(CONTROL!$C$21, $C$9, 100%, $E$9)</f>
        <v>5.7343000000000002</v>
      </c>
      <c r="G74" s="10">
        <f>CHOOSE(CONTROL!$C$42, 5.7522, 5.7522)*CHOOSE(CONTROL!$C$21, $C$9, 100%, $E$9)</f>
        <v>5.7522000000000002</v>
      </c>
      <c r="H74" s="10">
        <f>CHOOSE(CONTROL!$C$42, 5.8108, 5.8108) * CHOOSE(CONTROL!$C$21, $C$9, 100%, $E$9)</f>
        <v>5.8108000000000004</v>
      </c>
      <c r="I74" s="10">
        <f>CHOOSE(CONTROL!$C$42, 5.764, 5.764)* CHOOSE(CONTROL!$C$21, $C$9, 100%, $E$9)</f>
        <v>5.7640000000000002</v>
      </c>
      <c r="J74" s="10">
        <f>CHOOSE(CONTROL!$C$42, 5.7269, 5.7269)* CHOOSE(CONTROL!$C$21, $C$9, 100%, $E$9)</f>
        <v>5.7268999999999997</v>
      </c>
      <c r="K74" s="10">
        <f>CHOOSE(CONTROL!$C$42, 5.7637, 5.7637) * CHOOSE(CONTROL!$C$21, $C$9, 100%, $E$9)</f>
        <v>5.7637</v>
      </c>
      <c r="L74" s="10">
        <f>CHOOSE(CONTROL!$C$42, 6.3978, 6.3978) * CHOOSE(CONTROL!$C$21, $C$9, 100%, $E$9)</f>
        <v>6.3978000000000002</v>
      </c>
      <c r="M74" s="10">
        <f>CHOOSE(CONTROL!$C$42, 5.68, 5.68) * CHOOSE(CONTROL!$C$21, $C$9, 100%, $E$9)</f>
        <v>5.68</v>
      </c>
      <c r="N74" s="10">
        <f>CHOOSE(CONTROL!$C$42, 5.6977, 5.6977) * CHOOSE(CONTROL!$C$21, $C$9, 100%, $E$9)</f>
        <v>5.6977000000000002</v>
      </c>
      <c r="O74" s="10">
        <f>CHOOSE(CONTROL!$C$42, 5.7627, 5.7627) * CHOOSE(CONTROL!$C$21, $C$9, 100%, $E$9)</f>
        <v>5.7626999999999997</v>
      </c>
      <c r="P74" s="10">
        <f>CHOOSE(CONTROL!$C$42, 5.7167, 5.7167) * CHOOSE(CONTROL!$C$21, $C$9, 100%, $E$9)</f>
        <v>5.7167000000000003</v>
      </c>
      <c r="Q74" s="10">
        <f>CHOOSE(CONTROL!$C$42, 6.358, 6.358) * CHOOSE(CONTROL!$C$21, $C$9, 100%, $E$9)</f>
        <v>6.3579999999999997</v>
      </c>
      <c r="R74" s="10">
        <f>CHOOSE(CONTROL!$C$42, 6.9609, 6.9609) * CHOOSE(CONTROL!$C$21, $C$9, 100%, $E$9)</f>
        <v>6.9608999999999996</v>
      </c>
      <c r="S74" s="10">
        <f>CHOOSE(CONTROL!$C$42, 5.5849, 5.5849) * CHOOSE(CONTROL!$C$21, $C$9, 100%, $E$9)</f>
        <v>5.5849000000000002</v>
      </c>
      <c r="T7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4" s="38">
        <f>(1000*CHOOSE(CONTROL!$C$42, 695, 695)*CHOOSE(CONTROL!$C$42, 0.5599, 0.5599)*CHOOSE(CONTROL!$C$42, 28, 28))/1000000</f>
        <v>10.895653999999999</v>
      </c>
      <c r="V74" s="38">
        <f>(1000*CHOOSE(CONTROL!$C$42, 500, 500)*CHOOSE(CONTROL!$C$42, 0.275, 0.275)*CHOOSE(CONTROL!$C$42, 28, 28))/1000000</f>
        <v>3.85</v>
      </c>
      <c r="W74" s="38">
        <f>(1000*CHOOSE(CONTROL!$C$42, 0.1146, 0.1146)*CHOOSE(CONTROL!$C$42, 121.5, 121.5)*CHOOSE(CONTROL!$C$42, 28, 28))/1000000</f>
        <v>0.38986920000000003</v>
      </c>
      <c r="X74" s="38">
        <f>(28*0.1790888*100000/1000000)+(28*0.2374*100000/1000000)</f>
        <v>1.16616864</v>
      </c>
      <c r="Y74" s="38">
        <f>(1000*400*CHOOSE(CONTROL!$C$42, 1.988, 1.988)*CHOOSE(CONTROL!$C$42, 28, 28))/1000000</f>
        <v>22.265599999999999</v>
      </c>
      <c r="Z74" s="38"/>
      <c r="AA74" s="10"/>
      <c r="AB74" s="39"/>
      <c r="AC74" s="33">
        <f>(B74*122.58+C74*297.941+D74*89.177+E74*40.302+F74*40+G74*160+H74*0+I74*100+J74*300)/(122.58+297.941+89.177+40.302+0+40+160+100+300)</f>
        <v>5.7519662340869555</v>
      </c>
      <c r="AD74" s="27">
        <f>(M74*'RAP TEMPLATE-GAS AVAILABILITY'!O73+N74*'RAP TEMPLATE-GAS AVAILABILITY'!P73+O74*'RAP TEMPLATE-GAS AVAILABILITY'!Q73+P74*'RAP TEMPLATE-GAS AVAILABILITY'!R73)/('RAP TEMPLATE-GAS AVAILABILITY'!O73+'RAP TEMPLATE-GAS AVAILABILITY'!P73+'RAP TEMPLATE-GAS AVAILABILITY'!Q73+'RAP TEMPLATE-GAS AVAILABILITY'!R73)</f>
        <v>5.7237820143884885</v>
      </c>
    </row>
    <row r="75" spans="1:30" ht="15">
      <c r="A75" s="16">
        <v>43525</v>
      </c>
      <c r="B75" s="10">
        <f>CHOOSE(CONTROL!$C$42, 5.5868, 5.5868) * CHOOSE(CONTROL!$C$21, $C$9, 100%, $E$9)</f>
        <v>5.5868000000000002</v>
      </c>
      <c r="C75" s="10">
        <f>CHOOSE(CONTROL!$C$42, 5.5919, 5.5919) * CHOOSE(CONTROL!$C$21, $C$9, 100%, $E$9)</f>
        <v>5.5918999999999999</v>
      </c>
      <c r="D75" s="10">
        <f>CHOOSE(CONTROL!$C$42, 5.6244, 5.6244) * CHOOSE(CONTROL!$C$21, $C$9, 100%, $E$9)</f>
        <v>5.6243999999999996</v>
      </c>
      <c r="E75" s="10">
        <f>CHOOSE(CONTROL!$C$42, 5.6582, 5.6582) * CHOOSE(CONTROL!$C$21, $C$9, 100%, $E$9)</f>
        <v>5.6581999999999999</v>
      </c>
      <c r="F75" s="10">
        <f>CHOOSE(CONTROL!$C$42, 5.5691, 5.5691)*CHOOSE(CONTROL!$C$21, $C$9, 100%, $E$9)</f>
        <v>5.5690999999999997</v>
      </c>
      <c r="G75" s="10">
        <f>CHOOSE(CONTROL!$C$42, 5.5867, 5.5867)*CHOOSE(CONTROL!$C$21, $C$9, 100%, $E$9)</f>
        <v>5.5867000000000004</v>
      </c>
      <c r="H75" s="10">
        <f>CHOOSE(CONTROL!$C$42, 5.6471, 5.6471) * CHOOSE(CONTROL!$C$21, $C$9, 100%, $E$9)</f>
        <v>5.6471</v>
      </c>
      <c r="I75" s="10">
        <f>CHOOSE(CONTROL!$C$42, 5.6003, 5.6003)* CHOOSE(CONTROL!$C$21, $C$9, 100%, $E$9)</f>
        <v>5.6002999999999998</v>
      </c>
      <c r="J75" s="10">
        <f>CHOOSE(CONTROL!$C$42, 5.5617, 5.5617)* CHOOSE(CONTROL!$C$21, $C$9, 100%, $E$9)</f>
        <v>5.5617000000000001</v>
      </c>
      <c r="K75" s="10">
        <f>CHOOSE(CONTROL!$C$42, 5.602, 5.602) * CHOOSE(CONTROL!$C$21, $C$9, 100%, $E$9)</f>
        <v>5.6020000000000003</v>
      </c>
      <c r="L75" s="10">
        <f>CHOOSE(CONTROL!$C$42, 6.2341, 6.2341) * CHOOSE(CONTROL!$C$21, $C$9, 100%, $E$9)</f>
        <v>6.2340999999999998</v>
      </c>
      <c r="M75" s="10">
        <f>CHOOSE(CONTROL!$C$42, 5.5171, 5.5171) * CHOOSE(CONTROL!$C$21, $C$9, 100%, $E$9)</f>
        <v>5.5171000000000001</v>
      </c>
      <c r="N75" s="10">
        <f>CHOOSE(CONTROL!$C$42, 5.5345, 5.5345) * CHOOSE(CONTROL!$C$21, $C$9, 100%, $E$9)</f>
        <v>5.5345000000000004</v>
      </c>
      <c r="O75" s="10">
        <f>CHOOSE(CONTROL!$C$42, 5.6013, 5.6013) * CHOOSE(CONTROL!$C$21, $C$9, 100%, $E$9)</f>
        <v>5.6013000000000002</v>
      </c>
      <c r="P75" s="10">
        <f>CHOOSE(CONTROL!$C$42, 5.5552, 5.5552) * CHOOSE(CONTROL!$C$21, $C$9, 100%, $E$9)</f>
        <v>5.5552000000000001</v>
      </c>
      <c r="Q75" s="10">
        <f>CHOOSE(CONTROL!$C$42, 6.1966, 6.1966) * CHOOSE(CONTROL!$C$21, $C$9, 100%, $E$9)</f>
        <v>6.1966000000000001</v>
      </c>
      <c r="R75" s="10">
        <f>CHOOSE(CONTROL!$C$42, 6.7991, 6.7991) * CHOOSE(CONTROL!$C$21, $C$9, 100%, $E$9)</f>
        <v>6.7991000000000001</v>
      </c>
      <c r="S75" s="10">
        <f>CHOOSE(CONTROL!$C$42, 5.4264, 5.4264) * CHOOSE(CONTROL!$C$21, $C$9, 100%, $E$9)</f>
        <v>5.4264000000000001</v>
      </c>
      <c r="T7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5" s="38">
        <f>(1000*CHOOSE(CONTROL!$C$42, 695, 695)*CHOOSE(CONTROL!$C$42, 0.5599, 0.5599)*CHOOSE(CONTROL!$C$42, 31, 31))/1000000</f>
        <v>12.063045499999998</v>
      </c>
      <c r="V75" s="38">
        <f>(1000*CHOOSE(CONTROL!$C$42, 500, 500)*CHOOSE(CONTROL!$C$42, 0.275, 0.275)*CHOOSE(CONTROL!$C$42, 31, 31))/1000000</f>
        <v>4.2625000000000002</v>
      </c>
      <c r="W75" s="38">
        <f>(1000*CHOOSE(CONTROL!$C$42, 0.1146, 0.1146)*CHOOSE(CONTROL!$C$42, 121.5, 121.5)*CHOOSE(CONTROL!$C$42, 31, 31))/1000000</f>
        <v>0.43164089999999994</v>
      </c>
      <c r="X75" s="38">
        <f>(31*0.1790888*100000/1000000)+(31*0.2374*100000/1000000)</f>
        <v>1.2911152800000001</v>
      </c>
      <c r="Y75" s="38">
        <f>(1000*400*CHOOSE(CONTROL!$C$42, 1.988, 1.988)*CHOOSE(CONTROL!$C$42, 31, 31))/1000000</f>
        <v>24.651199999999999</v>
      </c>
      <c r="Z75" s="38"/>
      <c r="AA75" s="10"/>
      <c r="AB75" s="39"/>
      <c r="AC75" s="33">
        <f>(B75*122.58+C75*297.941+D75*89.177+E75*40.302+F75*40+G75*160+H75*0+I75*100+J75*300)/(122.58+297.941+89.177+40.302+0+40+160+100+300)</f>
        <v>5.5875357539999992</v>
      </c>
      <c r="AD75" s="27">
        <f>(M75*'RAP TEMPLATE-GAS AVAILABILITY'!O74+N75*'RAP TEMPLATE-GAS AVAILABILITY'!P74+O75*'RAP TEMPLATE-GAS AVAILABILITY'!Q74+P75*'RAP TEMPLATE-GAS AVAILABILITY'!R74)/('RAP TEMPLATE-GAS AVAILABILITY'!O74+'RAP TEMPLATE-GAS AVAILABILITY'!P74+'RAP TEMPLATE-GAS AVAILABILITY'!Q74+'RAP TEMPLATE-GAS AVAILABILITY'!R74)</f>
        <v>5.5617460431654679</v>
      </c>
    </row>
    <row r="76" spans="1:30" ht="15">
      <c r="A76" s="16">
        <v>43556</v>
      </c>
      <c r="B76" s="10">
        <f>CHOOSE(CONTROL!$C$42, 5.5708, 5.5708) * CHOOSE(CONTROL!$C$21, $C$9, 100%, $E$9)</f>
        <v>5.5708000000000002</v>
      </c>
      <c r="C76" s="10">
        <f>CHOOSE(CONTROL!$C$42, 5.5754, 5.5754) * CHOOSE(CONTROL!$C$21, $C$9, 100%, $E$9)</f>
        <v>5.5754000000000001</v>
      </c>
      <c r="D76" s="10">
        <f>CHOOSE(CONTROL!$C$42, 5.7355, 5.7355) * CHOOSE(CONTROL!$C$21, $C$9, 100%, $E$9)</f>
        <v>5.7355</v>
      </c>
      <c r="E76" s="10">
        <f>CHOOSE(CONTROL!$C$42, 5.7673, 5.7673) * CHOOSE(CONTROL!$C$21, $C$9, 100%, $E$9)</f>
        <v>5.7672999999999996</v>
      </c>
      <c r="F76" s="10">
        <f>CHOOSE(CONTROL!$C$42, 5.5169, 5.5169)*CHOOSE(CONTROL!$C$21, $C$9, 100%, $E$9)</f>
        <v>5.5168999999999997</v>
      </c>
      <c r="G76" s="10">
        <f>CHOOSE(CONTROL!$C$42, 5.5328, 5.5328)*CHOOSE(CONTROL!$C$21, $C$9, 100%, $E$9)</f>
        <v>5.5327999999999999</v>
      </c>
      <c r="H76" s="10">
        <f>CHOOSE(CONTROL!$C$42, 5.7568, 5.7568) * CHOOSE(CONTROL!$C$21, $C$9, 100%, $E$9)</f>
        <v>5.7568000000000001</v>
      </c>
      <c r="I76" s="10">
        <f>CHOOSE(CONTROL!$C$42, 5.551, 5.551)* CHOOSE(CONTROL!$C$21, $C$9, 100%, $E$9)</f>
        <v>5.5510000000000002</v>
      </c>
      <c r="J76" s="10">
        <f>CHOOSE(CONTROL!$C$42, 5.5095, 5.5095)* CHOOSE(CONTROL!$C$21, $C$9, 100%, $E$9)</f>
        <v>5.5095000000000001</v>
      </c>
      <c r="K76" s="10">
        <f>CHOOSE(CONTROL!$C$42, 5.5382, 5.5382) * CHOOSE(CONTROL!$C$21, $C$9, 100%, $E$9)</f>
        <v>5.5381999999999998</v>
      </c>
      <c r="L76" s="10">
        <f>CHOOSE(CONTROL!$C$42, 6.3438, 6.3438) * CHOOSE(CONTROL!$C$21, $C$9, 100%, $E$9)</f>
        <v>6.3437999999999999</v>
      </c>
      <c r="M76" s="10">
        <f>CHOOSE(CONTROL!$C$42, 5.4657, 5.4657) * CHOOSE(CONTROL!$C$21, $C$9, 100%, $E$9)</f>
        <v>5.4657</v>
      </c>
      <c r="N76" s="10">
        <f>CHOOSE(CONTROL!$C$42, 5.4813, 5.4813) * CHOOSE(CONTROL!$C$21, $C$9, 100%, $E$9)</f>
        <v>5.4813000000000001</v>
      </c>
      <c r="O76" s="10">
        <f>CHOOSE(CONTROL!$C$42, 5.7095, 5.7095) * CHOOSE(CONTROL!$C$21, $C$9, 100%, $E$9)</f>
        <v>5.7095000000000002</v>
      </c>
      <c r="P76" s="10">
        <f>CHOOSE(CONTROL!$C$42, 5.5066, 5.5066) * CHOOSE(CONTROL!$C$21, $C$9, 100%, $E$9)</f>
        <v>5.5065999999999997</v>
      </c>
      <c r="Q76" s="10">
        <f>CHOOSE(CONTROL!$C$42, 6.3048, 6.3048) * CHOOSE(CONTROL!$C$21, $C$9, 100%, $E$9)</f>
        <v>6.3048000000000002</v>
      </c>
      <c r="R76" s="10">
        <f>CHOOSE(CONTROL!$C$42, 6.9076, 6.9076) * CHOOSE(CONTROL!$C$21, $C$9, 100%, $E$9)</f>
        <v>6.9076000000000004</v>
      </c>
      <c r="S76" s="10">
        <f>CHOOSE(CONTROL!$C$42, 5.4102, 5.4102) * CHOOSE(CONTROL!$C$21, $C$9, 100%, $E$9)</f>
        <v>5.4101999999999997</v>
      </c>
      <c r="T7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6" s="38">
        <f>(1000*CHOOSE(CONTROL!$C$42, 695, 695)*CHOOSE(CONTROL!$C$42, 0.5599, 0.5599)*CHOOSE(CONTROL!$C$42, 30, 30))/1000000</f>
        <v>11.673914999999997</v>
      </c>
      <c r="V76" s="38">
        <f>(1000*CHOOSE(CONTROL!$C$42, 500, 500)*CHOOSE(CONTROL!$C$42, 0.275, 0.275)*CHOOSE(CONTROL!$C$42, 30, 30))/1000000</f>
        <v>4.125</v>
      </c>
      <c r="W76" s="38">
        <f>(1000*CHOOSE(CONTROL!$C$42, 0.1146, 0.1146)*CHOOSE(CONTROL!$C$42, 121.5, 121.5)*CHOOSE(CONTROL!$C$42, 30, 30))/1000000</f>
        <v>0.417717</v>
      </c>
      <c r="X76" s="38">
        <f>(30*0.1790888*245000/1000000)+(30*0.2374*100000/1000000)</f>
        <v>2.0285026799999999</v>
      </c>
      <c r="Y76" s="38">
        <f>(1000*400*CHOOSE(CONTROL!$C$42, 1.988, 1.988)*CHOOSE(CONTROL!$C$42, 30, 30))/1000000</f>
        <v>23.856000000000002</v>
      </c>
      <c r="Z76" s="38"/>
      <c r="AA76" s="10"/>
      <c r="AB76" s="39"/>
      <c r="AC76" s="33">
        <f>(B76*141.293+C76*267.993+D76*115.016+E76*89.698+F76*40+G76*185+H76*0+I76*100+J76*300)/(141.293+267.993+115.016+89.698+0+40+185+100+300)</f>
        <v>5.5774550121065385</v>
      </c>
      <c r="AD76" s="27">
        <f>(M76*'RAP TEMPLATE-GAS AVAILABILITY'!O75+N76*'RAP TEMPLATE-GAS AVAILABILITY'!P75+O76*'RAP TEMPLATE-GAS AVAILABILITY'!Q75+P76*'RAP TEMPLATE-GAS AVAILABILITY'!R75)/('RAP TEMPLATE-GAS AVAILABILITY'!O75+'RAP TEMPLATE-GAS AVAILABILITY'!P75+'RAP TEMPLATE-GAS AVAILABILITY'!Q75+'RAP TEMPLATE-GAS AVAILABILITY'!R75)</f>
        <v>5.5435805755395675</v>
      </c>
    </row>
    <row r="77" spans="1:30" ht="15">
      <c r="A77" s="16">
        <v>43586</v>
      </c>
      <c r="B77" s="10">
        <f>CHOOSE(CONTROL!$C$42, 5.622, 5.622) * CHOOSE(CONTROL!$C$21, $C$9, 100%, $E$9)</f>
        <v>5.6219999999999999</v>
      </c>
      <c r="C77" s="10">
        <f>CHOOSE(CONTROL!$C$42, 5.63, 5.63) * CHOOSE(CONTROL!$C$21, $C$9, 100%, $E$9)</f>
        <v>5.63</v>
      </c>
      <c r="D77" s="10">
        <f>CHOOSE(CONTROL!$C$42, 5.787, 5.787) * CHOOSE(CONTROL!$C$21, $C$9, 100%, $E$9)</f>
        <v>5.7869999999999999</v>
      </c>
      <c r="E77" s="10">
        <f>CHOOSE(CONTROL!$C$42, 5.8182, 5.8182) * CHOOSE(CONTROL!$C$21, $C$9, 100%, $E$9)</f>
        <v>5.8182</v>
      </c>
      <c r="F77" s="10">
        <f>CHOOSE(CONTROL!$C$42, 5.5661, 5.5661)*CHOOSE(CONTROL!$C$21, $C$9, 100%, $E$9)</f>
        <v>5.5660999999999996</v>
      </c>
      <c r="G77" s="10">
        <f>CHOOSE(CONTROL!$C$42, 5.5822, 5.5822)*CHOOSE(CONTROL!$C$21, $C$9, 100%, $E$9)</f>
        <v>5.5822000000000003</v>
      </c>
      <c r="H77" s="10">
        <f>CHOOSE(CONTROL!$C$42, 5.8066, 5.8066) * CHOOSE(CONTROL!$C$21, $C$9, 100%, $E$9)</f>
        <v>5.8066000000000004</v>
      </c>
      <c r="I77" s="10">
        <f>CHOOSE(CONTROL!$C$42, 5.6007, 5.6007)* CHOOSE(CONTROL!$C$21, $C$9, 100%, $E$9)</f>
        <v>5.6006999999999998</v>
      </c>
      <c r="J77" s="10">
        <f>CHOOSE(CONTROL!$C$42, 5.5587, 5.5587)* CHOOSE(CONTROL!$C$21, $C$9, 100%, $E$9)</f>
        <v>5.5587</v>
      </c>
      <c r="K77" s="10">
        <f>CHOOSE(CONTROL!$C$42, 5.5851, 5.5851) * CHOOSE(CONTROL!$C$21, $C$9, 100%, $E$9)</f>
        <v>5.5850999999999997</v>
      </c>
      <c r="L77" s="10">
        <f>CHOOSE(CONTROL!$C$42, 6.3936, 6.3936) * CHOOSE(CONTROL!$C$21, $C$9, 100%, $E$9)</f>
        <v>6.3936000000000002</v>
      </c>
      <c r="M77" s="10">
        <f>CHOOSE(CONTROL!$C$42, 5.5142, 5.5142) * CHOOSE(CONTROL!$C$21, $C$9, 100%, $E$9)</f>
        <v>5.5141999999999998</v>
      </c>
      <c r="N77" s="10">
        <f>CHOOSE(CONTROL!$C$42, 5.5301, 5.5301) * CHOOSE(CONTROL!$C$21, $C$9, 100%, $E$9)</f>
        <v>5.5301</v>
      </c>
      <c r="O77" s="10">
        <f>CHOOSE(CONTROL!$C$42, 5.7586, 5.7586) * CHOOSE(CONTROL!$C$21, $C$9, 100%, $E$9)</f>
        <v>5.7586000000000004</v>
      </c>
      <c r="P77" s="10">
        <f>CHOOSE(CONTROL!$C$42, 5.5557, 5.5557) * CHOOSE(CONTROL!$C$21, $C$9, 100%, $E$9)</f>
        <v>5.5556999999999999</v>
      </c>
      <c r="Q77" s="10">
        <f>CHOOSE(CONTROL!$C$42, 6.3539, 6.3539) * CHOOSE(CONTROL!$C$21, $C$9, 100%, $E$9)</f>
        <v>6.3539000000000003</v>
      </c>
      <c r="R77" s="10">
        <f>CHOOSE(CONTROL!$C$42, 6.9568, 6.9568) * CHOOSE(CONTROL!$C$21, $C$9, 100%, $E$9)</f>
        <v>6.9568000000000003</v>
      </c>
      <c r="S77" s="10">
        <f>CHOOSE(CONTROL!$C$42, 5.4583, 5.4583) * CHOOSE(CONTROL!$C$21, $C$9, 100%, $E$9)</f>
        <v>5.4583000000000004</v>
      </c>
      <c r="T7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7" s="38">
        <f>(1000*CHOOSE(CONTROL!$C$42, 695, 695)*CHOOSE(CONTROL!$C$42, 0.5599, 0.5599)*CHOOSE(CONTROL!$C$42, 31, 31))/1000000</f>
        <v>12.063045499999998</v>
      </c>
      <c r="V77" s="38">
        <f>(1000*CHOOSE(CONTROL!$C$42, 500, 500)*CHOOSE(CONTROL!$C$42, 0.275, 0.275)*CHOOSE(CONTROL!$C$42, 31, 31))/1000000</f>
        <v>4.2625000000000002</v>
      </c>
      <c r="W77" s="38">
        <f>(1000*CHOOSE(CONTROL!$C$42, 0.1146, 0.1146)*CHOOSE(CONTROL!$C$42, 121.5, 121.5)*CHOOSE(CONTROL!$C$42, 31, 31))/1000000</f>
        <v>0.43164089999999994</v>
      </c>
      <c r="X77" s="38">
        <f>(31*0.1790888*245000/1000000)+(31*0.2374*100000/1000000)</f>
        <v>2.0961194359999999</v>
      </c>
      <c r="Y77" s="38">
        <f>(1000*400*CHOOSE(CONTROL!$C$42, 1.988, 1.988)*CHOOSE(CONTROL!$C$42, 31, 31))/1000000</f>
        <v>24.651199999999999</v>
      </c>
      <c r="Z77" s="38"/>
      <c r="AA77" s="10"/>
      <c r="AB77" s="39"/>
      <c r="AC77" s="33">
        <f>(B77*194.205+C77*267.466+D77*133.845+E77*53.484+F77*40+G77*185+H77*0+I77*100+J77*300)/(194.205+267.466+133.845+53.484+0+40+185+100+300)</f>
        <v>5.6251387078492936</v>
      </c>
      <c r="AD77" s="27">
        <f>(M77*'RAP TEMPLATE-GAS AVAILABILITY'!O76+N77*'RAP TEMPLATE-GAS AVAILABILITY'!P76+O77*'RAP TEMPLATE-GAS AVAILABILITY'!Q76+P77*'RAP TEMPLATE-GAS AVAILABILITY'!R76)/('RAP TEMPLATE-GAS AVAILABILITY'!O76+'RAP TEMPLATE-GAS AVAILABILITY'!P76+'RAP TEMPLATE-GAS AVAILABILITY'!Q76+'RAP TEMPLATE-GAS AVAILABILITY'!R76)</f>
        <v>5.5924043165467632</v>
      </c>
    </row>
    <row r="78" spans="1:30" ht="15">
      <c r="A78" s="16">
        <v>43617</v>
      </c>
      <c r="B78" s="10">
        <f>CHOOSE(CONTROL!$C$42, 5.7818, 5.7818) * CHOOSE(CONTROL!$C$21, $C$9, 100%, $E$9)</f>
        <v>5.7817999999999996</v>
      </c>
      <c r="C78" s="10">
        <f>CHOOSE(CONTROL!$C$42, 5.7898, 5.7898) * CHOOSE(CONTROL!$C$21, $C$9, 100%, $E$9)</f>
        <v>5.7897999999999996</v>
      </c>
      <c r="D78" s="10">
        <f>CHOOSE(CONTROL!$C$42, 5.9469, 5.9469) * CHOOSE(CONTROL!$C$21, $C$9, 100%, $E$9)</f>
        <v>5.9469000000000003</v>
      </c>
      <c r="E78" s="10">
        <f>CHOOSE(CONTROL!$C$42, 5.9781, 5.9781) * CHOOSE(CONTROL!$C$21, $C$9, 100%, $E$9)</f>
        <v>5.9781000000000004</v>
      </c>
      <c r="F78" s="10">
        <f>CHOOSE(CONTROL!$C$42, 5.7261, 5.7261)*CHOOSE(CONTROL!$C$21, $C$9, 100%, $E$9)</f>
        <v>5.7260999999999997</v>
      </c>
      <c r="G78" s="10">
        <f>CHOOSE(CONTROL!$C$42, 5.7423, 5.7423)*CHOOSE(CONTROL!$C$21, $C$9, 100%, $E$9)</f>
        <v>5.7423000000000002</v>
      </c>
      <c r="H78" s="10">
        <f>CHOOSE(CONTROL!$C$42, 5.9664, 5.9664) * CHOOSE(CONTROL!$C$21, $C$9, 100%, $E$9)</f>
        <v>5.9664000000000001</v>
      </c>
      <c r="I78" s="10">
        <f>CHOOSE(CONTROL!$C$42, 5.7606, 5.7606)* CHOOSE(CONTROL!$C$21, $C$9, 100%, $E$9)</f>
        <v>5.7606000000000002</v>
      </c>
      <c r="J78" s="10">
        <f>CHOOSE(CONTROL!$C$42, 5.7187, 5.7187)* CHOOSE(CONTROL!$C$21, $C$9, 100%, $E$9)</f>
        <v>5.7187000000000001</v>
      </c>
      <c r="K78" s="10">
        <f>CHOOSE(CONTROL!$C$42, 5.7404, 5.7404) * CHOOSE(CONTROL!$C$21, $C$9, 100%, $E$9)</f>
        <v>5.7404000000000002</v>
      </c>
      <c r="L78" s="10">
        <f>CHOOSE(CONTROL!$C$42, 6.5534, 6.5534) * CHOOSE(CONTROL!$C$21, $C$9, 100%, $E$9)</f>
        <v>6.5533999999999999</v>
      </c>
      <c r="M78" s="10">
        <f>CHOOSE(CONTROL!$C$42, 5.672, 5.672) * CHOOSE(CONTROL!$C$21, $C$9, 100%, $E$9)</f>
        <v>5.6719999999999997</v>
      </c>
      <c r="N78" s="10">
        <f>CHOOSE(CONTROL!$C$42, 5.6879, 5.6879) * CHOOSE(CONTROL!$C$21, $C$9, 100%, $E$9)</f>
        <v>5.6879</v>
      </c>
      <c r="O78" s="10">
        <f>CHOOSE(CONTROL!$C$42, 5.9162, 5.9162) * CHOOSE(CONTROL!$C$21, $C$9, 100%, $E$9)</f>
        <v>5.9161999999999999</v>
      </c>
      <c r="P78" s="10">
        <f>CHOOSE(CONTROL!$C$42, 5.7133, 5.7133) * CHOOSE(CONTROL!$C$21, $C$9, 100%, $E$9)</f>
        <v>5.7133000000000003</v>
      </c>
      <c r="Q78" s="10">
        <f>CHOOSE(CONTROL!$C$42, 6.5115, 6.5115) * CHOOSE(CONTROL!$C$21, $C$9, 100%, $E$9)</f>
        <v>6.5114999999999998</v>
      </c>
      <c r="R78" s="10">
        <f>CHOOSE(CONTROL!$C$42, 7.1148, 7.1148) * CHOOSE(CONTROL!$C$21, $C$9, 100%, $E$9)</f>
        <v>7.1147999999999998</v>
      </c>
      <c r="S78" s="10">
        <f>CHOOSE(CONTROL!$C$42, 5.6131, 5.6131) * CHOOSE(CONTROL!$C$21, $C$9, 100%, $E$9)</f>
        <v>5.6131000000000002</v>
      </c>
      <c r="T7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8" s="38">
        <f>(1000*CHOOSE(CONTROL!$C$42, 695, 695)*CHOOSE(CONTROL!$C$42, 0.5599, 0.5599)*CHOOSE(CONTROL!$C$42, 30, 30))/1000000</f>
        <v>11.673914999999997</v>
      </c>
      <c r="V78" s="38">
        <f>(1000*CHOOSE(CONTROL!$C$42, 500, 500)*CHOOSE(CONTROL!$C$42, 0.275, 0.275)*CHOOSE(CONTROL!$C$42, 30, 30))/1000000</f>
        <v>4.125</v>
      </c>
      <c r="W78" s="38">
        <f>(1000*CHOOSE(CONTROL!$C$42, 0.1146, 0.1146)*CHOOSE(CONTROL!$C$42, 121.5, 121.5)*CHOOSE(CONTROL!$C$42, 30, 30))/1000000</f>
        <v>0.417717</v>
      </c>
      <c r="X78" s="38">
        <f>(30*0.1790888*245000/1000000)+(30*0.2374*100000/1000000)</f>
        <v>2.0285026799999999</v>
      </c>
      <c r="Y78" s="38">
        <f>(1000*400*CHOOSE(CONTROL!$C$42, 1.988, 1.988)*CHOOSE(CONTROL!$C$42, 30, 30))/1000000</f>
        <v>23.856000000000002</v>
      </c>
      <c r="Z78" s="38"/>
      <c r="AA78" s="10"/>
      <c r="AB78" s="39"/>
      <c r="AC78" s="33">
        <f>(B78*194.205+C78*267.466+D78*133.845+E78*53.484+F78*40+G78*185+H78*0+I78*100+J78*300)/(194.205+267.466+133.845+53.484+0+40+185+100+300)</f>
        <v>5.785058199921508</v>
      </c>
      <c r="AD78" s="27">
        <f>(M78*'RAP TEMPLATE-GAS AVAILABILITY'!O77+N78*'RAP TEMPLATE-GAS AVAILABILITY'!P77+O78*'RAP TEMPLATE-GAS AVAILABILITY'!Q77+P78*'RAP TEMPLATE-GAS AVAILABILITY'!R77)/('RAP TEMPLATE-GAS AVAILABILITY'!O77+'RAP TEMPLATE-GAS AVAILABILITY'!P77+'RAP TEMPLATE-GAS AVAILABILITY'!Q77+'RAP TEMPLATE-GAS AVAILABILITY'!R77)</f>
        <v>5.750119424460431</v>
      </c>
    </row>
    <row r="79" spans="1:30" ht="15">
      <c r="A79" s="16">
        <v>43647</v>
      </c>
      <c r="B79" s="10">
        <f>CHOOSE(CONTROL!$C$42, 5.6706, 5.6706) * CHOOSE(CONTROL!$C$21, $C$9, 100%, $E$9)</f>
        <v>5.6706000000000003</v>
      </c>
      <c r="C79" s="10">
        <f>CHOOSE(CONTROL!$C$42, 5.6786, 5.6786) * CHOOSE(CONTROL!$C$21, $C$9, 100%, $E$9)</f>
        <v>5.6786000000000003</v>
      </c>
      <c r="D79" s="10">
        <f>CHOOSE(CONTROL!$C$42, 5.8357, 5.8357) * CHOOSE(CONTROL!$C$21, $C$9, 100%, $E$9)</f>
        <v>5.8357000000000001</v>
      </c>
      <c r="E79" s="10">
        <f>CHOOSE(CONTROL!$C$42, 5.8669, 5.8669) * CHOOSE(CONTROL!$C$21, $C$9, 100%, $E$9)</f>
        <v>5.8669000000000002</v>
      </c>
      <c r="F79" s="10">
        <f>CHOOSE(CONTROL!$C$42, 5.6153, 5.6153)*CHOOSE(CONTROL!$C$21, $C$9, 100%, $E$9)</f>
        <v>5.6153000000000004</v>
      </c>
      <c r="G79" s="10">
        <f>CHOOSE(CONTROL!$C$42, 5.6315, 5.6315)*CHOOSE(CONTROL!$C$21, $C$9, 100%, $E$9)</f>
        <v>5.6315</v>
      </c>
      <c r="H79" s="10">
        <f>CHOOSE(CONTROL!$C$42, 5.8552, 5.8552) * CHOOSE(CONTROL!$C$21, $C$9, 100%, $E$9)</f>
        <v>5.8552</v>
      </c>
      <c r="I79" s="10">
        <f>CHOOSE(CONTROL!$C$42, 5.6494, 5.6494)* CHOOSE(CONTROL!$C$21, $C$9, 100%, $E$9)</f>
        <v>5.6494</v>
      </c>
      <c r="J79" s="10">
        <f>CHOOSE(CONTROL!$C$42, 5.6079, 5.6079)* CHOOSE(CONTROL!$C$21, $C$9, 100%, $E$9)</f>
        <v>5.6078999999999999</v>
      </c>
      <c r="K79" s="10">
        <f>CHOOSE(CONTROL!$C$42, 5.6334, 5.6334) * CHOOSE(CONTROL!$C$21, $C$9, 100%, $E$9)</f>
        <v>5.6334</v>
      </c>
      <c r="L79" s="10">
        <f>CHOOSE(CONTROL!$C$42, 6.4422, 6.4422) * CHOOSE(CONTROL!$C$21, $C$9, 100%, $E$9)</f>
        <v>6.4421999999999997</v>
      </c>
      <c r="M79" s="10">
        <f>CHOOSE(CONTROL!$C$42, 5.5627, 5.5627) * CHOOSE(CONTROL!$C$21, $C$9, 100%, $E$9)</f>
        <v>5.5627000000000004</v>
      </c>
      <c r="N79" s="10">
        <f>CHOOSE(CONTROL!$C$42, 5.5787, 5.5787) * CHOOSE(CONTROL!$C$21, $C$9, 100%, $E$9)</f>
        <v>5.5787000000000004</v>
      </c>
      <c r="O79" s="10">
        <f>CHOOSE(CONTROL!$C$42, 5.8066, 5.8066) * CHOOSE(CONTROL!$C$21, $C$9, 100%, $E$9)</f>
        <v>5.8066000000000004</v>
      </c>
      <c r="P79" s="10">
        <f>CHOOSE(CONTROL!$C$42, 5.6037, 5.6037) * CHOOSE(CONTROL!$C$21, $C$9, 100%, $E$9)</f>
        <v>5.6036999999999999</v>
      </c>
      <c r="Q79" s="10">
        <f>CHOOSE(CONTROL!$C$42, 6.4019, 6.4019) * CHOOSE(CONTROL!$C$21, $C$9, 100%, $E$9)</f>
        <v>6.4019000000000004</v>
      </c>
      <c r="R79" s="10">
        <f>CHOOSE(CONTROL!$C$42, 7.0049, 7.0049) * CHOOSE(CONTROL!$C$21, $C$9, 100%, $E$9)</f>
        <v>7.0049000000000001</v>
      </c>
      <c r="S79" s="10">
        <f>CHOOSE(CONTROL!$C$42, 5.5055, 5.5055) * CHOOSE(CONTROL!$C$21, $C$9, 100%, $E$9)</f>
        <v>5.5054999999999996</v>
      </c>
      <c r="T7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9" s="38">
        <f>(1000*CHOOSE(CONTROL!$C$42, 695, 695)*CHOOSE(CONTROL!$C$42, 0.5599, 0.5599)*CHOOSE(CONTROL!$C$42, 31, 31))/1000000</f>
        <v>12.063045499999998</v>
      </c>
      <c r="V79" s="38">
        <f>(1000*CHOOSE(CONTROL!$C$42, 500, 500)*CHOOSE(CONTROL!$C$42, 0.275, 0.275)*CHOOSE(CONTROL!$C$42, 31, 31))/1000000</f>
        <v>4.2625000000000002</v>
      </c>
      <c r="W79" s="38">
        <f>(1000*CHOOSE(CONTROL!$C$42, 0.1146, 0.1146)*CHOOSE(CONTROL!$C$42, 121.5, 121.5)*CHOOSE(CONTROL!$C$42, 31, 31))/1000000</f>
        <v>0.43164089999999994</v>
      </c>
      <c r="X79" s="38">
        <f>(31*0.1790888*245000/1000000)+(31*0.2374*100000/1000000)</f>
        <v>2.0961194359999999</v>
      </c>
      <c r="Y79" s="38">
        <f>(1000*400*CHOOSE(CONTROL!$C$42, 1.988, 1.988)*CHOOSE(CONTROL!$C$42, 31, 31))/1000000</f>
        <v>24.651199999999999</v>
      </c>
      <c r="Z79" s="38"/>
      <c r="AA79" s="10"/>
      <c r="AB79" s="39"/>
      <c r="AC79" s="33">
        <f>(B79*194.205+C79*267.466+D79*133.845+E79*53.484+F79*40+G79*185+H79*0+I79*100+J79*300)/(194.205+267.466+133.845+53.484+0+40+185+100+300)</f>
        <v>5.6740230350863419</v>
      </c>
      <c r="AD79" s="27">
        <f>(M79*'RAP TEMPLATE-GAS AVAILABILITY'!O78+N79*'RAP TEMPLATE-GAS AVAILABILITY'!P78+O79*'RAP TEMPLATE-GAS AVAILABILITY'!Q78+P79*'RAP TEMPLATE-GAS AVAILABILITY'!R78)/('RAP TEMPLATE-GAS AVAILABILITY'!O78+'RAP TEMPLATE-GAS AVAILABILITY'!P78+'RAP TEMPLATE-GAS AVAILABILITY'!Q78+'RAP TEMPLATE-GAS AVAILABILITY'!R78)</f>
        <v>5.6407151079136701</v>
      </c>
    </row>
    <row r="80" spans="1:30" ht="15">
      <c r="A80" s="16">
        <v>43678</v>
      </c>
      <c r="B80" s="10">
        <f>CHOOSE(CONTROL!$C$42, 5.3899, 5.3899) * CHOOSE(CONTROL!$C$21, $C$9, 100%, $E$9)</f>
        <v>5.3898999999999999</v>
      </c>
      <c r="C80" s="10">
        <f>CHOOSE(CONTROL!$C$42, 5.3979, 5.3979) * CHOOSE(CONTROL!$C$21, $C$9, 100%, $E$9)</f>
        <v>5.3978999999999999</v>
      </c>
      <c r="D80" s="10">
        <f>CHOOSE(CONTROL!$C$42, 5.5549, 5.5549) * CHOOSE(CONTROL!$C$21, $C$9, 100%, $E$9)</f>
        <v>5.5548999999999999</v>
      </c>
      <c r="E80" s="10">
        <f>CHOOSE(CONTROL!$C$42, 5.5861, 5.5861) * CHOOSE(CONTROL!$C$21, $C$9, 100%, $E$9)</f>
        <v>5.5861000000000001</v>
      </c>
      <c r="F80" s="10">
        <f>CHOOSE(CONTROL!$C$42, 5.3344, 5.3344)*CHOOSE(CONTROL!$C$21, $C$9, 100%, $E$9)</f>
        <v>5.3343999999999996</v>
      </c>
      <c r="G80" s="10">
        <f>CHOOSE(CONTROL!$C$42, 5.3507, 5.3507)*CHOOSE(CONTROL!$C$21, $C$9, 100%, $E$9)</f>
        <v>5.3506999999999998</v>
      </c>
      <c r="H80" s="10">
        <f>CHOOSE(CONTROL!$C$42, 5.5745, 5.5745) * CHOOSE(CONTROL!$C$21, $C$9, 100%, $E$9)</f>
        <v>5.5744999999999996</v>
      </c>
      <c r="I80" s="10">
        <f>CHOOSE(CONTROL!$C$42, 5.3686, 5.3686)* CHOOSE(CONTROL!$C$21, $C$9, 100%, $E$9)</f>
        <v>5.3685999999999998</v>
      </c>
      <c r="J80" s="10">
        <f>CHOOSE(CONTROL!$C$42, 5.327, 5.327)* CHOOSE(CONTROL!$C$21, $C$9, 100%, $E$9)</f>
        <v>5.327</v>
      </c>
      <c r="K80" s="10">
        <f>CHOOSE(CONTROL!$C$42, 5.3612, 5.3612) * CHOOSE(CONTROL!$C$21, $C$9, 100%, $E$9)</f>
        <v>5.3612000000000002</v>
      </c>
      <c r="L80" s="10">
        <f>CHOOSE(CONTROL!$C$42, 6.1615, 6.1615) * CHOOSE(CONTROL!$C$21, $C$9, 100%, $E$9)</f>
        <v>6.1615000000000002</v>
      </c>
      <c r="M80" s="10">
        <f>CHOOSE(CONTROL!$C$42, 5.2857, 5.2857) * CHOOSE(CONTROL!$C$21, $C$9, 100%, $E$9)</f>
        <v>5.2857000000000003</v>
      </c>
      <c r="N80" s="10">
        <f>CHOOSE(CONTROL!$C$42, 5.3018, 5.3018) * CHOOSE(CONTROL!$C$21, $C$9, 100%, $E$9)</f>
        <v>5.3018000000000001</v>
      </c>
      <c r="O80" s="10">
        <f>CHOOSE(CONTROL!$C$42, 5.5297, 5.5297) * CHOOSE(CONTROL!$C$21, $C$9, 100%, $E$9)</f>
        <v>5.5297000000000001</v>
      </c>
      <c r="P80" s="10">
        <f>CHOOSE(CONTROL!$C$42, 5.3268, 5.3268) * CHOOSE(CONTROL!$C$21, $C$9, 100%, $E$9)</f>
        <v>5.3268000000000004</v>
      </c>
      <c r="Q80" s="10">
        <f>CHOOSE(CONTROL!$C$42, 6.125, 6.125) * CHOOSE(CONTROL!$C$21, $C$9, 100%, $E$9)</f>
        <v>6.125</v>
      </c>
      <c r="R80" s="10">
        <f>CHOOSE(CONTROL!$C$42, 6.7273, 6.7273) * CHOOSE(CONTROL!$C$21, $C$9, 100%, $E$9)</f>
        <v>6.7272999999999996</v>
      </c>
      <c r="S80" s="10">
        <f>CHOOSE(CONTROL!$C$42, 5.2336, 5.2336) * CHOOSE(CONTROL!$C$21, $C$9, 100%, $E$9)</f>
        <v>5.2336</v>
      </c>
      <c r="T8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0" s="38">
        <f>(1000*CHOOSE(CONTROL!$C$42, 695, 695)*CHOOSE(CONTROL!$C$42, 0.5599, 0.5599)*CHOOSE(CONTROL!$C$42, 31, 31))/1000000</f>
        <v>12.063045499999998</v>
      </c>
      <c r="V80" s="38">
        <f>(1000*CHOOSE(CONTROL!$C$42, 500, 500)*CHOOSE(CONTROL!$C$42, 0.275, 0.275)*CHOOSE(CONTROL!$C$42, 31, 31))/1000000</f>
        <v>4.2625000000000002</v>
      </c>
      <c r="W80" s="38">
        <f>(1000*CHOOSE(CONTROL!$C$42, 0.1146, 0.1146)*CHOOSE(CONTROL!$C$42, 121.5, 121.5)*CHOOSE(CONTROL!$C$42, 31, 31))/1000000</f>
        <v>0.43164089999999994</v>
      </c>
      <c r="X80" s="38">
        <f>(31*0.1790888*245000/1000000)+(31*0.2374*100000/1000000)</f>
        <v>2.0961194359999999</v>
      </c>
      <c r="Y80" s="38">
        <f>(1000*400*CHOOSE(CONTROL!$C$42, 1.988, 1.988)*CHOOSE(CONTROL!$C$42, 31, 31))/1000000</f>
        <v>24.651199999999999</v>
      </c>
      <c r="Z80" s="38"/>
      <c r="AA80" s="10"/>
      <c r="AB80" s="39"/>
      <c r="AC80" s="33">
        <f>(B80*194.205+C80*267.466+D80*133.845+E80*53.484+F80*40+G80*185+H80*0+I80*100+J80*300)/(194.205+267.466+133.845+53.484+0+40+185+100+300)</f>
        <v>5.3932325854003142</v>
      </c>
      <c r="AD80" s="27">
        <f>(M80*'RAP TEMPLATE-GAS AVAILABILITY'!O79+N80*'RAP TEMPLATE-GAS AVAILABILITY'!P79+O80*'RAP TEMPLATE-GAS AVAILABILITY'!Q79+P80*'RAP TEMPLATE-GAS AVAILABILITY'!R79)/('RAP TEMPLATE-GAS AVAILABILITY'!O79+'RAP TEMPLATE-GAS AVAILABILITY'!P79+'RAP TEMPLATE-GAS AVAILABILITY'!Q79+'RAP TEMPLATE-GAS AVAILABILITY'!R79)</f>
        <v>5.3637805755395691</v>
      </c>
    </row>
    <row r="81" spans="1:30" ht="15">
      <c r="A81" s="16">
        <v>43709</v>
      </c>
      <c r="B81" s="10">
        <f>CHOOSE(CONTROL!$C$42, 5.0468, 5.0468) * CHOOSE(CONTROL!$C$21, $C$9, 100%, $E$9)</f>
        <v>5.0468000000000002</v>
      </c>
      <c r="C81" s="10">
        <f>CHOOSE(CONTROL!$C$42, 5.0548, 5.0548) * CHOOSE(CONTROL!$C$21, $C$9, 100%, $E$9)</f>
        <v>5.0548000000000002</v>
      </c>
      <c r="D81" s="10">
        <f>CHOOSE(CONTROL!$C$42, 5.2118, 5.2118) * CHOOSE(CONTROL!$C$21, $C$9, 100%, $E$9)</f>
        <v>5.2118000000000002</v>
      </c>
      <c r="E81" s="10">
        <f>CHOOSE(CONTROL!$C$42, 5.2431, 5.2431) * CHOOSE(CONTROL!$C$21, $C$9, 100%, $E$9)</f>
        <v>5.2431000000000001</v>
      </c>
      <c r="F81" s="10">
        <f>CHOOSE(CONTROL!$C$42, 4.9912, 4.9912)*CHOOSE(CONTROL!$C$21, $C$9, 100%, $E$9)</f>
        <v>4.9912000000000001</v>
      </c>
      <c r="G81" s="10">
        <f>CHOOSE(CONTROL!$C$42, 5.0074, 5.0074)*CHOOSE(CONTROL!$C$21, $C$9, 100%, $E$9)</f>
        <v>5.0073999999999996</v>
      </c>
      <c r="H81" s="10">
        <f>CHOOSE(CONTROL!$C$42, 5.2314, 5.2314) * CHOOSE(CONTROL!$C$21, $C$9, 100%, $E$9)</f>
        <v>5.2313999999999998</v>
      </c>
      <c r="I81" s="10">
        <f>CHOOSE(CONTROL!$C$42, 5.0256, 5.0256)* CHOOSE(CONTROL!$C$21, $C$9, 100%, $E$9)</f>
        <v>5.0255999999999998</v>
      </c>
      <c r="J81" s="10">
        <f>CHOOSE(CONTROL!$C$42, 4.9838, 4.9838)* CHOOSE(CONTROL!$C$21, $C$9, 100%, $E$9)</f>
        <v>4.9837999999999996</v>
      </c>
      <c r="K81" s="10">
        <f>CHOOSE(CONTROL!$C$42, 5.0284, 5.0284) * CHOOSE(CONTROL!$C$21, $C$9, 100%, $E$9)</f>
        <v>5.0284000000000004</v>
      </c>
      <c r="L81" s="10">
        <f>CHOOSE(CONTROL!$C$42, 5.8184, 5.8184) * CHOOSE(CONTROL!$C$21, $C$9, 100%, $E$9)</f>
        <v>5.8183999999999996</v>
      </c>
      <c r="M81" s="10">
        <f>CHOOSE(CONTROL!$C$42, 4.9473, 4.9473) * CHOOSE(CONTROL!$C$21, $C$9, 100%, $E$9)</f>
        <v>4.9473000000000003</v>
      </c>
      <c r="N81" s="10">
        <f>CHOOSE(CONTROL!$C$42, 4.9632, 4.9632) * CHOOSE(CONTROL!$C$21, $C$9, 100%, $E$9)</f>
        <v>4.9631999999999996</v>
      </c>
      <c r="O81" s="10">
        <f>CHOOSE(CONTROL!$C$42, 5.1914, 5.1914) * CHOOSE(CONTROL!$C$21, $C$9, 100%, $E$9)</f>
        <v>5.1913999999999998</v>
      </c>
      <c r="P81" s="10">
        <f>CHOOSE(CONTROL!$C$42, 4.9885, 4.9885) * CHOOSE(CONTROL!$C$21, $C$9, 100%, $E$9)</f>
        <v>4.9885000000000002</v>
      </c>
      <c r="Q81" s="10">
        <f>CHOOSE(CONTROL!$C$42, 5.7867, 5.7867) * CHOOSE(CONTROL!$C$21, $C$9, 100%, $E$9)</f>
        <v>5.7866999999999997</v>
      </c>
      <c r="R81" s="10">
        <f>CHOOSE(CONTROL!$C$42, 6.3882, 6.3882) * CHOOSE(CONTROL!$C$21, $C$9, 100%, $E$9)</f>
        <v>6.3882000000000003</v>
      </c>
      <c r="S81" s="10">
        <f>CHOOSE(CONTROL!$C$42, 4.9014, 4.9014) * CHOOSE(CONTROL!$C$21, $C$9, 100%, $E$9)</f>
        <v>4.9013999999999998</v>
      </c>
      <c r="T8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1" s="38">
        <f>(1000*CHOOSE(CONTROL!$C$42, 695, 695)*CHOOSE(CONTROL!$C$42, 0.5599, 0.5599)*CHOOSE(CONTROL!$C$42, 30, 30))/1000000</f>
        <v>11.673914999999997</v>
      </c>
      <c r="V81" s="38">
        <f>(1000*CHOOSE(CONTROL!$C$42, 500, 500)*CHOOSE(CONTROL!$C$42, 0.275, 0.275)*CHOOSE(CONTROL!$C$42, 30, 30))/1000000</f>
        <v>4.125</v>
      </c>
      <c r="W81" s="38">
        <f>(1000*CHOOSE(CONTROL!$C$42, 0.1146, 0.1146)*CHOOSE(CONTROL!$C$42, 121.5, 121.5)*CHOOSE(CONTROL!$C$42, 30, 30))/1000000</f>
        <v>0.417717</v>
      </c>
      <c r="X81" s="38">
        <f>(30*0.1790888*245000/1000000)+(30*0.2374*100000/1000000)</f>
        <v>2.0285026799999999</v>
      </c>
      <c r="Y81" s="38">
        <f>(1000*400*CHOOSE(CONTROL!$C$42, 1.988, 1.988)*CHOOSE(CONTROL!$C$42, 30, 30))/1000000</f>
        <v>23.856000000000002</v>
      </c>
      <c r="Z81" s="38"/>
      <c r="AA81" s="10"/>
      <c r="AB81" s="39"/>
      <c r="AC81" s="33">
        <f>(B81*194.205+C81*267.466+D81*133.845+E81*53.484+F81*40+G81*185+H81*0+I81*100+J81*300)/(194.205+267.466+133.845+53.484+0+40+185+100+300)</f>
        <v>5.0500889028257463</v>
      </c>
      <c r="AD81" s="27">
        <f>(M81*'RAP TEMPLATE-GAS AVAILABILITY'!O80+N81*'RAP TEMPLATE-GAS AVAILABILITY'!P80+O81*'RAP TEMPLATE-GAS AVAILABILITY'!Q80+P81*'RAP TEMPLATE-GAS AVAILABILITY'!R80)/('RAP TEMPLATE-GAS AVAILABILITY'!O80+'RAP TEMPLATE-GAS AVAILABILITY'!P80+'RAP TEMPLATE-GAS AVAILABILITY'!Q80+'RAP TEMPLATE-GAS AVAILABILITY'!R80)</f>
        <v>5.0253769784172659</v>
      </c>
    </row>
    <row r="82" spans="1:30" ht="15">
      <c r="A82" s="16">
        <v>43739</v>
      </c>
      <c r="B82" s="10">
        <f>CHOOSE(CONTROL!$C$42, 4.9419, 4.9419) * CHOOSE(CONTROL!$C$21, $C$9, 100%, $E$9)</f>
        <v>4.9419000000000004</v>
      </c>
      <c r="C82" s="10">
        <f>CHOOSE(CONTROL!$C$42, 4.9472, 4.9472) * CHOOSE(CONTROL!$C$21, $C$9, 100%, $E$9)</f>
        <v>4.9471999999999996</v>
      </c>
      <c r="D82" s="10">
        <f>CHOOSE(CONTROL!$C$42, 5.1091, 5.1091) * CHOOSE(CONTROL!$C$21, $C$9, 100%, $E$9)</f>
        <v>5.1090999999999998</v>
      </c>
      <c r="E82" s="10">
        <f>CHOOSE(CONTROL!$C$42, 5.1381, 5.1381) * CHOOSE(CONTROL!$C$21, $C$9, 100%, $E$9)</f>
        <v>5.1380999999999997</v>
      </c>
      <c r="F82" s="10">
        <f>CHOOSE(CONTROL!$C$42, 4.8883, 4.8883)*CHOOSE(CONTROL!$C$21, $C$9, 100%, $E$9)</f>
        <v>4.8883000000000001</v>
      </c>
      <c r="G82" s="10">
        <f>CHOOSE(CONTROL!$C$42, 4.9041, 4.9041)*CHOOSE(CONTROL!$C$21, $C$9, 100%, $E$9)</f>
        <v>4.9040999999999997</v>
      </c>
      <c r="H82" s="10">
        <f>CHOOSE(CONTROL!$C$42, 5.1282, 5.1282) * CHOOSE(CONTROL!$C$21, $C$9, 100%, $E$9)</f>
        <v>5.1281999999999996</v>
      </c>
      <c r="I82" s="10">
        <f>CHOOSE(CONTROL!$C$42, 4.9224, 4.9224)* CHOOSE(CONTROL!$C$21, $C$9, 100%, $E$9)</f>
        <v>4.9223999999999997</v>
      </c>
      <c r="J82" s="10">
        <f>CHOOSE(CONTROL!$C$42, 4.8809, 4.8809)* CHOOSE(CONTROL!$C$21, $C$9, 100%, $E$9)</f>
        <v>4.8808999999999996</v>
      </c>
      <c r="K82" s="10">
        <f>CHOOSE(CONTROL!$C$42, 4.9291, 4.9291) * CHOOSE(CONTROL!$C$21, $C$9, 100%, $E$9)</f>
        <v>4.9291</v>
      </c>
      <c r="L82" s="10">
        <f>CHOOSE(CONTROL!$C$42, 5.7152, 5.7152) * CHOOSE(CONTROL!$C$21, $C$9, 100%, $E$9)</f>
        <v>5.7152000000000003</v>
      </c>
      <c r="M82" s="10">
        <f>CHOOSE(CONTROL!$C$42, 4.8458, 4.8458) * CHOOSE(CONTROL!$C$21, $C$9, 100%, $E$9)</f>
        <v>4.8457999999999997</v>
      </c>
      <c r="N82" s="10">
        <f>CHOOSE(CONTROL!$C$42, 4.8614, 4.8614) * CHOOSE(CONTROL!$C$21, $C$9, 100%, $E$9)</f>
        <v>4.8613999999999997</v>
      </c>
      <c r="O82" s="10">
        <f>CHOOSE(CONTROL!$C$42, 5.0897, 5.0897) * CHOOSE(CONTROL!$C$21, $C$9, 100%, $E$9)</f>
        <v>5.0896999999999997</v>
      </c>
      <c r="P82" s="10">
        <f>CHOOSE(CONTROL!$C$42, 4.8868, 4.8868) * CHOOSE(CONTROL!$C$21, $C$9, 100%, $E$9)</f>
        <v>4.8868</v>
      </c>
      <c r="Q82" s="10">
        <f>CHOOSE(CONTROL!$C$42, 5.685, 5.685) * CHOOSE(CONTROL!$C$21, $C$9, 100%, $E$9)</f>
        <v>5.6849999999999996</v>
      </c>
      <c r="R82" s="10">
        <f>CHOOSE(CONTROL!$C$42, 6.2862, 6.2862) * CHOOSE(CONTROL!$C$21, $C$9, 100%, $E$9)</f>
        <v>6.2862</v>
      </c>
      <c r="S82" s="10">
        <f>CHOOSE(CONTROL!$C$42, 4.8015, 4.8015) * CHOOSE(CONTROL!$C$21, $C$9, 100%, $E$9)</f>
        <v>4.8014999999999999</v>
      </c>
      <c r="T8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2" s="38">
        <f>(1000*CHOOSE(CONTROL!$C$42, 695, 695)*CHOOSE(CONTROL!$C$42, 0.5599, 0.5599)*CHOOSE(CONTROL!$C$42, 31, 31))/1000000</f>
        <v>12.063045499999998</v>
      </c>
      <c r="V82" s="38">
        <f>(1000*CHOOSE(CONTROL!$C$42, 500, 500)*CHOOSE(CONTROL!$C$42, 0.275, 0.275)*CHOOSE(CONTROL!$C$42, 31, 31))/1000000</f>
        <v>4.2625000000000002</v>
      </c>
      <c r="W82" s="38">
        <f>(1000*CHOOSE(CONTROL!$C$42, 0.1146, 0.1146)*CHOOSE(CONTROL!$C$42, 121.5, 121.5)*CHOOSE(CONTROL!$C$42, 31, 31))/1000000</f>
        <v>0.43164089999999994</v>
      </c>
      <c r="X82" s="38">
        <f>(31*0.1790888*245000/1000000)+(31*0.2374*100000/1000000)</f>
        <v>2.0961194359999999</v>
      </c>
      <c r="Y82" s="38">
        <f>(1000*400*CHOOSE(CONTROL!$C$42, 1.988, 1.988)*CHOOSE(CONTROL!$C$42, 31, 31))/1000000</f>
        <v>24.651199999999999</v>
      </c>
      <c r="Z82" s="38"/>
      <c r="AA82" s="10"/>
      <c r="AB82" s="39"/>
      <c r="AC82" s="33">
        <f>(B82*131.881+C82*277.167+D82*79.08+E82*125.872+F82*40+G82*185+H82*0+I82*100+J82*300)/(131.881+277.167+79.08+125.872+0+40+185+100+300)</f>
        <v>4.9499712247780474</v>
      </c>
      <c r="AD82" s="27">
        <f>(M82*'RAP TEMPLATE-GAS AVAILABILITY'!O81+N82*'RAP TEMPLATE-GAS AVAILABILITY'!P81+O82*'RAP TEMPLATE-GAS AVAILABILITY'!Q81+P82*'RAP TEMPLATE-GAS AVAILABILITY'!R81)/('RAP TEMPLATE-GAS AVAILABILITY'!O81+'RAP TEMPLATE-GAS AVAILABILITY'!P81+'RAP TEMPLATE-GAS AVAILABILITY'!Q81+'RAP TEMPLATE-GAS AVAILABILITY'!R81)</f>
        <v>4.9237230215827337</v>
      </c>
    </row>
    <row r="83" spans="1:30" ht="15">
      <c r="A83" s="16">
        <v>43770</v>
      </c>
      <c r="B83" s="10">
        <f>CHOOSE(CONTROL!$C$42, 5.0721, 5.0721) * CHOOSE(CONTROL!$C$21, $C$9, 100%, $E$9)</f>
        <v>5.0720999999999998</v>
      </c>
      <c r="C83" s="10">
        <f>CHOOSE(CONTROL!$C$42, 5.0772, 5.0772) * CHOOSE(CONTROL!$C$21, $C$9, 100%, $E$9)</f>
        <v>5.0772000000000004</v>
      </c>
      <c r="D83" s="10">
        <f>CHOOSE(CONTROL!$C$42, 5.1019, 5.1019) * CHOOSE(CONTROL!$C$21, $C$9, 100%, $E$9)</f>
        <v>5.1018999999999997</v>
      </c>
      <c r="E83" s="10">
        <f>CHOOSE(CONTROL!$C$42, 5.1357, 5.1357) * CHOOSE(CONTROL!$C$21, $C$9, 100%, $E$9)</f>
        <v>5.1356999999999999</v>
      </c>
      <c r="F83" s="10">
        <f>CHOOSE(CONTROL!$C$42, 5.0404, 5.0404)*CHOOSE(CONTROL!$C$21, $C$9, 100%, $E$9)</f>
        <v>5.0404</v>
      </c>
      <c r="G83" s="10">
        <f>CHOOSE(CONTROL!$C$42, 5.0564, 5.0564)*CHOOSE(CONTROL!$C$21, $C$9, 100%, $E$9)</f>
        <v>5.0564</v>
      </c>
      <c r="H83" s="10">
        <f>CHOOSE(CONTROL!$C$42, 5.1245, 5.1245) * CHOOSE(CONTROL!$C$21, $C$9, 100%, $E$9)</f>
        <v>5.1245000000000003</v>
      </c>
      <c r="I83" s="10">
        <f>CHOOSE(CONTROL!$C$42, 5.0871, 5.0871)* CHOOSE(CONTROL!$C$21, $C$9, 100%, $E$9)</f>
        <v>5.0871000000000004</v>
      </c>
      <c r="J83" s="10">
        <f>CHOOSE(CONTROL!$C$42, 5.033, 5.033)* CHOOSE(CONTROL!$C$21, $C$9, 100%, $E$9)</f>
        <v>5.0330000000000004</v>
      </c>
      <c r="K83" s="10">
        <f>CHOOSE(CONTROL!$C$42, 5.0908, 5.0908) * CHOOSE(CONTROL!$C$21, $C$9, 100%, $E$9)</f>
        <v>5.0907999999999998</v>
      </c>
      <c r="L83" s="10">
        <f>CHOOSE(CONTROL!$C$42, 5.7115, 5.7115) * CHOOSE(CONTROL!$C$21, $C$9, 100%, $E$9)</f>
        <v>5.7115</v>
      </c>
      <c r="M83" s="10">
        <f>CHOOSE(CONTROL!$C$42, 4.9958, 4.9958) * CHOOSE(CONTROL!$C$21, $C$9, 100%, $E$9)</f>
        <v>4.9958</v>
      </c>
      <c r="N83" s="10">
        <f>CHOOSE(CONTROL!$C$42, 5.0116, 5.0116) * CHOOSE(CONTROL!$C$21, $C$9, 100%, $E$9)</f>
        <v>5.0115999999999996</v>
      </c>
      <c r="O83" s="10">
        <f>CHOOSE(CONTROL!$C$42, 5.0861, 5.0861) * CHOOSE(CONTROL!$C$21, $C$9, 100%, $E$9)</f>
        <v>5.0861000000000001</v>
      </c>
      <c r="P83" s="10">
        <f>CHOOSE(CONTROL!$C$42, 5.0492, 5.0492) * CHOOSE(CONTROL!$C$21, $C$9, 100%, $E$9)</f>
        <v>5.0491999999999999</v>
      </c>
      <c r="Q83" s="10">
        <f>CHOOSE(CONTROL!$C$42, 5.6814, 5.6814) * CHOOSE(CONTROL!$C$21, $C$9, 100%, $E$9)</f>
        <v>5.6814</v>
      </c>
      <c r="R83" s="10">
        <f>CHOOSE(CONTROL!$C$42, 6.2826, 6.2826) * CHOOSE(CONTROL!$C$21, $C$9, 100%, $E$9)</f>
        <v>6.2826000000000004</v>
      </c>
      <c r="S83" s="10">
        <f>CHOOSE(CONTROL!$C$42, 4.928, 4.928) * CHOOSE(CONTROL!$C$21, $C$9, 100%, $E$9)</f>
        <v>4.9279999999999999</v>
      </c>
      <c r="T8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3" s="38">
        <f>(1000*CHOOSE(CONTROL!$C$42, 695, 695)*CHOOSE(CONTROL!$C$42, 0.5599, 0.5599)*CHOOSE(CONTROL!$C$42, 30, 30))/1000000</f>
        <v>11.673914999999997</v>
      </c>
      <c r="V83" s="38">
        <f>(1000*CHOOSE(CONTROL!$C$42, 500, 500)*CHOOSE(CONTROL!$C$42, 0.275, 0.275)*CHOOSE(CONTROL!$C$42, 30, 30))/1000000</f>
        <v>4.125</v>
      </c>
      <c r="W83" s="38">
        <f>(1000*CHOOSE(CONTROL!$C$42, 0.1146, 0.1146)*CHOOSE(CONTROL!$C$42, 121.5, 121.5)*CHOOSE(CONTROL!$C$42, 30, 30))/1000000</f>
        <v>0.417717</v>
      </c>
      <c r="X83" s="38">
        <f>(30*0.1790888*100000/1000000)+(30*0.2374*100000/1000000)</f>
        <v>1.2494664</v>
      </c>
      <c r="Y83" s="38">
        <f>(1000*400*CHOOSE(CONTROL!$C$42, 1.988, 1.988)*CHOOSE(CONTROL!$C$42, 30, 30))/1000000</f>
        <v>23.856000000000002</v>
      </c>
      <c r="Z83" s="38"/>
      <c r="AA83" s="10"/>
      <c r="AB83" s="39"/>
      <c r="AC83" s="33">
        <f>(B83*122.58+C83*297.941+D83*89.177+E83*40.302+F83*40+G83*160+H83*0+I83*100+J83*300)/(122.58+297.941+89.177+40.302+0+40+160+100+300)</f>
        <v>5.0657784181739123</v>
      </c>
      <c r="AD83" s="27">
        <f>(M83*'RAP TEMPLATE-GAS AVAILABILITY'!O82+N83*'RAP TEMPLATE-GAS AVAILABILITY'!P82+O83*'RAP TEMPLATE-GAS AVAILABILITY'!Q82+P83*'RAP TEMPLATE-GAS AVAILABILITY'!R82)/('RAP TEMPLATE-GAS AVAILABILITY'!O82+'RAP TEMPLATE-GAS AVAILABILITY'!P82+'RAP TEMPLATE-GAS AVAILABILITY'!Q82+'RAP TEMPLATE-GAS AVAILABILITY'!R82)</f>
        <v>5.0453201438848918</v>
      </c>
    </row>
    <row r="84" spans="1:30" ht="15">
      <c r="A84" s="16">
        <v>43800</v>
      </c>
      <c r="B84" s="10">
        <f>CHOOSE(CONTROL!$C$42, 5.419, 5.419) * CHOOSE(CONTROL!$C$21, $C$9, 100%, $E$9)</f>
        <v>5.4189999999999996</v>
      </c>
      <c r="C84" s="10">
        <f>CHOOSE(CONTROL!$C$42, 5.4241, 5.4241) * CHOOSE(CONTROL!$C$21, $C$9, 100%, $E$9)</f>
        <v>5.4241000000000001</v>
      </c>
      <c r="D84" s="10">
        <f>CHOOSE(CONTROL!$C$42, 5.4488, 5.4488) * CHOOSE(CONTROL!$C$21, $C$9, 100%, $E$9)</f>
        <v>5.4488000000000003</v>
      </c>
      <c r="E84" s="10">
        <f>CHOOSE(CONTROL!$C$42, 5.4826, 5.4826) * CHOOSE(CONTROL!$C$21, $C$9, 100%, $E$9)</f>
        <v>5.4825999999999997</v>
      </c>
      <c r="F84" s="10">
        <f>CHOOSE(CONTROL!$C$42, 5.3893, 5.3893)*CHOOSE(CONTROL!$C$21, $C$9, 100%, $E$9)</f>
        <v>5.3893000000000004</v>
      </c>
      <c r="G84" s="10">
        <f>CHOOSE(CONTROL!$C$42, 5.4057, 5.4057)*CHOOSE(CONTROL!$C$21, $C$9, 100%, $E$9)</f>
        <v>5.4057000000000004</v>
      </c>
      <c r="H84" s="10">
        <f>CHOOSE(CONTROL!$C$42, 5.4715, 5.4715) * CHOOSE(CONTROL!$C$21, $C$9, 100%, $E$9)</f>
        <v>5.4714999999999998</v>
      </c>
      <c r="I84" s="10">
        <f>CHOOSE(CONTROL!$C$42, 5.434, 5.434)* CHOOSE(CONTROL!$C$21, $C$9, 100%, $E$9)</f>
        <v>5.4340000000000002</v>
      </c>
      <c r="J84" s="10">
        <f>CHOOSE(CONTROL!$C$42, 5.3819, 5.3819)* CHOOSE(CONTROL!$C$21, $C$9, 100%, $E$9)</f>
        <v>5.3818999999999999</v>
      </c>
      <c r="K84" s="10">
        <f>CHOOSE(CONTROL!$C$42, 5.4311, 5.4311) * CHOOSE(CONTROL!$C$21, $C$9, 100%, $E$9)</f>
        <v>5.4310999999999998</v>
      </c>
      <c r="L84" s="10">
        <f>CHOOSE(CONTROL!$C$42, 6.0585, 6.0585) * CHOOSE(CONTROL!$C$21, $C$9, 100%, $E$9)</f>
        <v>6.0585000000000004</v>
      </c>
      <c r="M84" s="10">
        <f>CHOOSE(CONTROL!$C$42, 5.3398, 5.3398) * CHOOSE(CONTROL!$C$21, $C$9, 100%, $E$9)</f>
        <v>5.3398000000000003</v>
      </c>
      <c r="N84" s="10">
        <f>CHOOSE(CONTROL!$C$42, 5.356, 5.356) * CHOOSE(CONTROL!$C$21, $C$9, 100%, $E$9)</f>
        <v>5.3559999999999999</v>
      </c>
      <c r="O84" s="10">
        <f>CHOOSE(CONTROL!$C$42, 5.4282, 5.4282) * CHOOSE(CONTROL!$C$21, $C$9, 100%, $E$9)</f>
        <v>5.4282000000000004</v>
      </c>
      <c r="P84" s="10">
        <f>CHOOSE(CONTROL!$C$42, 5.3913, 5.3913) * CHOOSE(CONTROL!$C$21, $C$9, 100%, $E$9)</f>
        <v>5.3913000000000002</v>
      </c>
      <c r="Q84" s="10">
        <f>CHOOSE(CONTROL!$C$42, 6.0235, 6.0235) * CHOOSE(CONTROL!$C$21, $C$9, 100%, $E$9)</f>
        <v>6.0235000000000003</v>
      </c>
      <c r="R84" s="10">
        <f>CHOOSE(CONTROL!$C$42, 6.6255, 6.6255) * CHOOSE(CONTROL!$C$21, $C$9, 100%, $E$9)</f>
        <v>6.6254999999999997</v>
      </c>
      <c r="S84" s="10">
        <f>CHOOSE(CONTROL!$C$42, 5.2639, 5.2639) * CHOOSE(CONTROL!$C$21, $C$9, 100%, $E$9)</f>
        <v>5.2638999999999996</v>
      </c>
      <c r="T8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4" s="38">
        <f>(1000*CHOOSE(CONTROL!$C$42, 695, 695)*CHOOSE(CONTROL!$C$42, 0.5599, 0.5599)*CHOOSE(CONTROL!$C$42, 31, 31))/1000000</f>
        <v>12.063045499999998</v>
      </c>
      <c r="V84" s="38">
        <f>(1000*CHOOSE(CONTROL!$C$42, 500, 500)*CHOOSE(CONTROL!$C$42, 0.275, 0.275)*CHOOSE(CONTROL!$C$42, 31, 31))/1000000</f>
        <v>4.2625000000000002</v>
      </c>
      <c r="W84" s="38">
        <f>(1000*CHOOSE(CONTROL!$C$42, 0.1146, 0.1146)*CHOOSE(CONTROL!$C$42, 121.5, 121.5)*CHOOSE(CONTROL!$C$42, 31, 31))/1000000</f>
        <v>0.43164089999999994</v>
      </c>
      <c r="X84" s="38">
        <f>(31*0.1790888*100000/1000000)+(31*0.2374*100000/1000000)</f>
        <v>1.2911152800000001</v>
      </c>
      <c r="Y84" s="38">
        <f>(1000*400*CHOOSE(CONTROL!$C$42, 1.988, 1.988)*CHOOSE(CONTROL!$C$42, 31, 31))/1000000</f>
        <v>24.651199999999999</v>
      </c>
      <c r="Z84" s="38"/>
      <c r="AA84" s="10"/>
      <c r="AB84" s="39"/>
      <c r="AC84" s="33">
        <f>(B84*122.58+C84*297.941+D84*89.177+E84*40.302+F84*40+G84*160+H84*0+I84*100+J84*300)/(122.58+297.941+89.177+40.302+0+40+160+100+300)</f>
        <v>5.4136036355652175</v>
      </c>
      <c r="AD84" s="27">
        <f>(M84*'RAP TEMPLATE-GAS AVAILABILITY'!O83+N84*'RAP TEMPLATE-GAS AVAILABILITY'!P83+O84*'RAP TEMPLATE-GAS AVAILABILITY'!Q83+P84*'RAP TEMPLATE-GAS AVAILABILITY'!R83)/('RAP TEMPLATE-GAS AVAILABILITY'!O83+'RAP TEMPLATE-GAS AVAILABILITY'!P83+'RAP TEMPLATE-GAS AVAILABILITY'!Q83+'RAP TEMPLATE-GAS AVAILABILITY'!R83)</f>
        <v>5.3882086330935257</v>
      </c>
    </row>
    <row r="85" spans="1:30" ht="15">
      <c r="A85" s="16">
        <v>43831</v>
      </c>
      <c r="B85" s="10">
        <f>CHOOSE(CONTROL!$C$42, 5.8101, 5.8101) * CHOOSE(CONTROL!$C$21, $C$9, 100%, $E$9)</f>
        <v>5.8101000000000003</v>
      </c>
      <c r="C85" s="10">
        <f>CHOOSE(CONTROL!$C$42, 5.8152, 5.8152) * CHOOSE(CONTROL!$C$21, $C$9, 100%, $E$9)</f>
        <v>5.8151999999999999</v>
      </c>
      <c r="D85" s="10">
        <f>CHOOSE(CONTROL!$C$42, 5.8476, 5.8476) * CHOOSE(CONTROL!$C$21, $C$9, 100%, $E$9)</f>
        <v>5.8475999999999999</v>
      </c>
      <c r="E85" s="10">
        <f>CHOOSE(CONTROL!$C$42, 5.8814, 5.8814) * CHOOSE(CONTROL!$C$21, $C$9, 100%, $E$9)</f>
        <v>5.8814000000000002</v>
      </c>
      <c r="F85" s="10">
        <f>CHOOSE(CONTROL!$C$42, 5.7943, 5.7943)*CHOOSE(CONTROL!$C$21, $C$9, 100%, $E$9)</f>
        <v>5.7942999999999998</v>
      </c>
      <c r="G85" s="10">
        <f>CHOOSE(CONTROL!$C$42, 5.8123, 5.8123)*CHOOSE(CONTROL!$C$21, $C$9, 100%, $E$9)</f>
        <v>5.8122999999999996</v>
      </c>
      <c r="H85" s="10">
        <f>CHOOSE(CONTROL!$C$42, 5.8703, 5.8703) * CHOOSE(CONTROL!$C$21, $C$9, 100%, $E$9)</f>
        <v>5.8703000000000003</v>
      </c>
      <c r="I85" s="10">
        <f>CHOOSE(CONTROL!$C$42, 5.8235, 5.8235)* CHOOSE(CONTROL!$C$21, $C$9, 100%, $E$9)</f>
        <v>5.8235000000000001</v>
      </c>
      <c r="J85" s="10">
        <f>CHOOSE(CONTROL!$C$42, 5.7869, 5.7869)* CHOOSE(CONTROL!$C$21, $C$9, 100%, $E$9)</f>
        <v>5.7869000000000002</v>
      </c>
      <c r="K85" s="10">
        <f>CHOOSE(CONTROL!$C$42, 5.8223, 5.8223) * CHOOSE(CONTROL!$C$21, $C$9, 100%, $E$9)</f>
        <v>5.8223000000000003</v>
      </c>
      <c r="L85" s="10">
        <f>CHOOSE(CONTROL!$C$42, 6.4573, 6.4573) * CHOOSE(CONTROL!$C$21, $C$9, 100%, $E$9)</f>
        <v>6.4573</v>
      </c>
      <c r="M85" s="10">
        <f>CHOOSE(CONTROL!$C$42, 5.7391, 5.7391) * CHOOSE(CONTROL!$C$21, $C$9, 100%, $E$9)</f>
        <v>5.7390999999999996</v>
      </c>
      <c r="N85" s="10">
        <f>CHOOSE(CONTROL!$C$42, 5.7569, 5.7569) * CHOOSE(CONTROL!$C$21, $C$9, 100%, $E$9)</f>
        <v>5.7568999999999999</v>
      </c>
      <c r="O85" s="10">
        <f>CHOOSE(CONTROL!$C$42, 5.8214, 5.8214) * CHOOSE(CONTROL!$C$21, $C$9, 100%, $E$9)</f>
        <v>5.8213999999999997</v>
      </c>
      <c r="P85" s="10">
        <f>CHOOSE(CONTROL!$C$42, 5.7753, 5.7753) * CHOOSE(CONTROL!$C$21, $C$9, 100%, $E$9)</f>
        <v>5.7752999999999997</v>
      </c>
      <c r="Q85" s="10">
        <f>CHOOSE(CONTROL!$C$42, 6.4167, 6.4167) * CHOOSE(CONTROL!$C$21, $C$9, 100%, $E$9)</f>
        <v>6.4166999999999996</v>
      </c>
      <c r="R85" s="10">
        <f>CHOOSE(CONTROL!$C$42, 7.0197, 7.0197) * CHOOSE(CONTROL!$C$21, $C$9, 100%, $E$9)</f>
        <v>7.0197000000000003</v>
      </c>
      <c r="S85" s="10">
        <f>CHOOSE(CONTROL!$C$42, 5.6425, 5.6425) * CHOOSE(CONTROL!$C$21, $C$9, 100%, $E$9)</f>
        <v>5.6425000000000001</v>
      </c>
      <c r="T8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5" s="38">
        <f>(1000*CHOOSE(CONTROL!$C$42, 695, 695)*CHOOSE(CONTROL!$C$42, 0.5599, 0.5599)*CHOOSE(CONTROL!$C$42, 31, 31))/1000000</f>
        <v>12.063045499999998</v>
      </c>
      <c r="V85" s="38">
        <f>(1000*CHOOSE(CONTROL!$C$42, 500, 500)*CHOOSE(CONTROL!$C$42, 0.275, 0.275)*CHOOSE(CONTROL!$C$42, 31, 31))/1000000</f>
        <v>4.2625000000000002</v>
      </c>
      <c r="W85" s="38">
        <f>(1000*CHOOSE(CONTROL!$C$42, 0.1146, 0.1146)*CHOOSE(CONTROL!$C$42, 121.5, 121.5)*CHOOSE(CONTROL!$C$42, 31, 31))/1000000</f>
        <v>0.43164089999999994</v>
      </c>
      <c r="X85" s="38">
        <f>(31*0.1790888*100000/1000000)+(31*0.2374*100000/1000000)</f>
        <v>1.2911152800000001</v>
      </c>
      <c r="Y85" s="38">
        <f>(1000*400*CHOOSE(CONTROL!$C$42, 1.7863, 1.7863)*CHOOSE(CONTROL!$C$42, 31, 31))/1000000</f>
        <v>22.150120000000001</v>
      </c>
      <c r="Z85" s="38"/>
      <c r="AA85" s="10"/>
      <c r="AB85" s="39"/>
      <c r="AC85" s="33">
        <f>(B85*122.58+C85*297.941+D85*89.177+E85*40.302+F85*40+G85*160+H85*0+I85*100+J85*300)/(122.58+297.941+89.177+40.302+0+40+160+100+300)</f>
        <v>5.8116975384347827</v>
      </c>
      <c r="AD85" s="27">
        <f>(M85*'RAP TEMPLATE-GAS AVAILABILITY'!O84+N85*'RAP TEMPLATE-GAS AVAILABILITY'!P84+O85*'RAP TEMPLATE-GAS AVAILABILITY'!Q84+P85*'RAP TEMPLATE-GAS AVAILABILITY'!R84)/('RAP TEMPLATE-GAS AVAILABILITY'!O84+'RAP TEMPLATE-GAS AVAILABILITY'!P84+'RAP TEMPLATE-GAS AVAILABILITY'!Q84+'RAP TEMPLATE-GAS AVAILABILITY'!R84)</f>
        <v>5.7826345323741002</v>
      </c>
    </row>
    <row r="86" spans="1:30" ht="15">
      <c r="A86" s="16">
        <v>43862</v>
      </c>
      <c r="B86" s="10">
        <f>CHOOSE(CONTROL!$C$42, 5.9138, 5.9138) * CHOOSE(CONTROL!$C$21, $C$9, 100%, $E$9)</f>
        <v>5.9138000000000002</v>
      </c>
      <c r="C86" s="10">
        <f>CHOOSE(CONTROL!$C$42, 5.9189, 5.9189) * CHOOSE(CONTROL!$C$21, $C$9, 100%, $E$9)</f>
        <v>5.9188999999999998</v>
      </c>
      <c r="D86" s="10">
        <f>CHOOSE(CONTROL!$C$42, 5.9513, 5.9513) * CHOOSE(CONTROL!$C$21, $C$9, 100%, $E$9)</f>
        <v>5.9512999999999998</v>
      </c>
      <c r="E86" s="10">
        <f>CHOOSE(CONTROL!$C$42, 5.9851, 5.9851) * CHOOSE(CONTROL!$C$21, $C$9, 100%, $E$9)</f>
        <v>5.9851000000000001</v>
      </c>
      <c r="F86" s="10">
        <f>CHOOSE(CONTROL!$C$42, 5.8975, 5.8975)*CHOOSE(CONTROL!$C$21, $C$9, 100%, $E$9)</f>
        <v>5.8975</v>
      </c>
      <c r="G86" s="10">
        <f>CHOOSE(CONTROL!$C$42, 5.9154, 5.9154)*CHOOSE(CONTROL!$C$21, $C$9, 100%, $E$9)</f>
        <v>5.9154</v>
      </c>
      <c r="H86" s="10">
        <f>CHOOSE(CONTROL!$C$42, 5.974, 5.974) * CHOOSE(CONTROL!$C$21, $C$9, 100%, $E$9)</f>
        <v>5.9740000000000002</v>
      </c>
      <c r="I86" s="10">
        <f>CHOOSE(CONTROL!$C$42, 5.9272, 5.9272)* CHOOSE(CONTROL!$C$21, $C$9, 100%, $E$9)</f>
        <v>5.9272</v>
      </c>
      <c r="J86" s="10">
        <f>CHOOSE(CONTROL!$C$42, 5.8901, 5.8901)* CHOOSE(CONTROL!$C$21, $C$9, 100%, $E$9)</f>
        <v>5.8901000000000003</v>
      </c>
      <c r="K86" s="10">
        <f>CHOOSE(CONTROL!$C$42, 5.9218, 5.9218) * CHOOSE(CONTROL!$C$21, $C$9, 100%, $E$9)</f>
        <v>5.9218000000000002</v>
      </c>
      <c r="L86" s="10">
        <f>CHOOSE(CONTROL!$C$42, 6.561, 6.561) * CHOOSE(CONTROL!$C$21, $C$9, 100%, $E$9)</f>
        <v>6.5609999999999999</v>
      </c>
      <c r="M86" s="10">
        <f>CHOOSE(CONTROL!$C$42, 5.841, 5.841) * CHOOSE(CONTROL!$C$21, $C$9, 100%, $E$9)</f>
        <v>5.8410000000000002</v>
      </c>
      <c r="N86" s="10">
        <f>CHOOSE(CONTROL!$C$42, 5.8586, 5.8586) * CHOOSE(CONTROL!$C$21, $C$9, 100%, $E$9)</f>
        <v>5.8586</v>
      </c>
      <c r="O86" s="10">
        <f>CHOOSE(CONTROL!$C$42, 5.9237, 5.9237) * CHOOSE(CONTROL!$C$21, $C$9, 100%, $E$9)</f>
        <v>5.9237000000000002</v>
      </c>
      <c r="P86" s="10">
        <f>CHOOSE(CONTROL!$C$42, 5.8776, 5.8776) * CHOOSE(CONTROL!$C$21, $C$9, 100%, $E$9)</f>
        <v>5.8776000000000002</v>
      </c>
      <c r="Q86" s="10">
        <f>CHOOSE(CONTROL!$C$42, 6.519, 6.519) * CHOOSE(CONTROL!$C$21, $C$9, 100%, $E$9)</f>
        <v>6.5190000000000001</v>
      </c>
      <c r="R86" s="10">
        <f>CHOOSE(CONTROL!$C$42, 7.1223, 7.1223) * CHOOSE(CONTROL!$C$21, $C$9, 100%, $E$9)</f>
        <v>7.1223000000000001</v>
      </c>
      <c r="S86" s="10">
        <f>CHOOSE(CONTROL!$C$42, 5.743, 5.743) * CHOOSE(CONTROL!$C$21, $C$9, 100%, $E$9)</f>
        <v>5.7430000000000003</v>
      </c>
      <c r="T86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86" s="38">
        <f>(1000*CHOOSE(CONTROL!$C$42, 695, 695)*CHOOSE(CONTROL!$C$42, 0.5599, 0.5599)*CHOOSE(CONTROL!$C$42, 29, 29))/1000000</f>
        <v>11.284784499999999</v>
      </c>
      <c r="V86" s="38">
        <f>(1000*CHOOSE(CONTROL!$C$42, 500, 500)*CHOOSE(CONTROL!$C$42, 0.275, 0.275)*CHOOSE(CONTROL!$C$42, 29, 29))/1000000</f>
        <v>3.9874999999999998</v>
      </c>
      <c r="W86" s="38">
        <f>(1000*CHOOSE(CONTROL!$C$42, 0.1146, 0.1146)*CHOOSE(CONTROL!$C$42, 121.5, 121.5)*CHOOSE(CONTROL!$C$42, 29, 29))/1000000</f>
        <v>0.40379309999999996</v>
      </c>
      <c r="X86" s="38">
        <f>(29*0.1790888*100000/1000000)+(29*0.2374*100000/1000000)</f>
        <v>1.2078175199999999</v>
      </c>
      <c r="Y86" s="38">
        <f>(1000*400*CHOOSE(CONTROL!$C$42, 1.7863, 1.7863)*CHOOSE(CONTROL!$C$42, 29, 29))/1000000</f>
        <v>20.721080000000001</v>
      </c>
      <c r="Z86" s="38"/>
      <c r="AA86" s="10"/>
      <c r="AB86" s="39"/>
      <c r="AC86" s="33">
        <f>(B86*122.58+C86*297.941+D86*89.177+E86*40.302+F86*40+G86*160+H86*0+I86*100+J86*300)/(122.58+297.941+89.177+40.302+0+40+160+100+300)</f>
        <v>5.9151662340869562</v>
      </c>
      <c r="AD86" s="27">
        <f>(M86*'RAP TEMPLATE-GAS AVAILABILITY'!O85+N86*'RAP TEMPLATE-GAS AVAILABILITY'!P85+O86*'RAP TEMPLATE-GAS AVAILABILITY'!Q85+P86*'RAP TEMPLATE-GAS AVAILABILITY'!R85)/('RAP TEMPLATE-GAS AVAILABILITY'!O85+'RAP TEMPLATE-GAS AVAILABILITY'!P85+'RAP TEMPLATE-GAS AVAILABILITY'!Q85+'RAP TEMPLATE-GAS AVAILABILITY'!R85)</f>
        <v>5.8847618705035982</v>
      </c>
    </row>
    <row r="87" spans="1:30" ht="15">
      <c r="A87" s="16">
        <v>43891</v>
      </c>
      <c r="B87" s="10">
        <f>CHOOSE(CONTROL!$C$42, 5.7454, 5.7454) * CHOOSE(CONTROL!$C$21, $C$9, 100%, $E$9)</f>
        <v>5.7454000000000001</v>
      </c>
      <c r="C87" s="10">
        <f>CHOOSE(CONTROL!$C$42, 5.7505, 5.7505) * CHOOSE(CONTROL!$C$21, $C$9, 100%, $E$9)</f>
        <v>5.7504999999999997</v>
      </c>
      <c r="D87" s="10">
        <f>CHOOSE(CONTROL!$C$42, 5.783, 5.783) * CHOOSE(CONTROL!$C$21, $C$9, 100%, $E$9)</f>
        <v>5.7830000000000004</v>
      </c>
      <c r="E87" s="10">
        <f>CHOOSE(CONTROL!$C$42, 5.8168, 5.8168) * CHOOSE(CONTROL!$C$21, $C$9, 100%, $E$9)</f>
        <v>5.8167999999999997</v>
      </c>
      <c r="F87" s="10">
        <f>CHOOSE(CONTROL!$C$42, 5.7277, 5.7277)*CHOOSE(CONTROL!$C$21, $C$9, 100%, $E$9)</f>
        <v>5.7276999999999996</v>
      </c>
      <c r="G87" s="10">
        <f>CHOOSE(CONTROL!$C$42, 5.7452, 5.7452)*CHOOSE(CONTROL!$C$21, $C$9, 100%, $E$9)</f>
        <v>5.7451999999999996</v>
      </c>
      <c r="H87" s="10">
        <f>CHOOSE(CONTROL!$C$42, 5.8056, 5.8056) * CHOOSE(CONTROL!$C$21, $C$9, 100%, $E$9)</f>
        <v>5.8056000000000001</v>
      </c>
      <c r="I87" s="10">
        <f>CHOOSE(CONTROL!$C$42, 5.7589, 5.7589)* CHOOSE(CONTROL!$C$21, $C$9, 100%, $E$9)</f>
        <v>5.7588999999999997</v>
      </c>
      <c r="J87" s="10">
        <f>CHOOSE(CONTROL!$C$42, 5.7203, 5.7203)* CHOOSE(CONTROL!$C$21, $C$9, 100%, $E$9)</f>
        <v>5.7202999999999999</v>
      </c>
      <c r="K87" s="10">
        <f>CHOOSE(CONTROL!$C$42, 5.7556, 5.7556) * CHOOSE(CONTROL!$C$21, $C$9, 100%, $E$9)</f>
        <v>5.7556000000000003</v>
      </c>
      <c r="L87" s="10">
        <f>CHOOSE(CONTROL!$C$42, 6.3926, 6.3926) * CHOOSE(CONTROL!$C$21, $C$9, 100%, $E$9)</f>
        <v>6.3925999999999998</v>
      </c>
      <c r="M87" s="10">
        <f>CHOOSE(CONTROL!$C$42, 5.6735, 5.6735) * CHOOSE(CONTROL!$C$21, $C$9, 100%, $E$9)</f>
        <v>5.6734999999999998</v>
      </c>
      <c r="N87" s="10">
        <f>CHOOSE(CONTROL!$C$42, 5.6908, 5.6908) * CHOOSE(CONTROL!$C$21, $C$9, 100%, $E$9)</f>
        <v>5.6908000000000003</v>
      </c>
      <c r="O87" s="10">
        <f>CHOOSE(CONTROL!$C$42, 5.7577, 5.7577) * CHOOSE(CONTROL!$C$21, $C$9, 100%, $E$9)</f>
        <v>5.7576999999999998</v>
      </c>
      <c r="P87" s="10">
        <f>CHOOSE(CONTROL!$C$42, 5.7116, 5.7116) * CHOOSE(CONTROL!$C$21, $C$9, 100%, $E$9)</f>
        <v>5.7115999999999998</v>
      </c>
      <c r="Q87" s="10">
        <f>CHOOSE(CONTROL!$C$42, 6.353, 6.353) * CHOOSE(CONTROL!$C$21, $C$9, 100%, $E$9)</f>
        <v>6.3529999999999998</v>
      </c>
      <c r="R87" s="10">
        <f>CHOOSE(CONTROL!$C$42, 6.9558, 6.9558) * CHOOSE(CONTROL!$C$21, $C$9, 100%, $E$9)</f>
        <v>6.9558</v>
      </c>
      <c r="S87" s="10">
        <f>CHOOSE(CONTROL!$C$42, 5.5799, 5.5799) * CHOOSE(CONTROL!$C$21, $C$9, 100%, $E$9)</f>
        <v>5.5799000000000003</v>
      </c>
      <c r="T8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7" s="38">
        <f>(1000*CHOOSE(CONTROL!$C$42, 695, 695)*CHOOSE(CONTROL!$C$42, 0.5599, 0.5599)*CHOOSE(CONTROL!$C$42, 31, 31))/1000000</f>
        <v>12.063045499999998</v>
      </c>
      <c r="V87" s="38">
        <f>(1000*CHOOSE(CONTROL!$C$42, 500, 500)*CHOOSE(CONTROL!$C$42, 0.275, 0.275)*CHOOSE(CONTROL!$C$42, 31, 31))/1000000</f>
        <v>4.2625000000000002</v>
      </c>
      <c r="W87" s="38">
        <f>(1000*CHOOSE(CONTROL!$C$42, 0.1146, 0.1146)*CHOOSE(CONTROL!$C$42, 121.5, 121.5)*CHOOSE(CONTROL!$C$42, 31, 31))/1000000</f>
        <v>0.43164089999999994</v>
      </c>
      <c r="X87" s="38">
        <f>(31*0.1790888*100000/1000000)+(31*0.2374*100000/1000000)</f>
        <v>1.2911152800000001</v>
      </c>
      <c r="Y87" s="38">
        <f>(1000*400*CHOOSE(CONTROL!$C$42, 1.7863, 1.7863)*CHOOSE(CONTROL!$C$42, 31, 31))/1000000</f>
        <v>22.150120000000001</v>
      </c>
      <c r="Z87" s="38"/>
      <c r="AA87" s="10"/>
      <c r="AB87" s="39"/>
      <c r="AC87" s="33">
        <f>(B87*122.58+C87*297.941+D87*89.177+E87*40.302+F87*40+G87*160+H87*0+I87*100+J87*300)/(122.58+297.941+89.177+40.302+0+40+160+100+300)</f>
        <v>5.7461218409565218</v>
      </c>
      <c r="AD87" s="27">
        <f>(M87*'RAP TEMPLATE-GAS AVAILABILITY'!O86+N87*'RAP TEMPLATE-GAS AVAILABILITY'!P86+O87*'RAP TEMPLATE-GAS AVAILABILITY'!Q86+P87*'RAP TEMPLATE-GAS AVAILABILITY'!R86)/('RAP TEMPLATE-GAS AVAILABILITY'!O86+'RAP TEMPLATE-GAS AVAILABILITY'!P86+'RAP TEMPLATE-GAS AVAILABILITY'!Q86+'RAP TEMPLATE-GAS AVAILABILITY'!R86)</f>
        <v>5.718140287769784</v>
      </c>
    </row>
    <row r="88" spans="1:30" ht="15">
      <c r="A88" s="16">
        <v>43922</v>
      </c>
      <c r="B88" s="10">
        <f>CHOOSE(CONTROL!$C$42, 5.7289, 5.7289) * CHOOSE(CONTROL!$C$21, $C$9, 100%, $E$9)</f>
        <v>5.7289000000000003</v>
      </c>
      <c r="C88" s="10">
        <f>CHOOSE(CONTROL!$C$42, 5.7335, 5.7335) * CHOOSE(CONTROL!$C$21, $C$9, 100%, $E$9)</f>
        <v>5.7335000000000003</v>
      </c>
      <c r="D88" s="10">
        <f>CHOOSE(CONTROL!$C$42, 5.8936, 5.8936) * CHOOSE(CONTROL!$C$21, $C$9, 100%, $E$9)</f>
        <v>5.8936000000000002</v>
      </c>
      <c r="E88" s="10">
        <f>CHOOSE(CONTROL!$C$42, 5.9254, 5.9254) * CHOOSE(CONTROL!$C$21, $C$9, 100%, $E$9)</f>
        <v>5.9253999999999998</v>
      </c>
      <c r="F88" s="10">
        <f>CHOOSE(CONTROL!$C$42, 5.675, 5.675)*CHOOSE(CONTROL!$C$21, $C$9, 100%, $E$9)</f>
        <v>5.6749999999999998</v>
      </c>
      <c r="G88" s="10">
        <f>CHOOSE(CONTROL!$C$42, 5.6909, 5.6909)*CHOOSE(CONTROL!$C$21, $C$9, 100%, $E$9)</f>
        <v>5.6909000000000001</v>
      </c>
      <c r="H88" s="10">
        <f>CHOOSE(CONTROL!$C$42, 5.9149, 5.9149) * CHOOSE(CONTROL!$C$21, $C$9, 100%, $E$9)</f>
        <v>5.9149000000000003</v>
      </c>
      <c r="I88" s="10">
        <f>CHOOSE(CONTROL!$C$42, 5.7091, 5.7091)* CHOOSE(CONTROL!$C$21, $C$9, 100%, $E$9)</f>
        <v>5.7091000000000003</v>
      </c>
      <c r="J88" s="10">
        <f>CHOOSE(CONTROL!$C$42, 5.6676, 5.6676)* CHOOSE(CONTROL!$C$21, $C$9, 100%, $E$9)</f>
        <v>5.6676000000000002</v>
      </c>
      <c r="K88" s="10">
        <f>CHOOSE(CONTROL!$C$42, 5.6914, 5.6914) * CHOOSE(CONTROL!$C$21, $C$9, 100%, $E$9)</f>
        <v>5.6913999999999998</v>
      </c>
      <c r="L88" s="10">
        <f>CHOOSE(CONTROL!$C$42, 6.5019, 6.5019) * CHOOSE(CONTROL!$C$21, $C$9, 100%, $E$9)</f>
        <v>6.5019</v>
      </c>
      <c r="M88" s="10">
        <f>CHOOSE(CONTROL!$C$42, 5.6216, 5.6216) * CHOOSE(CONTROL!$C$21, $C$9, 100%, $E$9)</f>
        <v>5.6215999999999999</v>
      </c>
      <c r="N88" s="10">
        <f>CHOOSE(CONTROL!$C$42, 5.6372, 5.6372) * CHOOSE(CONTROL!$C$21, $C$9, 100%, $E$9)</f>
        <v>5.6372</v>
      </c>
      <c r="O88" s="10">
        <f>CHOOSE(CONTROL!$C$42, 5.8654, 5.8654) * CHOOSE(CONTROL!$C$21, $C$9, 100%, $E$9)</f>
        <v>5.8654000000000002</v>
      </c>
      <c r="P88" s="10">
        <f>CHOOSE(CONTROL!$C$42, 5.6625, 5.6625) * CHOOSE(CONTROL!$C$21, $C$9, 100%, $E$9)</f>
        <v>5.6624999999999996</v>
      </c>
      <c r="Q88" s="10">
        <f>CHOOSE(CONTROL!$C$42, 6.4607, 6.4607) * CHOOSE(CONTROL!$C$21, $C$9, 100%, $E$9)</f>
        <v>6.4607000000000001</v>
      </c>
      <c r="R88" s="10">
        <f>CHOOSE(CONTROL!$C$42, 7.0639, 7.0639) * CHOOSE(CONTROL!$C$21, $C$9, 100%, $E$9)</f>
        <v>7.0639000000000003</v>
      </c>
      <c r="S88" s="10">
        <f>CHOOSE(CONTROL!$C$42, 5.5632, 5.5632) * CHOOSE(CONTROL!$C$21, $C$9, 100%, $E$9)</f>
        <v>5.5632000000000001</v>
      </c>
      <c r="T8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8" s="38">
        <f>(1000*CHOOSE(CONTROL!$C$42, 695, 695)*CHOOSE(CONTROL!$C$42, 0.5599, 0.5599)*CHOOSE(CONTROL!$C$42, 30, 30))/1000000</f>
        <v>11.673914999999997</v>
      </c>
      <c r="V88" s="38">
        <f>(1000*CHOOSE(CONTROL!$C$42, 500, 500)*CHOOSE(CONTROL!$C$42, 0.275, 0.275)*CHOOSE(CONTROL!$C$42, 30, 30))/1000000</f>
        <v>4.125</v>
      </c>
      <c r="W88" s="38">
        <f>(1000*CHOOSE(CONTROL!$C$42, 0.1146, 0.1146)*CHOOSE(CONTROL!$C$42, 121.5, 121.5)*CHOOSE(CONTROL!$C$42, 30, 30))/1000000</f>
        <v>0.417717</v>
      </c>
      <c r="X88" s="38">
        <f>(30*0.1790888*245000/1000000)+(30*0.2374*100000/1000000)</f>
        <v>2.0285026799999999</v>
      </c>
      <c r="Y88" s="38">
        <f>(1000*400*CHOOSE(CONTROL!$C$42, 1.7863, 1.7863)*CHOOSE(CONTROL!$C$42, 30, 30))/1000000</f>
        <v>21.435600000000001</v>
      </c>
      <c r="Z88" s="38"/>
      <c r="AA88" s="10"/>
      <c r="AB88" s="39"/>
      <c r="AC88" s="33">
        <f>(B88*141.293+C88*267.993+D88*115.016+E88*89.698+F88*40+G88*185+H88*0+I88*100+J88*300)/(141.293+267.993+115.016+89.698+0+40+185+100+300)</f>
        <v>5.7355550121065368</v>
      </c>
      <c r="AD88" s="27">
        <f>(M88*'RAP TEMPLATE-GAS AVAILABILITY'!O87+N88*'RAP TEMPLATE-GAS AVAILABILITY'!P87+O88*'RAP TEMPLATE-GAS AVAILABILITY'!Q87+P88*'RAP TEMPLATE-GAS AVAILABILITY'!R87)/('RAP TEMPLATE-GAS AVAILABILITY'!O87+'RAP TEMPLATE-GAS AVAILABILITY'!P87+'RAP TEMPLATE-GAS AVAILABILITY'!Q87+'RAP TEMPLATE-GAS AVAILABILITY'!R87)</f>
        <v>5.6994805755395683</v>
      </c>
    </row>
    <row r="89" spans="1:30" ht="15">
      <c r="A89" s="16">
        <v>43952</v>
      </c>
      <c r="B89" s="10">
        <f>CHOOSE(CONTROL!$C$42, 5.7815, 5.7815) * CHOOSE(CONTROL!$C$21, $C$9, 100%, $E$9)</f>
        <v>5.7815000000000003</v>
      </c>
      <c r="C89" s="10">
        <f>CHOOSE(CONTROL!$C$42, 5.7895, 5.7895) * CHOOSE(CONTROL!$C$21, $C$9, 100%, $E$9)</f>
        <v>5.7895000000000003</v>
      </c>
      <c r="D89" s="10">
        <f>CHOOSE(CONTROL!$C$42, 5.9465, 5.9465) * CHOOSE(CONTROL!$C$21, $C$9, 100%, $E$9)</f>
        <v>5.9465000000000003</v>
      </c>
      <c r="E89" s="10">
        <f>CHOOSE(CONTROL!$C$42, 5.9777, 5.9777) * CHOOSE(CONTROL!$C$21, $C$9, 100%, $E$9)</f>
        <v>5.9776999999999996</v>
      </c>
      <c r="F89" s="10">
        <f>CHOOSE(CONTROL!$C$42, 5.7256, 5.7256)*CHOOSE(CONTROL!$C$21, $C$9, 100%, $E$9)</f>
        <v>5.7256</v>
      </c>
      <c r="G89" s="10">
        <f>CHOOSE(CONTROL!$C$42, 5.7417, 5.7417)*CHOOSE(CONTROL!$C$21, $C$9, 100%, $E$9)</f>
        <v>5.7416999999999998</v>
      </c>
      <c r="H89" s="10">
        <f>CHOOSE(CONTROL!$C$42, 5.966, 5.966) * CHOOSE(CONTROL!$C$21, $C$9, 100%, $E$9)</f>
        <v>5.9660000000000002</v>
      </c>
      <c r="I89" s="10">
        <f>CHOOSE(CONTROL!$C$42, 5.7602, 5.7602)* CHOOSE(CONTROL!$C$21, $C$9, 100%, $E$9)</f>
        <v>5.7602000000000002</v>
      </c>
      <c r="J89" s="10">
        <f>CHOOSE(CONTROL!$C$42, 5.7182, 5.7182)* CHOOSE(CONTROL!$C$21, $C$9, 100%, $E$9)</f>
        <v>5.7182000000000004</v>
      </c>
      <c r="K89" s="10">
        <f>CHOOSE(CONTROL!$C$42, 5.7396, 5.7396) * CHOOSE(CONTROL!$C$21, $C$9, 100%, $E$9)</f>
        <v>5.7396000000000003</v>
      </c>
      <c r="L89" s="10">
        <f>CHOOSE(CONTROL!$C$42, 6.553, 6.553) * CHOOSE(CONTROL!$C$21, $C$9, 100%, $E$9)</f>
        <v>6.5529999999999999</v>
      </c>
      <c r="M89" s="10">
        <f>CHOOSE(CONTROL!$C$42, 5.6714, 5.6714) * CHOOSE(CONTROL!$C$21, $C$9, 100%, $E$9)</f>
        <v>5.6714000000000002</v>
      </c>
      <c r="N89" s="10">
        <f>CHOOSE(CONTROL!$C$42, 5.6873, 5.6873) * CHOOSE(CONTROL!$C$21, $C$9, 100%, $E$9)</f>
        <v>5.6872999999999996</v>
      </c>
      <c r="O89" s="10">
        <f>CHOOSE(CONTROL!$C$42, 5.9158, 5.9158) * CHOOSE(CONTROL!$C$21, $C$9, 100%, $E$9)</f>
        <v>5.9157999999999999</v>
      </c>
      <c r="P89" s="10">
        <f>CHOOSE(CONTROL!$C$42, 5.713, 5.713) * CHOOSE(CONTROL!$C$21, $C$9, 100%, $E$9)</f>
        <v>5.7130000000000001</v>
      </c>
      <c r="Q89" s="10">
        <f>CHOOSE(CONTROL!$C$42, 6.5111, 6.5111) * CHOOSE(CONTROL!$C$21, $C$9, 100%, $E$9)</f>
        <v>6.5110999999999999</v>
      </c>
      <c r="R89" s="10">
        <f>CHOOSE(CONTROL!$C$42, 7.1144, 7.1144) * CHOOSE(CONTROL!$C$21, $C$9, 100%, $E$9)</f>
        <v>7.1143999999999998</v>
      </c>
      <c r="S89" s="10">
        <f>CHOOSE(CONTROL!$C$42, 5.6128, 5.6128) * CHOOSE(CONTROL!$C$21, $C$9, 100%, $E$9)</f>
        <v>5.6128</v>
      </c>
      <c r="T8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9" s="38">
        <f>(1000*CHOOSE(CONTROL!$C$42, 695, 695)*CHOOSE(CONTROL!$C$42, 0.5599, 0.5599)*CHOOSE(CONTROL!$C$42, 31, 31))/1000000</f>
        <v>12.063045499999998</v>
      </c>
      <c r="V89" s="38">
        <f>(1000*CHOOSE(CONTROL!$C$42, 500, 500)*CHOOSE(CONTROL!$C$42, 0.275, 0.275)*CHOOSE(CONTROL!$C$42, 31, 31))/1000000</f>
        <v>4.2625000000000002</v>
      </c>
      <c r="W89" s="38">
        <f>(1000*CHOOSE(CONTROL!$C$42, 0.1146, 0.1146)*CHOOSE(CONTROL!$C$42, 121.5, 121.5)*CHOOSE(CONTROL!$C$42, 31, 31))/1000000</f>
        <v>0.43164089999999994</v>
      </c>
      <c r="X89" s="38">
        <f>(31*0.1790888*245000/1000000)+(31*0.2374*100000/1000000)</f>
        <v>2.0961194359999999</v>
      </c>
      <c r="Y89" s="38">
        <f>(1000*600*CHOOSE(CONTROL!$C$42, 1.7863, 1.7863)*CHOOSE(CONTROL!$C$42, 31, 31))/1000000</f>
        <v>33.225180000000002</v>
      </c>
      <c r="Z89" s="38"/>
      <c r="AA89" s="10"/>
      <c r="AB89" s="39"/>
      <c r="AC89" s="33">
        <f>(B89*194.205+C89*267.466+D89*133.845+E89*53.484+F89*40+G89*185+H89*0+I89*100+J89*300)/(194.205+267.466+133.845+53.484+0+40+185+100+300)</f>
        <v>5.7846387078492931</v>
      </c>
      <c r="AD89" s="27">
        <f>(M89*'RAP TEMPLATE-GAS AVAILABILITY'!O88+N89*'RAP TEMPLATE-GAS AVAILABILITY'!P88+O89*'RAP TEMPLATE-GAS AVAILABILITY'!Q88+P89*'RAP TEMPLATE-GAS AVAILABILITY'!R88)/('RAP TEMPLATE-GAS AVAILABILITY'!O88+'RAP TEMPLATE-GAS AVAILABILITY'!P88+'RAP TEMPLATE-GAS AVAILABILITY'!Q88+'RAP TEMPLATE-GAS AVAILABILITY'!R88)</f>
        <v>5.7496187050359708</v>
      </c>
    </row>
    <row r="90" spans="1:30" ht="15">
      <c r="A90" s="16">
        <v>43983</v>
      </c>
      <c r="B90" s="10">
        <f>CHOOSE(CONTROL!$C$42, 5.9458, 5.9458) * CHOOSE(CONTROL!$C$21, $C$9, 100%, $E$9)</f>
        <v>5.9458000000000002</v>
      </c>
      <c r="C90" s="10">
        <f>CHOOSE(CONTROL!$C$42, 5.9538, 5.9538) * CHOOSE(CONTROL!$C$21, $C$9, 100%, $E$9)</f>
        <v>5.9538000000000002</v>
      </c>
      <c r="D90" s="10">
        <f>CHOOSE(CONTROL!$C$42, 6.1109, 6.1109) * CHOOSE(CONTROL!$C$21, $C$9, 100%, $E$9)</f>
        <v>6.1109</v>
      </c>
      <c r="E90" s="10">
        <f>CHOOSE(CONTROL!$C$42, 6.1421, 6.1421) * CHOOSE(CONTROL!$C$21, $C$9, 100%, $E$9)</f>
        <v>6.1421000000000001</v>
      </c>
      <c r="F90" s="10">
        <f>CHOOSE(CONTROL!$C$42, 5.8902, 5.8902)*CHOOSE(CONTROL!$C$21, $C$9, 100%, $E$9)</f>
        <v>5.8902000000000001</v>
      </c>
      <c r="G90" s="10">
        <f>CHOOSE(CONTROL!$C$42, 5.9063, 5.9063)*CHOOSE(CONTROL!$C$21, $C$9, 100%, $E$9)</f>
        <v>5.9062999999999999</v>
      </c>
      <c r="H90" s="10">
        <f>CHOOSE(CONTROL!$C$42, 6.1304, 6.1304) * CHOOSE(CONTROL!$C$21, $C$9, 100%, $E$9)</f>
        <v>6.1303999999999998</v>
      </c>
      <c r="I90" s="10">
        <f>CHOOSE(CONTROL!$C$42, 5.9246, 5.9246)* CHOOSE(CONTROL!$C$21, $C$9, 100%, $E$9)</f>
        <v>5.9245999999999999</v>
      </c>
      <c r="J90" s="10">
        <f>CHOOSE(CONTROL!$C$42, 5.8828, 5.8828)* CHOOSE(CONTROL!$C$21, $C$9, 100%, $E$9)</f>
        <v>5.8827999999999996</v>
      </c>
      <c r="K90" s="10">
        <f>CHOOSE(CONTROL!$C$42, 5.8993, 5.8993) * CHOOSE(CONTROL!$C$21, $C$9, 100%, $E$9)</f>
        <v>5.8993000000000002</v>
      </c>
      <c r="L90" s="10">
        <f>CHOOSE(CONTROL!$C$42, 6.7174, 6.7174) * CHOOSE(CONTROL!$C$21, $C$9, 100%, $E$9)</f>
        <v>6.7173999999999996</v>
      </c>
      <c r="M90" s="10">
        <f>CHOOSE(CONTROL!$C$42, 5.8337, 5.8337) * CHOOSE(CONTROL!$C$21, $C$9, 100%, $E$9)</f>
        <v>5.8337000000000003</v>
      </c>
      <c r="N90" s="10">
        <f>CHOOSE(CONTROL!$C$42, 5.8497, 5.8497) * CHOOSE(CONTROL!$C$21, $C$9, 100%, $E$9)</f>
        <v>5.8497000000000003</v>
      </c>
      <c r="O90" s="10">
        <f>CHOOSE(CONTROL!$C$42, 6.0779, 6.0779) * CHOOSE(CONTROL!$C$21, $C$9, 100%, $E$9)</f>
        <v>6.0778999999999996</v>
      </c>
      <c r="P90" s="10">
        <f>CHOOSE(CONTROL!$C$42, 5.875, 5.875) * CHOOSE(CONTROL!$C$21, $C$9, 100%, $E$9)</f>
        <v>5.875</v>
      </c>
      <c r="Q90" s="10">
        <f>CHOOSE(CONTROL!$C$42, 6.6732, 6.6732) * CHOOSE(CONTROL!$C$21, $C$9, 100%, $E$9)</f>
        <v>6.6731999999999996</v>
      </c>
      <c r="R90" s="10">
        <f>CHOOSE(CONTROL!$C$42, 7.2769, 7.2769) * CHOOSE(CONTROL!$C$21, $C$9, 100%, $E$9)</f>
        <v>7.2769000000000004</v>
      </c>
      <c r="S90" s="10">
        <f>CHOOSE(CONTROL!$C$42, 5.772, 5.772) * CHOOSE(CONTROL!$C$21, $C$9, 100%, $E$9)</f>
        <v>5.7720000000000002</v>
      </c>
      <c r="T9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0" s="38">
        <f>(1000*CHOOSE(CONTROL!$C$42, 695, 695)*CHOOSE(CONTROL!$C$42, 0.5599, 0.5599)*CHOOSE(CONTROL!$C$42, 30, 30))/1000000</f>
        <v>11.673914999999997</v>
      </c>
      <c r="V90" s="38">
        <f>(1000*CHOOSE(CONTROL!$C$42, 500, 500)*CHOOSE(CONTROL!$C$42, 0.275, 0.275)*CHOOSE(CONTROL!$C$42, 30, 30))/1000000</f>
        <v>4.125</v>
      </c>
      <c r="W90" s="38">
        <f>(1000*CHOOSE(CONTROL!$C$42, 0.1146, 0.1146)*CHOOSE(CONTROL!$C$42, 121.5, 121.5)*CHOOSE(CONTROL!$C$42, 30, 30))/1000000</f>
        <v>0.417717</v>
      </c>
      <c r="X90" s="38">
        <f>(30*0.1790888*245000/1000000)+(30*0.2374*100000/1000000)</f>
        <v>2.0285026799999999</v>
      </c>
      <c r="Y90" s="38">
        <f>(1000*600*CHOOSE(CONTROL!$C$42, 1.7863, 1.7863)*CHOOSE(CONTROL!$C$42, 30, 30))/1000000</f>
        <v>32.153399999999998</v>
      </c>
      <c r="Z90" s="38"/>
      <c r="AA90" s="10"/>
      <c r="AB90" s="39"/>
      <c r="AC90" s="33">
        <f>(B90*194.205+C90*267.466+D90*133.845+E90*53.484+F90*40+G90*185+H90*0+I90*100+J90*300)/(194.205+267.466+133.845+53.484+0+40+185+100+300)</f>
        <v>5.9490848875196232</v>
      </c>
      <c r="AD90" s="27">
        <f>(M90*'RAP TEMPLATE-GAS AVAILABILITY'!O89+N90*'RAP TEMPLATE-GAS AVAILABILITY'!P89+O90*'RAP TEMPLATE-GAS AVAILABILITY'!Q89+P90*'RAP TEMPLATE-GAS AVAILABILITY'!R89)/('RAP TEMPLATE-GAS AVAILABILITY'!O89+'RAP TEMPLATE-GAS AVAILABILITY'!P89+'RAP TEMPLATE-GAS AVAILABILITY'!Q89+'RAP TEMPLATE-GAS AVAILABILITY'!R89)</f>
        <v>5.9118424460431651</v>
      </c>
    </row>
    <row r="91" spans="1:30" ht="15">
      <c r="A91" s="16">
        <v>44013</v>
      </c>
      <c r="B91" s="10">
        <f>CHOOSE(CONTROL!$C$42, 5.8315, 5.8315) * CHOOSE(CONTROL!$C$21, $C$9, 100%, $E$9)</f>
        <v>5.8315000000000001</v>
      </c>
      <c r="C91" s="10">
        <f>CHOOSE(CONTROL!$C$42, 5.8395, 5.8395) * CHOOSE(CONTROL!$C$21, $C$9, 100%, $E$9)</f>
        <v>5.8395000000000001</v>
      </c>
      <c r="D91" s="10">
        <f>CHOOSE(CONTROL!$C$42, 5.9966, 5.9966) * CHOOSE(CONTROL!$C$21, $C$9, 100%, $E$9)</f>
        <v>5.9965999999999999</v>
      </c>
      <c r="E91" s="10">
        <f>CHOOSE(CONTROL!$C$42, 6.0278, 6.0278) * CHOOSE(CONTROL!$C$21, $C$9, 100%, $E$9)</f>
        <v>6.0278</v>
      </c>
      <c r="F91" s="10">
        <f>CHOOSE(CONTROL!$C$42, 5.7762, 5.7762)*CHOOSE(CONTROL!$C$21, $C$9, 100%, $E$9)</f>
        <v>5.7762000000000002</v>
      </c>
      <c r="G91" s="10">
        <f>CHOOSE(CONTROL!$C$42, 5.7924, 5.7924)*CHOOSE(CONTROL!$C$21, $C$9, 100%, $E$9)</f>
        <v>5.7923999999999998</v>
      </c>
      <c r="H91" s="10">
        <f>CHOOSE(CONTROL!$C$42, 6.0161, 6.0161) * CHOOSE(CONTROL!$C$21, $C$9, 100%, $E$9)</f>
        <v>6.0160999999999998</v>
      </c>
      <c r="I91" s="10">
        <f>CHOOSE(CONTROL!$C$42, 5.8103, 5.8103)* CHOOSE(CONTROL!$C$21, $C$9, 100%, $E$9)</f>
        <v>5.8102999999999998</v>
      </c>
      <c r="J91" s="10">
        <f>CHOOSE(CONTROL!$C$42, 5.7688, 5.7688)* CHOOSE(CONTROL!$C$21, $C$9, 100%, $E$9)</f>
        <v>5.7687999999999997</v>
      </c>
      <c r="K91" s="10">
        <f>CHOOSE(CONTROL!$C$42, 5.7892, 5.7892) * CHOOSE(CONTROL!$C$21, $C$9, 100%, $E$9)</f>
        <v>5.7892000000000001</v>
      </c>
      <c r="L91" s="10">
        <f>CHOOSE(CONTROL!$C$42, 6.6031, 6.6031) * CHOOSE(CONTROL!$C$21, $C$9, 100%, $E$9)</f>
        <v>6.6031000000000004</v>
      </c>
      <c r="M91" s="10">
        <f>CHOOSE(CONTROL!$C$42, 5.7213, 5.7213) * CHOOSE(CONTROL!$C$21, $C$9, 100%, $E$9)</f>
        <v>5.7213000000000003</v>
      </c>
      <c r="N91" s="10">
        <f>CHOOSE(CONTROL!$C$42, 5.7373, 5.7373) * CHOOSE(CONTROL!$C$21, $C$9, 100%, $E$9)</f>
        <v>5.7373000000000003</v>
      </c>
      <c r="O91" s="10">
        <f>CHOOSE(CONTROL!$C$42, 5.9652, 5.9652) * CHOOSE(CONTROL!$C$21, $C$9, 100%, $E$9)</f>
        <v>5.9652000000000003</v>
      </c>
      <c r="P91" s="10">
        <f>CHOOSE(CONTROL!$C$42, 5.7623, 5.7623) * CHOOSE(CONTROL!$C$21, $C$9, 100%, $E$9)</f>
        <v>5.7622999999999998</v>
      </c>
      <c r="Q91" s="10">
        <f>CHOOSE(CONTROL!$C$42, 6.5605, 6.5605) * CHOOSE(CONTROL!$C$21, $C$9, 100%, $E$9)</f>
        <v>6.5605000000000002</v>
      </c>
      <c r="R91" s="10">
        <f>CHOOSE(CONTROL!$C$42, 7.1639, 7.1639) * CHOOSE(CONTROL!$C$21, $C$9, 100%, $E$9)</f>
        <v>7.1638999999999999</v>
      </c>
      <c r="S91" s="10">
        <f>CHOOSE(CONTROL!$C$42, 5.6612, 5.6612) * CHOOSE(CONTROL!$C$21, $C$9, 100%, $E$9)</f>
        <v>5.6612</v>
      </c>
      <c r="T9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1" s="38">
        <f>(1000*CHOOSE(CONTROL!$C$42, 695, 695)*CHOOSE(CONTROL!$C$42, 0.5599, 0.5599)*CHOOSE(CONTROL!$C$42, 31, 31))/1000000</f>
        <v>12.063045499999998</v>
      </c>
      <c r="V91" s="38">
        <f>(1000*CHOOSE(CONTROL!$C$42, 500, 500)*CHOOSE(CONTROL!$C$42, 0.275, 0.275)*CHOOSE(CONTROL!$C$42, 31, 31))/1000000</f>
        <v>4.2625000000000002</v>
      </c>
      <c r="W91" s="38">
        <f>(1000*CHOOSE(CONTROL!$C$42, 0.1146, 0.1146)*CHOOSE(CONTROL!$C$42, 121.5, 121.5)*CHOOSE(CONTROL!$C$42, 31, 31))/1000000</f>
        <v>0.43164089999999994</v>
      </c>
      <c r="X91" s="38">
        <f>(31*0.1790888*245000/1000000)+(31*0.2374*100000/1000000)</f>
        <v>2.0961194359999999</v>
      </c>
      <c r="Y91" s="38">
        <f>(1000*600*CHOOSE(CONTROL!$C$42, 1.7863, 1.7863)*CHOOSE(CONTROL!$C$42, 31, 31))/1000000</f>
        <v>33.225180000000002</v>
      </c>
      <c r="Z91" s="38"/>
      <c r="AA91" s="10"/>
      <c r="AB91" s="39"/>
      <c r="AC91" s="33">
        <f>(B91*194.205+C91*267.466+D91*133.845+E91*53.484+F91*40+G91*185+H91*0+I91*100+J91*300)/(194.205+267.466+133.845+53.484+0+40+185+100+300)</f>
        <v>5.8349230350863417</v>
      </c>
      <c r="AD91" s="27">
        <f>(M91*'RAP TEMPLATE-GAS AVAILABILITY'!O90+N91*'RAP TEMPLATE-GAS AVAILABILITY'!P90+O91*'RAP TEMPLATE-GAS AVAILABILITY'!Q90+P91*'RAP TEMPLATE-GAS AVAILABILITY'!R90)/('RAP TEMPLATE-GAS AVAILABILITY'!O90+'RAP TEMPLATE-GAS AVAILABILITY'!P90+'RAP TEMPLATE-GAS AVAILABILITY'!Q90+'RAP TEMPLATE-GAS AVAILABILITY'!R90)</f>
        <v>5.7993151079136691</v>
      </c>
    </row>
    <row r="92" spans="1:30" ht="15">
      <c r="A92" s="16">
        <v>44044</v>
      </c>
      <c r="B92" s="10">
        <f>CHOOSE(CONTROL!$C$42, 5.5428, 5.5428) * CHOOSE(CONTROL!$C$21, $C$9, 100%, $E$9)</f>
        <v>5.5427999999999997</v>
      </c>
      <c r="C92" s="10">
        <f>CHOOSE(CONTROL!$C$42, 5.5508, 5.5508) * CHOOSE(CONTROL!$C$21, $C$9, 100%, $E$9)</f>
        <v>5.5507999999999997</v>
      </c>
      <c r="D92" s="10">
        <f>CHOOSE(CONTROL!$C$42, 5.7078, 5.7078) * CHOOSE(CONTROL!$C$21, $C$9, 100%, $E$9)</f>
        <v>5.7077999999999998</v>
      </c>
      <c r="E92" s="10">
        <f>CHOOSE(CONTROL!$C$42, 5.7391, 5.7391) * CHOOSE(CONTROL!$C$21, $C$9, 100%, $E$9)</f>
        <v>5.7390999999999996</v>
      </c>
      <c r="F92" s="10">
        <f>CHOOSE(CONTROL!$C$42, 5.4874, 5.4874)*CHOOSE(CONTROL!$C$21, $C$9, 100%, $E$9)</f>
        <v>5.4874000000000001</v>
      </c>
      <c r="G92" s="10">
        <f>CHOOSE(CONTROL!$C$42, 5.5036, 5.5036)*CHOOSE(CONTROL!$C$21, $C$9, 100%, $E$9)</f>
        <v>5.5035999999999996</v>
      </c>
      <c r="H92" s="10">
        <f>CHOOSE(CONTROL!$C$42, 5.7274, 5.7274) * CHOOSE(CONTROL!$C$21, $C$9, 100%, $E$9)</f>
        <v>5.7274000000000003</v>
      </c>
      <c r="I92" s="10">
        <f>CHOOSE(CONTROL!$C$42, 5.5216, 5.5216)* CHOOSE(CONTROL!$C$21, $C$9, 100%, $E$9)</f>
        <v>5.5216000000000003</v>
      </c>
      <c r="J92" s="10">
        <f>CHOOSE(CONTROL!$C$42, 5.48, 5.48)* CHOOSE(CONTROL!$C$21, $C$9, 100%, $E$9)</f>
        <v>5.48</v>
      </c>
      <c r="K92" s="10">
        <f>CHOOSE(CONTROL!$C$42, 5.5094, 5.5094) * CHOOSE(CONTROL!$C$21, $C$9, 100%, $E$9)</f>
        <v>5.5094000000000003</v>
      </c>
      <c r="L92" s="10">
        <f>CHOOSE(CONTROL!$C$42, 6.3144, 6.3144) * CHOOSE(CONTROL!$C$21, $C$9, 100%, $E$9)</f>
        <v>6.3144</v>
      </c>
      <c r="M92" s="10">
        <f>CHOOSE(CONTROL!$C$42, 5.4365, 5.4365) * CHOOSE(CONTROL!$C$21, $C$9, 100%, $E$9)</f>
        <v>5.4364999999999997</v>
      </c>
      <c r="N92" s="10">
        <f>CHOOSE(CONTROL!$C$42, 5.4526, 5.4526) * CHOOSE(CONTROL!$C$21, $C$9, 100%, $E$9)</f>
        <v>5.4526000000000003</v>
      </c>
      <c r="O92" s="10">
        <f>CHOOSE(CONTROL!$C$42, 5.6805, 5.6805) * CHOOSE(CONTROL!$C$21, $C$9, 100%, $E$9)</f>
        <v>5.6805000000000003</v>
      </c>
      <c r="P92" s="10">
        <f>CHOOSE(CONTROL!$C$42, 5.4776, 5.4776) * CHOOSE(CONTROL!$C$21, $C$9, 100%, $E$9)</f>
        <v>5.4775999999999998</v>
      </c>
      <c r="Q92" s="10">
        <f>CHOOSE(CONTROL!$C$42, 6.2758, 6.2758) * CHOOSE(CONTROL!$C$21, $C$9, 100%, $E$9)</f>
        <v>6.2758000000000003</v>
      </c>
      <c r="R92" s="10">
        <f>CHOOSE(CONTROL!$C$42, 6.8785, 6.8785) * CHOOSE(CONTROL!$C$21, $C$9, 100%, $E$9)</f>
        <v>6.8784999999999998</v>
      </c>
      <c r="S92" s="10">
        <f>CHOOSE(CONTROL!$C$42, 5.3817, 5.3817) * CHOOSE(CONTROL!$C$21, $C$9, 100%, $E$9)</f>
        <v>5.3817000000000004</v>
      </c>
      <c r="T9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2" s="38">
        <f>(1000*CHOOSE(CONTROL!$C$42, 695, 695)*CHOOSE(CONTROL!$C$42, 0.5599, 0.5599)*CHOOSE(CONTROL!$C$42, 31, 31))/1000000</f>
        <v>12.063045499999998</v>
      </c>
      <c r="V92" s="38">
        <f>(1000*CHOOSE(CONTROL!$C$42, 500, 500)*CHOOSE(CONTROL!$C$42, 0.275, 0.275)*CHOOSE(CONTROL!$C$42, 31, 31))/1000000</f>
        <v>4.2625000000000002</v>
      </c>
      <c r="W92" s="38">
        <f>(1000*CHOOSE(CONTROL!$C$42, 0.1146, 0.1146)*CHOOSE(CONTROL!$C$42, 121.5, 121.5)*CHOOSE(CONTROL!$C$42, 31, 31))/1000000</f>
        <v>0.43164089999999994</v>
      </c>
      <c r="X92" s="38">
        <f>(31*0.1790888*245000/1000000)+(31*0.2374*100000/1000000)</f>
        <v>2.0961194359999999</v>
      </c>
      <c r="Y92" s="38">
        <f>(1000*600*CHOOSE(CONTROL!$C$42, 1.7863, 1.7863)*CHOOSE(CONTROL!$C$42, 31, 31))/1000000</f>
        <v>33.225180000000002</v>
      </c>
      <c r="Z92" s="38"/>
      <c r="AA92" s="10"/>
      <c r="AB92" s="39"/>
      <c r="AC92" s="33">
        <f>(B92*194.205+C92*267.466+D92*133.845+E92*53.484+F92*40+G92*185+H92*0+I92*100+J92*300)/(194.205+267.466+133.845+53.484+0+40+185+100+300)</f>
        <v>5.5461713204081633</v>
      </c>
      <c r="AD92" s="27">
        <f>(M92*'RAP TEMPLATE-GAS AVAILABILITY'!O91+N92*'RAP TEMPLATE-GAS AVAILABILITY'!P91+O92*'RAP TEMPLATE-GAS AVAILABILITY'!Q91+P92*'RAP TEMPLATE-GAS AVAILABILITY'!R91)/('RAP TEMPLATE-GAS AVAILABILITY'!O91+'RAP TEMPLATE-GAS AVAILABILITY'!P91+'RAP TEMPLATE-GAS AVAILABILITY'!Q91+'RAP TEMPLATE-GAS AVAILABILITY'!R91)</f>
        <v>5.5145805755395685</v>
      </c>
    </row>
    <row r="93" spans="1:30" ht="15">
      <c r="A93" s="16">
        <v>44075</v>
      </c>
      <c r="B93" s="10">
        <f>CHOOSE(CONTROL!$C$42, 5.19, 5.19) * CHOOSE(CONTROL!$C$21, $C$9, 100%, $E$9)</f>
        <v>5.19</v>
      </c>
      <c r="C93" s="10">
        <f>CHOOSE(CONTROL!$C$42, 5.198, 5.198) * CHOOSE(CONTROL!$C$21, $C$9, 100%, $E$9)</f>
        <v>5.1980000000000004</v>
      </c>
      <c r="D93" s="10">
        <f>CHOOSE(CONTROL!$C$42, 5.3551, 5.3551) * CHOOSE(CONTROL!$C$21, $C$9, 100%, $E$9)</f>
        <v>5.3551000000000002</v>
      </c>
      <c r="E93" s="10">
        <f>CHOOSE(CONTROL!$C$42, 5.3863, 5.3863) * CHOOSE(CONTROL!$C$21, $C$9, 100%, $E$9)</f>
        <v>5.3863000000000003</v>
      </c>
      <c r="F93" s="10">
        <f>CHOOSE(CONTROL!$C$42, 5.1344, 5.1344)*CHOOSE(CONTROL!$C$21, $C$9, 100%, $E$9)</f>
        <v>5.1344000000000003</v>
      </c>
      <c r="G93" s="10">
        <f>CHOOSE(CONTROL!$C$42, 5.1506, 5.1506)*CHOOSE(CONTROL!$C$21, $C$9, 100%, $E$9)</f>
        <v>5.1505999999999998</v>
      </c>
      <c r="H93" s="10">
        <f>CHOOSE(CONTROL!$C$42, 5.3746, 5.3746) * CHOOSE(CONTROL!$C$21, $C$9, 100%, $E$9)</f>
        <v>5.3746</v>
      </c>
      <c r="I93" s="10">
        <f>CHOOSE(CONTROL!$C$42, 5.1688, 5.1688)* CHOOSE(CONTROL!$C$21, $C$9, 100%, $E$9)</f>
        <v>5.1688000000000001</v>
      </c>
      <c r="J93" s="10">
        <f>CHOOSE(CONTROL!$C$42, 5.127, 5.127)* CHOOSE(CONTROL!$C$21, $C$9, 100%, $E$9)</f>
        <v>5.1269999999999998</v>
      </c>
      <c r="K93" s="10">
        <f>CHOOSE(CONTROL!$C$42, 5.1672, 5.1672) * CHOOSE(CONTROL!$C$21, $C$9, 100%, $E$9)</f>
        <v>5.1672000000000002</v>
      </c>
      <c r="L93" s="10">
        <f>CHOOSE(CONTROL!$C$42, 5.9616, 5.9616) * CHOOSE(CONTROL!$C$21, $C$9, 100%, $E$9)</f>
        <v>5.9615999999999998</v>
      </c>
      <c r="M93" s="10">
        <f>CHOOSE(CONTROL!$C$42, 5.0885, 5.0885) * CHOOSE(CONTROL!$C$21, $C$9, 100%, $E$9)</f>
        <v>5.0884999999999998</v>
      </c>
      <c r="N93" s="10">
        <f>CHOOSE(CONTROL!$C$42, 5.1045, 5.1045) * CHOOSE(CONTROL!$C$21, $C$9, 100%, $E$9)</f>
        <v>5.1044999999999998</v>
      </c>
      <c r="O93" s="10">
        <f>CHOOSE(CONTROL!$C$42, 5.3327, 5.3327) * CHOOSE(CONTROL!$C$21, $C$9, 100%, $E$9)</f>
        <v>5.3327</v>
      </c>
      <c r="P93" s="10">
        <f>CHOOSE(CONTROL!$C$42, 5.1298, 5.1298) * CHOOSE(CONTROL!$C$21, $C$9, 100%, $E$9)</f>
        <v>5.1298000000000004</v>
      </c>
      <c r="Q93" s="10">
        <f>CHOOSE(CONTROL!$C$42, 5.928, 5.928) * CHOOSE(CONTROL!$C$21, $C$9, 100%, $E$9)</f>
        <v>5.9279999999999999</v>
      </c>
      <c r="R93" s="10">
        <f>CHOOSE(CONTROL!$C$42, 6.5298, 6.5298) * CHOOSE(CONTROL!$C$21, $C$9, 100%, $E$9)</f>
        <v>6.5297999999999998</v>
      </c>
      <c r="S93" s="10">
        <f>CHOOSE(CONTROL!$C$42, 5.0401, 5.0401) * CHOOSE(CONTROL!$C$21, $C$9, 100%, $E$9)</f>
        <v>5.0400999999999998</v>
      </c>
      <c r="T9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3" s="38">
        <f>(1000*CHOOSE(CONTROL!$C$42, 695, 695)*CHOOSE(CONTROL!$C$42, 0.5599, 0.5599)*CHOOSE(CONTROL!$C$42, 30, 30))/1000000</f>
        <v>11.673914999999997</v>
      </c>
      <c r="V93" s="38">
        <f>(1000*CHOOSE(CONTROL!$C$42, 500, 500)*CHOOSE(CONTROL!$C$42, 0.275, 0.275)*CHOOSE(CONTROL!$C$42, 30, 30))/1000000</f>
        <v>4.125</v>
      </c>
      <c r="W93" s="38">
        <f>(1000*CHOOSE(CONTROL!$C$42, 0.1146, 0.1146)*CHOOSE(CONTROL!$C$42, 121.5, 121.5)*CHOOSE(CONTROL!$C$42, 30, 30))/1000000</f>
        <v>0.417717</v>
      </c>
      <c r="X93" s="38">
        <f>(30*0.1790888*245000/1000000)+(30*0.2374*100000/1000000)</f>
        <v>2.0285026799999999</v>
      </c>
      <c r="Y93" s="38">
        <f>(1000*600*CHOOSE(CONTROL!$C$42, 1.7863, 1.7863)*CHOOSE(CONTROL!$C$42, 30, 30))/1000000</f>
        <v>32.153399999999998</v>
      </c>
      <c r="Z93" s="38"/>
      <c r="AA93" s="10"/>
      <c r="AB93" s="39"/>
      <c r="AC93" s="33">
        <f>(B93*194.205+C93*267.466+D93*133.845+E93*53.484+F93*40+G93*185+H93*0+I93*100+J93*300)/(194.205+267.466+133.845+53.484+0+40+185+100+300)</f>
        <v>5.1932994087127167</v>
      </c>
      <c r="AD93" s="27">
        <f>(M93*'RAP TEMPLATE-GAS AVAILABILITY'!O92+N93*'RAP TEMPLATE-GAS AVAILABILITY'!P92+O93*'RAP TEMPLATE-GAS AVAILABILITY'!Q92+P93*'RAP TEMPLATE-GAS AVAILABILITY'!R92)/('RAP TEMPLATE-GAS AVAILABILITY'!O92+'RAP TEMPLATE-GAS AVAILABILITY'!P92+'RAP TEMPLATE-GAS AVAILABILITY'!Q92+'RAP TEMPLATE-GAS AVAILABILITY'!R92)</f>
        <v>5.1666424460431664</v>
      </c>
    </row>
    <row r="94" spans="1:30" ht="15">
      <c r="A94" s="16">
        <v>44105</v>
      </c>
      <c r="B94" s="10">
        <f>CHOOSE(CONTROL!$C$42, 5.0822, 5.0822) * CHOOSE(CONTROL!$C$21, $C$9, 100%, $E$9)</f>
        <v>5.0822000000000003</v>
      </c>
      <c r="C94" s="10">
        <f>CHOOSE(CONTROL!$C$42, 5.0875, 5.0875) * CHOOSE(CONTROL!$C$21, $C$9, 100%, $E$9)</f>
        <v>5.0875000000000004</v>
      </c>
      <c r="D94" s="10">
        <f>CHOOSE(CONTROL!$C$42, 5.2495, 5.2495) * CHOOSE(CONTROL!$C$21, $C$9, 100%, $E$9)</f>
        <v>5.2495000000000003</v>
      </c>
      <c r="E94" s="10">
        <f>CHOOSE(CONTROL!$C$42, 5.2784, 5.2784) * CHOOSE(CONTROL!$C$21, $C$9, 100%, $E$9)</f>
        <v>5.2784000000000004</v>
      </c>
      <c r="F94" s="10">
        <f>CHOOSE(CONTROL!$C$42, 5.0286, 5.0286)*CHOOSE(CONTROL!$C$21, $C$9, 100%, $E$9)</f>
        <v>5.0286</v>
      </c>
      <c r="G94" s="10">
        <f>CHOOSE(CONTROL!$C$42, 5.0444, 5.0444)*CHOOSE(CONTROL!$C$21, $C$9, 100%, $E$9)</f>
        <v>5.0444000000000004</v>
      </c>
      <c r="H94" s="10">
        <f>CHOOSE(CONTROL!$C$42, 5.2685, 5.2685) * CHOOSE(CONTROL!$C$21, $C$9, 100%, $E$9)</f>
        <v>5.2685000000000004</v>
      </c>
      <c r="I94" s="10">
        <f>CHOOSE(CONTROL!$C$42, 5.0627, 5.0627)* CHOOSE(CONTROL!$C$21, $C$9, 100%, $E$9)</f>
        <v>5.0627000000000004</v>
      </c>
      <c r="J94" s="10">
        <f>CHOOSE(CONTROL!$C$42, 5.0212, 5.0212)* CHOOSE(CONTROL!$C$21, $C$9, 100%, $E$9)</f>
        <v>5.0212000000000003</v>
      </c>
      <c r="K94" s="10">
        <f>CHOOSE(CONTROL!$C$42, 5.065, 5.065) * CHOOSE(CONTROL!$C$21, $C$9, 100%, $E$9)</f>
        <v>5.0650000000000004</v>
      </c>
      <c r="L94" s="10">
        <f>CHOOSE(CONTROL!$C$42, 5.8555, 5.8555) * CHOOSE(CONTROL!$C$21, $C$9, 100%, $E$9)</f>
        <v>5.8555000000000001</v>
      </c>
      <c r="M94" s="10">
        <f>CHOOSE(CONTROL!$C$42, 4.9842, 4.9842) * CHOOSE(CONTROL!$C$21, $C$9, 100%, $E$9)</f>
        <v>4.9842000000000004</v>
      </c>
      <c r="N94" s="10">
        <f>CHOOSE(CONTROL!$C$42, 4.9997, 4.9997) * CHOOSE(CONTROL!$C$21, $C$9, 100%, $E$9)</f>
        <v>4.9996999999999998</v>
      </c>
      <c r="O94" s="10">
        <f>CHOOSE(CONTROL!$C$42, 5.228, 5.228) * CHOOSE(CONTROL!$C$21, $C$9, 100%, $E$9)</f>
        <v>5.2279999999999998</v>
      </c>
      <c r="P94" s="10">
        <f>CHOOSE(CONTROL!$C$42, 5.0251, 5.0251) * CHOOSE(CONTROL!$C$21, $C$9, 100%, $E$9)</f>
        <v>5.0251000000000001</v>
      </c>
      <c r="Q94" s="10">
        <f>CHOOSE(CONTROL!$C$42, 5.8233, 5.8233) * CHOOSE(CONTROL!$C$21, $C$9, 100%, $E$9)</f>
        <v>5.8232999999999997</v>
      </c>
      <c r="R94" s="10">
        <f>CHOOSE(CONTROL!$C$42, 6.4249, 6.4249) * CHOOSE(CONTROL!$C$21, $C$9, 100%, $E$9)</f>
        <v>6.4249000000000001</v>
      </c>
      <c r="S94" s="10">
        <f>CHOOSE(CONTROL!$C$42, 4.9373, 4.9373) * CHOOSE(CONTROL!$C$21, $C$9, 100%, $E$9)</f>
        <v>4.9372999999999996</v>
      </c>
      <c r="T9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4" s="38">
        <f>(1000*CHOOSE(CONTROL!$C$42, 695, 695)*CHOOSE(CONTROL!$C$42, 0.5599, 0.5599)*CHOOSE(CONTROL!$C$42, 31, 31))/1000000</f>
        <v>12.063045499999998</v>
      </c>
      <c r="V94" s="38">
        <f>(1000*CHOOSE(CONTROL!$C$42, 500, 500)*CHOOSE(CONTROL!$C$42, 0.275, 0.275)*CHOOSE(CONTROL!$C$42, 31, 31))/1000000</f>
        <v>4.2625000000000002</v>
      </c>
      <c r="W94" s="38">
        <f>(1000*CHOOSE(CONTROL!$C$42, 0.1146, 0.1146)*CHOOSE(CONTROL!$C$42, 121.5, 121.5)*CHOOSE(CONTROL!$C$42, 31, 31))/1000000</f>
        <v>0.43164089999999994</v>
      </c>
      <c r="X94" s="38">
        <f>(31*0.1790888*245000/1000000)+(31*0.2374*100000/1000000)</f>
        <v>2.0961194359999999</v>
      </c>
      <c r="Y94" s="38">
        <f>(1000*600*CHOOSE(CONTROL!$C$42, 1.7863, 1.7863)*CHOOSE(CONTROL!$C$42, 31, 31))/1000000</f>
        <v>33.225180000000002</v>
      </c>
      <c r="Z94" s="38"/>
      <c r="AA94" s="10"/>
      <c r="AB94" s="39"/>
      <c r="AC94" s="33">
        <f>(B94*131.881+C94*277.167+D94*79.08+E94*125.872+F94*40+G94*185+H94*0+I94*100+J94*300)/(131.881+277.167+79.08+125.872+0+40+185+100+300)</f>
        <v>5.0902776073446336</v>
      </c>
      <c r="AD94" s="27">
        <f>(M94*'RAP TEMPLATE-GAS AVAILABILITY'!O93+N94*'RAP TEMPLATE-GAS AVAILABILITY'!P93+O94*'RAP TEMPLATE-GAS AVAILABILITY'!Q93+P94*'RAP TEMPLATE-GAS AVAILABILITY'!R93)/('RAP TEMPLATE-GAS AVAILABILITY'!O93+'RAP TEMPLATE-GAS AVAILABILITY'!P93+'RAP TEMPLATE-GAS AVAILABILITY'!Q93+'RAP TEMPLATE-GAS AVAILABILITY'!R93)</f>
        <v>5.0620575539568344</v>
      </c>
    </row>
    <row r="95" spans="1:30" ht="15">
      <c r="A95" s="16">
        <v>44136</v>
      </c>
      <c r="B95" s="10">
        <f>CHOOSE(CONTROL!$C$42, 5.2161, 5.2161) * CHOOSE(CONTROL!$C$21, $C$9, 100%, $E$9)</f>
        <v>5.2161</v>
      </c>
      <c r="C95" s="10">
        <f>CHOOSE(CONTROL!$C$42, 5.2212, 5.2212) * CHOOSE(CONTROL!$C$21, $C$9, 100%, $E$9)</f>
        <v>5.2211999999999996</v>
      </c>
      <c r="D95" s="10">
        <f>CHOOSE(CONTROL!$C$42, 5.2459, 5.2459) * CHOOSE(CONTROL!$C$21, $C$9, 100%, $E$9)</f>
        <v>5.2458999999999998</v>
      </c>
      <c r="E95" s="10">
        <f>CHOOSE(CONTROL!$C$42, 5.2797, 5.2797) * CHOOSE(CONTROL!$C$21, $C$9, 100%, $E$9)</f>
        <v>5.2797000000000001</v>
      </c>
      <c r="F95" s="10">
        <f>CHOOSE(CONTROL!$C$42, 5.1844, 5.1844)*CHOOSE(CONTROL!$C$21, $C$9, 100%, $E$9)</f>
        <v>5.1844000000000001</v>
      </c>
      <c r="G95" s="10">
        <f>CHOOSE(CONTROL!$C$42, 5.2004, 5.2004)*CHOOSE(CONTROL!$C$21, $C$9, 100%, $E$9)</f>
        <v>5.2004000000000001</v>
      </c>
      <c r="H95" s="10">
        <f>CHOOSE(CONTROL!$C$42, 5.2686, 5.2686) * CHOOSE(CONTROL!$C$21, $C$9, 100%, $E$9)</f>
        <v>5.2686000000000002</v>
      </c>
      <c r="I95" s="10">
        <f>CHOOSE(CONTROL!$C$42, 5.2311, 5.2311)* CHOOSE(CONTROL!$C$21, $C$9, 100%, $E$9)</f>
        <v>5.2310999999999996</v>
      </c>
      <c r="J95" s="10">
        <f>CHOOSE(CONTROL!$C$42, 5.177, 5.177)* CHOOSE(CONTROL!$C$21, $C$9, 100%, $E$9)</f>
        <v>5.1769999999999996</v>
      </c>
      <c r="K95" s="10">
        <f>CHOOSE(CONTROL!$C$42, 5.2304, 5.2304) * CHOOSE(CONTROL!$C$21, $C$9, 100%, $E$9)</f>
        <v>5.2304000000000004</v>
      </c>
      <c r="L95" s="10">
        <f>CHOOSE(CONTROL!$C$42, 5.8556, 5.8556) * CHOOSE(CONTROL!$C$21, $C$9, 100%, $E$9)</f>
        <v>5.8555999999999999</v>
      </c>
      <c r="M95" s="10">
        <f>CHOOSE(CONTROL!$C$42, 5.1378, 5.1378) * CHOOSE(CONTROL!$C$21, $C$9, 100%, $E$9)</f>
        <v>5.1378000000000004</v>
      </c>
      <c r="N95" s="10">
        <f>CHOOSE(CONTROL!$C$42, 5.1536, 5.1536) * CHOOSE(CONTROL!$C$21, $C$9, 100%, $E$9)</f>
        <v>5.1536</v>
      </c>
      <c r="O95" s="10">
        <f>CHOOSE(CONTROL!$C$42, 5.2281, 5.2281) * CHOOSE(CONTROL!$C$21, $C$9, 100%, $E$9)</f>
        <v>5.2281000000000004</v>
      </c>
      <c r="P95" s="10">
        <f>CHOOSE(CONTROL!$C$42, 5.1912, 5.1912) * CHOOSE(CONTROL!$C$21, $C$9, 100%, $E$9)</f>
        <v>5.1912000000000003</v>
      </c>
      <c r="Q95" s="10">
        <f>CHOOSE(CONTROL!$C$42, 5.8234, 5.8234) * CHOOSE(CONTROL!$C$21, $C$9, 100%, $E$9)</f>
        <v>5.8234000000000004</v>
      </c>
      <c r="R95" s="10">
        <f>CHOOSE(CONTROL!$C$42, 6.4249, 6.4249) * CHOOSE(CONTROL!$C$21, $C$9, 100%, $E$9)</f>
        <v>6.4249000000000001</v>
      </c>
      <c r="S95" s="10">
        <f>CHOOSE(CONTROL!$C$42, 5.0674, 5.0674) * CHOOSE(CONTROL!$C$21, $C$9, 100%, $E$9)</f>
        <v>5.0674000000000001</v>
      </c>
      <c r="T9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5" s="38">
        <f>(1000*CHOOSE(CONTROL!$C$42, 695, 695)*CHOOSE(CONTROL!$C$42, 0.5599, 0.5599)*CHOOSE(CONTROL!$C$42, 30, 30))/1000000</f>
        <v>11.673914999999997</v>
      </c>
      <c r="V95" s="38">
        <f>(1000*CHOOSE(CONTROL!$C$42, 500, 500)*CHOOSE(CONTROL!$C$42, 0.275, 0.275)*CHOOSE(CONTROL!$C$42, 30, 30))/1000000</f>
        <v>4.125</v>
      </c>
      <c r="W95" s="38">
        <f>(1000*CHOOSE(CONTROL!$C$42, 0.1146, 0.1146)*CHOOSE(CONTROL!$C$42, 121.5, 121.5)*CHOOSE(CONTROL!$C$42, 30, 30))/1000000</f>
        <v>0.417717</v>
      </c>
      <c r="X95" s="38">
        <f>(30*0.1790888*100000/1000000)+(30*0.2374*100000/1000000)</f>
        <v>1.2494664</v>
      </c>
      <c r="Y95" s="38">
        <f>(1000*600*CHOOSE(CONTROL!$C$42, 1.7863, 1.7863)*CHOOSE(CONTROL!$C$42, 30, 30))/1000000</f>
        <v>32.153399999999998</v>
      </c>
      <c r="Z95" s="38"/>
      <c r="AA95" s="10"/>
      <c r="AB95" s="39"/>
      <c r="AC95" s="33">
        <f>(B95*122.58+C95*297.941+D95*89.177+E95*40.302+F95*40+G95*160+H95*0+I95*100+J95*300)/(122.58+297.941+89.177+40.302+0+40+160+100+300)</f>
        <v>5.2097784181739124</v>
      </c>
      <c r="AD95" s="27">
        <f>(M95*'RAP TEMPLATE-GAS AVAILABILITY'!O94+N95*'RAP TEMPLATE-GAS AVAILABILITY'!P94+O95*'RAP TEMPLATE-GAS AVAILABILITY'!Q94+P95*'RAP TEMPLATE-GAS AVAILABILITY'!R94)/('RAP TEMPLATE-GAS AVAILABILITY'!O94+'RAP TEMPLATE-GAS AVAILABILITY'!P94+'RAP TEMPLATE-GAS AVAILABILITY'!Q94+'RAP TEMPLATE-GAS AVAILABILITY'!R94)</f>
        <v>5.1873201438848922</v>
      </c>
    </row>
    <row r="96" spans="1:30" ht="15">
      <c r="A96" s="16">
        <v>44166</v>
      </c>
      <c r="B96" s="10">
        <f>CHOOSE(CONTROL!$C$42, 5.5728, 5.5728) * CHOOSE(CONTROL!$C$21, $C$9, 100%, $E$9)</f>
        <v>5.5728</v>
      </c>
      <c r="C96" s="10">
        <f>CHOOSE(CONTROL!$C$42, 5.5779, 5.5779) * CHOOSE(CONTROL!$C$21, $C$9, 100%, $E$9)</f>
        <v>5.5778999999999996</v>
      </c>
      <c r="D96" s="10">
        <f>CHOOSE(CONTROL!$C$42, 5.6026, 5.6026) * CHOOSE(CONTROL!$C$21, $C$9, 100%, $E$9)</f>
        <v>5.6025999999999998</v>
      </c>
      <c r="E96" s="10">
        <f>CHOOSE(CONTROL!$C$42, 5.6364, 5.6364) * CHOOSE(CONTROL!$C$21, $C$9, 100%, $E$9)</f>
        <v>5.6364000000000001</v>
      </c>
      <c r="F96" s="10">
        <f>CHOOSE(CONTROL!$C$42, 5.5431, 5.5431)*CHOOSE(CONTROL!$C$21, $C$9, 100%, $E$9)</f>
        <v>5.5430999999999999</v>
      </c>
      <c r="G96" s="10">
        <f>CHOOSE(CONTROL!$C$42, 5.5596, 5.5596)*CHOOSE(CONTROL!$C$21, $C$9, 100%, $E$9)</f>
        <v>5.5595999999999997</v>
      </c>
      <c r="H96" s="10">
        <f>CHOOSE(CONTROL!$C$42, 5.6253, 5.6253) * CHOOSE(CONTROL!$C$21, $C$9, 100%, $E$9)</f>
        <v>5.6253000000000002</v>
      </c>
      <c r="I96" s="10">
        <f>CHOOSE(CONTROL!$C$42, 5.5878, 5.5878)* CHOOSE(CONTROL!$C$21, $C$9, 100%, $E$9)</f>
        <v>5.5877999999999997</v>
      </c>
      <c r="J96" s="10">
        <f>CHOOSE(CONTROL!$C$42, 5.5357, 5.5357)* CHOOSE(CONTROL!$C$21, $C$9, 100%, $E$9)</f>
        <v>5.5357000000000003</v>
      </c>
      <c r="K96" s="10">
        <f>CHOOSE(CONTROL!$C$42, 5.5801, 5.5801) * CHOOSE(CONTROL!$C$21, $C$9, 100%, $E$9)</f>
        <v>5.5800999999999998</v>
      </c>
      <c r="L96" s="10">
        <f>CHOOSE(CONTROL!$C$42, 6.2123, 6.2123) * CHOOSE(CONTROL!$C$21, $C$9, 100%, $E$9)</f>
        <v>6.2122999999999999</v>
      </c>
      <c r="M96" s="10">
        <f>CHOOSE(CONTROL!$C$42, 5.4915, 5.4915) * CHOOSE(CONTROL!$C$21, $C$9, 100%, $E$9)</f>
        <v>5.4915000000000003</v>
      </c>
      <c r="N96" s="10">
        <f>CHOOSE(CONTROL!$C$42, 5.5077, 5.5077) * CHOOSE(CONTROL!$C$21, $C$9, 100%, $E$9)</f>
        <v>5.5076999999999998</v>
      </c>
      <c r="O96" s="10">
        <f>CHOOSE(CONTROL!$C$42, 5.5798, 5.5798) * CHOOSE(CONTROL!$C$21, $C$9, 100%, $E$9)</f>
        <v>5.5797999999999996</v>
      </c>
      <c r="P96" s="10">
        <f>CHOOSE(CONTROL!$C$42, 5.5429, 5.5429) * CHOOSE(CONTROL!$C$21, $C$9, 100%, $E$9)</f>
        <v>5.5429000000000004</v>
      </c>
      <c r="Q96" s="10">
        <f>CHOOSE(CONTROL!$C$42, 6.1751, 6.1751) * CHOOSE(CONTROL!$C$21, $C$9, 100%, $E$9)</f>
        <v>6.1750999999999996</v>
      </c>
      <c r="R96" s="10">
        <f>CHOOSE(CONTROL!$C$42, 6.7776, 6.7776) * CHOOSE(CONTROL!$C$21, $C$9, 100%, $E$9)</f>
        <v>6.7775999999999996</v>
      </c>
      <c r="S96" s="10">
        <f>CHOOSE(CONTROL!$C$42, 5.4128, 5.4128) * CHOOSE(CONTROL!$C$21, $C$9, 100%, $E$9)</f>
        <v>5.4127999999999998</v>
      </c>
      <c r="T9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6" s="38">
        <f>(1000*CHOOSE(CONTROL!$C$42, 695, 695)*CHOOSE(CONTROL!$C$42, 0.5599, 0.5599)*CHOOSE(CONTROL!$C$42, 31, 31))/1000000</f>
        <v>12.063045499999998</v>
      </c>
      <c r="V96" s="38">
        <f>(1000*CHOOSE(CONTROL!$C$42, 500, 500)*CHOOSE(CONTROL!$C$42, 0.275, 0.275)*CHOOSE(CONTROL!$C$42, 31, 31))/1000000</f>
        <v>4.2625000000000002</v>
      </c>
      <c r="W96" s="38">
        <f>(1000*CHOOSE(CONTROL!$C$42, 0.1146, 0.1146)*CHOOSE(CONTROL!$C$42, 121.5, 121.5)*CHOOSE(CONTROL!$C$42, 31, 31))/1000000</f>
        <v>0.43164089999999994</v>
      </c>
      <c r="X96" s="38">
        <f>(31*0.1790888*100000/1000000)+(31*0.2374*100000/1000000)</f>
        <v>1.2911152800000001</v>
      </c>
      <c r="Y96" s="38">
        <f>(1000*600*CHOOSE(CONTROL!$C$42, 1.7863, 1.7863)*CHOOSE(CONTROL!$C$42, 31, 31))/1000000</f>
        <v>33.225180000000002</v>
      </c>
      <c r="Z96" s="38"/>
      <c r="AA96" s="10"/>
      <c r="AB96" s="39"/>
      <c r="AC96" s="33">
        <f>(B96*122.58+C96*297.941+D96*89.177+E96*40.302+F96*40+G96*160+H96*0+I96*100+J96*300)/(122.58+297.941+89.177+40.302+0+40+160+100+300)</f>
        <v>5.5674175486086952</v>
      </c>
      <c r="AD96" s="27">
        <f>(M96*'RAP TEMPLATE-GAS AVAILABILITY'!O95+N96*'RAP TEMPLATE-GAS AVAILABILITY'!P95+O96*'RAP TEMPLATE-GAS AVAILABILITY'!Q95+P96*'RAP TEMPLATE-GAS AVAILABILITY'!R95)/('RAP TEMPLATE-GAS AVAILABILITY'!O95+'RAP TEMPLATE-GAS AVAILABILITY'!P95+'RAP TEMPLATE-GAS AVAILABILITY'!Q95+'RAP TEMPLATE-GAS AVAILABILITY'!R95)</f>
        <v>5.5398489208633093</v>
      </c>
    </row>
    <row r="97" spans="1:30" ht="15">
      <c r="A97" s="16">
        <v>44197</v>
      </c>
      <c r="B97" s="10">
        <f>CHOOSE(CONTROL!$C$42, 6.0239, 6.0239) * CHOOSE(CONTROL!$C$21, $C$9, 100%, $E$9)</f>
        <v>6.0239000000000003</v>
      </c>
      <c r="C97" s="10">
        <f>CHOOSE(CONTROL!$C$42, 6.029, 6.029) * CHOOSE(CONTROL!$C$21, $C$9, 100%, $E$9)</f>
        <v>6.0289999999999999</v>
      </c>
      <c r="D97" s="10">
        <f>CHOOSE(CONTROL!$C$42, 6.0614, 6.0614) * CHOOSE(CONTROL!$C$21, $C$9, 100%, $E$9)</f>
        <v>6.0613999999999999</v>
      </c>
      <c r="E97" s="10">
        <f>CHOOSE(CONTROL!$C$42, 6.0952, 6.0952) * CHOOSE(CONTROL!$C$21, $C$9, 100%, $E$9)</f>
        <v>6.0952000000000002</v>
      </c>
      <c r="F97" s="10">
        <f>CHOOSE(CONTROL!$C$42, 6.0081, 6.0081)*CHOOSE(CONTROL!$C$21, $C$9, 100%, $E$9)</f>
        <v>6.0080999999999998</v>
      </c>
      <c r="G97" s="10">
        <f>CHOOSE(CONTROL!$C$42, 6.0261, 6.0261)*CHOOSE(CONTROL!$C$21, $C$9, 100%, $E$9)</f>
        <v>6.0260999999999996</v>
      </c>
      <c r="H97" s="10">
        <f>CHOOSE(CONTROL!$C$42, 6.0841, 6.0841) * CHOOSE(CONTROL!$C$21, $C$9, 100%, $E$9)</f>
        <v>6.0841000000000003</v>
      </c>
      <c r="I97" s="10">
        <f>CHOOSE(CONTROL!$C$42, 6.0373, 6.0373)* CHOOSE(CONTROL!$C$21, $C$9, 100%, $E$9)</f>
        <v>6.0373000000000001</v>
      </c>
      <c r="J97" s="10">
        <f>CHOOSE(CONTROL!$C$42, 6.0007, 6.0007)* CHOOSE(CONTROL!$C$21, $C$9, 100%, $E$9)</f>
        <v>6.0007000000000001</v>
      </c>
      <c r="K97" s="10">
        <f>CHOOSE(CONTROL!$C$42, 6.0295, 6.0295) * CHOOSE(CONTROL!$C$21, $C$9, 100%, $E$9)</f>
        <v>6.0294999999999996</v>
      </c>
      <c r="L97" s="10">
        <f>CHOOSE(CONTROL!$C$42, 6.6711, 6.6711) * CHOOSE(CONTROL!$C$21, $C$9, 100%, $E$9)</f>
        <v>6.6711</v>
      </c>
      <c r="M97" s="10">
        <f>CHOOSE(CONTROL!$C$42, 5.95, 5.95) * CHOOSE(CONTROL!$C$21, $C$9, 100%, $E$9)</f>
        <v>5.95</v>
      </c>
      <c r="N97" s="10">
        <f>CHOOSE(CONTROL!$C$42, 5.9678, 5.9678) * CHOOSE(CONTROL!$C$21, $C$9, 100%, $E$9)</f>
        <v>5.9678000000000004</v>
      </c>
      <c r="O97" s="10">
        <f>CHOOSE(CONTROL!$C$42, 6.0322, 6.0322) * CHOOSE(CONTROL!$C$21, $C$9, 100%, $E$9)</f>
        <v>6.0321999999999996</v>
      </c>
      <c r="P97" s="10">
        <f>CHOOSE(CONTROL!$C$42, 5.9862, 5.9862) * CHOOSE(CONTROL!$C$21, $C$9, 100%, $E$9)</f>
        <v>5.9862000000000002</v>
      </c>
      <c r="Q97" s="10">
        <f>CHOOSE(CONTROL!$C$42, 6.6275, 6.6275) * CHOOSE(CONTROL!$C$21, $C$9, 100%, $E$9)</f>
        <v>6.6275000000000004</v>
      </c>
      <c r="R97" s="10">
        <f>CHOOSE(CONTROL!$C$42, 7.2311, 7.2311) * CHOOSE(CONTROL!$C$21, $C$9, 100%, $E$9)</f>
        <v>7.2310999999999996</v>
      </c>
      <c r="S97" s="10">
        <f>CHOOSE(CONTROL!$C$42, 5.8496, 5.8496) * CHOOSE(CONTROL!$C$21, $C$9, 100%, $E$9)</f>
        <v>5.8495999999999997</v>
      </c>
      <c r="T9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7" s="38">
        <f>(1000*CHOOSE(CONTROL!$C$42, 695, 695)*CHOOSE(CONTROL!$C$42, 0.5599, 0.5599)*CHOOSE(CONTROL!$C$42, 31, 31))/1000000</f>
        <v>12.063045499999998</v>
      </c>
      <c r="V97" s="38">
        <f>(1000*CHOOSE(CONTROL!$C$42, 500, 500)*CHOOSE(CONTROL!$C$42, 0.275, 0.275)*CHOOSE(CONTROL!$C$42, 31, 31))/1000000</f>
        <v>4.2625000000000002</v>
      </c>
      <c r="W97" s="38">
        <f>(1000*CHOOSE(CONTROL!$C$42, 0.1146, 0.1146)*CHOOSE(CONTROL!$C$42, 121.5, 121.5)*CHOOSE(CONTROL!$C$42, 31, 31))/1000000</f>
        <v>0.43164089999999994</v>
      </c>
      <c r="X97" s="38">
        <f>(31*0.1790888*100000/1000000)+(31*0.2374*100000/1000000)</f>
        <v>1.2911152800000001</v>
      </c>
      <c r="Y97" s="38">
        <f>(1000*600*CHOOSE(CONTROL!$C$42, 1.7748, 1.7748)*CHOOSE(CONTROL!$C$42, 31, 31))/1000000</f>
        <v>33.011279999999999</v>
      </c>
      <c r="Z97" s="38"/>
      <c r="AA97" s="10"/>
      <c r="AB97" s="39"/>
      <c r="AC97" s="33">
        <f>(B97*122.58+C97*297.941+D97*89.177+E97*40.302+F97*40+G97*160+H97*0+I97*100+J97*300)/(122.58+297.941+89.177+40.302+0+40+160+100+300)</f>
        <v>6.0254975384347826</v>
      </c>
      <c r="AD97" s="27">
        <f>(M97*'RAP TEMPLATE-GAS AVAILABILITY'!O96+N97*'RAP TEMPLATE-GAS AVAILABILITY'!P96+O97*'RAP TEMPLATE-GAS AVAILABILITY'!Q96+P97*'RAP TEMPLATE-GAS AVAILABILITY'!R96)/('RAP TEMPLATE-GAS AVAILABILITY'!O96+'RAP TEMPLATE-GAS AVAILABILITY'!P96+'RAP TEMPLATE-GAS AVAILABILITY'!Q96+'RAP TEMPLATE-GAS AVAILABILITY'!R96)</f>
        <v>5.9934892086330924</v>
      </c>
    </row>
    <row r="98" spans="1:30" ht="15">
      <c r="A98" s="16">
        <v>44228</v>
      </c>
      <c r="B98" s="10">
        <f>CHOOSE(CONTROL!$C$42, 6.1314, 6.1314) * CHOOSE(CONTROL!$C$21, $C$9, 100%, $E$9)</f>
        <v>6.1314000000000002</v>
      </c>
      <c r="C98" s="10">
        <f>CHOOSE(CONTROL!$C$42, 6.1365, 6.1365) * CHOOSE(CONTROL!$C$21, $C$9, 100%, $E$9)</f>
        <v>6.1364999999999998</v>
      </c>
      <c r="D98" s="10">
        <f>CHOOSE(CONTROL!$C$42, 6.1689, 6.1689) * CHOOSE(CONTROL!$C$21, $C$9, 100%, $E$9)</f>
        <v>6.1688999999999998</v>
      </c>
      <c r="E98" s="10">
        <f>CHOOSE(CONTROL!$C$42, 6.2027, 6.2027) * CHOOSE(CONTROL!$C$21, $C$9, 100%, $E$9)</f>
        <v>6.2027000000000001</v>
      </c>
      <c r="F98" s="10">
        <f>CHOOSE(CONTROL!$C$42, 6.1151, 6.1151)*CHOOSE(CONTROL!$C$21, $C$9, 100%, $E$9)</f>
        <v>6.1151</v>
      </c>
      <c r="G98" s="10">
        <f>CHOOSE(CONTROL!$C$42, 6.133, 6.133)*CHOOSE(CONTROL!$C$21, $C$9, 100%, $E$9)</f>
        <v>6.133</v>
      </c>
      <c r="H98" s="10">
        <f>CHOOSE(CONTROL!$C$42, 6.1916, 6.1916) * CHOOSE(CONTROL!$C$21, $C$9, 100%, $E$9)</f>
        <v>6.1916000000000002</v>
      </c>
      <c r="I98" s="10">
        <f>CHOOSE(CONTROL!$C$42, 6.1448, 6.1448)* CHOOSE(CONTROL!$C$21, $C$9, 100%, $E$9)</f>
        <v>6.1448</v>
      </c>
      <c r="J98" s="10">
        <f>CHOOSE(CONTROL!$C$42, 6.1077, 6.1077)* CHOOSE(CONTROL!$C$21, $C$9, 100%, $E$9)</f>
        <v>6.1077000000000004</v>
      </c>
      <c r="K98" s="10">
        <f>CHOOSE(CONTROL!$C$42, 6.1327, 6.1327) * CHOOSE(CONTROL!$C$21, $C$9, 100%, $E$9)</f>
        <v>6.1326999999999998</v>
      </c>
      <c r="L98" s="10">
        <f>CHOOSE(CONTROL!$C$42, 6.7786, 6.7786) * CHOOSE(CONTROL!$C$21, $C$9, 100%, $E$9)</f>
        <v>6.7786</v>
      </c>
      <c r="M98" s="10">
        <f>CHOOSE(CONTROL!$C$42, 6.0555, 6.0555) * CHOOSE(CONTROL!$C$21, $C$9, 100%, $E$9)</f>
        <v>6.0555000000000003</v>
      </c>
      <c r="N98" s="10">
        <f>CHOOSE(CONTROL!$C$42, 6.0732, 6.0732) * CHOOSE(CONTROL!$C$21, $C$9, 100%, $E$9)</f>
        <v>6.0731999999999999</v>
      </c>
      <c r="O98" s="10">
        <f>CHOOSE(CONTROL!$C$42, 6.1383, 6.1383) * CHOOSE(CONTROL!$C$21, $C$9, 100%, $E$9)</f>
        <v>6.1383000000000001</v>
      </c>
      <c r="P98" s="10">
        <f>CHOOSE(CONTROL!$C$42, 6.0922, 6.0922) * CHOOSE(CONTROL!$C$21, $C$9, 100%, $E$9)</f>
        <v>6.0922000000000001</v>
      </c>
      <c r="Q98" s="10">
        <f>CHOOSE(CONTROL!$C$42, 6.7336, 6.7336) * CHOOSE(CONTROL!$C$21, $C$9, 100%, $E$9)</f>
        <v>6.7336</v>
      </c>
      <c r="R98" s="10">
        <f>CHOOSE(CONTROL!$C$42, 7.3374, 7.3374) * CHOOSE(CONTROL!$C$21, $C$9, 100%, $E$9)</f>
        <v>7.3373999999999997</v>
      </c>
      <c r="S98" s="10">
        <f>CHOOSE(CONTROL!$C$42, 5.9537, 5.9537) * CHOOSE(CONTROL!$C$21, $C$9, 100%, $E$9)</f>
        <v>5.9537000000000004</v>
      </c>
      <c r="T9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8" s="38">
        <f>(1000*CHOOSE(CONTROL!$C$42, 695, 695)*CHOOSE(CONTROL!$C$42, 0.5599, 0.5599)*CHOOSE(CONTROL!$C$42, 28, 28))/1000000</f>
        <v>10.895653999999999</v>
      </c>
      <c r="V98" s="38">
        <f>(1000*CHOOSE(CONTROL!$C$42, 500, 500)*CHOOSE(CONTROL!$C$42, 0.275, 0.275)*CHOOSE(CONTROL!$C$42, 28, 28))/1000000</f>
        <v>3.85</v>
      </c>
      <c r="W98" s="38">
        <f>(1000*CHOOSE(CONTROL!$C$42, 0.1146, 0.1146)*CHOOSE(CONTROL!$C$42, 121.5, 121.5)*CHOOSE(CONTROL!$C$42, 28, 28))/1000000</f>
        <v>0.38986920000000003</v>
      </c>
      <c r="X98" s="38">
        <f>(28*0.1790888*100000/1000000)+(28*0.2374*100000/1000000)</f>
        <v>1.16616864</v>
      </c>
      <c r="Y98" s="38">
        <f>(1000*600*CHOOSE(CONTROL!$C$42, 1.7748, 1.7748)*CHOOSE(CONTROL!$C$42, 28, 28))/1000000</f>
        <v>29.81664</v>
      </c>
      <c r="Z98" s="38"/>
      <c r="AA98" s="10"/>
      <c r="AB98" s="39"/>
      <c r="AC98" s="33">
        <f>(B98*122.58+C98*297.941+D98*89.177+E98*40.302+F98*40+G98*160+H98*0+I98*100+J98*300)/(122.58+297.941+89.177+40.302+0+40+160+100+300)</f>
        <v>6.1327662340869562</v>
      </c>
      <c r="AD98" s="27">
        <f>(M98*'RAP TEMPLATE-GAS AVAILABILITY'!O97+N98*'RAP TEMPLATE-GAS AVAILABILITY'!P97+O98*'RAP TEMPLATE-GAS AVAILABILITY'!Q97+P98*'RAP TEMPLATE-GAS AVAILABILITY'!R97)/('RAP TEMPLATE-GAS AVAILABILITY'!O97+'RAP TEMPLATE-GAS AVAILABILITY'!P97+'RAP TEMPLATE-GAS AVAILABILITY'!Q97+'RAP TEMPLATE-GAS AVAILABILITY'!R97)</f>
        <v>6.0993273381294966</v>
      </c>
    </row>
    <row r="99" spans="1:30" ht="15">
      <c r="A99" s="16">
        <v>44256</v>
      </c>
      <c r="B99" s="10">
        <f>CHOOSE(CONTROL!$C$42, 5.9569, 5.9569) * CHOOSE(CONTROL!$C$21, $C$9, 100%, $E$9)</f>
        <v>5.9569000000000001</v>
      </c>
      <c r="C99" s="10">
        <f>CHOOSE(CONTROL!$C$42, 5.962, 5.962) * CHOOSE(CONTROL!$C$21, $C$9, 100%, $E$9)</f>
        <v>5.9619999999999997</v>
      </c>
      <c r="D99" s="10">
        <f>CHOOSE(CONTROL!$C$42, 5.9944, 5.9944) * CHOOSE(CONTROL!$C$21, $C$9, 100%, $E$9)</f>
        <v>5.9943999999999997</v>
      </c>
      <c r="E99" s="10">
        <f>CHOOSE(CONTROL!$C$42, 6.0282, 6.0282) * CHOOSE(CONTROL!$C$21, $C$9, 100%, $E$9)</f>
        <v>6.0282</v>
      </c>
      <c r="F99" s="10">
        <f>CHOOSE(CONTROL!$C$42, 5.9391, 5.9391)*CHOOSE(CONTROL!$C$21, $C$9, 100%, $E$9)</f>
        <v>5.9390999999999998</v>
      </c>
      <c r="G99" s="10">
        <f>CHOOSE(CONTROL!$C$42, 5.9567, 5.9567)*CHOOSE(CONTROL!$C$21, $C$9, 100%, $E$9)</f>
        <v>5.9566999999999997</v>
      </c>
      <c r="H99" s="10">
        <f>CHOOSE(CONTROL!$C$42, 6.0171, 6.0171) * CHOOSE(CONTROL!$C$21, $C$9, 100%, $E$9)</f>
        <v>6.0171000000000001</v>
      </c>
      <c r="I99" s="10">
        <f>CHOOSE(CONTROL!$C$42, 5.9703, 5.9703)* CHOOSE(CONTROL!$C$21, $C$9, 100%, $E$9)</f>
        <v>5.9702999999999999</v>
      </c>
      <c r="J99" s="10">
        <f>CHOOSE(CONTROL!$C$42, 5.9317, 5.9317)* CHOOSE(CONTROL!$C$21, $C$9, 100%, $E$9)</f>
        <v>5.9317000000000002</v>
      </c>
      <c r="K99" s="10">
        <f>CHOOSE(CONTROL!$C$42, 5.9604, 5.9604) * CHOOSE(CONTROL!$C$21, $C$9, 100%, $E$9)</f>
        <v>5.9603999999999999</v>
      </c>
      <c r="L99" s="10">
        <f>CHOOSE(CONTROL!$C$42, 6.6041, 6.6041) * CHOOSE(CONTROL!$C$21, $C$9, 100%, $E$9)</f>
        <v>6.6040999999999999</v>
      </c>
      <c r="M99" s="10">
        <f>CHOOSE(CONTROL!$C$42, 5.882, 5.882) * CHOOSE(CONTROL!$C$21, $C$9, 100%, $E$9)</f>
        <v>5.8819999999999997</v>
      </c>
      <c r="N99" s="10">
        <f>CHOOSE(CONTROL!$C$42, 5.8993, 5.8993) * CHOOSE(CONTROL!$C$21, $C$9, 100%, $E$9)</f>
        <v>5.8993000000000002</v>
      </c>
      <c r="O99" s="10">
        <f>CHOOSE(CONTROL!$C$42, 5.9662, 5.9662) * CHOOSE(CONTROL!$C$21, $C$9, 100%, $E$9)</f>
        <v>5.9661999999999997</v>
      </c>
      <c r="P99" s="10">
        <f>CHOOSE(CONTROL!$C$42, 5.9201, 5.9201) * CHOOSE(CONTROL!$C$21, $C$9, 100%, $E$9)</f>
        <v>5.9200999999999997</v>
      </c>
      <c r="Q99" s="10">
        <f>CHOOSE(CONTROL!$C$42, 6.5615, 6.5615) * CHOOSE(CONTROL!$C$21, $C$9, 100%, $E$9)</f>
        <v>6.5614999999999997</v>
      </c>
      <c r="R99" s="10">
        <f>CHOOSE(CONTROL!$C$42, 7.1649, 7.1649) * CHOOSE(CONTROL!$C$21, $C$9, 100%, $E$9)</f>
        <v>7.1649000000000003</v>
      </c>
      <c r="S99" s="10">
        <f>CHOOSE(CONTROL!$C$42, 5.7847, 5.7847) * CHOOSE(CONTROL!$C$21, $C$9, 100%, $E$9)</f>
        <v>5.7847</v>
      </c>
      <c r="T9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9" s="38">
        <f>(1000*CHOOSE(CONTROL!$C$42, 695, 695)*CHOOSE(CONTROL!$C$42, 0.5599, 0.5599)*CHOOSE(CONTROL!$C$42, 31, 31))/1000000</f>
        <v>12.063045499999998</v>
      </c>
      <c r="V99" s="38">
        <f>(1000*CHOOSE(CONTROL!$C$42, 500, 500)*CHOOSE(CONTROL!$C$42, 0.275, 0.275)*CHOOSE(CONTROL!$C$42, 31, 31))/1000000</f>
        <v>4.2625000000000002</v>
      </c>
      <c r="W99" s="38">
        <f>(1000*CHOOSE(CONTROL!$C$42, 0.1146, 0.1146)*CHOOSE(CONTROL!$C$42, 121.5, 121.5)*CHOOSE(CONTROL!$C$42, 31, 31))/1000000</f>
        <v>0.43164089999999994</v>
      </c>
      <c r="X99" s="38">
        <f>(31*0.1790888*100000/1000000)+(31*0.2374*100000/1000000)</f>
        <v>1.2911152800000001</v>
      </c>
      <c r="Y99" s="38">
        <f>(1000*600*CHOOSE(CONTROL!$C$42, 1.7748, 1.7748)*CHOOSE(CONTROL!$C$42, 31, 31))/1000000</f>
        <v>33.011279999999999</v>
      </c>
      <c r="Z99" s="38"/>
      <c r="AA99" s="10"/>
      <c r="AB99" s="39"/>
      <c r="AC99" s="33">
        <f>(B99*122.58+C99*297.941+D99*89.177+E99*40.302+F99*40+G99*160+H99*0+I99*100+J99*300)/(122.58+297.941+89.177+40.302+0+40+160+100+300)</f>
        <v>5.9575723210434779</v>
      </c>
      <c r="AD99" s="27">
        <f>(M99*'RAP TEMPLATE-GAS AVAILABILITY'!O98+N99*'RAP TEMPLATE-GAS AVAILABILITY'!P98+O99*'RAP TEMPLATE-GAS AVAILABILITY'!Q98+P99*'RAP TEMPLATE-GAS AVAILABILITY'!R98)/('RAP TEMPLATE-GAS AVAILABILITY'!O98+'RAP TEMPLATE-GAS AVAILABILITY'!P98+'RAP TEMPLATE-GAS AVAILABILITY'!Q98+'RAP TEMPLATE-GAS AVAILABILITY'!R98)</f>
        <v>5.926640287769783</v>
      </c>
    </row>
    <row r="100" spans="1:30" ht="15">
      <c r="A100" s="16">
        <v>44287</v>
      </c>
      <c r="B100" s="10">
        <f>CHOOSE(CONTROL!$C$42, 5.9397, 5.9397) * CHOOSE(CONTROL!$C$21, $C$9, 100%, $E$9)</f>
        <v>5.9397000000000002</v>
      </c>
      <c r="C100" s="10">
        <f>CHOOSE(CONTROL!$C$42, 5.9443, 5.9443) * CHOOSE(CONTROL!$C$21, $C$9, 100%, $E$9)</f>
        <v>5.9443000000000001</v>
      </c>
      <c r="D100" s="10">
        <f>CHOOSE(CONTROL!$C$42, 6.1044, 6.1044) * CHOOSE(CONTROL!$C$21, $C$9, 100%, $E$9)</f>
        <v>6.1044</v>
      </c>
      <c r="E100" s="10">
        <f>CHOOSE(CONTROL!$C$42, 6.1362, 6.1362) * CHOOSE(CONTROL!$C$21, $C$9, 100%, $E$9)</f>
        <v>6.1361999999999997</v>
      </c>
      <c r="F100" s="10">
        <f>CHOOSE(CONTROL!$C$42, 5.8858, 5.8858)*CHOOSE(CONTROL!$C$21, $C$9, 100%, $E$9)</f>
        <v>5.8857999999999997</v>
      </c>
      <c r="G100" s="10">
        <f>CHOOSE(CONTROL!$C$42, 5.9017, 5.9017)*CHOOSE(CONTROL!$C$21, $C$9, 100%, $E$9)</f>
        <v>5.9016999999999999</v>
      </c>
      <c r="H100" s="10">
        <f>CHOOSE(CONTROL!$C$42, 6.1257, 6.1257) * CHOOSE(CONTROL!$C$21, $C$9, 100%, $E$9)</f>
        <v>6.1257000000000001</v>
      </c>
      <c r="I100" s="10">
        <f>CHOOSE(CONTROL!$C$42, 5.9199, 5.9199)* CHOOSE(CONTROL!$C$21, $C$9, 100%, $E$9)</f>
        <v>5.9199000000000002</v>
      </c>
      <c r="J100" s="10">
        <f>CHOOSE(CONTROL!$C$42, 5.8784, 5.8784)* CHOOSE(CONTROL!$C$21, $C$9, 100%, $E$9)</f>
        <v>5.8784000000000001</v>
      </c>
      <c r="K100" s="10">
        <f>CHOOSE(CONTROL!$C$42, 5.8956, 5.8956) * CHOOSE(CONTROL!$C$21, $C$9, 100%, $E$9)</f>
        <v>5.8956</v>
      </c>
      <c r="L100" s="10">
        <f>CHOOSE(CONTROL!$C$42, 6.7127, 6.7127) * CHOOSE(CONTROL!$C$21, $C$9, 100%, $E$9)</f>
        <v>6.7126999999999999</v>
      </c>
      <c r="M100" s="10">
        <f>CHOOSE(CONTROL!$C$42, 5.8295, 5.8295) * CHOOSE(CONTROL!$C$21, $C$9, 100%, $E$9)</f>
        <v>5.8295000000000003</v>
      </c>
      <c r="N100" s="10">
        <f>CHOOSE(CONTROL!$C$42, 5.8451, 5.8451) * CHOOSE(CONTROL!$C$21, $C$9, 100%, $E$9)</f>
        <v>5.8451000000000004</v>
      </c>
      <c r="O100" s="10">
        <f>CHOOSE(CONTROL!$C$42, 6.0733, 6.0733) * CHOOSE(CONTROL!$C$21, $C$9, 100%, $E$9)</f>
        <v>6.0732999999999997</v>
      </c>
      <c r="P100" s="10">
        <f>CHOOSE(CONTROL!$C$42, 5.8704, 5.8704) * CHOOSE(CONTROL!$C$21, $C$9, 100%, $E$9)</f>
        <v>5.8704000000000001</v>
      </c>
      <c r="Q100" s="10">
        <f>CHOOSE(CONTROL!$C$42, 6.6686, 6.6686) * CHOOSE(CONTROL!$C$21, $C$9, 100%, $E$9)</f>
        <v>6.6685999999999996</v>
      </c>
      <c r="R100" s="10">
        <f>CHOOSE(CONTROL!$C$42, 7.2722, 7.2722) * CHOOSE(CONTROL!$C$21, $C$9, 100%, $E$9)</f>
        <v>7.2721999999999998</v>
      </c>
      <c r="S100" s="10">
        <f>CHOOSE(CONTROL!$C$42, 5.7674, 5.7674) * CHOOSE(CONTROL!$C$21, $C$9, 100%, $E$9)</f>
        <v>5.7674000000000003</v>
      </c>
      <c r="T10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0" s="38">
        <f>(1000*CHOOSE(CONTROL!$C$42, 695, 695)*CHOOSE(CONTROL!$C$42, 0.5599, 0.5599)*CHOOSE(CONTROL!$C$42, 30, 30))/1000000</f>
        <v>11.673914999999997</v>
      </c>
      <c r="V100" s="38">
        <f>(1000*CHOOSE(CONTROL!$C$42, 500, 500)*CHOOSE(CONTROL!$C$42, 0.275, 0.275)*CHOOSE(CONTROL!$C$42, 30, 30))/1000000</f>
        <v>4.125</v>
      </c>
      <c r="W100" s="38">
        <f>(1000*CHOOSE(CONTROL!$C$42, 0.1146, 0.1146)*CHOOSE(CONTROL!$C$42, 121.5, 121.5)*CHOOSE(CONTROL!$C$42, 30, 30))/1000000</f>
        <v>0.417717</v>
      </c>
      <c r="X100" s="38">
        <f>(30*0.1790888*245000/1000000)+(30*0.2374*100000/1000000)</f>
        <v>2.0285026799999999</v>
      </c>
      <c r="Y100" s="38">
        <f>(1000*600*CHOOSE(CONTROL!$C$42, 1.7748, 1.7748)*CHOOSE(CONTROL!$C$42, 30, 30))/1000000</f>
        <v>31.946400000000001</v>
      </c>
      <c r="Z100" s="38"/>
      <c r="AA100" s="10"/>
      <c r="AB100" s="39"/>
      <c r="AC100" s="33">
        <f>(B100*141.293+C100*267.993+D100*115.016+E100*89.698+F100*40+G100*185+H100*0+I100*100+J100*300)/(141.293+267.993+115.016+89.698+0+40+185+100+300)</f>
        <v>5.9463550121065376</v>
      </c>
      <c r="AD100" s="27">
        <f>(M100*'RAP TEMPLATE-GAS AVAILABILITY'!O99+N100*'RAP TEMPLATE-GAS AVAILABILITY'!P99+O100*'RAP TEMPLATE-GAS AVAILABILITY'!Q99+P100*'RAP TEMPLATE-GAS AVAILABILITY'!R99)/('RAP TEMPLATE-GAS AVAILABILITY'!O99+'RAP TEMPLATE-GAS AVAILABILITY'!P99+'RAP TEMPLATE-GAS AVAILABILITY'!Q99+'RAP TEMPLATE-GAS AVAILABILITY'!R99)</f>
        <v>5.9073805755395687</v>
      </c>
    </row>
    <row r="101" spans="1:30" ht="15">
      <c r="A101" s="16">
        <v>44317</v>
      </c>
      <c r="B101" s="10">
        <f>CHOOSE(CONTROL!$C$42, 5.9941, 5.9941) * CHOOSE(CONTROL!$C$21, $C$9, 100%, $E$9)</f>
        <v>5.9941000000000004</v>
      </c>
      <c r="C101" s="10">
        <f>CHOOSE(CONTROL!$C$42, 6.0021, 6.0021) * CHOOSE(CONTROL!$C$21, $C$9, 100%, $E$9)</f>
        <v>6.0021000000000004</v>
      </c>
      <c r="D101" s="10">
        <f>CHOOSE(CONTROL!$C$42, 6.1592, 6.1592) * CHOOSE(CONTROL!$C$21, $C$9, 100%, $E$9)</f>
        <v>6.1592000000000002</v>
      </c>
      <c r="E101" s="10">
        <f>CHOOSE(CONTROL!$C$42, 6.1904, 6.1904) * CHOOSE(CONTROL!$C$21, $C$9, 100%, $E$9)</f>
        <v>6.1904000000000003</v>
      </c>
      <c r="F101" s="10">
        <f>CHOOSE(CONTROL!$C$42, 5.9382, 5.9382)*CHOOSE(CONTROL!$C$21, $C$9, 100%, $E$9)</f>
        <v>5.9382000000000001</v>
      </c>
      <c r="G101" s="10">
        <f>CHOOSE(CONTROL!$C$42, 5.9544, 5.9544)*CHOOSE(CONTROL!$C$21, $C$9, 100%, $E$9)</f>
        <v>5.9543999999999997</v>
      </c>
      <c r="H101" s="10">
        <f>CHOOSE(CONTROL!$C$42, 6.1787, 6.1787) * CHOOSE(CONTROL!$C$21, $C$9, 100%, $E$9)</f>
        <v>6.1787000000000001</v>
      </c>
      <c r="I101" s="10">
        <f>CHOOSE(CONTROL!$C$42, 5.9729, 5.9729)* CHOOSE(CONTROL!$C$21, $C$9, 100%, $E$9)</f>
        <v>5.9729000000000001</v>
      </c>
      <c r="J101" s="10">
        <f>CHOOSE(CONTROL!$C$42, 5.9308, 5.9308)* CHOOSE(CONTROL!$C$21, $C$9, 100%, $E$9)</f>
        <v>5.9307999999999996</v>
      </c>
      <c r="K101" s="10">
        <f>CHOOSE(CONTROL!$C$42, 5.9457, 5.9457) * CHOOSE(CONTROL!$C$21, $C$9, 100%, $E$9)</f>
        <v>5.9457000000000004</v>
      </c>
      <c r="L101" s="10">
        <f>CHOOSE(CONTROL!$C$42, 6.7657, 6.7657) * CHOOSE(CONTROL!$C$21, $C$9, 100%, $E$9)</f>
        <v>6.7656999999999998</v>
      </c>
      <c r="M101" s="10">
        <f>CHOOSE(CONTROL!$C$42, 5.8811, 5.8811) * CHOOSE(CONTROL!$C$21, $C$9, 100%, $E$9)</f>
        <v>5.8811</v>
      </c>
      <c r="N101" s="10">
        <f>CHOOSE(CONTROL!$C$42, 5.897, 5.897) * CHOOSE(CONTROL!$C$21, $C$9, 100%, $E$9)</f>
        <v>5.8970000000000002</v>
      </c>
      <c r="O101" s="10">
        <f>CHOOSE(CONTROL!$C$42, 6.1255, 6.1255) * CHOOSE(CONTROL!$C$21, $C$9, 100%, $E$9)</f>
        <v>6.1254999999999997</v>
      </c>
      <c r="P101" s="10">
        <f>CHOOSE(CONTROL!$C$42, 5.9226, 5.9226) * CHOOSE(CONTROL!$C$21, $C$9, 100%, $E$9)</f>
        <v>5.9226000000000001</v>
      </c>
      <c r="Q101" s="10">
        <f>CHOOSE(CONTROL!$C$42, 6.7208, 6.7208) * CHOOSE(CONTROL!$C$21, $C$9, 100%, $E$9)</f>
        <v>6.7207999999999997</v>
      </c>
      <c r="R101" s="10">
        <f>CHOOSE(CONTROL!$C$42, 7.3246, 7.3246) * CHOOSE(CONTROL!$C$21, $C$9, 100%, $E$9)</f>
        <v>7.3246000000000002</v>
      </c>
      <c r="S101" s="10">
        <f>CHOOSE(CONTROL!$C$42, 5.8187, 5.8187) * CHOOSE(CONTROL!$C$21, $C$9, 100%, $E$9)</f>
        <v>5.8186999999999998</v>
      </c>
      <c r="T10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1" s="38">
        <f>(1000*CHOOSE(CONTROL!$C$42, 695, 695)*CHOOSE(CONTROL!$C$42, 0.5599, 0.5599)*CHOOSE(CONTROL!$C$42, 31, 31))/1000000</f>
        <v>12.063045499999998</v>
      </c>
      <c r="V101" s="38">
        <f>(1000*CHOOSE(CONTROL!$C$42, 500, 500)*CHOOSE(CONTROL!$C$42, 0.275, 0.275)*CHOOSE(CONTROL!$C$42, 31, 31))/1000000</f>
        <v>4.2625000000000002</v>
      </c>
      <c r="W101" s="38">
        <f>(1000*CHOOSE(CONTROL!$C$42, 0.1146, 0.1146)*CHOOSE(CONTROL!$C$42, 121.5, 121.5)*CHOOSE(CONTROL!$C$42, 31, 31))/1000000</f>
        <v>0.43164089999999994</v>
      </c>
      <c r="X101" s="38">
        <f>(31*0.1790888*245000/1000000)+(31*0.2374*100000/1000000)</f>
        <v>2.0961194359999999</v>
      </c>
      <c r="Y101" s="38">
        <f>(1000*600*CHOOSE(CONTROL!$C$42, 1.7748, 1.7748)*CHOOSE(CONTROL!$C$42, 31, 31))/1000000</f>
        <v>33.011279999999999</v>
      </c>
      <c r="Z101" s="38"/>
      <c r="AA101" s="10"/>
      <c r="AB101" s="39"/>
      <c r="AC101" s="33">
        <f>(B101*194.205+C101*267.466+D101*133.845+E101*53.484+F101*40+G101*185+H101*0+I101*100+J101*300)/(194.205+267.466+133.845+53.484+0+40+185+100+300)</f>
        <v>5.9972757823390896</v>
      </c>
      <c r="AD101" s="27">
        <f>(M101*'RAP TEMPLATE-GAS AVAILABILITY'!O100+N101*'RAP TEMPLATE-GAS AVAILABILITY'!P100+O101*'RAP TEMPLATE-GAS AVAILABILITY'!Q100+P101*'RAP TEMPLATE-GAS AVAILABILITY'!R100)/('RAP TEMPLATE-GAS AVAILABILITY'!O100+'RAP TEMPLATE-GAS AVAILABILITY'!P100+'RAP TEMPLATE-GAS AVAILABILITY'!Q100+'RAP TEMPLATE-GAS AVAILABILITY'!R100)</f>
        <v>5.9593043165467616</v>
      </c>
    </row>
    <row r="102" spans="1:30" ht="15">
      <c r="A102" s="16">
        <v>44348</v>
      </c>
      <c r="B102" s="10">
        <f>CHOOSE(CONTROL!$C$42, 6.1645, 6.1645) * CHOOSE(CONTROL!$C$21, $C$9, 100%, $E$9)</f>
        <v>6.1645000000000003</v>
      </c>
      <c r="C102" s="10">
        <f>CHOOSE(CONTROL!$C$42, 6.1725, 6.1725) * CHOOSE(CONTROL!$C$21, $C$9, 100%, $E$9)</f>
        <v>6.1725000000000003</v>
      </c>
      <c r="D102" s="10">
        <f>CHOOSE(CONTROL!$C$42, 6.3296, 6.3296) * CHOOSE(CONTROL!$C$21, $C$9, 100%, $E$9)</f>
        <v>6.3296000000000001</v>
      </c>
      <c r="E102" s="10">
        <f>CHOOSE(CONTROL!$C$42, 6.3608, 6.3608) * CHOOSE(CONTROL!$C$21, $C$9, 100%, $E$9)</f>
        <v>6.3608000000000002</v>
      </c>
      <c r="F102" s="10">
        <f>CHOOSE(CONTROL!$C$42, 6.1089, 6.1089)*CHOOSE(CONTROL!$C$21, $C$9, 100%, $E$9)</f>
        <v>6.1089000000000002</v>
      </c>
      <c r="G102" s="10">
        <f>CHOOSE(CONTROL!$C$42, 6.125, 6.125)*CHOOSE(CONTROL!$C$21, $C$9, 100%, $E$9)</f>
        <v>6.125</v>
      </c>
      <c r="H102" s="10">
        <f>CHOOSE(CONTROL!$C$42, 6.3491, 6.3491) * CHOOSE(CONTROL!$C$21, $C$9, 100%, $E$9)</f>
        <v>6.3491</v>
      </c>
      <c r="I102" s="10">
        <f>CHOOSE(CONTROL!$C$42, 6.1433, 6.1433)* CHOOSE(CONTROL!$C$21, $C$9, 100%, $E$9)</f>
        <v>6.1433</v>
      </c>
      <c r="J102" s="10">
        <f>CHOOSE(CONTROL!$C$42, 6.1015, 6.1015)* CHOOSE(CONTROL!$C$21, $C$9, 100%, $E$9)</f>
        <v>6.1014999999999997</v>
      </c>
      <c r="K102" s="10">
        <f>CHOOSE(CONTROL!$C$42, 6.1112, 6.1112) * CHOOSE(CONTROL!$C$21, $C$9, 100%, $E$9)</f>
        <v>6.1112000000000002</v>
      </c>
      <c r="L102" s="10">
        <f>CHOOSE(CONTROL!$C$42, 6.9361, 6.9361) * CHOOSE(CONTROL!$C$21, $C$9, 100%, $E$9)</f>
        <v>6.9360999999999997</v>
      </c>
      <c r="M102" s="10">
        <f>CHOOSE(CONTROL!$C$42, 6.0494, 6.0494) * CHOOSE(CONTROL!$C$21, $C$9, 100%, $E$9)</f>
        <v>6.0494000000000003</v>
      </c>
      <c r="N102" s="10">
        <f>CHOOSE(CONTROL!$C$42, 6.0653, 6.0653) * CHOOSE(CONTROL!$C$21, $C$9, 100%, $E$9)</f>
        <v>6.0652999999999997</v>
      </c>
      <c r="O102" s="10">
        <f>CHOOSE(CONTROL!$C$42, 6.2936, 6.2936) * CHOOSE(CONTROL!$C$21, $C$9, 100%, $E$9)</f>
        <v>6.2935999999999996</v>
      </c>
      <c r="P102" s="10">
        <f>CHOOSE(CONTROL!$C$42, 6.0907, 6.0907) * CHOOSE(CONTROL!$C$21, $C$9, 100%, $E$9)</f>
        <v>6.0907</v>
      </c>
      <c r="Q102" s="10">
        <f>CHOOSE(CONTROL!$C$42, 6.8889, 6.8889) * CHOOSE(CONTROL!$C$21, $C$9, 100%, $E$9)</f>
        <v>6.8888999999999996</v>
      </c>
      <c r="R102" s="10">
        <f>CHOOSE(CONTROL!$C$42, 7.4931, 7.4931) * CHOOSE(CONTROL!$C$21, $C$9, 100%, $E$9)</f>
        <v>7.4931000000000001</v>
      </c>
      <c r="S102" s="10">
        <f>CHOOSE(CONTROL!$C$42, 5.9837, 5.9837) * CHOOSE(CONTROL!$C$21, $C$9, 100%, $E$9)</f>
        <v>5.9836999999999998</v>
      </c>
      <c r="T10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2" s="38">
        <f>(1000*CHOOSE(CONTROL!$C$42, 695, 695)*CHOOSE(CONTROL!$C$42, 0.5599, 0.5599)*CHOOSE(CONTROL!$C$42, 30, 30))/1000000</f>
        <v>11.673914999999997</v>
      </c>
      <c r="V102" s="38">
        <f>(1000*CHOOSE(CONTROL!$C$42, 500, 500)*CHOOSE(CONTROL!$C$42, 0.275, 0.275)*CHOOSE(CONTROL!$C$42, 30, 30))/1000000</f>
        <v>4.125</v>
      </c>
      <c r="W102" s="38">
        <f>(1000*CHOOSE(CONTROL!$C$42, 0.1146, 0.1146)*CHOOSE(CONTROL!$C$42, 121.5, 121.5)*CHOOSE(CONTROL!$C$42, 30, 30))/1000000</f>
        <v>0.417717</v>
      </c>
      <c r="X102" s="38">
        <f>(30*0.1790888*245000/1000000)+(30*0.2374*100000/1000000)</f>
        <v>2.0285026799999999</v>
      </c>
      <c r="Y102" s="38">
        <f>(1000*600*CHOOSE(CONTROL!$C$42, 1.7748, 1.7748)*CHOOSE(CONTROL!$C$42, 30, 30))/1000000</f>
        <v>31.946400000000001</v>
      </c>
      <c r="Z102" s="38"/>
      <c r="AA102" s="10"/>
      <c r="AB102" s="39"/>
      <c r="AC102" s="33">
        <f>(B102*194.205+C102*267.466+D102*133.845+E102*53.484+F102*40+G102*185+H102*0+I102*100+J102*300)/(194.205+267.466+133.845+53.484+0+40+185+100+300)</f>
        <v>6.1677848875196233</v>
      </c>
      <c r="AD102" s="27">
        <f>(M102*'RAP TEMPLATE-GAS AVAILABILITY'!O101+N102*'RAP TEMPLATE-GAS AVAILABILITY'!P101+O102*'RAP TEMPLATE-GAS AVAILABILITY'!Q101+P102*'RAP TEMPLATE-GAS AVAILABILITY'!R101)/('RAP TEMPLATE-GAS AVAILABILITY'!O101+'RAP TEMPLATE-GAS AVAILABILITY'!P101+'RAP TEMPLATE-GAS AVAILABILITY'!Q101+'RAP TEMPLATE-GAS AVAILABILITY'!R101)</f>
        <v>6.1275194244604316</v>
      </c>
    </row>
    <row r="103" spans="1:30" ht="15">
      <c r="A103" s="16">
        <v>44378</v>
      </c>
      <c r="B103" s="10">
        <f>CHOOSE(CONTROL!$C$42, 6.046, 6.046) * CHOOSE(CONTROL!$C$21, $C$9, 100%, $E$9)</f>
        <v>6.0460000000000003</v>
      </c>
      <c r="C103" s="10">
        <f>CHOOSE(CONTROL!$C$42, 6.054, 6.054) * CHOOSE(CONTROL!$C$21, $C$9, 100%, $E$9)</f>
        <v>6.0540000000000003</v>
      </c>
      <c r="D103" s="10">
        <f>CHOOSE(CONTROL!$C$42, 6.2111, 6.2111) * CHOOSE(CONTROL!$C$21, $C$9, 100%, $E$9)</f>
        <v>6.2111000000000001</v>
      </c>
      <c r="E103" s="10">
        <f>CHOOSE(CONTROL!$C$42, 6.2423, 6.2423) * CHOOSE(CONTROL!$C$21, $C$9, 100%, $E$9)</f>
        <v>6.2423000000000002</v>
      </c>
      <c r="F103" s="10">
        <f>CHOOSE(CONTROL!$C$42, 5.9907, 5.9907)*CHOOSE(CONTROL!$C$21, $C$9, 100%, $E$9)</f>
        <v>5.9907000000000004</v>
      </c>
      <c r="G103" s="10">
        <f>CHOOSE(CONTROL!$C$42, 6.0069, 6.0069)*CHOOSE(CONTROL!$C$21, $C$9, 100%, $E$9)</f>
        <v>6.0068999999999999</v>
      </c>
      <c r="H103" s="10">
        <f>CHOOSE(CONTROL!$C$42, 6.2306, 6.2306) * CHOOSE(CONTROL!$C$21, $C$9, 100%, $E$9)</f>
        <v>6.2305999999999999</v>
      </c>
      <c r="I103" s="10">
        <f>CHOOSE(CONTROL!$C$42, 6.0248, 6.0248)* CHOOSE(CONTROL!$C$21, $C$9, 100%, $E$9)</f>
        <v>6.0247999999999999</v>
      </c>
      <c r="J103" s="10">
        <f>CHOOSE(CONTROL!$C$42, 5.9833, 5.9833)* CHOOSE(CONTROL!$C$21, $C$9, 100%, $E$9)</f>
        <v>5.9832999999999998</v>
      </c>
      <c r="K103" s="10">
        <f>CHOOSE(CONTROL!$C$42, 5.997, 5.997) * CHOOSE(CONTROL!$C$21, $C$9, 100%, $E$9)</f>
        <v>5.9969999999999999</v>
      </c>
      <c r="L103" s="10">
        <f>CHOOSE(CONTROL!$C$42, 6.8176, 6.8176) * CHOOSE(CONTROL!$C$21, $C$9, 100%, $E$9)</f>
        <v>6.8175999999999997</v>
      </c>
      <c r="M103" s="10">
        <f>CHOOSE(CONTROL!$C$42, 5.9328, 5.9328) * CHOOSE(CONTROL!$C$21, $C$9, 100%, $E$9)</f>
        <v>5.9328000000000003</v>
      </c>
      <c r="N103" s="10">
        <f>CHOOSE(CONTROL!$C$42, 5.9488, 5.9488) * CHOOSE(CONTROL!$C$21, $C$9, 100%, $E$9)</f>
        <v>5.9488000000000003</v>
      </c>
      <c r="O103" s="10">
        <f>CHOOSE(CONTROL!$C$42, 6.1767, 6.1767) * CHOOSE(CONTROL!$C$21, $C$9, 100%, $E$9)</f>
        <v>6.1767000000000003</v>
      </c>
      <c r="P103" s="10">
        <f>CHOOSE(CONTROL!$C$42, 5.9738, 5.9738) * CHOOSE(CONTROL!$C$21, $C$9, 100%, $E$9)</f>
        <v>5.9737999999999998</v>
      </c>
      <c r="Q103" s="10">
        <f>CHOOSE(CONTROL!$C$42, 6.772, 6.772) * CHOOSE(CONTROL!$C$21, $C$9, 100%, $E$9)</f>
        <v>6.7720000000000002</v>
      </c>
      <c r="R103" s="10">
        <f>CHOOSE(CONTROL!$C$42, 7.3759, 7.3759) * CHOOSE(CONTROL!$C$21, $C$9, 100%, $E$9)</f>
        <v>7.3758999999999997</v>
      </c>
      <c r="S103" s="10">
        <f>CHOOSE(CONTROL!$C$42, 5.8689, 5.8689) * CHOOSE(CONTROL!$C$21, $C$9, 100%, $E$9)</f>
        <v>5.8689</v>
      </c>
      <c r="T10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3" s="38">
        <f>(1000*CHOOSE(CONTROL!$C$42, 695, 695)*CHOOSE(CONTROL!$C$42, 0.5599, 0.5599)*CHOOSE(CONTROL!$C$42, 31, 31))/1000000</f>
        <v>12.063045499999998</v>
      </c>
      <c r="V103" s="38">
        <f>(1000*CHOOSE(CONTROL!$C$42, 500, 500)*CHOOSE(CONTROL!$C$42, 0.275, 0.275)*CHOOSE(CONTROL!$C$42, 31, 31))/1000000</f>
        <v>4.2625000000000002</v>
      </c>
      <c r="W103" s="38">
        <f>(1000*CHOOSE(CONTROL!$C$42, 0.1146, 0.1146)*CHOOSE(CONTROL!$C$42, 121.5, 121.5)*CHOOSE(CONTROL!$C$42, 31, 31))/1000000</f>
        <v>0.43164089999999994</v>
      </c>
      <c r="X103" s="38">
        <f>(31*0.1790888*245000/1000000)+(31*0.2374*100000/1000000)</f>
        <v>2.0961194359999999</v>
      </c>
      <c r="Y103" s="38">
        <f>(1000*600*CHOOSE(CONTROL!$C$42, 1.7748, 1.7748)*CHOOSE(CONTROL!$C$42, 31, 31))/1000000</f>
        <v>33.011279999999999</v>
      </c>
      <c r="Z103" s="38"/>
      <c r="AA103" s="10"/>
      <c r="AB103" s="39"/>
      <c r="AC103" s="33">
        <f>(B103*194.205+C103*267.466+D103*133.845+E103*53.484+F103*40+G103*185+H103*0+I103*100+J103*300)/(194.205+267.466+133.845+53.484+0+40+185+100+300)</f>
        <v>6.0494230350863418</v>
      </c>
      <c r="AD103" s="27">
        <f>(M103*'RAP TEMPLATE-GAS AVAILABILITY'!O102+N103*'RAP TEMPLATE-GAS AVAILABILITY'!P102+O103*'RAP TEMPLATE-GAS AVAILABILITY'!Q102+P103*'RAP TEMPLATE-GAS AVAILABILITY'!R102)/('RAP TEMPLATE-GAS AVAILABILITY'!O102+'RAP TEMPLATE-GAS AVAILABILITY'!P102+'RAP TEMPLATE-GAS AVAILABILITY'!Q102+'RAP TEMPLATE-GAS AVAILABILITY'!R102)</f>
        <v>6.01081510791367</v>
      </c>
    </row>
    <row r="104" spans="1:30" ht="15">
      <c r="A104" s="16">
        <v>44409</v>
      </c>
      <c r="B104" s="10">
        <f>CHOOSE(CONTROL!$C$42, 5.7467, 5.7467) * CHOOSE(CONTROL!$C$21, $C$9, 100%, $E$9)</f>
        <v>5.7466999999999997</v>
      </c>
      <c r="C104" s="10">
        <f>CHOOSE(CONTROL!$C$42, 5.7547, 5.7547) * CHOOSE(CONTROL!$C$21, $C$9, 100%, $E$9)</f>
        <v>5.7546999999999997</v>
      </c>
      <c r="D104" s="10">
        <f>CHOOSE(CONTROL!$C$42, 5.9117, 5.9117) * CHOOSE(CONTROL!$C$21, $C$9, 100%, $E$9)</f>
        <v>5.9116999999999997</v>
      </c>
      <c r="E104" s="10">
        <f>CHOOSE(CONTROL!$C$42, 5.943, 5.943) * CHOOSE(CONTROL!$C$21, $C$9, 100%, $E$9)</f>
        <v>5.9429999999999996</v>
      </c>
      <c r="F104" s="10">
        <f>CHOOSE(CONTROL!$C$42, 5.6913, 5.6913)*CHOOSE(CONTROL!$C$21, $C$9, 100%, $E$9)</f>
        <v>5.6913</v>
      </c>
      <c r="G104" s="10">
        <f>CHOOSE(CONTROL!$C$42, 5.7075, 5.7075)*CHOOSE(CONTROL!$C$21, $C$9, 100%, $E$9)</f>
        <v>5.7074999999999996</v>
      </c>
      <c r="H104" s="10">
        <f>CHOOSE(CONTROL!$C$42, 5.9313, 5.9313) * CHOOSE(CONTROL!$C$21, $C$9, 100%, $E$9)</f>
        <v>5.9313000000000002</v>
      </c>
      <c r="I104" s="10">
        <f>CHOOSE(CONTROL!$C$42, 5.7255, 5.7255)* CHOOSE(CONTROL!$C$21, $C$9, 100%, $E$9)</f>
        <v>5.7255000000000003</v>
      </c>
      <c r="J104" s="10">
        <f>CHOOSE(CONTROL!$C$42, 5.6839, 5.6839)* CHOOSE(CONTROL!$C$21, $C$9, 100%, $E$9)</f>
        <v>5.6839000000000004</v>
      </c>
      <c r="K104" s="10">
        <f>CHOOSE(CONTROL!$C$42, 5.7069, 5.7069) * CHOOSE(CONTROL!$C$21, $C$9, 100%, $E$9)</f>
        <v>5.7069000000000001</v>
      </c>
      <c r="L104" s="10">
        <f>CHOOSE(CONTROL!$C$42, 6.5183, 6.5183) * CHOOSE(CONTROL!$C$21, $C$9, 100%, $E$9)</f>
        <v>6.5183</v>
      </c>
      <c r="M104" s="10">
        <f>CHOOSE(CONTROL!$C$42, 5.6376, 5.6376) * CHOOSE(CONTROL!$C$21, $C$9, 100%, $E$9)</f>
        <v>5.6375999999999999</v>
      </c>
      <c r="N104" s="10">
        <f>CHOOSE(CONTROL!$C$42, 5.6536, 5.6536) * CHOOSE(CONTROL!$C$21, $C$9, 100%, $E$9)</f>
        <v>5.6536</v>
      </c>
      <c r="O104" s="10">
        <f>CHOOSE(CONTROL!$C$42, 5.8816, 5.8816) * CHOOSE(CONTROL!$C$21, $C$9, 100%, $E$9)</f>
        <v>5.8815999999999997</v>
      </c>
      <c r="P104" s="10">
        <f>CHOOSE(CONTROL!$C$42, 5.6787, 5.6787) * CHOOSE(CONTROL!$C$21, $C$9, 100%, $E$9)</f>
        <v>5.6787000000000001</v>
      </c>
      <c r="Q104" s="10">
        <f>CHOOSE(CONTROL!$C$42, 6.4769, 6.4769) * CHOOSE(CONTROL!$C$21, $C$9, 100%, $E$9)</f>
        <v>6.4768999999999997</v>
      </c>
      <c r="R104" s="10">
        <f>CHOOSE(CONTROL!$C$42, 7.0801, 7.0801) * CHOOSE(CONTROL!$C$21, $C$9, 100%, $E$9)</f>
        <v>7.0800999999999998</v>
      </c>
      <c r="S104" s="10">
        <f>CHOOSE(CONTROL!$C$42, 5.5791, 5.5791) * CHOOSE(CONTROL!$C$21, $C$9, 100%, $E$9)</f>
        <v>5.5791000000000004</v>
      </c>
      <c r="T10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4" s="38">
        <f>(1000*CHOOSE(CONTROL!$C$42, 695, 695)*CHOOSE(CONTROL!$C$42, 0.5599, 0.5599)*CHOOSE(CONTROL!$C$42, 31, 31))/1000000</f>
        <v>12.063045499999998</v>
      </c>
      <c r="V104" s="38">
        <f>(1000*CHOOSE(CONTROL!$C$42, 500, 500)*CHOOSE(CONTROL!$C$42, 0.275, 0.275)*CHOOSE(CONTROL!$C$42, 31, 31))/1000000</f>
        <v>4.2625000000000002</v>
      </c>
      <c r="W104" s="38">
        <f>(1000*CHOOSE(CONTROL!$C$42, 0.1146, 0.1146)*CHOOSE(CONTROL!$C$42, 121.5, 121.5)*CHOOSE(CONTROL!$C$42, 31, 31))/1000000</f>
        <v>0.43164089999999994</v>
      </c>
      <c r="X104" s="38">
        <f>(31*0.1790888*245000/1000000)+(31*0.2374*100000/1000000)</f>
        <v>2.0961194359999999</v>
      </c>
      <c r="Y104" s="38">
        <f>(1000*600*CHOOSE(CONTROL!$C$42, 1.7748, 1.7748)*CHOOSE(CONTROL!$C$42, 31, 31))/1000000</f>
        <v>33.011279999999999</v>
      </c>
      <c r="Z104" s="38"/>
      <c r="AA104" s="10"/>
      <c r="AB104" s="39"/>
      <c r="AC104" s="33">
        <f>(B104*194.205+C104*267.466+D104*133.845+E104*53.484+F104*40+G104*185+H104*0+I104*100+J104*300)/(194.205+267.466+133.845+53.484+0+40+185+100+300)</f>
        <v>5.7500713204081633</v>
      </c>
      <c r="AD104" s="27">
        <f>(M104*'RAP TEMPLATE-GAS AVAILABILITY'!O103+N104*'RAP TEMPLATE-GAS AVAILABILITY'!P103+O104*'RAP TEMPLATE-GAS AVAILABILITY'!Q103+P104*'RAP TEMPLATE-GAS AVAILABILITY'!R103)/('RAP TEMPLATE-GAS AVAILABILITY'!O103+'RAP TEMPLATE-GAS AVAILABILITY'!P103+'RAP TEMPLATE-GAS AVAILABILITY'!Q103+'RAP TEMPLATE-GAS AVAILABILITY'!R103)</f>
        <v>5.7156575539568344</v>
      </c>
    </row>
    <row r="105" spans="1:30" ht="15">
      <c r="A105" s="16">
        <v>44440</v>
      </c>
      <c r="B105" s="10">
        <f>CHOOSE(CONTROL!$C$42, 5.381, 5.381) * CHOOSE(CONTROL!$C$21, $C$9, 100%, $E$9)</f>
        <v>5.3810000000000002</v>
      </c>
      <c r="C105" s="10">
        <f>CHOOSE(CONTROL!$C$42, 5.389, 5.389) * CHOOSE(CONTROL!$C$21, $C$9, 100%, $E$9)</f>
        <v>5.3890000000000002</v>
      </c>
      <c r="D105" s="10">
        <f>CHOOSE(CONTROL!$C$42, 5.546, 5.546) * CHOOSE(CONTROL!$C$21, $C$9, 100%, $E$9)</f>
        <v>5.5460000000000003</v>
      </c>
      <c r="E105" s="10">
        <f>CHOOSE(CONTROL!$C$42, 5.5772, 5.5772) * CHOOSE(CONTROL!$C$21, $C$9, 100%, $E$9)</f>
        <v>5.5772000000000004</v>
      </c>
      <c r="F105" s="10">
        <f>CHOOSE(CONTROL!$C$42, 5.3254, 5.3254)*CHOOSE(CONTROL!$C$21, $C$9, 100%, $E$9)</f>
        <v>5.3254000000000001</v>
      </c>
      <c r="G105" s="10">
        <f>CHOOSE(CONTROL!$C$42, 5.3415, 5.3415)*CHOOSE(CONTROL!$C$21, $C$9, 100%, $E$9)</f>
        <v>5.3414999999999999</v>
      </c>
      <c r="H105" s="10">
        <f>CHOOSE(CONTROL!$C$42, 5.5656, 5.5656) * CHOOSE(CONTROL!$C$21, $C$9, 100%, $E$9)</f>
        <v>5.5655999999999999</v>
      </c>
      <c r="I105" s="10">
        <f>CHOOSE(CONTROL!$C$42, 5.3598, 5.3598)* CHOOSE(CONTROL!$C$21, $C$9, 100%, $E$9)</f>
        <v>5.3597999999999999</v>
      </c>
      <c r="J105" s="10">
        <f>CHOOSE(CONTROL!$C$42, 5.318, 5.318)* CHOOSE(CONTROL!$C$21, $C$9, 100%, $E$9)</f>
        <v>5.3179999999999996</v>
      </c>
      <c r="K105" s="10">
        <f>CHOOSE(CONTROL!$C$42, 5.3522, 5.3522) * CHOOSE(CONTROL!$C$21, $C$9, 100%, $E$9)</f>
        <v>5.3521999999999998</v>
      </c>
      <c r="L105" s="10">
        <f>CHOOSE(CONTROL!$C$42, 6.1526, 6.1526) * CHOOSE(CONTROL!$C$21, $C$9, 100%, $E$9)</f>
        <v>6.1525999999999996</v>
      </c>
      <c r="M105" s="10">
        <f>CHOOSE(CONTROL!$C$42, 5.2768, 5.2768) * CHOOSE(CONTROL!$C$21, $C$9, 100%, $E$9)</f>
        <v>5.2767999999999997</v>
      </c>
      <c r="N105" s="10">
        <f>CHOOSE(CONTROL!$C$42, 5.2928, 5.2928) * CHOOSE(CONTROL!$C$21, $C$9, 100%, $E$9)</f>
        <v>5.2927999999999997</v>
      </c>
      <c r="O105" s="10">
        <f>CHOOSE(CONTROL!$C$42, 5.521, 5.521) * CHOOSE(CONTROL!$C$21, $C$9, 100%, $E$9)</f>
        <v>5.5209999999999999</v>
      </c>
      <c r="P105" s="10">
        <f>CHOOSE(CONTROL!$C$42, 5.3181, 5.3181) * CHOOSE(CONTROL!$C$21, $C$9, 100%, $E$9)</f>
        <v>5.3181000000000003</v>
      </c>
      <c r="Q105" s="10">
        <f>CHOOSE(CONTROL!$C$42, 6.1163, 6.1163) * CHOOSE(CONTROL!$C$21, $C$9, 100%, $E$9)</f>
        <v>6.1162999999999998</v>
      </c>
      <c r="R105" s="10">
        <f>CHOOSE(CONTROL!$C$42, 6.7185, 6.7185) * CHOOSE(CONTROL!$C$21, $C$9, 100%, $E$9)</f>
        <v>6.7184999999999997</v>
      </c>
      <c r="S105" s="10">
        <f>CHOOSE(CONTROL!$C$42, 5.225, 5.225) * CHOOSE(CONTROL!$C$21, $C$9, 100%, $E$9)</f>
        <v>5.2249999999999996</v>
      </c>
      <c r="T10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5" s="38">
        <f>(1000*CHOOSE(CONTROL!$C$42, 695, 695)*CHOOSE(CONTROL!$C$42, 0.5599, 0.5599)*CHOOSE(CONTROL!$C$42, 30, 30))/1000000</f>
        <v>11.673914999999997</v>
      </c>
      <c r="V105" s="38">
        <f>(1000*CHOOSE(CONTROL!$C$42, 500, 500)*CHOOSE(CONTROL!$C$42, 0.275, 0.275)*CHOOSE(CONTROL!$C$42, 30, 30))/1000000</f>
        <v>4.125</v>
      </c>
      <c r="W105" s="38">
        <f>(1000*CHOOSE(CONTROL!$C$42, 0.1146, 0.1146)*CHOOSE(CONTROL!$C$42, 121.5, 121.5)*CHOOSE(CONTROL!$C$42, 30, 30))/1000000</f>
        <v>0.417717</v>
      </c>
      <c r="X105" s="38">
        <f>(30*0.1790888*245000/1000000)+(30*0.2374*100000/1000000)</f>
        <v>2.0285026799999999</v>
      </c>
      <c r="Y105" s="38">
        <f>(1000*600*CHOOSE(CONTROL!$C$42, 1.7748, 1.7748)*CHOOSE(CONTROL!$C$42, 30, 30))/1000000</f>
        <v>31.946400000000001</v>
      </c>
      <c r="Z105" s="38"/>
      <c r="AA105" s="10"/>
      <c r="AB105" s="39"/>
      <c r="AC105" s="33">
        <f>(B105*194.205+C105*267.466+D105*133.845+E105*53.484+F105*40+G105*185+H105*0+I105*100+J105*300)/(194.205+267.466+133.845+53.484+0+40+185+100+300)</f>
        <v>5.3842701835164828</v>
      </c>
      <c r="AD105" s="27">
        <f>(M105*'RAP TEMPLATE-GAS AVAILABILITY'!O104+N105*'RAP TEMPLATE-GAS AVAILABILITY'!P104+O105*'RAP TEMPLATE-GAS AVAILABILITY'!Q104+P105*'RAP TEMPLATE-GAS AVAILABILITY'!R104)/('RAP TEMPLATE-GAS AVAILABILITY'!O104+'RAP TEMPLATE-GAS AVAILABILITY'!P104+'RAP TEMPLATE-GAS AVAILABILITY'!Q104+'RAP TEMPLATE-GAS AVAILABILITY'!R104)</f>
        <v>5.3549424460431654</v>
      </c>
    </row>
    <row r="106" spans="1:30" ht="15">
      <c r="A106" s="16">
        <v>44470</v>
      </c>
      <c r="B106" s="10">
        <f>CHOOSE(CONTROL!$C$42, 5.2693, 5.2693) * CHOOSE(CONTROL!$C$21, $C$9, 100%, $E$9)</f>
        <v>5.2693000000000003</v>
      </c>
      <c r="C106" s="10">
        <f>CHOOSE(CONTROL!$C$42, 5.2746, 5.2746) * CHOOSE(CONTROL!$C$21, $C$9, 100%, $E$9)</f>
        <v>5.2746000000000004</v>
      </c>
      <c r="D106" s="10">
        <f>CHOOSE(CONTROL!$C$42, 5.4365, 5.4365) * CHOOSE(CONTROL!$C$21, $C$9, 100%, $E$9)</f>
        <v>5.4364999999999997</v>
      </c>
      <c r="E106" s="10">
        <f>CHOOSE(CONTROL!$C$42, 5.4655, 5.4655) * CHOOSE(CONTROL!$C$21, $C$9, 100%, $E$9)</f>
        <v>5.4654999999999996</v>
      </c>
      <c r="F106" s="10">
        <f>CHOOSE(CONTROL!$C$42, 5.2157, 5.2157)*CHOOSE(CONTROL!$C$21, $C$9, 100%, $E$9)</f>
        <v>5.2157</v>
      </c>
      <c r="G106" s="10">
        <f>CHOOSE(CONTROL!$C$42, 5.2315, 5.2315)*CHOOSE(CONTROL!$C$21, $C$9, 100%, $E$9)</f>
        <v>5.2314999999999996</v>
      </c>
      <c r="H106" s="10">
        <f>CHOOSE(CONTROL!$C$42, 5.4556, 5.4556) * CHOOSE(CONTROL!$C$21, $C$9, 100%, $E$9)</f>
        <v>5.4555999999999996</v>
      </c>
      <c r="I106" s="10">
        <f>CHOOSE(CONTROL!$C$42, 5.2498, 5.2498)* CHOOSE(CONTROL!$C$21, $C$9, 100%, $E$9)</f>
        <v>5.2497999999999996</v>
      </c>
      <c r="J106" s="10">
        <f>CHOOSE(CONTROL!$C$42, 5.2083, 5.2083)* CHOOSE(CONTROL!$C$21, $C$9, 100%, $E$9)</f>
        <v>5.2083000000000004</v>
      </c>
      <c r="K106" s="10">
        <f>CHOOSE(CONTROL!$C$42, 5.2463, 5.2463) * CHOOSE(CONTROL!$C$21, $C$9, 100%, $E$9)</f>
        <v>5.2462999999999997</v>
      </c>
      <c r="L106" s="10">
        <f>CHOOSE(CONTROL!$C$42, 6.0426, 6.0426) * CHOOSE(CONTROL!$C$21, $C$9, 100%, $E$9)</f>
        <v>6.0426000000000002</v>
      </c>
      <c r="M106" s="10">
        <f>CHOOSE(CONTROL!$C$42, 5.1686, 5.1686) * CHOOSE(CONTROL!$C$21, $C$9, 100%, $E$9)</f>
        <v>5.1685999999999996</v>
      </c>
      <c r="N106" s="10">
        <f>CHOOSE(CONTROL!$C$42, 5.1842, 5.1842) * CHOOSE(CONTROL!$C$21, $C$9, 100%, $E$9)</f>
        <v>5.1841999999999997</v>
      </c>
      <c r="O106" s="10">
        <f>CHOOSE(CONTROL!$C$42, 5.4125, 5.4125) * CHOOSE(CONTROL!$C$21, $C$9, 100%, $E$9)</f>
        <v>5.4124999999999996</v>
      </c>
      <c r="P106" s="10">
        <f>CHOOSE(CONTROL!$C$42, 5.2096, 5.2096) * CHOOSE(CONTROL!$C$21, $C$9, 100%, $E$9)</f>
        <v>5.2096</v>
      </c>
      <c r="Q106" s="10">
        <f>CHOOSE(CONTROL!$C$42, 6.0078, 6.0078) * CHOOSE(CONTROL!$C$21, $C$9, 100%, $E$9)</f>
        <v>6.0077999999999996</v>
      </c>
      <c r="R106" s="10">
        <f>CHOOSE(CONTROL!$C$42, 6.6098, 6.6098) * CHOOSE(CONTROL!$C$21, $C$9, 100%, $E$9)</f>
        <v>6.6097999999999999</v>
      </c>
      <c r="S106" s="10">
        <f>CHOOSE(CONTROL!$C$42, 5.1185, 5.1185) * CHOOSE(CONTROL!$C$21, $C$9, 100%, $E$9)</f>
        <v>5.1185</v>
      </c>
      <c r="T10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6" s="38">
        <f>(1000*CHOOSE(CONTROL!$C$42, 695, 695)*CHOOSE(CONTROL!$C$42, 0.5599, 0.5599)*CHOOSE(CONTROL!$C$42, 31, 31))/1000000</f>
        <v>12.063045499999998</v>
      </c>
      <c r="V106" s="38">
        <f>(1000*CHOOSE(CONTROL!$C$42, 500, 500)*CHOOSE(CONTROL!$C$42, 0.275, 0.275)*CHOOSE(CONTROL!$C$42, 31, 31))/1000000</f>
        <v>4.2625000000000002</v>
      </c>
      <c r="W106" s="38">
        <f>(1000*CHOOSE(CONTROL!$C$42, 0.1146, 0.1146)*CHOOSE(CONTROL!$C$42, 121.5, 121.5)*CHOOSE(CONTROL!$C$42, 31, 31))/1000000</f>
        <v>0.43164089999999994</v>
      </c>
      <c r="X106" s="38">
        <f>(31*0.1790888*245000/1000000)+(31*0.2374*100000/1000000)</f>
        <v>2.0961194359999999</v>
      </c>
      <c r="Y106" s="38">
        <f>(1000*600*CHOOSE(CONTROL!$C$42, 1.7748, 1.7748)*CHOOSE(CONTROL!$C$42, 31, 31))/1000000</f>
        <v>33.011279999999999</v>
      </c>
      <c r="Z106" s="38"/>
      <c r="AA106" s="10"/>
      <c r="AB106" s="39"/>
      <c r="AC106" s="33">
        <f>(B106*131.881+C106*277.167+D106*79.08+E106*125.872+F106*40+G106*185+H106*0+I106*100+J106*300)/(131.881+277.167+79.08+125.872+0+40+185+100+300)</f>
        <v>5.2773712247780464</v>
      </c>
      <c r="AD106" s="27">
        <f>(M106*'RAP TEMPLATE-GAS AVAILABILITY'!O105+N106*'RAP TEMPLATE-GAS AVAILABILITY'!P105+O106*'RAP TEMPLATE-GAS AVAILABILITY'!Q105+P106*'RAP TEMPLATE-GAS AVAILABILITY'!R105)/('RAP TEMPLATE-GAS AVAILABILITY'!O105+'RAP TEMPLATE-GAS AVAILABILITY'!P105+'RAP TEMPLATE-GAS AVAILABILITY'!Q105+'RAP TEMPLATE-GAS AVAILABILITY'!R105)</f>
        <v>5.2465230215827336</v>
      </c>
    </row>
    <row r="107" spans="1:30" ht="15">
      <c r="A107" s="16">
        <v>44501</v>
      </c>
      <c r="B107" s="10">
        <f>CHOOSE(CONTROL!$C$42, 5.4081, 5.4081) * CHOOSE(CONTROL!$C$21, $C$9, 100%, $E$9)</f>
        <v>5.4081000000000001</v>
      </c>
      <c r="C107" s="10">
        <f>CHOOSE(CONTROL!$C$42, 5.4132, 5.4132) * CHOOSE(CONTROL!$C$21, $C$9, 100%, $E$9)</f>
        <v>5.4131999999999998</v>
      </c>
      <c r="D107" s="10">
        <f>CHOOSE(CONTROL!$C$42, 5.4379, 5.4379) * CHOOSE(CONTROL!$C$21, $C$9, 100%, $E$9)</f>
        <v>5.4379</v>
      </c>
      <c r="E107" s="10">
        <f>CHOOSE(CONTROL!$C$42, 5.4717, 5.4717) * CHOOSE(CONTROL!$C$21, $C$9, 100%, $E$9)</f>
        <v>5.4717000000000002</v>
      </c>
      <c r="F107" s="10">
        <f>CHOOSE(CONTROL!$C$42, 5.3764, 5.3764)*CHOOSE(CONTROL!$C$21, $C$9, 100%, $E$9)</f>
        <v>5.3764000000000003</v>
      </c>
      <c r="G107" s="10">
        <f>CHOOSE(CONTROL!$C$42, 5.3924, 5.3924)*CHOOSE(CONTROL!$C$21, $C$9, 100%, $E$9)</f>
        <v>5.3924000000000003</v>
      </c>
      <c r="H107" s="10">
        <f>CHOOSE(CONTROL!$C$42, 5.4606, 5.4606) * CHOOSE(CONTROL!$C$21, $C$9, 100%, $E$9)</f>
        <v>5.4606000000000003</v>
      </c>
      <c r="I107" s="10">
        <f>CHOOSE(CONTROL!$C$42, 5.4231, 5.4231)* CHOOSE(CONTROL!$C$21, $C$9, 100%, $E$9)</f>
        <v>5.4230999999999998</v>
      </c>
      <c r="J107" s="10">
        <f>CHOOSE(CONTROL!$C$42, 5.369, 5.369)* CHOOSE(CONTROL!$C$21, $C$9, 100%, $E$9)</f>
        <v>5.3689999999999998</v>
      </c>
      <c r="K107" s="10">
        <f>CHOOSE(CONTROL!$C$42, 5.4164, 5.4164) * CHOOSE(CONTROL!$C$21, $C$9, 100%, $E$9)</f>
        <v>5.4164000000000003</v>
      </c>
      <c r="L107" s="10">
        <f>CHOOSE(CONTROL!$C$42, 6.0476, 6.0476) * CHOOSE(CONTROL!$C$21, $C$9, 100%, $E$9)</f>
        <v>6.0476000000000001</v>
      </c>
      <c r="M107" s="10">
        <f>CHOOSE(CONTROL!$C$42, 5.3271, 5.3271) * CHOOSE(CONTROL!$C$21, $C$9, 100%, $E$9)</f>
        <v>5.3270999999999997</v>
      </c>
      <c r="N107" s="10">
        <f>CHOOSE(CONTROL!$C$42, 5.3429, 5.3429) * CHOOSE(CONTROL!$C$21, $C$9, 100%, $E$9)</f>
        <v>5.3429000000000002</v>
      </c>
      <c r="O107" s="10">
        <f>CHOOSE(CONTROL!$C$42, 5.4174, 5.4174) * CHOOSE(CONTROL!$C$21, $C$9, 100%, $E$9)</f>
        <v>5.4173999999999998</v>
      </c>
      <c r="P107" s="10">
        <f>CHOOSE(CONTROL!$C$42, 5.3805, 5.3805) * CHOOSE(CONTROL!$C$21, $C$9, 100%, $E$9)</f>
        <v>5.3804999999999996</v>
      </c>
      <c r="Q107" s="10">
        <f>CHOOSE(CONTROL!$C$42, 6.0127, 6.0127) * CHOOSE(CONTROL!$C$21, $C$9, 100%, $E$9)</f>
        <v>6.0126999999999997</v>
      </c>
      <c r="R107" s="10">
        <f>CHOOSE(CONTROL!$C$42, 6.6147, 6.6147) * CHOOSE(CONTROL!$C$21, $C$9, 100%, $E$9)</f>
        <v>6.6147</v>
      </c>
      <c r="S107" s="10">
        <f>CHOOSE(CONTROL!$C$42, 5.2533, 5.2533) * CHOOSE(CONTROL!$C$21, $C$9, 100%, $E$9)</f>
        <v>5.2533000000000003</v>
      </c>
      <c r="T10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7" s="38">
        <f>(1000*CHOOSE(CONTROL!$C$42, 695, 695)*CHOOSE(CONTROL!$C$42, 0.5599, 0.5599)*CHOOSE(CONTROL!$C$42, 30, 30))/1000000</f>
        <v>11.673914999999997</v>
      </c>
      <c r="V107" s="38">
        <f>(1000*CHOOSE(CONTROL!$C$42, 500, 500)*CHOOSE(CONTROL!$C$42, 0.275, 0.275)*CHOOSE(CONTROL!$C$42, 30, 30))/1000000</f>
        <v>4.125</v>
      </c>
      <c r="W107" s="38">
        <f>(1000*CHOOSE(CONTROL!$C$42, 0.1146, 0.1146)*CHOOSE(CONTROL!$C$42, 121.5, 121.5)*CHOOSE(CONTROL!$C$42, 30, 30))/1000000</f>
        <v>0.417717</v>
      </c>
      <c r="X107" s="38">
        <f>(30*0.1790888*100000/1000000)+(30*0.2374*100000/1000000)</f>
        <v>1.2494664</v>
      </c>
      <c r="Y107" s="38">
        <f>(1000*600*CHOOSE(CONTROL!$C$42, 1.7748, 1.7748)*CHOOSE(CONTROL!$C$42, 30, 30))/1000000</f>
        <v>31.946400000000001</v>
      </c>
      <c r="Z107" s="38"/>
      <c r="AA107" s="10"/>
      <c r="AB107" s="39"/>
      <c r="AC107" s="33">
        <f>(B107*122.58+C107*297.941+D107*89.177+E107*40.302+F107*40+G107*160+H107*0+I107*100+J107*300)/(122.58+297.941+89.177+40.302+0+40+160+100+300)</f>
        <v>5.4017784181739126</v>
      </c>
      <c r="AD107" s="27">
        <f>(M107*'RAP TEMPLATE-GAS AVAILABILITY'!O106+N107*'RAP TEMPLATE-GAS AVAILABILITY'!P106+O107*'RAP TEMPLATE-GAS AVAILABILITY'!Q106+P107*'RAP TEMPLATE-GAS AVAILABILITY'!R106)/('RAP TEMPLATE-GAS AVAILABILITY'!O106+'RAP TEMPLATE-GAS AVAILABILITY'!P106+'RAP TEMPLATE-GAS AVAILABILITY'!Q106+'RAP TEMPLATE-GAS AVAILABILITY'!R106)</f>
        <v>5.3766201438848924</v>
      </c>
    </row>
    <row r="108" spans="1:30" ht="15">
      <c r="A108" s="16">
        <v>44531</v>
      </c>
      <c r="B108" s="10">
        <f>CHOOSE(CONTROL!$C$42, 5.7779, 5.7779) * CHOOSE(CONTROL!$C$21, $C$9, 100%, $E$9)</f>
        <v>5.7778999999999998</v>
      </c>
      <c r="C108" s="10">
        <f>CHOOSE(CONTROL!$C$42, 5.783, 5.783) * CHOOSE(CONTROL!$C$21, $C$9, 100%, $E$9)</f>
        <v>5.7830000000000004</v>
      </c>
      <c r="D108" s="10">
        <f>CHOOSE(CONTROL!$C$42, 5.8077, 5.8077) * CHOOSE(CONTROL!$C$21, $C$9, 100%, $E$9)</f>
        <v>5.8076999999999996</v>
      </c>
      <c r="E108" s="10">
        <f>CHOOSE(CONTROL!$C$42, 5.8415, 5.8415) * CHOOSE(CONTROL!$C$21, $C$9, 100%, $E$9)</f>
        <v>5.8414999999999999</v>
      </c>
      <c r="F108" s="10">
        <f>CHOOSE(CONTROL!$C$42, 5.7482, 5.7482)*CHOOSE(CONTROL!$C$21, $C$9, 100%, $E$9)</f>
        <v>5.7481999999999998</v>
      </c>
      <c r="G108" s="10">
        <f>CHOOSE(CONTROL!$C$42, 5.7647, 5.7647)*CHOOSE(CONTROL!$C$21, $C$9, 100%, $E$9)</f>
        <v>5.7647000000000004</v>
      </c>
      <c r="H108" s="10">
        <f>CHOOSE(CONTROL!$C$42, 5.8304, 5.8304) * CHOOSE(CONTROL!$C$21, $C$9, 100%, $E$9)</f>
        <v>5.8304</v>
      </c>
      <c r="I108" s="10">
        <f>CHOOSE(CONTROL!$C$42, 5.7929, 5.7929)* CHOOSE(CONTROL!$C$21, $C$9, 100%, $E$9)</f>
        <v>5.7929000000000004</v>
      </c>
      <c r="J108" s="10">
        <f>CHOOSE(CONTROL!$C$42, 5.7408, 5.7408)* CHOOSE(CONTROL!$C$21, $C$9, 100%, $E$9)</f>
        <v>5.7408000000000001</v>
      </c>
      <c r="K108" s="10">
        <f>CHOOSE(CONTROL!$C$42, 5.7788, 5.7788) * CHOOSE(CONTROL!$C$21, $C$9, 100%, $E$9)</f>
        <v>5.7788000000000004</v>
      </c>
      <c r="L108" s="10">
        <f>CHOOSE(CONTROL!$C$42, 6.4174, 6.4174) * CHOOSE(CONTROL!$C$21, $C$9, 100%, $E$9)</f>
        <v>6.4173999999999998</v>
      </c>
      <c r="M108" s="10">
        <f>CHOOSE(CONTROL!$C$42, 5.6937, 5.6937) * CHOOSE(CONTROL!$C$21, $C$9, 100%, $E$9)</f>
        <v>5.6936999999999998</v>
      </c>
      <c r="N108" s="10">
        <f>CHOOSE(CONTROL!$C$42, 5.71, 5.71) * CHOOSE(CONTROL!$C$21, $C$9, 100%, $E$9)</f>
        <v>5.71</v>
      </c>
      <c r="O108" s="10">
        <f>CHOOSE(CONTROL!$C$42, 5.7821, 5.7821) * CHOOSE(CONTROL!$C$21, $C$9, 100%, $E$9)</f>
        <v>5.7820999999999998</v>
      </c>
      <c r="P108" s="10">
        <f>CHOOSE(CONTROL!$C$42, 5.7452, 5.7452) * CHOOSE(CONTROL!$C$21, $C$9, 100%, $E$9)</f>
        <v>5.7451999999999996</v>
      </c>
      <c r="Q108" s="10">
        <f>CHOOSE(CONTROL!$C$42, 6.3774, 6.3774) * CHOOSE(CONTROL!$C$21, $C$9, 100%, $E$9)</f>
        <v>6.3773999999999997</v>
      </c>
      <c r="R108" s="10">
        <f>CHOOSE(CONTROL!$C$42, 6.9803, 6.9803) * CHOOSE(CONTROL!$C$21, $C$9, 100%, $E$9)</f>
        <v>6.9802999999999997</v>
      </c>
      <c r="S108" s="10">
        <f>CHOOSE(CONTROL!$C$42, 5.6114, 5.6114) * CHOOSE(CONTROL!$C$21, $C$9, 100%, $E$9)</f>
        <v>5.6113999999999997</v>
      </c>
      <c r="T10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8" s="38">
        <f>(1000*CHOOSE(CONTROL!$C$42, 695, 695)*CHOOSE(CONTROL!$C$42, 0.5599, 0.5599)*CHOOSE(CONTROL!$C$42, 31, 31))/1000000</f>
        <v>12.063045499999998</v>
      </c>
      <c r="V108" s="38">
        <f>(1000*CHOOSE(CONTROL!$C$42, 500, 500)*CHOOSE(CONTROL!$C$42, 0.275, 0.275)*CHOOSE(CONTROL!$C$42, 31, 31))/1000000</f>
        <v>4.2625000000000002</v>
      </c>
      <c r="W108" s="38">
        <f>(1000*CHOOSE(CONTROL!$C$42, 0.1146, 0.1146)*CHOOSE(CONTROL!$C$42, 121.5, 121.5)*CHOOSE(CONTROL!$C$42, 31, 31))/1000000</f>
        <v>0.43164089999999994</v>
      </c>
      <c r="X108" s="38">
        <f>(31*0.1790888*100000/1000000)+(31*0.2374*100000/1000000)</f>
        <v>1.2911152800000001</v>
      </c>
      <c r="Y108" s="38">
        <f>(1000*600*CHOOSE(CONTROL!$C$42, 1.7748, 1.7748)*CHOOSE(CONTROL!$C$42, 31, 31))/1000000</f>
        <v>33.011279999999999</v>
      </c>
      <c r="Z108" s="38"/>
      <c r="AA108" s="10"/>
      <c r="AB108" s="39"/>
      <c r="AC108" s="33">
        <f>(B108*122.58+C108*297.941+D108*89.177+E108*40.302+F108*40+G108*160+H108*0+I108*100+J108*300)/(122.58+297.941+89.177+40.302+0+40+160+100+300)</f>
        <v>5.772517548608695</v>
      </c>
      <c r="AD108" s="27">
        <f>(M108*'RAP TEMPLATE-GAS AVAILABILITY'!O107+N108*'RAP TEMPLATE-GAS AVAILABILITY'!P107+O108*'RAP TEMPLATE-GAS AVAILABILITY'!Q107+P108*'RAP TEMPLATE-GAS AVAILABILITY'!R107)/('RAP TEMPLATE-GAS AVAILABILITY'!O107+'RAP TEMPLATE-GAS AVAILABILITY'!P107+'RAP TEMPLATE-GAS AVAILABILITY'!Q107+'RAP TEMPLATE-GAS AVAILABILITY'!R107)</f>
        <v>5.7421143884892087</v>
      </c>
    </row>
    <row r="109" spans="1:30" ht="15">
      <c r="A109" s="16">
        <v>44562</v>
      </c>
      <c r="B109" s="10">
        <f>CHOOSE(CONTROL!$C$42, 6.2377, 6.2377) * CHOOSE(CONTROL!$C$21, $C$9, 100%, $E$9)</f>
        <v>6.2377000000000002</v>
      </c>
      <c r="C109" s="10">
        <f>CHOOSE(CONTROL!$C$42, 6.2428, 6.2428) * CHOOSE(CONTROL!$C$21, $C$9, 100%, $E$9)</f>
        <v>6.2427999999999999</v>
      </c>
      <c r="D109" s="10">
        <f>CHOOSE(CONTROL!$C$42, 6.2752, 6.2752) * CHOOSE(CONTROL!$C$21, $C$9, 100%, $E$9)</f>
        <v>6.2751999999999999</v>
      </c>
      <c r="E109" s="10">
        <f>CHOOSE(CONTROL!$C$42, 6.309, 6.309) * CHOOSE(CONTROL!$C$21, $C$9, 100%, $E$9)</f>
        <v>6.3090000000000002</v>
      </c>
      <c r="F109" s="10">
        <f>CHOOSE(CONTROL!$C$42, 6.2219, 6.2219)*CHOOSE(CONTROL!$C$21, $C$9, 100%, $E$9)</f>
        <v>6.2218999999999998</v>
      </c>
      <c r="G109" s="10">
        <f>CHOOSE(CONTROL!$C$42, 6.2399, 6.2399)*CHOOSE(CONTROL!$C$21, $C$9, 100%, $E$9)</f>
        <v>6.2398999999999996</v>
      </c>
      <c r="H109" s="10">
        <f>CHOOSE(CONTROL!$C$42, 6.2979, 6.2979) * CHOOSE(CONTROL!$C$21, $C$9, 100%, $E$9)</f>
        <v>6.2979000000000003</v>
      </c>
      <c r="I109" s="10">
        <f>CHOOSE(CONTROL!$C$42, 6.2511, 6.2511)* CHOOSE(CONTROL!$C$21, $C$9, 100%, $E$9)</f>
        <v>6.2511000000000001</v>
      </c>
      <c r="J109" s="10">
        <f>CHOOSE(CONTROL!$C$42, 6.2145, 6.2145)* CHOOSE(CONTROL!$C$21, $C$9, 100%, $E$9)</f>
        <v>6.2145000000000001</v>
      </c>
      <c r="K109" s="10">
        <f>CHOOSE(CONTROL!$C$42, 6.2366, 6.2366) * CHOOSE(CONTROL!$C$21, $C$9, 100%, $E$9)</f>
        <v>6.2366000000000001</v>
      </c>
      <c r="L109" s="10">
        <f>CHOOSE(CONTROL!$C$42, 6.8849, 6.8849) * CHOOSE(CONTROL!$C$21, $C$9, 100%, $E$9)</f>
        <v>6.8849</v>
      </c>
      <c r="M109" s="10">
        <f>CHOOSE(CONTROL!$C$42, 6.1608, 6.1608) * CHOOSE(CONTROL!$C$21, $C$9, 100%, $E$9)</f>
        <v>6.1608000000000001</v>
      </c>
      <c r="N109" s="10">
        <f>CHOOSE(CONTROL!$C$42, 6.1786, 6.1786) * CHOOSE(CONTROL!$C$21, $C$9, 100%, $E$9)</f>
        <v>6.1786000000000003</v>
      </c>
      <c r="O109" s="10">
        <f>CHOOSE(CONTROL!$C$42, 6.2431, 6.2431) * CHOOSE(CONTROL!$C$21, $C$9, 100%, $E$9)</f>
        <v>6.2431000000000001</v>
      </c>
      <c r="P109" s="10">
        <f>CHOOSE(CONTROL!$C$42, 6.197, 6.197) * CHOOSE(CONTROL!$C$21, $C$9, 100%, $E$9)</f>
        <v>6.1970000000000001</v>
      </c>
      <c r="Q109" s="10">
        <f>CHOOSE(CONTROL!$C$42, 6.8384, 6.8384) * CHOOSE(CONTROL!$C$21, $C$9, 100%, $E$9)</f>
        <v>6.8384</v>
      </c>
      <c r="R109" s="10">
        <f>CHOOSE(CONTROL!$C$42, 7.4425, 7.4425) * CHOOSE(CONTROL!$C$21, $C$9, 100%, $E$9)</f>
        <v>7.4424999999999999</v>
      </c>
      <c r="S109" s="10">
        <f>CHOOSE(CONTROL!$C$42, 6.0566, 6.0566) * CHOOSE(CONTROL!$C$21, $C$9, 100%, $E$9)</f>
        <v>6.0566000000000004</v>
      </c>
      <c r="T10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09" s="38">
        <f>(1000*CHOOSE(CONTROL!$C$42, 695, 695)*CHOOSE(CONTROL!$C$42, 0.5599, 0.5599)*CHOOSE(CONTROL!$C$42, 31, 31))/1000000</f>
        <v>12.063045499999998</v>
      </c>
      <c r="V109" s="38">
        <f>(1000*CHOOSE(CONTROL!$C$42, 500, 500)*CHOOSE(CONTROL!$C$42, 0.275, 0.275)*CHOOSE(CONTROL!$C$42, 31, 31))/1000000</f>
        <v>4.2625000000000002</v>
      </c>
      <c r="W109" s="38">
        <f>(1000*CHOOSE(CONTROL!$C$42, 0.1146, 0.1146)*CHOOSE(CONTROL!$C$42, 121.5, 121.5)*CHOOSE(CONTROL!$C$42, 31, 31))/1000000</f>
        <v>0.43164089999999994</v>
      </c>
      <c r="X109" s="38">
        <f>(31*0.1790888*100000/1000000)+(31*0.2374*100000/1000000)</f>
        <v>1.2911152800000001</v>
      </c>
      <c r="Y109" s="38">
        <f>(1000*600*CHOOSE(CONTROL!$C$42, 1.7641, 1.7641)*CHOOSE(CONTROL!$C$42, 31, 31))/1000000</f>
        <v>32.812260000000002</v>
      </c>
      <c r="Z109" s="38"/>
      <c r="AA109" s="10"/>
      <c r="AB109" s="39"/>
      <c r="AC109" s="33">
        <f>(B109*122.58+C109*297.941+D109*89.177+E109*40.302+F109*40+G109*160+H109*0+I109*100+J109*300)/(122.58+297.941+89.177+40.302+0+40+160+100+300)</f>
        <v>6.2392975384347826</v>
      </c>
      <c r="AD109" s="27">
        <f>(M109*'RAP TEMPLATE-GAS AVAILABILITY'!O108+N109*'RAP TEMPLATE-GAS AVAILABILITY'!P108+O109*'RAP TEMPLATE-GAS AVAILABILITY'!Q108+P109*'RAP TEMPLATE-GAS AVAILABILITY'!R108)/('RAP TEMPLATE-GAS AVAILABILITY'!O108+'RAP TEMPLATE-GAS AVAILABILITY'!P108+'RAP TEMPLATE-GAS AVAILABILITY'!Q108+'RAP TEMPLATE-GAS AVAILABILITY'!R108)</f>
        <v>6.2043345323741006</v>
      </c>
    </row>
    <row r="110" spans="1:30" ht="15">
      <c r="A110" s="16">
        <v>44593</v>
      </c>
      <c r="B110" s="10">
        <f>CHOOSE(CONTROL!$C$42, 6.349, 6.349) * CHOOSE(CONTROL!$C$21, $C$9, 100%, $E$9)</f>
        <v>6.3490000000000002</v>
      </c>
      <c r="C110" s="10">
        <f>CHOOSE(CONTROL!$C$42, 6.3541, 6.3541) * CHOOSE(CONTROL!$C$21, $C$9, 100%, $E$9)</f>
        <v>6.3540999999999999</v>
      </c>
      <c r="D110" s="10">
        <f>CHOOSE(CONTROL!$C$42, 6.3865, 6.3865) * CHOOSE(CONTROL!$C$21, $C$9, 100%, $E$9)</f>
        <v>6.3864999999999998</v>
      </c>
      <c r="E110" s="10">
        <f>CHOOSE(CONTROL!$C$42, 6.4203, 6.4203) * CHOOSE(CONTROL!$C$21, $C$9, 100%, $E$9)</f>
        <v>6.4203000000000001</v>
      </c>
      <c r="F110" s="10">
        <f>CHOOSE(CONTROL!$C$42, 6.3327, 6.3327)*CHOOSE(CONTROL!$C$21, $C$9, 100%, $E$9)</f>
        <v>6.3327</v>
      </c>
      <c r="G110" s="10">
        <f>CHOOSE(CONTROL!$C$42, 6.3507, 6.3507)*CHOOSE(CONTROL!$C$21, $C$9, 100%, $E$9)</f>
        <v>6.3506999999999998</v>
      </c>
      <c r="H110" s="10">
        <f>CHOOSE(CONTROL!$C$42, 6.4092, 6.4092) * CHOOSE(CONTROL!$C$21, $C$9, 100%, $E$9)</f>
        <v>6.4092000000000002</v>
      </c>
      <c r="I110" s="10">
        <f>CHOOSE(CONTROL!$C$42, 6.3624, 6.3624)* CHOOSE(CONTROL!$C$21, $C$9, 100%, $E$9)</f>
        <v>6.3624000000000001</v>
      </c>
      <c r="J110" s="10">
        <f>CHOOSE(CONTROL!$C$42, 6.3253, 6.3253)* CHOOSE(CONTROL!$C$21, $C$9, 100%, $E$9)</f>
        <v>6.3253000000000004</v>
      </c>
      <c r="K110" s="10">
        <f>CHOOSE(CONTROL!$C$42, 6.3435, 6.3435) * CHOOSE(CONTROL!$C$21, $C$9, 100%, $E$9)</f>
        <v>6.3434999999999997</v>
      </c>
      <c r="L110" s="10">
        <f>CHOOSE(CONTROL!$C$42, 6.9962, 6.9962) * CHOOSE(CONTROL!$C$21, $C$9, 100%, $E$9)</f>
        <v>6.9962</v>
      </c>
      <c r="M110" s="10">
        <f>CHOOSE(CONTROL!$C$42, 6.2701, 6.2701) * CHOOSE(CONTROL!$C$21, $C$9, 100%, $E$9)</f>
        <v>6.2701000000000002</v>
      </c>
      <c r="N110" s="10">
        <f>CHOOSE(CONTROL!$C$42, 6.2878, 6.2878) * CHOOSE(CONTROL!$C$21, $C$9, 100%, $E$9)</f>
        <v>6.2877999999999998</v>
      </c>
      <c r="O110" s="10">
        <f>CHOOSE(CONTROL!$C$42, 6.3528, 6.3528) * CHOOSE(CONTROL!$C$21, $C$9, 100%, $E$9)</f>
        <v>6.3528000000000002</v>
      </c>
      <c r="P110" s="10">
        <f>CHOOSE(CONTROL!$C$42, 6.3068, 6.3068) * CHOOSE(CONTROL!$C$21, $C$9, 100%, $E$9)</f>
        <v>6.3068</v>
      </c>
      <c r="Q110" s="10">
        <f>CHOOSE(CONTROL!$C$42, 6.9481, 6.9481) * CHOOSE(CONTROL!$C$21, $C$9, 100%, $E$9)</f>
        <v>6.9481000000000002</v>
      </c>
      <c r="R110" s="10">
        <f>CHOOSE(CONTROL!$C$42, 7.5525, 7.5525) * CHOOSE(CONTROL!$C$21, $C$9, 100%, $E$9)</f>
        <v>7.5525000000000002</v>
      </c>
      <c r="S110" s="10">
        <f>CHOOSE(CONTROL!$C$42, 6.1644, 6.1644) * CHOOSE(CONTROL!$C$21, $C$9, 100%, $E$9)</f>
        <v>6.1643999999999997</v>
      </c>
      <c r="T11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10" s="38">
        <f>(1000*CHOOSE(CONTROL!$C$42, 695, 695)*CHOOSE(CONTROL!$C$42, 0.5599, 0.5599)*CHOOSE(CONTROL!$C$42, 28, 28))/1000000</f>
        <v>10.895653999999999</v>
      </c>
      <c r="V110" s="38">
        <f>(1000*CHOOSE(CONTROL!$C$42, 500, 500)*CHOOSE(CONTROL!$C$42, 0.275, 0.275)*CHOOSE(CONTROL!$C$42, 28, 28))/1000000</f>
        <v>3.85</v>
      </c>
      <c r="W110" s="38">
        <f>(1000*CHOOSE(CONTROL!$C$42, 0.1146, 0.1146)*CHOOSE(CONTROL!$C$42, 121.5, 121.5)*CHOOSE(CONTROL!$C$42, 28, 28))/1000000</f>
        <v>0.38986920000000003</v>
      </c>
      <c r="X110" s="38">
        <f>(28*0.1790888*100000/1000000)+(28*0.2374*100000/1000000)</f>
        <v>1.16616864</v>
      </c>
      <c r="Y110" s="38">
        <f>(1000*600*CHOOSE(CONTROL!$C$42, 1.7641, 1.7641)*CHOOSE(CONTROL!$C$42, 28, 28))/1000000</f>
        <v>29.636880000000001</v>
      </c>
      <c r="Z110" s="38"/>
      <c r="AA110" s="10"/>
      <c r="AB110" s="39"/>
      <c r="AC110" s="33">
        <f>(B110*122.58+C110*297.941+D110*89.177+E110*40.302+F110*40+G110*160+H110*0+I110*100+J110*300)/(122.58+297.941+89.177+40.302+0+40+160+100+300)</f>
        <v>6.3503801471304353</v>
      </c>
      <c r="AD110" s="27">
        <f>(M110*'RAP TEMPLATE-GAS AVAILABILITY'!O109+N110*'RAP TEMPLATE-GAS AVAILABILITY'!P109+O110*'RAP TEMPLATE-GAS AVAILABILITY'!Q109+P110*'RAP TEMPLATE-GAS AVAILABILITY'!R109)/('RAP TEMPLATE-GAS AVAILABILITY'!O109+'RAP TEMPLATE-GAS AVAILABILITY'!P109+'RAP TEMPLATE-GAS AVAILABILITY'!Q109+'RAP TEMPLATE-GAS AVAILABILITY'!R109)</f>
        <v>6.3138820143884891</v>
      </c>
    </row>
    <row r="111" spans="1:30" ht="15">
      <c r="A111" s="16">
        <v>44621</v>
      </c>
      <c r="B111" s="10">
        <f>CHOOSE(CONTROL!$C$42, 6.1683, 6.1683) * CHOOSE(CONTROL!$C$21, $C$9, 100%, $E$9)</f>
        <v>6.1683000000000003</v>
      </c>
      <c r="C111" s="10">
        <f>CHOOSE(CONTROL!$C$42, 6.1734, 6.1734) * CHOOSE(CONTROL!$C$21, $C$9, 100%, $E$9)</f>
        <v>6.1734</v>
      </c>
      <c r="D111" s="10">
        <f>CHOOSE(CONTROL!$C$42, 6.2058, 6.2058) * CHOOSE(CONTROL!$C$21, $C$9, 100%, $E$9)</f>
        <v>6.2058</v>
      </c>
      <c r="E111" s="10">
        <f>CHOOSE(CONTROL!$C$42, 6.2396, 6.2396) * CHOOSE(CONTROL!$C$21, $C$9, 100%, $E$9)</f>
        <v>6.2396000000000003</v>
      </c>
      <c r="F111" s="10">
        <f>CHOOSE(CONTROL!$C$42, 6.1505, 6.1505)*CHOOSE(CONTROL!$C$21, $C$9, 100%, $E$9)</f>
        <v>6.1505000000000001</v>
      </c>
      <c r="G111" s="10">
        <f>CHOOSE(CONTROL!$C$42, 6.1681, 6.1681)*CHOOSE(CONTROL!$C$21, $C$9, 100%, $E$9)</f>
        <v>6.1680999999999999</v>
      </c>
      <c r="H111" s="10">
        <f>CHOOSE(CONTROL!$C$42, 6.2285, 6.2285) * CHOOSE(CONTROL!$C$21, $C$9, 100%, $E$9)</f>
        <v>6.2285000000000004</v>
      </c>
      <c r="I111" s="10">
        <f>CHOOSE(CONTROL!$C$42, 6.1817, 6.1817)* CHOOSE(CONTROL!$C$21, $C$9, 100%, $E$9)</f>
        <v>6.1817000000000002</v>
      </c>
      <c r="J111" s="10">
        <f>CHOOSE(CONTROL!$C$42, 6.1431, 6.1431)* CHOOSE(CONTROL!$C$21, $C$9, 100%, $E$9)</f>
        <v>6.1430999999999996</v>
      </c>
      <c r="K111" s="10">
        <f>CHOOSE(CONTROL!$C$42, 6.1653, 6.1653) * CHOOSE(CONTROL!$C$21, $C$9, 100%, $E$9)</f>
        <v>6.1653000000000002</v>
      </c>
      <c r="L111" s="10">
        <f>CHOOSE(CONTROL!$C$42, 6.8155, 6.8155) * CHOOSE(CONTROL!$C$21, $C$9, 100%, $E$9)</f>
        <v>6.8155000000000001</v>
      </c>
      <c r="M111" s="10">
        <f>CHOOSE(CONTROL!$C$42, 6.0905, 6.0905) * CHOOSE(CONTROL!$C$21, $C$9, 100%, $E$9)</f>
        <v>6.0904999999999996</v>
      </c>
      <c r="N111" s="10">
        <f>CHOOSE(CONTROL!$C$42, 6.1078, 6.1078) * CHOOSE(CONTROL!$C$21, $C$9, 100%, $E$9)</f>
        <v>6.1078000000000001</v>
      </c>
      <c r="O111" s="10">
        <f>CHOOSE(CONTROL!$C$42, 6.1746, 6.1746) * CHOOSE(CONTROL!$C$21, $C$9, 100%, $E$9)</f>
        <v>6.1745999999999999</v>
      </c>
      <c r="P111" s="10">
        <f>CHOOSE(CONTROL!$C$42, 6.1286, 6.1286) * CHOOSE(CONTROL!$C$21, $C$9, 100%, $E$9)</f>
        <v>6.1285999999999996</v>
      </c>
      <c r="Q111" s="10">
        <f>CHOOSE(CONTROL!$C$42, 6.7699, 6.7699) * CHOOSE(CONTROL!$C$21, $C$9, 100%, $E$9)</f>
        <v>6.7698999999999998</v>
      </c>
      <c r="R111" s="10">
        <f>CHOOSE(CONTROL!$C$42, 7.3739, 7.3739) * CHOOSE(CONTROL!$C$21, $C$9, 100%, $E$9)</f>
        <v>7.3738999999999999</v>
      </c>
      <c r="S111" s="10">
        <f>CHOOSE(CONTROL!$C$42, 5.9894, 5.9894) * CHOOSE(CONTROL!$C$21, $C$9, 100%, $E$9)</f>
        <v>5.9893999999999998</v>
      </c>
      <c r="T11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11" s="38">
        <f>(1000*CHOOSE(CONTROL!$C$42, 695, 695)*CHOOSE(CONTROL!$C$42, 0.5599, 0.5599)*CHOOSE(CONTROL!$C$42, 31, 31))/1000000</f>
        <v>12.063045499999998</v>
      </c>
      <c r="V111" s="38">
        <f>(1000*CHOOSE(CONTROL!$C$42, 500, 500)*CHOOSE(CONTROL!$C$42, 0.275, 0.275)*CHOOSE(CONTROL!$C$42, 31, 31))/1000000</f>
        <v>4.2625000000000002</v>
      </c>
      <c r="W111" s="38">
        <f>(1000*CHOOSE(CONTROL!$C$42, 0.1146, 0.1146)*CHOOSE(CONTROL!$C$42, 121.5, 121.5)*CHOOSE(CONTROL!$C$42, 31, 31))/1000000</f>
        <v>0.43164089999999994</v>
      </c>
      <c r="X111" s="38">
        <f>(31*0.1790888*100000/1000000)+(31*0.2374*100000/1000000)</f>
        <v>1.2911152800000001</v>
      </c>
      <c r="Y111" s="38">
        <f>(1000*600*CHOOSE(CONTROL!$C$42, 1.7641, 1.7641)*CHOOSE(CONTROL!$C$42, 31, 31))/1000000</f>
        <v>32.812260000000002</v>
      </c>
      <c r="Z111" s="38"/>
      <c r="AA111" s="10"/>
      <c r="AB111" s="39"/>
      <c r="AC111" s="33">
        <f>(B111*122.58+C111*297.941+D111*89.177+E111*40.302+F111*40+G111*160+H111*0+I111*100+J111*300)/(122.58+297.941+89.177+40.302+0+40+160+100+300)</f>
        <v>6.1689723210434781</v>
      </c>
      <c r="AD111" s="27">
        <f>(M111*'RAP TEMPLATE-GAS AVAILABILITY'!O110+N111*'RAP TEMPLATE-GAS AVAILABILITY'!P110+O111*'RAP TEMPLATE-GAS AVAILABILITY'!Q110+P111*'RAP TEMPLATE-GAS AVAILABILITY'!R110)/('RAP TEMPLATE-GAS AVAILABILITY'!O110+'RAP TEMPLATE-GAS AVAILABILITY'!P110+'RAP TEMPLATE-GAS AVAILABILITY'!Q110+'RAP TEMPLATE-GAS AVAILABILITY'!R110)</f>
        <v>6.1350949640287764</v>
      </c>
    </row>
    <row r="112" spans="1:30" ht="15">
      <c r="A112" s="16">
        <v>44652</v>
      </c>
      <c r="B112" s="10">
        <f>CHOOSE(CONTROL!$C$42, 6.1505, 6.1505) * CHOOSE(CONTROL!$C$21, $C$9, 100%, $E$9)</f>
        <v>6.1505000000000001</v>
      </c>
      <c r="C112" s="10">
        <f>CHOOSE(CONTROL!$C$42, 6.1551, 6.1551) * CHOOSE(CONTROL!$C$21, $C$9, 100%, $E$9)</f>
        <v>6.1551</v>
      </c>
      <c r="D112" s="10">
        <f>CHOOSE(CONTROL!$C$42, 6.3152, 6.3152) * CHOOSE(CONTROL!$C$21, $C$9, 100%, $E$9)</f>
        <v>6.3151999999999999</v>
      </c>
      <c r="E112" s="10">
        <f>CHOOSE(CONTROL!$C$42, 6.347, 6.347) * CHOOSE(CONTROL!$C$21, $C$9, 100%, $E$9)</f>
        <v>6.3470000000000004</v>
      </c>
      <c r="F112" s="10">
        <f>CHOOSE(CONTROL!$C$42, 6.0966, 6.0966)*CHOOSE(CONTROL!$C$21, $C$9, 100%, $E$9)</f>
        <v>6.0965999999999996</v>
      </c>
      <c r="G112" s="10">
        <f>CHOOSE(CONTROL!$C$42, 6.1125, 6.1125)*CHOOSE(CONTROL!$C$21, $C$9, 100%, $E$9)</f>
        <v>6.1124999999999998</v>
      </c>
      <c r="H112" s="10">
        <f>CHOOSE(CONTROL!$C$42, 6.3365, 6.3365) * CHOOSE(CONTROL!$C$21, $C$9, 100%, $E$9)</f>
        <v>6.3365</v>
      </c>
      <c r="I112" s="10">
        <f>CHOOSE(CONTROL!$C$42, 6.1307, 6.1307)* CHOOSE(CONTROL!$C$21, $C$9, 100%, $E$9)</f>
        <v>6.1307</v>
      </c>
      <c r="J112" s="10">
        <f>CHOOSE(CONTROL!$C$42, 6.0892, 6.0892)* CHOOSE(CONTROL!$C$21, $C$9, 100%, $E$9)</f>
        <v>6.0891999999999999</v>
      </c>
      <c r="K112" s="10">
        <f>CHOOSE(CONTROL!$C$42, 6.0998, 6.0998) * CHOOSE(CONTROL!$C$21, $C$9, 100%, $E$9)</f>
        <v>6.0998000000000001</v>
      </c>
      <c r="L112" s="10">
        <f>CHOOSE(CONTROL!$C$42, 6.9235, 6.9235) * CHOOSE(CONTROL!$C$21, $C$9, 100%, $E$9)</f>
        <v>6.9234999999999998</v>
      </c>
      <c r="M112" s="10">
        <f>CHOOSE(CONTROL!$C$42, 6.0373, 6.0373) * CHOOSE(CONTROL!$C$21, $C$9, 100%, $E$9)</f>
        <v>6.0373000000000001</v>
      </c>
      <c r="N112" s="10">
        <f>CHOOSE(CONTROL!$C$42, 6.0529, 6.0529) * CHOOSE(CONTROL!$C$21, $C$9, 100%, $E$9)</f>
        <v>6.0529000000000002</v>
      </c>
      <c r="O112" s="10">
        <f>CHOOSE(CONTROL!$C$42, 6.2811, 6.2811) * CHOOSE(CONTROL!$C$21, $C$9, 100%, $E$9)</f>
        <v>6.2811000000000003</v>
      </c>
      <c r="P112" s="10">
        <f>CHOOSE(CONTROL!$C$42, 6.0782, 6.0782) * CHOOSE(CONTROL!$C$21, $C$9, 100%, $E$9)</f>
        <v>6.0781999999999998</v>
      </c>
      <c r="Q112" s="10">
        <f>CHOOSE(CONTROL!$C$42, 6.8764, 6.8764) * CHOOSE(CONTROL!$C$21, $C$9, 100%, $E$9)</f>
        <v>6.8764000000000003</v>
      </c>
      <c r="R112" s="10">
        <f>CHOOSE(CONTROL!$C$42, 7.4806, 7.4806) * CHOOSE(CONTROL!$C$21, $C$9, 100%, $E$9)</f>
        <v>7.4805999999999999</v>
      </c>
      <c r="S112" s="10">
        <f>CHOOSE(CONTROL!$C$42, 5.9715, 5.9715) * CHOOSE(CONTROL!$C$21, $C$9, 100%, $E$9)</f>
        <v>5.9714999999999998</v>
      </c>
      <c r="T11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12" s="38">
        <f>(1000*CHOOSE(CONTROL!$C$42, 695, 695)*CHOOSE(CONTROL!$C$42, 0.5599, 0.5599)*CHOOSE(CONTROL!$C$42, 30, 30))/1000000</f>
        <v>11.673914999999997</v>
      </c>
      <c r="V112" s="38">
        <f>(1000*CHOOSE(CONTROL!$C$42, 500, 500)*CHOOSE(CONTROL!$C$42, 0.275, 0.275)*CHOOSE(CONTROL!$C$42, 30, 30))/1000000</f>
        <v>4.125</v>
      </c>
      <c r="W112" s="38">
        <f>(1000*CHOOSE(CONTROL!$C$42, 0.1146, 0.1146)*CHOOSE(CONTROL!$C$42, 121.5, 121.5)*CHOOSE(CONTROL!$C$42, 30, 30))/1000000</f>
        <v>0.417717</v>
      </c>
      <c r="X112" s="38">
        <f>(30*0.1790888*245000/1000000)+(30*0.2374*100000/1000000)</f>
        <v>2.0285026799999999</v>
      </c>
      <c r="Y112" s="38">
        <f>(1000*600*CHOOSE(CONTROL!$C$42, 1.7641, 1.7641)*CHOOSE(CONTROL!$C$42, 30, 30))/1000000</f>
        <v>31.753799999999998</v>
      </c>
      <c r="Z112" s="38"/>
      <c r="AA112" s="10"/>
      <c r="AB112" s="39"/>
      <c r="AC112" s="33">
        <f>(B112*141.293+C112*267.993+D112*115.016+E112*89.698+F112*40+G112*185+H112*0+I112*100+J112*300)/(141.293+267.993+115.016+89.698+0+40+185+100+300)</f>
        <v>6.1571550121065375</v>
      </c>
      <c r="AD112" s="27">
        <f>(M112*'RAP TEMPLATE-GAS AVAILABILITY'!O111+N112*'RAP TEMPLATE-GAS AVAILABILITY'!P111+O112*'RAP TEMPLATE-GAS AVAILABILITY'!Q111+P112*'RAP TEMPLATE-GAS AVAILABILITY'!R111)/('RAP TEMPLATE-GAS AVAILABILITY'!O111+'RAP TEMPLATE-GAS AVAILABILITY'!P111+'RAP TEMPLATE-GAS AVAILABILITY'!Q111+'RAP TEMPLATE-GAS AVAILABILITY'!R111)</f>
        <v>6.1151805755395685</v>
      </c>
    </row>
    <row r="113" spans="1:30" ht="15">
      <c r="A113" s="16">
        <v>44682</v>
      </c>
      <c r="B113" s="10">
        <f>CHOOSE(CONTROL!$C$42, 6.2068, 6.2068) * CHOOSE(CONTROL!$C$21, $C$9, 100%, $E$9)</f>
        <v>6.2068000000000003</v>
      </c>
      <c r="C113" s="10">
        <f>CHOOSE(CONTROL!$C$42, 6.2148, 6.2148) * CHOOSE(CONTROL!$C$21, $C$9, 100%, $E$9)</f>
        <v>6.2148000000000003</v>
      </c>
      <c r="D113" s="10">
        <f>CHOOSE(CONTROL!$C$42, 6.3718, 6.3718) * CHOOSE(CONTROL!$C$21, $C$9, 100%, $E$9)</f>
        <v>6.3718000000000004</v>
      </c>
      <c r="E113" s="10">
        <f>CHOOSE(CONTROL!$C$42, 6.403, 6.403) * CHOOSE(CONTROL!$C$21, $C$9, 100%, $E$9)</f>
        <v>6.4029999999999996</v>
      </c>
      <c r="F113" s="10">
        <f>CHOOSE(CONTROL!$C$42, 6.1509, 6.1509)*CHOOSE(CONTROL!$C$21, $C$9, 100%, $E$9)</f>
        <v>6.1509</v>
      </c>
      <c r="G113" s="10">
        <f>CHOOSE(CONTROL!$C$42, 6.167, 6.167)*CHOOSE(CONTROL!$C$21, $C$9, 100%, $E$9)</f>
        <v>6.1669999999999998</v>
      </c>
      <c r="H113" s="10">
        <f>CHOOSE(CONTROL!$C$42, 6.3914, 6.3914) * CHOOSE(CONTROL!$C$21, $C$9, 100%, $E$9)</f>
        <v>6.3914</v>
      </c>
      <c r="I113" s="10">
        <f>CHOOSE(CONTROL!$C$42, 6.1856, 6.1856)* CHOOSE(CONTROL!$C$21, $C$9, 100%, $E$9)</f>
        <v>6.1856</v>
      </c>
      <c r="J113" s="10">
        <f>CHOOSE(CONTROL!$C$42, 6.1435, 6.1435)* CHOOSE(CONTROL!$C$21, $C$9, 100%, $E$9)</f>
        <v>6.1435000000000004</v>
      </c>
      <c r="K113" s="10">
        <f>CHOOSE(CONTROL!$C$42, 6.1517, 6.1517) * CHOOSE(CONTROL!$C$21, $C$9, 100%, $E$9)</f>
        <v>6.1516999999999999</v>
      </c>
      <c r="L113" s="10">
        <f>CHOOSE(CONTROL!$C$42, 6.9784, 6.9784) * CHOOSE(CONTROL!$C$21, $C$9, 100%, $E$9)</f>
        <v>6.9783999999999997</v>
      </c>
      <c r="M113" s="10">
        <f>CHOOSE(CONTROL!$C$42, 6.0908, 6.0908) * CHOOSE(CONTROL!$C$21, $C$9, 100%, $E$9)</f>
        <v>6.0907999999999998</v>
      </c>
      <c r="N113" s="10">
        <f>CHOOSE(CONTROL!$C$42, 6.1067, 6.1067) * CHOOSE(CONTROL!$C$21, $C$9, 100%, $E$9)</f>
        <v>6.1067</v>
      </c>
      <c r="O113" s="10">
        <f>CHOOSE(CONTROL!$C$42, 6.3352, 6.3352) * CHOOSE(CONTROL!$C$21, $C$9, 100%, $E$9)</f>
        <v>6.3352000000000004</v>
      </c>
      <c r="P113" s="10">
        <f>CHOOSE(CONTROL!$C$42, 6.1323, 6.1323) * CHOOSE(CONTROL!$C$21, $C$9, 100%, $E$9)</f>
        <v>6.1322999999999999</v>
      </c>
      <c r="Q113" s="10">
        <f>CHOOSE(CONTROL!$C$42, 6.9305, 6.9305) * CHOOSE(CONTROL!$C$21, $C$9, 100%, $E$9)</f>
        <v>6.9305000000000003</v>
      </c>
      <c r="R113" s="10">
        <f>CHOOSE(CONTROL!$C$42, 7.5349, 7.5349) * CHOOSE(CONTROL!$C$21, $C$9, 100%, $E$9)</f>
        <v>7.5349000000000004</v>
      </c>
      <c r="S113" s="10">
        <f>CHOOSE(CONTROL!$C$42, 6.0246, 6.0246) * CHOOSE(CONTROL!$C$21, $C$9, 100%, $E$9)</f>
        <v>6.0246000000000004</v>
      </c>
      <c r="T11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13" s="38">
        <f>(1000*CHOOSE(CONTROL!$C$42, 695, 695)*CHOOSE(CONTROL!$C$42, 0.5599, 0.5599)*CHOOSE(CONTROL!$C$42, 31, 31))/1000000</f>
        <v>12.063045499999998</v>
      </c>
      <c r="V113" s="38">
        <f>(1000*CHOOSE(CONTROL!$C$42, 500, 500)*CHOOSE(CONTROL!$C$42, 0.275, 0.275)*CHOOSE(CONTROL!$C$42, 31, 31))/1000000</f>
        <v>4.2625000000000002</v>
      </c>
      <c r="W113" s="38">
        <f>(1000*CHOOSE(CONTROL!$C$42, 0.1146, 0.1146)*CHOOSE(CONTROL!$C$42, 121.5, 121.5)*CHOOSE(CONTROL!$C$42, 31, 31))/1000000</f>
        <v>0.43164089999999994</v>
      </c>
      <c r="X113" s="38">
        <f>(31*0.1790888*245000/1000000)+(31*0.2374*100000/1000000)</f>
        <v>2.0961194359999999</v>
      </c>
      <c r="Y113" s="38">
        <f>(1000*600*CHOOSE(CONTROL!$C$42, 1.7641, 1.7641)*CHOOSE(CONTROL!$C$42, 31, 31))/1000000</f>
        <v>32.812260000000002</v>
      </c>
      <c r="Z113" s="38"/>
      <c r="AA113" s="10"/>
      <c r="AB113" s="39"/>
      <c r="AC113" s="33">
        <f>(B113*194.205+C113*267.466+D113*133.845+E113*53.484+F113*40+G113*185+H113*0+I113*100+J113*300)/(194.205+267.466+133.845+53.484+0+40+185+100+300)</f>
        <v>6.2099465571428567</v>
      </c>
      <c r="AD113" s="27">
        <f>(M113*'RAP TEMPLATE-GAS AVAILABILITY'!O112+N113*'RAP TEMPLATE-GAS AVAILABILITY'!P112+O113*'RAP TEMPLATE-GAS AVAILABILITY'!Q112+P113*'RAP TEMPLATE-GAS AVAILABILITY'!R112)/('RAP TEMPLATE-GAS AVAILABILITY'!O112+'RAP TEMPLATE-GAS AVAILABILITY'!P112+'RAP TEMPLATE-GAS AVAILABILITY'!Q112+'RAP TEMPLATE-GAS AVAILABILITY'!R112)</f>
        <v>6.1690043165467632</v>
      </c>
    </row>
    <row r="114" spans="1:30" ht="15">
      <c r="A114" s="16">
        <v>44713</v>
      </c>
      <c r="B114" s="10">
        <f>CHOOSE(CONTROL!$C$42, 6.3832, 6.3832) * CHOOSE(CONTROL!$C$21, $C$9, 100%, $E$9)</f>
        <v>6.3832000000000004</v>
      </c>
      <c r="C114" s="10">
        <f>CHOOSE(CONTROL!$C$42, 6.3912, 6.3912) * CHOOSE(CONTROL!$C$21, $C$9, 100%, $E$9)</f>
        <v>6.3912000000000004</v>
      </c>
      <c r="D114" s="10">
        <f>CHOOSE(CONTROL!$C$42, 6.5483, 6.5483) * CHOOSE(CONTROL!$C$21, $C$9, 100%, $E$9)</f>
        <v>6.5483000000000002</v>
      </c>
      <c r="E114" s="10">
        <f>CHOOSE(CONTROL!$C$42, 6.5795, 6.5795) * CHOOSE(CONTROL!$C$21, $C$9, 100%, $E$9)</f>
        <v>6.5795000000000003</v>
      </c>
      <c r="F114" s="10">
        <f>CHOOSE(CONTROL!$C$42, 6.3276, 6.3276)*CHOOSE(CONTROL!$C$21, $C$9, 100%, $E$9)</f>
        <v>6.3276000000000003</v>
      </c>
      <c r="G114" s="10">
        <f>CHOOSE(CONTROL!$C$42, 6.3437, 6.3437)*CHOOSE(CONTROL!$C$21, $C$9, 100%, $E$9)</f>
        <v>6.3437000000000001</v>
      </c>
      <c r="H114" s="10">
        <f>CHOOSE(CONTROL!$C$42, 6.5678, 6.5678) * CHOOSE(CONTROL!$C$21, $C$9, 100%, $E$9)</f>
        <v>6.5678000000000001</v>
      </c>
      <c r="I114" s="10">
        <f>CHOOSE(CONTROL!$C$42, 6.362, 6.362)* CHOOSE(CONTROL!$C$21, $C$9, 100%, $E$9)</f>
        <v>6.3620000000000001</v>
      </c>
      <c r="J114" s="10">
        <f>CHOOSE(CONTROL!$C$42, 6.3202, 6.3202)* CHOOSE(CONTROL!$C$21, $C$9, 100%, $E$9)</f>
        <v>6.3201999999999998</v>
      </c>
      <c r="K114" s="10">
        <f>CHOOSE(CONTROL!$C$42, 6.323, 6.323) * CHOOSE(CONTROL!$C$21, $C$9, 100%, $E$9)</f>
        <v>6.3230000000000004</v>
      </c>
      <c r="L114" s="10">
        <f>CHOOSE(CONTROL!$C$42, 7.1548, 7.1548) * CHOOSE(CONTROL!$C$21, $C$9, 100%, $E$9)</f>
        <v>7.1547999999999998</v>
      </c>
      <c r="M114" s="10">
        <f>CHOOSE(CONTROL!$C$42, 6.265, 6.265) * CHOOSE(CONTROL!$C$21, $C$9, 100%, $E$9)</f>
        <v>6.2649999999999997</v>
      </c>
      <c r="N114" s="10">
        <f>CHOOSE(CONTROL!$C$42, 6.281, 6.281) * CHOOSE(CONTROL!$C$21, $C$9, 100%, $E$9)</f>
        <v>6.2809999999999997</v>
      </c>
      <c r="O114" s="10">
        <f>CHOOSE(CONTROL!$C$42, 6.5092, 6.5092) * CHOOSE(CONTROL!$C$21, $C$9, 100%, $E$9)</f>
        <v>6.5091999999999999</v>
      </c>
      <c r="P114" s="10">
        <f>CHOOSE(CONTROL!$C$42, 6.3063, 6.3063) * CHOOSE(CONTROL!$C$21, $C$9, 100%, $E$9)</f>
        <v>6.3063000000000002</v>
      </c>
      <c r="Q114" s="10">
        <f>CHOOSE(CONTROL!$C$42, 7.1045, 7.1045) * CHOOSE(CONTROL!$C$21, $C$9, 100%, $E$9)</f>
        <v>7.1044999999999998</v>
      </c>
      <c r="R114" s="10">
        <f>CHOOSE(CONTROL!$C$42, 7.7093, 7.7093) * CHOOSE(CONTROL!$C$21, $C$9, 100%, $E$9)</f>
        <v>7.7092999999999998</v>
      </c>
      <c r="S114" s="10">
        <f>CHOOSE(CONTROL!$C$42, 6.1955, 6.1955) * CHOOSE(CONTROL!$C$21, $C$9, 100%, $E$9)</f>
        <v>6.1955</v>
      </c>
      <c r="T11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14" s="38">
        <f>(1000*CHOOSE(CONTROL!$C$42, 695, 695)*CHOOSE(CONTROL!$C$42, 0.5599, 0.5599)*CHOOSE(CONTROL!$C$42, 30, 30))/1000000</f>
        <v>11.673914999999997</v>
      </c>
      <c r="V114" s="38">
        <f>(1000*CHOOSE(CONTROL!$C$42, 500, 500)*CHOOSE(CONTROL!$C$42, 0.275, 0.275)*CHOOSE(CONTROL!$C$42, 30, 30))/1000000</f>
        <v>4.125</v>
      </c>
      <c r="W114" s="38">
        <f>(1000*CHOOSE(CONTROL!$C$42, 0.1146, 0.1146)*CHOOSE(CONTROL!$C$42, 121.5, 121.5)*CHOOSE(CONTROL!$C$42, 30, 30))/1000000</f>
        <v>0.417717</v>
      </c>
      <c r="X114" s="38">
        <f>(30*0.1790888*245000/1000000)+(30*0.2374*100000/1000000)</f>
        <v>2.0285026799999999</v>
      </c>
      <c r="Y114" s="38">
        <f>(1000*600*CHOOSE(CONTROL!$C$42, 1.7641, 1.7641)*CHOOSE(CONTROL!$C$42, 30, 30))/1000000</f>
        <v>31.753799999999998</v>
      </c>
      <c r="Z114" s="38"/>
      <c r="AA114" s="10"/>
      <c r="AB114" s="39"/>
      <c r="AC114" s="33">
        <f>(B114*194.205+C114*267.466+D114*133.845+E114*53.484+F114*40+G114*185+H114*0+I114*100+J114*300)/(194.205+267.466+133.845+53.484+0+40+185+100+300)</f>
        <v>6.3864848875196243</v>
      </c>
      <c r="AD114" s="27">
        <f>(M114*'RAP TEMPLATE-GAS AVAILABILITY'!O113+N114*'RAP TEMPLATE-GAS AVAILABILITY'!P113+O114*'RAP TEMPLATE-GAS AVAILABILITY'!Q113+P114*'RAP TEMPLATE-GAS AVAILABILITY'!R113)/('RAP TEMPLATE-GAS AVAILABILITY'!O113+'RAP TEMPLATE-GAS AVAILABILITY'!P113+'RAP TEMPLATE-GAS AVAILABILITY'!Q113+'RAP TEMPLATE-GAS AVAILABILITY'!R113)</f>
        <v>6.3431424460431645</v>
      </c>
    </row>
    <row r="115" spans="1:30" ht="15">
      <c r="A115" s="16">
        <v>44743</v>
      </c>
      <c r="B115" s="10">
        <f>CHOOSE(CONTROL!$C$42, 6.2605, 6.2605) * CHOOSE(CONTROL!$C$21, $C$9, 100%, $E$9)</f>
        <v>6.2605000000000004</v>
      </c>
      <c r="C115" s="10">
        <f>CHOOSE(CONTROL!$C$42, 6.2685, 6.2685) * CHOOSE(CONTROL!$C$21, $C$9, 100%, $E$9)</f>
        <v>6.2685000000000004</v>
      </c>
      <c r="D115" s="10">
        <f>CHOOSE(CONTROL!$C$42, 6.4256, 6.4256) * CHOOSE(CONTROL!$C$21, $C$9, 100%, $E$9)</f>
        <v>6.4256000000000002</v>
      </c>
      <c r="E115" s="10">
        <f>CHOOSE(CONTROL!$C$42, 6.4568, 6.4568) * CHOOSE(CONTROL!$C$21, $C$9, 100%, $E$9)</f>
        <v>6.4568000000000003</v>
      </c>
      <c r="F115" s="10">
        <f>CHOOSE(CONTROL!$C$42, 6.2052, 6.2052)*CHOOSE(CONTROL!$C$21, $C$9, 100%, $E$9)</f>
        <v>6.2051999999999996</v>
      </c>
      <c r="G115" s="10">
        <f>CHOOSE(CONTROL!$C$42, 6.2214, 6.2214)*CHOOSE(CONTROL!$C$21, $C$9, 100%, $E$9)</f>
        <v>6.2214</v>
      </c>
      <c r="H115" s="10">
        <f>CHOOSE(CONTROL!$C$42, 6.4451, 6.4451) * CHOOSE(CONTROL!$C$21, $C$9, 100%, $E$9)</f>
        <v>6.4451000000000001</v>
      </c>
      <c r="I115" s="10">
        <f>CHOOSE(CONTROL!$C$42, 6.2393, 6.2393)* CHOOSE(CONTROL!$C$21, $C$9, 100%, $E$9)</f>
        <v>6.2393000000000001</v>
      </c>
      <c r="J115" s="10">
        <f>CHOOSE(CONTROL!$C$42, 6.1978, 6.1978)* CHOOSE(CONTROL!$C$21, $C$9, 100%, $E$9)</f>
        <v>6.1978</v>
      </c>
      <c r="K115" s="10">
        <f>CHOOSE(CONTROL!$C$42, 6.2048, 6.2048) * CHOOSE(CONTROL!$C$21, $C$9, 100%, $E$9)</f>
        <v>6.2047999999999996</v>
      </c>
      <c r="L115" s="10">
        <f>CHOOSE(CONTROL!$C$42, 7.0321, 7.0321) * CHOOSE(CONTROL!$C$21, $C$9, 100%, $E$9)</f>
        <v>7.0320999999999998</v>
      </c>
      <c r="M115" s="10">
        <f>CHOOSE(CONTROL!$C$42, 6.1443, 6.1443) * CHOOSE(CONTROL!$C$21, $C$9, 100%, $E$9)</f>
        <v>6.1443000000000003</v>
      </c>
      <c r="N115" s="10">
        <f>CHOOSE(CONTROL!$C$42, 6.1603, 6.1603) * CHOOSE(CONTROL!$C$21, $C$9, 100%, $E$9)</f>
        <v>6.1603000000000003</v>
      </c>
      <c r="O115" s="10">
        <f>CHOOSE(CONTROL!$C$42, 6.3882, 6.3882) * CHOOSE(CONTROL!$C$21, $C$9, 100%, $E$9)</f>
        <v>6.3882000000000003</v>
      </c>
      <c r="P115" s="10">
        <f>CHOOSE(CONTROL!$C$42, 6.1853, 6.1853) * CHOOSE(CONTROL!$C$21, $C$9, 100%, $E$9)</f>
        <v>6.1852999999999998</v>
      </c>
      <c r="Q115" s="10">
        <f>CHOOSE(CONTROL!$C$42, 6.9835, 6.9835) * CHOOSE(CONTROL!$C$21, $C$9, 100%, $E$9)</f>
        <v>6.9835000000000003</v>
      </c>
      <c r="R115" s="10">
        <f>CHOOSE(CONTROL!$C$42, 7.588, 7.588) * CHOOSE(CONTROL!$C$21, $C$9, 100%, $E$9)</f>
        <v>7.5880000000000001</v>
      </c>
      <c r="S115" s="10">
        <f>CHOOSE(CONTROL!$C$42, 6.0766, 6.0766) * CHOOSE(CONTROL!$C$21, $C$9, 100%, $E$9)</f>
        <v>6.0766</v>
      </c>
      <c r="T11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15" s="38">
        <f>(1000*CHOOSE(CONTROL!$C$42, 695, 695)*CHOOSE(CONTROL!$C$42, 0.5599, 0.5599)*CHOOSE(CONTROL!$C$42, 31, 31))/1000000</f>
        <v>12.063045499999998</v>
      </c>
      <c r="V115" s="38">
        <f>(1000*CHOOSE(CONTROL!$C$42, 500, 500)*CHOOSE(CONTROL!$C$42, 0.275, 0.275)*CHOOSE(CONTROL!$C$42, 31, 31))/1000000</f>
        <v>4.2625000000000002</v>
      </c>
      <c r="W115" s="38">
        <f>(1000*CHOOSE(CONTROL!$C$42, 0.1146, 0.1146)*CHOOSE(CONTROL!$C$42, 121.5, 121.5)*CHOOSE(CONTROL!$C$42, 31, 31))/1000000</f>
        <v>0.43164089999999994</v>
      </c>
      <c r="X115" s="38">
        <f>(31*0.1790888*245000/1000000)+(31*0.2374*100000/1000000)</f>
        <v>2.0961194359999999</v>
      </c>
      <c r="Y115" s="38">
        <f>(1000*600*CHOOSE(CONTROL!$C$42, 1.7641, 1.7641)*CHOOSE(CONTROL!$C$42, 31, 31))/1000000</f>
        <v>32.812260000000002</v>
      </c>
      <c r="Z115" s="38"/>
      <c r="AA115" s="10"/>
      <c r="AB115" s="39"/>
      <c r="AC115" s="33">
        <f>(B115*194.205+C115*267.466+D115*133.845+E115*53.484+F115*40+G115*185+H115*0+I115*100+J115*300)/(194.205+267.466+133.845+53.484+0+40+185+100+300)</f>
        <v>6.263923035086342</v>
      </c>
      <c r="AD115" s="27">
        <f>(M115*'RAP TEMPLATE-GAS AVAILABILITY'!O114+N115*'RAP TEMPLATE-GAS AVAILABILITY'!P114+O115*'RAP TEMPLATE-GAS AVAILABILITY'!Q114+P115*'RAP TEMPLATE-GAS AVAILABILITY'!R114)/('RAP TEMPLATE-GAS AVAILABILITY'!O114+'RAP TEMPLATE-GAS AVAILABILITY'!P114+'RAP TEMPLATE-GAS AVAILABILITY'!Q114+'RAP TEMPLATE-GAS AVAILABILITY'!R114)</f>
        <v>6.2223151079136692</v>
      </c>
    </row>
    <row r="116" spans="1:30" ht="15">
      <c r="A116" s="16">
        <v>44774</v>
      </c>
      <c r="B116" s="10">
        <f>CHOOSE(CONTROL!$C$42, 5.9506, 5.9506) * CHOOSE(CONTROL!$C$21, $C$9, 100%, $E$9)</f>
        <v>5.9505999999999997</v>
      </c>
      <c r="C116" s="10">
        <f>CHOOSE(CONTROL!$C$42, 5.9586, 5.9586) * CHOOSE(CONTROL!$C$21, $C$9, 100%, $E$9)</f>
        <v>5.9585999999999997</v>
      </c>
      <c r="D116" s="10">
        <f>CHOOSE(CONTROL!$C$42, 6.1156, 6.1156) * CHOOSE(CONTROL!$C$21, $C$9, 100%, $E$9)</f>
        <v>6.1155999999999997</v>
      </c>
      <c r="E116" s="10">
        <f>CHOOSE(CONTROL!$C$42, 6.1469, 6.1469) * CHOOSE(CONTROL!$C$21, $C$9, 100%, $E$9)</f>
        <v>6.1468999999999996</v>
      </c>
      <c r="F116" s="10">
        <f>CHOOSE(CONTROL!$C$42, 5.8952, 5.8952)*CHOOSE(CONTROL!$C$21, $C$9, 100%, $E$9)</f>
        <v>5.8952</v>
      </c>
      <c r="G116" s="10">
        <f>CHOOSE(CONTROL!$C$42, 5.9114, 5.9114)*CHOOSE(CONTROL!$C$21, $C$9, 100%, $E$9)</f>
        <v>5.9114000000000004</v>
      </c>
      <c r="H116" s="10">
        <f>CHOOSE(CONTROL!$C$42, 6.1352, 6.1352) * CHOOSE(CONTROL!$C$21, $C$9, 100%, $E$9)</f>
        <v>6.1352000000000002</v>
      </c>
      <c r="I116" s="10">
        <f>CHOOSE(CONTROL!$C$42, 5.9294, 5.9294)* CHOOSE(CONTROL!$C$21, $C$9, 100%, $E$9)</f>
        <v>5.9294000000000002</v>
      </c>
      <c r="J116" s="10">
        <f>CHOOSE(CONTROL!$C$42, 5.8878, 5.8878)* CHOOSE(CONTROL!$C$21, $C$9, 100%, $E$9)</f>
        <v>5.8878000000000004</v>
      </c>
      <c r="K116" s="10">
        <f>CHOOSE(CONTROL!$C$42, 5.9044, 5.9044) * CHOOSE(CONTROL!$C$21, $C$9, 100%, $E$9)</f>
        <v>5.9043999999999999</v>
      </c>
      <c r="L116" s="10">
        <f>CHOOSE(CONTROL!$C$42, 6.7222, 6.7222) * CHOOSE(CONTROL!$C$21, $C$9, 100%, $E$9)</f>
        <v>6.7222</v>
      </c>
      <c r="M116" s="10">
        <f>CHOOSE(CONTROL!$C$42, 5.8387, 5.8387) * CHOOSE(CONTROL!$C$21, $C$9, 100%, $E$9)</f>
        <v>5.8387000000000002</v>
      </c>
      <c r="N116" s="10">
        <f>CHOOSE(CONTROL!$C$42, 5.8547, 5.8547) * CHOOSE(CONTROL!$C$21, $C$9, 100%, $E$9)</f>
        <v>5.8547000000000002</v>
      </c>
      <c r="O116" s="10">
        <f>CHOOSE(CONTROL!$C$42, 6.0826, 6.0826) * CHOOSE(CONTROL!$C$21, $C$9, 100%, $E$9)</f>
        <v>6.0826000000000002</v>
      </c>
      <c r="P116" s="10">
        <f>CHOOSE(CONTROL!$C$42, 5.8797, 5.8797) * CHOOSE(CONTROL!$C$21, $C$9, 100%, $E$9)</f>
        <v>5.8796999999999997</v>
      </c>
      <c r="Q116" s="10">
        <f>CHOOSE(CONTROL!$C$42, 6.6779, 6.6779) * CHOOSE(CONTROL!$C$21, $C$9, 100%, $E$9)</f>
        <v>6.6779000000000002</v>
      </c>
      <c r="R116" s="10">
        <f>CHOOSE(CONTROL!$C$42, 7.2816, 7.2816) * CHOOSE(CONTROL!$C$21, $C$9, 100%, $E$9)</f>
        <v>7.2816000000000001</v>
      </c>
      <c r="S116" s="10">
        <f>CHOOSE(CONTROL!$C$42, 5.7766, 5.7766) * CHOOSE(CONTROL!$C$21, $C$9, 100%, $E$9)</f>
        <v>5.7766000000000002</v>
      </c>
      <c r="T11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16" s="38">
        <f>(1000*CHOOSE(CONTROL!$C$42, 695, 695)*CHOOSE(CONTROL!$C$42, 0.5599, 0.5599)*CHOOSE(CONTROL!$C$42, 31, 31))/1000000</f>
        <v>12.063045499999998</v>
      </c>
      <c r="V116" s="38">
        <f>(1000*CHOOSE(CONTROL!$C$42, 500, 500)*CHOOSE(CONTROL!$C$42, 0.275, 0.275)*CHOOSE(CONTROL!$C$42, 31, 31))/1000000</f>
        <v>4.2625000000000002</v>
      </c>
      <c r="W116" s="38">
        <f>(1000*CHOOSE(CONTROL!$C$42, 0.1146, 0.1146)*CHOOSE(CONTROL!$C$42, 121.5, 121.5)*CHOOSE(CONTROL!$C$42, 31, 31))/1000000</f>
        <v>0.43164089999999994</v>
      </c>
      <c r="X116" s="38">
        <f>(31*0.1790888*245000/1000000)+(31*0.2374*100000/1000000)</f>
        <v>2.0961194359999999</v>
      </c>
      <c r="Y116" s="38">
        <f>(1000*600*CHOOSE(CONTROL!$C$42, 1.7641, 1.7641)*CHOOSE(CONTROL!$C$42, 31, 31))/1000000</f>
        <v>32.812260000000002</v>
      </c>
      <c r="Z116" s="38"/>
      <c r="AA116" s="10"/>
      <c r="AB116" s="39"/>
      <c r="AC116" s="33">
        <f>(B116*194.205+C116*267.466+D116*133.845+E116*53.484+F116*40+G116*185+H116*0+I116*100+J116*300)/(194.205+267.466+133.845+53.484+0+40+185+100+300)</f>
        <v>5.9539713204081632</v>
      </c>
      <c r="AD116" s="27">
        <f>(M116*'RAP TEMPLATE-GAS AVAILABILITY'!O115+N116*'RAP TEMPLATE-GAS AVAILABILITY'!P115+O116*'RAP TEMPLATE-GAS AVAILABILITY'!Q115+P116*'RAP TEMPLATE-GAS AVAILABILITY'!R115)/('RAP TEMPLATE-GAS AVAILABILITY'!O115+'RAP TEMPLATE-GAS AVAILABILITY'!P115+'RAP TEMPLATE-GAS AVAILABILITY'!Q115+'RAP TEMPLATE-GAS AVAILABILITY'!R115)</f>
        <v>5.9167151079136691</v>
      </c>
    </row>
    <row r="117" spans="1:30" ht="15">
      <c r="A117" s="16">
        <v>44805</v>
      </c>
      <c r="B117" s="10">
        <f>CHOOSE(CONTROL!$C$42, 5.5719, 5.5719) * CHOOSE(CONTROL!$C$21, $C$9, 100%, $E$9)</f>
        <v>5.5719000000000003</v>
      </c>
      <c r="C117" s="10">
        <f>CHOOSE(CONTROL!$C$42, 5.5799, 5.5799) * CHOOSE(CONTROL!$C$21, $C$9, 100%, $E$9)</f>
        <v>5.5799000000000003</v>
      </c>
      <c r="D117" s="10">
        <f>CHOOSE(CONTROL!$C$42, 5.737, 5.737) * CHOOSE(CONTROL!$C$21, $C$9, 100%, $E$9)</f>
        <v>5.7370000000000001</v>
      </c>
      <c r="E117" s="10">
        <f>CHOOSE(CONTROL!$C$42, 5.7682, 5.7682) * CHOOSE(CONTROL!$C$21, $C$9, 100%, $E$9)</f>
        <v>5.7682000000000002</v>
      </c>
      <c r="F117" s="10">
        <f>CHOOSE(CONTROL!$C$42, 5.5163, 5.5163)*CHOOSE(CONTROL!$C$21, $C$9, 100%, $E$9)</f>
        <v>5.5163000000000002</v>
      </c>
      <c r="G117" s="10">
        <f>CHOOSE(CONTROL!$C$42, 5.5325, 5.5325)*CHOOSE(CONTROL!$C$21, $C$9, 100%, $E$9)</f>
        <v>5.5324999999999998</v>
      </c>
      <c r="H117" s="10">
        <f>CHOOSE(CONTROL!$C$42, 5.7565, 5.7565) * CHOOSE(CONTROL!$C$21, $C$9, 100%, $E$9)</f>
        <v>5.7565</v>
      </c>
      <c r="I117" s="10">
        <f>CHOOSE(CONTROL!$C$42, 5.5507, 5.5507)* CHOOSE(CONTROL!$C$21, $C$9, 100%, $E$9)</f>
        <v>5.5507</v>
      </c>
      <c r="J117" s="10">
        <f>CHOOSE(CONTROL!$C$42, 5.5089, 5.5089)* CHOOSE(CONTROL!$C$21, $C$9, 100%, $E$9)</f>
        <v>5.5088999999999997</v>
      </c>
      <c r="K117" s="10">
        <f>CHOOSE(CONTROL!$C$42, 5.5372, 5.5372) * CHOOSE(CONTROL!$C$21, $C$9, 100%, $E$9)</f>
        <v>5.5372000000000003</v>
      </c>
      <c r="L117" s="10">
        <f>CHOOSE(CONTROL!$C$42, 6.3435, 6.3435) * CHOOSE(CONTROL!$C$21, $C$9, 100%, $E$9)</f>
        <v>6.3434999999999997</v>
      </c>
      <c r="M117" s="10">
        <f>CHOOSE(CONTROL!$C$42, 5.4651, 5.4651) * CHOOSE(CONTROL!$C$21, $C$9, 100%, $E$9)</f>
        <v>5.4650999999999996</v>
      </c>
      <c r="N117" s="10">
        <f>CHOOSE(CONTROL!$C$42, 5.481, 5.481) * CHOOSE(CONTROL!$C$21, $C$9, 100%, $E$9)</f>
        <v>5.4809999999999999</v>
      </c>
      <c r="O117" s="10">
        <f>CHOOSE(CONTROL!$C$42, 5.7093, 5.7093) * CHOOSE(CONTROL!$C$21, $C$9, 100%, $E$9)</f>
        <v>5.7092999999999998</v>
      </c>
      <c r="P117" s="10">
        <f>CHOOSE(CONTROL!$C$42, 5.5064, 5.5064) * CHOOSE(CONTROL!$C$21, $C$9, 100%, $E$9)</f>
        <v>5.5064000000000002</v>
      </c>
      <c r="Q117" s="10">
        <f>CHOOSE(CONTROL!$C$42, 6.3046, 6.3046) * CHOOSE(CONTROL!$C$21, $C$9, 100%, $E$9)</f>
        <v>6.3045999999999998</v>
      </c>
      <c r="R117" s="10">
        <f>CHOOSE(CONTROL!$C$42, 6.9073, 6.9073) * CHOOSE(CONTROL!$C$21, $C$9, 100%, $E$9)</f>
        <v>6.9073000000000002</v>
      </c>
      <c r="S117" s="10">
        <f>CHOOSE(CONTROL!$C$42, 5.4099, 5.4099) * CHOOSE(CONTROL!$C$21, $C$9, 100%, $E$9)</f>
        <v>5.4099000000000004</v>
      </c>
      <c r="T11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17" s="38">
        <f>(1000*CHOOSE(CONTROL!$C$42, 695, 695)*CHOOSE(CONTROL!$C$42, 0.5599, 0.5599)*CHOOSE(CONTROL!$C$42, 30, 30))/1000000</f>
        <v>11.673914999999997</v>
      </c>
      <c r="V117" s="38">
        <f>(1000*CHOOSE(CONTROL!$C$42, 500, 500)*CHOOSE(CONTROL!$C$42, 0.275, 0.275)*CHOOSE(CONTROL!$C$42, 30, 30))/1000000</f>
        <v>4.125</v>
      </c>
      <c r="W117" s="38">
        <f>(1000*CHOOSE(CONTROL!$C$42, 0.1146, 0.1146)*CHOOSE(CONTROL!$C$42, 121.5, 121.5)*CHOOSE(CONTROL!$C$42, 30, 30))/1000000</f>
        <v>0.417717</v>
      </c>
      <c r="X117" s="38">
        <f>(30*0.1790888*245000/1000000)+(30*0.2374*100000/1000000)</f>
        <v>2.0285026799999999</v>
      </c>
      <c r="Y117" s="38">
        <f>(1000*600*CHOOSE(CONTROL!$C$42, 1.7641, 1.7641)*CHOOSE(CONTROL!$C$42, 30, 30))/1000000</f>
        <v>31.753799999999998</v>
      </c>
      <c r="Z117" s="38"/>
      <c r="AA117" s="10"/>
      <c r="AB117" s="39"/>
      <c r="AC117" s="33">
        <f>(B117*194.205+C117*267.466+D117*133.845+E117*53.484+F117*40+G117*185+H117*0+I117*100+J117*300)/(194.205+267.466+133.845+53.484+0+40+185+100+300)</f>
        <v>5.5751994087127157</v>
      </c>
      <c r="AD117" s="27">
        <f>(M117*'RAP TEMPLATE-GAS AVAILABILITY'!O116+N117*'RAP TEMPLATE-GAS AVAILABILITY'!P116+O117*'RAP TEMPLATE-GAS AVAILABILITY'!Q116+P117*'RAP TEMPLATE-GAS AVAILABILITY'!R116)/('RAP TEMPLATE-GAS AVAILABILITY'!O116+'RAP TEMPLATE-GAS AVAILABILITY'!P116+'RAP TEMPLATE-GAS AVAILABILITY'!Q116+'RAP TEMPLATE-GAS AVAILABILITY'!R116)</f>
        <v>5.5432194244604318</v>
      </c>
    </row>
    <row r="118" spans="1:30" ht="15">
      <c r="A118" s="16">
        <v>44835</v>
      </c>
      <c r="B118" s="10">
        <f>CHOOSE(CONTROL!$C$42, 5.4564, 5.4564) * CHOOSE(CONTROL!$C$21, $C$9, 100%, $E$9)</f>
        <v>5.4564000000000004</v>
      </c>
      <c r="C118" s="10">
        <f>CHOOSE(CONTROL!$C$42, 5.4617, 5.4617) * CHOOSE(CONTROL!$C$21, $C$9, 100%, $E$9)</f>
        <v>5.4617000000000004</v>
      </c>
      <c r="D118" s="10">
        <f>CHOOSE(CONTROL!$C$42, 5.6236, 5.6236) * CHOOSE(CONTROL!$C$21, $C$9, 100%, $E$9)</f>
        <v>5.6235999999999997</v>
      </c>
      <c r="E118" s="10">
        <f>CHOOSE(CONTROL!$C$42, 5.6525, 5.6525) * CHOOSE(CONTROL!$C$21, $C$9, 100%, $E$9)</f>
        <v>5.6524999999999999</v>
      </c>
      <c r="F118" s="10">
        <f>CHOOSE(CONTROL!$C$42, 5.4027, 5.4027)*CHOOSE(CONTROL!$C$21, $C$9, 100%, $E$9)</f>
        <v>5.4027000000000003</v>
      </c>
      <c r="G118" s="10">
        <f>CHOOSE(CONTROL!$C$42, 5.4185, 5.4185)*CHOOSE(CONTROL!$C$21, $C$9, 100%, $E$9)</f>
        <v>5.4184999999999999</v>
      </c>
      <c r="H118" s="10">
        <f>CHOOSE(CONTROL!$C$42, 5.6427, 5.6427) * CHOOSE(CONTROL!$C$21, $C$9, 100%, $E$9)</f>
        <v>5.6426999999999996</v>
      </c>
      <c r="I118" s="10">
        <f>CHOOSE(CONTROL!$C$42, 5.4369, 5.4369)* CHOOSE(CONTROL!$C$21, $C$9, 100%, $E$9)</f>
        <v>5.4368999999999996</v>
      </c>
      <c r="J118" s="10">
        <f>CHOOSE(CONTROL!$C$42, 5.3953, 5.3953)* CHOOSE(CONTROL!$C$21, $C$9, 100%, $E$9)</f>
        <v>5.3952999999999998</v>
      </c>
      <c r="K118" s="10">
        <f>CHOOSE(CONTROL!$C$42, 5.4275, 5.4275) * CHOOSE(CONTROL!$C$21, $C$9, 100%, $E$9)</f>
        <v>5.4275000000000002</v>
      </c>
      <c r="L118" s="10">
        <f>CHOOSE(CONTROL!$C$42, 6.2297, 6.2297) * CHOOSE(CONTROL!$C$21, $C$9, 100%, $E$9)</f>
        <v>6.2297000000000002</v>
      </c>
      <c r="M118" s="10">
        <f>CHOOSE(CONTROL!$C$42, 5.3531, 5.3531) * CHOOSE(CONTROL!$C$21, $C$9, 100%, $E$9)</f>
        <v>5.3531000000000004</v>
      </c>
      <c r="N118" s="10">
        <f>CHOOSE(CONTROL!$C$42, 5.3687, 5.3687) * CHOOSE(CONTROL!$C$21, $C$9, 100%, $E$9)</f>
        <v>5.3686999999999996</v>
      </c>
      <c r="O118" s="10">
        <f>CHOOSE(CONTROL!$C$42, 5.597, 5.597) * CHOOSE(CONTROL!$C$21, $C$9, 100%, $E$9)</f>
        <v>5.5970000000000004</v>
      </c>
      <c r="P118" s="10">
        <f>CHOOSE(CONTROL!$C$42, 5.3941, 5.3941) * CHOOSE(CONTROL!$C$21, $C$9, 100%, $E$9)</f>
        <v>5.3940999999999999</v>
      </c>
      <c r="Q118" s="10">
        <f>CHOOSE(CONTROL!$C$42, 6.1923, 6.1923) * CHOOSE(CONTROL!$C$21, $C$9, 100%, $E$9)</f>
        <v>6.1923000000000004</v>
      </c>
      <c r="R118" s="10">
        <f>CHOOSE(CONTROL!$C$42, 6.7948, 6.7948) * CHOOSE(CONTROL!$C$21, $C$9, 100%, $E$9)</f>
        <v>6.7948000000000004</v>
      </c>
      <c r="S118" s="10">
        <f>CHOOSE(CONTROL!$C$42, 5.2996, 5.2996) * CHOOSE(CONTROL!$C$21, $C$9, 100%, $E$9)</f>
        <v>5.2995999999999999</v>
      </c>
      <c r="T11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18" s="38">
        <f>(1000*CHOOSE(CONTROL!$C$42, 695, 695)*CHOOSE(CONTROL!$C$42, 0.5599, 0.5599)*CHOOSE(CONTROL!$C$42, 31, 31))/1000000</f>
        <v>12.063045499999998</v>
      </c>
      <c r="V118" s="38">
        <f>(1000*CHOOSE(CONTROL!$C$42, 500, 500)*CHOOSE(CONTROL!$C$42, 0.275, 0.275)*CHOOSE(CONTROL!$C$42, 31, 31))/1000000</f>
        <v>4.2625000000000002</v>
      </c>
      <c r="W118" s="38">
        <f>(1000*CHOOSE(CONTROL!$C$42, 0.1146, 0.1146)*CHOOSE(CONTROL!$C$42, 121.5, 121.5)*CHOOSE(CONTROL!$C$42, 31, 31))/1000000</f>
        <v>0.43164089999999994</v>
      </c>
      <c r="X118" s="38">
        <f>(31*0.1790888*245000/1000000)+(31*0.2374*100000/1000000)</f>
        <v>2.0961194359999999</v>
      </c>
      <c r="Y118" s="38">
        <f>(1000*600*CHOOSE(CONTROL!$C$42, 1.7641, 1.7641)*CHOOSE(CONTROL!$C$42, 31, 31))/1000000</f>
        <v>32.812260000000002</v>
      </c>
      <c r="Z118" s="38"/>
      <c r="AA118" s="10"/>
      <c r="AB118" s="39"/>
      <c r="AC118" s="33">
        <f>(B118*131.881+C118*277.167+D118*79.08+E118*125.872+F118*40+G118*185+H118*0+I118*100+J118*300)/(131.881+277.167+79.08+125.872+0+40+185+100+300)</f>
        <v>5.4644186927360776</v>
      </c>
      <c r="AD118" s="27">
        <f>(M118*'RAP TEMPLATE-GAS AVAILABILITY'!O117+N118*'RAP TEMPLATE-GAS AVAILABILITY'!P117+O118*'RAP TEMPLATE-GAS AVAILABILITY'!Q117+P118*'RAP TEMPLATE-GAS AVAILABILITY'!R117)/('RAP TEMPLATE-GAS AVAILABILITY'!O117+'RAP TEMPLATE-GAS AVAILABILITY'!P117+'RAP TEMPLATE-GAS AVAILABILITY'!Q117+'RAP TEMPLATE-GAS AVAILABILITY'!R117)</f>
        <v>5.4310230215827335</v>
      </c>
    </row>
    <row r="119" spans="1:30" ht="15">
      <c r="A119" s="16">
        <v>44866</v>
      </c>
      <c r="B119" s="10">
        <f>CHOOSE(CONTROL!$C$42, 5.6001, 5.6001) * CHOOSE(CONTROL!$C$21, $C$9, 100%, $E$9)</f>
        <v>5.6001000000000003</v>
      </c>
      <c r="C119" s="10">
        <f>CHOOSE(CONTROL!$C$42, 5.6052, 5.6052) * CHOOSE(CONTROL!$C$21, $C$9, 100%, $E$9)</f>
        <v>5.6052</v>
      </c>
      <c r="D119" s="10">
        <f>CHOOSE(CONTROL!$C$42, 5.6299, 5.6299) * CHOOSE(CONTROL!$C$21, $C$9, 100%, $E$9)</f>
        <v>5.6299000000000001</v>
      </c>
      <c r="E119" s="10">
        <f>CHOOSE(CONTROL!$C$42, 5.6637, 5.6637) * CHOOSE(CONTROL!$C$21, $C$9, 100%, $E$9)</f>
        <v>5.6637000000000004</v>
      </c>
      <c r="F119" s="10">
        <f>CHOOSE(CONTROL!$C$42, 5.5684, 5.5684)*CHOOSE(CONTROL!$C$21, $C$9, 100%, $E$9)</f>
        <v>5.5683999999999996</v>
      </c>
      <c r="G119" s="10">
        <f>CHOOSE(CONTROL!$C$42, 5.5844, 5.5844)*CHOOSE(CONTROL!$C$21, $C$9, 100%, $E$9)</f>
        <v>5.5843999999999996</v>
      </c>
      <c r="H119" s="10">
        <f>CHOOSE(CONTROL!$C$42, 5.6526, 5.6526) * CHOOSE(CONTROL!$C$21, $C$9, 100%, $E$9)</f>
        <v>5.6525999999999996</v>
      </c>
      <c r="I119" s="10">
        <f>CHOOSE(CONTROL!$C$42, 5.6151, 5.6151)* CHOOSE(CONTROL!$C$21, $C$9, 100%, $E$9)</f>
        <v>5.6151</v>
      </c>
      <c r="J119" s="10">
        <f>CHOOSE(CONTROL!$C$42, 5.561, 5.561)* CHOOSE(CONTROL!$C$21, $C$9, 100%, $E$9)</f>
        <v>5.5609999999999999</v>
      </c>
      <c r="K119" s="10">
        <f>CHOOSE(CONTROL!$C$42, 5.6024, 5.6024) * CHOOSE(CONTROL!$C$21, $C$9, 100%, $E$9)</f>
        <v>5.6024000000000003</v>
      </c>
      <c r="L119" s="10">
        <f>CHOOSE(CONTROL!$C$42, 6.2396, 6.2396) * CHOOSE(CONTROL!$C$21, $C$9, 100%, $E$9)</f>
        <v>6.2396000000000003</v>
      </c>
      <c r="M119" s="10">
        <f>CHOOSE(CONTROL!$C$42, 5.5165, 5.5165) * CHOOSE(CONTROL!$C$21, $C$9, 100%, $E$9)</f>
        <v>5.5164999999999997</v>
      </c>
      <c r="N119" s="10">
        <f>CHOOSE(CONTROL!$C$42, 5.5323, 5.5323) * CHOOSE(CONTROL!$C$21, $C$9, 100%, $E$9)</f>
        <v>5.5323000000000002</v>
      </c>
      <c r="O119" s="10">
        <f>CHOOSE(CONTROL!$C$42, 5.6067, 5.6067) * CHOOSE(CONTROL!$C$21, $C$9, 100%, $E$9)</f>
        <v>5.6067</v>
      </c>
      <c r="P119" s="10">
        <f>CHOOSE(CONTROL!$C$42, 5.5698, 5.5698) * CHOOSE(CONTROL!$C$21, $C$9, 100%, $E$9)</f>
        <v>5.5697999999999999</v>
      </c>
      <c r="Q119" s="10">
        <f>CHOOSE(CONTROL!$C$42, 6.202, 6.202) * CHOOSE(CONTROL!$C$21, $C$9, 100%, $E$9)</f>
        <v>6.202</v>
      </c>
      <c r="R119" s="10">
        <f>CHOOSE(CONTROL!$C$42, 6.8045, 6.8045) * CHOOSE(CONTROL!$C$21, $C$9, 100%, $E$9)</f>
        <v>6.8045</v>
      </c>
      <c r="S119" s="10">
        <f>CHOOSE(CONTROL!$C$42, 5.4392, 5.4392) * CHOOSE(CONTROL!$C$21, $C$9, 100%, $E$9)</f>
        <v>5.4391999999999996</v>
      </c>
      <c r="T11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19" s="38">
        <f>(1000*CHOOSE(CONTROL!$C$42, 695, 695)*CHOOSE(CONTROL!$C$42, 0.5599, 0.5599)*CHOOSE(CONTROL!$C$42, 30, 30))/1000000</f>
        <v>11.673914999999997</v>
      </c>
      <c r="V119" s="38">
        <f>(1000*CHOOSE(CONTROL!$C$42, 500, 500)*CHOOSE(CONTROL!$C$42, 0.275, 0.275)*CHOOSE(CONTROL!$C$42, 30, 30))/1000000</f>
        <v>4.125</v>
      </c>
      <c r="W119" s="38">
        <f>(1000*CHOOSE(CONTROL!$C$42, 0.1146, 0.1146)*CHOOSE(CONTROL!$C$42, 121.5, 121.5)*CHOOSE(CONTROL!$C$42, 30, 30))/1000000</f>
        <v>0.417717</v>
      </c>
      <c r="X119" s="38">
        <f>(30*0.1790888*100000/1000000)+(30*0.2374*100000/1000000)</f>
        <v>1.2494664</v>
      </c>
      <c r="Y119" s="38">
        <f>(1000*600*CHOOSE(CONTROL!$C$42, 1.7641, 1.7641)*CHOOSE(CONTROL!$C$42, 30, 30))/1000000</f>
        <v>31.753799999999998</v>
      </c>
      <c r="Z119" s="38"/>
      <c r="AA119" s="10"/>
      <c r="AB119" s="39"/>
      <c r="AC119" s="33">
        <f>(B119*122.58+C119*297.941+D119*89.177+E119*40.302+F119*40+G119*160+H119*0+I119*100+J119*300)/(122.58+297.941+89.177+40.302+0+40+160+100+300)</f>
        <v>5.5937784181739136</v>
      </c>
      <c r="AD119" s="27">
        <f>(M119*'RAP TEMPLATE-GAS AVAILABILITY'!O118+N119*'RAP TEMPLATE-GAS AVAILABILITY'!P118+O119*'RAP TEMPLATE-GAS AVAILABILITY'!Q118+P119*'RAP TEMPLATE-GAS AVAILABILITY'!R118)/('RAP TEMPLATE-GAS AVAILABILITY'!O118+'RAP TEMPLATE-GAS AVAILABILITY'!P118+'RAP TEMPLATE-GAS AVAILABILITY'!Q118+'RAP TEMPLATE-GAS AVAILABILITY'!R118)</f>
        <v>5.5659604316546769</v>
      </c>
    </row>
    <row r="120" spans="1:30" ht="15">
      <c r="A120" s="16">
        <v>44896</v>
      </c>
      <c r="B120" s="10">
        <f>CHOOSE(CONTROL!$C$42, 5.983, 5.983) * CHOOSE(CONTROL!$C$21, $C$9, 100%, $E$9)</f>
        <v>5.9829999999999997</v>
      </c>
      <c r="C120" s="10">
        <f>CHOOSE(CONTROL!$C$42, 5.9881, 5.9881) * CHOOSE(CONTROL!$C$21, $C$9, 100%, $E$9)</f>
        <v>5.9881000000000002</v>
      </c>
      <c r="D120" s="10">
        <f>CHOOSE(CONTROL!$C$42, 6.0128, 6.0128) * CHOOSE(CONTROL!$C$21, $C$9, 100%, $E$9)</f>
        <v>6.0128000000000004</v>
      </c>
      <c r="E120" s="10">
        <f>CHOOSE(CONTROL!$C$42, 6.0466, 6.0466) * CHOOSE(CONTROL!$C$21, $C$9, 100%, $E$9)</f>
        <v>6.0465999999999998</v>
      </c>
      <c r="F120" s="10">
        <f>CHOOSE(CONTROL!$C$42, 5.9533, 5.9533)*CHOOSE(CONTROL!$C$21, $C$9, 100%, $E$9)</f>
        <v>5.9532999999999996</v>
      </c>
      <c r="G120" s="10">
        <f>CHOOSE(CONTROL!$C$42, 5.9698, 5.9698)*CHOOSE(CONTROL!$C$21, $C$9, 100%, $E$9)</f>
        <v>5.9698000000000002</v>
      </c>
      <c r="H120" s="10">
        <f>CHOOSE(CONTROL!$C$42, 6.0355, 6.0355) * CHOOSE(CONTROL!$C$21, $C$9, 100%, $E$9)</f>
        <v>6.0354999999999999</v>
      </c>
      <c r="I120" s="10">
        <f>CHOOSE(CONTROL!$C$42, 5.998, 5.998)* CHOOSE(CONTROL!$C$21, $C$9, 100%, $E$9)</f>
        <v>5.9980000000000002</v>
      </c>
      <c r="J120" s="10">
        <f>CHOOSE(CONTROL!$C$42, 5.9459, 5.9459)* CHOOSE(CONTROL!$C$21, $C$9, 100%, $E$9)</f>
        <v>5.9459</v>
      </c>
      <c r="K120" s="10">
        <f>CHOOSE(CONTROL!$C$42, 5.9775, 5.9775) * CHOOSE(CONTROL!$C$21, $C$9, 100%, $E$9)</f>
        <v>5.9775</v>
      </c>
      <c r="L120" s="10">
        <f>CHOOSE(CONTROL!$C$42, 6.6225, 6.6225) * CHOOSE(CONTROL!$C$21, $C$9, 100%, $E$9)</f>
        <v>6.6224999999999996</v>
      </c>
      <c r="M120" s="10">
        <f>CHOOSE(CONTROL!$C$42, 5.896, 5.896) * CHOOSE(CONTROL!$C$21, $C$9, 100%, $E$9)</f>
        <v>5.8959999999999999</v>
      </c>
      <c r="N120" s="10">
        <f>CHOOSE(CONTROL!$C$42, 5.9122, 5.9122) * CHOOSE(CONTROL!$C$21, $C$9, 100%, $E$9)</f>
        <v>5.9122000000000003</v>
      </c>
      <c r="O120" s="10">
        <f>CHOOSE(CONTROL!$C$42, 5.9843, 5.9843) * CHOOSE(CONTROL!$C$21, $C$9, 100%, $E$9)</f>
        <v>5.9843000000000002</v>
      </c>
      <c r="P120" s="10">
        <f>CHOOSE(CONTROL!$C$42, 5.9474, 5.9474) * CHOOSE(CONTROL!$C$21, $C$9, 100%, $E$9)</f>
        <v>5.9474</v>
      </c>
      <c r="Q120" s="10">
        <f>CHOOSE(CONTROL!$C$42, 6.5796, 6.5796) * CHOOSE(CONTROL!$C$21, $C$9, 100%, $E$9)</f>
        <v>6.5796000000000001</v>
      </c>
      <c r="R120" s="10">
        <f>CHOOSE(CONTROL!$C$42, 7.1831, 7.1831) * CHOOSE(CONTROL!$C$21, $C$9, 100%, $E$9)</f>
        <v>7.1830999999999996</v>
      </c>
      <c r="S120" s="10">
        <f>CHOOSE(CONTROL!$C$42, 5.81, 5.81) * CHOOSE(CONTROL!$C$21, $C$9, 100%, $E$9)</f>
        <v>5.81</v>
      </c>
      <c r="T12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20" s="38">
        <f>(1000*CHOOSE(CONTROL!$C$42, 695, 695)*CHOOSE(CONTROL!$C$42, 0.5599, 0.5599)*CHOOSE(CONTROL!$C$42, 31, 31))/1000000</f>
        <v>12.063045499999998</v>
      </c>
      <c r="V120" s="38">
        <f>(1000*CHOOSE(CONTROL!$C$42, 500, 500)*CHOOSE(CONTROL!$C$42, 0.275, 0.275)*CHOOSE(CONTROL!$C$42, 31, 31))/1000000</f>
        <v>4.2625000000000002</v>
      </c>
      <c r="W120" s="38">
        <f>(1000*CHOOSE(CONTROL!$C$42, 0.1146, 0.1146)*CHOOSE(CONTROL!$C$42, 121.5, 121.5)*CHOOSE(CONTROL!$C$42, 31, 31))/1000000</f>
        <v>0.43164089999999994</v>
      </c>
      <c r="X120" s="38">
        <f>(31*0.1790888*100000/1000000)+(31*0.2374*100000/1000000)</f>
        <v>1.2911152800000001</v>
      </c>
      <c r="Y120" s="38">
        <f>(1000*600*CHOOSE(CONTROL!$C$42, 1.7641, 1.7641)*CHOOSE(CONTROL!$C$42, 31, 31))/1000000</f>
        <v>32.812260000000002</v>
      </c>
      <c r="Z120" s="38"/>
      <c r="AA120" s="10"/>
      <c r="AB120" s="39"/>
      <c r="AC120" s="33">
        <f>(B120*122.58+C120*297.941+D120*89.177+E120*40.302+F120*40+G120*160+H120*0+I120*100+J120*300)/(122.58+297.941+89.177+40.302+0+40+160+100+300)</f>
        <v>5.9776175486086967</v>
      </c>
      <c r="AD120" s="27">
        <f>(M120*'RAP TEMPLATE-GAS AVAILABILITY'!O119+N120*'RAP TEMPLATE-GAS AVAILABILITY'!P119+O120*'RAP TEMPLATE-GAS AVAILABILITY'!Q119+P120*'RAP TEMPLATE-GAS AVAILABILITY'!R119)/('RAP TEMPLATE-GAS AVAILABILITY'!O119+'RAP TEMPLATE-GAS AVAILABILITY'!P119+'RAP TEMPLATE-GAS AVAILABILITY'!Q119+'RAP TEMPLATE-GAS AVAILABILITY'!R119)</f>
        <v>5.9443489208633098</v>
      </c>
    </row>
    <row r="121" spans="1:30" ht="15">
      <c r="A121" s="16">
        <v>44927</v>
      </c>
      <c r="B121" s="10">
        <f>CHOOSE(CONTROL!$C$42, 6.4515, 6.4515) * CHOOSE(CONTROL!$C$21, $C$9, 100%, $E$9)</f>
        <v>6.4515000000000002</v>
      </c>
      <c r="C121" s="10">
        <f>CHOOSE(CONTROL!$C$42, 6.4566, 6.4566) * CHOOSE(CONTROL!$C$21, $C$9, 100%, $E$9)</f>
        <v>6.4565999999999999</v>
      </c>
      <c r="D121" s="10">
        <f>CHOOSE(CONTROL!$C$42, 6.489, 6.489) * CHOOSE(CONTROL!$C$21, $C$9, 100%, $E$9)</f>
        <v>6.4889999999999999</v>
      </c>
      <c r="E121" s="10">
        <f>CHOOSE(CONTROL!$C$42, 6.5228, 6.5228) * CHOOSE(CONTROL!$C$21, $C$9, 100%, $E$9)</f>
        <v>6.5228000000000002</v>
      </c>
      <c r="F121" s="10">
        <f>CHOOSE(CONTROL!$C$42, 6.4357, 6.4357)*CHOOSE(CONTROL!$C$21, $C$9, 100%, $E$9)</f>
        <v>6.4356999999999998</v>
      </c>
      <c r="G121" s="10">
        <f>CHOOSE(CONTROL!$C$42, 6.4537, 6.4537)*CHOOSE(CONTROL!$C$21, $C$9, 100%, $E$9)</f>
        <v>6.4537000000000004</v>
      </c>
      <c r="H121" s="10">
        <f>CHOOSE(CONTROL!$C$42, 6.5117, 6.5117) * CHOOSE(CONTROL!$C$21, $C$9, 100%, $E$9)</f>
        <v>6.5117000000000003</v>
      </c>
      <c r="I121" s="10">
        <f>CHOOSE(CONTROL!$C$42, 6.4649, 6.4649)* CHOOSE(CONTROL!$C$21, $C$9, 100%, $E$9)</f>
        <v>6.4649000000000001</v>
      </c>
      <c r="J121" s="10">
        <f>CHOOSE(CONTROL!$C$42, 6.4283, 6.4283)* CHOOSE(CONTROL!$C$21, $C$9, 100%, $E$9)</f>
        <v>6.4283000000000001</v>
      </c>
      <c r="K121" s="10">
        <f>CHOOSE(CONTROL!$C$42, 6.4437, 6.4437) * CHOOSE(CONTROL!$C$21, $C$9, 100%, $E$9)</f>
        <v>6.4436999999999998</v>
      </c>
      <c r="L121" s="10">
        <f>CHOOSE(CONTROL!$C$42, 7.0987, 7.0987) * CHOOSE(CONTROL!$C$21, $C$9, 100%, $E$9)</f>
        <v>7.0987</v>
      </c>
      <c r="M121" s="10">
        <f>CHOOSE(CONTROL!$C$42, 6.3716, 6.3716) * CHOOSE(CONTROL!$C$21, $C$9, 100%, $E$9)</f>
        <v>6.3715999999999999</v>
      </c>
      <c r="N121" s="10">
        <f>CHOOSE(CONTROL!$C$42, 6.3894, 6.3894) * CHOOSE(CONTROL!$C$21, $C$9, 100%, $E$9)</f>
        <v>6.3894000000000002</v>
      </c>
      <c r="O121" s="10">
        <f>CHOOSE(CONTROL!$C$42, 6.4539, 6.4539) * CHOOSE(CONTROL!$C$21, $C$9, 100%, $E$9)</f>
        <v>6.4539</v>
      </c>
      <c r="P121" s="10">
        <f>CHOOSE(CONTROL!$C$42, 6.4078, 6.4078) * CHOOSE(CONTROL!$C$21, $C$9, 100%, $E$9)</f>
        <v>6.4077999999999999</v>
      </c>
      <c r="Q121" s="10">
        <f>CHOOSE(CONTROL!$C$42, 7.0492, 7.0492) * CHOOSE(CONTROL!$C$21, $C$9, 100%, $E$9)</f>
        <v>7.0491999999999999</v>
      </c>
      <c r="R121" s="10">
        <f>CHOOSE(CONTROL!$C$42, 7.6538, 7.6538) * CHOOSE(CONTROL!$C$21, $C$9, 100%, $E$9)</f>
        <v>7.6538000000000004</v>
      </c>
      <c r="S121" s="10">
        <f>CHOOSE(CONTROL!$C$42, 6.2636, 6.2636) * CHOOSE(CONTROL!$C$21, $C$9, 100%, $E$9)</f>
        <v>6.2636000000000003</v>
      </c>
      <c r="T12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21" s="38">
        <f>(1000*CHOOSE(CONTROL!$C$42, 695, 695)*CHOOSE(CONTROL!$C$42, 0.5599, 0.5599)*CHOOSE(CONTROL!$C$42, 31, 31))/1000000</f>
        <v>12.063045499999998</v>
      </c>
      <c r="V121" s="38">
        <f>(1000*CHOOSE(CONTROL!$C$42, 500, 500)*CHOOSE(CONTROL!$C$42, 0.275, 0.275)*CHOOSE(CONTROL!$C$42, 31, 31))/1000000</f>
        <v>4.2625000000000002</v>
      </c>
      <c r="W121" s="38">
        <f>(1000*CHOOSE(CONTROL!$C$42, 0.1146, 0.1146)*CHOOSE(CONTROL!$C$42, 121.5, 121.5)*CHOOSE(CONTROL!$C$42, 31, 31))/1000000</f>
        <v>0.43164089999999994</v>
      </c>
      <c r="X121" s="38">
        <f>(31*0.1790888*100000/1000000)+(31*0.2374*100000/1000000)</f>
        <v>1.2911152800000001</v>
      </c>
      <c r="Y121" s="38">
        <f>(1000*600*CHOOSE(CONTROL!$C$42, 1.754, 1.754)*CHOOSE(CONTROL!$C$42, 31, 31))/1000000</f>
        <v>32.624400000000001</v>
      </c>
      <c r="Z121" s="38"/>
      <c r="AA121" s="10"/>
      <c r="AB121" s="39"/>
      <c r="AC121" s="33">
        <f>(B121*122.58+C121*297.941+D121*89.177+E121*40.302+F121*40+G121*160+H121*0+I121*100+J121*300)/(122.58+297.941+89.177+40.302+0+40+160+100+300)</f>
        <v>6.4530975384347826</v>
      </c>
      <c r="AD121" s="27">
        <f>(M121*'RAP TEMPLATE-GAS AVAILABILITY'!O120+N121*'RAP TEMPLATE-GAS AVAILABILITY'!P120+O121*'RAP TEMPLATE-GAS AVAILABILITY'!Q120+P121*'RAP TEMPLATE-GAS AVAILABILITY'!R120)/('RAP TEMPLATE-GAS AVAILABILITY'!O120+'RAP TEMPLATE-GAS AVAILABILITY'!P120+'RAP TEMPLATE-GAS AVAILABILITY'!Q120+'RAP TEMPLATE-GAS AVAILABILITY'!R120)</f>
        <v>6.4151345323741005</v>
      </c>
    </row>
    <row r="122" spans="1:30" ht="15">
      <c r="A122" s="16">
        <v>44958</v>
      </c>
      <c r="B122" s="10">
        <f>CHOOSE(CONTROL!$C$42, 6.5666, 6.5666) * CHOOSE(CONTROL!$C$21, $C$9, 100%, $E$9)</f>
        <v>6.5666000000000002</v>
      </c>
      <c r="C122" s="10">
        <f>CHOOSE(CONTROL!$C$42, 6.5717, 6.5717) * CHOOSE(CONTROL!$C$21, $C$9, 100%, $E$9)</f>
        <v>6.5716999999999999</v>
      </c>
      <c r="D122" s="10">
        <f>CHOOSE(CONTROL!$C$42, 6.6042, 6.6042) * CHOOSE(CONTROL!$C$21, $C$9, 100%, $E$9)</f>
        <v>6.6041999999999996</v>
      </c>
      <c r="E122" s="10">
        <f>CHOOSE(CONTROL!$C$42, 6.638, 6.638) * CHOOSE(CONTROL!$C$21, $C$9, 100%, $E$9)</f>
        <v>6.6379999999999999</v>
      </c>
      <c r="F122" s="10">
        <f>CHOOSE(CONTROL!$C$42, 6.5504, 6.5504)*CHOOSE(CONTROL!$C$21, $C$9, 100%, $E$9)</f>
        <v>6.5503999999999998</v>
      </c>
      <c r="G122" s="10">
        <f>CHOOSE(CONTROL!$C$42, 6.5683, 6.5683)*CHOOSE(CONTROL!$C$21, $C$9, 100%, $E$9)</f>
        <v>6.5682999999999998</v>
      </c>
      <c r="H122" s="10">
        <f>CHOOSE(CONTROL!$C$42, 6.6268, 6.6268) * CHOOSE(CONTROL!$C$21, $C$9, 100%, $E$9)</f>
        <v>6.6268000000000002</v>
      </c>
      <c r="I122" s="10">
        <f>CHOOSE(CONTROL!$C$42, 6.5801, 6.5801)* CHOOSE(CONTROL!$C$21, $C$9, 100%, $E$9)</f>
        <v>6.5800999999999998</v>
      </c>
      <c r="J122" s="10">
        <f>CHOOSE(CONTROL!$C$42, 6.543, 6.543)* CHOOSE(CONTROL!$C$21, $C$9, 100%, $E$9)</f>
        <v>6.5430000000000001</v>
      </c>
      <c r="K122" s="10">
        <f>CHOOSE(CONTROL!$C$42, 6.5543, 6.5543) * CHOOSE(CONTROL!$C$21, $C$9, 100%, $E$9)</f>
        <v>6.5542999999999996</v>
      </c>
      <c r="L122" s="10">
        <f>CHOOSE(CONTROL!$C$42, 7.2138, 7.2138) * CHOOSE(CONTROL!$C$21, $C$9, 100%, $E$9)</f>
        <v>7.2138</v>
      </c>
      <c r="M122" s="10">
        <f>CHOOSE(CONTROL!$C$42, 6.4847, 6.4847) * CHOOSE(CONTROL!$C$21, $C$9, 100%, $E$9)</f>
        <v>6.4847000000000001</v>
      </c>
      <c r="N122" s="10">
        <f>CHOOSE(CONTROL!$C$42, 6.5024, 6.5024) * CHOOSE(CONTROL!$C$21, $C$9, 100%, $E$9)</f>
        <v>6.5023999999999997</v>
      </c>
      <c r="O122" s="10">
        <f>CHOOSE(CONTROL!$C$42, 6.5674, 6.5674) * CHOOSE(CONTROL!$C$21, $C$9, 100%, $E$9)</f>
        <v>6.5674000000000001</v>
      </c>
      <c r="P122" s="10">
        <f>CHOOSE(CONTROL!$C$42, 6.5213, 6.5213) * CHOOSE(CONTROL!$C$21, $C$9, 100%, $E$9)</f>
        <v>6.5213000000000001</v>
      </c>
      <c r="Q122" s="10">
        <f>CHOOSE(CONTROL!$C$42, 7.1627, 7.1627) * CHOOSE(CONTROL!$C$21, $C$9, 100%, $E$9)</f>
        <v>7.1627000000000001</v>
      </c>
      <c r="R122" s="10">
        <f>CHOOSE(CONTROL!$C$42, 7.7676, 7.7676) * CHOOSE(CONTROL!$C$21, $C$9, 100%, $E$9)</f>
        <v>7.7675999999999998</v>
      </c>
      <c r="S122" s="10">
        <f>CHOOSE(CONTROL!$C$42, 6.3751, 6.3751) * CHOOSE(CONTROL!$C$21, $C$9, 100%, $E$9)</f>
        <v>6.3750999999999998</v>
      </c>
      <c r="T12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22" s="38">
        <f>(1000*CHOOSE(CONTROL!$C$42, 695, 695)*CHOOSE(CONTROL!$C$42, 0.5599, 0.5599)*CHOOSE(CONTROL!$C$42, 28, 28))/1000000</f>
        <v>10.895653999999999</v>
      </c>
      <c r="V122" s="38">
        <f>(1000*CHOOSE(CONTROL!$C$42, 500, 500)*CHOOSE(CONTROL!$C$42, 0.275, 0.275)*CHOOSE(CONTROL!$C$42, 28, 28))/1000000</f>
        <v>3.85</v>
      </c>
      <c r="W122" s="38">
        <f>(1000*CHOOSE(CONTROL!$C$42, 0.1146, 0.1146)*CHOOSE(CONTROL!$C$42, 121.5, 121.5)*CHOOSE(CONTROL!$C$42, 28, 28))/1000000</f>
        <v>0.38986920000000003</v>
      </c>
      <c r="X122" s="38">
        <f>(28*0.1790888*100000/1000000)+(28*0.2374*100000/1000000)</f>
        <v>1.16616864</v>
      </c>
      <c r="Y122" s="38">
        <f>(1000*600*CHOOSE(CONTROL!$C$42, 1.754, 1.754)*CHOOSE(CONTROL!$C$42, 28, 28))/1000000</f>
        <v>29.467199999999998</v>
      </c>
      <c r="Z122" s="38"/>
      <c r="AA122" s="10"/>
      <c r="AB122" s="39"/>
      <c r="AC122" s="33">
        <f>(B122*122.58+C122*297.941+D122*89.177+E122*40.302+F122*40+G122*160+H122*0+I122*100+J122*300)/(122.58+297.941+89.177+40.302+0+40+160+100+300)</f>
        <v>6.5680296670434792</v>
      </c>
      <c r="AD122" s="27">
        <f>(M122*'RAP TEMPLATE-GAS AVAILABILITY'!O121+N122*'RAP TEMPLATE-GAS AVAILABILITY'!P121+O122*'RAP TEMPLATE-GAS AVAILABILITY'!Q121+P122*'RAP TEMPLATE-GAS AVAILABILITY'!R121)/('RAP TEMPLATE-GAS AVAILABILITY'!O121+'RAP TEMPLATE-GAS AVAILABILITY'!P121+'RAP TEMPLATE-GAS AVAILABILITY'!Q121+'RAP TEMPLATE-GAS AVAILABILITY'!R121)</f>
        <v>6.52846762589928</v>
      </c>
    </row>
    <row r="123" spans="1:30" ht="15">
      <c r="A123" s="16">
        <v>44986</v>
      </c>
      <c r="B123" s="10">
        <f>CHOOSE(CONTROL!$C$42, 6.3797, 6.3797) * CHOOSE(CONTROL!$C$21, $C$9, 100%, $E$9)</f>
        <v>6.3796999999999997</v>
      </c>
      <c r="C123" s="10">
        <f>CHOOSE(CONTROL!$C$42, 6.3848, 6.3848) * CHOOSE(CONTROL!$C$21, $C$9, 100%, $E$9)</f>
        <v>6.3848000000000003</v>
      </c>
      <c r="D123" s="10">
        <f>CHOOSE(CONTROL!$C$42, 6.4173, 6.4173) * CHOOSE(CONTROL!$C$21, $C$9, 100%, $E$9)</f>
        <v>6.4173</v>
      </c>
      <c r="E123" s="10">
        <f>CHOOSE(CONTROL!$C$42, 6.4511, 6.4511) * CHOOSE(CONTROL!$C$21, $C$9, 100%, $E$9)</f>
        <v>6.4511000000000003</v>
      </c>
      <c r="F123" s="10">
        <f>CHOOSE(CONTROL!$C$42, 6.362, 6.362)*CHOOSE(CONTROL!$C$21, $C$9, 100%, $E$9)</f>
        <v>6.3620000000000001</v>
      </c>
      <c r="G123" s="10">
        <f>CHOOSE(CONTROL!$C$42, 6.3796, 6.3796)*CHOOSE(CONTROL!$C$21, $C$9, 100%, $E$9)</f>
        <v>6.3795999999999999</v>
      </c>
      <c r="H123" s="10">
        <f>CHOOSE(CONTROL!$C$42, 6.4399, 6.4399) * CHOOSE(CONTROL!$C$21, $C$9, 100%, $E$9)</f>
        <v>6.4398999999999997</v>
      </c>
      <c r="I123" s="10">
        <f>CHOOSE(CONTROL!$C$42, 6.3932, 6.3932)* CHOOSE(CONTROL!$C$21, $C$9, 100%, $E$9)</f>
        <v>6.3932000000000002</v>
      </c>
      <c r="J123" s="10">
        <f>CHOOSE(CONTROL!$C$42, 6.3546, 6.3546)* CHOOSE(CONTROL!$C$21, $C$9, 100%, $E$9)</f>
        <v>6.3545999999999996</v>
      </c>
      <c r="K123" s="10">
        <f>CHOOSE(CONTROL!$C$42, 6.3701, 6.3701) * CHOOSE(CONTROL!$C$21, $C$9, 100%, $E$9)</f>
        <v>6.3700999999999999</v>
      </c>
      <c r="L123" s="10">
        <f>CHOOSE(CONTROL!$C$42, 7.0269, 7.0269) * CHOOSE(CONTROL!$C$21, $C$9, 100%, $E$9)</f>
        <v>7.0269000000000004</v>
      </c>
      <c r="M123" s="10">
        <f>CHOOSE(CONTROL!$C$42, 6.299, 6.299) * CHOOSE(CONTROL!$C$21, $C$9, 100%, $E$9)</f>
        <v>6.2990000000000004</v>
      </c>
      <c r="N123" s="10">
        <f>CHOOSE(CONTROL!$C$42, 6.3163, 6.3163) * CHOOSE(CONTROL!$C$21, $C$9, 100%, $E$9)</f>
        <v>6.3163</v>
      </c>
      <c r="O123" s="10">
        <f>CHOOSE(CONTROL!$C$42, 6.3831, 6.3831) * CHOOSE(CONTROL!$C$21, $C$9, 100%, $E$9)</f>
        <v>6.3830999999999998</v>
      </c>
      <c r="P123" s="10">
        <f>CHOOSE(CONTROL!$C$42, 6.3371, 6.3371) * CHOOSE(CONTROL!$C$21, $C$9, 100%, $E$9)</f>
        <v>6.3371000000000004</v>
      </c>
      <c r="Q123" s="10">
        <f>CHOOSE(CONTROL!$C$42, 6.9784, 6.9784) * CHOOSE(CONTROL!$C$21, $C$9, 100%, $E$9)</f>
        <v>6.9783999999999997</v>
      </c>
      <c r="R123" s="10">
        <f>CHOOSE(CONTROL!$C$42, 7.5829, 7.5829) * CHOOSE(CONTROL!$C$21, $C$9, 100%, $E$9)</f>
        <v>7.5829000000000004</v>
      </c>
      <c r="S123" s="10">
        <f>CHOOSE(CONTROL!$C$42, 6.1941, 6.1941) * CHOOSE(CONTROL!$C$21, $C$9, 100%, $E$9)</f>
        <v>6.1940999999999997</v>
      </c>
      <c r="T12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23" s="38">
        <f>(1000*CHOOSE(CONTROL!$C$42, 695, 695)*CHOOSE(CONTROL!$C$42, 0.5599, 0.5599)*CHOOSE(CONTROL!$C$42, 31, 31))/1000000</f>
        <v>12.063045499999998</v>
      </c>
      <c r="V123" s="38">
        <f>(1000*CHOOSE(CONTROL!$C$42, 500, 500)*CHOOSE(CONTROL!$C$42, 0.275, 0.275)*CHOOSE(CONTROL!$C$42, 31, 31))/1000000</f>
        <v>4.2625000000000002</v>
      </c>
      <c r="W123" s="38">
        <f>(1000*CHOOSE(CONTROL!$C$42, 0.1146, 0.1146)*CHOOSE(CONTROL!$C$42, 121.5, 121.5)*CHOOSE(CONTROL!$C$42, 31, 31))/1000000</f>
        <v>0.43164089999999994</v>
      </c>
      <c r="X123" s="38">
        <f>(31*0.1790888*100000/1000000)+(31*0.2374*100000/1000000)</f>
        <v>1.2911152800000001</v>
      </c>
      <c r="Y123" s="38">
        <f>(1000*600*CHOOSE(CONTROL!$C$42, 1.754, 1.754)*CHOOSE(CONTROL!$C$42, 31, 31))/1000000</f>
        <v>32.624400000000001</v>
      </c>
      <c r="Z123" s="38"/>
      <c r="AA123" s="10"/>
      <c r="AB123" s="39"/>
      <c r="AC123" s="33">
        <f>(B123*122.58+C123*297.941+D123*89.177+E123*40.302+F123*40+G123*160+H123*0+I123*100+J123*300)/(122.58+297.941+89.177+40.302+0+40+160+100+300)</f>
        <v>6.3804357539999996</v>
      </c>
      <c r="AD123" s="27">
        <f>(M123*'RAP TEMPLATE-GAS AVAILABILITY'!O122+N123*'RAP TEMPLATE-GAS AVAILABILITY'!P122+O123*'RAP TEMPLATE-GAS AVAILABILITY'!Q122+P123*'RAP TEMPLATE-GAS AVAILABILITY'!R122)/('RAP TEMPLATE-GAS AVAILABILITY'!O122+'RAP TEMPLATE-GAS AVAILABILITY'!P122+'RAP TEMPLATE-GAS AVAILABILITY'!Q122+'RAP TEMPLATE-GAS AVAILABILITY'!R122)</f>
        <v>6.3435949640287772</v>
      </c>
    </row>
    <row r="124" spans="1:30" ht="15">
      <c r="A124" s="16">
        <v>45017</v>
      </c>
      <c r="B124" s="10">
        <f>CHOOSE(CONTROL!$C$42, 6.3613, 6.3613) * CHOOSE(CONTROL!$C$21, $C$9, 100%, $E$9)</f>
        <v>6.3613</v>
      </c>
      <c r="C124" s="10">
        <f>CHOOSE(CONTROL!$C$42, 6.3659, 6.3659) * CHOOSE(CONTROL!$C$21, $C$9, 100%, $E$9)</f>
        <v>6.3658999999999999</v>
      </c>
      <c r="D124" s="10">
        <f>CHOOSE(CONTROL!$C$42, 6.526, 6.526) * CHOOSE(CONTROL!$C$21, $C$9, 100%, $E$9)</f>
        <v>6.5259999999999998</v>
      </c>
      <c r="E124" s="10">
        <f>CHOOSE(CONTROL!$C$42, 6.5578, 6.5578) * CHOOSE(CONTROL!$C$21, $C$9, 100%, $E$9)</f>
        <v>6.5578000000000003</v>
      </c>
      <c r="F124" s="10">
        <f>CHOOSE(CONTROL!$C$42, 6.3074, 6.3074)*CHOOSE(CONTROL!$C$21, $C$9, 100%, $E$9)</f>
        <v>6.3074000000000003</v>
      </c>
      <c r="G124" s="10">
        <f>CHOOSE(CONTROL!$C$42, 6.3233, 6.3233)*CHOOSE(CONTROL!$C$21, $C$9, 100%, $E$9)</f>
        <v>6.3232999999999997</v>
      </c>
      <c r="H124" s="10">
        <f>CHOOSE(CONTROL!$C$42, 6.5473, 6.5473) * CHOOSE(CONTROL!$C$21, $C$9, 100%, $E$9)</f>
        <v>6.5472999999999999</v>
      </c>
      <c r="I124" s="10">
        <f>CHOOSE(CONTROL!$C$42, 6.3415, 6.3415)* CHOOSE(CONTROL!$C$21, $C$9, 100%, $E$9)</f>
        <v>6.3414999999999999</v>
      </c>
      <c r="J124" s="10">
        <f>CHOOSE(CONTROL!$C$42, 6.3, 6.3)* CHOOSE(CONTROL!$C$21, $C$9, 100%, $E$9)</f>
        <v>6.3</v>
      </c>
      <c r="K124" s="10">
        <f>CHOOSE(CONTROL!$C$42, 6.304, 6.304) * CHOOSE(CONTROL!$C$21, $C$9, 100%, $E$9)</f>
        <v>6.3040000000000003</v>
      </c>
      <c r="L124" s="10">
        <f>CHOOSE(CONTROL!$C$42, 7.1343, 7.1343) * CHOOSE(CONTROL!$C$21, $C$9, 100%, $E$9)</f>
        <v>7.1342999999999996</v>
      </c>
      <c r="M124" s="10">
        <f>CHOOSE(CONTROL!$C$42, 6.2452, 6.2452) * CHOOSE(CONTROL!$C$21, $C$9, 100%, $E$9)</f>
        <v>6.2451999999999996</v>
      </c>
      <c r="N124" s="10">
        <f>CHOOSE(CONTROL!$C$42, 6.2608, 6.2608) * CHOOSE(CONTROL!$C$21, $C$9, 100%, $E$9)</f>
        <v>6.2607999999999997</v>
      </c>
      <c r="O124" s="10">
        <f>CHOOSE(CONTROL!$C$42, 6.489, 6.489) * CHOOSE(CONTROL!$C$21, $C$9, 100%, $E$9)</f>
        <v>6.4889999999999999</v>
      </c>
      <c r="P124" s="10">
        <f>CHOOSE(CONTROL!$C$42, 6.2861, 6.2861) * CHOOSE(CONTROL!$C$21, $C$9, 100%, $E$9)</f>
        <v>6.2861000000000002</v>
      </c>
      <c r="Q124" s="10">
        <f>CHOOSE(CONTROL!$C$42, 7.0843, 7.0843) * CHOOSE(CONTROL!$C$21, $C$9, 100%, $E$9)</f>
        <v>7.0842999999999998</v>
      </c>
      <c r="R124" s="10">
        <f>CHOOSE(CONTROL!$C$42, 7.689, 7.689) * CHOOSE(CONTROL!$C$21, $C$9, 100%, $E$9)</f>
        <v>7.6890000000000001</v>
      </c>
      <c r="S124" s="10">
        <f>CHOOSE(CONTROL!$C$42, 6.1756, 6.1756) * CHOOSE(CONTROL!$C$21, $C$9, 100%, $E$9)</f>
        <v>6.1756000000000002</v>
      </c>
      <c r="T12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24" s="38">
        <f>(1000*CHOOSE(CONTROL!$C$42, 695, 695)*CHOOSE(CONTROL!$C$42, 0.5599, 0.5599)*CHOOSE(CONTROL!$C$42, 30, 30))/1000000</f>
        <v>11.673914999999997</v>
      </c>
      <c r="V124" s="38">
        <f>(1000*CHOOSE(CONTROL!$C$42, 500, 500)*CHOOSE(CONTROL!$C$42, 0.275, 0.275)*CHOOSE(CONTROL!$C$42, 30, 30))/1000000</f>
        <v>4.125</v>
      </c>
      <c r="W124" s="38">
        <f>(1000*CHOOSE(CONTROL!$C$42, 0.1146, 0.1146)*CHOOSE(CONTROL!$C$42, 121.5, 121.5)*CHOOSE(CONTROL!$C$42, 30, 30))/1000000</f>
        <v>0.417717</v>
      </c>
      <c r="X124" s="38">
        <f>(30*0.1790888*245000/1000000)+(30*0.2374*100000/1000000)</f>
        <v>2.0285026799999999</v>
      </c>
      <c r="Y124" s="38">
        <f>(1000*600*CHOOSE(CONTROL!$C$42, 1.754, 1.754)*CHOOSE(CONTROL!$C$42, 30, 30))/1000000</f>
        <v>31.571999999999999</v>
      </c>
      <c r="Z124" s="38"/>
      <c r="AA124" s="10"/>
      <c r="AB124" s="39"/>
      <c r="AC124" s="33">
        <f>(B124*141.293+C124*267.993+D124*115.016+E124*89.698+F124*40+G124*185+H124*0+I124*100+J124*300)/(141.293+267.993+115.016+89.698+0+40+185+100+300)</f>
        <v>6.3679550121065374</v>
      </c>
      <c r="AD124" s="27">
        <f>(M124*'RAP TEMPLATE-GAS AVAILABILITY'!O123+N124*'RAP TEMPLATE-GAS AVAILABILITY'!P123+O124*'RAP TEMPLATE-GAS AVAILABILITY'!Q123+P124*'RAP TEMPLATE-GAS AVAILABILITY'!R123)/('RAP TEMPLATE-GAS AVAILABILITY'!O123+'RAP TEMPLATE-GAS AVAILABILITY'!P123+'RAP TEMPLATE-GAS AVAILABILITY'!Q123+'RAP TEMPLATE-GAS AVAILABILITY'!R123)</f>
        <v>6.3230805755395689</v>
      </c>
    </row>
    <row r="125" spans="1:30" ht="15">
      <c r="A125" s="16">
        <v>45047</v>
      </c>
      <c r="B125" s="10">
        <f>CHOOSE(CONTROL!$C$42, 6.4194, 6.4194) * CHOOSE(CONTROL!$C$21, $C$9, 100%, $E$9)</f>
        <v>6.4194000000000004</v>
      </c>
      <c r="C125" s="10">
        <f>CHOOSE(CONTROL!$C$42, 6.4274, 6.4274) * CHOOSE(CONTROL!$C$21, $C$9, 100%, $E$9)</f>
        <v>6.4273999999999996</v>
      </c>
      <c r="D125" s="10">
        <f>CHOOSE(CONTROL!$C$42, 6.5845, 6.5845) * CHOOSE(CONTROL!$C$21, $C$9, 100%, $E$9)</f>
        <v>6.5845000000000002</v>
      </c>
      <c r="E125" s="10">
        <f>CHOOSE(CONTROL!$C$42, 6.6157, 6.6157) * CHOOSE(CONTROL!$C$21, $C$9, 100%, $E$9)</f>
        <v>6.6157000000000004</v>
      </c>
      <c r="F125" s="10">
        <f>CHOOSE(CONTROL!$C$42, 6.3636, 6.3636)*CHOOSE(CONTROL!$C$21, $C$9, 100%, $E$9)</f>
        <v>6.3635999999999999</v>
      </c>
      <c r="G125" s="10">
        <f>CHOOSE(CONTROL!$C$42, 6.3797, 6.3797)*CHOOSE(CONTROL!$C$21, $C$9, 100%, $E$9)</f>
        <v>6.3796999999999997</v>
      </c>
      <c r="H125" s="10">
        <f>CHOOSE(CONTROL!$C$42, 6.604, 6.604) * CHOOSE(CONTROL!$C$21, $C$9, 100%, $E$9)</f>
        <v>6.6040000000000001</v>
      </c>
      <c r="I125" s="10">
        <f>CHOOSE(CONTROL!$C$42, 6.3982, 6.3982)* CHOOSE(CONTROL!$C$21, $C$9, 100%, $E$9)</f>
        <v>6.3982000000000001</v>
      </c>
      <c r="J125" s="10">
        <f>CHOOSE(CONTROL!$C$42, 6.3562, 6.3562)* CHOOSE(CONTROL!$C$21, $C$9, 100%, $E$9)</f>
        <v>6.3562000000000003</v>
      </c>
      <c r="K125" s="10">
        <f>CHOOSE(CONTROL!$C$42, 6.3577, 6.3577) * CHOOSE(CONTROL!$C$21, $C$9, 100%, $E$9)</f>
        <v>6.3577000000000004</v>
      </c>
      <c r="L125" s="10">
        <f>CHOOSE(CONTROL!$C$42, 7.191, 7.191) * CHOOSE(CONTROL!$C$21, $C$9, 100%, $E$9)</f>
        <v>7.1909999999999998</v>
      </c>
      <c r="M125" s="10">
        <f>CHOOSE(CONTROL!$C$42, 6.3005, 6.3005) * CHOOSE(CONTROL!$C$21, $C$9, 100%, $E$9)</f>
        <v>6.3005000000000004</v>
      </c>
      <c r="N125" s="10">
        <f>CHOOSE(CONTROL!$C$42, 6.3164, 6.3164) * CHOOSE(CONTROL!$C$21, $C$9, 100%, $E$9)</f>
        <v>6.3163999999999998</v>
      </c>
      <c r="O125" s="10">
        <f>CHOOSE(CONTROL!$C$42, 6.5449, 6.5449) * CHOOSE(CONTROL!$C$21, $C$9, 100%, $E$9)</f>
        <v>6.5449000000000002</v>
      </c>
      <c r="P125" s="10">
        <f>CHOOSE(CONTROL!$C$42, 6.342, 6.342) * CHOOSE(CONTROL!$C$21, $C$9, 100%, $E$9)</f>
        <v>6.3419999999999996</v>
      </c>
      <c r="Q125" s="10">
        <f>CHOOSE(CONTROL!$C$42, 7.1402, 7.1402) * CHOOSE(CONTROL!$C$21, $C$9, 100%, $E$9)</f>
        <v>7.1402000000000001</v>
      </c>
      <c r="R125" s="10">
        <f>CHOOSE(CONTROL!$C$42, 7.7451, 7.7451) * CHOOSE(CONTROL!$C$21, $C$9, 100%, $E$9)</f>
        <v>7.7450999999999999</v>
      </c>
      <c r="S125" s="10">
        <f>CHOOSE(CONTROL!$C$42, 6.2305, 6.2305) * CHOOSE(CONTROL!$C$21, $C$9, 100%, $E$9)</f>
        <v>6.2305000000000001</v>
      </c>
      <c r="T12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25" s="38">
        <f>(1000*CHOOSE(CONTROL!$C$42, 695, 695)*CHOOSE(CONTROL!$C$42, 0.5599, 0.5599)*CHOOSE(CONTROL!$C$42, 31, 31))/1000000</f>
        <v>12.063045499999998</v>
      </c>
      <c r="V125" s="38">
        <f>(1000*CHOOSE(CONTROL!$C$42, 500, 500)*CHOOSE(CONTROL!$C$42, 0.275, 0.275)*CHOOSE(CONTROL!$C$42, 31, 31))/1000000</f>
        <v>4.2625000000000002</v>
      </c>
      <c r="W125" s="38">
        <f>(1000*CHOOSE(CONTROL!$C$42, 0.1146, 0.1146)*CHOOSE(CONTROL!$C$42, 121.5, 121.5)*CHOOSE(CONTROL!$C$42, 31, 31))/1000000</f>
        <v>0.43164089999999994</v>
      </c>
      <c r="X125" s="38">
        <f>(31*0.1790888*245000/1000000)+(31*0.2374*100000/1000000)</f>
        <v>2.0961194359999999</v>
      </c>
      <c r="Y125" s="38">
        <f>(1000*600*CHOOSE(CONTROL!$C$42, 1.754, 1.754)*CHOOSE(CONTROL!$C$42, 31, 31))/1000000</f>
        <v>32.624400000000001</v>
      </c>
      <c r="Z125" s="38"/>
      <c r="AA125" s="10"/>
      <c r="AB125" s="39"/>
      <c r="AC125" s="33">
        <f>(B125*194.205+C125*267.466+D125*133.845+E125*53.484+F125*40+G125*185+H125*0+I125*100+J125*300)/(194.205+267.466+133.845+53.484+0+40+185+100+300)</f>
        <v>6.4226024699372051</v>
      </c>
      <c r="AD125" s="27">
        <f>(M125*'RAP TEMPLATE-GAS AVAILABILITY'!O124+N125*'RAP TEMPLATE-GAS AVAILABILITY'!P124+O125*'RAP TEMPLATE-GAS AVAILABILITY'!Q124+P125*'RAP TEMPLATE-GAS AVAILABILITY'!R124)/('RAP TEMPLATE-GAS AVAILABILITY'!O124+'RAP TEMPLATE-GAS AVAILABILITY'!P124+'RAP TEMPLATE-GAS AVAILABILITY'!Q124+'RAP TEMPLATE-GAS AVAILABILITY'!R124)</f>
        <v>6.3787043165467621</v>
      </c>
    </row>
    <row r="126" spans="1:30" ht="15">
      <c r="A126" s="16">
        <v>45078</v>
      </c>
      <c r="B126" s="10">
        <f>CHOOSE(CONTROL!$C$42, 6.6019, 6.6019) * CHOOSE(CONTROL!$C$21, $C$9, 100%, $E$9)</f>
        <v>6.6018999999999997</v>
      </c>
      <c r="C126" s="10">
        <f>CHOOSE(CONTROL!$C$42, 6.6099, 6.6099) * CHOOSE(CONTROL!$C$21, $C$9, 100%, $E$9)</f>
        <v>6.6098999999999997</v>
      </c>
      <c r="D126" s="10">
        <f>CHOOSE(CONTROL!$C$42, 6.767, 6.767) * CHOOSE(CONTROL!$C$21, $C$9, 100%, $E$9)</f>
        <v>6.7670000000000003</v>
      </c>
      <c r="E126" s="10">
        <f>CHOOSE(CONTROL!$C$42, 6.7982, 6.7982) * CHOOSE(CONTROL!$C$21, $C$9, 100%, $E$9)</f>
        <v>6.7981999999999996</v>
      </c>
      <c r="F126" s="10">
        <f>CHOOSE(CONTROL!$C$42, 6.5462, 6.5462)*CHOOSE(CONTROL!$C$21, $C$9, 100%, $E$9)</f>
        <v>6.5461999999999998</v>
      </c>
      <c r="G126" s="10">
        <f>CHOOSE(CONTROL!$C$42, 6.5624, 6.5624)*CHOOSE(CONTROL!$C$21, $C$9, 100%, $E$9)</f>
        <v>6.5624000000000002</v>
      </c>
      <c r="H126" s="10">
        <f>CHOOSE(CONTROL!$C$42, 6.7865, 6.7865) * CHOOSE(CONTROL!$C$21, $C$9, 100%, $E$9)</f>
        <v>6.7865000000000002</v>
      </c>
      <c r="I126" s="10">
        <f>CHOOSE(CONTROL!$C$42, 6.5807, 6.5807)* CHOOSE(CONTROL!$C$21, $C$9, 100%, $E$9)</f>
        <v>6.5807000000000002</v>
      </c>
      <c r="J126" s="10">
        <f>CHOOSE(CONTROL!$C$42, 6.5388, 6.5388)* CHOOSE(CONTROL!$C$21, $C$9, 100%, $E$9)</f>
        <v>6.5388000000000002</v>
      </c>
      <c r="K126" s="10">
        <f>CHOOSE(CONTROL!$C$42, 6.5349, 6.5349) * CHOOSE(CONTROL!$C$21, $C$9, 100%, $E$9)</f>
        <v>6.5349000000000004</v>
      </c>
      <c r="L126" s="10">
        <f>CHOOSE(CONTROL!$C$42, 7.3735, 7.3735) * CHOOSE(CONTROL!$C$21, $C$9, 100%, $E$9)</f>
        <v>7.3734999999999999</v>
      </c>
      <c r="M126" s="10">
        <f>CHOOSE(CONTROL!$C$42, 6.4807, 6.4807) * CHOOSE(CONTROL!$C$21, $C$9, 100%, $E$9)</f>
        <v>6.4806999999999997</v>
      </c>
      <c r="N126" s="10">
        <f>CHOOSE(CONTROL!$C$42, 6.4966, 6.4966) * CHOOSE(CONTROL!$C$21, $C$9, 100%, $E$9)</f>
        <v>6.4965999999999999</v>
      </c>
      <c r="O126" s="10">
        <f>CHOOSE(CONTROL!$C$42, 6.7249, 6.7249) * CHOOSE(CONTROL!$C$21, $C$9, 100%, $E$9)</f>
        <v>6.7248999999999999</v>
      </c>
      <c r="P126" s="10">
        <f>CHOOSE(CONTROL!$C$42, 6.522, 6.522) * CHOOSE(CONTROL!$C$21, $C$9, 100%, $E$9)</f>
        <v>6.5220000000000002</v>
      </c>
      <c r="Q126" s="10">
        <f>CHOOSE(CONTROL!$C$42, 7.3202, 7.3202) * CHOOSE(CONTROL!$C$21, $C$9, 100%, $E$9)</f>
        <v>7.3201999999999998</v>
      </c>
      <c r="R126" s="10">
        <f>CHOOSE(CONTROL!$C$42, 7.9255, 7.9255) * CHOOSE(CONTROL!$C$21, $C$9, 100%, $E$9)</f>
        <v>7.9255000000000004</v>
      </c>
      <c r="S126" s="10">
        <f>CHOOSE(CONTROL!$C$42, 6.4072, 6.4072) * CHOOSE(CONTROL!$C$21, $C$9, 100%, $E$9)</f>
        <v>6.4071999999999996</v>
      </c>
      <c r="T12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26" s="38">
        <f>(1000*CHOOSE(CONTROL!$C$42, 695, 695)*CHOOSE(CONTROL!$C$42, 0.5599, 0.5599)*CHOOSE(CONTROL!$C$42, 30, 30))/1000000</f>
        <v>11.673914999999997</v>
      </c>
      <c r="V126" s="38">
        <f>(1000*CHOOSE(CONTROL!$C$42, 500, 500)*CHOOSE(CONTROL!$C$42, 0.275, 0.275)*CHOOSE(CONTROL!$C$42, 30, 30))/1000000</f>
        <v>4.125</v>
      </c>
      <c r="W126" s="38">
        <f>(1000*CHOOSE(CONTROL!$C$42, 0.1146, 0.1146)*CHOOSE(CONTROL!$C$42, 121.5, 121.5)*CHOOSE(CONTROL!$C$42, 30, 30))/1000000</f>
        <v>0.417717</v>
      </c>
      <c r="X126" s="38">
        <f>(30*0.1790888*245000/1000000)+(30*0.2374*100000/1000000)</f>
        <v>2.0285026799999999</v>
      </c>
      <c r="Y126" s="38">
        <f>(1000*600*CHOOSE(CONTROL!$C$42, 1.754, 1.754)*CHOOSE(CONTROL!$C$42, 30, 30))/1000000</f>
        <v>31.571999999999999</v>
      </c>
      <c r="Z126" s="38"/>
      <c r="AA126" s="10"/>
      <c r="AB126" s="39"/>
      <c r="AC126" s="33">
        <f>(B126*194.205+C126*267.466+D126*133.845+E126*53.484+F126*40+G126*185+H126*0+I126*100+J126*300)/(194.205+267.466+133.845+53.484+0+40+185+100+300)</f>
        <v>6.6051581999215063</v>
      </c>
      <c r="AD126" s="27">
        <f>(M126*'RAP TEMPLATE-GAS AVAILABILITY'!O125+N126*'RAP TEMPLATE-GAS AVAILABILITY'!P125+O126*'RAP TEMPLATE-GAS AVAILABILITY'!Q125+P126*'RAP TEMPLATE-GAS AVAILABILITY'!R125)/('RAP TEMPLATE-GAS AVAILABILITY'!O125+'RAP TEMPLATE-GAS AVAILABILITY'!P125+'RAP TEMPLATE-GAS AVAILABILITY'!Q125+'RAP TEMPLATE-GAS AVAILABILITY'!R125)</f>
        <v>6.5588194244604301</v>
      </c>
    </row>
    <row r="127" spans="1:30" ht="15">
      <c r="A127" s="16">
        <v>45108</v>
      </c>
      <c r="B127" s="10">
        <f>CHOOSE(CONTROL!$C$42, 6.475, 6.475) * CHOOSE(CONTROL!$C$21, $C$9, 100%, $E$9)</f>
        <v>6.4749999999999996</v>
      </c>
      <c r="C127" s="10">
        <f>CHOOSE(CONTROL!$C$42, 6.483, 6.483) * CHOOSE(CONTROL!$C$21, $C$9, 100%, $E$9)</f>
        <v>6.4829999999999997</v>
      </c>
      <c r="D127" s="10">
        <f>CHOOSE(CONTROL!$C$42, 6.6401, 6.6401) * CHOOSE(CONTROL!$C$21, $C$9, 100%, $E$9)</f>
        <v>6.6401000000000003</v>
      </c>
      <c r="E127" s="10">
        <f>CHOOSE(CONTROL!$C$42, 6.6713, 6.6713) * CHOOSE(CONTROL!$C$21, $C$9, 100%, $E$9)</f>
        <v>6.6712999999999996</v>
      </c>
      <c r="F127" s="10">
        <f>CHOOSE(CONTROL!$C$42, 6.4197, 6.4197)*CHOOSE(CONTROL!$C$21, $C$9, 100%, $E$9)</f>
        <v>6.4196999999999997</v>
      </c>
      <c r="G127" s="10">
        <f>CHOOSE(CONTROL!$C$42, 6.4359, 6.4359)*CHOOSE(CONTROL!$C$21, $C$9, 100%, $E$9)</f>
        <v>6.4359000000000002</v>
      </c>
      <c r="H127" s="10">
        <f>CHOOSE(CONTROL!$C$42, 6.6596, 6.6596) * CHOOSE(CONTROL!$C$21, $C$9, 100%, $E$9)</f>
        <v>6.6596000000000002</v>
      </c>
      <c r="I127" s="10">
        <f>CHOOSE(CONTROL!$C$42, 6.4538, 6.4538)* CHOOSE(CONTROL!$C$21, $C$9, 100%, $E$9)</f>
        <v>6.4538000000000002</v>
      </c>
      <c r="J127" s="10">
        <f>CHOOSE(CONTROL!$C$42, 6.4123, 6.4123)* CHOOSE(CONTROL!$C$21, $C$9, 100%, $E$9)</f>
        <v>6.4123000000000001</v>
      </c>
      <c r="K127" s="10">
        <f>CHOOSE(CONTROL!$C$42, 6.4126, 6.4126) * CHOOSE(CONTROL!$C$21, $C$9, 100%, $E$9)</f>
        <v>6.4126000000000003</v>
      </c>
      <c r="L127" s="10">
        <f>CHOOSE(CONTROL!$C$42, 7.2466, 7.2466) * CHOOSE(CONTROL!$C$21, $C$9, 100%, $E$9)</f>
        <v>7.2465999999999999</v>
      </c>
      <c r="M127" s="10">
        <f>CHOOSE(CONTROL!$C$42, 6.3558, 6.3558) * CHOOSE(CONTROL!$C$21, $C$9, 100%, $E$9)</f>
        <v>6.3558000000000003</v>
      </c>
      <c r="N127" s="10">
        <f>CHOOSE(CONTROL!$C$42, 6.3719, 6.3719) * CHOOSE(CONTROL!$C$21, $C$9, 100%, $E$9)</f>
        <v>6.3719000000000001</v>
      </c>
      <c r="O127" s="10">
        <f>CHOOSE(CONTROL!$C$42, 6.5997, 6.5997) * CHOOSE(CONTROL!$C$21, $C$9, 100%, $E$9)</f>
        <v>6.5997000000000003</v>
      </c>
      <c r="P127" s="10">
        <f>CHOOSE(CONTROL!$C$42, 6.3968, 6.3968) * CHOOSE(CONTROL!$C$21, $C$9, 100%, $E$9)</f>
        <v>6.3967999999999998</v>
      </c>
      <c r="Q127" s="10">
        <f>CHOOSE(CONTROL!$C$42, 7.195, 7.195) * CHOOSE(CONTROL!$C$21, $C$9, 100%, $E$9)</f>
        <v>7.1950000000000003</v>
      </c>
      <c r="R127" s="10">
        <f>CHOOSE(CONTROL!$C$42, 7.8, 7.8) * CHOOSE(CONTROL!$C$21, $C$9, 100%, $E$9)</f>
        <v>7.8</v>
      </c>
      <c r="S127" s="10">
        <f>CHOOSE(CONTROL!$C$42, 6.2843, 6.2843) * CHOOSE(CONTROL!$C$21, $C$9, 100%, $E$9)</f>
        <v>6.2843</v>
      </c>
      <c r="T12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27" s="38">
        <f>(1000*CHOOSE(CONTROL!$C$42, 695, 695)*CHOOSE(CONTROL!$C$42, 0.5599, 0.5599)*CHOOSE(CONTROL!$C$42, 31, 31))/1000000</f>
        <v>12.063045499999998</v>
      </c>
      <c r="V127" s="38">
        <f>(1000*CHOOSE(CONTROL!$C$42, 500, 500)*CHOOSE(CONTROL!$C$42, 0.275, 0.275)*CHOOSE(CONTROL!$C$42, 31, 31))/1000000</f>
        <v>4.2625000000000002</v>
      </c>
      <c r="W127" s="38">
        <f>(1000*CHOOSE(CONTROL!$C$42, 0.1146, 0.1146)*CHOOSE(CONTROL!$C$42, 121.5, 121.5)*CHOOSE(CONTROL!$C$42, 31, 31))/1000000</f>
        <v>0.43164089999999994</v>
      </c>
      <c r="X127" s="38">
        <f>(31*0.1790888*245000/1000000)+(31*0.2374*100000/1000000)</f>
        <v>2.0961194359999999</v>
      </c>
      <c r="Y127" s="38">
        <f>(1000*600*CHOOSE(CONTROL!$C$42, 1.754, 1.754)*CHOOSE(CONTROL!$C$42, 31, 31))/1000000</f>
        <v>32.624400000000001</v>
      </c>
      <c r="Z127" s="38"/>
      <c r="AA127" s="10"/>
      <c r="AB127" s="39"/>
      <c r="AC127" s="33">
        <f>(B127*194.205+C127*267.466+D127*133.845+E127*53.484+F127*40+G127*185+H127*0+I127*100+J127*300)/(194.205+267.466+133.845+53.484+0+40+185+100+300)</f>
        <v>6.4784230350863412</v>
      </c>
      <c r="AD127" s="27">
        <f>(M127*'RAP TEMPLATE-GAS AVAILABILITY'!O126+N127*'RAP TEMPLATE-GAS AVAILABILITY'!P126+O127*'RAP TEMPLATE-GAS AVAILABILITY'!Q126+P127*'RAP TEMPLATE-GAS AVAILABILITY'!R126)/('RAP TEMPLATE-GAS AVAILABILITY'!O126+'RAP TEMPLATE-GAS AVAILABILITY'!P126+'RAP TEMPLATE-GAS AVAILABILITY'!Q126+'RAP TEMPLATE-GAS AVAILABILITY'!R126)</f>
        <v>6.4338381294964044</v>
      </c>
    </row>
    <row r="128" spans="1:30" ht="15">
      <c r="A128" s="16">
        <v>45139</v>
      </c>
      <c r="B128" s="10">
        <f>CHOOSE(CONTROL!$C$42, 6.1545, 6.1545) * CHOOSE(CONTROL!$C$21, $C$9, 100%, $E$9)</f>
        <v>6.1544999999999996</v>
      </c>
      <c r="C128" s="10">
        <f>CHOOSE(CONTROL!$C$42, 6.1625, 6.1625) * CHOOSE(CONTROL!$C$21, $C$9, 100%, $E$9)</f>
        <v>6.1624999999999996</v>
      </c>
      <c r="D128" s="10">
        <f>CHOOSE(CONTROL!$C$42, 6.3195, 6.3195) * CHOOSE(CONTROL!$C$21, $C$9, 100%, $E$9)</f>
        <v>6.3194999999999997</v>
      </c>
      <c r="E128" s="10">
        <f>CHOOSE(CONTROL!$C$42, 6.3508, 6.3508) * CHOOSE(CONTROL!$C$21, $C$9, 100%, $E$9)</f>
        <v>6.3507999999999996</v>
      </c>
      <c r="F128" s="10">
        <f>CHOOSE(CONTROL!$C$42, 6.0991, 6.0991)*CHOOSE(CONTROL!$C$21, $C$9, 100%, $E$9)</f>
        <v>6.0991</v>
      </c>
      <c r="G128" s="10">
        <f>CHOOSE(CONTROL!$C$42, 6.1153, 6.1153)*CHOOSE(CONTROL!$C$21, $C$9, 100%, $E$9)</f>
        <v>6.1153000000000004</v>
      </c>
      <c r="H128" s="10">
        <f>CHOOSE(CONTROL!$C$42, 6.3391, 6.3391) * CHOOSE(CONTROL!$C$21, $C$9, 100%, $E$9)</f>
        <v>6.3391000000000002</v>
      </c>
      <c r="I128" s="10">
        <f>CHOOSE(CONTROL!$C$42, 6.1333, 6.1333)* CHOOSE(CONTROL!$C$21, $C$9, 100%, $E$9)</f>
        <v>6.1333000000000002</v>
      </c>
      <c r="J128" s="10">
        <f>CHOOSE(CONTROL!$C$42, 6.0917, 6.0917)* CHOOSE(CONTROL!$C$21, $C$9, 100%, $E$9)</f>
        <v>6.0917000000000003</v>
      </c>
      <c r="K128" s="10">
        <f>CHOOSE(CONTROL!$C$42, 6.102, 6.102) * CHOOSE(CONTROL!$C$21, $C$9, 100%, $E$9)</f>
        <v>6.1020000000000003</v>
      </c>
      <c r="L128" s="10">
        <f>CHOOSE(CONTROL!$C$42, 6.9261, 6.9261) * CHOOSE(CONTROL!$C$21, $C$9, 100%, $E$9)</f>
        <v>6.9260999999999999</v>
      </c>
      <c r="M128" s="10">
        <f>CHOOSE(CONTROL!$C$42, 6.0397, 6.0397) * CHOOSE(CONTROL!$C$21, $C$9, 100%, $E$9)</f>
        <v>6.0396999999999998</v>
      </c>
      <c r="N128" s="10">
        <f>CHOOSE(CONTROL!$C$42, 6.0557, 6.0557) * CHOOSE(CONTROL!$C$21, $C$9, 100%, $E$9)</f>
        <v>6.0556999999999999</v>
      </c>
      <c r="O128" s="10">
        <f>CHOOSE(CONTROL!$C$42, 6.2837, 6.2837) * CHOOSE(CONTROL!$C$21, $C$9, 100%, $E$9)</f>
        <v>6.2836999999999996</v>
      </c>
      <c r="P128" s="10">
        <f>CHOOSE(CONTROL!$C$42, 6.0808, 6.0808) * CHOOSE(CONTROL!$C$21, $C$9, 100%, $E$9)</f>
        <v>6.0808</v>
      </c>
      <c r="Q128" s="10">
        <f>CHOOSE(CONTROL!$C$42, 6.879, 6.879) * CHOOSE(CONTROL!$C$21, $C$9, 100%, $E$9)</f>
        <v>6.8789999999999996</v>
      </c>
      <c r="R128" s="10">
        <f>CHOOSE(CONTROL!$C$42, 7.4832, 7.4832) * CHOOSE(CONTROL!$C$21, $C$9, 100%, $E$9)</f>
        <v>7.4832000000000001</v>
      </c>
      <c r="S128" s="10">
        <f>CHOOSE(CONTROL!$C$42, 5.974, 5.974) * CHOOSE(CONTROL!$C$21, $C$9, 100%, $E$9)</f>
        <v>5.9740000000000002</v>
      </c>
      <c r="T12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28" s="38">
        <f>(1000*CHOOSE(CONTROL!$C$42, 695, 695)*CHOOSE(CONTROL!$C$42, 0.5599, 0.5599)*CHOOSE(CONTROL!$C$42, 31, 31))/1000000</f>
        <v>12.063045499999998</v>
      </c>
      <c r="V128" s="38">
        <f>(1000*CHOOSE(CONTROL!$C$42, 500, 500)*CHOOSE(CONTROL!$C$42, 0.275, 0.275)*CHOOSE(CONTROL!$C$42, 31, 31))/1000000</f>
        <v>4.2625000000000002</v>
      </c>
      <c r="W128" s="38">
        <f>(1000*CHOOSE(CONTROL!$C$42, 0.1146, 0.1146)*CHOOSE(CONTROL!$C$42, 121.5, 121.5)*CHOOSE(CONTROL!$C$42, 31, 31))/1000000</f>
        <v>0.43164089999999994</v>
      </c>
      <c r="X128" s="38">
        <f>(31*0.1790888*245000/1000000)+(31*0.2374*100000/1000000)</f>
        <v>2.0961194359999999</v>
      </c>
      <c r="Y128" s="38">
        <f>(1000*600*CHOOSE(CONTROL!$C$42, 1.754, 1.754)*CHOOSE(CONTROL!$C$42, 31, 31))/1000000</f>
        <v>32.624400000000001</v>
      </c>
      <c r="Z128" s="38"/>
      <c r="AA128" s="10"/>
      <c r="AB128" s="39"/>
      <c r="AC128" s="33">
        <f>(B128*194.205+C128*267.466+D128*133.845+E128*53.484+F128*40+G128*185+H128*0+I128*100+J128*300)/(194.205+267.466+133.845+53.484+0+40+185+100+300)</f>
        <v>6.1578713204081632</v>
      </c>
      <c r="AD128" s="27">
        <f>(M128*'RAP TEMPLATE-GAS AVAILABILITY'!O127+N128*'RAP TEMPLATE-GAS AVAILABILITY'!P127+O128*'RAP TEMPLATE-GAS AVAILABILITY'!Q127+P128*'RAP TEMPLATE-GAS AVAILABILITY'!R127)/('RAP TEMPLATE-GAS AVAILABILITY'!O127+'RAP TEMPLATE-GAS AVAILABILITY'!P127+'RAP TEMPLATE-GAS AVAILABILITY'!Q127+'RAP TEMPLATE-GAS AVAILABILITY'!R127)</f>
        <v>6.1177575539568352</v>
      </c>
    </row>
    <row r="129" spans="1:30" ht="15">
      <c r="A129" s="16">
        <v>45170</v>
      </c>
      <c r="B129" s="10">
        <f>CHOOSE(CONTROL!$C$42, 5.7629, 5.7629) * CHOOSE(CONTROL!$C$21, $C$9, 100%, $E$9)</f>
        <v>5.7629000000000001</v>
      </c>
      <c r="C129" s="10">
        <f>CHOOSE(CONTROL!$C$42, 5.7709, 5.7709) * CHOOSE(CONTROL!$C$21, $C$9, 100%, $E$9)</f>
        <v>5.7709000000000001</v>
      </c>
      <c r="D129" s="10">
        <f>CHOOSE(CONTROL!$C$42, 5.9279, 5.9279) * CHOOSE(CONTROL!$C$21, $C$9, 100%, $E$9)</f>
        <v>5.9279000000000002</v>
      </c>
      <c r="E129" s="10">
        <f>CHOOSE(CONTROL!$C$42, 5.9592, 5.9592) * CHOOSE(CONTROL!$C$21, $C$9, 100%, $E$9)</f>
        <v>5.9592000000000001</v>
      </c>
      <c r="F129" s="10">
        <f>CHOOSE(CONTROL!$C$42, 5.7073, 5.7073)*CHOOSE(CONTROL!$C$21, $C$9, 100%, $E$9)</f>
        <v>5.7073</v>
      </c>
      <c r="G129" s="10">
        <f>CHOOSE(CONTROL!$C$42, 5.7235, 5.7235)*CHOOSE(CONTROL!$C$21, $C$9, 100%, $E$9)</f>
        <v>5.7234999999999996</v>
      </c>
      <c r="H129" s="10">
        <f>CHOOSE(CONTROL!$C$42, 5.9475, 5.9475) * CHOOSE(CONTROL!$C$21, $C$9, 100%, $E$9)</f>
        <v>5.9474999999999998</v>
      </c>
      <c r="I129" s="10">
        <f>CHOOSE(CONTROL!$C$42, 5.7417, 5.7417)* CHOOSE(CONTROL!$C$21, $C$9, 100%, $E$9)</f>
        <v>5.7416999999999998</v>
      </c>
      <c r="J129" s="10">
        <f>CHOOSE(CONTROL!$C$42, 5.6999, 5.6999)* CHOOSE(CONTROL!$C$21, $C$9, 100%, $E$9)</f>
        <v>5.6999000000000004</v>
      </c>
      <c r="K129" s="10">
        <f>CHOOSE(CONTROL!$C$42, 5.7222, 5.7222) * CHOOSE(CONTROL!$C$21, $C$9, 100%, $E$9)</f>
        <v>5.7222</v>
      </c>
      <c r="L129" s="10">
        <f>CHOOSE(CONTROL!$C$42, 6.5345, 6.5345) * CHOOSE(CONTROL!$C$21, $C$9, 100%, $E$9)</f>
        <v>6.5345000000000004</v>
      </c>
      <c r="M129" s="10">
        <f>CHOOSE(CONTROL!$C$42, 5.6534, 5.6534) * CHOOSE(CONTROL!$C$21, $C$9, 100%, $E$9)</f>
        <v>5.6534000000000004</v>
      </c>
      <c r="N129" s="10">
        <f>CHOOSE(CONTROL!$C$42, 5.6693, 5.6693) * CHOOSE(CONTROL!$C$21, $C$9, 100%, $E$9)</f>
        <v>5.6692999999999998</v>
      </c>
      <c r="O129" s="10">
        <f>CHOOSE(CONTROL!$C$42, 5.8975, 5.8975) * CHOOSE(CONTROL!$C$21, $C$9, 100%, $E$9)</f>
        <v>5.8975</v>
      </c>
      <c r="P129" s="10">
        <f>CHOOSE(CONTROL!$C$42, 5.6947, 5.6947) * CHOOSE(CONTROL!$C$21, $C$9, 100%, $E$9)</f>
        <v>5.6947000000000001</v>
      </c>
      <c r="Q129" s="10">
        <f>CHOOSE(CONTROL!$C$42, 6.4928, 6.4928) * CHOOSE(CONTROL!$C$21, $C$9, 100%, $E$9)</f>
        <v>6.4927999999999999</v>
      </c>
      <c r="R129" s="10">
        <f>CHOOSE(CONTROL!$C$42, 7.0961, 7.0961) * CHOOSE(CONTROL!$C$21, $C$9, 100%, $E$9)</f>
        <v>7.0960999999999999</v>
      </c>
      <c r="S129" s="10">
        <f>CHOOSE(CONTROL!$C$42, 5.5948, 5.5948) * CHOOSE(CONTROL!$C$21, $C$9, 100%, $E$9)</f>
        <v>5.5948000000000002</v>
      </c>
      <c r="T12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29" s="38">
        <f>(1000*CHOOSE(CONTROL!$C$42, 695, 695)*CHOOSE(CONTROL!$C$42, 0.5599, 0.5599)*CHOOSE(CONTROL!$C$42, 30, 30))/1000000</f>
        <v>11.673914999999997</v>
      </c>
      <c r="V129" s="38">
        <f>(1000*CHOOSE(CONTROL!$C$42, 500, 500)*CHOOSE(CONTROL!$C$42, 0.275, 0.275)*CHOOSE(CONTROL!$C$42, 30, 30))/1000000</f>
        <v>4.125</v>
      </c>
      <c r="W129" s="38">
        <f>(1000*CHOOSE(CONTROL!$C$42, 0.1146, 0.1146)*CHOOSE(CONTROL!$C$42, 121.5, 121.5)*CHOOSE(CONTROL!$C$42, 30, 30))/1000000</f>
        <v>0.417717</v>
      </c>
      <c r="X129" s="38">
        <f>(30*0.1790888*245000/1000000)+(30*0.2374*100000/1000000)</f>
        <v>2.0285026799999999</v>
      </c>
      <c r="Y129" s="38">
        <f>(1000*600*CHOOSE(CONTROL!$C$42, 1.754, 1.754)*CHOOSE(CONTROL!$C$42, 30, 30))/1000000</f>
        <v>31.571999999999999</v>
      </c>
      <c r="Z129" s="38"/>
      <c r="AA129" s="10"/>
      <c r="AB129" s="39"/>
      <c r="AC129" s="33">
        <f>(B129*194.205+C129*267.466+D129*133.845+E129*53.484+F129*40+G129*185+H129*0+I129*100+J129*300)/(194.205+267.466+133.845+53.484+0+40+185+100+300)</f>
        <v>5.7661889028257463</v>
      </c>
      <c r="AD129" s="27">
        <f>(M129*'RAP TEMPLATE-GAS AVAILABILITY'!O128+N129*'RAP TEMPLATE-GAS AVAILABILITY'!P128+O129*'RAP TEMPLATE-GAS AVAILABILITY'!Q128+P129*'RAP TEMPLATE-GAS AVAILABILITY'!R128)/('RAP TEMPLATE-GAS AVAILABILITY'!O128+'RAP TEMPLATE-GAS AVAILABILITY'!P128+'RAP TEMPLATE-GAS AVAILABILITY'!Q128+'RAP TEMPLATE-GAS AVAILABILITY'!R128)</f>
        <v>5.731491366906476</v>
      </c>
    </row>
    <row r="130" spans="1:30" ht="15">
      <c r="A130" s="16">
        <v>45200</v>
      </c>
      <c r="B130" s="10">
        <f>CHOOSE(CONTROL!$C$42, 5.6434, 5.6434) * CHOOSE(CONTROL!$C$21, $C$9, 100%, $E$9)</f>
        <v>5.6433999999999997</v>
      </c>
      <c r="C130" s="10">
        <f>CHOOSE(CONTROL!$C$42, 5.6488, 5.6488) * CHOOSE(CONTROL!$C$21, $C$9, 100%, $E$9)</f>
        <v>5.6487999999999996</v>
      </c>
      <c r="D130" s="10">
        <f>CHOOSE(CONTROL!$C$42, 5.8107, 5.8107) * CHOOSE(CONTROL!$C$21, $C$9, 100%, $E$9)</f>
        <v>5.8106999999999998</v>
      </c>
      <c r="E130" s="10">
        <f>CHOOSE(CONTROL!$C$42, 5.8396, 5.8396) * CHOOSE(CONTROL!$C$21, $C$9, 100%, $E$9)</f>
        <v>5.8395999999999999</v>
      </c>
      <c r="F130" s="10">
        <f>CHOOSE(CONTROL!$C$42, 5.5898, 5.5898)*CHOOSE(CONTROL!$C$21, $C$9, 100%, $E$9)</f>
        <v>5.5898000000000003</v>
      </c>
      <c r="G130" s="10">
        <f>CHOOSE(CONTROL!$C$42, 5.6056, 5.6056)*CHOOSE(CONTROL!$C$21, $C$9, 100%, $E$9)</f>
        <v>5.6055999999999999</v>
      </c>
      <c r="H130" s="10">
        <f>CHOOSE(CONTROL!$C$42, 5.8298, 5.8298) * CHOOSE(CONTROL!$C$21, $C$9, 100%, $E$9)</f>
        <v>5.8297999999999996</v>
      </c>
      <c r="I130" s="10">
        <f>CHOOSE(CONTROL!$C$42, 5.6239, 5.6239)* CHOOSE(CONTROL!$C$21, $C$9, 100%, $E$9)</f>
        <v>5.6238999999999999</v>
      </c>
      <c r="J130" s="10">
        <f>CHOOSE(CONTROL!$C$42, 5.5824, 5.5824)* CHOOSE(CONTROL!$C$21, $C$9, 100%, $E$9)</f>
        <v>5.5823999999999998</v>
      </c>
      <c r="K130" s="10">
        <f>CHOOSE(CONTROL!$C$42, 5.6087, 5.6087) * CHOOSE(CONTROL!$C$21, $C$9, 100%, $E$9)</f>
        <v>5.6086999999999998</v>
      </c>
      <c r="L130" s="10">
        <f>CHOOSE(CONTROL!$C$42, 6.4168, 6.4168) * CHOOSE(CONTROL!$C$21, $C$9, 100%, $E$9)</f>
        <v>6.4168000000000003</v>
      </c>
      <c r="M130" s="10">
        <f>CHOOSE(CONTROL!$C$42, 5.5376, 5.5376) * CHOOSE(CONTROL!$C$21, $C$9, 100%, $E$9)</f>
        <v>5.5376000000000003</v>
      </c>
      <c r="N130" s="10">
        <f>CHOOSE(CONTROL!$C$42, 5.5532, 5.5532) * CHOOSE(CONTROL!$C$21, $C$9, 100%, $E$9)</f>
        <v>5.5532000000000004</v>
      </c>
      <c r="O130" s="10">
        <f>CHOOSE(CONTROL!$C$42, 5.7814, 5.7814) * CHOOSE(CONTROL!$C$21, $C$9, 100%, $E$9)</f>
        <v>5.7813999999999997</v>
      </c>
      <c r="P130" s="10">
        <f>CHOOSE(CONTROL!$C$42, 5.5786, 5.5786) * CHOOSE(CONTROL!$C$21, $C$9, 100%, $E$9)</f>
        <v>5.5785999999999998</v>
      </c>
      <c r="Q130" s="10">
        <f>CHOOSE(CONTROL!$C$42, 6.3767, 6.3767) * CHOOSE(CONTROL!$C$21, $C$9, 100%, $E$9)</f>
        <v>6.3766999999999996</v>
      </c>
      <c r="R130" s="10">
        <f>CHOOSE(CONTROL!$C$42, 6.9797, 6.9797) * CHOOSE(CONTROL!$C$21, $C$9, 100%, $E$9)</f>
        <v>6.9797000000000002</v>
      </c>
      <c r="S130" s="10">
        <f>CHOOSE(CONTROL!$C$42, 5.4808, 5.4808) * CHOOSE(CONTROL!$C$21, $C$9, 100%, $E$9)</f>
        <v>5.4808000000000003</v>
      </c>
      <c r="T13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30" s="38">
        <f>(1000*CHOOSE(CONTROL!$C$42, 695, 695)*CHOOSE(CONTROL!$C$42, 0.5599, 0.5599)*CHOOSE(CONTROL!$C$42, 31, 31))/1000000</f>
        <v>12.063045499999998</v>
      </c>
      <c r="V130" s="38">
        <f>(1000*CHOOSE(CONTROL!$C$42, 500, 500)*CHOOSE(CONTROL!$C$42, 0.275, 0.275)*CHOOSE(CONTROL!$C$42, 31, 31))/1000000</f>
        <v>4.2625000000000002</v>
      </c>
      <c r="W130" s="38">
        <f>(1000*CHOOSE(CONTROL!$C$42, 0.1146, 0.1146)*CHOOSE(CONTROL!$C$42, 121.5, 121.5)*CHOOSE(CONTROL!$C$42, 31, 31))/1000000</f>
        <v>0.43164089999999994</v>
      </c>
      <c r="X130" s="38">
        <f>(31*0.1790888*245000/1000000)+(31*0.2374*100000/1000000)</f>
        <v>2.0961194359999999</v>
      </c>
      <c r="Y130" s="38">
        <f>(1000*600*CHOOSE(CONTROL!$C$42, 1.754, 1.754)*CHOOSE(CONTROL!$C$42, 31, 31))/1000000</f>
        <v>32.624400000000001</v>
      </c>
      <c r="Z130" s="38"/>
      <c r="AA130" s="10"/>
      <c r="AB130" s="39"/>
      <c r="AC130" s="33">
        <f>(B130*131.881+C130*277.167+D130*79.08+E130*125.872+F130*40+G130*185+H130*0+I130*100+J130*300)/(131.881+277.167+79.08+125.872+0+40+185+100+300)</f>
        <v>5.6514999775625503</v>
      </c>
      <c r="AD130" s="27">
        <f>(M130*'RAP TEMPLATE-GAS AVAILABILITY'!O129+N130*'RAP TEMPLATE-GAS AVAILABILITY'!P129+O130*'RAP TEMPLATE-GAS AVAILABILITY'!Q129+P130*'RAP TEMPLATE-GAS AVAILABILITY'!R129)/('RAP TEMPLATE-GAS AVAILABILITY'!O129+'RAP TEMPLATE-GAS AVAILABILITY'!P129+'RAP TEMPLATE-GAS AVAILABILITY'!Q129+'RAP TEMPLATE-GAS AVAILABILITY'!R129)</f>
        <v>5.6154949640287768</v>
      </c>
    </row>
    <row r="131" spans="1:30" ht="15">
      <c r="A131" s="16">
        <v>45231</v>
      </c>
      <c r="B131" s="10">
        <f>CHOOSE(CONTROL!$C$42, 5.7921, 5.7921) * CHOOSE(CONTROL!$C$21, $C$9, 100%, $E$9)</f>
        <v>5.7920999999999996</v>
      </c>
      <c r="C131" s="10">
        <f>CHOOSE(CONTROL!$C$42, 5.7972, 5.7972) * CHOOSE(CONTROL!$C$21, $C$9, 100%, $E$9)</f>
        <v>5.7972000000000001</v>
      </c>
      <c r="D131" s="10">
        <f>CHOOSE(CONTROL!$C$42, 5.8219, 5.8219) * CHOOSE(CONTROL!$C$21, $C$9, 100%, $E$9)</f>
        <v>5.8219000000000003</v>
      </c>
      <c r="E131" s="10">
        <f>CHOOSE(CONTROL!$C$42, 5.8557, 5.8557) * CHOOSE(CONTROL!$C$21, $C$9, 100%, $E$9)</f>
        <v>5.8556999999999997</v>
      </c>
      <c r="F131" s="10">
        <f>CHOOSE(CONTROL!$C$42, 5.7604, 5.7604)*CHOOSE(CONTROL!$C$21, $C$9, 100%, $E$9)</f>
        <v>5.7603999999999997</v>
      </c>
      <c r="G131" s="10">
        <f>CHOOSE(CONTROL!$C$42, 5.7765, 5.7765)*CHOOSE(CONTROL!$C$21, $C$9, 100%, $E$9)</f>
        <v>5.7765000000000004</v>
      </c>
      <c r="H131" s="10">
        <f>CHOOSE(CONTROL!$C$42, 5.8446, 5.8446) * CHOOSE(CONTROL!$C$21, $C$9, 100%, $E$9)</f>
        <v>5.8445999999999998</v>
      </c>
      <c r="I131" s="10">
        <f>CHOOSE(CONTROL!$C$42, 5.8071, 5.8071)* CHOOSE(CONTROL!$C$21, $C$9, 100%, $E$9)</f>
        <v>5.8071000000000002</v>
      </c>
      <c r="J131" s="10">
        <f>CHOOSE(CONTROL!$C$42, 5.753, 5.753)* CHOOSE(CONTROL!$C$21, $C$9, 100%, $E$9)</f>
        <v>5.7530000000000001</v>
      </c>
      <c r="K131" s="10">
        <f>CHOOSE(CONTROL!$C$42, 5.7884, 5.7884) * CHOOSE(CONTROL!$C$21, $C$9, 100%, $E$9)</f>
        <v>5.7884000000000002</v>
      </c>
      <c r="L131" s="10">
        <f>CHOOSE(CONTROL!$C$42, 6.4316, 6.4316) * CHOOSE(CONTROL!$C$21, $C$9, 100%, $E$9)</f>
        <v>6.4316000000000004</v>
      </c>
      <c r="M131" s="10">
        <f>CHOOSE(CONTROL!$C$42, 5.7058, 5.7058) * CHOOSE(CONTROL!$C$21, $C$9, 100%, $E$9)</f>
        <v>5.7058</v>
      </c>
      <c r="N131" s="10">
        <f>CHOOSE(CONTROL!$C$42, 5.7216, 5.7216) * CHOOSE(CONTROL!$C$21, $C$9, 100%, $E$9)</f>
        <v>5.7215999999999996</v>
      </c>
      <c r="O131" s="10">
        <f>CHOOSE(CONTROL!$C$42, 5.7961, 5.7961) * CHOOSE(CONTROL!$C$21, $C$9, 100%, $E$9)</f>
        <v>5.7961</v>
      </c>
      <c r="P131" s="10">
        <f>CHOOSE(CONTROL!$C$42, 5.7592, 5.7592) * CHOOSE(CONTROL!$C$21, $C$9, 100%, $E$9)</f>
        <v>5.7591999999999999</v>
      </c>
      <c r="Q131" s="10">
        <f>CHOOSE(CONTROL!$C$42, 6.3914, 6.3914) * CHOOSE(CONTROL!$C$21, $C$9, 100%, $E$9)</f>
        <v>6.3914</v>
      </c>
      <c r="R131" s="10">
        <f>CHOOSE(CONTROL!$C$42, 6.9944, 6.9944) * CHOOSE(CONTROL!$C$21, $C$9, 100%, $E$9)</f>
        <v>6.9943999999999997</v>
      </c>
      <c r="S131" s="10">
        <f>CHOOSE(CONTROL!$C$42, 5.6252, 5.6252) * CHOOSE(CONTROL!$C$21, $C$9, 100%, $E$9)</f>
        <v>5.6252000000000004</v>
      </c>
      <c r="T13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31" s="38">
        <f>(1000*CHOOSE(CONTROL!$C$42, 695, 695)*CHOOSE(CONTROL!$C$42, 0.5599, 0.5599)*CHOOSE(CONTROL!$C$42, 30, 30))/1000000</f>
        <v>11.673914999999997</v>
      </c>
      <c r="V131" s="38">
        <f>(1000*CHOOSE(CONTROL!$C$42, 500, 500)*CHOOSE(CONTROL!$C$42, 0.275, 0.275)*CHOOSE(CONTROL!$C$42, 30, 30))/1000000</f>
        <v>4.125</v>
      </c>
      <c r="W131" s="38">
        <f>(1000*CHOOSE(CONTROL!$C$42, 0.1146, 0.1146)*CHOOSE(CONTROL!$C$42, 121.5, 121.5)*CHOOSE(CONTROL!$C$42, 30, 30))/1000000</f>
        <v>0.417717</v>
      </c>
      <c r="X131" s="38">
        <f>(30*0.1790888*100000/1000000)+(30*0.2374*100000/1000000)</f>
        <v>1.2494664</v>
      </c>
      <c r="Y131" s="38">
        <f>(1000*600*CHOOSE(CONTROL!$C$42, 1.754, 1.754)*CHOOSE(CONTROL!$C$42, 30, 30))/1000000</f>
        <v>31.571999999999999</v>
      </c>
      <c r="Z131" s="38"/>
      <c r="AA131" s="10"/>
      <c r="AB131" s="39"/>
      <c r="AC131" s="33">
        <f>(B131*122.58+C131*297.941+D131*89.177+E131*40.302+F131*40+G131*160+H131*0+I131*100+J131*300)/(122.58+297.941+89.177+40.302+0+40+160+100+300)</f>
        <v>5.785792331217392</v>
      </c>
      <c r="AD131" s="27">
        <f>(M131*'RAP TEMPLATE-GAS AVAILABILITY'!O130+N131*'RAP TEMPLATE-GAS AVAILABILITY'!P130+O131*'RAP TEMPLATE-GAS AVAILABILITY'!Q130+P131*'RAP TEMPLATE-GAS AVAILABILITY'!R130)/('RAP TEMPLATE-GAS AVAILABILITY'!O130+'RAP TEMPLATE-GAS AVAILABILITY'!P130+'RAP TEMPLATE-GAS AVAILABILITY'!Q130+'RAP TEMPLATE-GAS AVAILABILITY'!R130)</f>
        <v>5.7553201438848927</v>
      </c>
    </row>
    <row r="132" spans="1:30" ht="15">
      <c r="A132" s="16">
        <v>45261</v>
      </c>
      <c r="B132" s="10">
        <f>CHOOSE(CONTROL!$C$42, 6.1881, 6.1881) * CHOOSE(CONTROL!$C$21, $C$9, 100%, $E$9)</f>
        <v>6.1881000000000004</v>
      </c>
      <c r="C132" s="10">
        <f>CHOOSE(CONTROL!$C$42, 6.1932, 6.1932) * CHOOSE(CONTROL!$C$21, $C$9, 100%, $E$9)</f>
        <v>6.1932</v>
      </c>
      <c r="D132" s="10">
        <f>CHOOSE(CONTROL!$C$42, 6.2179, 6.2179) * CHOOSE(CONTROL!$C$21, $C$9, 100%, $E$9)</f>
        <v>6.2179000000000002</v>
      </c>
      <c r="E132" s="10">
        <f>CHOOSE(CONTROL!$C$42, 6.2517, 6.2517) * CHOOSE(CONTROL!$C$21, $C$9, 100%, $E$9)</f>
        <v>6.2516999999999996</v>
      </c>
      <c r="F132" s="10">
        <f>CHOOSE(CONTROL!$C$42, 6.1584, 6.1584)*CHOOSE(CONTROL!$C$21, $C$9, 100%, $E$9)</f>
        <v>6.1584000000000003</v>
      </c>
      <c r="G132" s="10">
        <f>CHOOSE(CONTROL!$C$42, 6.1749, 6.1749)*CHOOSE(CONTROL!$C$21, $C$9, 100%, $E$9)</f>
        <v>6.1749000000000001</v>
      </c>
      <c r="H132" s="10">
        <f>CHOOSE(CONTROL!$C$42, 6.2406, 6.2406) * CHOOSE(CONTROL!$C$21, $C$9, 100%, $E$9)</f>
        <v>6.2405999999999997</v>
      </c>
      <c r="I132" s="10">
        <f>CHOOSE(CONTROL!$C$42, 6.2031, 6.2031)* CHOOSE(CONTROL!$C$21, $C$9, 100%, $E$9)</f>
        <v>6.2031000000000001</v>
      </c>
      <c r="J132" s="10">
        <f>CHOOSE(CONTROL!$C$42, 6.151, 6.151)* CHOOSE(CONTROL!$C$21, $C$9, 100%, $E$9)</f>
        <v>6.1509999999999998</v>
      </c>
      <c r="K132" s="10">
        <f>CHOOSE(CONTROL!$C$42, 6.1762, 6.1762) * CHOOSE(CONTROL!$C$21, $C$9, 100%, $E$9)</f>
        <v>6.1761999999999997</v>
      </c>
      <c r="L132" s="10">
        <f>CHOOSE(CONTROL!$C$42, 6.8276, 6.8276) * CHOOSE(CONTROL!$C$21, $C$9, 100%, $E$9)</f>
        <v>6.8276000000000003</v>
      </c>
      <c r="M132" s="10">
        <f>CHOOSE(CONTROL!$C$42, 6.0982, 6.0982) * CHOOSE(CONTROL!$C$21, $C$9, 100%, $E$9)</f>
        <v>6.0982000000000003</v>
      </c>
      <c r="N132" s="10">
        <f>CHOOSE(CONTROL!$C$42, 6.1144, 6.1144) * CHOOSE(CONTROL!$C$21, $C$9, 100%, $E$9)</f>
        <v>6.1143999999999998</v>
      </c>
      <c r="O132" s="10">
        <f>CHOOSE(CONTROL!$C$42, 6.1866, 6.1866) * CHOOSE(CONTROL!$C$21, $C$9, 100%, $E$9)</f>
        <v>6.1866000000000003</v>
      </c>
      <c r="P132" s="10">
        <f>CHOOSE(CONTROL!$C$42, 6.1497, 6.1497) * CHOOSE(CONTROL!$C$21, $C$9, 100%, $E$9)</f>
        <v>6.1497000000000002</v>
      </c>
      <c r="Q132" s="10">
        <f>CHOOSE(CONTROL!$C$42, 6.7819, 6.7819) * CHOOSE(CONTROL!$C$21, $C$9, 100%, $E$9)</f>
        <v>6.7819000000000003</v>
      </c>
      <c r="R132" s="10">
        <f>CHOOSE(CONTROL!$C$42, 7.3858, 7.3858) * CHOOSE(CONTROL!$C$21, $C$9, 100%, $E$9)</f>
        <v>7.3857999999999997</v>
      </c>
      <c r="S132" s="10">
        <f>CHOOSE(CONTROL!$C$42, 6.0086, 6.0086) * CHOOSE(CONTROL!$C$21, $C$9, 100%, $E$9)</f>
        <v>6.0086000000000004</v>
      </c>
      <c r="T13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32" s="38">
        <f>(1000*CHOOSE(CONTROL!$C$42, 695, 695)*CHOOSE(CONTROL!$C$42, 0.5599, 0.5599)*CHOOSE(CONTROL!$C$42, 31, 31))/1000000</f>
        <v>12.063045499999998</v>
      </c>
      <c r="V132" s="38">
        <f>(1000*CHOOSE(CONTROL!$C$42, 500, 500)*CHOOSE(CONTROL!$C$42, 0.275, 0.275)*CHOOSE(CONTROL!$C$42, 31, 31))/1000000</f>
        <v>4.2625000000000002</v>
      </c>
      <c r="W132" s="38">
        <f>(1000*CHOOSE(CONTROL!$C$42, 0.1146, 0.1146)*CHOOSE(CONTROL!$C$42, 121.5, 121.5)*CHOOSE(CONTROL!$C$42, 31, 31))/1000000</f>
        <v>0.43164089999999994</v>
      </c>
      <c r="X132" s="38">
        <f>(31*0.1790888*100000/1000000)+(31*0.2374*100000/1000000)</f>
        <v>1.2911152800000001</v>
      </c>
      <c r="Y132" s="38">
        <f>(1000*600*CHOOSE(CONTROL!$C$42, 1.754, 1.754)*CHOOSE(CONTROL!$C$42, 31, 31))/1000000</f>
        <v>32.624400000000001</v>
      </c>
      <c r="Z132" s="38"/>
      <c r="AA132" s="10"/>
      <c r="AB132" s="39"/>
      <c r="AC132" s="33">
        <f>(B132*122.58+C132*297.941+D132*89.177+E132*40.302+F132*40+G132*160+H132*0+I132*100+J132*300)/(122.58+297.941+89.177+40.302+0+40+160+100+300)</f>
        <v>6.1827175486086965</v>
      </c>
      <c r="AD132" s="27">
        <f>(M132*'RAP TEMPLATE-GAS AVAILABILITY'!O131+N132*'RAP TEMPLATE-GAS AVAILABILITY'!P131+O132*'RAP TEMPLATE-GAS AVAILABILITY'!Q131+P132*'RAP TEMPLATE-GAS AVAILABILITY'!R131)/('RAP TEMPLATE-GAS AVAILABILITY'!O131+'RAP TEMPLATE-GAS AVAILABILITY'!P131+'RAP TEMPLATE-GAS AVAILABILITY'!Q131+'RAP TEMPLATE-GAS AVAILABILITY'!R131)</f>
        <v>6.1466086330935248</v>
      </c>
    </row>
    <row r="133" spans="1:30" ht="15">
      <c r="A133" s="16">
        <v>45292</v>
      </c>
      <c r="B133" s="10">
        <f>CHOOSE(CONTROL!$C$42, 6.6653, 6.6653) * CHOOSE(CONTROL!$C$21, $C$9, 100%, $E$9)</f>
        <v>6.6653000000000002</v>
      </c>
      <c r="C133" s="10">
        <f>CHOOSE(CONTROL!$C$42, 6.6704, 6.6704) * CHOOSE(CONTROL!$C$21, $C$9, 100%, $E$9)</f>
        <v>6.6703999999999999</v>
      </c>
      <c r="D133" s="10">
        <f>CHOOSE(CONTROL!$C$42, 6.7028, 6.7028) * CHOOSE(CONTROL!$C$21, $C$9, 100%, $E$9)</f>
        <v>6.7027999999999999</v>
      </c>
      <c r="E133" s="10">
        <f>CHOOSE(CONTROL!$C$42, 6.7366, 6.7366) * CHOOSE(CONTROL!$C$21, $C$9, 100%, $E$9)</f>
        <v>6.7366000000000001</v>
      </c>
      <c r="F133" s="10">
        <f>CHOOSE(CONTROL!$C$42, 6.6495, 6.6495)*CHOOSE(CONTROL!$C$21, $C$9, 100%, $E$9)</f>
        <v>6.6494999999999997</v>
      </c>
      <c r="G133" s="10">
        <f>CHOOSE(CONTROL!$C$42, 6.6675, 6.6675)*CHOOSE(CONTROL!$C$21, $C$9, 100%, $E$9)</f>
        <v>6.6675000000000004</v>
      </c>
      <c r="H133" s="10">
        <f>CHOOSE(CONTROL!$C$42, 6.7255, 6.7255) * CHOOSE(CONTROL!$C$21, $C$9, 100%, $E$9)</f>
        <v>6.7255000000000003</v>
      </c>
      <c r="I133" s="10">
        <f>CHOOSE(CONTROL!$C$42, 6.6787, 6.6787)* CHOOSE(CONTROL!$C$21, $C$9, 100%, $E$9)</f>
        <v>6.6787000000000001</v>
      </c>
      <c r="J133" s="10">
        <f>CHOOSE(CONTROL!$C$42, 6.6421, 6.6421)* CHOOSE(CONTROL!$C$21, $C$9, 100%, $E$9)</f>
        <v>6.6421000000000001</v>
      </c>
      <c r="K133" s="10">
        <f>CHOOSE(CONTROL!$C$42, 6.6509, 6.6509) * CHOOSE(CONTROL!$C$21, $C$9, 100%, $E$9)</f>
        <v>6.6509</v>
      </c>
      <c r="L133" s="10">
        <f>CHOOSE(CONTROL!$C$42, 7.3125, 7.3125) * CHOOSE(CONTROL!$C$21, $C$9, 100%, $E$9)</f>
        <v>7.3125</v>
      </c>
      <c r="M133" s="10">
        <f>CHOOSE(CONTROL!$C$42, 6.5824, 6.5824) * CHOOSE(CONTROL!$C$21, $C$9, 100%, $E$9)</f>
        <v>6.5823999999999998</v>
      </c>
      <c r="N133" s="10">
        <f>CHOOSE(CONTROL!$C$42, 6.6002, 6.6002) * CHOOSE(CONTROL!$C$21, $C$9, 100%, $E$9)</f>
        <v>6.6002000000000001</v>
      </c>
      <c r="O133" s="10">
        <f>CHOOSE(CONTROL!$C$42, 6.6647, 6.6647) * CHOOSE(CONTROL!$C$21, $C$9, 100%, $E$9)</f>
        <v>6.6646999999999998</v>
      </c>
      <c r="P133" s="10">
        <f>CHOOSE(CONTROL!$C$42, 6.6186, 6.6186) * CHOOSE(CONTROL!$C$21, $C$9, 100%, $E$9)</f>
        <v>6.6185999999999998</v>
      </c>
      <c r="Q133" s="10">
        <f>CHOOSE(CONTROL!$C$42, 7.26, 7.26) * CHOOSE(CONTROL!$C$21, $C$9, 100%, $E$9)</f>
        <v>7.26</v>
      </c>
      <c r="R133" s="10">
        <f>CHOOSE(CONTROL!$C$42, 7.8652, 7.8652) * CHOOSE(CONTROL!$C$21, $C$9, 100%, $E$9)</f>
        <v>7.8651999999999997</v>
      </c>
      <c r="S133" s="10">
        <f>CHOOSE(CONTROL!$C$42, 6.4707, 6.4707) * CHOOSE(CONTROL!$C$21, $C$9, 100%, $E$9)</f>
        <v>6.4706999999999999</v>
      </c>
      <c r="T13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33" s="38">
        <f>(1000*CHOOSE(CONTROL!$C$42, 695, 695)*CHOOSE(CONTROL!$C$42, 0.5599, 0.5599)*CHOOSE(CONTROL!$C$42, 31, 31))/1000000</f>
        <v>12.063045499999998</v>
      </c>
      <c r="V133" s="38">
        <f>(1000*CHOOSE(CONTROL!$C$42, 500, 500)*CHOOSE(CONTROL!$C$42, 0.275, 0.275)*CHOOSE(CONTROL!$C$42, 31, 31))/1000000</f>
        <v>4.2625000000000002</v>
      </c>
      <c r="W133" s="38">
        <f>(1000*CHOOSE(CONTROL!$C$42, 0.1146, 0.1146)*CHOOSE(CONTROL!$C$42, 121.5, 121.5)*CHOOSE(CONTROL!$C$42, 31, 31))/1000000</f>
        <v>0.43164089999999994</v>
      </c>
      <c r="X133" s="38">
        <f>(31*0.1790888*100000/1000000)+(31*0.2374*100000/1000000)</f>
        <v>1.2911152800000001</v>
      </c>
      <c r="Y133" s="38">
        <f>(1000*600*CHOOSE(CONTROL!$C$42, 1.7441, 1.7441)*CHOOSE(CONTROL!$C$42, 31, 31))/1000000</f>
        <v>32.440260000000002</v>
      </c>
      <c r="Z133" s="38"/>
      <c r="AA133" s="10"/>
      <c r="AB133" s="39"/>
      <c r="AC133" s="33">
        <f>(B133*122.58+C133*297.941+D133*89.177+E133*40.302+F133*40+G133*160+H133*0+I133*100+J133*300)/(122.58+297.941+89.177+40.302+0+40+160+100+300)</f>
        <v>6.6668975384347817</v>
      </c>
      <c r="AD133" s="27">
        <f>(M133*'RAP TEMPLATE-GAS AVAILABILITY'!O132+N133*'RAP TEMPLATE-GAS AVAILABILITY'!P132+O133*'RAP TEMPLATE-GAS AVAILABILITY'!Q132+P133*'RAP TEMPLATE-GAS AVAILABILITY'!R132)/('RAP TEMPLATE-GAS AVAILABILITY'!O132+'RAP TEMPLATE-GAS AVAILABILITY'!P132+'RAP TEMPLATE-GAS AVAILABILITY'!Q132+'RAP TEMPLATE-GAS AVAILABILITY'!R132)</f>
        <v>6.6259345323741003</v>
      </c>
    </row>
    <row r="134" spans="1:30" ht="15">
      <c r="A134" s="16">
        <v>45323</v>
      </c>
      <c r="B134" s="10">
        <f>CHOOSE(CONTROL!$C$42, 6.7842, 6.7842) * CHOOSE(CONTROL!$C$21, $C$9, 100%, $E$9)</f>
        <v>6.7842000000000002</v>
      </c>
      <c r="C134" s="10">
        <f>CHOOSE(CONTROL!$C$42, 6.7893, 6.7893) * CHOOSE(CONTROL!$C$21, $C$9, 100%, $E$9)</f>
        <v>6.7892999999999999</v>
      </c>
      <c r="D134" s="10">
        <f>CHOOSE(CONTROL!$C$42, 6.8218, 6.8218) * CHOOSE(CONTROL!$C$21, $C$9, 100%, $E$9)</f>
        <v>6.8217999999999996</v>
      </c>
      <c r="E134" s="10">
        <f>CHOOSE(CONTROL!$C$42, 6.8556, 6.8556) * CHOOSE(CONTROL!$C$21, $C$9, 100%, $E$9)</f>
        <v>6.8555999999999999</v>
      </c>
      <c r="F134" s="10">
        <f>CHOOSE(CONTROL!$C$42, 6.768, 6.768)*CHOOSE(CONTROL!$C$21, $C$9, 100%, $E$9)</f>
        <v>6.7679999999999998</v>
      </c>
      <c r="G134" s="10">
        <f>CHOOSE(CONTROL!$C$42, 6.7859, 6.7859)*CHOOSE(CONTROL!$C$21, $C$9, 100%, $E$9)</f>
        <v>6.7858999999999998</v>
      </c>
      <c r="H134" s="10">
        <f>CHOOSE(CONTROL!$C$42, 6.8444, 6.8444) * CHOOSE(CONTROL!$C$21, $C$9, 100%, $E$9)</f>
        <v>6.8444000000000003</v>
      </c>
      <c r="I134" s="10">
        <f>CHOOSE(CONTROL!$C$42, 6.7977, 6.7977)* CHOOSE(CONTROL!$C$21, $C$9, 100%, $E$9)</f>
        <v>6.7976999999999999</v>
      </c>
      <c r="J134" s="10">
        <f>CHOOSE(CONTROL!$C$42, 6.7606, 6.7606)* CHOOSE(CONTROL!$C$21, $C$9, 100%, $E$9)</f>
        <v>6.7606000000000002</v>
      </c>
      <c r="K134" s="10">
        <f>CHOOSE(CONTROL!$C$42, 6.7651, 6.7651) * CHOOSE(CONTROL!$C$21, $C$9, 100%, $E$9)</f>
        <v>6.7651000000000003</v>
      </c>
      <c r="L134" s="10">
        <f>CHOOSE(CONTROL!$C$42, 7.4314, 7.4314) * CHOOSE(CONTROL!$C$21, $C$9, 100%, $E$9)</f>
        <v>7.4314</v>
      </c>
      <c r="M134" s="10">
        <f>CHOOSE(CONTROL!$C$42, 6.6993, 6.6993) * CHOOSE(CONTROL!$C$21, $C$9, 100%, $E$9)</f>
        <v>6.6993</v>
      </c>
      <c r="N134" s="10">
        <f>CHOOSE(CONTROL!$C$42, 6.7169, 6.7169) * CHOOSE(CONTROL!$C$21, $C$9, 100%, $E$9)</f>
        <v>6.7168999999999999</v>
      </c>
      <c r="O134" s="10">
        <f>CHOOSE(CONTROL!$C$42, 6.782, 6.782) * CHOOSE(CONTROL!$C$21, $C$9, 100%, $E$9)</f>
        <v>6.782</v>
      </c>
      <c r="P134" s="10">
        <f>CHOOSE(CONTROL!$C$42, 6.7359, 6.7359) * CHOOSE(CONTROL!$C$21, $C$9, 100%, $E$9)</f>
        <v>6.7359</v>
      </c>
      <c r="Q134" s="10">
        <f>CHOOSE(CONTROL!$C$42, 7.3773, 7.3773) * CHOOSE(CONTROL!$C$21, $C$9, 100%, $E$9)</f>
        <v>7.3773</v>
      </c>
      <c r="R134" s="10">
        <f>CHOOSE(CONTROL!$C$42, 7.9827, 7.9827) * CHOOSE(CONTROL!$C$21, $C$9, 100%, $E$9)</f>
        <v>7.9827000000000004</v>
      </c>
      <c r="S134" s="10">
        <f>CHOOSE(CONTROL!$C$42, 6.5858, 6.5858) * CHOOSE(CONTROL!$C$21, $C$9, 100%, $E$9)</f>
        <v>6.5857999999999999</v>
      </c>
      <c r="T134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134" s="38">
        <f>(1000*CHOOSE(CONTROL!$C$42, 695, 695)*CHOOSE(CONTROL!$C$42, 0.5599, 0.5599)*CHOOSE(CONTROL!$C$42, 29, 29))/1000000</f>
        <v>11.284784499999999</v>
      </c>
      <c r="V134" s="38">
        <f>(1000*CHOOSE(CONTROL!$C$42, 500, 500)*CHOOSE(CONTROL!$C$42, 0.275, 0.275)*CHOOSE(CONTROL!$C$42, 29, 29))/1000000</f>
        <v>3.9874999999999998</v>
      </c>
      <c r="W134" s="38">
        <f>(1000*CHOOSE(CONTROL!$C$42, 0.1146, 0.1146)*CHOOSE(CONTROL!$C$42, 121.5, 121.5)*CHOOSE(CONTROL!$C$42, 29, 29))/1000000</f>
        <v>0.40379309999999996</v>
      </c>
      <c r="X134" s="38">
        <f>(29*0.1790888*100000/1000000)+(29*0.2374*100000/1000000)</f>
        <v>1.2078175199999999</v>
      </c>
      <c r="Y134" s="38">
        <f>(1000*600*CHOOSE(CONTROL!$C$42, 1.7441, 1.7441)*CHOOSE(CONTROL!$C$42, 29, 29))/1000000</f>
        <v>30.347339999999999</v>
      </c>
      <c r="Z134" s="38"/>
      <c r="AA134" s="10"/>
      <c r="AB134" s="39"/>
      <c r="AC134" s="33">
        <f>(B134*122.58+C134*297.941+D134*89.177+E134*40.302+F134*40+G134*160+H134*0+I134*100+J134*300)/(122.58+297.941+89.177+40.302+0+40+160+100+300)</f>
        <v>6.7856296670434784</v>
      </c>
      <c r="AD134" s="27">
        <f>(M134*'RAP TEMPLATE-GAS AVAILABILITY'!O133+N134*'RAP TEMPLATE-GAS AVAILABILITY'!P133+O134*'RAP TEMPLATE-GAS AVAILABILITY'!Q133+P134*'RAP TEMPLATE-GAS AVAILABILITY'!R133)/('RAP TEMPLATE-GAS AVAILABILITY'!O133+'RAP TEMPLATE-GAS AVAILABILITY'!P133+'RAP TEMPLATE-GAS AVAILABILITY'!Q133+'RAP TEMPLATE-GAS AVAILABILITY'!R133)</f>
        <v>6.7430618705035972</v>
      </c>
    </row>
    <row r="135" spans="1:30" ht="15">
      <c r="A135" s="16">
        <v>45352</v>
      </c>
      <c r="B135" s="10">
        <f>CHOOSE(CONTROL!$C$42, 6.5912, 6.5912) * CHOOSE(CONTROL!$C$21, $C$9, 100%, $E$9)</f>
        <v>6.5911999999999997</v>
      </c>
      <c r="C135" s="10">
        <f>CHOOSE(CONTROL!$C$42, 6.5963, 6.5963) * CHOOSE(CONTROL!$C$21, $C$9, 100%, $E$9)</f>
        <v>6.5963000000000003</v>
      </c>
      <c r="D135" s="10">
        <f>CHOOSE(CONTROL!$C$42, 6.6287, 6.6287) * CHOOSE(CONTROL!$C$21, $C$9, 100%, $E$9)</f>
        <v>6.6287000000000003</v>
      </c>
      <c r="E135" s="10">
        <f>CHOOSE(CONTROL!$C$42, 6.6625, 6.6625) * CHOOSE(CONTROL!$C$21, $C$9, 100%, $E$9)</f>
        <v>6.6624999999999996</v>
      </c>
      <c r="F135" s="10">
        <f>CHOOSE(CONTROL!$C$42, 6.5734, 6.5734)*CHOOSE(CONTROL!$C$21, $C$9, 100%, $E$9)</f>
        <v>6.5734000000000004</v>
      </c>
      <c r="G135" s="10">
        <f>CHOOSE(CONTROL!$C$42, 6.591, 6.591)*CHOOSE(CONTROL!$C$21, $C$9, 100%, $E$9)</f>
        <v>6.5910000000000002</v>
      </c>
      <c r="H135" s="10">
        <f>CHOOSE(CONTROL!$C$42, 6.6514, 6.6514) * CHOOSE(CONTROL!$C$21, $C$9, 100%, $E$9)</f>
        <v>6.6513999999999998</v>
      </c>
      <c r="I135" s="10">
        <f>CHOOSE(CONTROL!$C$42, 6.6046, 6.6046)* CHOOSE(CONTROL!$C$21, $C$9, 100%, $E$9)</f>
        <v>6.6045999999999996</v>
      </c>
      <c r="J135" s="10">
        <f>CHOOSE(CONTROL!$C$42, 6.566, 6.566)* CHOOSE(CONTROL!$C$21, $C$9, 100%, $E$9)</f>
        <v>6.5659999999999998</v>
      </c>
      <c r="K135" s="10">
        <f>CHOOSE(CONTROL!$C$42, 6.5749, 6.5749) * CHOOSE(CONTROL!$C$21, $C$9, 100%, $E$9)</f>
        <v>6.5749000000000004</v>
      </c>
      <c r="L135" s="10">
        <f>CHOOSE(CONTROL!$C$42, 7.2384, 7.2384) * CHOOSE(CONTROL!$C$21, $C$9, 100%, $E$9)</f>
        <v>7.2384000000000004</v>
      </c>
      <c r="M135" s="10">
        <f>CHOOSE(CONTROL!$C$42, 6.5074, 6.5074) * CHOOSE(CONTROL!$C$21, $C$9, 100%, $E$9)</f>
        <v>6.5073999999999996</v>
      </c>
      <c r="N135" s="10">
        <f>CHOOSE(CONTROL!$C$42, 6.5248, 6.5248) * CHOOSE(CONTROL!$C$21, $C$9, 100%, $E$9)</f>
        <v>6.5247999999999999</v>
      </c>
      <c r="O135" s="10">
        <f>CHOOSE(CONTROL!$C$42, 6.5916, 6.5916) * CHOOSE(CONTROL!$C$21, $C$9, 100%, $E$9)</f>
        <v>6.5915999999999997</v>
      </c>
      <c r="P135" s="10">
        <f>CHOOSE(CONTROL!$C$42, 6.5455, 6.5455) * CHOOSE(CONTROL!$C$21, $C$9, 100%, $E$9)</f>
        <v>6.5454999999999997</v>
      </c>
      <c r="Q135" s="10">
        <f>CHOOSE(CONTROL!$C$42, 7.1869, 7.1869) * CHOOSE(CONTROL!$C$21, $C$9, 100%, $E$9)</f>
        <v>7.1868999999999996</v>
      </c>
      <c r="R135" s="10">
        <f>CHOOSE(CONTROL!$C$42, 7.7919, 7.7919) * CHOOSE(CONTROL!$C$21, $C$9, 100%, $E$9)</f>
        <v>7.7919</v>
      </c>
      <c r="S135" s="10">
        <f>CHOOSE(CONTROL!$C$42, 6.3989, 6.3989) * CHOOSE(CONTROL!$C$21, $C$9, 100%, $E$9)</f>
        <v>6.3989000000000003</v>
      </c>
      <c r="T13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35" s="38">
        <f>(1000*CHOOSE(CONTROL!$C$42, 695, 695)*CHOOSE(CONTROL!$C$42, 0.5599, 0.5599)*CHOOSE(CONTROL!$C$42, 31, 31))/1000000</f>
        <v>12.063045499999998</v>
      </c>
      <c r="V135" s="38">
        <f>(1000*CHOOSE(CONTROL!$C$42, 500, 500)*CHOOSE(CONTROL!$C$42, 0.275, 0.275)*CHOOSE(CONTROL!$C$42, 31, 31))/1000000</f>
        <v>4.2625000000000002</v>
      </c>
      <c r="W135" s="38">
        <f>(1000*CHOOSE(CONTROL!$C$42, 0.1146, 0.1146)*CHOOSE(CONTROL!$C$42, 121.5, 121.5)*CHOOSE(CONTROL!$C$42, 31, 31))/1000000</f>
        <v>0.43164089999999994</v>
      </c>
      <c r="X135" s="38">
        <f>(31*0.1790888*100000/1000000)+(31*0.2374*100000/1000000)</f>
        <v>1.2911152800000001</v>
      </c>
      <c r="Y135" s="38">
        <f>(1000*600*CHOOSE(CONTROL!$C$42, 1.7441, 1.7441)*CHOOSE(CONTROL!$C$42, 31, 31))/1000000</f>
        <v>32.440260000000002</v>
      </c>
      <c r="Z135" s="38"/>
      <c r="AA135" s="10"/>
      <c r="AB135" s="39"/>
      <c r="AC135" s="33">
        <f>(B135*122.58+C135*297.941+D135*89.177+E135*40.302+F135*40+G135*160+H135*0+I135*100+J135*300)/(122.58+297.941+89.177+40.302+0+40+160+100+300)</f>
        <v>6.5918723210434793</v>
      </c>
      <c r="AD135" s="27">
        <f>(M135*'RAP TEMPLATE-GAS AVAILABILITY'!O134+N135*'RAP TEMPLATE-GAS AVAILABILITY'!P134+O135*'RAP TEMPLATE-GAS AVAILABILITY'!Q134+P135*'RAP TEMPLATE-GAS AVAILABILITY'!R134)/('RAP TEMPLATE-GAS AVAILABILITY'!O134+'RAP TEMPLATE-GAS AVAILABILITY'!P134+'RAP TEMPLATE-GAS AVAILABILITY'!Q134+'RAP TEMPLATE-GAS AVAILABILITY'!R134)</f>
        <v>6.5520460431654666</v>
      </c>
    </row>
    <row r="136" spans="1:30" ht="15">
      <c r="A136" s="16">
        <v>45383</v>
      </c>
      <c r="B136" s="10">
        <f>CHOOSE(CONTROL!$C$42, 6.5721, 6.5721) * CHOOSE(CONTROL!$C$21, $C$9, 100%, $E$9)</f>
        <v>6.5720999999999998</v>
      </c>
      <c r="C136" s="10">
        <f>CHOOSE(CONTROL!$C$42, 6.5767, 6.5767) * CHOOSE(CONTROL!$C$21, $C$9, 100%, $E$9)</f>
        <v>6.5766999999999998</v>
      </c>
      <c r="D136" s="10">
        <f>CHOOSE(CONTROL!$C$42, 6.7368, 6.7368) * CHOOSE(CONTROL!$C$21, $C$9, 100%, $E$9)</f>
        <v>6.7367999999999997</v>
      </c>
      <c r="E136" s="10">
        <f>CHOOSE(CONTROL!$C$42, 6.7686, 6.7686) * CHOOSE(CONTROL!$C$21, $C$9, 100%, $E$9)</f>
        <v>6.7686000000000002</v>
      </c>
      <c r="F136" s="10">
        <f>CHOOSE(CONTROL!$C$42, 6.5182, 6.5182)*CHOOSE(CONTROL!$C$21, $C$9, 100%, $E$9)</f>
        <v>6.5182000000000002</v>
      </c>
      <c r="G136" s="10">
        <f>CHOOSE(CONTROL!$C$42, 6.5341, 6.5341)*CHOOSE(CONTROL!$C$21, $C$9, 100%, $E$9)</f>
        <v>6.5340999999999996</v>
      </c>
      <c r="H136" s="10">
        <f>CHOOSE(CONTROL!$C$42, 6.7581, 6.7581) * CHOOSE(CONTROL!$C$21, $C$9, 100%, $E$9)</f>
        <v>6.7580999999999998</v>
      </c>
      <c r="I136" s="10">
        <f>CHOOSE(CONTROL!$C$42, 6.5523, 6.5523)* CHOOSE(CONTROL!$C$21, $C$9, 100%, $E$9)</f>
        <v>6.5522999999999998</v>
      </c>
      <c r="J136" s="10">
        <f>CHOOSE(CONTROL!$C$42, 6.5108, 6.5108)* CHOOSE(CONTROL!$C$21, $C$9, 100%, $E$9)</f>
        <v>6.5107999999999997</v>
      </c>
      <c r="K136" s="10">
        <f>CHOOSE(CONTROL!$C$42, 6.5083, 6.5083) * CHOOSE(CONTROL!$C$21, $C$9, 100%, $E$9)</f>
        <v>6.5083000000000002</v>
      </c>
      <c r="L136" s="10">
        <f>CHOOSE(CONTROL!$C$42, 7.3451, 7.3451) * CHOOSE(CONTROL!$C$21, $C$9, 100%, $E$9)</f>
        <v>7.3451000000000004</v>
      </c>
      <c r="M136" s="10">
        <f>CHOOSE(CONTROL!$C$42, 6.453, 6.453) * CHOOSE(CONTROL!$C$21, $C$9, 100%, $E$9)</f>
        <v>6.4530000000000003</v>
      </c>
      <c r="N136" s="10">
        <f>CHOOSE(CONTROL!$C$42, 6.4686, 6.4686) * CHOOSE(CONTROL!$C$21, $C$9, 100%, $E$9)</f>
        <v>6.4686000000000003</v>
      </c>
      <c r="O136" s="10">
        <f>CHOOSE(CONTROL!$C$42, 6.6968, 6.6968) * CHOOSE(CONTROL!$C$21, $C$9, 100%, $E$9)</f>
        <v>6.6967999999999996</v>
      </c>
      <c r="P136" s="10">
        <f>CHOOSE(CONTROL!$C$42, 6.494, 6.494) * CHOOSE(CONTROL!$C$21, $C$9, 100%, $E$9)</f>
        <v>6.4939999999999998</v>
      </c>
      <c r="Q136" s="10">
        <f>CHOOSE(CONTROL!$C$42, 7.2921, 7.2921) * CHOOSE(CONTROL!$C$21, $C$9, 100%, $E$9)</f>
        <v>7.2920999999999996</v>
      </c>
      <c r="R136" s="10">
        <f>CHOOSE(CONTROL!$C$42, 7.8974, 7.8974) * CHOOSE(CONTROL!$C$21, $C$9, 100%, $E$9)</f>
        <v>7.8974000000000002</v>
      </c>
      <c r="S136" s="10">
        <f>CHOOSE(CONTROL!$C$42, 6.3797, 6.3797) * CHOOSE(CONTROL!$C$21, $C$9, 100%, $E$9)</f>
        <v>6.3796999999999997</v>
      </c>
      <c r="T13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36" s="38">
        <f>(1000*CHOOSE(CONTROL!$C$42, 695, 695)*CHOOSE(CONTROL!$C$42, 0.5599, 0.5599)*CHOOSE(CONTROL!$C$42, 30, 30))/1000000</f>
        <v>11.673914999999997</v>
      </c>
      <c r="V136" s="38">
        <f>(1000*CHOOSE(CONTROL!$C$42, 500, 500)*CHOOSE(CONTROL!$C$42, 0.275, 0.275)*CHOOSE(CONTROL!$C$42, 30, 30))/1000000</f>
        <v>4.125</v>
      </c>
      <c r="W136" s="38">
        <f>(1000*CHOOSE(CONTROL!$C$42, 0.1146, 0.1146)*CHOOSE(CONTROL!$C$42, 121.5, 121.5)*CHOOSE(CONTROL!$C$42, 30, 30))/1000000</f>
        <v>0.417717</v>
      </c>
      <c r="X136" s="38">
        <f>(30*0.1790888*245000/1000000)+(30*0.2374*100000/1000000)</f>
        <v>2.0285026799999999</v>
      </c>
      <c r="Y136" s="38">
        <f>(1000*600*CHOOSE(CONTROL!$C$42, 1.7441, 1.7441)*CHOOSE(CONTROL!$C$42, 30, 30))/1000000</f>
        <v>31.393799999999999</v>
      </c>
      <c r="Z136" s="38"/>
      <c r="AA136" s="10"/>
      <c r="AB136" s="39"/>
      <c r="AC136" s="33">
        <f>(B136*141.293+C136*267.993+D136*115.016+E136*89.698+F136*40+G136*185+H136*0+I136*100+J136*300)/(141.293+267.993+115.016+89.698+0+40+185+100+300)</f>
        <v>6.5787550121065381</v>
      </c>
      <c r="AD136" s="27">
        <f>(M136*'RAP TEMPLATE-GAS AVAILABILITY'!O135+N136*'RAP TEMPLATE-GAS AVAILABILITY'!P135+O136*'RAP TEMPLATE-GAS AVAILABILITY'!Q135+P136*'RAP TEMPLATE-GAS AVAILABILITY'!R135)/('RAP TEMPLATE-GAS AVAILABILITY'!O135+'RAP TEMPLATE-GAS AVAILABILITY'!P135+'RAP TEMPLATE-GAS AVAILABILITY'!Q135+'RAP TEMPLATE-GAS AVAILABILITY'!R135)</f>
        <v>6.5308949640287768</v>
      </c>
    </row>
    <row r="137" spans="1:30" ht="15">
      <c r="A137" s="16">
        <v>45413</v>
      </c>
      <c r="B137" s="10">
        <f>CHOOSE(CONTROL!$C$42, 6.6321, 6.6321) * CHOOSE(CONTROL!$C$21, $C$9, 100%, $E$9)</f>
        <v>6.6321000000000003</v>
      </c>
      <c r="C137" s="10">
        <f>CHOOSE(CONTROL!$C$42, 6.6401, 6.6401) * CHOOSE(CONTROL!$C$21, $C$9, 100%, $E$9)</f>
        <v>6.6401000000000003</v>
      </c>
      <c r="D137" s="10">
        <f>CHOOSE(CONTROL!$C$42, 6.7972, 6.7972) * CHOOSE(CONTROL!$C$21, $C$9, 100%, $E$9)</f>
        <v>6.7972000000000001</v>
      </c>
      <c r="E137" s="10">
        <f>CHOOSE(CONTROL!$C$42, 6.8284, 6.8284) * CHOOSE(CONTROL!$C$21, $C$9, 100%, $E$9)</f>
        <v>6.8284000000000002</v>
      </c>
      <c r="F137" s="10">
        <f>CHOOSE(CONTROL!$C$42, 6.5762, 6.5762)*CHOOSE(CONTROL!$C$21, $C$9, 100%, $E$9)</f>
        <v>6.5762</v>
      </c>
      <c r="G137" s="10">
        <f>CHOOSE(CONTROL!$C$42, 6.5924, 6.5924)*CHOOSE(CONTROL!$C$21, $C$9, 100%, $E$9)</f>
        <v>6.5923999999999996</v>
      </c>
      <c r="H137" s="10">
        <f>CHOOSE(CONTROL!$C$42, 6.8167, 6.8167) * CHOOSE(CONTROL!$C$21, $C$9, 100%, $E$9)</f>
        <v>6.8167</v>
      </c>
      <c r="I137" s="10">
        <f>CHOOSE(CONTROL!$C$42, 6.6109, 6.6109)* CHOOSE(CONTROL!$C$21, $C$9, 100%, $E$9)</f>
        <v>6.6109</v>
      </c>
      <c r="J137" s="10">
        <f>CHOOSE(CONTROL!$C$42, 6.5688, 6.5688)* CHOOSE(CONTROL!$C$21, $C$9, 100%, $E$9)</f>
        <v>6.5688000000000004</v>
      </c>
      <c r="K137" s="10">
        <f>CHOOSE(CONTROL!$C$42, 6.5637, 6.5637) * CHOOSE(CONTROL!$C$21, $C$9, 100%, $E$9)</f>
        <v>6.5636999999999999</v>
      </c>
      <c r="L137" s="10">
        <f>CHOOSE(CONTROL!$C$42, 7.4037, 7.4037) * CHOOSE(CONTROL!$C$21, $C$9, 100%, $E$9)</f>
        <v>7.4036999999999997</v>
      </c>
      <c r="M137" s="10">
        <f>CHOOSE(CONTROL!$C$42, 6.5102, 6.5102) * CHOOSE(CONTROL!$C$21, $C$9, 100%, $E$9)</f>
        <v>6.5102000000000002</v>
      </c>
      <c r="N137" s="10">
        <f>CHOOSE(CONTROL!$C$42, 6.5261, 6.5261) * CHOOSE(CONTROL!$C$21, $C$9, 100%, $E$9)</f>
        <v>6.5260999999999996</v>
      </c>
      <c r="O137" s="10">
        <f>CHOOSE(CONTROL!$C$42, 6.7546, 6.7546) * CHOOSE(CONTROL!$C$21, $C$9, 100%, $E$9)</f>
        <v>6.7545999999999999</v>
      </c>
      <c r="P137" s="10">
        <f>CHOOSE(CONTROL!$C$42, 6.5517, 6.5517) * CHOOSE(CONTROL!$C$21, $C$9, 100%, $E$9)</f>
        <v>6.5517000000000003</v>
      </c>
      <c r="Q137" s="10">
        <f>CHOOSE(CONTROL!$C$42, 7.3499, 7.3499) * CHOOSE(CONTROL!$C$21, $C$9, 100%, $E$9)</f>
        <v>7.3498999999999999</v>
      </c>
      <c r="R137" s="10">
        <f>CHOOSE(CONTROL!$C$42, 7.9553, 7.9553) * CHOOSE(CONTROL!$C$21, $C$9, 100%, $E$9)</f>
        <v>7.9553000000000003</v>
      </c>
      <c r="S137" s="10">
        <f>CHOOSE(CONTROL!$C$42, 6.4365, 6.4365) * CHOOSE(CONTROL!$C$21, $C$9, 100%, $E$9)</f>
        <v>6.4364999999999997</v>
      </c>
      <c r="T13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37" s="38">
        <f>(1000*CHOOSE(CONTROL!$C$42, 695, 695)*CHOOSE(CONTROL!$C$42, 0.5599, 0.5599)*CHOOSE(CONTROL!$C$42, 31, 31))/1000000</f>
        <v>12.063045499999998</v>
      </c>
      <c r="V137" s="38">
        <f>(1000*CHOOSE(CONTROL!$C$42, 500, 500)*CHOOSE(CONTROL!$C$42, 0.275, 0.275)*CHOOSE(CONTROL!$C$42, 31, 31))/1000000</f>
        <v>4.2625000000000002</v>
      </c>
      <c r="W137" s="38">
        <f>(1000*CHOOSE(CONTROL!$C$42, 0.1146, 0.1146)*CHOOSE(CONTROL!$C$42, 121.5, 121.5)*CHOOSE(CONTROL!$C$42, 31, 31))/1000000</f>
        <v>0.43164089999999994</v>
      </c>
      <c r="X137" s="38">
        <f>(31*0.1790888*245000/1000000)+(31*0.2374*100000/1000000)</f>
        <v>2.0961194359999999</v>
      </c>
      <c r="Y137" s="38">
        <f>(1000*600*CHOOSE(CONTROL!$C$42, 1.7441, 1.7441)*CHOOSE(CONTROL!$C$42, 31, 31))/1000000</f>
        <v>32.440260000000002</v>
      </c>
      <c r="Z137" s="38"/>
      <c r="AA137" s="10"/>
      <c r="AB137" s="39"/>
      <c r="AC137" s="33">
        <f>(B137*194.205+C137*267.466+D137*133.845+E137*53.484+F137*40+G137*185+H137*0+I137*100+J137*300)/(194.205+267.466+133.845+53.484+0+40+185+100+300)</f>
        <v>6.6352757823390887</v>
      </c>
      <c r="AD137" s="27">
        <f>(M137*'RAP TEMPLATE-GAS AVAILABILITY'!O136+N137*'RAP TEMPLATE-GAS AVAILABILITY'!P136+O137*'RAP TEMPLATE-GAS AVAILABILITY'!Q136+P137*'RAP TEMPLATE-GAS AVAILABILITY'!R136)/('RAP TEMPLATE-GAS AVAILABILITY'!O136+'RAP TEMPLATE-GAS AVAILABILITY'!P136+'RAP TEMPLATE-GAS AVAILABILITY'!Q136+'RAP TEMPLATE-GAS AVAILABILITY'!R136)</f>
        <v>6.5884043165467627</v>
      </c>
    </row>
    <row r="138" spans="1:30" ht="15">
      <c r="A138" s="16">
        <v>45444</v>
      </c>
      <c r="B138" s="10">
        <f>CHOOSE(CONTROL!$C$42, 6.8206, 6.8206) * CHOOSE(CONTROL!$C$21, $C$9, 100%, $E$9)</f>
        <v>6.8205999999999998</v>
      </c>
      <c r="C138" s="10">
        <f>CHOOSE(CONTROL!$C$42, 6.8286, 6.8286) * CHOOSE(CONTROL!$C$21, $C$9, 100%, $E$9)</f>
        <v>6.8285999999999998</v>
      </c>
      <c r="D138" s="10">
        <f>CHOOSE(CONTROL!$C$42, 6.9857, 6.9857) * CHOOSE(CONTROL!$C$21, $C$9, 100%, $E$9)</f>
        <v>6.9856999999999996</v>
      </c>
      <c r="E138" s="10">
        <f>CHOOSE(CONTROL!$C$42, 7.0169, 7.0169) * CHOOSE(CONTROL!$C$21, $C$9, 100%, $E$9)</f>
        <v>7.0168999999999997</v>
      </c>
      <c r="F138" s="10">
        <f>CHOOSE(CONTROL!$C$42, 6.7649, 6.7649)*CHOOSE(CONTROL!$C$21, $C$9, 100%, $E$9)</f>
        <v>6.7648999999999999</v>
      </c>
      <c r="G138" s="10">
        <f>CHOOSE(CONTROL!$C$42, 6.7811, 6.7811)*CHOOSE(CONTROL!$C$21, $C$9, 100%, $E$9)</f>
        <v>6.7811000000000003</v>
      </c>
      <c r="H138" s="10">
        <f>CHOOSE(CONTROL!$C$42, 7.0052, 7.0052) * CHOOSE(CONTROL!$C$21, $C$9, 100%, $E$9)</f>
        <v>7.0052000000000003</v>
      </c>
      <c r="I138" s="10">
        <f>CHOOSE(CONTROL!$C$42, 6.7994, 6.7994)* CHOOSE(CONTROL!$C$21, $C$9, 100%, $E$9)</f>
        <v>6.7994000000000003</v>
      </c>
      <c r="J138" s="10">
        <f>CHOOSE(CONTROL!$C$42, 6.7575, 6.7575)* CHOOSE(CONTROL!$C$21, $C$9, 100%, $E$9)</f>
        <v>6.7575000000000003</v>
      </c>
      <c r="K138" s="10">
        <f>CHOOSE(CONTROL!$C$42, 6.7468, 6.7468) * CHOOSE(CONTROL!$C$21, $C$9, 100%, $E$9)</f>
        <v>6.7468000000000004</v>
      </c>
      <c r="L138" s="10">
        <f>CHOOSE(CONTROL!$C$42, 7.5922, 7.5922) * CHOOSE(CONTROL!$C$21, $C$9, 100%, $E$9)</f>
        <v>7.5922000000000001</v>
      </c>
      <c r="M138" s="10">
        <f>CHOOSE(CONTROL!$C$42, 6.6963, 6.6963) * CHOOSE(CONTROL!$C$21, $C$9, 100%, $E$9)</f>
        <v>6.6962999999999999</v>
      </c>
      <c r="N138" s="10">
        <f>CHOOSE(CONTROL!$C$42, 6.7122, 6.7122) * CHOOSE(CONTROL!$C$21, $C$9, 100%, $E$9)</f>
        <v>6.7122000000000002</v>
      </c>
      <c r="O138" s="10">
        <f>CHOOSE(CONTROL!$C$42, 6.9405, 6.9405) * CHOOSE(CONTROL!$C$21, $C$9, 100%, $E$9)</f>
        <v>6.9405000000000001</v>
      </c>
      <c r="P138" s="10">
        <f>CHOOSE(CONTROL!$C$42, 6.7376, 6.7376) * CHOOSE(CONTROL!$C$21, $C$9, 100%, $E$9)</f>
        <v>6.7375999999999996</v>
      </c>
      <c r="Q138" s="10">
        <f>CHOOSE(CONTROL!$C$42, 7.5358, 7.5358) * CHOOSE(CONTROL!$C$21, $C$9, 100%, $E$9)</f>
        <v>7.5358000000000001</v>
      </c>
      <c r="R138" s="10">
        <f>CHOOSE(CONTROL!$C$42, 8.1417, 8.1417) * CHOOSE(CONTROL!$C$21, $C$9, 100%, $E$9)</f>
        <v>8.1417000000000002</v>
      </c>
      <c r="S138" s="10">
        <f>CHOOSE(CONTROL!$C$42, 6.619, 6.619) * CHOOSE(CONTROL!$C$21, $C$9, 100%, $E$9)</f>
        <v>6.6189999999999998</v>
      </c>
      <c r="T13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38" s="38">
        <f>(1000*CHOOSE(CONTROL!$C$42, 695, 695)*CHOOSE(CONTROL!$C$42, 0.5599, 0.5599)*CHOOSE(CONTROL!$C$42, 30, 30))/1000000</f>
        <v>11.673914999999997</v>
      </c>
      <c r="V138" s="38">
        <f>(1000*CHOOSE(CONTROL!$C$42, 500, 500)*CHOOSE(CONTROL!$C$42, 0.275, 0.275)*CHOOSE(CONTROL!$C$42, 30, 30))/1000000</f>
        <v>4.125</v>
      </c>
      <c r="W138" s="38">
        <f>(1000*CHOOSE(CONTROL!$C$42, 0.1146, 0.1146)*CHOOSE(CONTROL!$C$42, 121.5, 121.5)*CHOOSE(CONTROL!$C$42, 30, 30))/1000000</f>
        <v>0.417717</v>
      </c>
      <c r="X138" s="38">
        <f>(30*0.1790888*245000/1000000)+(30*0.2374*100000/1000000)</f>
        <v>2.0285026799999999</v>
      </c>
      <c r="Y138" s="38">
        <f>(1000*600*CHOOSE(CONTROL!$C$42, 1.7441, 1.7441)*CHOOSE(CONTROL!$C$42, 30, 30))/1000000</f>
        <v>31.393799999999999</v>
      </c>
      <c r="Z138" s="38"/>
      <c r="AA138" s="10"/>
      <c r="AB138" s="39"/>
      <c r="AC138" s="33">
        <f>(B138*194.205+C138*267.466+D138*133.845+E138*53.484+F138*40+G138*185+H138*0+I138*100+J138*300)/(194.205+267.466+133.845+53.484+0+40+185+100+300)</f>
        <v>6.8238581999215073</v>
      </c>
      <c r="AD138" s="27">
        <f>(M138*'RAP TEMPLATE-GAS AVAILABILITY'!O137+N138*'RAP TEMPLATE-GAS AVAILABILITY'!P137+O138*'RAP TEMPLATE-GAS AVAILABILITY'!Q137+P138*'RAP TEMPLATE-GAS AVAILABILITY'!R137)/('RAP TEMPLATE-GAS AVAILABILITY'!O137+'RAP TEMPLATE-GAS AVAILABILITY'!P137+'RAP TEMPLATE-GAS AVAILABILITY'!Q137+'RAP TEMPLATE-GAS AVAILABILITY'!R137)</f>
        <v>6.7744194244604321</v>
      </c>
    </row>
    <row r="139" spans="1:30" ht="15">
      <c r="A139" s="16">
        <v>45474</v>
      </c>
      <c r="B139" s="10">
        <f>CHOOSE(CONTROL!$C$42, 6.6895, 6.6895) * CHOOSE(CONTROL!$C$21, $C$9, 100%, $E$9)</f>
        <v>6.6894999999999998</v>
      </c>
      <c r="C139" s="10">
        <f>CHOOSE(CONTROL!$C$42, 6.6975, 6.6975) * CHOOSE(CONTROL!$C$21, $C$9, 100%, $E$9)</f>
        <v>6.6974999999999998</v>
      </c>
      <c r="D139" s="10">
        <f>CHOOSE(CONTROL!$C$42, 6.8546, 6.8546) * CHOOSE(CONTROL!$C$21, $C$9, 100%, $E$9)</f>
        <v>6.8545999999999996</v>
      </c>
      <c r="E139" s="10">
        <f>CHOOSE(CONTROL!$C$42, 6.8858, 6.8858) * CHOOSE(CONTROL!$C$21, $C$9, 100%, $E$9)</f>
        <v>6.8857999999999997</v>
      </c>
      <c r="F139" s="10">
        <f>CHOOSE(CONTROL!$C$42, 6.6342, 6.6342)*CHOOSE(CONTROL!$C$21, $C$9, 100%, $E$9)</f>
        <v>6.6341999999999999</v>
      </c>
      <c r="G139" s="10">
        <f>CHOOSE(CONTROL!$C$42, 6.6504, 6.6504)*CHOOSE(CONTROL!$C$21, $C$9, 100%, $E$9)</f>
        <v>6.6504000000000003</v>
      </c>
      <c r="H139" s="10">
        <f>CHOOSE(CONTROL!$C$42, 6.8741, 6.8741) * CHOOSE(CONTROL!$C$21, $C$9, 100%, $E$9)</f>
        <v>6.8741000000000003</v>
      </c>
      <c r="I139" s="10">
        <f>CHOOSE(CONTROL!$C$42, 6.6683, 6.6683)* CHOOSE(CONTROL!$C$21, $C$9, 100%, $E$9)</f>
        <v>6.6683000000000003</v>
      </c>
      <c r="J139" s="10">
        <f>CHOOSE(CONTROL!$C$42, 6.6268, 6.6268)* CHOOSE(CONTROL!$C$21, $C$9, 100%, $E$9)</f>
        <v>6.6268000000000002</v>
      </c>
      <c r="K139" s="10">
        <f>CHOOSE(CONTROL!$C$42, 6.6204, 6.6204) * CHOOSE(CONTROL!$C$21, $C$9, 100%, $E$9)</f>
        <v>6.6204000000000001</v>
      </c>
      <c r="L139" s="10">
        <f>CHOOSE(CONTROL!$C$42, 7.4611, 7.4611) * CHOOSE(CONTROL!$C$21, $C$9, 100%, $E$9)</f>
        <v>7.4611000000000001</v>
      </c>
      <c r="M139" s="10">
        <f>CHOOSE(CONTROL!$C$42, 6.5673, 6.5673) * CHOOSE(CONTROL!$C$21, $C$9, 100%, $E$9)</f>
        <v>6.5673000000000004</v>
      </c>
      <c r="N139" s="10">
        <f>CHOOSE(CONTROL!$C$42, 6.5834, 6.5834) * CHOOSE(CONTROL!$C$21, $C$9, 100%, $E$9)</f>
        <v>6.5834000000000001</v>
      </c>
      <c r="O139" s="10">
        <f>CHOOSE(CONTROL!$C$42, 6.8112, 6.8112) * CHOOSE(CONTROL!$C$21, $C$9, 100%, $E$9)</f>
        <v>6.8112000000000004</v>
      </c>
      <c r="P139" s="10">
        <f>CHOOSE(CONTROL!$C$42, 6.6083, 6.6083) * CHOOSE(CONTROL!$C$21, $C$9, 100%, $E$9)</f>
        <v>6.6082999999999998</v>
      </c>
      <c r="Q139" s="10">
        <f>CHOOSE(CONTROL!$C$42, 7.4065, 7.4065) * CHOOSE(CONTROL!$C$21, $C$9, 100%, $E$9)</f>
        <v>7.4065000000000003</v>
      </c>
      <c r="R139" s="10">
        <f>CHOOSE(CONTROL!$C$42, 8.012, 8.012) * CHOOSE(CONTROL!$C$21, $C$9, 100%, $E$9)</f>
        <v>8.0120000000000005</v>
      </c>
      <c r="S139" s="10">
        <f>CHOOSE(CONTROL!$C$42, 6.492, 6.492) * CHOOSE(CONTROL!$C$21, $C$9, 100%, $E$9)</f>
        <v>6.492</v>
      </c>
      <c r="T13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39" s="38">
        <f>(1000*CHOOSE(CONTROL!$C$42, 695, 695)*CHOOSE(CONTROL!$C$42, 0.5599, 0.5599)*CHOOSE(CONTROL!$C$42, 31, 31))/1000000</f>
        <v>12.063045499999998</v>
      </c>
      <c r="V139" s="38">
        <f>(1000*CHOOSE(CONTROL!$C$42, 500, 500)*CHOOSE(CONTROL!$C$42, 0.275, 0.275)*CHOOSE(CONTROL!$C$42, 31, 31))/1000000</f>
        <v>4.2625000000000002</v>
      </c>
      <c r="W139" s="38">
        <f>(1000*CHOOSE(CONTROL!$C$42, 0.1146, 0.1146)*CHOOSE(CONTROL!$C$42, 121.5, 121.5)*CHOOSE(CONTROL!$C$42, 31, 31))/1000000</f>
        <v>0.43164089999999994</v>
      </c>
      <c r="X139" s="38">
        <f>(31*0.1790888*245000/1000000)+(31*0.2374*100000/1000000)</f>
        <v>2.0961194359999999</v>
      </c>
      <c r="Y139" s="38">
        <f>(1000*600*CHOOSE(CONTROL!$C$42, 1.7441, 1.7441)*CHOOSE(CONTROL!$C$42, 31, 31))/1000000</f>
        <v>32.440260000000002</v>
      </c>
      <c r="Z139" s="38"/>
      <c r="AA139" s="10"/>
      <c r="AB139" s="39"/>
      <c r="AC139" s="33">
        <f>(B139*194.205+C139*267.466+D139*133.845+E139*53.484+F139*40+G139*185+H139*0+I139*100+J139*300)/(194.205+267.466+133.845+53.484+0+40+185+100+300)</f>
        <v>6.6929230350863431</v>
      </c>
      <c r="AD139" s="27">
        <f>(M139*'RAP TEMPLATE-GAS AVAILABILITY'!O138+N139*'RAP TEMPLATE-GAS AVAILABILITY'!P138+O139*'RAP TEMPLATE-GAS AVAILABILITY'!Q138+P139*'RAP TEMPLATE-GAS AVAILABILITY'!R138)/('RAP TEMPLATE-GAS AVAILABILITY'!O138+'RAP TEMPLATE-GAS AVAILABILITY'!P138+'RAP TEMPLATE-GAS AVAILABILITY'!Q138+'RAP TEMPLATE-GAS AVAILABILITY'!R138)</f>
        <v>6.6453381294964036</v>
      </c>
    </row>
    <row r="140" spans="1:30" ht="15">
      <c r="A140" s="16">
        <v>45505</v>
      </c>
      <c r="B140" s="10">
        <f>CHOOSE(CONTROL!$C$42, 6.3584, 6.3584) * CHOOSE(CONTROL!$C$21, $C$9, 100%, $E$9)</f>
        <v>6.3583999999999996</v>
      </c>
      <c r="C140" s="10">
        <f>CHOOSE(CONTROL!$C$42, 6.3664, 6.3664) * CHOOSE(CONTROL!$C$21, $C$9, 100%, $E$9)</f>
        <v>6.3663999999999996</v>
      </c>
      <c r="D140" s="10">
        <f>CHOOSE(CONTROL!$C$42, 6.5235, 6.5235) * CHOOSE(CONTROL!$C$21, $C$9, 100%, $E$9)</f>
        <v>6.5235000000000003</v>
      </c>
      <c r="E140" s="10">
        <f>CHOOSE(CONTROL!$C$42, 6.5547, 6.5547) * CHOOSE(CONTROL!$C$21, $C$9, 100%, $E$9)</f>
        <v>6.5547000000000004</v>
      </c>
      <c r="F140" s="10">
        <f>CHOOSE(CONTROL!$C$42, 6.303, 6.303)*CHOOSE(CONTROL!$C$21, $C$9, 100%, $E$9)</f>
        <v>6.3029999999999999</v>
      </c>
      <c r="G140" s="10">
        <f>CHOOSE(CONTROL!$C$42, 6.3192, 6.3192)*CHOOSE(CONTROL!$C$21, $C$9, 100%, $E$9)</f>
        <v>6.3192000000000004</v>
      </c>
      <c r="H140" s="10">
        <f>CHOOSE(CONTROL!$C$42, 6.543, 6.543) * CHOOSE(CONTROL!$C$21, $C$9, 100%, $E$9)</f>
        <v>6.5430000000000001</v>
      </c>
      <c r="I140" s="10">
        <f>CHOOSE(CONTROL!$C$42, 6.3372, 6.3372)* CHOOSE(CONTROL!$C$21, $C$9, 100%, $E$9)</f>
        <v>6.3372000000000002</v>
      </c>
      <c r="J140" s="10">
        <f>CHOOSE(CONTROL!$C$42, 6.2956, 6.2956)* CHOOSE(CONTROL!$C$21, $C$9, 100%, $E$9)</f>
        <v>6.2956000000000003</v>
      </c>
      <c r="K140" s="10">
        <f>CHOOSE(CONTROL!$C$42, 6.2995, 6.2995) * CHOOSE(CONTROL!$C$21, $C$9, 100%, $E$9)</f>
        <v>6.2995000000000001</v>
      </c>
      <c r="L140" s="10">
        <f>CHOOSE(CONTROL!$C$42, 7.13, 7.13) * CHOOSE(CONTROL!$C$21, $C$9, 100%, $E$9)</f>
        <v>7.13</v>
      </c>
      <c r="M140" s="10">
        <f>CHOOSE(CONTROL!$C$42, 6.2408, 6.2408) * CHOOSE(CONTROL!$C$21, $C$9, 100%, $E$9)</f>
        <v>6.2408000000000001</v>
      </c>
      <c r="N140" s="10">
        <f>CHOOSE(CONTROL!$C$42, 6.2568, 6.2568) * CHOOSE(CONTROL!$C$21, $C$9, 100%, $E$9)</f>
        <v>6.2568000000000001</v>
      </c>
      <c r="O140" s="10">
        <f>CHOOSE(CONTROL!$C$42, 6.4847, 6.4847) * CHOOSE(CONTROL!$C$21, $C$9, 100%, $E$9)</f>
        <v>6.4847000000000001</v>
      </c>
      <c r="P140" s="10">
        <f>CHOOSE(CONTROL!$C$42, 6.2819, 6.2819) * CHOOSE(CONTROL!$C$21, $C$9, 100%, $E$9)</f>
        <v>6.2819000000000003</v>
      </c>
      <c r="Q140" s="10">
        <f>CHOOSE(CONTROL!$C$42, 7.08, 7.08) * CHOOSE(CONTROL!$C$21, $C$9, 100%, $E$9)</f>
        <v>7.08</v>
      </c>
      <c r="R140" s="10">
        <f>CHOOSE(CONTROL!$C$42, 7.6847, 7.6847) * CHOOSE(CONTROL!$C$21, $C$9, 100%, $E$9)</f>
        <v>7.6847000000000003</v>
      </c>
      <c r="S140" s="10">
        <f>CHOOSE(CONTROL!$C$42, 6.1714, 6.1714) * CHOOSE(CONTROL!$C$21, $C$9, 100%, $E$9)</f>
        <v>6.1714000000000002</v>
      </c>
      <c r="T14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40" s="38">
        <f>(1000*CHOOSE(CONTROL!$C$42, 695, 695)*CHOOSE(CONTROL!$C$42, 0.5599, 0.5599)*CHOOSE(CONTROL!$C$42, 31, 31))/1000000</f>
        <v>12.063045499999998</v>
      </c>
      <c r="V140" s="38">
        <f>(1000*CHOOSE(CONTROL!$C$42, 500, 500)*CHOOSE(CONTROL!$C$42, 0.275, 0.275)*CHOOSE(CONTROL!$C$42, 31, 31))/1000000</f>
        <v>4.2625000000000002</v>
      </c>
      <c r="W140" s="38">
        <f>(1000*CHOOSE(CONTROL!$C$42, 0.1146, 0.1146)*CHOOSE(CONTROL!$C$42, 121.5, 121.5)*CHOOSE(CONTROL!$C$42, 31, 31))/1000000</f>
        <v>0.43164089999999994</v>
      </c>
      <c r="X140" s="38">
        <f>(31*0.1790888*245000/1000000)+(31*0.2374*100000/1000000)</f>
        <v>2.0961194359999999</v>
      </c>
      <c r="Y140" s="38">
        <f>(1000*600*CHOOSE(CONTROL!$C$42, 1.7441, 1.7441)*CHOOSE(CONTROL!$C$42, 31, 31))/1000000</f>
        <v>32.440260000000002</v>
      </c>
      <c r="Z140" s="38"/>
      <c r="AA140" s="10"/>
      <c r="AB140" s="39"/>
      <c r="AC140" s="33">
        <f>(B140*194.205+C140*267.466+D140*133.845+E140*53.484+F140*40+G140*185+H140*0+I140*100+J140*300)/(194.205+267.466+133.845+53.484+0+40+185+100+300)</f>
        <v>6.3617818262951333</v>
      </c>
      <c r="AD140" s="27">
        <f>(M140*'RAP TEMPLATE-GAS AVAILABILITY'!O139+N140*'RAP TEMPLATE-GAS AVAILABILITY'!P139+O140*'RAP TEMPLATE-GAS AVAILABILITY'!Q139+P140*'RAP TEMPLATE-GAS AVAILABILITY'!R139)/('RAP TEMPLATE-GAS AVAILABILITY'!O139+'RAP TEMPLATE-GAS AVAILABILITY'!P139+'RAP TEMPLATE-GAS AVAILABILITY'!Q139+'RAP TEMPLATE-GAS AVAILABILITY'!R139)</f>
        <v>6.3188294964028771</v>
      </c>
    </row>
    <row r="141" spans="1:30" ht="15">
      <c r="A141" s="16">
        <v>45536</v>
      </c>
      <c r="B141" s="10">
        <f>CHOOSE(CONTROL!$C$42, 5.9539, 5.9539) * CHOOSE(CONTROL!$C$21, $C$9, 100%, $E$9)</f>
        <v>5.9539</v>
      </c>
      <c r="C141" s="10">
        <f>CHOOSE(CONTROL!$C$42, 5.9619, 5.9619) * CHOOSE(CONTROL!$C$21, $C$9, 100%, $E$9)</f>
        <v>5.9619</v>
      </c>
      <c r="D141" s="10">
        <f>CHOOSE(CONTROL!$C$42, 6.1189, 6.1189) * CHOOSE(CONTROL!$C$21, $C$9, 100%, $E$9)</f>
        <v>6.1189</v>
      </c>
      <c r="E141" s="10">
        <f>CHOOSE(CONTROL!$C$42, 6.1501, 6.1501) * CHOOSE(CONTROL!$C$21, $C$9, 100%, $E$9)</f>
        <v>6.1501000000000001</v>
      </c>
      <c r="F141" s="10">
        <f>CHOOSE(CONTROL!$C$42, 5.8982, 5.8982)*CHOOSE(CONTROL!$C$21, $C$9, 100%, $E$9)</f>
        <v>5.8982000000000001</v>
      </c>
      <c r="G141" s="10">
        <f>CHOOSE(CONTROL!$C$42, 5.9144, 5.9144)*CHOOSE(CONTROL!$C$21, $C$9, 100%, $E$9)</f>
        <v>5.9143999999999997</v>
      </c>
      <c r="H141" s="10">
        <f>CHOOSE(CONTROL!$C$42, 6.1385, 6.1385) * CHOOSE(CONTROL!$C$21, $C$9, 100%, $E$9)</f>
        <v>6.1384999999999996</v>
      </c>
      <c r="I141" s="10">
        <f>CHOOSE(CONTROL!$C$42, 5.9326, 5.9326)* CHOOSE(CONTROL!$C$21, $C$9, 100%, $E$9)</f>
        <v>5.9325999999999999</v>
      </c>
      <c r="J141" s="10">
        <f>CHOOSE(CONTROL!$C$42, 5.8908, 5.8908)* CHOOSE(CONTROL!$C$21, $C$9, 100%, $E$9)</f>
        <v>5.8907999999999996</v>
      </c>
      <c r="K141" s="10">
        <f>CHOOSE(CONTROL!$C$42, 5.9072, 5.9072) * CHOOSE(CONTROL!$C$21, $C$9, 100%, $E$9)</f>
        <v>5.9071999999999996</v>
      </c>
      <c r="L141" s="10">
        <f>CHOOSE(CONTROL!$C$42, 6.7255, 6.7255) * CHOOSE(CONTROL!$C$21, $C$9, 100%, $E$9)</f>
        <v>6.7255000000000003</v>
      </c>
      <c r="M141" s="10">
        <f>CHOOSE(CONTROL!$C$42, 5.8417, 5.8417) * CHOOSE(CONTROL!$C$21, $C$9, 100%, $E$9)</f>
        <v>5.8417000000000003</v>
      </c>
      <c r="N141" s="10">
        <f>CHOOSE(CONTROL!$C$42, 5.8576, 5.8576) * CHOOSE(CONTROL!$C$21, $C$9, 100%, $E$9)</f>
        <v>5.8575999999999997</v>
      </c>
      <c r="O141" s="10">
        <f>CHOOSE(CONTROL!$C$42, 6.0858, 6.0858) * CHOOSE(CONTROL!$C$21, $C$9, 100%, $E$9)</f>
        <v>6.0857999999999999</v>
      </c>
      <c r="P141" s="10">
        <f>CHOOSE(CONTROL!$C$42, 5.883, 5.883) * CHOOSE(CONTROL!$C$21, $C$9, 100%, $E$9)</f>
        <v>5.883</v>
      </c>
      <c r="Q141" s="10">
        <f>CHOOSE(CONTROL!$C$42, 6.6811, 6.6811) * CHOOSE(CONTROL!$C$21, $C$9, 100%, $E$9)</f>
        <v>6.6810999999999998</v>
      </c>
      <c r="R141" s="10">
        <f>CHOOSE(CONTROL!$C$42, 7.2848, 7.2848) * CHOOSE(CONTROL!$C$21, $C$9, 100%, $E$9)</f>
        <v>7.2847999999999997</v>
      </c>
      <c r="S141" s="10">
        <f>CHOOSE(CONTROL!$C$42, 5.7797, 5.7797) * CHOOSE(CONTROL!$C$21, $C$9, 100%, $E$9)</f>
        <v>5.7797000000000001</v>
      </c>
      <c r="T14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41" s="38">
        <f>(1000*CHOOSE(CONTROL!$C$42, 695, 695)*CHOOSE(CONTROL!$C$42, 0.5599, 0.5599)*CHOOSE(CONTROL!$C$42, 30, 30))/1000000</f>
        <v>11.673914999999997</v>
      </c>
      <c r="V141" s="38">
        <f>(1000*CHOOSE(CONTROL!$C$42, 500, 500)*CHOOSE(CONTROL!$C$42, 0.275, 0.275)*CHOOSE(CONTROL!$C$42, 30, 30))/1000000</f>
        <v>4.125</v>
      </c>
      <c r="W141" s="38">
        <f>(1000*CHOOSE(CONTROL!$C$42, 0.1146, 0.1146)*CHOOSE(CONTROL!$C$42, 121.5, 121.5)*CHOOSE(CONTROL!$C$42, 30, 30))/1000000</f>
        <v>0.417717</v>
      </c>
      <c r="X141" s="38">
        <f>(30*0.1790888*245000/1000000)+(30*0.2374*100000/1000000)</f>
        <v>2.0285026799999999</v>
      </c>
      <c r="Y141" s="38">
        <f>(1000*600*CHOOSE(CONTROL!$C$42, 1.7441, 1.7441)*CHOOSE(CONTROL!$C$42, 30, 30))/1000000</f>
        <v>31.393799999999999</v>
      </c>
      <c r="Z141" s="38"/>
      <c r="AA141" s="10"/>
      <c r="AB141" s="39"/>
      <c r="AC141" s="33">
        <f>(B141*194.205+C141*267.466+D141*133.845+E141*53.484+F141*40+G141*185+H141*0+I141*100+J141*300)/(194.205+267.466+133.845+53.484+0+40+185+100+300)</f>
        <v>5.9571356466248035</v>
      </c>
      <c r="AD141" s="27">
        <f>(M141*'RAP TEMPLATE-GAS AVAILABILITY'!O140+N141*'RAP TEMPLATE-GAS AVAILABILITY'!P140+O141*'RAP TEMPLATE-GAS AVAILABILITY'!Q140+P141*'RAP TEMPLATE-GAS AVAILABILITY'!R140)/('RAP TEMPLATE-GAS AVAILABILITY'!O140+'RAP TEMPLATE-GAS AVAILABILITY'!P140+'RAP TEMPLATE-GAS AVAILABILITY'!Q140+'RAP TEMPLATE-GAS AVAILABILITY'!R140)</f>
        <v>5.919791366906475</v>
      </c>
    </row>
    <row r="142" spans="1:30" ht="15">
      <c r="A142" s="16">
        <v>45566</v>
      </c>
      <c r="B142" s="10">
        <f>CHOOSE(CONTROL!$C$42, 5.8305, 5.8305) * CHOOSE(CONTROL!$C$21, $C$9, 100%, $E$9)</f>
        <v>5.8304999999999998</v>
      </c>
      <c r="C142" s="10">
        <f>CHOOSE(CONTROL!$C$42, 5.8359, 5.8359) * CHOOSE(CONTROL!$C$21, $C$9, 100%, $E$9)</f>
        <v>5.8358999999999996</v>
      </c>
      <c r="D142" s="10">
        <f>CHOOSE(CONTROL!$C$42, 5.9978, 5.9978) * CHOOSE(CONTROL!$C$21, $C$9, 100%, $E$9)</f>
        <v>5.9977999999999998</v>
      </c>
      <c r="E142" s="10">
        <f>CHOOSE(CONTROL!$C$42, 6.0267, 6.0267) * CHOOSE(CONTROL!$C$21, $C$9, 100%, $E$9)</f>
        <v>6.0266999999999999</v>
      </c>
      <c r="F142" s="10">
        <f>CHOOSE(CONTROL!$C$42, 5.7769, 5.7769)*CHOOSE(CONTROL!$C$21, $C$9, 100%, $E$9)</f>
        <v>5.7769000000000004</v>
      </c>
      <c r="G142" s="10">
        <f>CHOOSE(CONTROL!$C$42, 5.7927, 5.7927)*CHOOSE(CONTROL!$C$21, $C$9, 100%, $E$9)</f>
        <v>5.7927</v>
      </c>
      <c r="H142" s="10">
        <f>CHOOSE(CONTROL!$C$42, 6.0168, 6.0168) * CHOOSE(CONTROL!$C$21, $C$9, 100%, $E$9)</f>
        <v>6.0167999999999999</v>
      </c>
      <c r="I142" s="10">
        <f>CHOOSE(CONTROL!$C$42, 5.811, 5.811)* CHOOSE(CONTROL!$C$21, $C$9, 100%, $E$9)</f>
        <v>5.8109999999999999</v>
      </c>
      <c r="J142" s="10">
        <f>CHOOSE(CONTROL!$C$42, 5.7695, 5.7695)* CHOOSE(CONTROL!$C$21, $C$9, 100%, $E$9)</f>
        <v>5.7694999999999999</v>
      </c>
      <c r="K142" s="10">
        <f>CHOOSE(CONTROL!$C$42, 5.79, 5.79) * CHOOSE(CONTROL!$C$21, $C$9, 100%, $E$9)</f>
        <v>5.79</v>
      </c>
      <c r="L142" s="10">
        <f>CHOOSE(CONTROL!$C$42, 6.6038, 6.6038) * CHOOSE(CONTROL!$C$21, $C$9, 100%, $E$9)</f>
        <v>6.6037999999999997</v>
      </c>
      <c r="M142" s="10">
        <f>CHOOSE(CONTROL!$C$42, 5.722, 5.722) * CHOOSE(CONTROL!$C$21, $C$9, 100%, $E$9)</f>
        <v>5.7220000000000004</v>
      </c>
      <c r="N142" s="10">
        <f>CHOOSE(CONTROL!$C$42, 5.7376, 5.7376) * CHOOSE(CONTROL!$C$21, $C$9, 100%, $E$9)</f>
        <v>5.7375999999999996</v>
      </c>
      <c r="O142" s="10">
        <f>CHOOSE(CONTROL!$C$42, 5.9659, 5.9659) * CHOOSE(CONTROL!$C$21, $C$9, 100%, $E$9)</f>
        <v>5.9659000000000004</v>
      </c>
      <c r="P142" s="10">
        <f>CHOOSE(CONTROL!$C$42, 5.763, 5.763) * CHOOSE(CONTROL!$C$21, $C$9, 100%, $E$9)</f>
        <v>5.7629999999999999</v>
      </c>
      <c r="Q142" s="10">
        <f>CHOOSE(CONTROL!$C$42, 6.5612, 6.5612) * CHOOSE(CONTROL!$C$21, $C$9, 100%, $E$9)</f>
        <v>6.5612000000000004</v>
      </c>
      <c r="R142" s="10">
        <f>CHOOSE(CONTROL!$C$42, 7.1646, 7.1646) * CHOOSE(CONTROL!$C$21, $C$9, 100%, $E$9)</f>
        <v>7.1646000000000001</v>
      </c>
      <c r="S142" s="10">
        <f>CHOOSE(CONTROL!$C$42, 5.662, 5.662) * CHOOSE(CONTROL!$C$21, $C$9, 100%, $E$9)</f>
        <v>5.6619999999999999</v>
      </c>
      <c r="T14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42" s="38">
        <f>(1000*CHOOSE(CONTROL!$C$42, 695, 695)*CHOOSE(CONTROL!$C$42, 0.5599, 0.5599)*CHOOSE(CONTROL!$C$42, 31, 31))/1000000</f>
        <v>12.063045499999998</v>
      </c>
      <c r="V142" s="38">
        <f>(1000*CHOOSE(CONTROL!$C$42, 500, 500)*CHOOSE(CONTROL!$C$42, 0.275, 0.275)*CHOOSE(CONTROL!$C$42, 31, 31))/1000000</f>
        <v>4.2625000000000002</v>
      </c>
      <c r="W142" s="38">
        <f>(1000*CHOOSE(CONTROL!$C$42, 0.1146, 0.1146)*CHOOSE(CONTROL!$C$42, 121.5, 121.5)*CHOOSE(CONTROL!$C$42, 31, 31))/1000000</f>
        <v>0.43164089999999994</v>
      </c>
      <c r="X142" s="38">
        <f>(31*0.1790888*245000/1000000)+(31*0.2374*100000/1000000)</f>
        <v>2.0961194359999999</v>
      </c>
      <c r="Y142" s="38">
        <f>(1000*600*CHOOSE(CONTROL!$C$42, 1.7441, 1.7441)*CHOOSE(CONTROL!$C$42, 31, 31))/1000000</f>
        <v>32.440260000000002</v>
      </c>
      <c r="Z142" s="38"/>
      <c r="AA142" s="10"/>
      <c r="AB142" s="39"/>
      <c r="AC142" s="33">
        <f>(B142*131.881+C142*277.167+D142*79.08+E142*125.872+F142*40+G142*185+H142*0+I142*100+J142*300)/(131.881+277.167+79.08+125.872+0+40+185+100+300)</f>
        <v>5.8385999775625503</v>
      </c>
      <c r="AD142" s="27">
        <f>(M142*'RAP TEMPLATE-GAS AVAILABILITY'!O141+N142*'RAP TEMPLATE-GAS AVAILABILITY'!P141+O142*'RAP TEMPLATE-GAS AVAILABILITY'!Q141+P142*'RAP TEMPLATE-GAS AVAILABILITY'!R141)/('RAP TEMPLATE-GAS AVAILABILITY'!O141+'RAP TEMPLATE-GAS AVAILABILITY'!P141+'RAP TEMPLATE-GAS AVAILABILITY'!Q141+'RAP TEMPLATE-GAS AVAILABILITY'!R141)</f>
        <v>5.7999230215827335</v>
      </c>
    </row>
    <row r="143" spans="1:30" ht="15">
      <c r="A143" s="16">
        <v>45597</v>
      </c>
      <c r="B143" s="10">
        <f>CHOOSE(CONTROL!$C$42, 5.9841, 5.9841) * CHOOSE(CONTROL!$C$21, $C$9, 100%, $E$9)</f>
        <v>5.9840999999999998</v>
      </c>
      <c r="C143" s="10">
        <f>CHOOSE(CONTROL!$C$42, 5.9892, 5.9892) * CHOOSE(CONTROL!$C$21, $C$9, 100%, $E$9)</f>
        <v>5.9892000000000003</v>
      </c>
      <c r="D143" s="10">
        <f>CHOOSE(CONTROL!$C$42, 6.0139, 6.0139) * CHOOSE(CONTROL!$C$21, $C$9, 100%, $E$9)</f>
        <v>6.0138999999999996</v>
      </c>
      <c r="E143" s="10">
        <f>CHOOSE(CONTROL!$C$42, 6.0477, 6.0477) * CHOOSE(CONTROL!$C$21, $C$9, 100%, $E$9)</f>
        <v>6.0476999999999999</v>
      </c>
      <c r="F143" s="10">
        <f>CHOOSE(CONTROL!$C$42, 5.9525, 5.9525)*CHOOSE(CONTROL!$C$21, $C$9, 100%, $E$9)</f>
        <v>5.9524999999999997</v>
      </c>
      <c r="G143" s="10">
        <f>CHOOSE(CONTROL!$C$42, 5.9685, 5.9685)*CHOOSE(CONTROL!$C$21, $C$9, 100%, $E$9)</f>
        <v>5.9684999999999997</v>
      </c>
      <c r="H143" s="10">
        <f>CHOOSE(CONTROL!$C$42, 6.0366, 6.0366) * CHOOSE(CONTROL!$C$21, $C$9, 100%, $E$9)</f>
        <v>6.0366</v>
      </c>
      <c r="I143" s="10">
        <f>CHOOSE(CONTROL!$C$42, 5.9991, 5.9991)* CHOOSE(CONTROL!$C$21, $C$9, 100%, $E$9)</f>
        <v>5.9991000000000003</v>
      </c>
      <c r="J143" s="10">
        <f>CHOOSE(CONTROL!$C$42, 5.9451, 5.9451)* CHOOSE(CONTROL!$C$21, $C$9, 100%, $E$9)</f>
        <v>5.9451000000000001</v>
      </c>
      <c r="K143" s="10">
        <f>CHOOSE(CONTROL!$C$42, 5.9744, 5.9744) * CHOOSE(CONTROL!$C$21, $C$9, 100%, $E$9)</f>
        <v>5.9744000000000002</v>
      </c>
      <c r="L143" s="10">
        <f>CHOOSE(CONTROL!$C$42, 6.6236, 6.6236) * CHOOSE(CONTROL!$C$21, $C$9, 100%, $E$9)</f>
        <v>6.6235999999999997</v>
      </c>
      <c r="M143" s="10">
        <f>CHOOSE(CONTROL!$C$42, 5.8951, 5.8951) * CHOOSE(CONTROL!$C$21, $C$9, 100%, $E$9)</f>
        <v>5.8951000000000002</v>
      </c>
      <c r="N143" s="10">
        <f>CHOOSE(CONTROL!$C$42, 5.9109, 5.9109) * CHOOSE(CONTROL!$C$21, $C$9, 100%, $E$9)</f>
        <v>5.9108999999999998</v>
      </c>
      <c r="O143" s="10">
        <f>CHOOSE(CONTROL!$C$42, 5.9854, 5.9854) * CHOOSE(CONTROL!$C$21, $C$9, 100%, $E$9)</f>
        <v>5.9854000000000003</v>
      </c>
      <c r="P143" s="10">
        <f>CHOOSE(CONTROL!$C$42, 5.9485, 5.9485) * CHOOSE(CONTROL!$C$21, $C$9, 100%, $E$9)</f>
        <v>5.9485000000000001</v>
      </c>
      <c r="Q143" s="10">
        <f>CHOOSE(CONTROL!$C$42, 6.5807, 6.5807) * CHOOSE(CONTROL!$C$21, $C$9, 100%, $E$9)</f>
        <v>6.5807000000000002</v>
      </c>
      <c r="R143" s="10">
        <f>CHOOSE(CONTROL!$C$42, 7.1842, 7.1842) * CHOOSE(CONTROL!$C$21, $C$9, 100%, $E$9)</f>
        <v>7.1841999999999997</v>
      </c>
      <c r="S143" s="10">
        <f>CHOOSE(CONTROL!$C$42, 5.8111, 5.8111) * CHOOSE(CONTROL!$C$21, $C$9, 100%, $E$9)</f>
        <v>5.8110999999999997</v>
      </c>
      <c r="T14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43" s="38">
        <f>(1000*CHOOSE(CONTROL!$C$42, 695, 695)*CHOOSE(CONTROL!$C$42, 0.5599, 0.5599)*CHOOSE(CONTROL!$C$42, 30, 30))/1000000</f>
        <v>11.673914999999997</v>
      </c>
      <c r="V143" s="38">
        <f>(1000*CHOOSE(CONTROL!$C$42, 500, 500)*CHOOSE(CONTROL!$C$42, 0.275, 0.275)*CHOOSE(CONTROL!$C$42, 30, 30))/1000000</f>
        <v>4.125</v>
      </c>
      <c r="W143" s="38">
        <f>(1000*CHOOSE(CONTROL!$C$42, 0.1146, 0.1146)*CHOOSE(CONTROL!$C$42, 121.5, 121.5)*CHOOSE(CONTROL!$C$42, 30, 30))/1000000</f>
        <v>0.417717</v>
      </c>
      <c r="X143" s="38">
        <f>(30*0.1790888*100000/1000000)+(30*0.2374*100000/1000000)</f>
        <v>1.2494664</v>
      </c>
      <c r="Y143" s="38">
        <f>(1000*600*CHOOSE(CONTROL!$C$42, 1.7441, 1.7441)*CHOOSE(CONTROL!$C$42, 30, 30))/1000000</f>
        <v>31.393799999999999</v>
      </c>
      <c r="Z143" s="38"/>
      <c r="AA143" s="10"/>
      <c r="AB143" s="39"/>
      <c r="AC143" s="33">
        <f>(B143*122.58+C143*297.941+D143*89.177+E143*40.302+F143*40+G143*160+H143*0+I143*100+J143*300)/(122.58+297.941+89.177+40.302+0+40+160+100+300)</f>
        <v>5.977821896434782</v>
      </c>
      <c r="AD143" s="27">
        <f>(M143*'RAP TEMPLATE-GAS AVAILABILITY'!O142+N143*'RAP TEMPLATE-GAS AVAILABILITY'!P142+O143*'RAP TEMPLATE-GAS AVAILABILITY'!Q142+P143*'RAP TEMPLATE-GAS AVAILABILITY'!R142)/('RAP TEMPLATE-GAS AVAILABILITY'!O142+'RAP TEMPLATE-GAS AVAILABILITY'!P142+'RAP TEMPLATE-GAS AVAILABILITY'!Q142+'RAP TEMPLATE-GAS AVAILABILITY'!R142)</f>
        <v>5.9446201438848929</v>
      </c>
    </row>
    <row r="144" spans="1:30" ht="15">
      <c r="A144" s="16">
        <v>45627</v>
      </c>
      <c r="B144" s="10">
        <f>CHOOSE(CONTROL!$C$42, 6.3932, 6.3932) * CHOOSE(CONTROL!$C$21, $C$9, 100%, $E$9)</f>
        <v>6.3932000000000002</v>
      </c>
      <c r="C144" s="10">
        <f>CHOOSE(CONTROL!$C$42, 6.3983, 6.3983) * CHOOSE(CONTROL!$C$21, $C$9, 100%, $E$9)</f>
        <v>6.3982999999999999</v>
      </c>
      <c r="D144" s="10">
        <f>CHOOSE(CONTROL!$C$42, 6.423, 6.423) * CHOOSE(CONTROL!$C$21, $C$9, 100%, $E$9)</f>
        <v>6.423</v>
      </c>
      <c r="E144" s="10">
        <f>CHOOSE(CONTROL!$C$42, 6.4568, 6.4568) * CHOOSE(CONTROL!$C$21, $C$9, 100%, $E$9)</f>
        <v>6.4568000000000003</v>
      </c>
      <c r="F144" s="10">
        <f>CHOOSE(CONTROL!$C$42, 6.3635, 6.3635)*CHOOSE(CONTROL!$C$21, $C$9, 100%, $E$9)</f>
        <v>6.3635000000000002</v>
      </c>
      <c r="G144" s="10">
        <f>CHOOSE(CONTROL!$C$42, 6.38, 6.38)*CHOOSE(CONTROL!$C$21, $C$9, 100%, $E$9)</f>
        <v>6.38</v>
      </c>
      <c r="H144" s="10">
        <f>CHOOSE(CONTROL!$C$42, 6.4457, 6.4457) * CHOOSE(CONTROL!$C$21, $C$9, 100%, $E$9)</f>
        <v>6.4457000000000004</v>
      </c>
      <c r="I144" s="10">
        <f>CHOOSE(CONTROL!$C$42, 6.4082, 6.4082)* CHOOSE(CONTROL!$C$21, $C$9, 100%, $E$9)</f>
        <v>6.4081999999999999</v>
      </c>
      <c r="J144" s="10">
        <f>CHOOSE(CONTROL!$C$42, 6.3561, 6.3561)* CHOOSE(CONTROL!$C$21, $C$9, 100%, $E$9)</f>
        <v>6.3560999999999996</v>
      </c>
      <c r="K144" s="10">
        <f>CHOOSE(CONTROL!$C$42, 6.3749, 6.3749) * CHOOSE(CONTROL!$C$21, $C$9, 100%, $E$9)</f>
        <v>6.3749000000000002</v>
      </c>
      <c r="L144" s="10">
        <f>CHOOSE(CONTROL!$C$42, 7.0327, 7.0327) * CHOOSE(CONTROL!$C$21, $C$9, 100%, $E$9)</f>
        <v>7.0327000000000002</v>
      </c>
      <c r="M144" s="10">
        <f>CHOOSE(CONTROL!$C$42, 6.3005, 6.3005) * CHOOSE(CONTROL!$C$21, $C$9, 100%, $E$9)</f>
        <v>6.3005000000000004</v>
      </c>
      <c r="N144" s="10">
        <f>CHOOSE(CONTROL!$C$42, 6.3167, 6.3167) * CHOOSE(CONTROL!$C$21, $C$9, 100%, $E$9)</f>
        <v>6.3167</v>
      </c>
      <c r="O144" s="10">
        <f>CHOOSE(CONTROL!$C$42, 6.3888, 6.3888) * CHOOSE(CONTROL!$C$21, $C$9, 100%, $E$9)</f>
        <v>6.3887999999999998</v>
      </c>
      <c r="P144" s="10">
        <f>CHOOSE(CONTROL!$C$42, 6.3519, 6.3519) * CHOOSE(CONTROL!$C$21, $C$9, 100%, $E$9)</f>
        <v>6.3518999999999997</v>
      </c>
      <c r="Q144" s="10">
        <f>CHOOSE(CONTROL!$C$42, 6.9841, 6.9841) * CHOOSE(CONTROL!$C$21, $C$9, 100%, $E$9)</f>
        <v>6.9840999999999998</v>
      </c>
      <c r="R144" s="10">
        <f>CHOOSE(CONTROL!$C$42, 7.5886, 7.5886) * CHOOSE(CONTROL!$C$21, $C$9, 100%, $E$9)</f>
        <v>7.5885999999999996</v>
      </c>
      <c r="S144" s="10">
        <f>CHOOSE(CONTROL!$C$42, 6.2072, 6.2072) * CHOOSE(CONTROL!$C$21, $C$9, 100%, $E$9)</f>
        <v>6.2072000000000003</v>
      </c>
      <c r="T14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44" s="38">
        <f>(1000*CHOOSE(CONTROL!$C$42, 695, 695)*CHOOSE(CONTROL!$C$42, 0.5599, 0.5599)*CHOOSE(CONTROL!$C$42, 31, 31))/1000000</f>
        <v>12.063045499999998</v>
      </c>
      <c r="V144" s="38">
        <f>(1000*CHOOSE(CONTROL!$C$42, 500, 500)*CHOOSE(CONTROL!$C$42, 0.275, 0.275)*CHOOSE(CONTROL!$C$42, 31, 31))/1000000</f>
        <v>4.2625000000000002</v>
      </c>
      <c r="W144" s="38">
        <f>(1000*CHOOSE(CONTROL!$C$42, 0.1146, 0.1146)*CHOOSE(CONTROL!$C$42, 121.5, 121.5)*CHOOSE(CONTROL!$C$42, 31, 31))/1000000</f>
        <v>0.43164089999999994</v>
      </c>
      <c r="X144" s="38">
        <f>(31*0.1790888*100000/1000000)+(31*0.2374*100000/1000000)</f>
        <v>1.2911152800000001</v>
      </c>
      <c r="Y144" s="38">
        <f>(1000*600*CHOOSE(CONTROL!$C$42, 1.7441, 1.7441)*CHOOSE(CONTROL!$C$42, 31, 31))/1000000</f>
        <v>32.440260000000002</v>
      </c>
      <c r="Z144" s="38"/>
      <c r="AA144" s="10"/>
      <c r="AB144" s="39"/>
      <c r="AC144" s="33">
        <f>(B144*122.58+C144*297.941+D144*89.177+E144*40.302+F144*40+G144*160+H144*0+I144*100+J144*300)/(122.58+297.941+89.177+40.302+0+40+160+100+300)</f>
        <v>6.3878175486086954</v>
      </c>
      <c r="AD144" s="27">
        <f>(M144*'RAP TEMPLATE-GAS AVAILABILITY'!O143+N144*'RAP TEMPLATE-GAS AVAILABILITY'!P143+O144*'RAP TEMPLATE-GAS AVAILABILITY'!Q143+P144*'RAP TEMPLATE-GAS AVAILABILITY'!R143)/('RAP TEMPLATE-GAS AVAILABILITY'!O143+'RAP TEMPLATE-GAS AVAILABILITY'!P143+'RAP TEMPLATE-GAS AVAILABILITY'!Q143+'RAP TEMPLATE-GAS AVAILABILITY'!R143)</f>
        <v>6.3488489208633094</v>
      </c>
    </row>
    <row r="145" spans="1:30" ht="15">
      <c r="A145" s="16">
        <v>45658</v>
      </c>
      <c r="B145" s="10">
        <f>CHOOSE(CONTROL!$C$42, 6.8256, 6.8256) * CHOOSE(CONTROL!$C$21, $C$9, 100%, $E$9)</f>
        <v>6.8255999999999997</v>
      </c>
      <c r="C145" s="10">
        <f>CHOOSE(CONTROL!$C$42, 6.8307, 6.8307) * CHOOSE(CONTROL!$C$21, $C$9, 100%, $E$9)</f>
        <v>6.8307000000000002</v>
      </c>
      <c r="D145" s="10">
        <f>CHOOSE(CONTROL!$C$42, 6.8632, 6.8632) * CHOOSE(CONTROL!$C$21, $C$9, 100%, $E$9)</f>
        <v>6.8632</v>
      </c>
      <c r="E145" s="10">
        <f>CHOOSE(CONTROL!$C$42, 6.897, 6.897) * CHOOSE(CONTROL!$C$21, $C$9, 100%, $E$9)</f>
        <v>6.8970000000000002</v>
      </c>
      <c r="F145" s="10">
        <f>CHOOSE(CONTROL!$C$42, 6.8098, 6.8098)*CHOOSE(CONTROL!$C$21, $C$9, 100%, $E$9)</f>
        <v>6.8098000000000001</v>
      </c>
      <c r="G145" s="10">
        <f>CHOOSE(CONTROL!$C$42, 6.8279, 6.8279)*CHOOSE(CONTROL!$C$21, $C$9, 100%, $E$9)</f>
        <v>6.8278999999999996</v>
      </c>
      <c r="H145" s="10">
        <f>CHOOSE(CONTROL!$C$42, 6.8859, 6.8859) * CHOOSE(CONTROL!$C$21, $C$9, 100%, $E$9)</f>
        <v>6.8859000000000004</v>
      </c>
      <c r="I145" s="10">
        <f>CHOOSE(CONTROL!$C$42, 6.8391, 6.8391)* CHOOSE(CONTROL!$C$21, $C$9, 100%, $E$9)</f>
        <v>6.8391000000000002</v>
      </c>
      <c r="J145" s="10">
        <f>CHOOSE(CONTROL!$C$42, 6.8024, 6.8024)* CHOOSE(CONTROL!$C$21, $C$9, 100%, $E$9)</f>
        <v>6.8023999999999996</v>
      </c>
      <c r="K145" s="10">
        <f>CHOOSE(CONTROL!$C$42, 6.8062, 6.8062) * CHOOSE(CONTROL!$C$21, $C$9, 100%, $E$9)</f>
        <v>6.8061999999999996</v>
      </c>
      <c r="L145" s="10">
        <f>CHOOSE(CONTROL!$C$42, 7.4729, 7.4729) * CHOOSE(CONTROL!$C$21, $C$9, 100%, $E$9)</f>
        <v>7.4729000000000001</v>
      </c>
      <c r="M145" s="10">
        <f>CHOOSE(CONTROL!$C$42, 6.7406, 6.7406) * CHOOSE(CONTROL!$C$21, $C$9, 100%, $E$9)</f>
        <v>6.7405999999999997</v>
      </c>
      <c r="N145" s="10">
        <f>CHOOSE(CONTROL!$C$42, 6.7583, 6.7583) * CHOOSE(CONTROL!$C$21, $C$9, 100%, $E$9)</f>
        <v>6.7583000000000002</v>
      </c>
      <c r="O145" s="10">
        <f>CHOOSE(CONTROL!$C$42, 6.8228, 6.8228) * CHOOSE(CONTROL!$C$21, $C$9, 100%, $E$9)</f>
        <v>6.8228</v>
      </c>
      <c r="P145" s="10">
        <f>CHOOSE(CONTROL!$C$42, 6.7768, 6.7768) * CHOOSE(CONTROL!$C$21, $C$9, 100%, $E$9)</f>
        <v>6.7767999999999997</v>
      </c>
      <c r="Q145" s="10">
        <f>CHOOSE(CONTROL!$C$42, 7.4181, 7.4181) * CHOOSE(CONTROL!$C$21, $C$9, 100%, $E$9)</f>
        <v>7.4180999999999999</v>
      </c>
      <c r="R145" s="10">
        <f>CHOOSE(CONTROL!$C$42, 8.0237, 8.0237) * CHOOSE(CONTROL!$C$21, $C$9, 100%, $E$9)</f>
        <v>8.0236999999999998</v>
      </c>
      <c r="S145" s="10">
        <f>CHOOSE(CONTROL!$C$42, 6.6259, 6.6259) * CHOOSE(CONTROL!$C$21, $C$9, 100%, $E$9)</f>
        <v>6.6258999999999997</v>
      </c>
      <c r="T14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45" s="38">
        <f>(1000*CHOOSE(CONTROL!$C$42, 695, 695)*CHOOSE(CONTROL!$C$42, 0.5599, 0.5599)*CHOOSE(CONTROL!$C$42, 31, 31))/1000000</f>
        <v>12.063045499999998</v>
      </c>
      <c r="V145" s="38">
        <f>(1000*CHOOSE(CONTROL!$C$42, 500, 500)*CHOOSE(CONTROL!$C$42, 0.275, 0.275)*CHOOSE(CONTROL!$C$42, 31, 31))/1000000</f>
        <v>4.2625000000000002</v>
      </c>
      <c r="W145" s="38">
        <f>(1000*CHOOSE(CONTROL!$C$42, 0.1146, 0.1146)*CHOOSE(CONTROL!$C$42, 121.5, 121.5)*CHOOSE(CONTROL!$C$42, 31, 31))/1000000</f>
        <v>0.43164089999999994</v>
      </c>
      <c r="X145" s="38">
        <f>(31*0.1790888*100000/1000000)+(31*0.2374*100000/1000000)</f>
        <v>1.2911152800000001</v>
      </c>
      <c r="Y145" s="38">
        <f>(1000*600*CHOOSE(CONTROL!$C$42, 1.7341, 1.7341)*CHOOSE(CONTROL!$C$42, 31, 31))/1000000</f>
        <v>32.254260000000002</v>
      </c>
      <c r="Z145" s="38"/>
      <c r="AA145" s="10"/>
      <c r="AB145" s="39"/>
      <c r="AC145" s="33">
        <f>(B145*122.58+C145*297.941+D145*89.177+E145*40.302+F145*40+G145*160+H145*0+I145*100+J145*300)/(122.58+297.941+89.177+40.302+0+40+160+100+300)</f>
        <v>6.8272314061739126</v>
      </c>
      <c r="AD145" s="27">
        <f>(M145*'RAP TEMPLATE-GAS AVAILABILITY'!O144+N145*'RAP TEMPLATE-GAS AVAILABILITY'!P144+O145*'RAP TEMPLATE-GAS AVAILABILITY'!Q144+P145*'RAP TEMPLATE-GAS AVAILABILITY'!R144)/('RAP TEMPLATE-GAS AVAILABILITY'!O144+'RAP TEMPLATE-GAS AVAILABILITY'!P144+'RAP TEMPLATE-GAS AVAILABILITY'!Q144+'RAP TEMPLATE-GAS AVAILABILITY'!R144)</f>
        <v>6.7840834532374101</v>
      </c>
    </row>
    <row r="146" spans="1:30" ht="15">
      <c r="A146" s="16">
        <v>45689</v>
      </c>
      <c r="B146" s="10">
        <f>CHOOSE(CONTROL!$C$42, 6.9474, 6.9474) * CHOOSE(CONTROL!$C$21, $C$9, 100%, $E$9)</f>
        <v>6.9474</v>
      </c>
      <c r="C146" s="10">
        <f>CHOOSE(CONTROL!$C$42, 6.9525, 6.9525) * CHOOSE(CONTROL!$C$21, $C$9, 100%, $E$9)</f>
        <v>6.9524999999999997</v>
      </c>
      <c r="D146" s="10">
        <f>CHOOSE(CONTROL!$C$42, 6.985, 6.985) * CHOOSE(CONTROL!$C$21, $C$9, 100%, $E$9)</f>
        <v>6.9850000000000003</v>
      </c>
      <c r="E146" s="10">
        <f>CHOOSE(CONTROL!$C$42, 7.0188, 7.0188) * CHOOSE(CONTROL!$C$21, $C$9, 100%, $E$9)</f>
        <v>7.0187999999999997</v>
      </c>
      <c r="F146" s="10">
        <f>CHOOSE(CONTROL!$C$42, 6.9312, 6.9312)*CHOOSE(CONTROL!$C$21, $C$9, 100%, $E$9)</f>
        <v>6.9311999999999996</v>
      </c>
      <c r="G146" s="10">
        <f>CHOOSE(CONTROL!$C$42, 6.9491, 6.9491)*CHOOSE(CONTROL!$C$21, $C$9, 100%, $E$9)</f>
        <v>6.9490999999999996</v>
      </c>
      <c r="H146" s="10">
        <f>CHOOSE(CONTROL!$C$42, 7.0077, 7.0077) * CHOOSE(CONTROL!$C$21, $C$9, 100%, $E$9)</f>
        <v>7.0076999999999998</v>
      </c>
      <c r="I146" s="10">
        <f>CHOOSE(CONTROL!$C$42, 6.9609, 6.9609)* CHOOSE(CONTROL!$C$21, $C$9, 100%, $E$9)</f>
        <v>6.9608999999999996</v>
      </c>
      <c r="J146" s="10">
        <f>CHOOSE(CONTROL!$C$42, 6.9238, 6.9238)* CHOOSE(CONTROL!$C$21, $C$9, 100%, $E$9)</f>
        <v>6.9238</v>
      </c>
      <c r="K146" s="10">
        <f>CHOOSE(CONTROL!$C$42, 6.9232, 6.9232) * CHOOSE(CONTROL!$C$21, $C$9, 100%, $E$9)</f>
        <v>6.9231999999999996</v>
      </c>
      <c r="L146" s="10">
        <f>CHOOSE(CONTROL!$C$42, 7.5947, 7.5947) * CHOOSE(CONTROL!$C$21, $C$9, 100%, $E$9)</f>
        <v>7.5946999999999996</v>
      </c>
      <c r="M146" s="10">
        <f>CHOOSE(CONTROL!$C$42, 6.8602, 6.8602) * CHOOSE(CONTROL!$C$21, $C$9, 100%, $E$9)</f>
        <v>6.8601999999999999</v>
      </c>
      <c r="N146" s="10">
        <f>CHOOSE(CONTROL!$C$42, 6.8779, 6.8779) * CHOOSE(CONTROL!$C$21, $C$9, 100%, $E$9)</f>
        <v>6.8779000000000003</v>
      </c>
      <c r="O146" s="10">
        <f>CHOOSE(CONTROL!$C$42, 6.9429, 6.9429) * CHOOSE(CONTROL!$C$21, $C$9, 100%, $E$9)</f>
        <v>6.9428999999999998</v>
      </c>
      <c r="P146" s="10">
        <f>CHOOSE(CONTROL!$C$42, 6.8969, 6.8969) * CHOOSE(CONTROL!$C$21, $C$9, 100%, $E$9)</f>
        <v>6.8968999999999996</v>
      </c>
      <c r="Q146" s="10">
        <f>CHOOSE(CONTROL!$C$42, 7.5382, 7.5382) * CHOOSE(CONTROL!$C$21, $C$9, 100%, $E$9)</f>
        <v>7.5381999999999998</v>
      </c>
      <c r="R146" s="10">
        <f>CHOOSE(CONTROL!$C$42, 8.1441, 8.1441) * CHOOSE(CONTROL!$C$21, $C$9, 100%, $E$9)</f>
        <v>8.1440999999999999</v>
      </c>
      <c r="S146" s="10">
        <f>CHOOSE(CONTROL!$C$42, 6.7439, 6.7439) * CHOOSE(CONTROL!$C$21, $C$9, 100%, $E$9)</f>
        <v>6.7439</v>
      </c>
      <c r="T14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46" s="38">
        <f>(1000*CHOOSE(CONTROL!$C$42, 695, 695)*CHOOSE(CONTROL!$C$42, 0.5599, 0.5599)*CHOOSE(CONTROL!$C$42, 28, 28))/1000000</f>
        <v>10.895653999999999</v>
      </c>
      <c r="V146" s="38">
        <f>(1000*CHOOSE(CONTROL!$C$42, 500, 500)*CHOOSE(CONTROL!$C$42, 0.275, 0.275)*CHOOSE(CONTROL!$C$42, 28, 28))/1000000</f>
        <v>3.85</v>
      </c>
      <c r="W146" s="38">
        <f>(1000*CHOOSE(CONTROL!$C$42, 0.1146, 0.1146)*CHOOSE(CONTROL!$C$42, 121.5, 121.5)*CHOOSE(CONTROL!$C$42, 28, 28))/1000000</f>
        <v>0.38986920000000003</v>
      </c>
      <c r="X146" s="38">
        <f>(28*0.1790888*100000/1000000)+(28*0.2374*100000/1000000)</f>
        <v>1.16616864</v>
      </c>
      <c r="Y146" s="38">
        <f>(1000*600*CHOOSE(CONTROL!$C$42, 1.7341, 1.7341)*CHOOSE(CONTROL!$C$42, 28, 28))/1000000</f>
        <v>29.13288</v>
      </c>
      <c r="Z146" s="38"/>
      <c r="AA146" s="10"/>
      <c r="AB146" s="39"/>
      <c r="AC146" s="33">
        <f>(B146*122.58+C146*297.941+D146*89.177+E146*40.302+F146*40+G146*160+H146*0+I146*100+J146*300)/(122.58+297.941+89.177+40.302+0+40+160+100+300)</f>
        <v>6.9488296670434773</v>
      </c>
      <c r="AD146" s="27">
        <f>(M146*'RAP TEMPLATE-GAS AVAILABILITY'!O145+N146*'RAP TEMPLATE-GAS AVAILABILITY'!P145+O146*'RAP TEMPLATE-GAS AVAILABILITY'!Q145+P146*'RAP TEMPLATE-GAS AVAILABILITY'!R145)/('RAP TEMPLATE-GAS AVAILABILITY'!O145+'RAP TEMPLATE-GAS AVAILABILITY'!P145+'RAP TEMPLATE-GAS AVAILABILITY'!Q145+'RAP TEMPLATE-GAS AVAILABILITY'!R145)</f>
        <v>6.9039820143884878</v>
      </c>
    </row>
    <row r="147" spans="1:30" ht="15">
      <c r="A147" s="16">
        <v>45717</v>
      </c>
      <c r="B147" s="10">
        <f>CHOOSE(CONTROL!$C$42, 6.7497, 6.7497) * CHOOSE(CONTROL!$C$21, $C$9, 100%, $E$9)</f>
        <v>6.7496999999999998</v>
      </c>
      <c r="C147" s="10">
        <f>CHOOSE(CONTROL!$C$42, 6.7548, 6.7548) * CHOOSE(CONTROL!$C$21, $C$9, 100%, $E$9)</f>
        <v>6.7548000000000004</v>
      </c>
      <c r="D147" s="10">
        <f>CHOOSE(CONTROL!$C$42, 6.7873, 6.7873) * CHOOSE(CONTROL!$C$21, $C$9, 100%, $E$9)</f>
        <v>6.7873000000000001</v>
      </c>
      <c r="E147" s="10">
        <f>CHOOSE(CONTROL!$C$42, 6.8211, 6.8211) * CHOOSE(CONTROL!$C$21, $C$9, 100%, $E$9)</f>
        <v>6.8211000000000004</v>
      </c>
      <c r="F147" s="10">
        <f>CHOOSE(CONTROL!$C$42, 6.732, 6.732)*CHOOSE(CONTROL!$C$21, $C$9, 100%, $E$9)</f>
        <v>6.7320000000000002</v>
      </c>
      <c r="G147" s="10">
        <f>CHOOSE(CONTROL!$C$42, 6.7496, 6.7496)*CHOOSE(CONTROL!$C$21, $C$9, 100%, $E$9)</f>
        <v>6.7496</v>
      </c>
      <c r="H147" s="10">
        <f>CHOOSE(CONTROL!$C$42, 6.81, 6.81) * CHOOSE(CONTROL!$C$21, $C$9, 100%, $E$9)</f>
        <v>6.81</v>
      </c>
      <c r="I147" s="10">
        <f>CHOOSE(CONTROL!$C$42, 6.7632, 6.7632)* CHOOSE(CONTROL!$C$21, $C$9, 100%, $E$9)</f>
        <v>6.7632000000000003</v>
      </c>
      <c r="J147" s="10">
        <f>CHOOSE(CONTROL!$C$42, 6.7246, 6.7246)* CHOOSE(CONTROL!$C$21, $C$9, 100%, $E$9)</f>
        <v>6.7245999999999997</v>
      </c>
      <c r="K147" s="10">
        <f>CHOOSE(CONTROL!$C$42, 6.7286, 6.7286) * CHOOSE(CONTROL!$C$21, $C$9, 100%, $E$9)</f>
        <v>6.7286000000000001</v>
      </c>
      <c r="L147" s="10">
        <f>CHOOSE(CONTROL!$C$42, 7.397, 7.397) * CHOOSE(CONTROL!$C$21, $C$9, 100%, $E$9)</f>
        <v>7.3970000000000002</v>
      </c>
      <c r="M147" s="10">
        <f>CHOOSE(CONTROL!$C$42, 6.6638, 6.6638) * CHOOSE(CONTROL!$C$21, $C$9, 100%, $E$9)</f>
        <v>6.6638000000000002</v>
      </c>
      <c r="N147" s="10">
        <f>CHOOSE(CONTROL!$C$42, 6.6811, 6.6811) * CHOOSE(CONTROL!$C$21, $C$9, 100%, $E$9)</f>
        <v>6.6810999999999998</v>
      </c>
      <c r="O147" s="10">
        <f>CHOOSE(CONTROL!$C$42, 6.748, 6.748) * CHOOSE(CONTROL!$C$21, $C$9, 100%, $E$9)</f>
        <v>6.7480000000000002</v>
      </c>
      <c r="P147" s="10">
        <f>CHOOSE(CONTROL!$C$42, 6.7019, 6.7019) * CHOOSE(CONTROL!$C$21, $C$9, 100%, $E$9)</f>
        <v>6.7019000000000002</v>
      </c>
      <c r="Q147" s="10">
        <f>CHOOSE(CONTROL!$C$42, 7.3433, 7.3433) * CHOOSE(CONTROL!$C$21, $C$9, 100%, $E$9)</f>
        <v>7.3433000000000002</v>
      </c>
      <c r="R147" s="10">
        <f>CHOOSE(CONTROL!$C$42, 7.9486, 7.9486) * CHOOSE(CONTROL!$C$21, $C$9, 100%, $E$9)</f>
        <v>7.9485999999999999</v>
      </c>
      <c r="S147" s="10">
        <f>CHOOSE(CONTROL!$C$42, 6.5524, 6.5524) * CHOOSE(CONTROL!$C$21, $C$9, 100%, $E$9)</f>
        <v>6.5523999999999996</v>
      </c>
      <c r="T14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47" s="38">
        <f>(1000*CHOOSE(CONTROL!$C$42, 695, 695)*CHOOSE(CONTROL!$C$42, 0.5599, 0.5599)*CHOOSE(CONTROL!$C$42, 31, 31))/1000000</f>
        <v>12.063045499999998</v>
      </c>
      <c r="V147" s="38">
        <f>(1000*CHOOSE(CONTROL!$C$42, 500, 500)*CHOOSE(CONTROL!$C$42, 0.275, 0.275)*CHOOSE(CONTROL!$C$42, 31, 31))/1000000</f>
        <v>4.2625000000000002</v>
      </c>
      <c r="W147" s="38">
        <f>(1000*CHOOSE(CONTROL!$C$42, 0.1146, 0.1146)*CHOOSE(CONTROL!$C$42, 121.5, 121.5)*CHOOSE(CONTROL!$C$42, 31, 31))/1000000</f>
        <v>0.43164089999999994</v>
      </c>
      <c r="X147" s="38">
        <f>(31*0.1790888*100000/1000000)+(31*0.2374*100000/1000000)</f>
        <v>1.2911152800000001</v>
      </c>
      <c r="Y147" s="38">
        <f>(1000*600*CHOOSE(CONTROL!$C$42, 1.7341, 1.7341)*CHOOSE(CONTROL!$C$42, 31, 31))/1000000</f>
        <v>32.254260000000002</v>
      </c>
      <c r="Z147" s="38"/>
      <c r="AA147" s="10"/>
      <c r="AB147" s="39"/>
      <c r="AC147" s="33">
        <f>(B147*122.58+C147*297.941+D147*89.177+E147*40.302+F147*40+G147*160+H147*0+I147*100+J147*300)/(122.58+297.941+89.177+40.302+0+40+160+100+300)</f>
        <v>6.7504357539999997</v>
      </c>
      <c r="AD147" s="27">
        <f>(M147*'RAP TEMPLATE-GAS AVAILABILITY'!O146+N147*'RAP TEMPLATE-GAS AVAILABILITY'!P146+O147*'RAP TEMPLATE-GAS AVAILABILITY'!Q146+P147*'RAP TEMPLATE-GAS AVAILABILITY'!R146)/('RAP TEMPLATE-GAS AVAILABILITY'!O146+'RAP TEMPLATE-GAS AVAILABILITY'!P146+'RAP TEMPLATE-GAS AVAILABILITY'!Q146+'RAP TEMPLATE-GAS AVAILABILITY'!R146)</f>
        <v>6.7084402877697844</v>
      </c>
    </row>
    <row r="148" spans="1:30" ht="15">
      <c r="A148" s="16">
        <v>45748</v>
      </c>
      <c r="B148" s="10">
        <f>CHOOSE(CONTROL!$C$42, 6.7302, 6.7302) * CHOOSE(CONTROL!$C$21, $C$9, 100%, $E$9)</f>
        <v>6.7302</v>
      </c>
      <c r="C148" s="10">
        <f>CHOOSE(CONTROL!$C$42, 6.7348, 6.7348) * CHOOSE(CONTROL!$C$21, $C$9, 100%, $E$9)</f>
        <v>6.7347999999999999</v>
      </c>
      <c r="D148" s="10">
        <f>CHOOSE(CONTROL!$C$42, 6.8949, 6.8949) * CHOOSE(CONTROL!$C$21, $C$9, 100%, $E$9)</f>
        <v>6.8948999999999998</v>
      </c>
      <c r="E148" s="10">
        <f>CHOOSE(CONTROL!$C$42, 6.9268, 6.9268) * CHOOSE(CONTROL!$C$21, $C$9, 100%, $E$9)</f>
        <v>6.9268000000000001</v>
      </c>
      <c r="F148" s="10">
        <f>CHOOSE(CONTROL!$C$42, 6.6764, 6.6764)*CHOOSE(CONTROL!$C$21, $C$9, 100%, $E$9)</f>
        <v>6.6764000000000001</v>
      </c>
      <c r="G148" s="10">
        <f>CHOOSE(CONTROL!$C$42, 6.6922, 6.6922)*CHOOSE(CONTROL!$C$21, $C$9, 100%, $E$9)</f>
        <v>6.6921999999999997</v>
      </c>
      <c r="H148" s="10">
        <f>CHOOSE(CONTROL!$C$42, 6.9162, 6.9162) * CHOOSE(CONTROL!$C$21, $C$9, 100%, $E$9)</f>
        <v>6.9161999999999999</v>
      </c>
      <c r="I148" s="10">
        <f>CHOOSE(CONTROL!$C$42, 6.7104, 6.7104)* CHOOSE(CONTROL!$C$21, $C$9, 100%, $E$9)</f>
        <v>6.7103999999999999</v>
      </c>
      <c r="J148" s="10">
        <f>CHOOSE(CONTROL!$C$42, 6.669, 6.669)* CHOOSE(CONTROL!$C$21, $C$9, 100%, $E$9)</f>
        <v>6.6689999999999996</v>
      </c>
      <c r="K148" s="10">
        <f>CHOOSE(CONTROL!$C$42, 6.6614, 6.6614) * CHOOSE(CONTROL!$C$21, $C$9, 100%, $E$9)</f>
        <v>6.6614000000000004</v>
      </c>
      <c r="L148" s="10">
        <f>CHOOSE(CONTROL!$C$42, 7.5032, 7.5032) * CHOOSE(CONTROL!$C$21, $C$9, 100%, $E$9)</f>
        <v>7.5031999999999996</v>
      </c>
      <c r="M148" s="10">
        <f>CHOOSE(CONTROL!$C$42, 6.6089, 6.6089) * CHOOSE(CONTROL!$C$21, $C$9, 100%, $E$9)</f>
        <v>6.6089000000000002</v>
      </c>
      <c r="N148" s="10">
        <f>CHOOSE(CONTROL!$C$42, 6.6245, 6.6245) * CHOOSE(CONTROL!$C$21, $C$9, 100%, $E$9)</f>
        <v>6.6245000000000003</v>
      </c>
      <c r="O148" s="10">
        <f>CHOOSE(CONTROL!$C$42, 6.8527, 6.8527) * CHOOSE(CONTROL!$C$21, $C$9, 100%, $E$9)</f>
        <v>6.8526999999999996</v>
      </c>
      <c r="P148" s="10">
        <f>CHOOSE(CONTROL!$C$42, 6.6499, 6.6499) * CHOOSE(CONTROL!$C$21, $C$9, 100%, $E$9)</f>
        <v>6.6498999999999997</v>
      </c>
      <c r="Q148" s="10">
        <f>CHOOSE(CONTROL!$C$42, 7.448, 7.448) * CHOOSE(CONTROL!$C$21, $C$9, 100%, $E$9)</f>
        <v>7.4480000000000004</v>
      </c>
      <c r="R148" s="10">
        <f>CHOOSE(CONTROL!$C$42, 8.0537, 8.0537) * CHOOSE(CONTROL!$C$21, $C$9, 100%, $E$9)</f>
        <v>8.0536999999999992</v>
      </c>
      <c r="S148" s="10">
        <f>CHOOSE(CONTROL!$C$42, 6.5328, 6.5328) * CHOOSE(CONTROL!$C$21, $C$9, 100%, $E$9)</f>
        <v>6.5327999999999999</v>
      </c>
      <c r="T14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48" s="38">
        <f>(1000*CHOOSE(CONTROL!$C$42, 695, 695)*CHOOSE(CONTROL!$C$42, 0.5599, 0.5599)*CHOOSE(CONTROL!$C$42, 30, 30))/1000000</f>
        <v>11.673914999999997</v>
      </c>
      <c r="V148" s="38">
        <f>(1000*CHOOSE(CONTROL!$C$42, 500, 500)*CHOOSE(CONTROL!$C$42, 0.275, 0.275)*CHOOSE(CONTROL!$C$42, 30, 30))/1000000</f>
        <v>4.125</v>
      </c>
      <c r="W148" s="38">
        <f>(1000*CHOOSE(CONTROL!$C$42, 0.1146, 0.1146)*CHOOSE(CONTROL!$C$42, 121.5, 121.5)*CHOOSE(CONTROL!$C$42, 30, 30))/1000000</f>
        <v>0.417717</v>
      </c>
      <c r="X148" s="38">
        <f>(30*0.1790888*245000/1000000)+(30*0.2374*100000/1000000)</f>
        <v>2.0285026799999999</v>
      </c>
      <c r="Y148" s="38">
        <f>(1000*600*CHOOSE(CONTROL!$C$42, 1.7341, 1.7341)*CHOOSE(CONTROL!$C$42, 30, 30))/1000000</f>
        <v>31.213799999999999</v>
      </c>
      <c r="Z148" s="38"/>
      <c r="AA148" s="10"/>
      <c r="AB148" s="39"/>
      <c r="AC148" s="33">
        <f>(B148*141.293+C148*267.993+D148*115.016+E148*89.698+F148*40+G148*185+H148*0+I148*100+J148*300)/(141.293+267.993+115.016+89.698+0+40+185+100+300)</f>
        <v>6.736889693139628</v>
      </c>
      <c r="AD148" s="27">
        <f>(M148*'RAP TEMPLATE-GAS AVAILABILITY'!O147+N148*'RAP TEMPLATE-GAS AVAILABILITY'!P147+O148*'RAP TEMPLATE-GAS AVAILABILITY'!Q147+P148*'RAP TEMPLATE-GAS AVAILABILITY'!R147)/('RAP TEMPLATE-GAS AVAILABILITY'!O147+'RAP TEMPLATE-GAS AVAILABILITY'!P147+'RAP TEMPLATE-GAS AVAILABILITY'!Q147+'RAP TEMPLATE-GAS AVAILABILITY'!R147)</f>
        <v>6.6867949640287776</v>
      </c>
    </row>
    <row r="149" spans="1:30" ht="15">
      <c r="A149" s="16">
        <v>45778</v>
      </c>
      <c r="B149" s="10">
        <f>CHOOSE(CONTROL!$C$42, 6.7916, 6.7916) * CHOOSE(CONTROL!$C$21, $C$9, 100%, $E$9)</f>
        <v>6.7915999999999999</v>
      </c>
      <c r="C149" s="10">
        <f>CHOOSE(CONTROL!$C$42, 6.7996, 6.7996) * CHOOSE(CONTROL!$C$21, $C$9, 100%, $E$9)</f>
        <v>6.7995999999999999</v>
      </c>
      <c r="D149" s="10">
        <f>CHOOSE(CONTROL!$C$42, 6.9567, 6.9567) * CHOOSE(CONTROL!$C$21, $C$9, 100%, $E$9)</f>
        <v>6.9566999999999997</v>
      </c>
      <c r="E149" s="10">
        <f>CHOOSE(CONTROL!$C$42, 6.9879, 6.9879) * CHOOSE(CONTROL!$C$21, $C$9, 100%, $E$9)</f>
        <v>6.9878999999999998</v>
      </c>
      <c r="F149" s="10">
        <f>CHOOSE(CONTROL!$C$42, 6.7357, 6.7357)*CHOOSE(CONTROL!$C$21, $C$9, 100%, $E$9)</f>
        <v>6.7356999999999996</v>
      </c>
      <c r="G149" s="10">
        <f>CHOOSE(CONTROL!$C$42, 6.7519, 6.7519)*CHOOSE(CONTROL!$C$21, $C$9, 100%, $E$9)</f>
        <v>6.7519</v>
      </c>
      <c r="H149" s="10">
        <f>CHOOSE(CONTROL!$C$42, 6.9762, 6.9762) * CHOOSE(CONTROL!$C$21, $C$9, 100%, $E$9)</f>
        <v>6.9762000000000004</v>
      </c>
      <c r="I149" s="10">
        <f>CHOOSE(CONTROL!$C$42, 6.7704, 6.7704)* CHOOSE(CONTROL!$C$21, $C$9, 100%, $E$9)</f>
        <v>6.7704000000000004</v>
      </c>
      <c r="J149" s="10">
        <f>CHOOSE(CONTROL!$C$42, 6.7283, 6.7283)* CHOOSE(CONTROL!$C$21, $C$9, 100%, $E$9)</f>
        <v>6.7282999999999999</v>
      </c>
      <c r="K149" s="10">
        <f>CHOOSE(CONTROL!$C$42, 6.7182, 6.7182) * CHOOSE(CONTROL!$C$21, $C$9, 100%, $E$9)</f>
        <v>6.7182000000000004</v>
      </c>
      <c r="L149" s="10">
        <f>CHOOSE(CONTROL!$C$42, 7.5632, 7.5632) * CHOOSE(CONTROL!$C$21, $C$9, 100%, $E$9)</f>
        <v>7.5632000000000001</v>
      </c>
      <c r="M149" s="10">
        <f>CHOOSE(CONTROL!$C$42, 6.6675, 6.6675) * CHOOSE(CONTROL!$C$21, $C$9, 100%, $E$9)</f>
        <v>6.6675000000000004</v>
      </c>
      <c r="N149" s="10">
        <f>CHOOSE(CONTROL!$C$42, 6.6834, 6.6834) * CHOOSE(CONTROL!$C$21, $C$9, 100%, $E$9)</f>
        <v>6.6833999999999998</v>
      </c>
      <c r="O149" s="10">
        <f>CHOOSE(CONTROL!$C$42, 6.9119, 6.9119) * CHOOSE(CONTROL!$C$21, $C$9, 100%, $E$9)</f>
        <v>6.9119000000000002</v>
      </c>
      <c r="P149" s="10">
        <f>CHOOSE(CONTROL!$C$42, 6.709, 6.709) * CHOOSE(CONTROL!$C$21, $C$9, 100%, $E$9)</f>
        <v>6.7089999999999996</v>
      </c>
      <c r="Q149" s="10">
        <f>CHOOSE(CONTROL!$C$42, 7.5072, 7.5072) * CHOOSE(CONTROL!$C$21, $C$9, 100%, $E$9)</f>
        <v>7.5072000000000001</v>
      </c>
      <c r="R149" s="10">
        <f>CHOOSE(CONTROL!$C$42, 8.113, 8.113) * CHOOSE(CONTROL!$C$21, $C$9, 100%, $E$9)</f>
        <v>8.1129999999999995</v>
      </c>
      <c r="S149" s="10">
        <f>CHOOSE(CONTROL!$C$42, 6.5909, 6.5909) * CHOOSE(CONTROL!$C$21, $C$9, 100%, $E$9)</f>
        <v>6.5909000000000004</v>
      </c>
      <c r="T14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49" s="38">
        <f>(1000*CHOOSE(CONTROL!$C$42, 695, 695)*CHOOSE(CONTROL!$C$42, 0.5599, 0.5599)*CHOOSE(CONTROL!$C$42, 31, 31))/1000000</f>
        <v>12.063045499999998</v>
      </c>
      <c r="V149" s="38">
        <f>(1000*CHOOSE(CONTROL!$C$42, 500, 500)*CHOOSE(CONTROL!$C$42, 0.275, 0.275)*CHOOSE(CONTROL!$C$42, 31, 31))/1000000</f>
        <v>4.2625000000000002</v>
      </c>
      <c r="W149" s="38">
        <f>(1000*CHOOSE(CONTROL!$C$42, 0.1146, 0.1146)*CHOOSE(CONTROL!$C$42, 121.5, 121.5)*CHOOSE(CONTROL!$C$42, 31, 31))/1000000</f>
        <v>0.43164089999999994</v>
      </c>
      <c r="X149" s="38">
        <f>(31*0.1790888*245000/1000000)+(31*0.2374*100000/1000000)</f>
        <v>2.0961194359999999</v>
      </c>
      <c r="Y149" s="38">
        <f>(1000*600*CHOOSE(CONTROL!$C$42, 1.7341, 1.7341)*CHOOSE(CONTROL!$C$42, 31, 31))/1000000</f>
        <v>32.254260000000002</v>
      </c>
      <c r="Z149" s="38"/>
      <c r="AA149" s="10"/>
      <c r="AB149" s="39"/>
      <c r="AC149" s="33">
        <f>(B149*194.205+C149*267.466+D149*133.845+E149*53.484+F149*40+G149*185+H149*0+I149*100+J149*300)/(194.205+267.466+133.845+53.484+0+40+185+100+300)</f>
        <v>6.79477578233909</v>
      </c>
      <c r="AD149" s="27">
        <f>(M149*'RAP TEMPLATE-GAS AVAILABILITY'!O148+N149*'RAP TEMPLATE-GAS AVAILABILITY'!P148+O149*'RAP TEMPLATE-GAS AVAILABILITY'!Q148+P149*'RAP TEMPLATE-GAS AVAILABILITY'!R148)/('RAP TEMPLATE-GAS AVAILABILITY'!O148+'RAP TEMPLATE-GAS AVAILABILITY'!P148+'RAP TEMPLATE-GAS AVAILABILITY'!Q148+'RAP TEMPLATE-GAS AVAILABILITY'!R148)</f>
        <v>6.7457043165467612</v>
      </c>
    </row>
    <row r="150" spans="1:30" ht="15">
      <c r="A150" s="16">
        <v>45809</v>
      </c>
      <c r="B150" s="10">
        <f>CHOOSE(CONTROL!$C$42, 6.9846, 6.9846) * CHOOSE(CONTROL!$C$21, $C$9, 100%, $E$9)</f>
        <v>6.9846000000000004</v>
      </c>
      <c r="C150" s="10">
        <f>CHOOSE(CONTROL!$C$42, 6.9926, 6.9926) * CHOOSE(CONTROL!$C$21, $C$9, 100%, $E$9)</f>
        <v>6.9926000000000004</v>
      </c>
      <c r="D150" s="10">
        <f>CHOOSE(CONTROL!$C$42, 7.1497, 7.1497) * CHOOSE(CONTROL!$C$21, $C$9, 100%, $E$9)</f>
        <v>7.1497000000000002</v>
      </c>
      <c r="E150" s="10">
        <f>CHOOSE(CONTROL!$C$42, 7.1809, 7.1809) * CHOOSE(CONTROL!$C$21, $C$9, 100%, $E$9)</f>
        <v>7.1809000000000003</v>
      </c>
      <c r="F150" s="10">
        <f>CHOOSE(CONTROL!$C$42, 6.929, 6.929)*CHOOSE(CONTROL!$C$21, $C$9, 100%, $E$9)</f>
        <v>6.9290000000000003</v>
      </c>
      <c r="G150" s="10">
        <f>CHOOSE(CONTROL!$C$42, 6.9451, 6.9451)*CHOOSE(CONTROL!$C$21, $C$9, 100%, $E$9)</f>
        <v>6.9451000000000001</v>
      </c>
      <c r="H150" s="10">
        <f>CHOOSE(CONTROL!$C$42, 7.1692, 7.1692) * CHOOSE(CONTROL!$C$21, $C$9, 100%, $E$9)</f>
        <v>7.1692</v>
      </c>
      <c r="I150" s="10">
        <f>CHOOSE(CONTROL!$C$42, 6.9634, 6.9634)* CHOOSE(CONTROL!$C$21, $C$9, 100%, $E$9)</f>
        <v>6.9634</v>
      </c>
      <c r="J150" s="10">
        <f>CHOOSE(CONTROL!$C$42, 6.9216, 6.9216)* CHOOSE(CONTROL!$C$21, $C$9, 100%, $E$9)</f>
        <v>6.9215999999999998</v>
      </c>
      <c r="K150" s="10">
        <f>CHOOSE(CONTROL!$C$42, 6.9057, 6.9057) * CHOOSE(CONTROL!$C$21, $C$9, 100%, $E$9)</f>
        <v>6.9057000000000004</v>
      </c>
      <c r="L150" s="10">
        <f>CHOOSE(CONTROL!$C$42, 7.7562, 7.7562) * CHOOSE(CONTROL!$C$21, $C$9, 100%, $E$9)</f>
        <v>7.7561999999999998</v>
      </c>
      <c r="M150" s="10">
        <f>CHOOSE(CONTROL!$C$42, 6.858, 6.858) * CHOOSE(CONTROL!$C$21, $C$9, 100%, $E$9)</f>
        <v>6.8579999999999997</v>
      </c>
      <c r="N150" s="10">
        <f>CHOOSE(CONTROL!$C$42, 6.874, 6.874) * CHOOSE(CONTROL!$C$21, $C$9, 100%, $E$9)</f>
        <v>6.8739999999999997</v>
      </c>
      <c r="O150" s="10">
        <f>CHOOSE(CONTROL!$C$42, 7.1022, 7.1022) * CHOOSE(CONTROL!$C$21, $C$9, 100%, $E$9)</f>
        <v>7.1021999999999998</v>
      </c>
      <c r="P150" s="10">
        <f>CHOOSE(CONTROL!$C$42, 6.8994, 6.8994) * CHOOSE(CONTROL!$C$21, $C$9, 100%, $E$9)</f>
        <v>6.8994</v>
      </c>
      <c r="Q150" s="10">
        <f>CHOOSE(CONTROL!$C$42, 7.6975, 7.6975) * CHOOSE(CONTROL!$C$21, $C$9, 100%, $E$9)</f>
        <v>7.6974999999999998</v>
      </c>
      <c r="R150" s="10">
        <f>CHOOSE(CONTROL!$C$42, 8.3038, 8.3038) * CHOOSE(CONTROL!$C$21, $C$9, 100%, $E$9)</f>
        <v>8.3038000000000007</v>
      </c>
      <c r="S150" s="10">
        <f>CHOOSE(CONTROL!$C$42, 6.7778, 6.7778) * CHOOSE(CONTROL!$C$21, $C$9, 100%, $E$9)</f>
        <v>6.7778</v>
      </c>
      <c r="T15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50" s="38">
        <f>(1000*CHOOSE(CONTROL!$C$42, 695, 695)*CHOOSE(CONTROL!$C$42, 0.5599, 0.5599)*CHOOSE(CONTROL!$C$42, 30, 30))/1000000</f>
        <v>11.673914999999997</v>
      </c>
      <c r="V150" s="38">
        <f>(1000*CHOOSE(CONTROL!$C$42, 500, 500)*CHOOSE(CONTROL!$C$42, 0.275, 0.275)*CHOOSE(CONTROL!$C$42, 30, 30))/1000000</f>
        <v>4.125</v>
      </c>
      <c r="W150" s="38">
        <f>(1000*CHOOSE(CONTROL!$C$42, 0.1146, 0.1146)*CHOOSE(CONTROL!$C$42, 121.5, 121.5)*CHOOSE(CONTROL!$C$42, 30, 30))/1000000</f>
        <v>0.417717</v>
      </c>
      <c r="X150" s="38">
        <f>(30*0.1790888*245000/1000000)+(30*0.2374*100000/1000000)</f>
        <v>2.0285026799999999</v>
      </c>
      <c r="Y150" s="38">
        <f>(1000*600*CHOOSE(CONTROL!$C$42, 1.7341, 1.7341)*CHOOSE(CONTROL!$C$42, 30, 30))/1000000</f>
        <v>31.213799999999999</v>
      </c>
      <c r="Z150" s="38"/>
      <c r="AA150" s="10"/>
      <c r="AB150" s="39"/>
      <c r="AC150" s="33">
        <f>(B150*194.205+C150*267.466+D150*133.845+E150*53.484+F150*40+G150*185+H150*0+I150*100+J150*300)/(194.205+267.466+133.845+53.484+0+40+185+100+300)</f>
        <v>6.9878848875196242</v>
      </c>
      <c r="AD150" s="27">
        <f>(M150*'RAP TEMPLATE-GAS AVAILABILITY'!O149+N150*'RAP TEMPLATE-GAS AVAILABILITY'!P149+O150*'RAP TEMPLATE-GAS AVAILABILITY'!Q149+P150*'RAP TEMPLATE-GAS AVAILABILITY'!R149)/('RAP TEMPLATE-GAS AVAILABILITY'!O149+'RAP TEMPLATE-GAS AVAILABILITY'!P149+'RAP TEMPLATE-GAS AVAILABILITY'!Q149+'RAP TEMPLATE-GAS AVAILABILITY'!R149)</f>
        <v>6.9361568345323725</v>
      </c>
    </row>
    <row r="151" spans="1:30" ht="15">
      <c r="A151" s="16">
        <v>45839</v>
      </c>
      <c r="B151" s="10">
        <f>CHOOSE(CONTROL!$C$42, 6.8504, 6.8504) * CHOOSE(CONTROL!$C$21, $C$9, 100%, $E$9)</f>
        <v>6.8503999999999996</v>
      </c>
      <c r="C151" s="10">
        <f>CHOOSE(CONTROL!$C$42, 6.8584, 6.8584) * CHOOSE(CONTROL!$C$21, $C$9, 100%, $E$9)</f>
        <v>6.8583999999999996</v>
      </c>
      <c r="D151" s="10">
        <f>CHOOSE(CONTROL!$C$42, 7.0154, 7.0154) * CHOOSE(CONTROL!$C$21, $C$9, 100%, $E$9)</f>
        <v>7.0153999999999996</v>
      </c>
      <c r="E151" s="10">
        <f>CHOOSE(CONTROL!$C$42, 7.0467, 7.0467) * CHOOSE(CONTROL!$C$21, $C$9, 100%, $E$9)</f>
        <v>7.0467000000000004</v>
      </c>
      <c r="F151" s="10">
        <f>CHOOSE(CONTROL!$C$42, 6.795, 6.795)*CHOOSE(CONTROL!$C$21, $C$9, 100%, $E$9)</f>
        <v>6.7949999999999999</v>
      </c>
      <c r="G151" s="10">
        <f>CHOOSE(CONTROL!$C$42, 6.8113, 6.8113)*CHOOSE(CONTROL!$C$21, $C$9, 100%, $E$9)</f>
        <v>6.8113000000000001</v>
      </c>
      <c r="H151" s="10">
        <f>CHOOSE(CONTROL!$C$42, 7.035, 7.035) * CHOOSE(CONTROL!$C$21, $C$9, 100%, $E$9)</f>
        <v>7.0350000000000001</v>
      </c>
      <c r="I151" s="10">
        <f>CHOOSE(CONTROL!$C$42, 6.8292, 6.8292)* CHOOSE(CONTROL!$C$21, $C$9, 100%, $E$9)</f>
        <v>6.8292000000000002</v>
      </c>
      <c r="J151" s="10">
        <f>CHOOSE(CONTROL!$C$42, 6.7876, 6.7876)* CHOOSE(CONTROL!$C$21, $C$9, 100%, $E$9)</f>
        <v>6.7876000000000003</v>
      </c>
      <c r="K151" s="10">
        <f>CHOOSE(CONTROL!$C$42, 6.7763, 6.7763) * CHOOSE(CONTROL!$C$21, $C$9, 100%, $E$9)</f>
        <v>6.7763</v>
      </c>
      <c r="L151" s="10">
        <f>CHOOSE(CONTROL!$C$42, 7.622, 7.622) * CHOOSE(CONTROL!$C$21, $C$9, 100%, $E$9)</f>
        <v>7.6219999999999999</v>
      </c>
      <c r="M151" s="10">
        <f>CHOOSE(CONTROL!$C$42, 6.726, 6.726) * CHOOSE(CONTROL!$C$21, $C$9, 100%, $E$9)</f>
        <v>6.726</v>
      </c>
      <c r="N151" s="10">
        <f>CHOOSE(CONTROL!$C$42, 6.742, 6.742) * CHOOSE(CONTROL!$C$21, $C$9, 100%, $E$9)</f>
        <v>6.742</v>
      </c>
      <c r="O151" s="10">
        <f>CHOOSE(CONTROL!$C$42, 6.9699, 6.9699) * CHOOSE(CONTROL!$C$21, $C$9, 100%, $E$9)</f>
        <v>6.9699</v>
      </c>
      <c r="P151" s="10">
        <f>CHOOSE(CONTROL!$C$42, 6.767, 6.767) * CHOOSE(CONTROL!$C$21, $C$9, 100%, $E$9)</f>
        <v>6.7670000000000003</v>
      </c>
      <c r="Q151" s="10">
        <f>CHOOSE(CONTROL!$C$42, 7.5652, 7.5652) * CHOOSE(CONTROL!$C$21, $C$9, 100%, $E$9)</f>
        <v>7.5651999999999999</v>
      </c>
      <c r="R151" s="10">
        <f>CHOOSE(CONTROL!$C$42, 8.1711, 8.1711) * CHOOSE(CONTROL!$C$21, $C$9, 100%, $E$9)</f>
        <v>8.1710999999999991</v>
      </c>
      <c r="S151" s="10">
        <f>CHOOSE(CONTROL!$C$42, 6.6478, 6.6478) * CHOOSE(CONTROL!$C$21, $C$9, 100%, $E$9)</f>
        <v>6.6478000000000002</v>
      </c>
      <c r="T15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51" s="38">
        <f>(1000*CHOOSE(CONTROL!$C$42, 695, 695)*CHOOSE(CONTROL!$C$42, 0.5599, 0.5599)*CHOOSE(CONTROL!$C$42, 31, 31))/1000000</f>
        <v>12.063045499999998</v>
      </c>
      <c r="V151" s="38">
        <f>(1000*CHOOSE(CONTROL!$C$42, 500, 500)*CHOOSE(CONTROL!$C$42, 0.275, 0.275)*CHOOSE(CONTROL!$C$42, 31, 31))/1000000</f>
        <v>4.2625000000000002</v>
      </c>
      <c r="W151" s="38">
        <f>(1000*CHOOSE(CONTROL!$C$42, 0.1146, 0.1146)*CHOOSE(CONTROL!$C$42, 121.5, 121.5)*CHOOSE(CONTROL!$C$42, 31, 31))/1000000</f>
        <v>0.43164089999999994</v>
      </c>
      <c r="X151" s="38">
        <f>(31*0.1790888*245000/1000000)+(31*0.2374*100000/1000000)</f>
        <v>2.0961194359999999</v>
      </c>
      <c r="Y151" s="38">
        <f>(1000*600*CHOOSE(CONTROL!$C$42, 1.7341, 1.7341)*CHOOSE(CONTROL!$C$42, 31, 31))/1000000</f>
        <v>32.254260000000002</v>
      </c>
      <c r="Z151" s="38"/>
      <c r="AA151" s="10"/>
      <c r="AB151" s="39"/>
      <c r="AC151" s="33">
        <f>(B151*194.205+C151*267.466+D151*133.845+E151*53.484+F151*40+G151*185+H151*0+I151*100+J151*300)/(194.205+267.466+133.845+53.484+0+40+185+100+300)</f>
        <v>6.8537858416012556</v>
      </c>
      <c r="AD151" s="27">
        <f>(M151*'RAP TEMPLATE-GAS AVAILABILITY'!O150+N151*'RAP TEMPLATE-GAS AVAILABILITY'!P150+O151*'RAP TEMPLATE-GAS AVAILABILITY'!Q150+P151*'RAP TEMPLATE-GAS AVAILABILITY'!R150)/('RAP TEMPLATE-GAS AVAILABILITY'!O150+'RAP TEMPLATE-GAS AVAILABILITY'!P150+'RAP TEMPLATE-GAS AVAILABILITY'!Q150+'RAP TEMPLATE-GAS AVAILABILITY'!R150)</f>
        <v>6.8040151079136688</v>
      </c>
    </row>
    <row r="152" spans="1:30" ht="15">
      <c r="A152" s="16">
        <v>45870</v>
      </c>
      <c r="B152" s="10">
        <f>CHOOSE(CONTROL!$C$42, 6.5113, 6.5113) * CHOOSE(CONTROL!$C$21, $C$9, 100%, $E$9)</f>
        <v>6.5113000000000003</v>
      </c>
      <c r="C152" s="10">
        <f>CHOOSE(CONTROL!$C$42, 6.5193, 6.5193) * CHOOSE(CONTROL!$C$21, $C$9, 100%, $E$9)</f>
        <v>6.5193000000000003</v>
      </c>
      <c r="D152" s="10">
        <f>CHOOSE(CONTROL!$C$42, 6.6764, 6.6764) * CHOOSE(CONTROL!$C$21, $C$9, 100%, $E$9)</f>
        <v>6.6764000000000001</v>
      </c>
      <c r="E152" s="10">
        <f>CHOOSE(CONTROL!$C$42, 6.7076, 6.7076) * CHOOSE(CONTROL!$C$21, $C$9, 100%, $E$9)</f>
        <v>6.7076000000000002</v>
      </c>
      <c r="F152" s="10">
        <f>CHOOSE(CONTROL!$C$42, 6.4559, 6.4559)*CHOOSE(CONTROL!$C$21, $C$9, 100%, $E$9)</f>
        <v>6.4558999999999997</v>
      </c>
      <c r="G152" s="10">
        <f>CHOOSE(CONTROL!$C$42, 6.4721, 6.4721)*CHOOSE(CONTROL!$C$21, $C$9, 100%, $E$9)</f>
        <v>6.4721000000000002</v>
      </c>
      <c r="H152" s="10">
        <f>CHOOSE(CONTROL!$C$42, 6.6959, 6.6959) * CHOOSE(CONTROL!$C$21, $C$9, 100%, $E$9)</f>
        <v>6.6959</v>
      </c>
      <c r="I152" s="10">
        <f>CHOOSE(CONTROL!$C$42, 6.4901, 6.4901)* CHOOSE(CONTROL!$C$21, $C$9, 100%, $E$9)</f>
        <v>6.4901</v>
      </c>
      <c r="J152" s="10">
        <f>CHOOSE(CONTROL!$C$42, 6.4485, 6.4485)* CHOOSE(CONTROL!$C$21, $C$9, 100%, $E$9)</f>
        <v>6.4485000000000001</v>
      </c>
      <c r="K152" s="10">
        <f>CHOOSE(CONTROL!$C$42, 6.4477, 6.4477) * CHOOSE(CONTROL!$C$21, $C$9, 100%, $E$9)</f>
        <v>6.4477000000000002</v>
      </c>
      <c r="L152" s="10">
        <f>CHOOSE(CONTROL!$C$42, 7.2829, 7.2829) * CHOOSE(CONTROL!$C$21, $C$9, 100%, $E$9)</f>
        <v>7.2828999999999997</v>
      </c>
      <c r="M152" s="10">
        <f>CHOOSE(CONTROL!$C$42, 6.3916, 6.3916) * CHOOSE(CONTROL!$C$21, $C$9, 100%, $E$9)</f>
        <v>6.3916000000000004</v>
      </c>
      <c r="N152" s="10">
        <f>CHOOSE(CONTROL!$C$42, 6.4076, 6.4076) * CHOOSE(CONTROL!$C$21, $C$9, 100%, $E$9)</f>
        <v>6.4076000000000004</v>
      </c>
      <c r="O152" s="10">
        <f>CHOOSE(CONTROL!$C$42, 6.6355, 6.6355) * CHOOSE(CONTROL!$C$21, $C$9, 100%, $E$9)</f>
        <v>6.6355000000000004</v>
      </c>
      <c r="P152" s="10">
        <f>CHOOSE(CONTROL!$C$42, 6.4327, 6.4327) * CHOOSE(CONTROL!$C$21, $C$9, 100%, $E$9)</f>
        <v>6.4326999999999996</v>
      </c>
      <c r="Q152" s="10">
        <f>CHOOSE(CONTROL!$C$42, 7.2308, 7.2308) * CHOOSE(CONTROL!$C$21, $C$9, 100%, $E$9)</f>
        <v>7.2308000000000003</v>
      </c>
      <c r="R152" s="10">
        <f>CHOOSE(CONTROL!$C$42, 7.8359, 7.8359) * CHOOSE(CONTROL!$C$21, $C$9, 100%, $E$9)</f>
        <v>7.8358999999999996</v>
      </c>
      <c r="S152" s="10">
        <f>CHOOSE(CONTROL!$C$42, 6.3195, 6.3195) * CHOOSE(CONTROL!$C$21, $C$9, 100%, $E$9)</f>
        <v>6.3194999999999997</v>
      </c>
      <c r="T15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52" s="38">
        <f>(1000*CHOOSE(CONTROL!$C$42, 695, 695)*CHOOSE(CONTROL!$C$42, 0.5599, 0.5599)*CHOOSE(CONTROL!$C$42, 31, 31))/1000000</f>
        <v>12.063045499999998</v>
      </c>
      <c r="V152" s="38">
        <f>(1000*CHOOSE(CONTROL!$C$42, 500, 500)*CHOOSE(CONTROL!$C$42, 0.275, 0.275)*CHOOSE(CONTROL!$C$42, 31, 31))/1000000</f>
        <v>4.2625000000000002</v>
      </c>
      <c r="W152" s="38">
        <f>(1000*CHOOSE(CONTROL!$C$42, 0.1146, 0.1146)*CHOOSE(CONTROL!$C$42, 121.5, 121.5)*CHOOSE(CONTROL!$C$42, 31, 31))/1000000</f>
        <v>0.43164089999999994</v>
      </c>
      <c r="X152" s="38">
        <f>(31*0.1790888*245000/1000000)+(31*0.2374*100000/1000000)</f>
        <v>2.0961194359999999</v>
      </c>
      <c r="Y152" s="38">
        <f>(1000*600*CHOOSE(CONTROL!$C$42, 1.7341, 1.7341)*CHOOSE(CONTROL!$C$42, 31, 31))/1000000</f>
        <v>32.254260000000002</v>
      </c>
      <c r="Z152" s="38"/>
      <c r="AA152" s="10"/>
      <c r="AB152" s="39"/>
      <c r="AC152" s="33">
        <f>(B152*194.205+C152*267.466+D152*133.845+E152*53.484+F152*40+G152*185+H152*0+I152*100+J152*300)/(194.205+267.466+133.845+53.484+0+40+185+100+300)</f>
        <v>6.5146818262951331</v>
      </c>
      <c r="AD152" s="27">
        <f>(M152*'RAP TEMPLATE-GAS AVAILABILITY'!O151+N152*'RAP TEMPLATE-GAS AVAILABILITY'!P151+O152*'RAP TEMPLATE-GAS AVAILABILITY'!Q151+P152*'RAP TEMPLATE-GAS AVAILABILITY'!R151)/('RAP TEMPLATE-GAS AVAILABILITY'!O151+'RAP TEMPLATE-GAS AVAILABILITY'!P151+'RAP TEMPLATE-GAS AVAILABILITY'!Q151+'RAP TEMPLATE-GAS AVAILABILITY'!R151)</f>
        <v>6.4696294964028773</v>
      </c>
    </row>
    <row r="153" spans="1:30" ht="15">
      <c r="A153" s="16">
        <v>45901</v>
      </c>
      <c r="B153" s="10">
        <f>CHOOSE(CONTROL!$C$42, 6.0971, 6.0971) * CHOOSE(CONTROL!$C$21, $C$9, 100%, $E$9)</f>
        <v>6.0971000000000002</v>
      </c>
      <c r="C153" s="10">
        <f>CHOOSE(CONTROL!$C$42, 6.1051, 6.1051) * CHOOSE(CONTROL!$C$21, $C$9, 100%, $E$9)</f>
        <v>6.1051000000000002</v>
      </c>
      <c r="D153" s="10">
        <f>CHOOSE(CONTROL!$C$42, 6.2621, 6.2621) * CHOOSE(CONTROL!$C$21, $C$9, 100%, $E$9)</f>
        <v>6.2621000000000002</v>
      </c>
      <c r="E153" s="10">
        <f>CHOOSE(CONTROL!$C$42, 6.2933, 6.2933) * CHOOSE(CONTROL!$C$21, $C$9, 100%, $E$9)</f>
        <v>6.2933000000000003</v>
      </c>
      <c r="F153" s="10">
        <f>CHOOSE(CONTROL!$C$42, 6.0415, 6.0415)*CHOOSE(CONTROL!$C$21, $C$9, 100%, $E$9)</f>
        <v>6.0415000000000001</v>
      </c>
      <c r="G153" s="10">
        <f>CHOOSE(CONTROL!$C$42, 6.0576, 6.0576)*CHOOSE(CONTROL!$C$21, $C$9, 100%, $E$9)</f>
        <v>6.0575999999999999</v>
      </c>
      <c r="H153" s="10">
        <f>CHOOSE(CONTROL!$C$42, 6.2817, 6.2817) * CHOOSE(CONTROL!$C$21, $C$9, 100%, $E$9)</f>
        <v>6.2816999999999998</v>
      </c>
      <c r="I153" s="10">
        <f>CHOOSE(CONTROL!$C$42, 6.0759, 6.0759)* CHOOSE(CONTROL!$C$21, $C$9, 100%, $E$9)</f>
        <v>6.0758999999999999</v>
      </c>
      <c r="J153" s="10">
        <f>CHOOSE(CONTROL!$C$42, 6.0341, 6.0341)* CHOOSE(CONTROL!$C$21, $C$9, 100%, $E$9)</f>
        <v>6.0340999999999996</v>
      </c>
      <c r="K153" s="10">
        <f>CHOOSE(CONTROL!$C$42, 6.0459, 6.0459) * CHOOSE(CONTROL!$C$21, $C$9, 100%, $E$9)</f>
        <v>6.0458999999999996</v>
      </c>
      <c r="L153" s="10">
        <f>CHOOSE(CONTROL!$C$42, 6.8687, 6.8687) * CHOOSE(CONTROL!$C$21, $C$9, 100%, $E$9)</f>
        <v>6.8686999999999996</v>
      </c>
      <c r="M153" s="10">
        <f>CHOOSE(CONTROL!$C$42, 5.9829, 5.9829) * CHOOSE(CONTROL!$C$21, $C$9, 100%, $E$9)</f>
        <v>5.9828999999999999</v>
      </c>
      <c r="N153" s="10">
        <f>CHOOSE(CONTROL!$C$42, 5.9989, 5.9989) * CHOOSE(CONTROL!$C$21, $C$9, 100%, $E$9)</f>
        <v>5.9988999999999999</v>
      </c>
      <c r="O153" s="10">
        <f>CHOOSE(CONTROL!$C$42, 6.2271, 6.2271) * CHOOSE(CONTROL!$C$21, $C$9, 100%, $E$9)</f>
        <v>6.2271000000000001</v>
      </c>
      <c r="P153" s="10">
        <f>CHOOSE(CONTROL!$C$42, 6.0242, 6.0242) * CHOOSE(CONTROL!$C$21, $C$9, 100%, $E$9)</f>
        <v>6.0242000000000004</v>
      </c>
      <c r="Q153" s="10">
        <f>CHOOSE(CONTROL!$C$42, 6.8224, 6.8224) * CHOOSE(CONTROL!$C$21, $C$9, 100%, $E$9)</f>
        <v>6.8224</v>
      </c>
      <c r="R153" s="10">
        <f>CHOOSE(CONTROL!$C$42, 7.4264, 7.4264) * CHOOSE(CONTROL!$C$21, $C$9, 100%, $E$9)</f>
        <v>7.4264000000000001</v>
      </c>
      <c r="S153" s="10">
        <f>CHOOSE(CONTROL!$C$42, 5.9184, 5.9184) * CHOOSE(CONTROL!$C$21, $C$9, 100%, $E$9)</f>
        <v>5.9184000000000001</v>
      </c>
      <c r="T15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53" s="38">
        <f>(1000*CHOOSE(CONTROL!$C$42, 695, 695)*CHOOSE(CONTROL!$C$42, 0.5599, 0.5599)*CHOOSE(CONTROL!$C$42, 30, 30))/1000000</f>
        <v>11.673914999999997</v>
      </c>
      <c r="V153" s="38">
        <f>(1000*CHOOSE(CONTROL!$C$42, 500, 500)*CHOOSE(CONTROL!$C$42, 0.275, 0.275)*CHOOSE(CONTROL!$C$42, 30, 30))/1000000</f>
        <v>4.125</v>
      </c>
      <c r="W153" s="38">
        <f>(1000*CHOOSE(CONTROL!$C$42, 0.1146, 0.1146)*CHOOSE(CONTROL!$C$42, 121.5, 121.5)*CHOOSE(CONTROL!$C$42, 30, 30))/1000000</f>
        <v>0.417717</v>
      </c>
      <c r="X153" s="38">
        <f>(30*0.1790888*245000/1000000)+(30*0.2374*100000/1000000)</f>
        <v>2.0285026799999999</v>
      </c>
      <c r="Y153" s="38">
        <f>(1000*600*CHOOSE(CONTROL!$C$42, 1.7341, 1.7341)*CHOOSE(CONTROL!$C$42, 30, 30))/1000000</f>
        <v>31.213799999999999</v>
      </c>
      <c r="Z153" s="38"/>
      <c r="AA153" s="10"/>
      <c r="AB153" s="39"/>
      <c r="AC153" s="33">
        <f>(B153*194.205+C153*267.466+D153*133.845+E153*53.484+F153*40+G153*185+H153*0+I153*100+J153*300)/(194.205+267.466+133.845+53.484+0+40+185+100+300)</f>
        <v>6.1003701835164836</v>
      </c>
      <c r="AD153" s="27">
        <f>(M153*'RAP TEMPLATE-GAS AVAILABILITY'!O152+N153*'RAP TEMPLATE-GAS AVAILABILITY'!P152+O153*'RAP TEMPLATE-GAS AVAILABILITY'!Q152+P153*'RAP TEMPLATE-GAS AVAILABILITY'!R152)/('RAP TEMPLATE-GAS AVAILABILITY'!O152+'RAP TEMPLATE-GAS AVAILABILITY'!P152+'RAP TEMPLATE-GAS AVAILABILITY'!Q152+'RAP TEMPLATE-GAS AVAILABILITY'!R152)</f>
        <v>6.0610424460431656</v>
      </c>
    </row>
    <row r="154" spans="1:30" ht="15">
      <c r="A154" s="16">
        <v>45931</v>
      </c>
      <c r="B154" s="10">
        <f>CHOOSE(CONTROL!$C$42, 5.9708, 5.9708) * CHOOSE(CONTROL!$C$21, $C$9, 100%, $E$9)</f>
        <v>5.9707999999999997</v>
      </c>
      <c r="C154" s="10">
        <f>CHOOSE(CONTROL!$C$42, 5.9762, 5.9762) * CHOOSE(CONTROL!$C$21, $C$9, 100%, $E$9)</f>
        <v>5.9762000000000004</v>
      </c>
      <c r="D154" s="10">
        <f>CHOOSE(CONTROL!$C$42, 6.1381, 6.1381) * CHOOSE(CONTROL!$C$21, $C$9, 100%, $E$9)</f>
        <v>6.1380999999999997</v>
      </c>
      <c r="E154" s="10">
        <f>CHOOSE(CONTROL!$C$42, 6.167, 6.167) * CHOOSE(CONTROL!$C$21, $C$9, 100%, $E$9)</f>
        <v>6.1669999999999998</v>
      </c>
      <c r="F154" s="10">
        <f>CHOOSE(CONTROL!$C$42, 5.9172, 5.9172)*CHOOSE(CONTROL!$C$21, $C$9, 100%, $E$9)</f>
        <v>5.9172000000000002</v>
      </c>
      <c r="G154" s="10">
        <f>CHOOSE(CONTROL!$C$42, 5.933, 5.933)*CHOOSE(CONTROL!$C$21, $C$9, 100%, $E$9)</f>
        <v>5.9329999999999998</v>
      </c>
      <c r="H154" s="10">
        <f>CHOOSE(CONTROL!$C$42, 6.1571, 6.1571) * CHOOSE(CONTROL!$C$21, $C$9, 100%, $E$9)</f>
        <v>6.1570999999999998</v>
      </c>
      <c r="I154" s="10">
        <f>CHOOSE(CONTROL!$C$42, 5.9513, 5.9513)* CHOOSE(CONTROL!$C$21, $C$9, 100%, $E$9)</f>
        <v>5.9512999999999998</v>
      </c>
      <c r="J154" s="10">
        <f>CHOOSE(CONTROL!$C$42, 5.9098, 5.9098)* CHOOSE(CONTROL!$C$21, $C$9, 100%, $E$9)</f>
        <v>5.9097999999999997</v>
      </c>
      <c r="K154" s="10">
        <f>CHOOSE(CONTROL!$C$42, 5.9259, 5.9259) * CHOOSE(CONTROL!$C$21, $C$9, 100%, $E$9)</f>
        <v>5.9259000000000004</v>
      </c>
      <c r="L154" s="10">
        <f>CHOOSE(CONTROL!$C$42, 6.7441, 6.7441) * CHOOSE(CONTROL!$C$21, $C$9, 100%, $E$9)</f>
        <v>6.7441000000000004</v>
      </c>
      <c r="M154" s="10">
        <f>CHOOSE(CONTROL!$C$42, 5.8604, 5.8604) * CHOOSE(CONTROL!$C$21, $C$9, 100%, $E$9)</f>
        <v>5.8604000000000003</v>
      </c>
      <c r="N154" s="10">
        <f>CHOOSE(CONTROL!$C$42, 5.876, 5.876) * CHOOSE(CONTROL!$C$21, $C$9, 100%, $E$9)</f>
        <v>5.8760000000000003</v>
      </c>
      <c r="O154" s="10">
        <f>CHOOSE(CONTROL!$C$42, 6.1043, 6.1043) * CHOOSE(CONTROL!$C$21, $C$9, 100%, $E$9)</f>
        <v>6.1043000000000003</v>
      </c>
      <c r="P154" s="10">
        <f>CHOOSE(CONTROL!$C$42, 5.9014, 5.9014) * CHOOSE(CONTROL!$C$21, $C$9, 100%, $E$9)</f>
        <v>5.9013999999999998</v>
      </c>
      <c r="Q154" s="10">
        <f>CHOOSE(CONTROL!$C$42, 6.6996, 6.6996) * CHOOSE(CONTROL!$C$21, $C$9, 100%, $E$9)</f>
        <v>6.6996000000000002</v>
      </c>
      <c r="R154" s="10">
        <f>CHOOSE(CONTROL!$C$42, 7.3033, 7.3033) * CHOOSE(CONTROL!$C$21, $C$9, 100%, $E$9)</f>
        <v>7.3033000000000001</v>
      </c>
      <c r="S154" s="10">
        <f>CHOOSE(CONTROL!$C$42, 5.7978, 5.7978) * CHOOSE(CONTROL!$C$21, $C$9, 100%, $E$9)</f>
        <v>5.7977999999999996</v>
      </c>
      <c r="T15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54" s="38">
        <f>(1000*CHOOSE(CONTROL!$C$42, 695, 695)*CHOOSE(CONTROL!$C$42, 0.5599, 0.5599)*CHOOSE(CONTROL!$C$42, 31, 31))/1000000</f>
        <v>12.063045499999998</v>
      </c>
      <c r="V154" s="38">
        <f>(1000*CHOOSE(CONTROL!$C$42, 500, 500)*CHOOSE(CONTROL!$C$42, 0.275, 0.275)*CHOOSE(CONTROL!$C$42, 31, 31))/1000000</f>
        <v>4.2625000000000002</v>
      </c>
      <c r="W154" s="38">
        <f>(1000*CHOOSE(CONTROL!$C$42, 0.1146, 0.1146)*CHOOSE(CONTROL!$C$42, 121.5, 121.5)*CHOOSE(CONTROL!$C$42, 31, 31))/1000000</f>
        <v>0.43164089999999994</v>
      </c>
      <c r="X154" s="38">
        <f>(31*0.1790888*245000/1000000)+(31*0.2374*100000/1000000)</f>
        <v>2.0961194359999999</v>
      </c>
      <c r="Y154" s="38">
        <f>(1000*600*CHOOSE(CONTROL!$C$42, 1.7341, 1.7341)*CHOOSE(CONTROL!$C$42, 31, 31))/1000000</f>
        <v>32.254260000000002</v>
      </c>
      <c r="Z154" s="38"/>
      <c r="AA154" s="10"/>
      <c r="AB154" s="39"/>
      <c r="AC154" s="33">
        <f>(B154*131.881+C154*277.167+D154*79.08+E154*125.872+F154*40+G154*185+H154*0+I154*100+J154*300)/(131.881+277.167+79.08+125.872+0+40+185+100+300)</f>
        <v>5.9788999775625511</v>
      </c>
      <c r="AD154" s="27">
        <f>(M154*'RAP TEMPLATE-GAS AVAILABILITY'!O153+N154*'RAP TEMPLATE-GAS AVAILABILITY'!P153+O154*'RAP TEMPLATE-GAS AVAILABILITY'!Q153+P154*'RAP TEMPLATE-GAS AVAILABILITY'!R153)/('RAP TEMPLATE-GAS AVAILABILITY'!O153+'RAP TEMPLATE-GAS AVAILABILITY'!P153+'RAP TEMPLATE-GAS AVAILABILITY'!Q153+'RAP TEMPLATE-GAS AVAILABILITY'!R153)</f>
        <v>5.9383230215827343</v>
      </c>
    </row>
    <row r="155" spans="1:30" ht="15">
      <c r="A155" s="16">
        <v>45962</v>
      </c>
      <c r="B155" s="10">
        <f>CHOOSE(CONTROL!$C$42, 6.1281, 6.1281) * CHOOSE(CONTROL!$C$21, $C$9, 100%, $E$9)</f>
        <v>6.1280999999999999</v>
      </c>
      <c r="C155" s="10">
        <f>CHOOSE(CONTROL!$C$42, 6.1332, 6.1332) * CHOOSE(CONTROL!$C$21, $C$9, 100%, $E$9)</f>
        <v>6.1332000000000004</v>
      </c>
      <c r="D155" s="10">
        <f>CHOOSE(CONTROL!$C$42, 6.1579, 6.1579) * CHOOSE(CONTROL!$C$21, $C$9, 100%, $E$9)</f>
        <v>6.1578999999999997</v>
      </c>
      <c r="E155" s="10">
        <f>CHOOSE(CONTROL!$C$42, 6.1917, 6.1917) * CHOOSE(CONTROL!$C$21, $C$9, 100%, $E$9)</f>
        <v>6.1917</v>
      </c>
      <c r="F155" s="10">
        <f>CHOOSE(CONTROL!$C$42, 6.0965, 6.0965)*CHOOSE(CONTROL!$C$21, $C$9, 100%, $E$9)</f>
        <v>6.0964999999999998</v>
      </c>
      <c r="G155" s="10">
        <f>CHOOSE(CONTROL!$C$42, 6.1125, 6.1125)*CHOOSE(CONTROL!$C$21, $C$9, 100%, $E$9)</f>
        <v>6.1124999999999998</v>
      </c>
      <c r="H155" s="10">
        <f>CHOOSE(CONTROL!$C$42, 6.1806, 6.1806) * CHOOSE(CONTROL!$C$21, $C$9, 100%, $E$9)</f>
        <v>6.1806000000000001</v>
      </c>
      <c r="I155" s="10">
        <f>CHOOSE(CONTROL!$C$42, 6.1431, 6.1431)* CHOOSE(CONTROL!$C$21, $C$9, 100%, $E$9)</f>
        <v>6.1430999999999996</v>
      </c>
      <c r="J155" s="10">
        <f>CHOOSE(CONTROL!$C$42, 6.0891, 6.0891)* CHOOSE(CONTROL!$C$21, $C$9, 100%, $E$9)</f>
        <v>6.0891000000000002</v>
      </c>
      <c r="K155" s="10">
        <f>CHOOSE(CONTROL!$C$42, 6.1139, 6.1139) * CHOOSE(CONTROL!$C$21, $C$9, 100%, $E$9)</f>
        <v>6.1139000000000001</v>
      </c>
      <c r="L155" s="10">
        <f>CHOOSE(CONTROL!$C$42, 6.7676, 6.7676) * CHOOSE(CONTROL!$C$21, $C$9, 100%, $E$9)</f>
        <v>6.7675999999999998</v>
      </c>
      <c r="M155" s="10">
        <f>CHOOSE(CONTROL!$C$42, 6.0371, 6.0371) * CHOOSE(CONTROL!$C$21, $C$9, 100%, $E$9)</f>
        <v>6.0370999999999997</v>
      </c>
      <c r="N155" s="10">
        <f>CHOOSE(CONTROL!$C$42, 6.0529, 6.0529) * CHOOSE(CONTROL!$C$21, $C$9, 100%, $E$9)</f>
        <v>6.0529000000000002</v>
      </c>
      <c r="O155" s="10">
        <f>CHOOSE(CONTROL!$C$42, 6.1274, 6.1274) * CHOOSE(CONTROL!$C$21, $C$9, 100%, $E$9)</f>
        <v>6.1273999999999997</v>
      </c>
      <c r="P155" s="10">
        <f>CHOOSE(CONTROL!$C$42, 6.0905, 6.0905) * CHOOSE(CONTROL!$C$21, $C$9, 100%, $E$9)</f>
        <v>6.0904999999999996</v>
      </c>
      <c r="Q155" s="10">
        <f>CHOOSE(CONTROL!$C$42, 6.7227, 6.7227) * CHOOSE(CONTROL!$C$21, $C$9, 100%, $E$9)</f>
        <v>6.7226999999999997</v>
      </c>
      <c r="R155" s="10">
        <f>CHOOSE(CONTROL!$C$42, 7.3265, 7.3265) * CHOOSE(CONTROL!$C$21, $C$9, 100%, $E$9)</f>
        <v>7.3265000000000002</v>
      </c>
      <c r="S155" s="10">
        <f>CHOOSE(CONTROL!$C$42, 5.9505, 5.9505) * CHOOSE(CONTROL!$C$21, $C$9, 100%, $E$9)</f>
        <v>5.9504999999999999</v>
      </c>
      <c r="T15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55" s="38">
        <f>(1000*CHOOSE(CONTROL!$C$42, 695, 695)*CHOOSE(CONTROL!$C$42, 0.5599, 0.5599)*CHOOSE(CONTROL!$C$42, 30, 30))/1000000</f>
        <v>11.673914999999997</v>
      </c>
      <c r="V155" s="38">
        <f>(1000*CHOOSE(CONTROL!$C$42, 500, 500)*CHOOSE(CONTROL!$C$42, 0.275, 0.275)*CHOOSE(CONTROL!$C$42, 30, 30))/1000000</f>
        <v>4.125</v>
      </c>
      <c r="W155" s="38">
        <f>(1000*CHOOSE(CONTROL!$C$42, 0.1146, 0.1146)*CHOOSE(CONTROL!$C$42, 121.5, 121.5)*CHOOSE(CONTROL!$C$42, 30, 30))/1000000</f>
        <v>0.417717</v>
      </c>
      <c r="X155" s="38">
        <f>(30*0.1790888*100000/1000000)+(30*0.2374*100000/1000000)</f>
        <v>1.2494664</v>
      </c>
      <c r="Y155" s="38">
        <f>(1000*600*CHOOSE(CONTROL!$C$42, 1.7341, 1.7341)*CHOOSE(CONTROL!$C$42, 30, 30))/1000000</f>
        <v>31.213799999999999</v>
      </c>
      <c r="Z155" s="38"/>
      <c r="AA155" s="10"/>
      <c r="AB155" s="39"/>
      <c r="AC155" s="33">
        <f>(B155*122.58+C155*297.941+D155*89.177+E155*40.302+F155*40+G155*160+H155*0+I155*100+J155*300)/(122.58+297.941+89.177+40.302+0+40+160+100+300)</f>
        <v>6.1218218964347821</v>
      </c>
      <c r="AD155" s="27">
        <f>(M155*'RAP TEMPLATE-GAS AVAILABILITY'!O154+N155*'RAP TEMPLATE-GAS AVAILABILITY'!P154+O155*'RAP TEMPLATE-GAS AVAILABILITY'!Q154+P155*'RAP TEMPLATE-GAS AVAILABILITY'!R154)/('RAP TEMPLATE-GAS AVAILABILITY'!O154+'RAP TEMPLATE-GAS AVAILABILITY'!P154+'RAP TEMPLATE-GAS AVAILABILITY'!Q154+'RAP TEMPLATE-GAS AVAILABILITY'!R154)</f>
        <v>6.0866201438848924</v>
      </c>
    </row>
    <row r="156" spans="1:30" ht="15">
      <c r="A156" s="16">
        <v>45992</v>
      </c>
      <c r="B156" s="10">
        <f>CHOOSE(CONTROL!$C$42, 6.5471, 6.5471) * CHOOSE(CONTROL!$C$21, $C$9, 100%, $E$9)</f>
        <v>6.5471000000000004</v>
      </c>
      <c r="C156" s="10">
        <f>CHOOSE(CONTROL!$C$42, 6.5522, 6.5522) * CHOOSE(CONTROL!$C$21, $C$9, 100%, $E$9)</f>
        <v>6.5522</v>
      </c>
      <c r="D156" s="10">
        <f>CHOOSE(CONTROL!$C$42, 6.5768, 6.5768) * CHOOSE(CONTROL!$C$21, $C$9, 100%, $E$9)</f>
        <v>6.5768000000000004</v>
      </c>
      <c r="E156" s="10">
        <f>CHOOSE(CONTROL!$C$42, 6.6106, 6.6106) * CHOOSE(CONTROL!$C$21, $C$9, 100%, $E$9)</f>
        <v>6.6105999999999998</v>
      </c>
      <c r="F156" s="10">
        <f>CHOOSE(CONTROL!$C$42, 6.5173, 6.5173)*CHOOSE(CONTROL!$C$21, $C$9, 100%, $E$9)</f>
        <v>6.5172999999999996</v>
      </c>
      <c r="G156" s="10">
        <f>CHOOSE(CONTROL!$C$42, 6.5338, 6.5338)*CHOOSE(CONTROL!$C$21, $C$9, 100%, $E$9)</f>
        <v>6.5338000000000003</v>
      </c>
      <c r="H156" s="10">
        <f>CHOOSE(CONTROL!$C$42, 6.5995, 6.5995) * CHOOSE(CONTROL!$C$21, $C$9, 100%, $E$9)</f>
        <v>6.5994999999999999</v>
      </c>
      <c r="I156" s="10">
        <f>CHOOSE(CONTROL!$C$42, 6.562, 6.562)* CHOOSE(CONTROL!$C$21, $C$9, 100%, $E$9)</f>
        <v>6.5620000000000003</v>
      </c>
      <c r="J156" s="10">
        <f>CHOOSE(CONTROL!$C$42, 6.5099, 6.5099)* CHOOSE(CONTROL!$C$21, $C$9, 100%, $E$9)</f>
        <v>6.5099</v>
      </c>
      <c r="K156" s="10">
        <f>CHOOSE(CONTROL!$C$42, 6.5239, 6.5239) * CHOOSE(CONTROL!$C$21, $C$9, 100%, $E$9)</f>
        <v>6.5239000000000003</v>
      </c>
      <c r="L156" s="10">
        <f>CHOOSE(CONTROL!$C$42, 7.1865, 7.1865) * CHOOSE(CONTROL!$C$21, $C$9, 100%, $E$9)</f>
        <v>7.1864999999999997</v>
      </c>
      <c r="M156" s="10">
        <f>CHOOSE(CONTROL!$C$42, 6.4521, 6.4521) * CHOOSE(CONTROL!$C$21, $C$9, 100%, $E$9)</f>
        <v>6.4520999999999997</v>
      </c>
      <c r="N156" s="10">
        <f>CHOOSE(CONTROL!$C$42, 6.4684, 6.4684) * CHOOSE(CONTROL!$C$21, $C$9, 100%, $E$9)</f>
        <v>6.4683999999999999</v>
      </c>
      <c r="O156" s="10">
        <f>CHOOSE(CONTROL!$C$42, 6.5405, 6.5405) * CHOOSE(CONTROL!$C$21, $C$9, 100%, $E$9)</f>
        <v>6.5404999999999998</v>
      </c>
      <c r="P156" s="10">
        <f>CHOOSE(CONTROL!$C$42, 6.5036, 6.5036) * CHOOSE(CONTROL!$C$21, $C$9, 100%, $E$9)</f>
        <v>6.5035999999999996</v>
      </c>
      <c r="Q156" s="10">
        <f>CHOOSE(CONTROL!$C$42, 7.1358, 7.1358) * CHOOSE(CONTROL!$C$21, $C$9, 100%, $E$9)</f>
        <v>7.1357999999999997</v>
      </c>
      <c r="R156" s="10">
        <f>CHOOSE(CONTROL!$C$42, 7.7406, 7.7406) * CHOOSE(CONTROL!$C$21, $C$9, 100%, $E$9)</f>
        <v>7.7405999999999997</v>
      </c>
      <c r="S156" s="10">
        <f>CHOOSE(CONTROL!$C$42, 6.3562, 6.3562) * CHOOSE(CONTROL!$C$21, $C$9, 100%, $E$9)</f>
        <v>6.3562000000000003</v>
      </c>
      <c r="T15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56" s="38">
        <f>(1000*CHOOSE(CONTROL!$C$42, 695, 695)*CHOOSE(CONTROL!$C$42, 0.5599, 0.5599)*CHOOSE(CONTROL!$C$42, 31, 31))/1000000</f>
        <v>12.063045499999998</v>
      </c>
      <c r="V156" s="38">
        <f>(1000*CHOOSE(CONTROL!$C$42, 500, 500)*CHOOSE(CONTROL!$C$42, 0.275, 0.275)*CHOOSE(CONTROL!$C$42, 31, 31))/1000000</f>
        <v>4.2625000000000002</v>
      </c>
      <c r="W156" s="38">
        <f>(1000*CHOOSE(CONTROL!$C$42, 0.1146, 0.1146)*CHOOSE(CONTROL!$C$42, 121.5, 121.5)*CHOOSE(CONTROL!$C$42, 31, 31))/1000000</f>
        <v>0.43164089999999994</v>
      </c>
      <c r="X156" s="38">
        <f>(31*0.1790888*100000/1000000)+(31*0.2374*100000/1000000)</f>
        <v>1.2911152800000001</v>
      </c>
      <c r="Y156" s="38">
        <f>(1000*600*CHOOSE(CONTROL!$C$42, 1.7341, 1.7341)*CHOOSE(CONTROL!$C$42, 31, 31))/1000000</f>
        <v>32.254260000000002</v>
      </c>
      <c r="Z156" s="38"/>
      <c r="AA156" s="10"/>
      <c r="AB156" s="39"/>
      <c r="AC156" s="33">
        <f>(B156*122.58+C156*297.941+D156*89.177+E156*40.302+F156*40+G156*160+H156*0+I156*100+J156*300)/(122.58+297.941+89.177+40.302+0+40+160+100+300)</f>
        <v>6.5416541156521744</v>
      </c>
      <c r="AD156" s="27">
        <f>(M156*'RAP TEMPLATE-GAS AVAILABILITY'!O155+N156*'RAP TEMPLATE-GAS AVAILABILITY'!P155+O156*'RAP TEMPLATE-GAS AVAILABILITY'!Q155+P156*'RAP TEMPLATE-GAS AVAILABILITY'!R155)/('RAP TEMPLATE-GAS AVAILABILITY'!O155+'RAP TEMPLATE-GAS AVAILABILITY'!P155+'RAP TEMPLATE-GAS AVAILABILITY'!Q155+'RAP TEMPLATE-GAS AVAILABILITY'!R155)</f>
        <v>6.5005143884892078</v>
      </c>
    </row>
    <row r="157" spans="1:30" ht="15">
      <c r="A157" s="16">
        <v>46023</v>
      </c>
      <c r="B157" s="10">
        <f>CHOOSE(CONTROL!$C$42, 7.0395, 7.0395) * CHOOSE(CONTROL!$C$21, $C$9, 100%, $E$9)</f>
        <v>7.0395000000000003</v>
      </c>
      <c r="C157" s="10">
        <f>CHOOSE(CONTROL!$C$42, 7.0446, 7.0446) * CHOOSE(CONTROL!$C$21, $C$9, 100%, $E$9)</f>
        <v>7.0446</v>
      </c>
      <c r="D157" s="10">
        <f>CHOOSE(CONTROL!$C$42, 7.077, 7.077) * CHOOSE(CONTROL!$C$21, $C$9, 100%, $E$9)</f>
        <v>7.077</v>
      </c>
      <c r="E157" s="10">
        <f>CHOOSE(CONTROL!$C$42, 7.1108, 7.1108) * CHOOSE(CONTROL!$C$21, $C$9, 100%, $E$9)</f>
        <v>7.1108000000000002</v>
      </c>
      <c r="F157" s="10">
        <f>CHOOSE(CONTROL!$C$42, 7.0237, 7.0237)*CHOOSE(CONTROL!$C$21, $C$9, 100%, $E$9)</f>
        <v>7.0236999999999998</v>
      </c>
      <c r="G157" s="10">
        <f>CHOOSE(CONTROL!$C$42, 7.0417, 7.0417)*CHOOSE(CONTROL!$C$21, $C$9, 100%, $E$9)</f>
        <v>7.0416999999999996</v>
      </c>
      <c r="H157" s="10">
        <f>CHOOSE(CONTROL!$C$42, 7.0997, 7.0997) * CHOOSE(CONTROL!$C$21, $C$9, 100%, $E$9)</f>
        <v>7.0997000000000003</v>
      </c>
      <c r="I157" s="10">
        <f>CHOOSE(CONTROL!$C$42, 7.0529, 7.0529)* CHOOSE(CONTROL!$C$21, $C$9, 100%, $E$9)</f>
        <v>7.0529000000000002</v>
      </c>
      <c r="J157" s="10">
        <f>CHOOSE(CONTROL!$C$42, 7.0163, 7.0163)* CHOOSE(CONTROL!$C$21, $C$9, 100%, $E$9)</f>
        <v>7.0163000000000002</v>
      </c>
      <c r="K157" s="10">
        <f>CHOOSE(CONTROL!$C$42, 7.0134, 7.0134) * CHOOSE(CONTROL!$C$21, $C$9, 100%, $E$9)</f>
        <v>7.0133999999999999</v>
      </c>
      <c r="L157" s="10">
        <f>CHOOSE(CONTROL!$C$42, 7.6867, 7.6867) * CHOOSE(CONTROL!$C$21, $C$9, 100%, $E$9)</f>
        <v>7.6867000000000001</v>
      </c>
      <c r="M157" s="10">
        <f>CHOOSE(CONTROL!$C$42, 6.9514, 6.9514) * CHOOSE(CONTROL!$C$21, $C$9, 100%, $E$9)</f>
        <v>6.9513999999999996</v>
      </c>
      <c r="N157" s="10">
        <f>CHOOSE(CONTROL!$C$42, 6.9692, 6.9692) * CHOOSE(CONTROL!$C$21, $C$9, 100%, $E$9)</f>
        <v>6.9691999999999998</v>
      </c>
      <c r="O157" s="10">
        <f>CHOOSE(CONTROL!$C$42, 7.0336, 7.0336) * CHOOSE(CONTROL!$C$21, $C$9, 100%, $E$9)</f>
        <v>7.0335999999999999</v>
      </c>
      <c r="P157" s="10">
        <f>CHOOSE(CONTROL!$C$42, 6.9876, 6.9876) * CHOOSE(CONTROL!$C$21, $C$9, 100%, $E$9)</f>
        <v>6.9875999999999996</v>
      </c>
      <c r="Q157" s="10">
        <f>CHOOSE(CONTROL!$C$42, 7.6289, 7.6289) * CHOOSE(CONTROL!$C$21, $C$9, 100%, $E$9)</f>
        <v>7.6288999999999998</v>
      </c>
      <c r="R157" s="10">
        <f>CHOOSE(CONTROL!$C$42, 8.235, 8.235) * CHOOSE(CONTROL!$C$21, $C$9, 100%, $E$9)</f>
        <v>8.2349999999999994</v>
      </c>
      <c r="S157" s="10">
        <f>CHOOSE(CONTROL!$C$42, 6.833, 6.833) * CHOOSE(CONTROL!$C$21, $C$9, 100%, $E$9)</f>
        <v>6.8330000000000002</v>
      </c>
      <c r="T15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57" s="38">
        <f>(1000*CHOOSE(CONTROL!$C$42, 695, 695)*CHOOSE(CONTROL!$C$42, 0.5599, 0.5599)*CHOOSE(CONTROL!$C$42, 31, 31))/1000000</f>
        <v>12.063045499999998</v>
      </c>
      <c r="V157" s="38">
        <f>(1000*CHOOSE(CONTROL!$C$42, 500, 500)*CHOOSE(CONTROL!$C$42, 0.275, 0.275)*CHOOSE(CONTROL!$C$42, 31, 31))/1000000</f>
        <v>4.2625000000000002</v>
      </c>
      <c r="W157" s="38">
        <f>(1000*CHOOSE(CONTROL!$C$42, 0.1146, 0.1146)*CHOOSE(CONTROL!$C$42, 121.5, 121.5)*CHOOSE(CONTROL!$C$42, 31, 31))/1000000</f>
        <v>0.43164089999999994</v>
      </c>
      <c r="X157" s="38">
        <f>(31*0.1790888*100000/1000000)+(31*0.2374*100000/1000000)</f>
        <v>1.2911152800000001</v>
      </c>
      <c r="Y157" s="38">
        <f>(1000*600*CHOOSE(CONTROL!$C$42, 1.7242, 1.7242)*CHOOSE(CONTROL!$C$42, 31, 31))/1000000</f>
        <v>32.070120000000003</v>
      </c>
      <c r="Z157" s="38"/>
      <c r="AA157" s="10"/>
      <c r="AB157" s="39"/>
      <c r="AC157" s="33">
        <f>(B157*122.58+C157*297.941+D157*89.177+E157*40.302+F157*40+G157*160+H157*0+I157*100+J157*300)/(122.58+297.941+89.177+40.302+0+40+160+100+300)</f>
        <v>7.0410975384347818</v>
      </c>
      <c r="AD157" s="27">
        <f>(M157*'RAP TEMPLATE-GAS AVAILABILITY'!O156+N157*'RAP TEMPLATE-GAS AVAILABILITY'!P156+O157*'RAP TEMPLATE-GAS AVAILABILITY'!Q156+P157*'RAP TEMPLATE-GAS AVAILABILITY'!R156)/('RAP TEMPLATE-GAS AVAILABILITY'!O156+'RAP TEMPLATE-GAS AVAILABILITY'!P156+'RAP TEMPLATE-GAS AVAILABILITY'!Q156+'RAP TEMPLATE-GAS AVAILABILITY'!R156)</f>
        <v>6.9948892086330936</v>
      </c>
    </row>
    <row r="158" spans="1:30" ht="15">
      <c r="A158" s="16">
        <v>46054</v>
      </c>
      <c r="B158" s="10">
        <f>CHOOSE(CONTROL!$C$42, 7.1651, 7.1651) * CHOOSE(CONTROL!$C$21, $C$9, 100%, $E$9)</f>
        <v>7.1650999999999998</v>
      </c>
      <c r="C158" s="10">
        <f>CHOOSE(CONTROL!$C$42, 7.1702, 7.1702) * CHOOSE(CONTROL!$C$21, $C$9, 100%, $E$9)</f>
        <v>7.1702000000000004</v>
      </c>
      <c r="D158" s="10">
        <f>CHOOSE(CONTROL!$C$42, 7.2026, 7.2026) * CHOOSE(CONTROL!$C$21, $C$9, 100%, $E$9)</f>
        <v>7.2026000000000003</v>
      </c>
      <c r="E158" s="10">
        <f>CHOOSE(CONTROL!$C$42, 7.2364, 7.2364) * CHOOSE(CONTROL!$C$21, $C$9, 100%, $E$9)</f>
        <v>7.2363999999999997</v>
      </c>
      <c r="F158" s="10">
        <f>CHOOSE(CONTROL!$C$42, 7.1488, 7.1488)*CHOOSE(CONTROL!$C$21, $C$9, 100%, $E$9)</f>
        <v>7.1487999999999996</v>
      </c>
      <c r="G158" s="10">
        <f>CHOOSE(CONTROL!$C$42, 7.1667, 7.1667)*CHOOSE(CONTROL!$C$21, $C$9, 100%, $E$9)</f>
        <v>7.1666999999999996</v>
      </c>
      <c r="H158" s="10">
        <f>CHOOSE(CONTROL!$C$42, 7.2253, 7.2253) * CHOOSE(CONTROL!$C$21, $C$9, 100%, $E$9)</f>
        <v>7.2252999999999998</v>
      </c>
      <c r="I158" s="10">
        <f>CHOOSE(CONTROL!$C$42, 7.1785, 7.1785)* CHOOSE(CONTROL!$C$21, $C$9, 100%, $E$9)</f>
        <v>7.1784999999999997</v>
      </c>
      <c r="J158" s="10">
        <f>CHOOSE(CONTROL!$C$42, 7.1414, 7.1414)* CHOOSE(CONTROL!$C$21, $C$9, 100%, $E$9)</f>
        <v>7.1414</v>
      </c>
      <c r="K158" s="10">
        <f>CHOOSE(CONTROL!$C$42, 7.1341, 7.1341) * CHOOSE(CONTROL!$C$21, $C$9, 100%, $E$9)</f>
        <v>7.1341000000000001</v>
      </c>
      <c r="L158" s="10">
        <f>CHOOSE(CONTROL!$C$42, 7.8123, 7.8123) * CHOOSE(CONTROL!$C$21, $C$9, 100%, $E$9)</f>
        <v>7.8122999999999996</v>
      </c>
      <c r="M158" s="10">
        <f>CHOOSE(CONTROL!$C$42, 7.0748, 7.0748) * CHOOSE(CONTROL!$C$21, $C$9, 100%, $E$9)</f>
        <v>7.0747999999999998</v>
      </c>
      <c r="N158" s="10">
        <f>CHOOSE(CONTROL!$C$42, 7.0925, 7.0925) * CHOOSE(CONTROL!$C$21, $C$9, 100%, $E$9)</f>
        <v>7.0925000000000002</v>
      </c>
      <c r="O158" s="10">
        <f>CHOOSE(CONTROL!$C$42, 7.1575, 7.1575) * CHOOSE(CONTROL!$C$21, $C$9, 100%, $E$9)</f>
        <v>7.1574999999999998</v>
      </c>
      <c r="P158" s="10">
        <f>CHOOSE(CONTROL!$C$42, 7.1114, 7.1114) * CHOOSE(CONTROL!$C$21, $C$9, 100%, $E$9)</f>
        <v>7.1113999999999997</v>
      </c>
      <c r="Q158" s="10">
        <f>CHOOSE(CONTROL!$C$42, 7.7528, 7.7528) * CHOOSE(CONTROL!$C$21, $C$9, 100%, $E$9)</f>
        <v>7.7527999999999997</v>
      </c>
      <c r="R158" s="10">
        <f>CHOOSE(CONTROL!$C$42, 8.3592, 8.3592) * CHOOSE(CONTROL!$C$21, $C$9, 100%, $E$9)</f>
        <v>8.3591999999999995</v>
      </c>
      <c r="S158" s="10">
        <f>CHOOSE(CONTROL!$C$42, 6.9546, 6.9546) * CHOOSE(CONTROL!$C$21, $C$9, 100%, $E$9)</f>
        <v>6.9546000000000001</v>
      </c>
      <c r="T15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58" s="38">
        <f>(1000*CHOOSE(CONTROL!$C$42, 695, 695)*CHOOSE(CONTROL!$C$42, 0.5599, 0.5599)*CHOOSE(CONTROL!$C$42, 28, 28))/1000000</f>
        <v>10.895653999999999</v>
      </c>
      <c r="V158" s="38">
        <f>(1000*CHOOSE(CONTROL!$C$42, 500, 500)*CHOOSE(CONTROL!$C$42, 0.275, 0.275)*CHOOSE(CONTROL!$C$42, 28, 28))/1000000</f>
        <v>3.85</v>
      </c>
      <c r="W158" s="38">
        <f>(1000*CHOOSE(CONTROL!$C$42, 0.1146, 0.1146)*CHOOSE(CONTROL!$C$42, 121.5, 121.5)*CHOOSE(CONTROL!$C$42, 28, 28))/1000000</f>
        <v>0.38986920000000003</v>
      </c>
      <c r="X158" s="38">
        <f>(28*0.1790888*100000/1000000)+(28*0.2374*100000/1000000)</f>
        <v>1.16616864</v>
      </c>
      <c r="Y158" s="38">
        <f>(1000*600*CHOOSE(CONTROL!$C$42, 1.7242, 1.7242)*CHOOSE(CONTROL!$C$42, 28, 28))/1000000</f>
        <v>28.966560000000001</v>
      </c>
      <c r="Z158" s="38"/>
      <c r="AA158" s="10"/>
      <c r="AB158" s="39"/>
      <c r="AC158" s="33">
        <f>(B158*122.58+C158*297.941+D158*89.177+E158*40.302+F158*40+G158*160+H158*0+I158*100+J158*300)/(122.58+297.941+89.177+40.302+0+40+160+100+300)</f>
        <v>7.1664662340869567</v>
      </c>
      <c r="AD158" s="27">
        <f>(M158*'RAP TEMPLATE-GAS AVAILABILITY'!O157+N158*'RAP TEMPLATE-GAS AVAILABILITY'!P157+O158*'RAP TEMPLATE-GAS AVAILABILITY'!Q157+P158*'RAP TEMPLATE-GAS AVAILABILITY'!R157)/('RAP TEMPLATE-GAS AVAILABILITY'!O157+'RAP TEMPLATE-GAS AVAILABILITY'!P157+'RAP TEMPLATE-GAS AVAILABILITY'!Q157+'RAP TEMPLATE-GAS AVAILABILITY'!R157)</f>
        <v>7.1185676258992805</v>
      </c>
    </row>
    <row r="159" spans="1:30" ht="15">
      <c r="A159" s="16">
        <v>46082</v>
      </c>
      <c r="B159" s="10">
        <f>CHOOSE(CONTROL!$C$42, 6.9612, 6.9612) * CHOOSE(CONTROL!$C$21, $C$9, 100%, $E$9)</f>
        <v>6.9611999999999998</v>
      </c>
      <c r="C159" s="10">
        <f>CHOOSE(CONTROL!$C$42, 6.9663, 6.9663) * CHOOSE(CONTROL!$C$21, $C$9, 100%, $E$9)</f>
        <v>6.9663000000000004</v>
      </c>
      <c r="D159" s="10">
        <f>CHOOSE(CONTROL!$C$42, 6.9987, 6.9987) * CHOOSE(CONTROL!$C$21, $C$9, 100%, $E$9)</f>
        <v>6.9987000000000004</v>
      </c>
      <c r="E159" s="10">
        <f>CHOOSE(CONTROL!$C$42, 7.0325, 7.0325) * CHOOSE(CONTROL!$C$21, $C$9, 100%, $E$9)</f>
        <v>7.0324999999999998</v>
      </c>
      <c r="F159" s="10">
        <f>CHOOSE(CONTROL!$C$42, 6.9434, 6.9434)*CHOOSE(CONTROL!$C$21, $C$9, 100%, $E$9)</f>
        <v>6.9433999999999996</v>
      </c>
      <c r="G159" s="10">
        <f>CHOOSE(CONTROL!$C$42, 6.961, 6.961)*CHOOSE(CONTROL!$C$21, $C$9, 100%, $E$9)</f>
        <v>6.9610000000000003</v>
      </c>
      <c r="H159" s="10">
        <f>CHOOSE(CONTROL!$C$42, 7.0214, 7.0214) * CHOOSE(CONTROL!$C$21, $C$9, 100%, $E$9)</f>
        <v>7.0213999999999999</v>
      </c>
      <c r="I159" s="10">
        <f>CHOOSE(CONTROL!$C$42, 6.9746, 6.9746)* CHOOSE(CONTROL!$C$21, $C$9, 100%, $E$9)</f>
        <v>6.9745999999999997</v>
      </c>
      <c r="J159" s="10">
        <f>CHOOSE(CONTROL!$C$42, 6.936, 6.936)* CHOOSE(CONTROL!$C$21, $C$9, 100%, $E$9)</f>
        <v>6.9359999999999999</v>
      </c>
      <c r="K159" s="10">
        <f>CHOOSE(CONTROL!$C$42, 6.9334, 6.9334) * CHOOSE(CONTROL!$C$21, $C$9, 100%, $E$9)</f>
        <v>6.9333999999999998</v>
      </c>
      <c r="L159" s="10">
        <f>CHOOSE(CONTROL!$C$42, 7.6084, 7.6084) * CHOOSE(CONTROL!$C$21, $C$9, 100%, $E$9)</f>
        <v>7.6083999999999996</v>
      </c>
      <c r="M159" s="10">
        <f>CHOOSE(CONTROL!$C$42, 6.8723, 6.8723) * CHOOSE(CONTROL!$C$21, $C$9, 100%, $E$9)</f>
        <v>6.8723000000000001</v>
      </c>
      <c r="N159" s="10">
        <f>CHOOSE(CONTROL!$C$42, 6.8896, 6.8896) * CHOOSE(CONTROL!$C$21, $C$9, 100%, $E$9)</f>
        <v>6.8895999999999997</v>
      </c>
      <c r="O159" s="10">
        <f>CHOOSE(CONTROL!$C$42, 6.9565, 6.9565) * CHOOSE(CONTROL!$C$21, $C$9, 100%, $E$9)</f>
        <v>6.9565000000000001</v>
      </c>
      <c r="P159" s="10">
        <f>CHOOSE(CONTROL!$C$42, 6.9104, 6.9104) * CHOOSE(CONTROL!$C$21, $C$9, 100%, $E$9)</f>
        <v>6.9104000000000001</v>
      </c>
      <c r="Q159" s="10">
        <f>CHOOSE(CONTROL!$C$42, 7.5518, 7.5518) * CHOOSE(CONTROL!$C$21, $C$9, 100%, $E$9)</f>
        <v>7.5518000000000001</v>
      </c>
      <c r="R159" s="10">
        <f>CHOOSE(CONTROL!$C$42, 8.1576, 8.1576) * CHOOSE(CONTROL!$C$21, $C$9, 100%, $E$9)</f>
        <v>8.1576000000000004</v>
      </c>
      <c r="S159" s="10">
        <f>CHOOSE(CONTROL!$C$42, 6.7572, 6.7572) * CHOOSE(CONTROL!$C$21, $C$9, 100%, $E$9)</f>
        <v>6.7572000000000001</v>
      </c>
      <c r="T15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59" s="38">
        <f>(1000*CHOOSE(CONTROL!$C$42, 695, 695)*CHOOSE(CONTROL!$C$42, 0.5599, 0.5599)*CHOOSE(CONTROL!$C$42, 31, 31))/1000000</f>
        <v>12.063045499999998</v>
      </c>
      <c r="V159" s="38">
        <f>(1000*CHOOSE(CONTROL!$C$42, 500, 500)*CHOOSE(CONTROL!$C$42, 0.275, 0.275)*CHOOSE(CONTROL!$C$42, 31, 31))/1000000</f>
        <v>4.2625000000000002</v>
      </c>
      <c r="W159" s="38">
        <f>(1000*CHOOSE(CONTROL!$C$42, 0.1146, 0.1146)*CHOOSE(CONTROL!$C$42, 121.5, 121.5)*CHOOSE(CONTROL!$C$42, 31, 31))/1000000</f>
        <v>0.43164089999999994</v>
      </c>
      <c r="X159" s="38">
        <f>(31*0.1790888*100000/1000000)+(31*0.2374*100000/1000000)</f>
        <v>1.2911152800000001</v>
      </c>
      <c r="Y159" s="38">
        <f>(1000*600*CHOOSE(CONTROL!$C$42, 1.7242, 1.7242)*CHOOSE(CONTROL!$C$42, 31, 31))/1000000</f>
        <v>32.070120000000003</v>
      </c>
      <c r="Z159" s="38"/>
      <c r="AA159" s="10"/>
      <c r="AB159" s="39"/>
      <c r="AC159" s="33">
        <f>(B159*122.58+C159*297.941+D159*89.177+E159*40.302+F159*40+G159*160+H159*0+I159*100+J159*300)/(122.58+297.941+89.177+40.302+0+40+160+100+300)</f>
        <v>6.9618723210434785</v>
      </c>
      <c r="AD159" s="27">
        <f>(M159*'RAP TEMPLATE-GAS AVAILABILITY'!O158+N159*'RAP TEMPLATE-GAS AVAILABILITY'!P158+O159*'RAP TEMPLATE-GAS AVAILABILITY'!Q158+P159*'RAP TEMPLATE-GAS AVAILABILITY'!R158)/('RAP TEMPLATE-GAS AVAILABILITY'!O158+'RAP TEMPLATE-GAS AVAILABILITY'!P158+'RAP TEMPLATE-GAS AVAILABILITY'!Q158+'RAP TEMPLATE-GAS AVAILABILITY'!R158)</f>
        <v>6.9169402877697843</v>
      </c>
    </row>
    <row r="160" spans="1:30" ht="15">
      <c r="A160" s="16">
        <v>46113</v>
      </c>
      <c r="B160" s="10">
        <f>CHOOSE(CONTROL!$C$42, 6.941, 6.941) * CHOOSE(CONTROL!$C$21, $C$9, 100%, $E$9)</f>
        <v>6.9409999999999998</v>
      </c>
      <c r="C160" s="10">
        <f>CHOOSE(CONTROL!$C$42, 6.9456, 6.9456) * CHOOSE(CONTROL!$C$21, $C$9, 100%, $E$9)</f>
        <v>6.9455999999999998</v>
      </c>
      <c r="D160" s="10">
        <f>CHOOSE(CONTROL!$C$42, 7.1057, 7.1057) * CHOOSE(CONTROL!$C$21, $C$9, 100%, $E$9)</f>
        <v>7.1056999999999997</v>
      </c>
      <c r="E160" s="10">
        <f>CHOOSE(CONTROL!$C$42, 7.1376, 7.1376) * CHOOSE(CONTROL!$C$21, $C$9, 100%, $E$9)</f>
        <v>7.1375999999999999</v>
      </c>
      <c r="F160" s="10">
        <f>CHOOSE(CONTROL!$C$42, 6.8872, 6.8872)*CHOOSE(CONTROL!$C$21, $C$9, 100%, $E$9)</f>
        <v>6.8872</v>
      </c>
      <c r="G160" s="10">
        <f>CHOOSE(CONTROL!$C$42, 6.903, 6.903)*CHOOSE(CONTROL!$C$21, $C$9, 100%, $E$9)</f>
        <v>6.9029999999999996</v>
      </c>
      <c r="H160" s="10">
        <f>CHOOSE(CONTROL!$C$42, 7.127, 7.127) * CHOOSE(CONTROL!$C$21, $C$9, 100%, $E$9)</f>
        <v>7.1269999999999998</v>
      </c>
      <c r="I160" s="10">
        <f>CHOOSE(CONTROL!$C$42, 6.9212, 6.9212)* CHOOSE(CONTROL!$C$21, $C$9, 100%, $E$9)</f>
        <v>6.9211999999999998</v>
      </c>
      <c r="J160" s="10">
        <f>CHOOSE(CONTROL!$C$42, 6.8798, 6.8798)* CHOOSE(CONTROL!$C$21, $C$9, 100%, $E$9)</f>
        <v>6.8798000000000004</v>
      </c>
      <c r="K160" s="10">
        <f>CHOOSE(CONTROL!$C$42, 6.8656, 6.8656) * CHOOSE(CONTROL!$C$21, $C$9, 100%, $E$9)</f>
        <v>6.8655999999999997</v>
      </c>
      <c r="L160" s="10">
        <f>CHOOSE(CONTROL!$C$42, 7.714, 7.714) * CHOOSE(CONTROL!$C$21, $C$9, 100%, $E$9)</f>
        <v>7.7140000000000004</v>
      </c>
      <c r="M160" s="10">
        <f>CHOOSE(CONTROL!$C$42, 6.8168, 6.8168) * CHOOSE(CONTROL!$C$21, $C$9, 100%, $E$9)</f>
        <v>6.8167999999999997</v>
      </c>
      <c r="N160" s="10">
        <f>CHOOSE(CONTROL!$C$42, 6.8324, 6.8324) * CHOOSE(CONTROL!$C$21, $C$9, 100%, $E$9)</f>
        <v>6.8323999999999998</v>
      </c>
      <c r="O160" s="10">
        <f>CHOOSE(CONTROL!$C$42, 7.0606, 7.0606) * CHOOSE(CONTROL!$C$21, $C$9, 100%, $E$9)</f>
        <v>7.0606</v>
      </c>
      <c r="P160" s="10">
        <f>CHOOSE(CONTROL!$C$42, 6.8577, 6.8577) * CHOOSE(CONTROL!$C$21, $C$9, 100%, $E$9)</f>
        <v>6.8577000000000004</v>
      </c>
      <c r="Q160" s="10">
        <f>CHOOSE(CONTROL!$C$42, 7.6559, 7.6559) * CHOOSE(CONTROL!$C$21, $C$9, 100%, $E$9)</f>
        <v>7.6558999999999999</v>
      </c>
      <c r="R160" s="10">
        <f>CHOOSE(CONTROL!$C$42, 8.262, 8.262) * CHOOSE(CONTROL!$C$21, $C$9, 100%, $E$9)</f>
        <v>8.2620000000000005</v>
      </c>
      <c r="S160" s="10">
        <f>CHOOSE(CONTROL!$C$42, 6.7369, 6.7369) * CHOOSE(CONTROL!$C$21, $C$9, 100%, $E$9)</f>
        <v>6.7369000000000003</v>
      </c>
      <c r="T16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60" s="38">
        <f>(1000*CHOOSE(CONTROL!$C$42, 695, 695)*CHOOSE(CONTROL!$C$42, 0.5599, 0.5599)*CHOOSE(CONTROL!$C$42, 30, 30))/1000000</f>
        <v>11.673914999999997</v>
      </c>
      <c r="V160" s="38">
        <f>(1000*CHOOSE(CONTROL!$C$42, 500, 500)*CHOOSE(CONTROL!$C$42, 0.275, 0.275)*CHOOSE(CONTROL!$C$42, 30, 30))/1000000</f>
        <v>4.125</v>
      </c>
      <c r="W160" s="38">
        <f>(1000*CHOOSE(CONTROL!$C$42, 0.1146, 0.1146)*CHOOSE(CONTROL!$C$42, 121.5, 121.5)*CHOOSE(CONTROL!$C$42, 30, 30))/1000000</f>
        <v>0.417717</v>
      </c>
      <c r="X160" s="38">
        <f>(30*0.1790888*245000/1000000)+(30*0.2374*100000/1000000)</f>
        <v>2.0285026799999999</v>
      </c>
      <c r="Y160" s="38">
        <f>(1000*600*CHOOSE(CONTROL!$C$42, 1.7242, 1.7242)*CHOOSE(CONTROL!$C$42, 30, 30))/1000000</f>
        <v>31.035599999999999</v>
      </c>
      <c r="Z160" s="38"/>
      <c r="AA160" s="10"/>
      <c r="AB160" s="39"/>
      <c r="AC160" s="33">
        <f>(B160*141.293+C160*267.993+D160*115.016+E160*89.698+F160*40+G160*185+H160*0+I160*100+J160*300)/(141.293+267.993+115.016+89.698+0+40+185+100+300)</f>
        <v>6.9476896931396279</v>
      </c>
      <c r="AD160" s="27">
        <f>(M160*'RAP TEMPLATE-GAS AVAILABILITY'!O159+N160*'RAP TEMPLATE-GAS AVAILABILITY'!P159+O160*'RAP TEMPLATE-GAS AVAILABILITY'!Q159+P160*'RAP TEMPLATE-GAS AVAILABILITY'!R159)/('RAP TEMPLATE-GAS AVAILABILITY'!O159+'RAP TEMPLATE-GAS AVAILABILITY'!P159+'RAP TEMPLATE-GAS AVAILABILITY'!Q159+'RAP TEMPLATE-GAS AVAILABILITY'!R159)</f>
        <v>6.8946805755395681</v>
      </c>
    </row>
    <row r="161" spans="1:30" ht="15">
      <c r="A161" s="16">
        <v>46143</v>
      </c>
      <c r="B161" s="10">
        <f>CHOOSE(CONTROL!$C$42, 7.0043, 7.0043) * CHOOSE(CONTROL!$C$21, $C$9, 100%, $E$9)</f>
        <v>7.0042999999999997</v>
      </c>
      <c r="C161" s="10">
        <f>CHOOSE(CONTROL!$C$42, 7.0123, 7.0123) * CHOOSE(CONTROL!$C$21, $C$9, 100%, $E$9)</f>
        <v>7.0122999999999998</v>
      </c>
      <c r="D161" s="10">
        <f>CHOOSE(CONTROL!$C$42, 7.1693, 7.1693) * CHOOSE(CONTROL!$C$21, $C$9, 100%, $E$9)</f>
        <v>7.1692999999999998</v>
      </c>
      <c r="E161" s="10">
        <f>CHOOSE(CONTROL!$C$42, 7.2005, 7.2005) * CHOOSE(CONTROL!$C$21, $C$9, 100%, $E$9)</f>
        <v>7.2004999999999999</v>
      </c>
      <c r="F161" s="10">
        <f>CHOOSE(CONTROL!$C$42, 6.9484, 6.9484)*CHOOSE(CONTROL!$C$21, $C$9, 100%, $E$9)</f>
        <v>6.9484000000000004</v>
      </c>
      <c r="G161" s="10">
        <f>CHOOSE(CONTROL!$C$42, 6.9645, 6.9645)*CHOOSE(CONTROL!$C$21, $C$9, 100%, $E$9)</f>
        <v>6.9645000000000001</v>
      </c>
      <c r="H161" s="10">
        <f>CHOOSE(CONTROL!$C$42, 7.1889, 7.1889) * CHOOSE(CONTROL!$C$21, $C$9, 100%, $E$9)</f>
        <v>7.1889000000000003</v>
      </c>
      <c r="I161" s="10">
        <f>CHOOSE(CONTROL!$C$42, 6.983, 6.983)* CHOOSE(CONTROL!$C$21, $C$9, 100%, $E$9)</f>
        <v>6.9829999999999997</v>
      </c>
      <c r="J161" s="10">
        <f>CHOOSE(CONTROL!$C$42, 6.941, 6.941)* CHOOSE(CONTROL!$C$21, $C$9, 100%, $E$9)</f>
        <v>6.9409999999999998</v>
      </c>
      <c r="K161" s="10">
        <f>CHOOSE(CONTROL!$C$42, 6.9243, 6.9243) * CHOOSE(CONTROL!$C$21, $C$9, 100%, $E$9)</f>
        <v>6.9242999999999997</v>
      </c>
      <c r="L161" s="10">
        <f>CHOOSE(CONTROL!$C$42, 7.7759, 7.7759) * CHOOSE(CONTROL!$C$21, $C$9, 100%, $E$9)</f>
        <v>7.7759</v>
      </c>
      <c r="M161" s="10">
        <f>CHOOSE(CONTROL!$C$42, 6.8772, 6.8772) * CHOOSE(CONTROL!$C$21, $C$9, 100%, $E$9)</f>
        <v>6.8772000000000002</v>
      </c>
      <c r="N161" s="10">
        <f>CHOOSE(CONTROL!$C$42, 6.8931, 6.8931) * CHOOSE(CONTROL!$C$21, $C$9, 100%, $E$9)</f>
        <v>6.8930999999999996</v>
      </c>
      <c r="O161" s="10">
        <f>CHOOSE(CONTROL!$C$42, 7.1216, 7.1216) * CHOOSE(CONTROL!$C$21, $C$9, 100%, $E$9)</f>
        <v>7.1215999999999999</v>
      </c>
      <c r="P161" s="10">
        <f>CHOOSE(CONTROL!$C$42, 6.9187, 6.9187) * CHOOSE(CONTROL!$C$21, $C$9, 100%, $E$9)</f>
        <v>6.9187000000000003</v>
      </c>
      <c r="Q161" s="10">
        <f>CHOOSE(CONTROL!$C$42, 7.7169, 7.7169) * CHOOSE(CONTROL!$C$21, $C$9, 100%, $E$9)</f>
        <v>7.7168999999999999</v>
      </c>
      <c r="R161" s="10">
        <f>CHOOSE(CONTROL!$C$42, 8.3232, 8.3232) * CHOOSE(CONTROL!$C$21, $C$9, 100%, $E$9)</f>
        <v>8.3231999999999999</v>
      </c>
      <c r="S161" s="10">
        <f>CHOOSE(CONTROL!$C$42, 6.7968, 6.7968) * CHOOSE(CONTROL!$C$21, $C$9, 100%, $E$9)</f>
        <v>6.7968000000000002</v>
      </c>
      <c r="T16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61" s="38">
        <f>(1000*CHOOSE(CONTROL!$C$42, 695, 695)*CHOOSE(CONTROL!$C$42, 0.5599, 0.5599)*CHOOSE(CONTROL!$C$42, 31, 31))/1000000</f>
        <v>12.063045499999998</v>
      </c>
      <c r="V161" s="38">
        <f>(1000*CHOOSE(CONTROL!$C$42, 500, 500)*CHOOSE(CONTROL!$C$42, 0.275, 0.275)*CHOOSE(CONTROL!$C$42, 31, 31))/1000000</f>
        <v>4.2625000000000002</v>
      </c>
      <c r="W161" s="38">
        <f>(1000*CHOOSE(CONTROL!$C$42, 0.1146, 0.1146)*CHOOSE(CONTROL!$C$42, 121.5, 121.5)*CHOOSE(CONTROL!$C$42, 31, 31))/1000000</f>
        <v>0.43164089999999994</v>
      </c>
      <c r="X161" s="38">
        <f>(31*0.1790888*245000/1000000)+(31*0.2374*100000/1000000)</f>
        <v>2.0961194359999999</v>
      </c>
      <c r="Y161" s="38">
        <f>(1000*600*CHOOSE(CONTROL!$C$42, 1.7242, 1.7242)*CHOOSE(CONTROL!$C$42, 31, 31))/1000000</f>
        <v>32.070120000000003</v>
      </c>
      <c r="Z161" s="38"/>
      <c r="AA161" s="10"/>
      <c r="AB161" s="39"/>
      <c r="AC161" s="33">
        <f>(B161*194.205+C161*267.466+D161*133.845+E161*53.484+F161*40+G161*185+H161*0+I161*100+J161*300)/(194.205+267.466+133.845+53.484+0+40+185+100+300)</f>
        <v>7.0074387078492926</v>
      </c>
      <c r="AD161" s="27">
        <f>(M161*'RAP TEMPLATE-GAS AVAILABILITY'!O160+N161*'RAP TEMPLATE-GAS AVAILABILITY'!P160+O161*'RAP TEMPLATE-GAS AVAILABILITY'!Q160+P161*'RAP TEMPLATE-GAS AVAILABILITY'!R160)/('RAP TEMPLATE-GAS AVAILABILITY'!O160+'RAP TEMPLATE-GAS AVAILABILITY'!P160+'RAP TEMPLATE-GAS AVAILABILITY'!Q160+'RAP TEMPLATE-GAS AVAILABILITY'!R160)</f>
        <v>6.9554043165467627</v>
      </c>
    </row>
    <row r="162" spans="1:30" ht="15">
      <c r="A162" s="16">
        <v>46174</v>
      </c>
      <c r="B162" s="10">
        <f>CHOOSE(CONTROL!$C$42, 7.2033, 7.2033) * CHOOSE(CONTROL!$C$21, $C$9, 100%, $E$9)</f>
        <v>7.2032999999999996</v>
      </c>
      <c r="C162" s="10">
        <f>CHOOSE(CONTROL!$C$42, 7.2113, 7.2113) * CHOOSE(CONTROL!$C$21, $C$9, 100%, $E$9)</f>
        <v>7.2112999999999996</v>
      </c>
      <c r="D162" s="10">
        <f>CHOOSE(CONTROL!$C$42, 7.3684, 7.3684) * CHOOSE(CONTROL!$C$21, $C$9, 100%, $E$9)</f>
        <v>7.3684000000000003</v>
      </c>
      <c r="E162" s="10">
        <f>CHOOSE(CONTROL!$C$42, 7.3996, 7.3996) * CHOOSE(CONTROL!$C$21, $C$9, 100%, $E$9)</f>
        <v>7.3996000000000004</v>
      </c>
      <c r="F162" s="10">
        <f>CHOOSE(CONTROL!$C$42, 7.1477, 7.1477)*CHOOSE(CONTROL!$C$21, $C$9, 100%, $E$9)</f>
        <v>7.1477000000000004</v>
      </c>
      <c r="G162" s="10">
        <f>CHOOSE(CONTROL!$C$42, 7.1638, 7.1638)*CHOOSE(CONTROL!$C$21, $C$9, 100%, $E$9)</f>
        <v>7.1638000000000002</v>
      </c>
      <c r="H162" s="10">
        <f>CHOOSE(CONTROL!$C$42, 7.3879, 7.3879) * CHOOSE(CONTROL!$C$21, $C$9, 100%, $E$9)</f>
        <v>7.3879000000000001</v>
      </c>
      <c r="I162" s="10">
        <f>CHOOSE(CONTROL!$C$42, 7.1821, 7.1821)* CHOOSE(CONTROL!$C$21, $C$9, 100%, $E$9)</f>
        <v>7.1821000000000002</v>
      </c>
      <c r="J162" s="10">
        <f>CHOOSE(CONTROL!$C$42, 7.1403, 7.1403)* CHOOSE(CONTROL!$C$21, $C$9, 100%, $E$9)</f>
        <v>7.1402999999999999</v>
      </c>
      <c r="K162" s="10">
        <f>CHOOSE(CONTROL!$C$42, 7.1175, 7.1175) * CHOOSE(CONTROL!$C$21, $C$9, 100%, $E$9)</f>
        <v>7.1174999999999997</v>
      </c>
      <c r="L162" s="10">
        <f>CHOOSE(CONTROL!$C$42, 7.9749, 7.9749) * CHOOSE(CONTROL!$C$21, $C$9, 100%, $E$9)</f>
        <v>7.9748999999999999</v>
      </c>
      <c r="M162" s="10">
        <f>CHOOSE(CONTROL!$C$42, 7.0737, 7.0737) * CHOOSE(CONTROL!$C$21, $C$9, 100%, $E$9)</f>
        <v>7.0736999999999997</v>
      </c>
      <c r="N162" s="10">
        <f>CHOOSE(CONTROL!$C$42, 7.0896, 7.0896) * CHOOSE(CONTROL!$C$21, $C$9, 100%, $E$9)</f>
        <v>7.0895999999999999</v>
      </c>
      <c r="O162" s="10">
        <f>CHOOSE(CONTROL!$C$42, 7.3179, 7.3179) * CHOOSE(CONTROL!$C$21, $C$9, 100%, $E$9)</f>
        <v>7.3178999999999998</v>
      </c>
      <c r="P162" s="10">
        <f>CHOOSE(CONTROL!$C$42, 7.115, 7.115) * CHOOSE(CONTROL!$C$21, $C$9, 100%, $E$9)</f>
        <v>7.1150000000000002</v>
      </c>
      <c r="Q162" s="10">
        <f>CHOOSE(CONTROL!$C$42, 7.9132, 7.9132) * CHOOSE(CONTROL!$C$21, $C$9, 100%, $E$9)</f>
        <v>7.9131999999999998</v>
      </c>
      <c r="R162" s="10">
        <f>CHOOSE(CONTROL!$C$42, 8.52, 8.52) * CHOOSE(CONTROL!$C$21, $C$9, 100%, $E$9)</f>
        <v>8.52</v>
      </c>
      <c r="S162" s="10">
        <f>CHOOSE(CONTROL!$C$42, 6.9896, 6.9896) * CHOOSE(CONTROL!$C$21, $C$9, 100%, $E$9)</f>
        <v>6.9896000000000003</v>
      </c>
      <c r="T16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62" s="38">
        <f>(1000*CHOOSE(CONTROL!$C$42, 695, 695)*CHOOSE(CONTROL!$C$42, 0.5599, 0.5599)*CHOOSE(CONTROL!$C$42, 30, 30))/1000000</f>
        <v>11.673914999999997</v>
      </c>
      <c r="V162" s="38">
        <f>(1000*CHOOSE(CONTROL!$C$42, 500, 500)*CHOOSE(CONTROL!$C$42, 0.275, 0.275)*CHOOSE(CONTROL!$C$42, 30, 30))/1000000</f>
        <v>4.125</v>
      </c>
      <c r="W162" s="38">
        <f>(1000*CHOOSE(CONTROL!$C$42, 0.1146, 0.1146)*CHOOSE(CONTROL!$C$42, 121.5, 121.5)*CHOOSE(CONTROL!$C$42, 30, 30))/1000000</f>
        <v>0.417717</v>
      </c>
      <c r="X162" s="38">
        <f>(30*0.1790888*245000/1000000)+(30*0.2374*100000/1000000)</f>
        <v>2.0285026799999999</v>
      </c>
      <c r="Y162" s="38">
        <f>(1000*600*CHOOSE(CONTROL!$C$42, 1.7242, 1.7242)*CHOOSE(CONTROL!$C$42, 30, 30))/1000000</f>
        <v>31.035599999999999</v>
      </c>
      <c r="Z162" s="38"/>
      <c r="AA162" s="10"/>
      <c r="AB162" s="39"/>
      <c r="AC162" s="33">
        <f>(B162*194.205+C162*267.466+D162*133.845+E162*53.484+F162*40+G162*185+H162*0+I162*100+J162*300)/(194.205+267.466+133.845+53.484+0+40+185+100+300)</f>
        <v>7.2065848875196235</v>
      </c>
      <c r="AD162" s="27">
        <f>(M162*'RAP TEMPLATE-GAS AVAILABILITY'!O161+N162*'RAP TEMPLATE-GAS AVAILABILITY'!P161+O162*'RAP TEMPLATE-GAS AVAILABILITY'!Q161+P162*'RAP TEMPLATE-GAS AVAILABILITY'!R161)/('RAP TEMPLATE-GAS AVAILABILITY'!O161+'RAP TEMPLATE-GAS AVAILABILITY'!P161+'RAP TEMPLATE-GAS AVAILABILITY'!Q161+'RAP TEMPLATE-GAS AVAILABILITY'!R161)</f>
        <v>7.151819424460431</v>
      </c>
    </row>
    <row r="163" spans="1:30" ht="15">
      <c r="A163" s="16">
        <v>46204</v>
      </c>
      <c r="B163" s="10">
        <f>CHOOSE(CONTROL!$C$42, 7.0649, 7.0649) * CHOOSE(CONTROL!$C$21, $C$9, 100%, $E$9)</f>
        <v>7.0648999999999997</v>
      </c>
      <c r="C163" s="10">
        <f>CHOOSE(CONTROL!$C$42, 7.0729, 7.0729) * CHOOSE(CONTROL!$C$21, $C$9, 100%, $E$9)</f>
        <v>7.0728999999999997</v>
      </c>
      <c r="D163" s="10">
        <f>CHOOSE(CONTROL!$C$42, 7.2299, 7.2299) * CHOOSE(CONTROL!$C$21, $C$9, 100%, $E$9)</f>
        <v>7.2298999999999998</v>
      </c>
      <c r="E163" s="10">
        <f>CHOOSE(CONTROL!$C$42, 7.2612, 7.2612) * CHOOSE(CONTROL!$C$21, $C$9, 100%, $E$9)</f>
        <v>7.2611999999999997</v>
      </c>
      <c r="F163" s="10">
        <f>CHOOSE(CONTROL!$C$42, 7.0095, 7.0095)*CHOOSE(CONTROL!$C$21, $C$9, 100%, $E$9)</f>
        <v>7.0095000000000001</v>
      </c>
      <c r="G163" s="10">
        <f>CHOOSE(CONTROL!$C$42, 7.0258, 7.0258)*CHOOSE(CONTROL!$C$21, $C$9, 100%, $E$9)</f>
        <v>7.0258000000000003</v>
      </c>
      <c r="H163" s="10">
        <f>CHOOSE(CONTROL!$C$42, 7.2495, 7.2495) * CHOOSE(CONTROL!$C$21, $C$9, 100%, $E$9)</f>
        <v>7.2495000000000003</v>
      </c>
      <c r="I163" s="10">
        <f>CHOOSE(CONTROL!$C$42, 7.0437, 7.0437)* CHOOSE(CONTROL!$C$21, $C$9, 100%, $E$9)</f>
        <v>7.0437000000000003</v>
      </c>
      <c r="J163" s="10">
        <f>CHOOSE(CONTROL!$C$42, 7.0021, 7.0021)* CHOOSE(CONTROL!$C$21, $C$9, 100%, $E$9)</f>
        <v>7.0021000000000004</v>
      </c>
      <c r="K163" s="10">
        <f>CHOOSE(CONTROL!$C$42, 6.9841, 6.9841) * CHOOSE(CONTROL!$C$21, $C$9, 100%, $E$9)</f>
        <v>6.9840999999999998</v>
      </c>
      <c r="L163" s="10">
        <f>CHOOSE(CONTROL!$C$42, 7.8365, 7.8365) * CHOOSE(CONTROL!$C$21, $C$9, 100%, $E$9)</f>
        <v>7.8365</v>
      </c>
      <c r="M163" s="10">
        <f>CHOOSE(CONTROL!$C$42, 6.9375, 6.9375) * CHOOSE(CONTROL!$C$21, $C$9, 100%, $E$9)</f>
        <v>6.9375</v>
      </c>
      <c r="N163" s="10">
        <f>CHOOSE(CONTROL!$C$42, 6.9535, 6.9535) * CHOOSE(CONTROL!$C$21, $C$9, 100%, $E$9)</f>
        <v>6.9535</v>
      </c>
      <c r="O163" s="10">
        <f>CHOOSE(CONTROL!$C$42, 7.1814, 7.1814) * CHOOSE(CONTROL!$C$21, $C$9, 100%, $E$9)</f>
        <v>7.1814</v>
      </c>
      <c r="P163" s="10">
        <f>CHOOSE(CONTROL!$C$42, 6.9785, 6.9785) * CHOOSE(CONTROL!$C$21, $C$9, 100%, $E$9)</f>
        <v>6.9785000000000004</v>
      </c>
      <c r="Q163" s="10">
        <f>CHOOSE(CONTROL!$C$42, 7.7767, 7.7767) * CHOOSE(CONTROL!$C$21, $C$9, 100%, $E$9)</f>
        <v>7.7766999999999999</v>
      </c>
      <c r="R163" s="10">
        <f>CHOOSE(CONTROL!$C$42, 8.3831, 8.3831) * CHOOSE(CONTROL!$C$21, $C$9, 100%, $E$9)</f>
        <v>8.3831000000000007</v>
      </c>
      <c r="S163" s="10">
        <f>CHOOSE(CONTROL!$C$42, 6.8555, 6.8555) * CHOOSE(CONTROL!$C$21, $C$9, 100%, $E$9)</f>
        <v>6.8555000000000001</v>
      </c>
      <c r="T16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63" s="38">
        <f>(1000*CHOOSE(CONTROL!$C$42, 695, 695)*CHOOSE(CONTROL!$C$42, 0.5599, 0.5599)*CHOOSE(CONTROL!$C$42, 31, 31))/1000000</f>
        <v>12.063045499999998</v>
      </c>
      <c r="V163" s="38">
        <f>(1000*CHOOSE(CONTROL!$C$42, 500, 500)*CHOOSE(CONTROL!$C$42, 0.275, 0.275)*CHOOSE(CONTROL!$C$42, 31, 31))/1000000</f>
        <v>4.2625000000000002</v>
      </c>
      <c r="W163" s="38">
        <f>(1000*CHOOSE(CONTROL!$C$42, 0.1146, 0.1146)*CHOOSE(CONTROL!$C$42, 121.5, 121.5)*CHOOSE(CONTROL!$C$42, 31, 31))/1000000</f>
        <v>0.43164089999999994</v>
      </c>
      <c r="X163" s="38">
        <f>(31*0.1790888*245000/1000000)+(31*0.2374*100000/1000000)</f>
        <v>2.0961194359999999</v>
      </c>
      <c r="Y163" s="38">
        <f>(1000*600*CHOOSE(CONTROL!$C$42, 1.7242, 1.7242)*CHOOSE(CONTROL!$C$42, 31, 31))/1000000</f>
        <v>32.070120000000003</v>
      </c>
      <c r="Z163" s="38"/>
      <c r="AA163" s="10"/>
      <c r="AB163" s="39"/>
      <c r="AC163" s="33">
        <f>(B163*194.205+C163*267.466+D163*133.845+E163*53.484+F163*40+G163*185+H163*0+I163*100+J163*300)/(194.205+267.466+133.845+53.484+0+40+185+100+300)</f>
        <v>7.0682858416012566</v>
      </c>
      <c r="AD163" s="27">
        <f>(M163*'RAP TEMPLATE-GAS AVAILABILITY'!O162+N163*'RAP TEMPLATE-GAS AVAILABILITY'!P162+O163*'RAP TEMPLATE-GAS AVAILABILITY'!Q162+P163*'RAP TEMPLATE-GAS AVAILABILITY'!R162)/('RAP TEMPLATE-GAS AVAILABILITY'!O162+'RAP TEMPLATE-GAS AVAILABILITY'!P162+'RAP TEMPLATE-GAS AVAILABILITY'!Q162+'RAP TEMPLATE-GAS AVAILABILITY'!R162)</f>
        <v>7.0155151079136697</v>
      </c>
    </row>
    <row r="164" spans="1:30" ht="15">
      <c r="A164" s="16">
        <v>46235</v>
      </c>
      <c r="B164" s="10">
        <f>CHOOSE(CONTROL!$C$42, 6.7152, 6.7152) * CHOOSE(CONTROL!$C$21, $C$9, 100%, $E$9)</f>
        <v>6.7152000000000003</v>
      </c>
      <c r="C164" s="10">
        <f>CHOOSE(CONTROL!$C$42, 6.7232, 6.7232) * CHOOSE(CONTROL!$C$21, $C$9, 100%, $E$9)</f>
        <v>6.7232000000000003</v>
      </c>
      <c r="D164" s="10">
        <f>CHOOSE(CONTROL!$C$42, 6.8803, 6.8803) * CHOOSE(CONTROL!$C$21, $C$9, 100%, $E$9)</f>
        <v>6.8803000000000001</v>
      </c>
      <c r="E164" s="10">
        <f>CHOOSE(CONTROL!$C$42, 6.9115, 6.9115) * CHOOSE(CONTROL!$C$21, $C$9, 100%, $E$9)</f>
        <v>6.9115000000000002</v>
      </c>
      <c r="F164" s="10">
        <f>CHOOSE(CONTROL!$C$42, 6.6598, 6.6598)*CHOOSE(CONTROL!$C$21, $C$9, 100%, $E$9)</f>
        <v>6.6597999999999997</v>
      </c>
      <c r="G164" s="10">
        <f>CHOOSE(CONTROL!$C$42, 6.6761, 6.6761)*CHOOSE(CONTROL!$C$21, $C$9, 100%, $E$9)</f>
        <v>6.6760999999999999</v>
      </c>
      <c r="H164" s="10">
        <f>CHOOSE(CONTROL!$C$42, 6.8998, 6.8998) * CHOOSE(CONTROL!$C$21, $C$9, 100%, $E$9)</f>
        <v>6.8997999999999999</v>
      </c>
      <c r="I164" s="10">
        <f>CHOOSE(CONTROL!$C$42, 6.694, 6.694)* CHOOSE(CONTROL!$C$21, $C$9, 100%, $E$9)</f>
        <v>6.694</v>
      </c>
      <c r="J164" s="10">
        <f>CHOOSE(CONTROL!$C$42, 6.6524, 6.6524)* CHOOSE(CONTROL!$C$21, $C$9, 100%, $E$9)</f>
        <v>6.6524000000000001</v>
      </c>
      <c r="K164" s="10">
        <f>CHOOSE(CONTROL!$C$42, 6.6452, 6.6452) * CHOOSE(CONTROL!$C$21, $C$9, 100%, $E$9)</f>
        <v>6.6452</v>
      </c>
      <c r="L164" s="10">
        <f>CHOOSE(CONTROL!$C$42, 7.4868, 7.4868) * CHOOSE(CONTROL!$C$21, $C$9, 100%, $E$9)</f>
        <v>7.4867999999999997</v>
      </c>
      <c r="M164" s="10">
        <f>CHOOSE(CONTROL!$C$42, 6.5926, 6.5926) * CHOOSE(CONTROL!$C$21, $C$9, 100%, $E$9)</f>
        <v>6.5926</v>
      </c>
      <c r="N164" s="10">
        <f>CHOOSE(CONTROL!$C$42, 6.6086, 6.6086) * CHOOSE(CONTROL!$C$21, $C$9, 100%, $E$9)</f>
        <v>6.6086</v>
      </c>
      <c r="O164" s="10">
        <f>CHOOSE(CONTROL!$C$42, 6.8366, 6.8366) * CHOOSE(CONTROL!$C$21, $C$9, 100%, $E$9)</f>
        <v>6.8365999999999998</v>
      </c>
      <c r="P164" s="10">
        <f>CHOOSE(CONTROL!$C$42, 6.6337, 6.6337) * CHOOSE(CONTROL!$C$21, $C$9, 100%, $E$9)</f>
        <v>6.6337000000000002</v>
      </c>
      <c r="Q164" s="10">
        <f>CHOOSE(CONTROL!$C$42, 7.4319, 7.4319) * CHOOSE(CONTROL!$C$21, $C$9, 100%, $E$9)</f>
        <v>7.4318999999999997</v>
      </c>
      <c r="R164" s="10">
        <f>CHOOSE(CONTROL!$C$42, 8.0375, 8.0375) * CHOOSE(CONTROL!$C$21, $C$9, 100%, $E$9)</f>
        <v>8.0374999999999996</v>
      </c>
      <c r="S164" s="10">
        <f>CHOOSE(CONTROL!$C$42, 6.517, 6.517) * CHOOSE(CONTROL!$C$21, $C$9, 100%, $E$9)</f>
        <v>6.5170000000000003</v>
      </c>
      <c r="T16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64" s="38">
        <f>(1000*CHOOSE(CONTROL!$C$42, 695, 695)*CHOOSE(CONTROL!$C$42, 0.5599, 0.5599)*CHOOSE(CONTROL!$C$42, 31, 31))/1000000</f>
        <v>12.063045499999998</v>
      </c>
      <c r="V164" s="38">
        <f>(1000*CHOOSE(CONTROL!$C$42, 500, 500)*CHOOSE(CONTROL!$C$42, 0.275, 0.275)*CHOOSE(CONTROL!$C$42, 31, 31))/1000000</f>
        <v>4.2625000000000002</v>
      </c>
      <c r="W164" s="38">
        <f>(1000*CHOOSE(CONTROL!$C$42, 0.1146, 0.1146)*CHOOSE(CONTROL!$C$42, 121.5, 121.5)*CHOOSE(CONTROL!$C$42, 31, 31))/1000000</f>
        <v>0.43164089999999994</v>
      </c>
      <c r="X164" s="38">
        <f>(31*0.1790888*245000/1000000)+(31*0.2374*100000/1000000)</f>
        <v>2.0961194359999999</v>
      </c>
      <c r="Y164" s="38">
        <f>(1000*600*CHOOSE(CONTROL!$C$42, 1.7242, 1.7242)*CHOOSE(CONTROL!$C$42, 31, 31))/1000000</f>
        <v>32.070120000000003</v>
      </c>
      <c r="Z164" s="38"/>
      <c r="AA164" s="10"/>
      <c r="AB164" s="39"/>
      <c r="AC164" s="33">
        <f>(B164*194.205+C164*267.466+D164*133.845+E164*53.484+F164*40+G164*185+H164*0+I164*100+J164*300)/(194.205+267.466+133.845+53.484+0+40+185+100+300)</f>
        <v>6.7185963474882255</v>
      </c>
      <c r="AD164" s="27">
        <f>(M164*'RAP TEMPLATE-GAS AVAILABILITY'!O163+N164*'RAP TEMPLATE-GAS AVAILABILITY'!P163+O164*'RAP TEMPLATE-GAS AVAILABILITY'!Q163+P164*'RAP TEMPLATE-GAS AVAILABILITY'!R163)/('RAP TEMPLATE-GAS AVAILABILITY'!O163+'RAP TEMPLATE-GAS AVAILABILITY'!P163+'RAP TEMPLATE-GAS AVAILABILITY'!Q163+'RAP TEMPLATE-GAS AVAILABILITY'!R163)</f>
        <v>6.6706575539568345</v>
      </c>
    </row>
    <row r="165" spans="1:30" ht="15">
      <c r="A165" s="16">
        <v>46266</v>
      </c>
      <c r="B165" s="10">
        <f>CHOOSE(CONTROL!$C$42, 6.288, 6.288) * CHOOSE(CONTROL!$C$21, $C$9, 100%, $E$9)</f>
        <v>6.2880000000000003</v>
      </c>
      <c r="C165" s="10">
        <f>CHOOSE(CONTROL!$C$42, 6.296, 6.296) * CHOOSE(CONTROL!$C$21, $C$9, 100%, $E$9)</f>
        <v>6.2960000000000003</v>
      </c>
      <c r="D165" s="10">
        <f>CHOOSE(CONTROL!$C$42, 6.4531, 6.4531) * CHOOSE(CONTROL!$C$21, $C$9, 100%, $E$9)</f>
        <v>6.4531000000000001</v>
      </c>
      <c r="E165" s="10">
        <f>CHOOSE(CONTROL!$C$42, 6.4843, 6.4843) * CHOOSE(CONTROL!$C$21, $C$9, 100%, $E$9)</f>
        <v>6.4843000000000002</v>
      </c>
      <c r="F165" s="10">
        <f>CHOOSE(CONTROL!$C$42, 6.2324, 6.2324)*CHOOSE(CONTROL!$C$21, $C$9, 100%, $E$9)</f>
        <v>6.2324000000000002</v>
      </c>
      <c r="G165" s="10">
        <f>CHOOSE(CONTROL!$C$42, 6.2486, 6.2486)*CHOOSE(CONTROL!$C$21, $C$9, 100%, $E$9)</f>
        <v>6.2485999999999997</v>
      </c>
      <c r="H165" s="10">
        <f>CHOOSE(CONTROL!$C$42, 6.4726, 6.4726) * CHOOSE(CONTROL!$C$21, $C$9, 100%, $E$9)</f>
        <v>6.4725999999999999</v>
      </c>
      <c r="I165" s="10">
        <f>CHOOSE(CONTROL!$C$42, 6.2668, 6.2668)* CHOOSE(CONTROL!$C$21, $C$9, 100%, $E$9)</f>
        <v>6.2667999999999999</v>
      </c>
      <c r="J165" s="10">
        <f>CHOOSE(CONTROL!$C$42, 6.225, 6.225)* CHOOSE(CONTROL!$C$21, $C$9, 100%, $E$9)</f>
        <v>6.2249999999999996</v>
      </c>
      <c r="K165" s="10">
        <f>CHOOSE(CONTROL!$C$42, 6.2309, 6.2309) * CHOOSE(CONTROL!$C$21, $C$9, 100%, $E$9)</f>
        <v>6.2309000000000001</v>
      </c>
      <c r="L165" s="10">
        <f>CHOOSE(CONTROL!$C$42, 7.0596, 7.0596) * CHOOSE(CONTROL!$C$21, $C$9, 100%, $E$9)</f>
        <v>7.0595999999999997</v>
      </c>
      <c r="M165" s="10">
        <f>CHOOSE(CONTROL!$C$42, 6.1712, 6.1712) * CHOOSE(CONTROL!$C$21, $C$9, 100%, $E$9)</f>
        <v>6.1711999999999998</v>
      </c>
      <c r="N165" s="10">
        <f>CHOOSE(CONTROL!$C$42, 6.1872, 6.1872) * CHOOSE(CONTROL!$C$21, $C$9, 100%, $E$9)</f>
        <v>6.1871999999999998</v>
      </c>
      <c r="O165" s="10">
        <f>CHOOSE(CONTROL!$C$42, 6.4154, 6.4154) * CHOOSE(CONTROL!$C$21, $C$9, 100%, $E$9)</f>
        <v>6.4154</v>
      </c>
      <c r="P165" s="10">
        <f>CHOOSE(CONTROL!$C$42, 6.2125, 6.2125) * CHOOSE(CONTROL!$C$21, $C$9, 100%, $E$9)</f>
        <v>6.2125000000000004</v>
      </c>
      <c r="Q165" s="10">
        <f>CHOOSE(CONTROL!$C$42, 7.0107, 7.0107) * CHOOSE(CONTROL!$C$21, $C$9, 100%, $E$9)</f>
        <v>7.0106999999999999</v>
      </c>
      <c r="R165" s="10">
        <f>CHOOSE(CONTROL!$C$42, 7.6152, 7.6152) * CHOOSE(CONTROL!$C$21, $C$9, 100%, $E$9)</f>
        <v>7.6151999999999997</v>
      </c>
      <c r="S165" s="10">
        <f>CHOOSE(CONTROL!$C$42, 6.1033, 6.1033) * CHOOSE(CONTROL!$C$21, $C$9, 100%, $E$9)</f>
        <v>6.1032999999999999</v>
      </c>
      <c r="T16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65" s="38">
        <f>(1000*CHOOSE(CONTROL!$C$42, 695, 695)*CHOOSE(CONTROL!$C$42, 0.5599, 0.5599)*CHOOSE(CONTROL!$C$42, 30, 30))/1000000</f>
        <v>11.673914999999997</v>
      </c>
      <c r="V165" s="38">
        <f>(1000*CHOOSE(CONTROL!$C$42, 500, 500)*CHOOSE(CONTROL!$C$42, 0.275, 0.275)*CHOOSE(CONTROL!$C$42, 30, 30))/1000000</f>
        <v>4.125</v>
      </c>
      <c r="W165" s="38">
        <f>(1000*CHOOSE(CONTROL!$C$42, 0.1146, 0.1146)*CHOOSE(CONTROL!$C$42, 121.5, 121.5)*CHOOSE(CONTROL!$C$42, 30, 30))/1000000</f>
        <v>0.417717</v>
      </c>
      <c r="X165" s="38">
        <f>(30*0.1790888*245000/1000000)+(30*0.2374*100000/1000000)</f>
        <v>2.0285026799999999</v>
      </c>
      <c r="Y165" s="38">
        <f>(1000*600*CHOOSE(CONTROL!$C$42, 1.7242, 1.7242)*CHOOSE(CONTROL!$C$42, 30, 30))/1000000</f>
        <v>31.035599999999999</v>
      </c>
      <c r="Z165" s="38"/>
      <c r="AA165" s="10"/>
      <c r="AB165" s="39"/>
      <c r="AC165" s="33">
        <f>(B165*194.205+C165*267.466+D165*133.845+E165*53.484+F165*40+G165*185+H165*0+I165*100+J165*300)/(194.205+267.466+133.845+53.484+0+40+185+100+300)</f>
        <v>6.2912994087127174</v>
      </c>
      <c r="AD165" s="27">
        <f>(M165*'RAP TEMPLATE-GAS AVAILABILITY'!O164+N165*'RAP TEMPLATE-GAS AVAILABILITY'!P164+O165*'RAP TEMPLATE-GAS AVAILABILITY'!Q164+P165*'RAP TEMPLATE-GAS AVAILABILITY'!R164)/('RAP TEMPLATE-GAS AVAILABILITY'!O164+'RAP TEMPLATE-GAS AVAILABILITY'!P164+'RAP TEMPLATE-GAS AVAILABILITY'!Q164+'RAP TEMPLATE-GAS AVAILABILITY'!R164)</f>
        <v>6.2493424460431646</v>
      </c>
    </row>
    <row r="166" spans="1:30" ht="15">
      <c r="A166" s="16">
        <v>46296</v>
      </c>
      <c r="B166" s="10">
        <f>CHOOSE(CONTROL!$C$42, 6.1579, 6.1579) * CHOOSE(CONTROL!$C$21, $C$9, 100%, $E$9)</f>
        <v>6.1578999999999997</v>
      </c>
      <c r="C166" s="10">
        <f>CHOOSE(CONTROL!$C$42, 6.1633, 6.1633) * CHOOSE(CONTROL!$C$21, $C$9, 100%, $E$9)</f>
        <v>6.1632999999999996</v>
      </c>
      <c r="D166" s="10">
        <f>CHOOSE(CONTROL!$C$42, 6.3252, 6.3252) * CHOOSE(CONTROL!$C$21, $C$9, 100%, $E$9)</f>
        <v>6.3251999999999997</v>
      </c>
      <c r="E166" s="10">
        <f>CHOOSE(CONTROL!$C$42, 6.3541, 6.3541) * CHOOSE(CONTROL!$C$21, $C$9, 100%, $E$9)</f>
        <v>6.3540999999999999</v>
      </c>
      <c r="F166" s="10">
        <f>CHOOSE(CONTROL!$C$42, 6.1043, 6.1043)*CHOOSE(CONTROL!$C$21, $C$9, 100%, $E$9)</f>
        <v>6.1043000000000003</v>
      </c>
      <c r="G166" s="10">
        <f>CHOOSE(CONTROL!$C$42, 6.1201, 6.1201)*CHOOSE(CONTROL!$C$21, $C$9, 100%, $E$9)</f>
        <v>6.1200999999999999</v>
      </c>
      <c r="H166" s="10">
        <f>CHOOSE(CONTROL!$C$42, 6.3442, 6.3442) * CHOOSE(CONTROL!$C$21, $C$9, 100%, $E$9)</f>
        <v>6.3441999999999998</v>
      </c>
      <c r="I166" s="10">
        <f>CHOOSE(CONTROL!$C$42, 6.1384, 6.1384)* CHOOSE(CONTROL!$C$21, $C$9, 100%, $E$9)</f>
        <v>6.1383999999999999</v>
      </c>
      <c r="J166" s="10">
        <f>CHOOSE(CONTROL!$C$42, 6.0969, 6.0969)* CHOOSE(CONTROL!$C$21, $C$9, 100%, $E$9)</f>
        <v>6.0968999999999998</v>
      </c>
      <c r="K166" s="10">
        <f>CHOOSE(CONTROL!$C$42, 6.1072, 6.1072) * CHOOSE(CONTROL!$C$21, $C$9, 100%, $E$9)</f>
        <v>6.1071999999999997</v>
      </c>
      <c r="L166" s="10">
        <f>CHOOSE(CONTROL!$C$42, 6.9312, 6.9312) * CHOOSE(CONTROL!$C$21, $C$9, 100%, $E$9)</f>
        <v>6.9311999999999996</v>
      </c>
      <c r="M166" s="10">
        <f>CHOOSE(CONTROL!$C$42, 6.0449, 6.0449) * CHOOSE(CONTROL!$C$21, $C$9, 100%, $E$9)</f>
        <v>6.0449000000000002</v>
      </c>
      <c r="N166" s="10">
        <f>CHOOSE(CONTROL!$C$42, 6.0605, 6.0605) * CHOOSE(CONTROL!$C$21, $C$9, 100%, $E$9)</f>
        <v>6.0605000000000002</v>
      </c>
      <c r="O166" s="10">
        <f>CHOOSE(CONTROL!$C$42, 6.2887, 6.2887) * CHOOSE(CONTROL!$C$21, $C$9, 100%, $E$9)</f>
        <v>6.2887000000000004</v>
      </c>
      <c r="P166" s="10">
        <f>CHOOSE(CONTROL!$C$42, 6.0859, 6.0859) * CHOOSE(CONTROL!$C$21, $C$9, 100%, $E$9)</f>
        <v>6.0858999999999996</v>
      </c>
      <c r="Q166" s="10">
        <f>CHOOSE(CONTROL!$C$42, 6.884, 6.884) * CHOOSE(CONTROL!$C$21, $C$9, 100%, $E$9)</f>
        <v>6.8840000000000003</v>
      </c>
      <c r="R166" s="10">
        <f>CHOOSE(CONTROL!$C$42, 7.4883, 7.4883) * CHOOSE(CONTROL!$C$21, $C$9, 100%, $E$9)</f>
        <v>7.4882999999999997</v>
      </c>
      <c r="S166" s="10">
        <f>CHOOSE(CONTROL!$C$42, 5.979, 5.979) * CHOOSE(CONTROL!$C$21, $C$9, 100%, $E$9)</f>
        <v>5.9790000000000001</v>
      </c>
      <c r="T16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66" s="38">
        <f>(1000*CHOOSE(CONTROL!$C$42, 695, 695)*CHOOSE(CONTROL!$C$42, 0.5599, 0.5599)*CHOOSE(CONTROL!$C$42, 31, 31))/1000000</f>
        <v>12.063045499999998</v>
      </c>
      <c r="V166" s="38">
        <f>(1000*CHOOSE(CONTROL!$C$42, 500, 500)*CHOOSE(CONTROL!$C$42, 0.275, 0.275)*CHOOSE(CONTROL!$C$42, 31, 31))/1000000</f>
        <v>4.2625000000000002</v>
      </c>
      <c r="W166" s="38">
        <f>(1000*CHOOSE(CONTROL!$C$42, 0.1146, 0.1146)*CHOOSE(CONTROL!$C$42, 121.5, 121.5)*CHOOSE(CONTROL!$C$42, 31, 31))/1000000</f>
        <v>0.43164089999999994</v>
      </c>
      <c r="X166" s="38">
        <f>(31*0.1790888*245000/1000000)+(31*0.2374*100000/1000000)</f>
        <v>2.0961194359999999</v>
      </c>
      <c r="Y166" s="38">
        <f>(1000*600*CHOOSE(CONTROL!$C$42, 1.7242, 1.7242)*CHOOSE(CONTROL!$C$42, 31, 31))/1000000</f>
        <v>32.070120000000003</v>
      </c>
      <c r="Z166" s="38"/>
      <c r="AA166" s="10"/>
      <c r="AB166" s="39"/>
      <c r="AC166" s="33">
        <f>(B166*131.881+C166*277.167+D166*79.08+E166*125.872+F166*40+G166*185+H166*0+I166*100+J166*300)/(131.881+277.167+79.08+125.872+0+40+185+100+300)</f>
        <v>6.1659999775625502</v>
      </c>
      <c r="AD166" s="27">
        <f>(M166*'RAP TEMPLATE-GAS AVAILABILITY'!O165+N166*'RAP TEMPLATE-GAS AVAILABILITY'!P165+O166*'RAP TEMPLATE-GAS AVAILABILITY'!Q165+P166*'RAP TEMPLATE-GAS AVAILABILITY'!R165)/('RAP TEMPLATE-GAS AVAILABILITY'!O165+'RAP TEMPLATE-GAS AVAILABILITY'!P165+'RAP TEMPLATE-GAS AVAILABILITY'!Q165+'RAP TEMPLATE-GAS AVAILABILITY'!R165)</f>
        <v>6.1227949640287775</v>
      </c>
    </row>
    <row r="167" spans="1:30" ht="15">
      <c r="A167" s="16">
        <v>46327</v>
      </c>
      <c r="B167" s="10">
        <f>CHOOSE(CONTROL!$C$42, 6.3201, 6.3201) * CHOOSE(CONTROL!$C$21, $C$9, 100%, $E$9)</f>
        <v>6.3201000000000001</v>
      </c>
      <c r="C167" s="10">
        <f>CHOOSE(CONTROL!$C$42, 6.3252, 6.3252) * CHOOSE(CONTROL!$C$21, $C$9, 100%, $E$9)</f>
        <v>6.3251999999999997</v>
      </c>
      <c r="D167" s="10">
        <f>CHOOSE(CONTROL!$C$42, 6.3499, 6.3499) * CHOOSE(CONTROL!$C$21, $C$9, 100%, $E$9)</f>
        <v>6.3498999999999999</v>
      </c>
      <c r="E167" s="10">
        <f>CHOOSE(CONTROL!$C$42, 6.3837, 6.3837) * CHOOSE(CONTROL!$C$21, $C$9, 100%, $E$9)</f>
        <v>6.3837000000000002</v>
      </c>
      <c r="F167" s="10">
        <f>CHOOSE(CONTROL!$C$42, 6.2885, 6.2885)*CHOOSE(CONTROL!$C$21, $C$9, 100%, $E$9)</f>
        <v>6.2885</v>
      </c>
      <c r="G167" s="10">
        <f>CHOOSE(CONTROL!$C$42, 6.3045, 6.3045)*CHOOSE(CONTROL!$C$21, $C$9, 100%, $E$9)</f>
        <v>6.3045</v>
      </c>
      <c r="H167" s="10">
        <f>CHOOSE(CONTROL!$C$42, 6.3726, 6.3726) * CHOOSE(CONTROL!$C$21, $C$9, 100%, $E$9)</f>
        <v>6.3726000000000003</v>
      </c>
      <c r="I167" s="10">
        <f>CHOOSE(CONTROL!$C$42, 6.3351, 6.3351)* CHOOSE(CONTROL!$C$21, $C$9, 100%, $E$9)</f>
        <v>6.3350999999999997</v>
      </c>
      <c r="J167" s="10">
        <f>CHOOSE(CONTROL!$C$42, 6.2811, 6.2811)* CHOOSE(CONTROL!$C$21, $C$9, 100%, $E$9)</f>
        <v>6.2811000000000003</v>
      </c>
      <c r="K167" s="10">
        <f>CHOOSE(CONTROL!$C$42, 6.3, 6.3) * CHOOSE(CONTROL!$C$21, $C$9, 100%, $E$9)</f>
        <v>6.3</v>
      </c>
      <c r="L167" s="10">
        <f>CHOOSE(CONTROL!$C$42, 6.9596, 6.9596) * CHOOSE(CONTROL!$C$21, $C$9, 100%, $E$9)</f>
        <v>6.9596</v>
      </c>
      <c r="M167" s="10">
        <f>CHOOSE(CONTROL!$C$42, 6.2265, 6.2265) * CHOOSE(CONTROL!$C$21, $C$9, 100%, $E$9)</f>
        <v>6.2264999999999997</v>
      </c>
      <c r="N167" s="10">
        <f>CHOOSE(CONTROL!$C$42, 6.2423, 6.2423) * CHOOSE(CONTROL!$C$21, $C$9, 100%, $E$9)</f>
        <v>6.2423000000000002</v>
      </c>
      <c r="O167" s="10">
        <f>CHOOSE(CONTROL!$C$42, 6.3167, 6.3167) * CHOOSE(CONTROL!$C$21, $C$9, 100%, $E$9)</f>
        <v>6.3167</v>
      </c>
      <c r="P167" s="10">
        <f>CHOOSE(CONTROL!$C$42, 6.2798, 6.2798) * CHOOSE(CONTROL!$C$21, $C$9, 100%, $E$9)</f>
        <v>6.2797999999999998</v>
      </c>
      <c r="Q167" s="10">
        <f>CHOOSE(CONTROL!$C$42, 6.912, 6.912) * CHOOSE(CONTROL!$C$21, $C$9, 100%, $E$9)</f>
        <v>6.9119999999999999</v>
      </c>
      <c r="R167" s="10">
        <f>CHOOSE(CONTROL!$C$42, 7.5163, 7.5163) * CHOOSE(CONTROL!$C$21, $C$9, 100%, $E$9)</f>
        <v>7.5163000000000002</v>
      </c>
      <c r="S167" s="10">
        <f>CHOOSE(CONTROL!$C$42, 6.1365, 6.1365) * CHOOSE(CONTROL!$C$21, $C$9, 100%, $E$9)</f>
        <v>6.1364999999999998</v>
      </c>
      <c r="T16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67" s="38">
        <f>(1000*CHOOSE(CONTROL!$C$42, 695, 695)*CHOOSE(CONTROL!$C$42, 0.5599, 0.5599)*CHOOSE(CONTROL!$C$42, 30, 30))/1000000</f>
        <v>11.673914999999997</v>
      </c>
      <c r="V167" s="38">
        <f>(1000*CHOOSE(CONTROL!$C$42, 500, 500)*CHOOSE(CONTROL!$C$42, 0.275, 0.275)*CHOOSE(CONTROL!$C$42, 30, 30))/1000000</f>
        <v>4.125</v>
      </c>
      <c r="W167" s="38">
        <f>(1000*CHOOSE(CONTROL!$C$42, 0.1146, 0.1146)*CHOOSE(CONTROL!$C$42, 121.5, 121.5)*CHOOSE(CONTROL!$C$42, 30, 30))/1000000</f>
        <v>0.417717</v>
      </c>
      <c r="X167" s="38">
        <f>(30*0.1790888*100000/1000000)+(30*0.2374*100000/1000000)</f>
        <v>1.2494664</v>
      </c>
      <c r="Y167" s="38">
        <f>(1000*600*CHOOSE(CONTROL!$C$42, 1.7242, 1.7242)*CHOOSE(CONTROL!$C$42, 30, 30))/1000000</f>
        <v>31.035599999999999</v>
      </c>
      <c r="Z167" s="38"/>
      <c r="AA167" s="10"/>
      <c r="AB167" s="39"/>
      <c r="AC167" s="33">
        <f>(B167*122.58+C167*297.941+D167*89.177+E167*40.302+F167*40+G167*160+H167*0+I167*100+J167*300)/(122.58+297.941+89.177+40.302+0+40+160+100+300)</f>
        <v>6.3138218964347814</v>
      </c>
      <c r="AD167" s="27">
        <f>(M167*'RAP TEMPLATE-GAS AVAILABILITY'!O166+N167*'RAP TEMPLATE-GAS AVAILABILITY'!P166+O167*'RAP TEMPLATE-GAS AVAILABILITY'!Q166+P167*'RAP TEMPLATE-GAS AVAILABILITY'!R166)/('RAP TEMPLATE-GAS AVAILABILITY'!O166+'RAP TEMPLATE-GAS AVAILABILITY'!P166+'RAP TEMPLATE-GAS AVAILABILITY'!Q166+'RAP TEMPLATE-GAS AVAILABILITY'!R166)</f>
        <v>6.275960431654676</v>
      </c>
    </row>
    <row r="168" spans="1:30" ht="15">
      <c r="A168" s="16">
        <v>46357</v>
      </c>
      <c r="B168" s="10">
        <f>CHOOSE(CONTROL!$C$42, 6.7522, 6.7522) * CHOOSE(CONTROL!$C$21, $C$9, 100%, $E$9)</f>
        <v>6.7522000000000002</v>
      </c>
      <c r="C168" s="10">
        <f>CHOOSE(CONTROL!$C$42, 6.7573, 6.7573) * CHOOSE(CONTROL!$C$21, $C$9, 100%, $E$9)</f>
        <v>6.7572999999999999</v>
      </c>
      <c r="D168" s="10">
        <f>CHOOSE(CONTROL!$C$42, 6.7819, 6.7819) * CHOOSE(CONTROL!$C$21, $C$9, 100%, $E$9)</f>
        <v>6.7819000000000003</v>
      </c>
      <c r="E168" s="10">
        <f>CHOOSE(CONTROL!$C$42, 6.8157, 6.8157) * CHOOSE(CONTROL!$C$21, $C$9, 100%, $E$9)</f>
        <v>6.8156999999999996</v>
      </c>
      <c r="F168" s="10">
        <f>CHOOSE(CONTROL!$C$42, 6.7224, 6.7224)*CHOOSE(CONTROL!$C$21, $C$9, 100%, $E$9)</f>
        <v>6.7224000000000004</v>
      </c>
      <c r="G168" s="10">
        <f>CHOOSE(CONTROL!$C$42, 6.7389, 6.7389)*CHOOSE(CONTROL!$C$21, $C$9, 100%, $E$9)</f>
        <v>6.7389000000000001</v>
      </c>
      <c r="H168" s="10">
        <f>CHOOSE(CONTROL!$C$42, 6.8046, 6.8046) * CHOOSE(CONTROL!$C$21, $C$9, 100%, $E$9)</f>
        <v>6.8045999999999998</v>
      </c>
      <c r="I168" s="10">
        <f>CHOOSE(CONTROL!$C$42, 6.7671, 6.7671)* CHOOSE(CONTROL!$C$21, $C$9, 100%, $E$9)</f>
        <v>6.7671000000000001</v>
      </c>
      <c r="J168" s="10">
        <f>CHOOSE(CONTROL!$C$42, 6.715, 6.715)* CHOOSE(CONTROL!$C$21, $C$9, 100%, $E$9)</f>
        <v>6.7149999999999999</v>
      </c>
      <c r="K168" s="10">
        <f>CHOOSE(CONTROL!$C$42, 6.7226, 6.7226) * CHOOSE(CONTROL!$C$21, $C$9, 100%, $E$9)</f>
        <v>6.7225999999999999</v>
      </c>
      <c r="L168" s="10">
        <f>CHOOSE(CONTROL!$C$42, 7.3916, 7.3916) * CHOOSE(CONTROL!$C$21, $C$9, 100%, $E$9)</f>
        <v>7.3916000000000004</v>
      </c>
      <c r="M168" s="10">
        <f>CHOOSE(CONTROL!$C$42, 6.6544, 6.6544) * CHOOSE(CONTROL!$C$21, $C$9, 100%, $E$9)</f>
        <v>6.6543999999999999</v>
      </c>
      <c r="N168" s="10">
        <f>CHOOSE(CONTROL!$C$42, 6.6706, 6.6706) * CHOOSE(CONTROL!$C$21, $C$9, 100%, $E$9)</f>
        <v>6.6706000000000003</v>
      </c>
      <c r="O168" s="10">
        <f>CHOOSE(CONTROL!$C$42, 6.7427, 6.7427) * CHOOSE(CONTROL!$C$21, $C$9, 100%, $E$9)</f>
        <v>6.7427000000000001</v>
      </c>
      <c r="P168" s="10">
        <f>CHOOSE(CONTROL!$C$42, 6.7058, 6.7058) * CHOOSE(CONTROL!$C$21, $C$9, 100%, $E$9)</f>
        <v>6.7058</v>
      </c>
      <c r="Q168" s="10">
        <f>CHOOSE(CONTROL!$C$42, 7.338, 7.338) * CHOOSE(CONTROL!$C$21, $C$9, 100%, $E$9)</f>
        <v>7.3380000000000001</v>
      </c>
      <c r="R168" s="10">
        <f>CHOOSE(CONTROL!$C$42, 7.9434, 7.9434) * CHOOSE(CONTROL!$C$21, $C$9, 100%, $E$9)</f>
        <v>7.9433999999999996</v>
      </c>
      <c r="S168" s="10">
        <f>CHOOSE(CONTROL!$C$42, 6.5548, 6.5548) * CHOOSE(CONTROL!$C$21, $C$9, 100%, $E$9)</f>
        <v>6.5548000000000002</v>
      </c>
      <c r="T16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68" s="38">
        <f>(1000*CHOOSE(CONTROL!$C$42, 695, 695)*CHOOSE(CONTROL!$C$42, 0.5599, 0.5599)*CHOOSE(CONTROL!$C$42, 31, 31))/1000000</f>
        <v>12.063045499999998</v>
      </c>
      <c r="V168" s="38">
        <f>(1000*CHOOSE(CONTROL!$C$42, 500, 500)*CHOOSE(CONTROL!$C$42, 0.275, 0.275)*CHOOSE(CONTROL!$C$42, 31, 31))/1000000</f>
        <v>4.2625000000000002</v>
      </c>
      <c r="W168" s="38">
        <f>(1000*CHOOSE(CONTROL!$C$42, 0.1146, 0.1146)*CHOOSE(CONTROL!$C$42, 121.5, 121.5)*CHOOSE(CONTROL!$C$42, 31, 31))/1000000</f>
        <v>0.43164089999999994</v>
      </c>
      <c r="X168" s="38">
        <f>(31*0.1790888*100000/1000000)+(31*0.2374*100000/1000000)</f>
        <v>1.2911152800000001</v>
      </c>
      <c r="Y168" s="38">
        <f>(1000*600*CHOOSE(CONTROL!$C$42, 1.7242, 1.7242)*CHOOSE(CONTROL!$C$42, 31, 31))/1000000</f>
        <v>32.070120000000003</v>
      </c>
      <c r="Z168" s="38"/>
      <c r="AA168" s="10"/>
      <c r="AB168" s="39"/>
      <c r="AC168" s="33">
        <f>(B168*122.58+C168*297.941+D168*89.177+E168*40.302+F168*40+G168*160+H168*0+I168*100+J168*300)/(122.58+297.941+89.177+40.302+0+40+160+100+300)</f>
        <v>6.7467541156521733</v>
      </c>
      <c r="AD168" s="27">
        <f>(M168*'RAP TEMPLATE-GAS AVAILABILITY'!O167+N168*'RAP TEMPLATE-GAS AVAILABILITY'!P167+O168*'RAP TEMPLATE-GAS AVAILABILITY'!Q167+P168*'RAP TEMPLATE-GAS AVAILABILITY'!R167)/('RAP TEMPLATE-GAS AVAILABILITY'!O167+'RAP TEMPLATE-GAS AVAILABILITY'!P167+'RAP TEMPLATE-GAS AVAILABILITY'!Q167+'RAP TEMPLATE-GAS AVAILABILITY'!R167)</f>
        <v>6.7027489208633089</v>
      </c>
    </row>
    <row r="169" spans="1:30" ht="15">
      <c r="A169" s="16">
        <v>46388</v>
      </c>
      <c r="B169" s="10">
        <f>CHOOSE(CONTROL!$C$42, 7.3067, 7.3067) * CHOOSE(CONTROL!$C$21, $C$9, 100%, $E$9)</f>
        <v>7.3067000000000002</v>
      </c>
      <c r="C169" s="10">
        <f>CHOOSE(CONTROL!$C$42, 7.3118, 7.3118) * CHOOSE(CONTROL!$C$21, $C$9, 100%, $E$9)</f>
        <v>7.3117999999999999</v>
      </c>
      <c r="D169" s="10">
        <f>CHOOSE(CONTROL!$C$42, 7.3442, 7.3442) * CHOOSE(CONTROL!$C$21, $C$9, 100%, $E$9)</f>
        <v>7.3441999999999998</v>
      </c>
      <c r="E169" s="10">
        <f>CHOOSE(CONTROL!$C$42, 7.3781, 7.3781) * CHOOSE(CONTROL!$C$21, $C$9, 100%, $E$9)</f>
        <v>7.3780999999999999</v>
      </c>
      <c r="F169" s="10">
        <f>CHOOSE(CONTROL!$C$42, 7.2909, 7.2909)*CHOOSE(CONTROL!$C$21, $C$9, 100%, $E$9)</f>
        <v>7.2908999999999997</v>
      </c>
      <c r="G169" s="10">
        <f>CHOOSE(CONTROL!$C$42, 7.3089, 7.3089)*CHOOSE(CONTROL!$C$21, $C$9, 100%, $E$9)</f>
        <v>7.3089000000000004</v>
      </c>
      <c r="H169" s="10">
        <f>CHOOSE(CONTROL!$C$42, 7.3669, 7.3669) * CHOOSE(CONTROL!$C$21, $C$9, 100%, $E$9)</f>
        <v>7.3669000000000002</v>
      </c>
      <c r="I169" s="10">
        <f>CHOOSE(CONTROL!$C$42, 7.3202, 7.3202)* CHOOSE(CONTROL!$C$21, $C$9, 100%, $E$9)</f>
        <v>7.3201999999999998</v>
      </c>
      <c r="J169" s="10">
        <f>CHOOSE(CONTROL!$C$42, 7.2835, 7.2835)* CHOOSE(CONTROL!$C$21, $C$9, 100%, $E$9)</f>
        <v>7.2835000000000001</v>
      </c>
      <c r="K169" s="10">
        <f>CHOOSE(CONTROL!$C$42, 7.2723, 7.2723) * CHOOSE(CONTROL!$C$21, $C$9, 100%, $E$9)</f>
        <v>7.2723000000000004</v>
      </c>
      <c r="L169" s="10">
        <f>CHOOSE(CONTROL!$C$42, 7.9539, 7.9539) * CHOOSE(CONTROL!$C$21, $C$9, 100%, $E$9)</f>
        <v>7.9539</v>
      </c>
      <c r="M169" s="10">
        <f>CHOOSE(CONTROL!$C$42, 7.2149, 7.2149) * CHOOSE(CONTROL!$C$21, $C$9, 100%, $E$9)</f>
        <v>7.2149000000000001</v>
      </c>
      <c r="N169" s="10">
        <f>CHOOSE(CONTROL!$C$42, 7.2327, 7.2327) * CHOOSE(CONTROL!$C$21, $C$9, 100%, $E$9)</f>
        <v>7.2327000000000004</v>
      </c>
      <c r="O169" s="10">
        <f>CHOOSE(CONTROL!$C$42, 7.2972, 7.2972) * CHOOSE(CONTROL!$C$21, $C$9, 100%, $E$9)</f>
        <v>7.2972000000000001</v>
      </c>
      <c r="P169" s="10">
        <f>CHOOSE(CONTROL!$C$42, 7.2511, 7.2511) * CHOOSE(CONTROL!$C$21, $C$9, 100%, $E$9)</f>
        <v>7.2511000000000001</v>
      </c>
      <c r="Q169" s="10">
        <f>CHOOSE(CONTROL!$C$42, 7.8925, 7.8925) * CHOOSE(CONTROL!$C$21, $C$9, 100%, $E$9)</f>
        <v>7.8925000000000001</v>
      </c>
      <c r="R169" s="10">
        <f>CHOOSE(CONTROL!$C$42, 8.4992, 8.4992) * CHOOSE(CONTROL!$C$21, $C$9, 100%, $E$9)</f>
        <v>8.4992000000000001</v>
      </c>
      <c r="S169" s="10">
        <f>CHOOSE(CONTROL!$C$42, 7.0918, 7.0918) * CHOOSE(CONTROL!$C$21, $C$9, 100%, $E$9)</f>
        <v>7.0918000000000001</v>
      </c>
      <c r="T16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69" s="38">
        <f>(1000*CHOOSE(CONTROL!$C$42, 695, 695)*CHOOSE(CONTROL!$C$42, 0.5599, 0.5599)*CHOOSE(CONTROL!$C$42, 31, 31))/1000000</f>
        <v>12.063045499999998</v>
      </c>
      <c r="V169" s="38">
        <f>(1000*CHOOSE(CONTROL!$C$42, 500, 500)*CHOOSE(CONTROL!$C$42, 0.275, 0.275)*CHOOSE(CONTROL!$C$42, 31, 31))/1000000</f>
        <v>4.2625000000000002</v>
      </c>
      <c r="W169" s="38">
        <f>(1000*CHOOSE(CONTROL!$C$42, 0.1146, 0.1146)*CHOOSE(CONTROL!$C$42, 121.5, 121.5)*CHOOSE(CONTROL!$C$42, 31, 31))/1000000</f>
        <v>0.43164089999999994</v>
      </c>
      <c r="X169" s="38">
        <f>(31*0.1790888*100000/1000000)+(31*0.2374*100000/1000000)</f>
        <v>1.2911152800000001</v>
      </c>
      <c r="Y169" s="38">
        <f>(1000*600*CHOOSE(CONTROL!$C$42, 1.7143, 1.7143)*CHOOSE(CONTROL!$C$42, 31, 31))/1000000</f>
        <v>31.88598</v>
      </c>
      <c r="Z169" s="38"/>
      <c r="AA169" s="10"/>
      <c r="AB169" s="39"/>
      <c r="AC169" s="33">
        <f>(B169*122.58+C169*297.941+D169*89.177+E169*40.302+F169*40+G169*160+H169*0+I169*100+J169*300)/(122.58+297.941+89.177+40.302+0+40+160+100+300)</f>
        <v>7.3083097386086937</v>
      </c>
      <c r="AD169" s="27">
        <f>(M169*'RAP TEMPLATE-GAS AVAILABILITY'!O168+N169*'RAP TEMPLATE-GAS AVAILABILITY'!P168+O169*'RAP TEMPLATE-GAS AVAILABILITY'!Q168+P169*'RAP TEMPLATE-GAS AVAILABILITY'!R168)/('RAP TEMPLATE-GAS AVAILABILITY'!O168+'RAP TEMPLATE-GAS AVAILABILITY'!P168+'RAP TEMPLATE-GAS AVAILABILITY'!Q168+'RAP TEMPLATE-GAS AVAILABILITY'!R168)</f>
        <v>7.2584345323741006</v>
      </c>
    </row>
    <row r="170" spans="1:30" ht="15">
      <c r="A170" s="16">
        <v>46419</v>
      </c>
      <c r="B170" s="10">
        <f>CHOOSE(CONTROL!$C$42, 7.4371, 7.4371) * CHOOSE(CONTROL!$C$21, $C$9, 100%, $E$9)</f>
        <v>7.4371</v>
      </c>
      <c r="C170" s="10">
        <f>CHOOSE(CONTROL!$C$42, 7.4422, 7.4422) * CHOOSE(CONTROL!$C$21, $C$9, 100%, $E$9)</f>
        <v>7.4421999999999997</v>
      </c>
      <c r="D170" s="10">
        <f>CHOOSE(CONTROL!$C$42, 7.4746, 7.4746) * CHOOSE(CONTROL!$C$21, $C$9, 100%, $E$9)</f>
        <v>7.4745999999999997</v>
      </c>
      <c r="E170" s="10">
        <f>CHOOSE(CONTROL!$C$42, 7.5084, 7.5084) * CHOOSE(CONTROL!$C$21, $C$9, 100%, $E$9)</f>
        <v>7.5084</v>
      </c>
      <c r="F170" s="10">
        <f>CHOOSE(CONTROL!$C$42, 7.4208, 7.4208)*CHOOSE(CONTROL!$C$21, $C$9, 100%, $E$9)</f>
        <v>7.4207999999999998</v>
      </c>
      <c r="G170" s="10">
        <f>CHOOSE(CONTROL!$C$42, 7.4387, 7.4387)*CHOOSE(CONTROL!$C$21, $C$9, 100%, $E$9)</f>
        <v>7.4386999999999999</v>
      </c>
      <c r="H170" s="10">
        <f>CHOOSE(CONTROL!$C$42, 7.4973, 7.4973) * CHOOSE(CONTROL!$C$21, $C$9, 100%, $E$9)</f>
        <v>7.4973000000000001</v>
      </c>
      <c r="I170" s="10">
        <f>CHOOSE(CONTROL!$C$42, 7.4505, 7.4505)* CHOOSE(CONTROL!$C$21, $C$9, 100%, $E$9)</f>
        <v>7.4504999999999999</v>
      </c>
      <c r="J170" s="10">
        <f>CHOOSE(CONTROL!$C$42, 7.4134, 7.4134)* CHOOSE(CONTROL!$C$21, $C$9, 100%, $E$9)</f>
        <v>7.4134000000000002</v>
      </c>
      <c r="K170" s="10">
        <f>CHOOSE(CONTROL!$C$42, 7.3976, 7.3976) * CHOOSE(CONTROL!$C$21, $C$9, 100%, $E$9)</f>
        <v>7.3975999999999997</v>
      </c>
      <c r="L170" s="10">
        <f>CHOOSE(CONTROL!$C$42, 8.0843, 8.0843) * CHOOSE(CONTROL!$C$21, $C$9, 100%, $E$9)</f>
        <v>8.0843000000000007</v>
      </c>
      <c r="M170" s="10">
        <f>CHOOSE(CONTROL!$C$42, 7.343, 7.343) * CHOOSE(CONTROL!$C$21, $C$9, 100%, $E$9)</f>
        <v>7.343</v>
      </c>
      <c r="N170" s="10">
        <f>CHOOSE(CONTROL!$C$42, 7.3607, 7.3607) * CHOOSE(CONTROL!$C$21, $C$9, 100%, $E$9)</f>
        <v>7.3606999999999996</v>
      </c>
      <c r="O170" s="10">
        <f>CHOOSE(CONTROL!$C$42, 7.4257, 7.4257) * CHOOSE(CONTROL!$C$21, $C$9, 100%, $E$9)</f>
        <v>7.4257</v>
      </c>
      <c r="P170" s="10">
        <f>CHOOSE(CONTROL!$C$42, 7.3797, 7.3797) * CHOOSE(CONTROL!$C$21, $C$9, 100%, $E$9)</f>
        <v>7.3796999999999997</v>
      </c>
      <c r="Q170" s="10">
        <f>CHOOSE(CONTROL!$C$42, 8.021, 8.021) * CHOOSE(CONTROL!$C$21, $C$9, 100%, $E$9)</f>
        <v>8.0210000000000008</v>
      </c>
      <c r="R170" s="10">
        <f>CHOOSE(CONTROL!$C$42, 8.6281, 8.6281) * CHOOSE(CONTROL!$C$21, $C$9, 100%, $E$9)</f>
        <v>8.6280999999999999</v>
      </c>
      <c r="S170" s="10">
        <f>CHOOSE(CONTROL!$C$42, 7.218, 7.218) * CHOOSE(CONTROL!$C$21, $C$9, 100%, $E$9)</f>
        <v>7.218</v>
      </c>
      <c r="T17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70" s="38">
        <f>(1000*CHOOSE(CONTROL!$C$42, 695, 695)*CHOOSE(CONTROL!$C$42, 0.5599, 0.5599)*CHOOSE(CONTROL!$C$42, 28, 28))/1000000</f>
        <v>10.895653999999999</v>
      </c>
      <c r="V170" s="38">
        <f>(1000*CHOOSE(CONTROL!$C$42, 500, 500)*CHOOSE(CONTROL!$C$42, 0.275, 0.275)*CHOOSE(CONTROL!$C$42, 28, 28))/1000000</f>
        <v>3.85</v>
      </c>
      <c r="W170" s="38">
        <f>(1000*CHOOSE(CONTROL!$C$42, 0.1146, 0.1146)*CHOOSE(CONTROL!$C$42, 121.5, 121.5)*CHOOSE(CONTROL!$C$42, 28, 28))/1000000</f>
        <v>0.38986920000000003</v>
      </c>
      <c r="X170" s="38">
        <f>(28*0.1790888*100000/1000000)+(28*0.2374*100000/1000000)</f>
        <v>1.16616864</v>
      </c>
      <c r="Y170" s="38">
        <f>(1000*600*CHOOSE(CONTROL!$C$42, 1.7143, 1.7143)*CHOOSE(CONTROL!$C$42, 28, 28))/1000000</f>
        <v>28.800239999999999</v>
      </c>
      <c r="Z170" s="38"/>
      <c r="AA170" s="10"/>
      <c r="AB170" s="39"/>
      <c r="AC170" s="33">
        <f>(B170*122.58+C170*297.941+D170*89.177+E170*40.302+F170*40+G170*160+H170*0+I170*100+J170*300)/(122.58+297.941+89.177+40.302+0+40+160+100+300)</f>
        <v>7.4384662340869561</v>
      </c>
      <c r="AD170" s="27">
        <f>(M170*'RAP TEMPLATE-GAS AVAILABILITY'!O169+N170*'RAP TEMPLATE-GAS AVAILABILITY'!P169+O170*'RAP TEMPLATE-GAS AVAILABILITY'!Q169+P170*'RAP TEMPLATE-GAS AVAILABILITY'!R169)/('RAP TEMPLATE-GAS AVAILABILITY'!O169+'RAP TEMPLATE-GAS AVAILABILITY'!P169+'RAP TEMPLATE-GAS AVAILABILITY'!Q169+'RAP TEMPLATE-GAS AVAILABILITY'!R169)</f>
        <v>7.3867820143884897</v>
      </c>
    </row>
    <row r="171" spans="1:30" ht="15">
      <c r="A171" s="16">
        <v>46447</v>
      </c>
      <c r="B171" s="10">
        <f>CHOOSE(CONTROL!$C$42, 7.2255, 7.2255) * CHOOSE(CONTROL!$C$21, $C$9, 100%, $E$9)</f>
        <v>7.2255000000000003</v>
      </c>
      <c r="C171" s="10">
        <f>CHOOSE(CONTROL!$C$42, 7.2306, 7.2306) * CHOOSE(CONTROL!$C$21, $C$9, 100%, $E$9)</f>
        <v>7.2305999999999999</v>
      </c>
      <c r="D171" s="10">
        <f>CHOOSE(CONTROL!$C$42, 7.263, 7.263) * CHOOSE(CONTROL!$C$21, $C$9, 100%, $E$9)</f>
        <v>7.2629999999999999</v>
      </c>
      <c r="E171" s="10">
        <f>CHOOSE(CONTROL!$C$42, 7.2968, 7.2968) * CHOOSE(CONTROL!$C$21, $C$9, 100%, $E$9)</f>
        <v>7.2968000000000002</v>
      </c>
      <c r="F171" s="10">
        <f>CHOOSE(CONTROL!$C$42, 7.2077, 7.2077)*CHOOSE(CONTROL!$C$21, $C$9, 100%, $E$9)</f>
        <v>7.2077</v>
      </c>
      <c r="G171" s="10">
        <f>CHOOSE(CONTROL!$C$42, 7.2253, 7.2253)*CHOOSE(CONTROL!$C$21, $C$9, 100%, $E$9)</f>
        <v>7.2252999999999998</v>
      </c>
      <c r="H171" s="10">
        <f>CHOOSE(CONTROL!$C$42, 7.2857, 7.2857) * CHOOSE(CONTROL!$C$21, $C$9, 100%, $E$9)</f>
        <v>7.2857000000000003</v>
      </c>
      <c r="I171" s="10">
        <f>CHOOSE(CONTROL!$C$42, 7.2389, 7.2389)* CHOOSE(CONTROL!$C$21, $C$9, 100%, $E$9)</f>
        <v>7.2389000000000001</v>
      </c>
      <c r="J171" s="10">
        <f>CHOOSE(CONTROL!$C$42, 7.2003, 7.2003)* CHOOSE(CONTROL!$C$21, $C$9, 100%, $E$9)</f>
        <v>7.2003000000000004</v>
      </c>
      <c r="K171" s="10">
        <f>CHOOSE(CONTROL!$C$42, 7.1895, 7.1895) * CHOOSE(CONTROL!$C$21, $C$9, 100%, $E$9)</f>
        <v>7.1894999999999998</v>
      </c>
      <c r="L171" s="10">
        <f>CHOOSE(CONTROL!$C$42, 7.8727, 7.8727) * CHOOSE(CONTROL!$C$21, $C$9, 100%, $E$9)</f>
        <v>7.8727</v>
      </c>
      <c r="M171" s="10">
        <f>CHOOSE(CONTROL!$C$42, 7.1329, 7.1329) * CHOOSE(CONTROL!$C$21, $C$9, 100%, $E$9)</f>
        <v>7.1329000000000002</v>
      </c>
      <c r="N171" s="10">
        <f>CHOOSE(CONTROL!$C$42, 7.1502, 7.1502) * CHOOSE(CONTROL!$C$21, $C$9, 100%, $E$9)</f>
        <v>7.1501999999999999</v>
      </c>
      <c r="O171" s="10">
        <f>CHOOSE(CONTROL!$C$42, 7.2171, 7.2171) * CHOOSE(CONTROL!$C$21, $C$9, 100%, $E$9)</f>
        <v>7.2171000000000003</v>
      </c>
      <c r="P171" s="10">
        <f>CHOOSE(CONTROL!$C$42, 7.171, 7.171) * CHOOSE(CONTROL!$C$21, $C$9, 100%, $E$9)</f>
        <v>7.1710000000000003</v>
      </c>
      <c r="Q171" s="10">
        <f>CHOOSE(CONTROL!$C$42, 7.8124, 7.8124) * CHOOSE(CONTROL!$C$21, $C$9, 100%, $E$9)</f>
        <v>7.8124000000000002</v>
      </c>
      <c r="R171" s="10">
        <f>CHOOSE(CONTROL!$C$42, 8.4189, 8.4189) * CHOOSE(CONTROL!$C$21, $C$9, 100%, $E$9)</f>
        <v>8.4189000000000007</v>
      </c>
      <c r="S171" s="10">
        <f>CHOOSE(CONTROL!$C$42, 7.0131, 7.0131) * CHOOSE(CONTROL!$C$21, $C$9, 100%, $E$9)</f>
        <v>7.0130999999999997</v>
      </c>
      <c r="T17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71" s="38">
        <f>(1000*CHOOSE(CONTROL!$C$42, 695, 695)*CHOOSE(CONTROL!$C$42, 0.5599, 0.5599)*CHOOSE(CONTROL!$C$42, 31, 31))/1000000</f>
        <v>12.063045499999998</v>
      </c>
      <c r="V171" s="38">
        <f>(1000*CHOOSE(CONTROL!$C$42, 500, 500)*CHOOSE(CONTROL!$C$42, 0.275, 0.275)*CHOOSE(CONTROL!$C$42, 31, 31))/1000000</f>
        <v>4.2625000000000002</v>
      </c>
      <c r="W171" s="38">
        <f>(1000*CHOOSE(CONTROL!$C$42, 0.1146, 0.1146)*CHOOSE(CONTROL!$C$42, 121.5, 121.5)*CHOOSE(CONTROL!$C$42, 31, 31))/1000000</f>
        <v>0.43164089999999994</v>
      </c>
      <c r="X171" s="38">
        <f>(31*0.1790888*100000/1000000)+(31*0.2374*100000/1000000)</f>
        <v>1.2911152800000001</v>
      </c>
      <c r="Y171" s="38">
        <f>(1000*600*CHOOSE(CONTROL!$C$42, 1.7143, 1.7143)*CHOOSE(CONTROL!$C$42, 31, 31))/1000000</f>
        <v>31.88598</v>
      </c>
      <c r="Z171" s="38"/>
      <c r="AA171" s="10"/>
      <c r="AB171" s="39"/>
      <c r="AC171" s="33">
        <f>(B171*122.58+C171*297.941+D171*89.177+E171*40.302+F171*40+G171*160+H171*0+I171*100+J171*300)/(122.58+297.941+89.177+40.302+0+40+160+100+300)</f>
        <v>7.226172321043479</v>
      </c>
      <c r="AD171" s="27">
        <f>(M171*'RAP TEMPLATE-GAS AVAILABILITY'!O170+N171*'RAP TEMPLATE-GAS AVAILABILITY'!P170+O171*'RAP TEMPLATE-GAS AVAILABILITY'!Q170+P171*'RAP TEMPLATE-GAS AVAILABILITY'!R170)/('RAP TEMPLATE-GAS AVAILABILITY'!O170+'RAP TEMPLATE-GAS AVAILABILITY'!P170+'RAP TEMPLATE-GAS AVAILABILITY'!Q170+'RAP TEMPLATE-GAS AVAILABILITY'!R170)</f>
        <v>7.1775402877697845</v>
      </c>
    </row>
    <row r="172" spans="1:30" ht="15">
      <c r="A172" s="16">
        <v>46478</v>
      </c>
      <c r="B172" s="10">
        <f>CHOOSE(CONTROL!$C$42, 7.2046, 7.2046) * CHOOSE(CONTROL!$C$21, $C$9, 100%, $E$9)</f>
        <v>7.2046000000000001</v>
      </c>
      <c r="C172" s="10">
        <f>CHOOSE(CONTROL!$C$42, 7.2091, 7.2091) * CHOOSE(CONTROL!$C$21, $C$9, 100%, $E$9)</f>
        <v>7.2091000000000003</v>
      </c>
      <c r="D172" s="10">
        <f>CHOOSE(CONTROL!$C$42, 7.3692, 7.3692) * CHOOSE(CONTROL!$C$21, $C$9, 100%, $E$9)</f>
        <v>7.3692000000000002</v>
      </c>
      <c r="E172" s="10">
        <f>CHOOSE(CONTROL!$C$42, 7.4011, 7.4011) * CHOOSE(CONTROL!$C$21, $C$9, 100%, $E$9)</f>
        <v>7.4010999999999996</v>
      </c>
      <c r="F172" s="10">
        <f>CHOOSE(CONTROL!$C$42, 7.1507, 7.1507)*CHOOSE(CONTROL!$C$21, $C$9, 100%, $E$9)</f>
        <v>7.1506999999999996</v>
      </c>
      <c r="G172" s="10">
        <f>CHOOSE(CONTROL!$C$42, 7.1665, 7.1665)*CHOOSE(CONTROL!$C$21, $C$9, 100%, $E$9)</f>
        <v>7.1665000000000001</v>
      </c>
      <c r="H172" s="10">
        <f>CHOOSE(CONTROL!$C$42, 7.3905, 7.3905) * CHOOSE(CONTROL!$C$21, $C$9, 100%, $E$9)</f>
        <v>7.3905000000000003</v>
      </c>
      <c r="I172" s="10">
        <f>CHOOSE(CONTROL!$C$42, 7.1847, 7.1847)* CHOOSE(CONTROL!$C$21, $C$9, 100%, $E$9)</f>
        <v>7.1847000000000003</v>
      </c>
      <c r="J172" s="10">
        <f>CHOOSE(CONTROL!$C$42, 7.1433, 7.1433)* CHOOSE(CONTROL!$C$21, $C$9, 100%, $E$9)</f>
        <v>7.1433</v>
      </c>
      <c r="K172" s="10">
        <f>CHOOSE(CONTROL!$C$42, 7.1209, 7.1209) * CHOOSE(CONTROL!$C$21, $C$9, 100%, $E$9)</f>
        <v>7.1208999999999998</v>
      </c>
      <c r="L172" s="10">
        <f>CHOOSE(CONTROL!$C$42, 7.9775, 7.9775) * CHOOSE(CONTROL!$C$21, $C$9, 100%, $E$9)</f>
        <v>7.9775</v>
      </c>
      <c r="M172" s="10">
        <f>CHOOSE(CONTROL!$C$42, 7.0766, 7.0766) * CHOOSE(CONTROL!$C$21, $C$9, 100%, $E$9)</f>
        <v>7.0766</v>
      </c>
      <c r="N172" s="10">
        <f>CHOOSE(CONTROL!$C$42, 7.0922, 7.0922) * CHOOSE(CONTROL!$C$21, $C$9, 100%, $E$9)</f>
        <v>7.0922000000000001</v>
      </c>
      <c r="O172" s="10">
        <f>CHOOSE(CONTROL!$C$42, 7.3204, 7.3204) * CHOOSE(CONTROL!$C$21, $C$9, 100%, $E$9)</f>
        <v>7.3204000000000002</v>
      </c>
      <c r="P172" s="10">
        <f>CHOOSE(CONTROL!$C$42, 7.1175, 7.1175) * CHOOSE(CONTROL!$C$21, $C$9, 100%, $E$9)</f>
        <v>7.1174999999999997</v>
      </c>
      <c r="Q172" s="10">
        <f>CHOOSE(CONTROL!$C$42, 7.9157, 7.9157) * CHOOSE(CONTROL!$C$21, $C$9, 100%, $E$9)</f>
        <v>7.9157000000000002</v>
      </c>
      <c r="R172" s="10">
        <f>CHOOSE(CONTROL!$C$42, 8.5225, 8.5225) * CHOOSE(CONTROL!$C$21, $C$9, 100%, $E$9)</f>
        <v>8.5225000000000009</v>
      </c>
      <c r="S172" s="10">
        <f>CHOOSE(CONTROL!$C$42, 6.9921, 6.9921) * CHOOSE(CONTROL!$C$21, $C$9, 100%, $E$9)</f>
        <v>6.9920999999999998</v>
      </c>
      <c r="T17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72" s="38">
        <f>(1000*CHOOSE(CONTROL!$C$42, 695, 695)*CHOOSE(CONTROL!$C$42, 0.5599, 0.5599)*CHOOSE(CONTROL!$C$42, 30, 30))/1000000</f>
        <v>11.673914999999997</v>
      </c>
      <c r="V172" s="38">
        <f>(1000*CHOOSE(CONTROL!$C$42, 500, 500)*CHOOSE(CONTROL!$C$42, 0.275, 0.275)*CHOOSE(CONTROL!$C$42, 30, 30))/1000000</f>
        <v>4.125</v>
      </c>
      <c r="W172" s="38">
        <f>(1000*CHOOSE(CONTROL!$C$42, 0.1146, 0.1146)*CHOOSE(CONTROL!$C$42, 121.5, 121.5)*CHOOSE(CONTROL!$C$42, 30, 30))/1000000</f>
        <v>0.417717</v>
      </c>
      <c r="X172" s="38">
        <f>(30*0.1790888*245000/1000000)+(30*0.2374*100000/1000000)</f>
        <v>2.0285026799999999</v>
      </c>
      <c r="Y172" s="38">
        <f>(1000*600*CHOOSE(CONTROL!$C$42, 1.7143, 1.7143)*CHOOSE(CONTROL!$C$42, 30, 30))/1000000</f>
        <v>30.857399999999998</v>
      </c>
      <c r="Z172" s="38"/>
      <c r="AA172" s="10"/>
      <c r="AB172" s="39"/>
      <c r="AC172" s="33">
        <f>(B172*141.293+C172*267.993+D172*115.016+E172*89.698+F172*40+G172*185+H172*0+I172*100+J172*300)/(141.293+267.993+115.016+89.698+0+40+185+100+300)</f>
        <v>7.21120109693301</v>
      </c>
      <c r="AD172" s="27">
        <f>(M172*'RAP TEMPLATE-GAS AVAILABILITY'!O171+N172*'RAP TEMPLATE-GAS AVAILABILITY'!P171+O172*'RAP TEMPLATE-GAS AVAILABILITY'!Q171+P172*'RAP TEMPLATE-GAS AVAILABILITY'!R171)/('RAP TEMPLATE-GAS AVAILABILITY'!O171+'RAP TEMPLATE-GAS AVAILABILITY'!P171+'RAP TEMPLATE-GAS AVAILABILITY'!Q171+'RAP TEMPLATE-GAS AVAILABILITY'!R171)</f>
        <v>7.1544805755395675</v>
      </c>
    </row>
    <row r="173" spans="1:30" ht="15">
      <c r="A173" s="16">
        <v>46508</v>
      </c>
      <c r="B173" s="10">
        <f>CHOOSE(CONTROL!$C$42, 7.2701, 7.2701) * CHOOSE(CONTROL!$C$21, $C$9, 100%, $E$9)</f>
        <v>7.2701000000000002</v>
      </c>
      <c r="C173" s="10">
        <f>CHOOSE(CONTROL!$C$42, 7.2781, 7.2781) * CHOOSE(CONTROL!$C$21, $C$9, 100%, $E$9)</f>
        <v>7.2781000000000002</v>
      </c>
      <c r="D173" s="10">
        <f>CHOOSE(CONTROL!$C$42, 7.4351, 7.4351) * CHOOSE(CONTROL!$C$21, $C$9, 100%, $E$9)</f>
        <v>7.4351000000000003</v>
      </c>
      <c r="E173" s="10">
        <f>CHOOSE(CONTROL!$C$42, 7.4664, 7.4664) * CHOOSE(CONTROL!$C$21, $C$9, 100%, $E$9)</f>
        <v>7.4664000000000001</v>
      </c>
      <c r="F173" s="10">
        <f>CHOOSE(CONTROL!$C$42, 7.2142, 7.2142)*CHOOSE(CONTROL!$C$21, $C$9, 100%, $E$9)</f>
        <v>7.2141999999999999</v>
      </c>
      <c r="G173" s="10">
        <f>CHOOSE(CONTROL!$C$42, 7.2304, 7.2304)*CHOOSE(CONTROL!$C$21, $C$9, 100%, $E$9)</f>
        <v>7.2304000000000004</v>
      </c>
      <c r="H173" s="10">
        <f>CHOOSE(CONTROL!$C$42, 7.4547, 7.4547) * CHOOSE(CONTROL!$C$21, $C$9, 100%, $E$9)</f>
        <v>7.4546999999999999</v>
      </c>
      <c r="I173" s="10">
        <f>CHOOSE(CONTROL!$C$42, 7.2489, 7.2489)* CHOOSE(CONTROL!$C$21, $C$9, 100%, $E$9)</f>
        <v>7.2488999999999999</v>
      </c>
      <c r="J173" s="10">
        <f>CHOOSE(CONTROL!$C$42, 7.2068, 7.2068)* CHOOSE(CONTROL!$C$21, $C$9, 100%, $E$9)</f>
        <v>7.2068000000000003</v>
      </c>
      <c r="K173" s="10">
        <f>CHOOSE(CONTROL!$C$42, 7.1818, 7.1818) * CHOOSE(CONTROL!$C$21, $C$9, 100%, $E$9)</f>
        <v>7.1818</v>
      </c>
      <c r="L173" s="10">
        <f>CHOOSE(CONTROL!$C$42, 8.0417, 8.0417) * CHOOSE(CONTROL!$C$21, $C$9, 100%, $E$9)</f>
        <v>8.0417000000000005</v>
      </c>
      <c r="M173" s="10">
        <f>CHOOSE(CONTROL!$C$42, 7.1393, 7.1393) * CHOOSE(CONTROL!$C$21, $C$9, 100%, $E$9)</f>
        <v>7.1393000000000004</v>
      </c>
      <c r="N173" s="10">
        <f>CHOOSE(CONTROL!$C$42, 7.1552, 7.1552) * CHOOSE(CONTROL!$C$21, $C$9, 100%, $E$9)</f>
        <v>7.1551999999999998</v>
      </c>
      <c r="O173" s="10">
        <f>CHOOSE(CONTROL!$C$42, 7.3837, 7.3837) * CHOOSE(CONTROL!$C$21, $C$9, 100%, $E$9)</f>
        <v>7.3837000000000002</v>
      </c>
      <c r="P173" s="10">
        <f>CHOOSE(CONTROL!$C$42, 7.1808, 7.1808) * CHOOSE(CONTROL!$C$21, $C$9, 100%, $E$9)</f>
        <v>7.1807999999999996</v>
      </c>
      <c r="Q173" s="10">
        <f>CHOOSE(CONTROL!$C$42, 7.979, 7.979) * CHOOSE(CONTROL!$C$21, $C$9, 100%, $E$9)</f>
        <v>7.9790000000000001</v>
      </c>
      <c r="R173" s="10">
        <f>CHOOSE(CONTROL!$C$42, 8.586, 8.586) * CHOOSE(CONTROL!$C$21, $C$9, 100%, $E$9)</f>
        <v>8.5860000000000003</v>
      </c>
      <c r="S173" s="10">
        <f>CHOOSE(CONTROL!$C$42, 7.0542, 7.0542) * CHOOSE(CONTROL!$C$21, $C$9, 100%, $E$9)</f>
        <v>7.0541999999999998</v>
      </c>
      <c r="T17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73" s="38">
        <f>(1000*CHOOSE(CONTROL!$C$42, 695, 695)*CHOOSE(CONTROL!$C$42, 0.5599, 0.5599)*CHOOSE(CONTROL!$C$42, 31, 31))/1000000</f>
        <v>12.063045499999998</v>
      </c>
      <c r="V173" s="38">
        <f>(1000*CHOOSE(CONTROL!$C$42, 500, 500)*CHOOSE(CONTROL!$C$42, 0.275, 0.275)*CHOOSE(CONTROL!$C$42, 31, 31))/1000000</f>
        <v>4.2625000000000002</v>
      </c>
      <c r="W173" s="38">
        <f>(1000*CHOOSE(CONTROL!$C$42, 0.1146, 0.1146)*CHOOSE(CONTROL!$C$42, 121.5, 121.5)*CHOOSE(CONTROL!$C$42, 31, 31))/1000000</f>
        <v>0.43164089999999994</v>
      </c>
      <c r="X173" s="38">
        <f>(31*0.1790888*245000/1000000)+(31*0.2374*100000/1000000)</f>
        <v>2.0961194359999999</v>
      </c>
      <c r="Y173" s="38">
        <f>(1000*600*CHOOSE(CONTROL!$C$42, 1.7143, 1.7143)*CHOOSE(CONTROL!$C$42, 31, 31))/1000000</f>
        <v>31.88598</v>
      </c>
      <c r="Z173" s="38"/>
      <c r="AA173" s="10"/>
      <c r="AB173" s="39"/>
      <c r="AC173" s="33">
        <f>(B173*194.205+C173*267.466+D173*133.845+E173*53.484+F173*40+G173*185+H173*0+I173*100+J173*300)/(194.205+267.466+133.845+53.484+0+40+185+100+300)</f>
        <v>7.2732652764521202</v>
      </c>
      <c r="AD173" s="27">
        <f>(M173*'RAP TEMPLATE-GAS AVAILABILITY'!O172+N173*'RAP TEMPLATE-GAS AVAILABILITY'!P172+O173*'RAP TEMPLATE-GAS AVAILABILITY'!Q172+P173*'RAP TEMPLATE-GAS AVAILABILITY'!R172)/('RAP TEMPLATE-GAS AVAILABILITY'!O172+'RAP TEMPLATE-GAS AVAILABILITY'!P172+'RAP TEMPLATE-GAS AVAILABILITY'!Q172+'RAP TEMPLATE-GAS AVAILABILITY'!R172)</f>
        <v>7.2175043165467629</v>
      </c>
    </row>
    <row r="174" spans="1:30" ht="15">
      <c r="A174" s="16">
        <v>46539</v>
      </c>
      <c r="B174" s="10">
        <f>CHOOSE(CONTROL!$C$42, 7.4767, 7.4767) * CHOOSE(CONTROL!$C$21, $C$9, 100%, $E$9)</f>
        <v>7.4767000000000001</v>
      </c>
      <c r="C174" s="10">
        <f>CHOOSE(CONTROL!$C$42, 7.4847, 7.4847) * CHOOSE(CONTROL!$C$21, $C$9, 100%, $E$9)</f>
        <v>7.4847000000000001</v>
      </c>
      <c r="D174" s="10">
        <f>CHOOSE(CONTROL!$C$42, 7.6418, 7.6418) * CHOOSE(CONTROL!$C$21, $C$9, 100%, $E$9)</f>
        <v>7.6417999999999999</v>
      </c>
      <c r="E174" s="10">
        <f>CHOOSE(CONTROL!$C$42, 7.673, 7.673) * CHOOSE(CONTROL!$C$21, $C$9, 100%, $E$9)</f>
        <v>7.673</v>
      </c>
      <c r="F174" s="10">
        <f>CHOOSE(CONTROL!$C$42, 7.421, 7.421)*CHOOSE(CONTROL!$C$21, $C$9, 100%, $E$9)</f>
        <v>7.4210000000000003</v>
      </c>
      <c r="G174" s="10">
        <f>CHOOSE(CONTROL!$C$42, 7.4372, 7.4372)*CHOOSE(CONTROL!$C$21, $C$9, 100%, $E$9)</f>
        <v>7.4371999999999998</v>
      </c>
      <c r="H174" s="10">
        <f>CHOOSE(CONTROL!$C$42, 7.6613, 7.6613) * CHOOSE(CONTROL!$C$21, $C$9, 100%, $E$9)</f>
        <v>7.6612999999999998</v>
      </c>
      <c r="I174" s="10">
        <f>CHOOSE(CONTROL!$C$42, 7.4555, 7.4555)* CHOOSE(CONTROL!$C$21, $C$9, 100%, $E$9)</f>
        <v>7.4554999999999998</v>
      </c>
      <c r="J174" s="10">
        <f>CHOOSE(CONTROL!$C$42, 7.4136, 7.4136)* CHOOSE(CONTROL!$C$21, $C$9, 100%, $E$9)</f>
        <v>7.4135999999999997</v>
      </c>
      <c r="K174" s="10">
        <f>CHOOSE(CONTROL!$C$42, 7.3824, 7.3824) * CHOOSE(CONTROL!$C$21, $C$9, 100%, $E$9)</f>
        <v>7.3823999999999996</v>
      </c>
      <c r="L174" s="10">
        <f>CHOOSE(CONTROL!$C$42, 8.2483, 8.2483) * CHOOSE(CONTROL!$C$21, $C$9, 100%, $E$9)</f>
        <v>8.2483000000000004</v>
      </c>
      <c r="M174" s="10">
        <f>CHOOSE(CONTROL!$C$42, 7.3432, 7.3432) * CHOOSE(CONTROL!$C$21, $C$9, 100%, $E$9)</f>
        <v>7.3432000000000004</v>
      </c>
      <c r="N174" s="10">
        <f>CHOOSE(CONTROL!$C$42, 7.3592, 7.3592) * CHOOSE(CONTROL!$C$21, $C$9, 100%, $E$9)</f>
        <v>7.3592000000000004</v>
      </c>
      <c r="O174" s="10">
        <f>CHOOSE(CONTROL!$C$42, 7.5875, 7.5875) * CHOOSE(CONTROL!$C$21, $C$9, 100%, $E$9)</f>
        <v>7.5875000000000004</v>
      </c>
      <c r="P174" s="10">
        <f>CHOOSE(CONTROL!$C$42, 7.3846, 7.3846) * CHOOSE(CONTROL!$C$21, $C$9, 100%, $E$9)</f>
        <v>7.3845999999999998</v>
      </c>
      <c r="Q174" s="10">
        <f>CHOOSE(CONTROL!$C$42, 8.1828, 8.1828) * CHOOSE(CONTROL!$C$21, $C$9, 100%, $E$9)</f>
        <v>8.1828000000000003</v>
      </c>
      <c r="R174" s="10">
        <f>CHOOSE(CONTROL!$C$42, 8.7902, 8.7902) * CHOOSE(CONTROL!$C$21, $C$9, 100%, $E$9)</f>
        <v>8.7902000000000005</v>
      </c>
      <c r="S174" s="10">
        <f>CHOOSE(CONTROL!$C$42, 7.2543, 7.2543) * CHOOSE(CONTROL!$C$21, $C$9, 100%, $E$9)</f>
        <v>7.2542999999999997</v>
      </c>
      <c r="T17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74" s="38">
        <f>(1000*CHOOSE(CONTROL!$C$42, 695, 695)*CHOOSE(CONTROL!$C$42, 0.5599, 0.5599)*CHOOSE(CONTROL!$C$42, 30, 30))/1000000</f>
        <v>11.673914999999997</v>
      </c>
      <c r="V174" s="38">
        <f>(1000*CHOOSE(CONTROL!$C$42, 500, 500)*CHOOSE(CONTROL!$C$42, 0.275, 0.275)*CHOOSE(CONTROL!$C$42, 30, 30))/1000000</f>
        <v>4.125</v>
      </c>
      <c r="W174" s="38">
        <f>(1000*CHOOSE(CONTROL!$C$42, 0.1146, 0.1146)*CHOOSE(CONTROL!$C$42, 121.5, 121.5)*CHOOSE(CONTROL!$C$42, 30, 30))/1000000</f>
        <v>0.417717</v>
      </c>
      <c r="X174" s="38">
        <f>(30*0.1790888*245000/1000000)+(30*0.2374*100000/1000000)</f>
        <v>2.0285026799999999</v>
      </c>
      <c r="Y174" s="38">
        <f>(1000*600*CHOOSE(CONTROL!$C$42, 1.7143, 1.7143)*CHOOSE(CONTROL!$C$42, 30, 30))/1000000</f>
        <v>30.857399999999998</v>
      </c>
      <c r="Z174" s="38"/>
      <c r="AA174" s="10"/>
      <c r="AB174" s="39"/>
      <c r="AC174" s="33">
        <f>(B174*194.205+C174*267.466+D174*133.845+E174*53.484+F174*40+G174*185+H174*0+I174*100+J174*300)/(194.205+267.466+133.845+53.484+0+40+185+100+300)</f>
        <v>7.4799581999215068</v>
      </c>
      <c r="AD174" s="27">
        <f>(M174*'RAP TEMPLATE-GAS AVAILABILITY'!O173+N174*'RAP TEMPLATE-GAS AVAILABILITY'!P173+O174*'RAP TEMPLATE-GAS AVAILABILITY'!Q173+P174*'RAP TEMPLATE-GAS AVAILABILITY'!R173)/('RAP TEMPLATE-GAS AVAILABILITY'!O173+'RAP TEMPLATE-GAS AVAILABILITY'!P173+'RAP TEMPLATE-GAS AVAILABILITY'!Q173+'RAP TEMPLATE-GAS AVAILABILITY'!R173)</f>
        <v>7.4213848920863308</v>
      </c>
    </row>
    <row r="175" spans="1:30" ht="15">
      <c r="A175" s="16">
        <v>46569</v>
      </c>
      <c r="B175" s="10">
        <f>CHOOSE(CONTROL!$C$42, 7.333, 7.333) * CHOOSE(CONTROL!$C$21, $C$9, 100%, $E$9)</f>
        <v>7.3330000000000002</v>
      </c>
      <c r="C175" s="10">
        <f>CHOOSE(CONTROL!$C$42, 7.341, 7.341) * CHOOSE(CONTROL!$C$21, $C$9, 100%, $E$9)</f>
        <v>7.3410000000000002</v>
      </c>
      <c r="D175" s="10">
        <f>CHOOSE(CONTROL!$C$42, 7.4981, 7.4981) * CHOOSE(CONTROL!$C$21, $C$9, 100%, $E$9)</f>
        <v>7.4981</v>
      </c>
      <c r="E175" s="10">
        <f>CHOOSE(CONTROL!$C$42, 7.5293, 7.5293) * CHOOSE(CONTROL!$C$21, $C$9, 100%, $E$9)</f>
        <v>7.5293000000000001</v>
      </c>
      <c r="F175" s="10">
        <f>CHOOSE(CONTROL!$C$42, 7.2777, 7.2777)*CHOOSE(CONTROL!$C$21, $C$9, 100%, $E$9)</f>
        <v>7.2777000000000003</v>
      </c>
      <c r="G175" s="10">
        <f>CHOOSE(CONTROL!$C$42, 7.2939, 7.2939)*CHOOSE(CONTROL!$C$21, $C$9, 100%, $E$9)</f>
        <v>7.2938999999999998</v>
      </c>
      <c r="H175" s="10">
        <f>CHOOSE(CONTROL!$C$42, 7.5176, 7.5176) * CHOOSE(CONTROL!$C$21, $C$9, 100%, $E$9)</f>
        <v>7.5175999999999998</v>
      </c>
      <c r="I175" s="10">
        <f>CHOOSE(CONTROL!$C$42, 7.3118, 7.3118)* CHOOSE(CONTROL!$C$21, $C$9, 100%, $E$9)</f>
        <v>7.3117999999999999</v>
      </c>
      <c r="J175" s="10">
        <f>CHOOSE(CONTROL!$C$42, 7.2703, 7.2703)* CHOOSE(CONTROL!$C$21, $C$9, 100%, $E$9)</f>
        <v>7.2702999999999998</v>
      </c>
      <c r="K175" s="10">
        <f>CHOOSE(CONTROL!$C$42, 7.2438, 7.2438) * CHOOSE(CONTROL!$C$21, $C$9, 100%, $E$9)</f>
        <v>7.2438000000000002</v>
      </c>
      <c r="L175" s="10">
        <f>CHOOSE(CONTROL!$C$42, 8.1046, 8.1046) * CHOOSE(CONTROL!$C$21, $C$9, 100%, $E$9)</f>
        <v>8.1045999999999996</v>
      </c>
      <c r="M175" s="10">
        <f>CHOOSE(CONTROL!$C$42, 7.2019, 7.2019) * CHOOSE(CONTROL!$C$21, $C$9, 100%, $E$9)</f>
        <v>7.2019000000000002</v>
      </c>
      <c r="N175" s="10">
        <f>CHOOSE(CONTROL!$C$42, 7.2179, 7.2179) * CHOOSE(CONTROL!$C$21, $C$9, 100%, $E$9)</f>
        <v>7.2179000000000002</v>
      </c>
      <c r="O175" s="10">
        <f>CHOOSE(CONTROL!$C$42, 7.4458, 7.4458) * CHOOSE(CONTROL!$C$21, $C$9, 100%, $E$9)</f>
        <v>7.4458000000000002</v>
      </c>
      <c r="P175" s="10">
        <f>CHOOSE(CONTROL!$C$42, 7.2429, 7.2429) * CHOOSE(CONTROL!$C$21, $C$9, 100%, $E$9)</f>
        <v>7.2428999999999997</v>
      </c>
      <c r="Q175" s="10">
        <f>CHOOSE(CONTROL!$C$42, 8.0411, 8.0411) * CHOOSE(CONTROL!$C$21, $C$9, 100%, $E$9)</f>
        <v>8.0411000000000001</v>
      </c>
      <c r="R175" s="10">
        <f>CHOOSE(CONTROL!$C$42, 8.6482, 8.6482) * CHOOSE(CONTROL!$C$21, $C$9, 100%, $E$9)</f>
        <v>8.6481999999999992</v>
      </c>
      <c r="S175" s="10">
        <f>CHOOSE(CONTROL!$C$42, 7.1152, 7.1152) * CHOOSE(CONTROL!$C$21, $C$9, 100%, $E$9)</f>
        <v>7.1151999999999997</v>
      </c>
      <c r="T17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75" s="38">
        <f>(1000*CHOOSE(CONTROL!$C$42, 695, 695)*CHOOSE(CONTROL!$C$42, 0.5599, 0.5599)*CHOOSE(CONTROL!$C$42, 31, 31))/1000000</f>
        <v>12.063045499999998</v>
      </c>
      <c r="V175" s="38">
        <f>(1000*CHOOSE(CONTROL!$C$42, 500, 500)*CHOOSE(CONTROL!$C$42, 0.275, 0.275)*CHOOSE(CONTROL!$C$42, 31, 31))/1000000</f>
        <v>4.2625000000000002</v>
      </c>
      <c r="W175" s="38">
        <f>(1000*CHOOSE(CONTROL!$C$42, 0.1146, 0.1146)*CHOOSE(CONTROL!$C$42, 121.5, 121.5)*CHOOSE(CONTROL!$C$42, 31, 31))/1000000</f>
        <v>0.43164089999999994</v>
      </c>
      <c r="X175" s="38">
        <f>(31*0.1790888*245000/1000000)+(31*0.2374*100000/1000000)</f>
        <v>2.0961194359999999</v>
      </c>
      <c r="Y175" s="38">
        <f>(1000*600*CHOOSE(CONTROL!$C$42, 1.7143, 1.7143)*CHOOSE(CONTROL!$C$42, 31, 31))/1000000</f>
        <v>31.88598</v>
      </c>
      <c r="Z175" s="38"/>
      <c r="AA175" s="10"/>
      <c r="AB175" s="39"/>
      <c r="AC175" s="33">
        <f>(B175*194.205+C175*267.466+D175*133.845+E175*53.484+F175*40+G175*185+H175*0+I175*100+J175*300)/(194.205+267.466+133.845+53.484+0+40+185+100+300)</f>
        <v>7.3364230350863426</v>
      </c>
      <c r="AD175" s="27">
        <f>(M175*'RAP TEMPLATE-GAS AVAILABILITY'!O174+N175*'RAP TEMPLATE-GAS AVAILABILITY'!P174+O175*'RAP TEMPLATE-GAS AVAILABILITY'!Q174+P175*'RAP TEMPLATE-GAS AVAILABILITY'!R174)/('RAP TEMPLATE-GAS AVAILABILITY'!O174+'RAP TEMPLATE-GAS AVAILABILITY'!P174+'RAP TEMPLATE-GAS AVAILABILITY'!Q174+'RAP TEMPLATE-GAS AVAILABILITY'!R174)</f>
        <v>7.279915107913669</v>
      </c>
    </row>
    <row r="176" spans="1:30" ht="15">
      <c r="A176" s="16">
        <v>46600</v>
      </c>
      <c r="B176" s="10">
        <f>CHOOSE(CONTROL!$C$42, 6.9701, 6.9701) * CHOOSE(CONTROL!$C$21, $C$9, 100%, $E$9)</f>
        <v>6.9701000000000004</v>
      </c>
      <c r="C176" s="10">
        <f>CHOOSE(CONTROL!$C$42, 6.9781, 6.9781) * CHOOSE(CONTROL!$C$21, $C$9, 100%, $E$9)</f>
        <v>6.9781000000000004</v>
      </c>
      <c r="D176" s="10">
        <f>CHOOSE(CONTROL!$C$42, 7.1352, 7.1352) * CHOOSE(CONTROL!$C$21, $C$9, 100%, $E$9)</f>
        <v>7.1352000000000002</v>
      </c>
      <c r="E176" s="10">
        <f>CHOOSE(CONTROL!$C$42, 7.1664, 7.1664) * CHOOSE(CONTROL!$C$21, $C$9, 100%, $E$9)</f>
        <v>7.1664000000000003</v>
      </c>
      <c r="F176" s="10">
        <f>CHOOSE(CONTROL!$C$42, 6.9147, 6.9147)*CHOOSE(CONTROL!$C$21, $C$9, 100%, $E$9)</f>
        <v>6.9146999999999998</v>
      </c>
      <c r="G176" s="10">
        <f>CHOOSE(CONTROL!$C$42, 6.9309, 6.9309)*CHOOSE(CONTROL!$C$21, $C$9, 100%, $E$9)</f>
        <v>6.9309000000000003</v>
      </c>
      <c r="H176" s="10">
        <f>CHOOSE(CONTROL!$C$42, 7.1547, 7.1547) * CHOOSE(CONTROL!$C$21, $C$9, 100%, $E$9)</f>
        <v>7.1547000000000001</v>
      </c>
      <c r="I176" s="10">
        <f>CHOOSE(CONTROL!$C$42, 6.9489, 6.9489)* CHOOSE(CONTROL!$C$21, $C$9, 100%, $E$9)</f>
        <v>6.9489000000000001</v>
      </c>
      <c r="J176" s="10">
        <f>CHOOSE(CONTROL!$C$42, 6.9073, 6.9073)* CHOOSE(CONTROL!$C$21, $C$9, 100%, $E$9)</f>
        <v>6.9073000000000002</v>
      </c>
      <c r="K176" s="10">
        <f>CHOOSE(CONTROL!$C$42, 6.8921, 6.8921) * CHOOSE(CONTROL!$C$21, $C$9, 100%, $E$9)</f>
        <v>6.8921000000000001</v>
      </c>
      <c r="L176" s="10">
        <f>CHOOSE(CONTROL!$C$42, 7.7417, 7.7417) * CHOOSE(CONTROL!$C$21, $C$9, 100%, $E$9)</f>
        <v>7.7416999999999998</v>
      </c>
      <c r="M176" s="10">
        <f>CHOOSE(CONTROL!$C$42, 6.844, 6.844) * CHOOSE(CONTROL!$C$21, $C$9, 100%, $E$9)</f>
        <v>6.8440000000000003</v>
      </c>
      <c r="N176" s="10">
        <f>CHOOSE(CONTROL!$C$42, 6.86, 6.86) * CHOOSE(CONTROL!$C$21, $C$9, 100%, $E$9)</f>
        <v>6.86</v>
      </c>
      <c r="O176" s="10">
        <f>CHOOSE(CONTROL!$C$42, 7.0879, 7.0879) * CHOOSE(CONTROL!$C$21, $C$9, 100%, $E$9)</f>
        <v>7.0879000000000003</v>
      </c>
      <c r="P176" s="10">
        <f>CHOOSE(CONTROL!$C$42, 6.885, 6.885) * CHOOSE(CONTROL!$C$21, $C$9, 100%, $E$9)</f>
        <v>6.8849999999999998</v>
      </c>
      <c r="Q176" s="10">
        <f>CHOOSE(CONTROL!$C$42, 7.6832, 7.6832) * CHOOSE(CONTROL!$C$21, $C$9, 100%, $E$9)</f>
        <v>7.6832000000000003</v>
      </c>
      <c r="R176" s="10">
        <f>CHOOSE(CONTROL!$C$42, 8.2894, 8.2894) * CHOOSE(CONTROL!$C$21, $C$9, 100%, $E$9)</f>
        <v>8.2894000000000005</v>
      </c>
      <c r="S176" s="10">
        <f>CHOOSE(CONTROL!$C$42, 6.7638, 6.7638) * CHOOSE(CONTROL!$C$21, $C$9, 100%, $E$9)</f>
        <v>6.7637999999999998</v>
      </c>
      <c r="T17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76" s="38">
        <f>(1000*CHOOSE(CONTROL!$C$42, 695, 695)*CHOOSE(CONTROL!$C$42, 0.5599, 0.5599)*CHOOSE(CONTROL!$C$42, 31, 31))/1000000</f>
        <v>12.063045499999998</v>
      </c>
      <c r="V176" s="38">
        <f>(1000*CHOOSE(CONTROL!$C$42, 500, 500)*CHOOSE(CONTROL!$C$42, 0.275, 0.275)*CHOOSE(CONTROL!$C$42, 31, 31))/1000000</f>
        <v>4.2625000000000002</v>
      </c>
      <c r="W176" s="38">
        <f>(1000*CHOOSE(CONTROL!$C$42, 0.1146, 0.1146)*CHOOSE(CONTROL!$C$42, 121.5, 121.5)*CHOOSE(CONTROL!$C$42, 31, 31))/1000000</f>
        <v>0.43164089999999994</v>
      </c>
      <c r="X176" s="38">
        <f>(31*0.1790888*245000/1000000)+(31*0.2374*100000/1000000)</f>
        <v>2.0961194359999999</v>
      </c>
      <c r="Y176" s="38">
        <f>(1000*600*CHOOSE(CONTROL!$C$42, 1.7143, 1.7143)*CHOOSE(CONTROL!$C$42, 31, 31))/1000000</f>
        <v>31.88598</v>
      </c>
      <c r="Z176" s="38"/>
      <c r="AA176" s="10"/>
      <c r="AB176" s="39"/>
      <c r="AC176" s="33">
        <f>(B176*194.205+C176*267.466+D176*133.845+E176*53.484+F176*40+G176*185+H176*0+I176*100+J176*300)/(194.205+267.466+133.845+53.484+0+40+185+100+300)</f>
        <v>6.9734818262951324</v>
      </c>
      <c r="AD176" s="27">
        <f>(M176*'RAP TEMPLATE-GAS AVAILABILITY'!O175+N176*'RAP TEMPLATE-GAS AVAILABILITY'!P175+O176*'RAP TEMPLATE-GAS AVAILABILITY'!Q175+P176*'RAP TEMPLATE-GAS AVAILABILITY'!R175)/('RAP TEMPLATE-GAS AVAILABILITY'!O175+'RAP TEMPLATE-GAS AVAILABILITY'!P175+'RAP TEMPLATE-GAS AVAILABILITY'!Q175+'RAP TEMPLATE-GAS AVAILABILITY'!R175)</f>
        <v>6.9220151079136691</v>
      </c>
    </row>
    <row r="177" spans="1:30" ht="15">
      <c r="A177" s="16">
        <v>46631</v>
      </c>
      <c r="B177" s="10">
        <f>CHOOSE(CONTROL!$C$42, 6.5267, 6.5267) * CHOOSE(CONTROL!$C$21, $C$9, 100%, $E$9)</f>
        <v>6.5266999999999999</v>
      </c>
      <c r="C177" s="10">
        <f>CHOOSE(CONTROL!$C$42, 6.5347, 6.5347) * CHOOSE(CONTROL!$C$21, $C$9, 100%, $E$9)</f>
        <v>6.5347</v>
      </c>
      <c r="D177" s="10">
        <f>CHOOSE(CONTROL!$C$42, 6.6918, 6.6918) * CHOOSE(CONTROL!$C$21, $C$9, 100%, $E$9)</f>
        <v>6.6917999999999997</v>
      </c>
      <c r="E177" s="10">
        <f>CHOOSE(CONTROL!$C$42, 6.723, 6.723) * CHOOSE(CONTROL!$C$21, $C$9, 100%, $E$9)</f>
        <v>6.7229999999999999</v>
      </c>
      <c r="F177" s="10">
        <f>CHOOSE(CONTROL!$C$42, 6.4711, 6.4711)*CHOOSE(CONTROL!$C$21, $C$9, 100%, $E$9)</f>
        <v>6.4710999999999999</v>
      </c>
      <c r="G177" s="10">
        <f>CHOOSE(CONTROL!$C$42, 6.4873, 6.4873)*CHOOSE(CONTROL!$C$21, $C$9, 100%, $E$9)</f>
        <v>6.4873000000000003</v>
      </c>
      <c r="H177" s="10">
        <f>CHOOSE(CONTROL!$C$42, 6.7113, 6.7113) * CHOOSE(CONTROL!$C$21, $C$9, 100%, $E$9)</f>
        <v>6.7112999999999996</v>
      </c>
      <c r="I177" s="10">
        <f>CHOOSE(CONTROL!$C$42, 6.5055, 6.5055)* CHOOSE(CONTROL!$C$21, $C$9, 100%, $E$9)</f>
        <v>6.5054999999999996</v>
      </c>
      <c r="J177" s="10">
        <f>CHOOSE(CONTROL!$C$42, 6.4637, 6.4637)* CHOOSE(CONTROL!$C$21, $C$9, 100%, $E$9)</f>
        <v>6.4637000000000002</v>
      </c>
      <c r="K177" s="10">
        <f>CHOOSE(CONTROL!$C$42, 6.4622, 6.4622) * CHOOSE(CONTROL!$C$21, $C$9, 100%, $E$9)</f>
        <v>6.4622000000000002</v>
      </c>
      <c r="L177" s="10">
        <f>CHOOSE(CONTROL!$C$42, 7.2983, 7.2983) * CHOOSE(CONTROL!$C$21, $C$9, 100%, $E$9)</f>
        <v>7.2983000000000002</v>
      </c>
      <c r="M177" s="10">
        <f>CHOOSE(CONTROL!$C$42, 6.4066, 6.4066) * CHOOSE(CONTROL!$C$21, $C$9, 100%, $E$9)</f>
        <v>6.4066000000000001</v>
      </c>
      <c r="N177" s="10">
        <f>CHOOSE(CONTROL!$C$42, 6.4225, 6.4225) * CHOOSE(CONTROL!$C$21, $C$9, 100%, $E$9)</f>
        <v>6.4225000000000003</v>
      </c>
      <c r="O177" s="10">
        <f>CHOOSE(CONTROL!$C$42, 6.6507, 6.6507) * CHOOSE(CONTROL!$C$21, $C$9, 100%, $E$9)</f>
        <v>6.6506999999999996</v>
      </c>
      <c r="P177" s="10">
        <f>CHOOSE(CONTROL!$C$42, 6.4478, 6.4478) * CHOOSE(CONTROL!$C$21, $C$9, 100%, $E$9)</f>
        <v>6.4478</v>
      </c>
      <c r="Q177" s="10">
        <f>CHOOSE(CONTROL!$C$42, 7.246, 7.246) * CHOOSE(CONTROL!$C$21, $C$9, 100%, $E$9)</f>
        <v>7.2460000000000004</v>
      </c>
      <c r="R177" s="10">
        <f>CHOOSE(CONTROL!$C$42, 7.8511, 7.8511) * CHOOSE(CONTROL!$C$21, $C$9, 100%, $E$9)</f>
        <v>7.8510999999999997</v>
      </c>
      <c r="S177" s="10">
        <f>CHOOSE(CONTROL!$C$42, 6.3344, 6.3344) * CHOOSE(CONTROL!$C$21, $C$9, 100%, $E$9)</f>
        <v>6.3343999999999996</v>
      </c>
      <c r="T17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77" s="38">
        <f>(1000*CHOOSE(CONTROL!$C$42, 695, 695)*CHOOSE(CONTROL!$C$42, 0.5599, 0.5599)*CHOOSE(CONTROL!$C$42, 30, 30))/1000000</f>
        <v>11.673914999999997</v>
      </c>
      <c r="V177" s="38">
        <f>(1000*CHOOSE(CONTROL!$C$42, 500, 500)*CHOOSE(CONTROL!$C$42, 0.275, 0.275)*CHOOSE(CONTROL!$C$42, 30, 30))/1000000</f>
        <v>4.125</v>
      </c>
      <c r="W177" s="38">
        <f>(1000*CHOOSE(CONTROL!$C$42, 0.1146, 0.1146)*CHOOSE(CONTROL!$C$42, 121.5, 121.5)*CHOOSE(CONTROL!$C$42, 30, 30))/1000000</f>
        <v>0.417717</v>
      </c>
      <c r="X177" s="38">
        <f>(30*0.1790888*245000/1000000)+(30*0.2374*100000/1000000)</f>
        <v>2.0285026799999999</v>
      </c>
      <c r="Y177" s="38">
        <f>(1000*600*CHOOSE(CONTROL!$C$42, 1.7143, 1.7143)*CHOOSE(CONTROL!$C$42, 30, 30))/1000000</f>
        <v>30.857399999999998</v>
      </c>
      <c r="Z177" s="38"/>
      <c r="AA177" s="10"/>
      <c r="AB177" s="39"/>
      <c r="AC177" s="33">
        <f>(B177*194.205+C177*267.466+D177*133.845+E177*53.484+F177*40+G177*185+H177*0+I177*100+J177*300)/(194.205+267.466+133.845+53.484+0+40+185+100+300)</f>
        <v>6.5299994087127162</v>
      </c>
      <c r="AD177" s="27">
        <f>(M177*'RAP TEMPLATE-GAS AVAILABILITY'!O176+N177*'RAP TEMPLATE-GAS AVAILABILITY'!P176+O177*'RAP TEMPLATE-GAS AVAILABILITY'!Q176+P177*'RAP TEMPLATE-GAS AVAILABILITY'!R176)/('RAP TEMPLATE-GAS AVAILABILITY'!O176+'RAP TEMPLATE-GAS AVAILABILITY'!P176+'RAP TEMPLATE-GAS AVAILABILITY'!Q176+'RAP TEMPLATE-GAS AVAILABILITY'!R176)</f>
        <v>6.4846769784172658</v>
      </c>
    </row>
    <row r="178" spans="1:30" ht="15">
      <c r="A178" s="16">
        <v>46661</v>
      </c>
      <c r="B178" s="10">
        <f>CHOOSE(CONTROL!$C$42, 6.3918, 6.3918) * CHOOSE(CONTROL!$C$21, $C$9, 100%, $E$9)</f>
        <v>6.3917999999999999</v>
      </c>
      <c r="C178" s="10">
        <f>CHOOSE(CONTROL!$C$42, 6.3971, 6.3971) * CHOOSE(CONTROL!$C$21, $C$9, 100%, $E$9)</f>
        <v>6.3971</v>
      </c>
      <c r="D178" s="10">
        <f>CHOOSE(CONTROL!$C$42, 6.559, 6.559) * CHOOSE(CONTROL!$C$21, $C$9, 100%, $E$9)</f>
        <v>6.5590000000000002</v>
      </c>
      <c r="E178" s="10">
        <f>CHOOSE(CONTROL!$C$42, 6.588, 6.588) * CHOOSE(CONTROL!$C$21, $C$9, 100%, $E$9)</f>
        <v>6.5880000000000001</v>
      </c>
      <c r="F178" s="10">
        <f>CHOOSE(CONTROL!$C$42, 6.3382, 6.3382)*CHOOSE(CONTROL!$C$21, $C$9, 100%, $E$9)</f>
        <v>6.3381999999999996</v>
      </c>
      <c r="G178" s="10">
        <f>CHOOSE(CONTROL!$C$42, 6.354, 6.354)*CHOOSE(CONTROL!$C$21, $C$9, 100%, $E$9)</f>
        <v>6.3540000000000001</v>
      </c>
      <c r="H178" s="10">
        <f>CHOOSE(CONTROL!$C$42, 6.5781, 6.5781) * CHOOSE(CONTROL!$C$21, $C$9, 100%, $E$9)</f>
        <v>6.5781000000000001</v>
      </c>
      <c r="I178" s="10">
        <f>CHOOSE(CONTROL!$C$42, 6.3723, 6.3723)* CHOOSE(CONTROL!$C$21, $C$9, 100%, $E$9)</f>
        <v>6.3723000000000001</v>
      </c>
      <c r="J178" s="10">
        <f>CHOOSE(CONTROL!$C$42, 6.3308, 6.3308)* CHOOSE(CONTROL!$C$21, $C$9, 100%, $E$9)</f>
        <v>6.3308</v>
      </c>
      <c r="K178" s="10">
        <f>CHOOSE(CONTROL!$C$42, 6.3337, 6.3337) * CHOOSE(CONTROL!$C$21, $C$9, 100%, $E$9)</f>
        <v>6.3337000000000003</v>
      </c>
      <c r="L178" s="10">
        <f>CHOOSE(CONTROL!$C$42, 7.1651, 7.1651) * CHOOSE(CONTROL!$C$21, $C$9, 100%, $E$9)</f>
        <v>7.1650999999999998</v>
      </c>
      <c r="M178" s="10">
        <f>CHOOSE(CONTROL!$C$42, 6.2755, 6.2755) * CHOOSE(CONTROL!$C$21, $C$9, 100%, $E$9)</f>
        <v>6.2755000000000001</v>
      </c>
      <c r="N178" s="10">
        <f>CHOOSE(CONTROL!$C$42, 6.291, 6.291) * CHOOSE(CONTROL!$C$21, $C$9, 100%, $E$9)</f>
        <v>6.2910000000000004</v>
      </c>
      <c r="O178" s="10">
        <f>CHOOSE(CONTROL!$C$42, 6.5193, 6.5193) * CHOOSE(CONTROL!$C$21, $C$9, 100%, $E$9)</f>
        <v>6.5193000000000003</v>
      </c>
      <c r="P178" s="10">
        <f>CHOOSE(CONTROL!$C$42, 6.3164, 6.3164) * CHOOSE(CONTROL!$C$21, $C$9, 100%, $E$9)</f>
        <v>6.3163999999999998</v>
      </c>
      <c r="Q178" s="10">
        <f>CHOOSE(CONTROL!$C$42, 7.1146, 7.1146) * CHOOSE(CONTROL!$C$21, $C$9, 100%, $E$9)</f>
        <v>7.1146000000000003</v>
      </c>
      <c r="R178" s="10">
        <f>CHOOSE(CONTROL!$C$42, 7.7194, 7.7194) * CHOOSE(CONTROL!$C$21, $C$9, 100%, $E$9)</f>
        <v>7.7194000000000003</v>
      </c>
      <c r="S178" s="10">
        <f>CHOOSE(CONTROL!$C$42, 6.2054, 6.2054) * CHOOSE(CONTROL!$C$21, $C$9, 100%, $E$9)</f>
        <v>6.2054</v>
      </c>
      <c r="T17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78" s="38">
        <f>(1000*CHOOSE(CONTROL!$C$42, 695, 695)*CHOOSE(CONTROL!$C$42, 0.5599, 0.5599)*CHOOSE(CONTROL!$C$42, 31, 31))/1000000</f>
        <v>12.063045499999998</v>
      </c>
      <c r="V178" s="38">
        <f>(1000*CHOOSE(CONTROL!$C$42, 500, 500)*CHOOSE(CONTROL!$C$42, 0.275, 0.275)*CHOOSE(CONTROL!$C$42, 31, 31))/1000000</f>
        <v>4.2625000000000002</v>
      </c>
      <c r="W178" s="38">
        <f>(1000*CHOOSE(CONTROL!$C$42, 0.1146, 0.1146)*CHOOSE(CONTROL!$C$42, 121.5, 121.5)*CHOOSE(CONTROL!$C$42, 31, 31))/1000000</f>
        <v>0.43164089999999994</v>
      </c>
      <c r="X178" s="38">
        <f>(31*0.1790888*245000/1000000)+(31*0.2374*100000/1000000)</f>
        <v>2.0961194359999999</v>
      </c>
      <c r="Y178" s="38">
        <f>(1000*600*CHOOSE(CONTROL!$C$42, 1.7143, 1.7143)*CHOOSE(CONTROL!$C$42, 31, 31))/1000000</f>
        <v>31.88598</v>
      </c>
      <c r="Z178" s="38"/>
      <c r="AA178" s="10"/>
      <c r="AB178" s="39"/>
      <c r="AC178" s="33">
        <f>(B178*131.881+C178*277.167+D178*79.08+E178*125.872+F178*40+G178*185+H178*0+I178*100+J178*300)/(131.881+277.167+79.08+125.872+0+40+185+100+300)</f>
        <v>6.399871224778046</v>
      </c>
      <c r="AD178" s="27">
        <f>(M178*'RAP TEMPLATE-GAS AVAILABILITY'!O177+N178*'RAP TEMPLATE-GAS AVAILABILITY'!P177+O178*'RAP TEMPLATE-GAS AVAILABILITY'!Q177+P178*'RAP TEMPLATE-GAS AVAILABILITY'!R177)/('RAP TEMPLATE-GAS AVAILABILITY'!O177+'RAP TEMPLATE-GAS AVAILABILITY'!P177+'RAP TEMPLATE-GAS AVAILABILITY'!Q177+'RAP TEMPLATE-GAS AVAILABILITY'!R177)</f>
        <v>6.3533575539568359</v>
      </c>
    </row>
    <row r="179" spans="1:30" ht="15">
      <c r="A179" s="16">
        <v>46692</v>
      </c>
      <c r="B179" s="10">
        <f>CHOOSE(CONTROL!$C$42, 6.5602, 6.5602) * CHOOSE(CONTROL!$C$21, $C$9, 100%, $E$9)</f>
        <v>6.5602</v>
      </c>
      <c r="C179" s="10">
        <f>CHOOSE(CONTROL!$C$42, 6.5653, 6.5653) * CHOOSE(CONTROL!$C$21, $C$9, 100%, $E$9)</f>
        <v>6.5652999999999997</v>
      </c>
      <c r="D179" s="10">
        <f>CHOOSE(CONTROL!$C$42, 6.5899, 6.5899) * CHOOSE(CONTROL!$C$21, $C$9, 100%, $E$9)</f>
        <v>6.5899000000000001</v>
      </c>
      <c r="E179" s="10">
        <f>CHOOSE(CONTROL!$C$42, 6.6238, 6.6238) * CHOOSE(CONTROL!$C$21, $C$9, 100%, $E$9)</f>
        <v>6.6238000000000001</v>
      </c>
      <c r="F179" s="10">
        <f>CHOOSE(CONTROL!$C$42, 6.5285, 6.5285)*CHOOSE(CONTROL!$C$21, $C$9, 100%, $E$9)</f>
        <v>6.5285000000000002</v>
      </c>
      <c r="G179" s="10">
        <f>CHOOSE(CONTROL!$C$42, 6.5445, 6.5445)*CHOOSE(CONTROL!$C$21, $C$9, 100%, $E$9)</f>
        <v>6.5445000000000002</v>
      </c>
      <c r="H179" s="10">
        <f>CHOOSE(CONTROL!$C$42, 6.6126, 6.6126) * CHOOSE(CONTROL!$C$21, $C$9, 100%, $E$9)</f>
        <v>6.6125999999999996</v>
      </c>
      <c r="I179" s="10">
        <f>CHOOSE(CONTROL!$C$42, 6.5752, 6.5752)* CHOOSE(CONTROL!$C$21, $C$9, 100%, $E$9)</f>
        <v>6.5751999999999997</v>
      </c>
      <c r="J179" s="10">
        <f>CHOOSE(CONTROL!$C$42, 6.5211, 6.5211)* CHOOSE(CONTROL!$C$21, $C$9, 100%, $E$9)</f>
        <v>6.5210999999999997</v>
      </c>
      <c r="K179" s="10">
        <f>CHOOSE(CONTROL!$C$42, 6.5325, 6.5325) * CHOOSE(CONTROL!$C$21, $C$9, 100%, $E$9)</f>
        <v>6.5324999999999998</v>
      </c>
      <c r="L179" s="10">
        <f>CHOOSE(CONTROL!$C$42, 7.1996, 7.1996) * CHOOSE(CONTROL!$C$21, $C$9, 100%, $E$9)</f>
        <v>7.1996000000000002</v>
      </c>
      <c r="M179" s="10">
        <f>CHOOSE(CONTROL!$C$42, 6.4631, 6.4631) * CHOOSE(CONTROL!$C$21, $C$9, 100%, $E$9)</f>
        <v>6.4630999999999998</v>
      </c>
      <c r="N179" s="10">
        <f>CHOOSE(CONTROL!$C$42, 6.4789, 6.4789) * CHOOSE(CONTROL!$C$21, $C$9, 100%, $E$9)</f>
        <v>6.4789000000000003</v>
      </c>
      <c r="O179" s="10">
        <f>CHOOSE(CONTROL!$C$42, 6.5534, 6.5534) * CHOOSE(CONTROL!$C$21, $C$9, 100%, $E$9)</f>
        <v>6.5533999999999999</v>
      </c>
      <c r="P179" s="10">
        <f>CHOOSE(CONTROL!$C$42, 6.5165, 6.5165) * CHOOSE(CONTROL!$C$21, $C$9, 100%, $E$9)</f>
        <v>6.5164999999999997</v>
      </c>
      <c r="Q179" s="10">
        <f>CHOOSE(CONTROL!$C$42, 7.1487, 7.1487) * CHOOSE(CONTROL!$C$21, $C$9, 100%, $E$9)</f>
        <v>7.1486999999999998</v>
      </c>
      <c r="R179" s="10">
        <f>CHOOSE(CONTROL!$C$42, 7.7536, 7.7536) * CHOOSE(CONTROL!$C$21, $C$9, 100%, $E$9)</f>
        <v>7.7535999999999996</v>
      </c>
      <c r="S179" s="10">
        <f>CHOOSE(CONTROL!$C$42, 6.3689, 6.3689) * CHOOSE(CONTROL!$C$21, $C$9, 100%, $E$9)</f>
        <v>6.3689</v>
      </c>
      <c r="T17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79" s="38">
        <f>(1000*CHOOSE(CONTROL!$C$42, 695, 695)*CHOOSE(CONTROL!$C$42, 0.5599, 0.5599)*CHOOSE(CONTROL!$C$42, 30, 30))/1000000</f>
        <v>11.673914999999997</v>
      </c>
      <c r="V179" s="38">
        <f>(1000*CHOOSE(CONTROL!$C$42, 500, 500)*CHOOSE(CONTROL!$C$42, 0.275, 0.275)*CHOOSE(CONTROL!$C$42, 30, 30))/1000000</f>
        <v>4.125</v>
      </c>
      <c r="W179" s="38">
        <f>(1000*CHOOSE(CONTROL!$C$42, 0.1146, 0.1146)*CHOOSE(CONTROL!$C$42, 121.5, 121.5)*CHOOSE(CONTROL!$C$42, 30, 30))/1000000</f>
        <v>0.417717</v>
      </c>
      <c r="X179" s="38">
        <f>(30*0.1790888*100000/1000000)+(30*0.2374*100000/1000000)</f>
        <v>1.2494664</v>
      </c>
      <c r="Y179" s="38">
        <f>(1000*600*CHOOSE(CONTROL!$C$42, 1.7143, 1.7143)*CHOOSE(CONTROL!$C$42, 30, 30))/1000000</f>
        <v>30.857399999999998</v>
      </c>
      <c r="Z179" s="38"/>
      <c r="AA179" s="10"/>
      <c r="AB179" s="39"/>
      <c r="AC179" s="33">
        <f>(B179*122.58+C179*297.941+D179*89.177+E179*40.302+F179*40+G179*160+H179*0+I179*100+J179*300)/(122.58+297.941+89.177+40.302+0+40+160+100+300)</f>
        <v>6.5538706636521731</v>
      </c>
      <c r="AD179" s="27">
        <f>(M179*'RAP TEMPLATE-GAS AVAILABILITY'!O178+N179*'RAP TEMPLATE-GAS AVAILABILITY'!P178+O179*'RAP TEMPLATE-GAS AVAILABILITY'!Q178+P179*'RAP TEMPLATE-GAS AVAILABILITY'!R178)/('RAP TEMPLATE-GAS AVAILABILITY'!O178+'RAP TEMPLATE-GAS AVAILABILITY'!P178+'RAP TEMPLATE-GAS AVAILABILITY'!Q178+'RAP TEMPLATE-GAS AVAILABILITY'!R178)</f>
        <v>6.5126201438848916</v>
      </c>
    </row>
    <row r="180" spans="1:30" ht="15">
      <c r="A180" s="16">
        <v>46722</v>
      </c>
      <c r="B180" s="10">
        <f>CHOOSE(CONTROL!$C$42, 7.0085, 7.0085) * CHOOSE(CONTROL!$C$21, $C$9, 100%, $E$9)</f>
        <v>7.0084999999999997</v>
      </c>
      <c r="C180" s="10">
        <f>CHOOSE(CONTROL!$C$42, 7.0136, 7.0136) * CHOOSE(CONTROL!$C$21, $C$9, 100%, $E$9)</f>
        <v>7.0136000000000003</v>
      </c>
      <c r="D180" s="10">
        <f>CHOOSE(CONTROL!$C$42, 7.0383, 7.0383) * CHOOSE(CONTROL!$C$21, $C$9, 100%, $E$9)</f>
        <v>7.0382999999999996</v>
      </c>
      <c r="E180" s="10">
        <f>CHOOSE(CONTROL!$C$42, 7.0721, 7.0721) * CHOOSE(CONTROL!$C$21, $C$9, 100%, $E$9)</f>
        <v>7.0720999999999998</v>
      </c>
      <c r="F180" s="10">
        <f>CHOOSE(CONTROL!$C$42, 6.9788, 6.9788)*CHOOSE(CONTROL!$C$21, $C$9, 100%, $E$9)</f>
        <v>6.9787999999999997</v>
      </c>
      <c r="G180" s="10">
        <f>CHOOSE(CONTROL!$C$42, 6.9953, 6.9953)*CHOOSE(CONTROL!$C$21, $C$9, 100%, $E$9)</f>
        <v>6.9953000000000003</v>
      </c>
      <c r="H180" s="10">
        <f>CHOOSE(CONTROL!$C$42, 7.061, 7.061) * CHOOSE(CONTROL!$C$21, $C$9, 100%, $E$9)</f>
        <v>7.0609999999999999</v>
      </c>
      <c r="I180" s="10">
        <f>CHOOSE(CONTROL!$C$42, 7.0235, 7.0235)* CHOOSE(CONTROL!$C$21, $C$9, 100%, $E$9)</f>
        <v>7.0235000000000003</v>
      </c>
      <c r="J180" s="10">
        <f>CHOOSE(CONTROL!$C$42, 6.9714, 6.9714)* CHOOSE(CONTROL!$C$21, $C$9, 100%, $E$9)</f>
        <v>6.9714</v>
      </c>
      <c r="K180" s="10">
        <f>CHOOSE(CONTROL!$C$42, 6.971, 6.971) * CHOOSE(CONTROL!$C$21, $C$9, 100%, $E$9)</f>
        <v>6.9710000000000001</v>
      </c>
      <c r="L180" s="10">
        <f>CHOOSE(CONTROL!$C$42, 7.648, 7.648) * CHOOSE(CONTROL!$C$21, $C$9, 100%, $E$9)</f>
        <v>7.6479999999999997</v>
      </c>
      <c r="M180" s="10">
        <f>CHOOSE(CONTROL!$C$42, 6.9072, 6.9072) * CHOOSE(CONTROL!$C$21, $C$9, 100%, $E$9)</f>
        <v>6.9071999999999996</v>
      </c>
      <c r="N180" s="10">
        <f>CHOOSE(CONTROL!$C$42, 6.9234, 6.9234) * CHOOSE(CONTROL!$C$21, $C$9, 100%, $E$9)</f>
        <v>6.9234</v>
      </c>
      <c r="O180" s="10">
        <f>CHOOSE(CONTROL!$C$42, 6.9955, 6.9955) * CHOOSE(CONTROL!$C$21, $C$9, 100%, $E$9)</f>
        <v>6.9954999999999998</v>
      </c>
      <c r="P180" s="10">
        <f>CHOOSE(CONTROL!$C$42, 6.9586, 6.9586) * CHOOSE(CONTROL!$C$21, $C$9, 100%, $E$9)</f>
        <v>6.9585999999999997</v>
      </c>
      <c r="Q180" s="10">
        <f>CHOOSE(CONTROL!$C$42, 7.5908, 7.5908) * CHOOSE(CONTROL!$C$21, $C$9, 100%, $E$9)</f>
        <v>7.5907999999999998</v>
      </c>
      <c r="R180" s="10">
        <f>CHOOSE(CONTROL!$C$42, 8.1968, 8.1968) * CHOOSE(CONTROL!$C$21, $C$9, 100%, $E$9)</f>
        <v>8.1967999999999996</v>
      </c>
      <c r="S180" s="10">
        <f>CHOOSE(CONTROL!$C$42, 6.803, 6.803) * CHOOSE(CONTROL!$C$21, $C$9, 100%, $E$9)</f>
        <v>6.8029999999999999</v>
      </c>
      <c r="T18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80" s="38">
        <f>(1000*CHOOSE(CONTROL!$C$42, 695, 695)*CHOOSE(CONTROL!$C$42, 0.5599, 0.5599)*CHOOSE(CONTROL!$C$42, 31, 31))/1000000</f>
        <v>12.063045499999998</v>
      </c>
      <c r="V180" s="38">
        <f>(1000*CHOOSE(CONTROL!$C$42, 500, 500)*CHOOSE(CONTROL!$C$42, 0.275, 0.275)*CHOOSE(CONTROL!$C$42, 31, 31))/1000000</f>
        <v>4.2625000000000002</v>
      </c>
      <c r="W180" s="38">
        <f>(1000*CHOOSE(CONTROL!$C$42, 0.1146, 0.1146)*CHOOSE(CONTROL!$C$42, 121.5, 121.5)*CHOOSE(CONTROL!$C$42, 31, 31))/1000000</f>
        <v>0.43164089999999994</v>
      </c>
      <c r="X180" s="38">
        <f>(31*0.1790888*100000/1000000)+(31*0.2374*100000/1000000)</f>
        <v>1.2911152800000001</v>
      </c>
      <c r="Y180" s="38">
        <f>(1000*600*CHOOSE(CONTROL!$C$42, 1.7143, 1.7143)*CHOOSE(CONTROL!$C$42, 31, 31))/1000000</f>
        <v>31.88598</v>
      </c>
      <c r="Z180" s="38"/>
      <c r="AA180" s="10"/>
      <c r="AB180" s="39"/>
      <c r="AC180" s="33">
        <f>(B180*122.58+C180*297.941+D180*89.177+E180*40.302+F180*40+G180*160+H180*0+I180*100+J180*300)/(122.58+297.941+89.177+40.302+0+40+160+100+300)</f>
        <v>7.003117548608695</v>
      </c>
      <c r="AD180" s="27">
        <f>(M180*'RAP TEMPLATE-GAS AVAILABILITY'!O179+N180*'RAP TEMPLATE-GAS AVAILABILITY'!P179+O180*'RAP TEMPLATE-GAS AVAILABILITY'!Q179+P180*'RAP TEMPLATE-GAS AVAILABILITY'!R179)/('RAP TEMPLATE-GAS AVAILABILITY'!O179+'RAP TEMPLATE-GAS AVAILABILITY'!P179+'RAP TEMPLATE-GAS AVAILABILITY'!Q179+'RAP TEMPLATE-GAS AVAILABILITY'!R179)</f>
        <v>6.9555489208633077</v>
      </c>
    </row>
    <row r="181" spans="1:30" ht="15">
      <c r="A181" s="16">
        <v>46753</v>
      </c>
      <c r="B181" s="10">
        <f>CHOOSE(CONTROL!$C$42, 7.574, 7.574) * CHOOSE(CONTROL!$C$21, $C$9, 100%, $E$9)</f>
        <v>7.5739999999999998</v>
      </c>
      <c r="C181" s="10">
        <f>CHOOSE(CONTROL!$C$42, 7.5791, 7.5791) * CHOOSE(CONTROL!$C$21, $C$9, 100%, $E$9)</f>
        <v>7.5791000000000004</v>
      </c>
      <c r="D181" s="10">
        <f>CHOOSE(CONTROL!$C$42, 7.6115, 7.6115) * CHOOSE(CONTROL!$C$21, $C$9, 100%, $E$9)</f>
        <v>7.6115000000000004</v>
      </c>
      <c r="E181" s="10">
        <f>CHOOSE(CONTROL!$C$42, 7.6453, 7.6453) * CHOOSE(CONTROL!$C$21, $C$9, 100%, $E$9)</f>
        <v>7.6452999999999998</v>
      </c>
      <c r="F181" s="10">
        <f>CHOOSE(CONTROL!$C$42, 7.5582, 7.5582)*CHOOSE(CONTROL!$C$21, $C$9, 100%, $E$9)</f>
        <v>7.5582000000000003</v>
      </c>
      <c r="G181" s="10">
        <f>CHOOSE(CONTROL!$C$42, 7.5762, 7.5762)*CHOOSE(CONTROL!$C$21, $C$9, 100%, $E$9)</f>
        <v>7.5762</v>
      </c>
      <c r="H181" s="10">
        <f>CHOOSE(CONTROL!$C$42, 7.6342, 7.6342) * CHOOSE(CONTROL!$C$21, $C$9, 100%, $E$9)</f>
        <v>7.6341999999999999</v>
      </c>
      <c r="I181" s="10">
        <f>CHOOSE(CONTROL!$C$42, 7.5874, 7.5874)* CHOOSE(CONTROL!$C$21, $C$9, 100%, $E$9)</f>
        <v>7.5873999999999997</v>
      </c>
      <c r="J181" s="10">
        <f>CHOOSE(CONTROL!$C$42, 7.5508, 7.5508)* CHOOSE(CONTROL!$C$21, $C$9, 100%, $E$9)</f>
        <v>7.5507999999999997</v>
      </c>
      <c r="K181" s="10">
        <f>CHOOSE(CONTROL!$C$42, 7.5312, 7.5312) * CHOOSE(CONTROL!$C$21, $C$9, 100%, $E$9)</f>
        <v>7.5312000000000001</v>
      </c>
      <c r="L181" s="10">
        <f>CHOOSE(CONTROL!$C$42, 8.2212, 8.2212) * CHOOSE(CONTROL!$C$21, $C$9, 100%, $E$9)</f>
        <v>8.2211999999999996</v>
      </c>
      <c r="M181" s="10">
        <f>CHOOSE(CONTROL!$C$42, 7.4785, 7.4785) * CHOOSE(CONTROL!$C$21, $C$9, 100%, $E$9)</f>
        <v>7.4785000000000004</v>
      </c>
      <c r="N181" s="10">
        <f>CHOOSE(CONTROL!$C$42, 7.4962, 7.4962) * CHOOSE(CONTROL!$C$21, $C$9, 100%, $E$9)</f>
        <v>7.4962</v>
      </c>
      <c r="O181" s="10">
        <f>CHOOSE(CONTROL!$C$42, 7.5607, 7.5607) * CHOOSE(CONTROL!$C$21, $C$9, 100%, $E$9)</f>
        <v>7.5606999999999998</v>
      </c>
      <c r="P181" s="10">
        <f>CHOOSE(CONTROL!$C$42, 7.5146, 7.5146) * CHOOSE(CONTROL!$C$21, $C$9, 100%, $E$9)</f>
        <v>7.5145999999999997</v>
      </c>
      <c r="Q181" s="10">
        <f>CHOOSE(CONTROL!$C$42, 8.156, 8.156) * CHOOSE(CONTROL!$C$21, $C$9, 100%, $E$9)</f>
        <v>8.1560000000000006</v>
      </c>
      <c r="R181" s="10">
        <f>CHOOSE(CONTROL!$C$42, 8.7634, 8.7634) * CHOOSE(CONTROL!$C$21, $C$9, 100%, $E$9)</f>
        <v>8.7634000000000007</v>
      </c>
      <c r="S181" s="10">
        <f>CHOOSE(CONTROL!$C$42, 7.3505, 7.3505) * CHOOSE(CONTROL!$C$21, $C$9, 100%, $E$9)</f>
        <v>7.3505000000000003</v>
      </c>
      <c r="T18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81" s="38">
        <f>(1000*CHOOSE(CONTROL!$C$42, 695, 695)*CHOOSE(CONTROL!$C$42, 0.5599, 0.5599)*CHOOSE(CONTROL!$C$42, 31, 31))/1000000</f>
        <v>12.063045499999998</v>
      </c>
      <c r="V181" s="38">
        <f>(1000*CHOOSE(CONTROL!$C$42, 500, 500)*CHOOSE(CONTROL!$C$42, 0.275, 0.275)*CHOOSE(CONTROL!$C$42, 31, 31))/1000000</f>
        <v>4.2625000000000002</v>
      </c>
      <c r="W181" s="38">
        <f>(1000*CHOOSE(CONTROL!$C$42, 0.1146, 0.1146)*CHOOSE(CONTROL!$C$42, 121.5, 121.5)*CHOOSE(CONTROL!$C$42, 31, 31))/1000000</f>
        <v>0.43164089999999994</v>
      </c>
      <c r="X181" s="38">
        <f>(31*0.1790888*100000/1000000)+(31*0.2374*100000/1000000)</f>
        <v>1.2911152800000001</v>
      </c>
      <c r="Y181" s="38">
        <f>(1000*600*CHOOSE(CONTROL!$C$42, 1.7044, 1.7044)*CHOOSE(CONTROL!$C$42, 31, 31))/1000000</f>
        <v>31.701840000000001</v>
      </c>
      <c r="Z181" s="38"/>
      <c r="AA181" s="10"/>
      <c r="AB181" s="39"/>
      <c r="AC181" s="33">
        <f>(B181*122.58+C181*297.941+D181*89.177+E181*40.302+F181*40+G181*160+H181*0+I181*100+J181*300)/(122.58+297.941+89.177+40.302+0+40+160+100+300)</f>
        <v>7.5755975384347831</v>
      </c>
      <c r="AD181" s="27">
        <f>(M181*'RAP TEMPLATE-GAS AVAILABILITY'!O180+N181*'RAP TEMPLATE-GAS AVAILABILITY'!P180+O181*'RAP TEMPLATE-GAS AVAILABILITY'!Q180+P181*'RAP TEMPLATE-GAS AVAILABILITY'!R180)/('RAP TEMPLATE-GAS AVAILABILITY'!O180+'RAP TEMPLATE-GAS AVAILABILITY'!P180+'RAP TEMPLATE-GAS AVAILABILITY'!Q180+'RAP TEMPLATE-GAS AVAILABILITY'!R180)</f>
        <v>7.5219690647482018</v>
      </c>
    </row>
    <row r="182" spans="1:30" ht="15">
      <c r="A182" s="16">
        <v>46784</v>
      </c>
      <c r="B182" s="10">
        <f>CHOOSE(CONTROL!$C$42, 7.7091, 7.7091) * CHOOSE(CONTROL!$C$21, $C$9, 100%, $E$9)</f>
        <v>7.7091000000000003</v>
      </c>
      <c r="C182" s="10">
        <f>CHOOSE(CONTROL!$C$42, 7.7142, 7.7142) * CHOOSE(CONTROL!$C$21, $C$9, 100%, $E$9)</f>
        <v>7.7141999999999999</v>
      </c>
      <c r="D182" s="10">
        <f>CHOOSE(CONTROL!$C$42, 7.7466, 7.7466) * CHOOSE(CONTROL!$C$21, $C$9, 100%, $E$9)</f>
        <v>7.7465999999999999</v>
      </c>
      <c r="E182" s="10">
        <f>CHOOSE(CONTROL!$C$42, 7.7804, 7.7804) * CHOOSE(CONTROL!$C$21, $C$9, 100%, $E$9)</f>
        <v>7.7804000000000002</v>
      </c>
      <c r="F182" s="10">
        <f>CHOOSE(CONTROL!$C$42, 7.6928, 7.6928)*CHOOSE(CONTROL!$C$21, $C$9, 100%, $E$9)</f>
        <v>7.6928000000000001</v>
      </c>
      <c r="G182" s="10">
        <f>CHOOSE(CONTROL!$C$42, 7.7107, 7.7107)*CHOOSE(CONTROL!$C$21, $C$9, 100%, $E$9)</f>
        <v>7.7107000000000001</v>
      </c>
      <c r="H182" s="10">
        <f>CHOOSE(CONTROL!$C$42, 7.7693, 7.7693) * CHOOSE(CONTROL!$C$21, $C$9, 100%, $E$9)</f>
        <v>7.7693000000000003</v>
      </c>
      <c r="I182" s="10">
        <f>CHOOSE(CONTROL!$C$42, 7.7225, 7.7225)* CHOOSE(CONTROL!$C$21, $C$9, 100%, $E$9)</f>
        <v>7.7225000000000001</v>
      </c>
      <c r="J182" s="10">
        <f>CHOOSE(CONTROL!$C$42, 7.6854, 7.6854)* CHOOSE(CONTROL!$C$21, $C$9, 100%, $E$9)</f>
        <v>7.6853999999999996</v>
      </c>
      <c r="K182" s="10">
        <f>CHOOSE(CONTROL!$C$42, 7.6611, 7.6611) * CHOOSE(CONTROL!$C$21, $C$9, 100%, $E$9)</f>
        <v>7.6611000000000002</v>
      </c>
      <c r="L182" s="10">
        <f>CHOOSE(CONTROL!$C$42, 8.3563, 8.3563) * CHOOSE(CONTROL!$C$21, $C$9, 100%, $E$9)</f>
        <v>8.3562999999999992</v>
      </c>
      <c r="M182" s="10">
        <f>CHOOSE(CONTROL!$C$42, 7.6112, 7.6112) * CHOOSE(CONTROL!$C$21, $C$9, 100%, $E$9)</f>
        <v>7.6112000000000002</v>
      </c>
      <c r="N182" s="10">
        <f>CHOOSE(CONTROL!$C$42, 7.6289, 7.6289) * CHOOSE(CONTROL!$C$21, $C$9, 100%, $E$9)</f>
        <v>7.6288999999999998</v>
      </c>
      <c r="O182" s="10">
        <f>CHOOSE(CONTROL!$C$42, 7.6939, 7.6939) * CHOOSE(CONTROL!$C$21, $C$9, 100%, $E$9)</f>
        <v>7.6939000000000002</v>
      </c>
      <c r="P182" s="10">
        <f>CHOOSE(CONTROL!$C$42, 7.6479, 7.6479) * CHOOSE(CONTROL!$C$21, $C$9, 100%, $E$9)</f>
        <v>7.6478999999999999</v>
      </c>
      <c r="Q182" s="10">
        <f>CHOOSE(CONTROL!$C$42, 8.2892, 8.2892) * CHOOSE(CONTROL!$C$21, $C$9, 100%, $E$9)</f>
        <v>8.2891999999999992</v>
      </c>
      <c r="R182" s="10">
        <f>CHOOSE(CONTROL!$C$42, 8.897, 8.897) * CHOOSE(CONTROL!$C$21, $C$9, 100%, $E$9)</f>
        <v>8.8970000000000002</v>
      </c>
      <c r="S182" s="10">
        <f>CHOOSE(CONTROL!$C$42, 7.4814, 7.4814) * CHOOSE(CONTROL!$C$21, $C$9, 100%, $E$9)</f>
        <v>7.4813999999999998</v>
      </c>
      <c r="T182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182" s="38">
        <f>(1000*CHOOSE(CONTROL!$C$42, 695, 695)*CHOOSE(CONTROL!$C$42, 0.5599, 0.5599)*CHOOSE(CONTROL!$C$42, 29, 29))/1000000</f>
        <v>11.284784499999999</v>
      </c>
      <c r="V182" s="38">
        <f>(1000*CHOOSE(CONTROL!$C$42, 500, 500)*CHOOSE(CONTROL!$C$42, 0.275, 0.275)*CHOOSE(CONTROL!$C$42, 29, 29))/1000000</f>
        <v>3.9874999999999998</v>
      </c>
      <c r="W182" s="38">
        <f>(1000*CHOOSE(CONTROL!$C$42, 0.1146, 0.1146)*CHOOSE(CONTROL!$C$42, 121.5, 121.5)*CHOOSE(CONTROL!$C$42, 29, 29))/1000000</f>
        <v>0.40379309999999996</v>
      </c>
      <c r="X182" s="38">
        <f>(29*0.1790888*100000/1000000)+(29*0.2374*100000/1000000)</f>
        <v>1.2078175199999999</v>
      </c>
      <c r="Y182" s="38">
        <f>(1000*600*CHOOSE(CONTROL!$C$42, 1.7044, 1.7044)*CHOOSE(CONTROL!$C$42, 29, 29))/1000000</f>
        <v>29.656559999999999</v>
      </c>
      <c r="Z182" s="38"/>
      <c r="AA182" s="10"/>
      <c r="AB182" s="39"/>
      <c r="AC182" s="33">
        <f>(B182*122.58+C182*297.941+D182*89.177+E182*40.302+F182*40+G182*160+H182*0+I182*100+J182*300)/(122.58+297.941+89.177+40.302+0+40+160+100+300)</f>
        <v>7.7104662340869572</v>
      </c>
      <c r="AD182" s="27">
        <f>(M182*'RAP TEMPLATE-GAS AVAILABILITY'!O181+N182*'RAP TEMPLATE-GAS AVAILABILITY'!P181+O182*'RAP TEMPLATE-GAS AVAILABILITY'!Q181+P182*'RAP TEMPLATE-GAS AVAILABILITY'!R181)/('RAP TEMPLATE-GAS AVAILABILITY'!O181+'RAP TEMPLATE-GAS AVAILABILITY'!P181+'RAP TEMPLATE-GAS AVAILABILITY'!Q181+'RAP TEMPLATE-GAS AVAILABILITY'!R181)</f>
        <v>7.6549820143884899</v>
      </c>
    </row>
    <row r="183" spans="1:30" ht="15">
      <c r="A183" s="16">
        <v>46813</v>
      </c>
      <c r="B183" s="10">
        <f>CHOOSE(CONTROL!$C$42, 7.4898, 7.4898) * CHOOSE(CONTROL!$C$21, $C$9, 100%, $E$9)</f>
        <v>7.4897999999999998</v>
      </c>
      <c r="C183" s="10">
        <f>CHOOSE(CONTROL!$C$42, 7.4949, 7.4949) * CHOOSE(CONTROL!$C$21, $C$9, 100%, $E$9)</f>
        <v>7.4949000000000003</v>
      </c>
      <c r="D183" s="10">
        <f>CHOOSE(CONTROL!$C$42, 7.5273, 7.5273) * CHOOSE(CONTROL!$C$21, $C$9, 100%, $E$9)</f>
        <v>7.5273000000000003</v>
      </c>
      <c r="E183" s="10">
        <f>CHOOSE(CONTROL!$C$42, 7.5611, 7.5611) * CHOOSE(CONTROL!$C$21, $C$9, 100%, $E$9)</f>
        <v>7.5610999999999997</v>
      </c>
      <c r="F183" s="10">
        <f>CHOOSE(CONTROL!$C$42, 7.472, 7.472)*CHOOSE(CONTROL!$C$21, $C$9, 100%, $E$9)</f>
        <v>7.4720000000000004</v>
      </c>
      <c r="G183" s="10">
        <f>CHOOSE(CONTROL!$C$42, 7.4896, 7.4896)*CHOOSE(CONTROL!$C$21, $C$9, 100%, $E$9)</f>
        <v>7.4896000000000003</v>
      </c>
      <c r="H183" s="10">
        <f>CHOOSE(CONTROL!$C$42, 7.55, 7.55) * CHOOSE(CONTROL!$C$21, $C$9, 100%, $E$9)</f>
        <v>7.55</v>
      </c>
      <c r="I183" s="10">
        <f>CHOOSE(CONTROL!$C$42, 7.5032, 7.5032)* CHOOSE(CONTROL!$C$21, $C$9, 100%, $E$9)</f>
        <v>7.5031999999999996</v>
      </c>
      <c r="J183" s="10">
        <f>CHOOSE(CONTROL!$C$42, 7.4646, 7.4646)* CHOOSE(CONTROL!$C$21, $C$9, 100%, $E$9)</f>
        <v>7.4645999999999999</v>
      </c>
      <c r="K183" s="10">
        <f>CHOOSE(CONTROL!$C$42, 7.4455, 7.4455) * CHOOSE(CONTROL!$C$21, $C$9, 100%, $E$9)</f>
        <v>7.4455</v>
      </c>
      <c r="L183" s="10">
        <f>CHOOSE(CONTROL!$C$42, 8.137, 8.137) * CHOOSE(CONTROL!$C$21, $C$9, 100%, $E$9)</f>
        <v>8.1370000000000005</v>
      </c>
      <c r="M183" s="10">
        <f>CHOOSE(CONTROL!$C$42, 7.3935, 7.3935) * CHOOSE(CONTROL!$C$21, $C$9, 100%, $E$9)</f>
        <v>7.3935000000000004</v>
      </c>
      <c r="N183" s="10">
        <f>CHOOSE(CONTROL!$C$42, 7.4108, 7.4108) * CHOOSE(CONTROL!$C$21, $C$9, 100%, $E$9)</f>
        <v>7.4108000000000001</v>
      </c>
      <c r="O183" s="10">
        <f>CHOOSE(CONTROL!$C$42, 7.4777, 7.4777) * CHOOSE(CONTROL!$C$21, $C$9, 100%, $E$9)</f>
        <v>7.4776999999999996</v>
      </c>
      <c r="P183" s="10">
        <f>CHOOSE(CONTROL!$C$42, 7.4316, 7.4316) * CHOOSE(CONTROL!$C$21, $C$9, 100%, $E$9)</f>
        <v>7.4316000000000004</v>
      </c>
      <c r="Q183" s="10">
        <f>CHOOSE(CONTROL!$C$42, 8.073, 8.073) * CHOOSE(CONTROL!$C$21, $C$9, 100%, $E$9)</f>
        <v>8.0730000000000004</v>
      </c>
      <c r="R183" s="10">
        <f>CHOOSE(CONTROL!$C$42, 8.6802, 8.6802) * CHOOSE(CONTROL!$C$21, $C$9, 100%, $E$9)</f>
        <v>8.6801999999999992</v>
      </c>
      <c r="S183" s="10">
        <f>CHOOSE(CONTROL!$C$42, 7.269, 7.269) * CHOOSE(CONTROL!$C$21, $C$9, 100%, $E$9)</f>
        <v>7.2690000000000001</v>
      </c>
      <c r="T18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83" s="38">
        <f>(1000*CHOOSE(CONTROL!$C$42, 695, 695)*CHOOSE(CONTROL!$C$42, 0.5599, 0.5599)*CHOOSE(CONTROL!$C$42, 31, 31))/1000000</f>
        <v>12.063045499999998</v>
      </c>
      <c r="V183" s="38">
        <f>(1000*CHOOSE(CONTROL!$C$42, 500, 500)*CHOOSE(CONTROL!$C$42, 0.275, 0.275)*CHOOSE(CONTROL!$C$42, 31, 31))/1000000</f>
        <v>4.2625000000000002</v>
      </c>
      <c r="W183" s="38">
        <f>(1000*CHOOSE(CONTROL!$C$42, 0.1146, 0.1146)*CHOOSE(CONTROL!$C$42, 121.5, 121.5)*CHOOSE(CONTROL!$C$42, 31, 31))/1000000</f>
        <v>0.43164089999999994</v>
      </c>
      <c r="X183" s="38">
        <f>(31*0.1790888*100000/1000000)+(31*0.2374*100000/1000000)</f>
        <v>1.2911152800000001</v>
      </c>
      <c r="Y183" s="38">
        <f>(1000*600*CHOOSE(CONTROL!$C$42, 1.7044, 1.7044)*CHOOSE(CONTROL!$C$42, 31, 31))/1000000</f>
        <v>31.701840000000001</v>
      </c>
      <c r="Z183" s="38"/>
      <c r="AA183" s="10"/>
      <c r="AB183" s="39"/>
      <c r="AC183" s="33">
        <f>(B183*122.58+C183*297.941+D183*89.177+E183*40.302+F183*40+G183*160+H183*0+I183*100+J183*300)/(122.58+297.941+89.177+40.302+0+40+160+100+300)</f>
        <v>7.4904723210434785</v>
      </c>
      <c r="AD183" s="27">
        <f>(M183*'RAP TEMPLATE-GAS AVAILABILITY'!O182+N183*'RAP TEMPLATE-GAS AVAILABILITY'!P182+O183*'RAP TEMPLATE-GAS AVAILABILITY'!Q182+P183*'RAP TEMPLATE-GAS AVAILABILITY'!R182)/('RAP TEMPLATE-GAS AVAILABILITY'!O182+'RAP TEMPLATE-GAS AVAILABILITY'!P182+'RAP TEMPLATE-GAS AVAILABILITY'!Q182+'RAP TEMPLATE-GAS AVAILABILITY'!R182)</f>
        <v>7.4381402877697838</v>
      </c>
    </row>
    <row r="184" spans="1:30" ht="15">
      <c r="A184" s="16">
        <v>46844</v>
      </c>
      <c r="B184" s="10">
        <f>CHOOSE(CONTROL!$C$42, 7.4681, 7.4681) * CHOOSE(CONTROL!$C$21, $C$9, 100%, $E$9)</f>
        <v>7.4680999999999997</v>
      </c>
      <c r="C184" s="10">
        <f>CHOOSE(CONTROL!$C$42, 7.4726, 7.4726) * CHOOSE(CONTROL!$C$21, $C$9, 100%, $E$9)</f>
        <v>7.4725999999999999</v>
      </c>
      <c r="D184" s="10">
        <f>CHOOSE(CONTROL!$C$42, 7.6327, 7.6327) * CHOOSE(CONTROL!$C$21, $C$9, 100%, $E$9)</f>
        <v>7.6326999999999998</v>
      </c>
      <c r="E184" s="10">
        <f>CHOOSE(CONTROL!$C$42, 7.6646, 7.6646) * CHOOSE(CONTROL!$C$21, $C$9, 100%, $E$9)</f>
        <v>7.6646000000000001</v>
      </c>
      <c r="F184" s="10">
        <f>CHOOSE(CONTROL!$C$42, 7.4142, 7.4142)*CHOOSE(CONTROL!$C$21, $C$9, 100%, $E$9)</f>
        <v>7.4142000000000001</v>
      </c>
      <c r="G184" s="10">
        <f>CHOOSE(CONTROL!$C$42, 7.43, 7.43)*CHOOSE(CONTROL!$C$21, $C$9, 100%, $E$9)</f>
        <v>7.43</v>
      </c>
      <c r="H184" s="10">
        <f>CHOOSE(CONTROL!$C$42, 7.654, 7.654) * CHOOSE(CONTROL!$C$21, $C$9, 100%, $E$9)</f>
        <v>7.6539999999999999</v>
      </c>
      <c r="I184" s="10">
        <f>CHOOSE(CONTROL!$C$42, 7.4482, 7.4482)* CHOOSE(CONTROL!$C$21, $C$9, 100%, $E$9)</f>
        <v>7.4481999999999999</v>
      </c>
      <c r="J184" s="10">
        <f>CHOOSE(CONTROL!$C$42, 7.4068, 7.4068)* CHOOSE(CONTROL!$C$21, $C$9, 100%, $E$9)</f>
        <v>7.4067999999999996</v>
      </c>
      <c r="K184" s="10">
        <f>CHOOSE(CONTROL!$C$42, 7.3762, 7.3762) * CHOOSE(CONTROL!$C$21, $C$9, 100%, $E$9)</f>
        <v>7.3761999999999999</v>
      </c>
      <c r="L184" s="10">
        <f>CHOOSE(CONTROL!$C$42, 8.241, 8.241) * CHOOSE(CONTROL!$C$21, $C$9, 100%, $E$9)</f>
        <v>8.2409999999999997</v>
      </c>
      <c r="M184" s="10">
        <f>CHOOSE(CONTROL!$C$42, 7.3365, 7.3365) * CHOOSE(CONTROL!$C$21, $C$9, 100%, $E$9)</f>
        <v>7.3365</v>
      </c>
      <c r="N184" s="10">
        <f>CHOOSE(CONTROL!$C$42, 7.3521, 7.3521) * CHOOSE(CONTROL!$C$21, $C$9, 100%, $E$9)</f>
        <v>7.3521000000000001</v>
      </c>
      <c r="O184" s="10">
        <f>CHOOSE(CONTROL!$C$42, 7.5803, 7.5803) * CHOOSE(CONTROL!$C$21, $C$9, 100%, $E$9)</f>
        <v>7.5803000000000003</v>
      </c>
      <c r="P184" s="10">
        <f>CHOOSE(CONTROL!$C$42, 7.3774, 7.3774) * CHOOSE(CONTROL!$C$21, $C$9, 100%, $E$9)</f>
        <v>7.3773999999999997</v>
      </c>
      <c r="Q184" s="10">
        <f>CHOOSE(CONTROL!$C$42, 8.1756, 8.1756) * CHOOSE(CONTROL!$C$21, $C$9, 100%, $E$9)</f>
        <v>8.1755999999999993</v>
      </c>
      <c r="R184" s="10">
        <f>CHOOSE(CONTROL!$C$42, 8.783, 8.783) * CHOOSE(CONTROL!$C$21, $C$9, 100%, $E$9)</f>
        <v>8.7829999999999995</v>
      </c>
      <c r="S184" s="10">
        <f>CHOOSE(CONTROL!$C$42, 7.2472, 7.2472) * CHOOSE(CONTROL!$C$21, $C$9, 100%, $E$9)</f>
        <v>7.2472000000000003</v>
      </c>
      <c r="T18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84" s="38">
        <f>(1000*CHOOSE(CONTROL!$C$42, 695, 695)*CHOOSE(CONTROL!$C$42, 0.5599, 0.5599)*CHOOSE(CONTROL!$C$42, 30, 30))/1000000</f>
        <v>11.673914999999997</v>
      </c>
      <c r="V184" s="38">
        <f>(1000*CHOOSE(CONTROL!$C$42, 500, 500)*CHOOSE(CONTROL!$C$42, 0.275, 0.275)*CHOOSE(CONTROL!$C$42, 30, 30))/1000000</f>
        <v>4.125</v>
      </c>
      <c r="W184" s="38">
        <f>(1000*CHOOSE(CONTROL!$C$42, 0.1146, 0.1146)*CHOOSE(CONTROL!$C$42, 121.5, 121.5)*CHOOSE(CONTROL!$C$42, 30, 30))/1000000</f>
        <v>0.417717</v>
      </c>
      <c r="X184" s="38">
        <f>(30*0.1790888*245000/1000000)+(30*0.2374*100000/1000000)</f>
        <v>2.0285026799999999</v>
      </c>
      <c r="Y184" s="38">
        <f>(1000*600*CHOOSE(CONTROL!$C$42, 1.7044, 1.7044)*CHOOSE(CONTROL!$C$42, 30, 30))/1000000</f>
        <v>30.679200000000002</v>
      </c>
      <c r="Z184" s="38"/>
      <c r="AA184" s="10"/>
      <c r="AB184" s="39"/>
      <c r="AC184" s="33">
        <f>(B184*141.293+C184*267.993+D184*115.016+E184*89.698+F184*40+G184*185+H184*0+I184*100+J184*300)/(141.293+267.993+115.016+89.698+0+40+185+100+300)</f>
        <v>7.4747010969330105</v>
      </c>
      <c r="AD184" s="27">
        <f>(M184*'RAP TEMPLATE-GAS AVAILABILITY'!O183+N184*'RAP TEMPLATE-GAS AVAILABILITY'!P183+O184*'RAP TEMPLATE-GAS AVAILABILITY'!Q183+P184*'RAP TEMPLATE-GAS AVAILABILITY'!R183)/('RAP TEMPLATE-GAS AVAILABILITY'!O183+'RAP TEMPLATE-GAS AVAILABILITY'!P183+'RAP TEMPLATE-GAS AVAILABILITY'!Q183+'RAP TEMPLATE-GAS AVAILABILITY'!R183)</f>
        <v>7.4143805755395684</v>
      </c>
    </row>
    <row r="185" spans="1:30" ht="15">
      <c r="A185" s="16">
        <v>46874</v>
      </c>
      <c r="B185" s="10">
        <f>CHOOSE(CONTROL!$C$42, 7.5359, 7.5359) * CHOOSE(CONTROL!$C$21, $C$9, 100%, $E$9)</f>
        <v>7.5358999999999998</v>
      </c>
      <c r="C185" s="10">
        <f>CHOOSE(CONTROL!$C$42, 7.5439, 7.5439) * CHOOSE(CONTROL!$C$21, $C$9, 100%, $E$9)</f>
        <v>7.5438999999999998</v>
      </c>
      <c r="D185" s="10">
        <f>CHOOSE(CONTROL!$C$42, 7.701, 7.701) * CHOOSE(CONTROL!$C$21, $C$9, 100%, $E$9)</f>
        <v>7.7009999999999996</v>
      </c>
      <c r="E185" s="10">
        <f>CHOOSE(CONTROL!$C$42, 7.7322, 7.7322) * CHOOSE(CONTROL!$C$21, $C$9, 100%, $E$9)</f>
        <v>7.7321999999999997</v>
      </c>
      <c r="F185" s="10">
        <f>CHOOSE(CONTROL!$C$42, 7.4801, 7.4801)*CHOOSE(CONTROL!$C$21, $C$9, 100%, $E$9)</f>
        <v>7.4801000000000002</v>
      </c>
      <c r="G185" s="10">
        <f>CHOOSE(CONTROL!$C$42, 7.4962, 7.4962)*CHOOSE(CONTROL!$C$21, $C$9, 100%, $E$9)</f>
        <v>7.4962</v>
      </c>
      <c r="H185" s="10">
        <f>CHOOSE(CONTROL!$C$42, 7.7205, 7.7205) * CHOOSE(CONTROL!$C$21, $C$9, 100%, $E$9)</f>
        <v>7.7205000000000004</v>
      </c>
      <c r="I185" s="10">
        <f>CHOOSE(CONTROL!$C$42, 7.5147, 7.5147)* CHOOSE(CONTROL!$C$21, $C$9, 100%, $E$9)</f>
        <v>7.5147000000000004</v>
      </c>
      <c r="J185" s="10">
        <f>CHOOSE(CONTROL!$C$42, 7.4727, 7.4727)* CHOOSE(CONTROL!$C$21, $C$9, 100%, $E$9)</f>
        <v>7.4726999999999997</v>
      </c>
      <c r="K185" s="10">
        <f>CHOOSE(CONTROL!$C$42, 7.4393, 7.4393) * CHOOSE(CONTROL!$C$21, $C$9, 100%, $E$9)</f>
        <v>7.4393000000000002</v>
      </c>
      <c r="L185" s="10">
        <f>CHOOSE(CONTROL!$C$42, 8.3075, 8.3075) * CHOOSE(CONTROL!$C$21, $C$9, 100%, $E$9)</f>
        <v>8.3074999999999992</v>
      </c>
      <c r="M185" s="10">
        <f>CHOOSE(CONTROL!$C$42, 7.4014, 7.4014) * CHOOSE(CONTROL!$C$21, $C$9, 100%, $E$9)</f>
        <v>7.4013999999999998</v>
      </c>
      <c r="N185" s="10">
        <f>CHOOSE(CONTROL!$C$42, 7.4173, 7.4173) * CHOOSE(CONTROL!$C$21, $C$9, 100%, $E$9)</f>
        <v>7.4173</v>
      </c>
      <c r="O185" s="10">
        <f>CHOOSE(CONTROL!$C$42, 7.6458, 7.6458) * CHOOSE(CONTROL!$C$21, $C$9, 100%, $E$9)</f>
        <v>7.6458000000000004</v>
      </c>
      <c r="P185" s="10">
        <f>CHOOSE(CONTROL!$C$42, 7.4429, 7.4429) * CHOOSE(CONTROL!$C$21, $C$9, 100%, $E$9)</f>
        <v>7.4428999999999998</v>
      </c>
      <c r="Q185" s="10">
        <f>CHOOSE(CONTROL!$C$42, 8.2411, 8.2411) * CHOOSE(CONTROL!$C$21, $C$9, 100%, $E$9)</f>
        <v>8.2410999999999994</v>
      </c>
      <c r="R185" s="10">
        <f>CHOOSE(CONTROL!$C$42, 8.8487, 8.8487) * CHOOSE(CONTROL!$C$21, $C$9, 100%, $E$9)</f>
        <v>8.8486999999999991</v>
      </c>
      <c r="S185" s="10">
        <f>CHOOSE(CONTROL!$C$42, 7.3116, 7.3116) * CHOOSE(CONTROL!$C$21, $C$9, 100%, $E$9)</f>
        <v>7.3116000000000003</v>
      </c>
      <c r="T18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85" s="38">
        <f>(1000*CHOOSE(CONTROL!$C$42, 695, 695)*CHOOSE(CONTROL!$C$42, 0.5599, 0.5599)*CHOOSE(CONTROL!$C$42, 31, 31))/1000000</f>
        <v>12.063045499999998</v>
      </c>
      <c r="V185" s="38">
        <f>(1000*CHOOSE(CONTROL!$C$42, 500, 500)*CHOOSE(CONTROL!$C$42, 0.275, 0.275)*CHOOSE(CONTROL!$C$42, 31, 31))/1000000</f>
        <v>4.2625000000000002</v>
      </c>
      <c r="W185" s="38">
        <f>(1000*CHOOSE(CONTROL!$C$42, 0.1146, 0.1146)*CHOOSE(CONTROL!$C$42, 121.5, 121.5)*CHOOSE(CONTROL!$C$42, 31, 31))/1000000</f>
        <v>0.43164089999999994</v>
      </c>
      <c r="X185" s="38">
        <f>(31*0.1790888*245000/1000000)+(31*0.2374*100000/1000000)</f>
        <v>2.0961194359999999</v>
      </c>
      <c r="Y185" s="38">
        <f>(1000*600*CHOOSE(CONTROL!$C$42, 1.7044, 1.7044)*CHOOSE(CONTROL!$C$42, 31, 31))/1000000</f>
        <v>31.701840000000001</v>
      </c>
      <c r="Z185" s="38"/>
      <c r="AA185" s="10"/>
      <c r="AB185" s="39"/>
      <c r="AC185" s="33">
        <f>(B185*194.205+C185*267.466+D185*133.845+E185*53.484+F185*40+G185*185+H185*0+I185*100+J185*300)/(194.205+267.466+133.845+53.484+0+40+185+100+300)</f>
        <v>7.5391024699372053</v>
      </c>
      <c r="AD185" s="27">
        <f>(M185*'RAP TEMPLATE-GAS AVAILABILITY'!O184+N185*'RAP TEMPLATE-GAS AVAILABILITY'!P184+O185*'RAP TEMPLATE-GAS AVAILABILITY'!Q184+P185*'RAP TEMPLATE-GAS AVAILABILITY'!R184)/('RAP TEMPLATE-GAS AVAILABILITY'!O184+'RAP TEMPLATE-GAS AVAILABILITY'!P184+'RAP TEMPLATE-GAS AVAILABILITY'!Q184+'RAP TEMPLATE-GAS AVAILABILITY'!R184)</f>
        <v>7.4796043165467623</v>
      </c>
    </row>
    <row r="186" spans="1:30" ht="15">
      <c r="A186" s="16">
        <v>46905</v>
      </c>
      <c r="B186" s="10">
        <f>CHOOSE(CONTROL!$C$42, 7.7501, 7.7501) * CHOOSE(CONTROL!$C$21, $C$9, 100%, $E$9)</f>
        <v>7.7500999999999998</v>
      </c>
      <c r="C186" s="10">
        <f>CHOOSE(CONTROL!$C$42, 7.7581, 7.7581) * CHOOSE(CONTROL!$C$21, $C$9, 100%, $E$9)</f>
        <v>7.7580999999999998</v>
      </c>
      <c r="D186" s="10">
        <f>CHOOSE(CONTROL!$C$42, 7.9151, 7.9151) * CHOOSE(CONTROL!$C$21, $C$9, 100%, $E$9)</f>
        <v>7.9150999999999998</v>
      </c>
      <c r="E186" s="10">
        <f>CHOOSE(CONTROL!$C$42, 7.9464, 7.9464) * CHOOSE(CONTROL!$C$21, $C$9, 100%, $E$9)</f>
        <v>7.9463999999999997</v>
      </c>
      <c r="F186" s="10">
        <f>CHOOSE(CONTROL!$C$42, 7.6944, 7.6944)*CHOOSE(CONTROL!$C$21, $C$9, 100%, $E$9)</f>
        <v>7.6943999999999999</v>
      </c>
      <c r="G186" s="10">
        <f>CHOOSE(CONTROL!$C$42, 7.7106, 7.7106)*CHOOSE(CONTROL!$C$21, $C$9, 100%, $E$9)</f>
        <v>7.7106000000000003</v>
      </c>
      <c r="H186" s="10">
        <f>CHOOSE(CONTROL!$C$42, 7.9347, 7.9347) * CHOOSE(CONTROL!$C$21, $C$9, 100%, $E$9)</f>
        <v>7.9347000000000003</v>
      </c>
      <c r="I186" s="10">
        <f>CHOOSE(CONTROL!$C$42, 7.7289, 7.7289)* CHOOSE(CONTROL!$C$21, $C$9, 100%, $E$9)</f>
        <v>7.7289000000000003</v>
      </c>
      <c r="J186" s="10">
        <f>CHOOSE(CONTROL!$C$42, 7.687, 7.687)* CHOOSE(CONTROL!$C$21, $C$9, 100%, $E$9)</f>
        <v>7.6870000000000003</v>
      </c>
      <c r="K186" s="10">
        <f>CHOOSE(CONTROL!$C$42, 7.6472, 7.6472) * CHOOSE(CONTROL!$C$21, $C$9, 100%, $E$9)</f>
        <v>7.6471999999999998</v>
      </c>
      <c r="L186" s="10">
        <f>CHOOSE(CONTROL!$C$42, 8.5217, 8.5217) * CHOOSE(CONTROL!$C$21, $C$9, 100%, $E$9)</f>
        <v>8.5216999999999992</v>
      </c>
      <c r="M186" s="10">
        <f>CHOOSE(CONTROL!$C$42, 7.6128, 7.6128) * CHOOSE(CONTROL!$C$21, $C$9, 100%, $E$9)</f>
        <v>7.6128</v>
      </c>
      <c r="N186" s="10">
        <f>CHOOSE(CONTROL!$C$42, 7.6287, 7.6287) * CHOOSE(CONTROL!$C$21, $C$9, 100%, $E$9)</f>
        <v>7.6287000000000003</v>
      </c>
      <c r="O186" s="10">
        <f>CHOOSE(CONTROL!$C$42, 7.857, 7.857) * CHOOSE(CONTROL!$C$21, $C$9, 100%, $E$9)</f>
        <v>7.8570000000000002</v>
      </c>
      <c r="P186" s="10">
        <f>CHOOSE(CONTROL!$C$42, 7.6541, 7.6541) * CHOOSE(CONTROL!$C$21, $C$9, 100%, $E$9)</f>
        <v>7.6540999999999997</v>
      </c>
      <c r="Q186" s="10">
        <f>CHOOSE(CONTROL!$C$42, 8.4523, 8.4523) * CHOOSE(CONTROL!$C$21, $C$9, 100%, $E$9)</f>
        <v>8.4522999999999993</v>
      </c>
      <c r="R186" s="10">
        <f>CHOOSE(CONTROL!$C$42, 9.0604, 9.0604) * CHOOSE(CONTROL!$C$21, $C$9, 100%, $E$9)</f>
        <v>9.0603999999999996</v>
      </c>
      <c r="S186" s="10">
        <f>CHOOSE(CONTROL!$C$42, 7.519, 7.519) * CHOOSE(CONTROL!$C$21, $C$9, 100%, $E$9)</f>
        <v>7.5190000000000001</v>
      </c>
      <c r="T18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86" s="38">
        <f>(1000*CHOOSE(CONTROL!$C$42, 695, 695)*CHOOSE(CONTROL!$C$42, 0.5599, 0.5599)*CHOOSE(CONTROL!$C$42, 30, 30))/1000000</f>
        <v>11.673914999999997</v>
      </c>
      <c r="V186" s="38">
        <f>(1000*CHOOSE(CONTROL!$C$42, 500, 500)*CHOOSE(CONTROL!$C$42, 0.275, 0.275)*CHOOSE(CONTROL!$C$42, 30, 30))/1000000</f>
        <v>4.125</v>
      </c>
      <c r="W186" s="38">
        <f>(1000*CHOOSE(CONTROL!$C$42, 0.1146, 0.1146)*CHOOSE(CONTROL!$C$42, 121.5, 121.5)*CHOOSE(CONTROL!$C$42, 30, 30))/1000000</f>
        <v>0.417717</v>
      </c>
      <c r="X186" s="38">
        <f>(30*0.1790888*245000/1000000)+(30*0.2374*100000/1000000)</f>
        <v>2.0285026799999999</v>
      </c>
      <c r="Y186" s="38">
        <f>(1000*600*CHOOSE(CONTROL!$C$42, 1.7044, 1.7044)*CHOOSE(CONTROL!$C$42, 30, 30))/1000000</f>
        <v>30.679200000000002</v>
      </c>
      <c r="Z186" s="38"/>
      <c r="AA186" s="10"/>
      <c r="AB186" s="39"/>
      <c r="AC186" s="33">
        <f>(B186*194.205+C186*267.466+D186*133.845+E186*53.484+F186*40+G186*185+H186*0+I186*100+J186*300)/(194.205+267.466+133.845+53.484+0+40+185+100+300)</f>
        <v>7.7533476940345372</v>
      </c>
      <c r="AD186" s="27">
        <f>(M186*'RAP TEMPLATE-GAS AVAILABILITY'!O185+N186*'RAP TEMPLATE-GAS AVAILABILITY'!P185+O186*'RAP TEMPLATE-GAS AVAILABILITY'!Q185+P186*'RAP TEMPLATE-GAS AVAILABILITY'!R185)/('RAP TEMPLATE-GAS AVAILABILITY'!O185+'RAP TEMPLATE-GAS AVAILABILITY'!P185+'RAP TEMPLATE-GAS AVAILABILITY'!Q185+'RAP TEMPLATE-GAS AVAILABILITY'!R185)</f>
        <v>7.6909194244604322</v>
      </c>
    </row>
    <row r="187" spans="1:30" ht="15">
      <c r="A187" s="16">
        <v>46935</v>
      </c>
      <c r="B187" s="10">
        <f>CHOOSE(CONTROL!$C$42, 7.6011, 7.6011) * CHOOSE(CONTROL!$C$21, $C$9, 100%, $E$9)</f>
        <v>7.6010999999999997</v>
      </c>
      <c r="C187" s="10">
        <f>CHOOSE(CONTROL!$C$42, 7.6091, 7.6091) * CHOOSE(CONTROL!$C$21, $C$9, 100%, $E$9)</f>
        <v>7.6090999999999998</v>
      </c>
      <c r="D187" s="10">
        <f>CHOOSE(CONTROL!$C$42, 7.7662, 7.7662) * CHOOSE(CONTROL!$C$21, $C$9, 100%, $E$9)</f>
        <v>7.7662000000000004</v>
      </c>
      <c r="E187" s="10">
        <f>CHOOSE(CONTROL!$C$42, 7.7974, 7.7974) * CHOOSE(CONTROL!$C$21, $C$9, 100%, $E$9)</f>
        <v>7.7973999999999997</v>
      </c>
      <c r="F187" s="10">
        <f>CHOOSE(CONTROL!$C$42, 7.5458, 7.5458)*CHOOSE(CONTROL!$C$21, $C$9, 100%, $E$9)</f>
        <v>7.5457999999999998</v>
      </c>
      <c r="G187" s="10">
        <f>CHOOSE(CONTROL!$C$42, 7.562, 7.562)*CHOOSE(CONTROL!$C$21, $C$9, 100%, $E$9)</f>
        <v>7.5620000000000003</v>
      </c>
      <c r="H187" s="10">
        <f>CHOOSE(CONTROL!$C$42, 7.7857, 7.7857) * CHOOSE(CONTROL!$C$21, $C$9, 100%, $E$9)</f>
        <v>7.7857000000000003</v>
      </c>
      <c r="I187" s="10">
        <f>CHOOSE(CONTROL!$C$42, 7.5799, 7.5799)* CHOOSE(CONTROL!$C$21, $C$9, 100%, $E$9)</f>
        <v>7.5799000000000003</v>
      </c>
      <c r="J187" s="10">
        <f>CHOOSE(CONTROL!$C$42, 7.5384, 7.5384)* CHOOSE(CONTROL!$C$21, $C$9, 100%, $E$9)</f>
        <v>7.5384000000000002</v>
      </c>
      <c r="K187" s="10">
        <f>CHOOSE(CONTROL!$C$42, 7.5036, 7.5036) * CHOOSE(CONTROL!$C$21, $C$9, 100%, $E$9)</f>
        <v>7.5035999999999996</v>
      </c>
      <c r="L187" s="10">
        <f>CHOOSE(CONTROL!$C$42, 8.3727, 8.3727) * CHOOSE(CONTROL!$C$21, $C$9, 100%, $E$9)</f>
        <v>8.3727</v>
      </c>
      <c r="M187" s="10">
        <f>CHOOSE(CONTROL!$C$42, 7.4662, 7.4662) * CHOOSE(CONTROL!$C$21, $C$9, 100%, $E$9)</f>
        <v>7.4661999999999997</v>
      </c>
      <c r="N187" s="10">
        <f>CHOOSE(CONTROL!$C$42, 7.4823, 7.4823) * CHOOSE(CONTROL!$C$21, $C$9, 100%, $E$9)</f>
        <v>7.4823000000000004</v>
      </c>
      <c r="O187" s="10">
        <f>CHOOSE(CONTROL!$C$42, 7.7101, 7.7101) * CHOOSE(CONTROL!$C$21, $C$9, 100%, $E$9)</f>
        <v>7.7100999999999997</v>
      </c>
      <c r="P187" s="10">
        <f>CHOOSE(CONTROL!$C$42, 7.5072, 7.5072) * CHOOSE(CONTROL!$C$21, $C$9, 100%, $E$9)</f>
        <v>7.5072000000000001</v>
      </c>
      <c r="Q187" s="10">
        <f>CHOOSE(CONTROL!$C$42, 8.3054, 8.3054) * CHOOSE(CONTROL!$C$21, $C$9, 100%, $E$9)</f>
        <v>8.3054000000000006</v>
      </c>
      <c r="R187" s="10">
        <f>CHOOSE(CONTROL!$C$42, 8.9132, 8.9132) * CHOOSE(CONTROL!$C$21, $C$9, 100%, $E$9)</f>
        <v>8.9131999999999998</v>
      </c>
      <c r="S187" s="10">
        <f>CHOOSE(CONTROL!$C$42, 7.3748, 7.3748) * CHOOSE(CONTROL!$C$21, $C$9, 100%, $E$9)</f>
        <v>7.3747999999999996</v>
      </c>
      <c r="T18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87" s="38">
        <f>(1000*CHOOSE(CONTROL!$C$42, 695, 695)*CHOOSE(CONTROL!$C$42, 0.5599, 0.5599)*CHOOSE(CONTROL!$C$42, 31, 31))/1000000</f>
        <v>12.063045499999998</v>
      </c>
      <c r="V187" s="38">
        <f>(1000*CHOOSE(CONTROL!$C$42, 500, 500)*CHOOSE(CONTROL!$C$42, 0.275, 0.275)*CHOOSE(CONTROL!$C$42, 31, 31))/1000000</f>
        <v>4.2625000000000002</v>
      </c>
      <c r="W187" s="38">
        <f>(1000*CHOOSE(CONTROL!$C$42, 0.1146, 0.1146)*CHOOSE(CONTROL!$C$42, 121.5, 121.5)*CHOOSE(CONTROL!$C$42, 31, 31))/1000000</f>
        <v>0.43164089999999994</v>
      </c>
      <c r="X187" s="38">
        <f>(31*0.1790888*245000/1000000)+(31*0.2374*100000/1000000)</f>
        <v>2.0961194359999999</v>
      </c>
      <c r="Y187" s="38">
        <f>(1000*600*CHOOSE(CONTROL!$C$42, 1.7044, 1.7044)*CHOOSE(CONTROL!$C$42, 31, 31))/1000000</f>
        <v>31.701840000000001</v>
      </c>
      <c r="Z187" s="38"/>
      <c r="AA187" s="10"/>
      <c r="AB187" s="39"/>
      <c r="AC187" s="33">
        <f>(B187*194.205+C187*267.466+D187*133.845+E187*53.484+F187*40+G187*185+H187*0+I187*100+J187*300)/(194.205+267.466+133.845+53.484+0+40+185+100+300)</f>
        <v>7.6045230350863431</v>
      </c>
      <c r="AD187" s="27">
        <f>(M187*'RAP TEMPLATE-GAS AVAILABILITY'!O186+N187*'RAP TEMPLATE-GAS AVAILABILITY'!P186+O187*'RAP TEMPLATE-GAS AVAILABILITY'!Q186+P187*'RAP TEMPLATE-GAS AVAILABILITY'!R186)/('RAP TEMPLATE-GAS AVAILABILITY'!O186+'RAP TEMPLATE-GAS AVAILABILITY'!P186+'RAP TEMPLATE-GAS AVAILABILITY'!Q186+'RAP TEMPLATE-GAS AVAILABILITY'!R186)</f>
        <v>7.5442381294964029</v>
      </c>
    </row>
    <row r="188" spans="1:30" ht="15">
      <c r="A188" s="16">
        <v>46966</v>
      </c>
      <c r="B188" s="10">
        <f>CHOOSE(CONTROL!$C$42, 7.225, 7.225) * CHOOSE(CONTROL!$C$21, $C$9, 100%, $E$9)</f>
        <v>7.2249999999999996</v>
      </c>
      <c r="C188" s="10">
        <f>CHOOSE(CONTROL!$C$42, 7.233, 7.233) * CHOOSE(CONTROL!$C$21, $C$9, 100%, $E$9)</f>
        <v>7.2329999999999997</v>
      </c>
      <c r="D188" s="10">
        <f>CHOOSE(CONTROL!$C$42, 7.39, 7.39) * CHOOSE(CONTROL!$C$21, $C$9, 100%, $E$9)</f>
        <v>7.39</v>
      </c>
      <c r="E188" s="10">
        <f>CHOOSE(CONTROL!$C$42, 7.4213, 7.4213) * CHOOSE(CONTROL!$C$21, $C$9, 100%, $E$9)</f>
        <v>7.4212999999999996</v>
      </c>
      <c r="F188" s="10">
        <f>CHOOSE(CONTROL!$C$42, 7.1696, 7.1696)*CHOOSE(CONTROL!$C$21, $C$9, 100%, $E$9)</f>
        <v>7.1696</v>
      </c>
      <c r="G188" s="10">
        <f>CHOOSE(CONTROL!$C$42, 7.1858, 7.1858)*CHOOSE(CONTROL!$C$21, $C$9, 100%, $E$9)</f>
        <v>7.1858000000000004</v>
      </c>
      <c r="H188" s="10">
        <f>CHOOSE(CONTROL!$C$42, 7.4096, 7.4096) * CHOOSE(CONTROL!$C$21, $C$9, 100%, $E$9)</f>
        <v>7.4096000000000002</v>
      </c>
      <c r="I188" s="10">
        <f>CHOOSE(CONTROL!$C$42, 7.2038, 7.2038)* CHOOSE(CONTROL!$C$21, $C$9, 100%, $E$9)</f>
        <v>7.2038000000000002</v>
      </c>
      <c r="J188" s="10">
        <f>CHOOSE(CONTROL!$C$42, 7.1622, 7.1622)* CHOOSE(CONTROL!$C$21, $C$9, 100%, $E$9)</f>
        <v>7.1622000000000003</v>
      </c>
      <c r="K188" s="10">
        <f>CHOOSE(CONTROL!$C$42, 7.1391, 7.1391) * CHOOSE(CONTROL!$C$21, $C$9, 100%, $E$9)</f>
        <v>7.1391</v>
      </c>
      <c r="L188" s="10">
        <f>CHOOSE(CONTROL!$C$42, 7.9966, 7.9966) * CHOOSE(CONTROL!$C$21, $C$9, 100%, $E$9)</f>
        <v>7.9965999999999999</v>
      </c>
      <c r="M188" s="10">
        <f>CHOOSE(CONTROL!$C$42, 7.0953, 7.0953) * CHOOSE(CONTROL!$C$21, $C$9, 100%, $E$9)</f>
        <v>7.0952999999999999</v>
      </c>
      <c r="N188" s="10">
        <f>CHOOSE(CONTROL!$C$42, 7.1113, 7.1113) * CHOOSE(CONTROL!$C$21, $C$9, 100%, $E$9)</f>
        <v>7.1113</v>
      </c>
      <c r="O188" s="10">
        <f>CHOOSE(CONTROL!$C$42, 7.3393, 7.3393) * CHOOSE(CONTROL!$C$21, $C$9, 100%, $E$9)</f>
        <v>7.3392999999999997</v>
      </c>
      <c r="P188" s="10">
        <f>CHOOSE(CONTROL!$C$42, 7.1364, 7.1364) * CHOOSE(CONTROL!$C$21, $C$9, 100%, $E$9)</f>
        <v>7.1364000000000001</v>
      </c>
      <c r="Q188" s="10">
        <f>CHOOSE(CONTROL!$C$42, 7.9346, 7.9346) * CHOOSE(CONTROL!$C$21, $C$9, 100%, $E$9)</f>
        <v>7.9345999999999997</v>
      </c>
      <c r="R188" s="10">
        <f>CHOOSE(CONTROL!$C$42, 8.5414, 8.5414) * CHOOSE(CONTROL!$C$21, $C$9, 100%, $E$9)</f>
        <v>8.5413999999999994</v>
      </c>
      <c r="S188" s="10">
        <f>CHOOSE(CONTROL!$C$42, 7.0106, 7.0106) * CHOOSE(CONTROL!$C$21, $C$9, 100%, $E$9)</f>
        <v>7.0106000000000002</v>
      </c>
      <c r="T18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88" s="38">
        <f>(1000*CHOOSE(CONTROL!$C$42, 695, 695)*CHOOSE(CONTROL!$C$42, 0.5599, 0.5599)*CHOOSE(CONTROL!$C$42, 31, 31))/1000000</f>
        <v>12.063045499999998</v>
      </c>
      <c r="V188" s="38">
        <f>(1000*CHOOSE(CONTROL!$C$42, 500, 500)*CHOOSE(CONTROL!$C$42, 0.275, 0.275)*CHOOSE(CONTROL!$C$42, 31, 31))/1000000</f>
        <v>4.2625000000000002</v>
      </c>
      <c r="W188" s="38">
        <f>(1000*CHOOSE(CONTROL!$C$42, 0.1146, 0.1146)*CHOOSE(CONTROL!$C$42, 121.5, 121.5)*CHOOSE(CONTROL!$C$42, 31, 31))/1000000</f>
        <v>0.43164089999999994</v>
      </c>
      <c r="X188" s="38">
        <f>(31*0.1790888*245000/1000000)+(31*0.2374*100000/1000000)</f>
        <v>2.0961194359999999</v>
      </c>
      <c r="Y188" s="38">
        <f>(1000*600*CHOOSE(CONTROL!$C$42, 1.7044, 1.7044)*CHOOSE(CONTROL!$C$42, 31, 31))/1000000</f>
        <v>31.701840000000001</v>
      </c>
      <c r="Z188" s="38"/>
      <c r="AA188" s="10"/>
      <c r="AB188" s="39"/>
      <c r="AC188" s="33">
        <f>(B188*194.205+C188*267.466+D188*133.845+E188*53.484+F188*40+G188*185+H188*0+I188*100+J188*300)/(194.205+267.466+133.845+53.484+0+40+185+100+300)</f>
        <v>7.2283713204081632</v>
      </c>
      <c r="AD188" s="27">
        <f>(M188*'RAP TEMPLATE-GAS AVAILABILITY'!O187+N188*'RAP TEMPLATE-GAS AVAILABILITY'!P187+O188*'RAP TEMPLATE-GAS AVAILABILITY'!Q187+P188*'RAP TEMPLATE-GAS AVAILABILITY'!R187)/('RAP TEMPLATE-GAS AVAILABILITY'!O187+'RAP TEMPLATE-GAS AVAILABILITY'!P187+'RAP TEMPLATE-GAS AVAILABILITY'!Q187+'RAP TEMPLATE-GAS AVAILABILITY'!R187)</f>
        <v>7.1733575539568353</v>
      </c>
    </row>
    <row r="189" spans="1:30" ht="15">
      <c r="A189" s="16">
        <v>46997</v>
      </c>
      <c r="B189" s="10">
        <f>CHOOSE(CONTROL!$C$42, 6.7654, 6.7654) * CHOOSE(CONTROL!$C$21, $C$9, 100%, $E$9)</f>
        <v>6.7653999999999996</v>
      </c>
      <c r="C189" s="10">
        <f>CHOOSE(CONTROL!$C$42, 6.7734, 6.7734) * CHOOSE(CONTROL!$C$21, $C$9, 100%, $E$9)</f>
        <v>6.7733999999999996</v>
      </c>
      <c r="D189" s="10">
        <f>CHOOSE(CONTROL!$C$42, 6.9305, 6.9305) * CHOOSE(CONTROL!$C$21, $C$9, 100%, $E$9)</f>
        <v>6.9305000000000003</v>
      </c>
      <c r="E189" s="10">
        <f>CHOOSE(CONTROL!$C$42, 6.9617, 6.9617) * CHOOSE(CONTROL!$C$21, $C$9, 100%, $E$9)</f>
        <v>6.9617000000000004</v>
      </c>
      <c r="F189" s="10">
        <f>CHOOSE(CONTROL!$C$42, 6.7098, 6.7098)*CHOOSE(CONTROL!$C$21, $C$9, 100%, $E$9)</f>
        <v>6.7098000000000004</v>
      </c>
      <c r="G189" s="10">
        <f>CHOOSE(CONTROL!$C$42, 6.726, 6.726)*CHOOSE(CONTROL!$C$21, $C$9, 100%, $E$9)</f>
        <v>6.726</v>
      </c>
      <c r="H189" s="10">
        <f>CHOOSE(CONTROL!$C$42, 6.95, 6.95) * CHOOSE(CONTROL!$C$21, $C$9, 100%, $E$9)</f>
        <v>6.95</v>
      </c>
      <c r="I189" s="10">
        <f>CHOOSE(CONTROL!$C$42, 6.7442, 6.7442)* CHOOSE(CONTROL!$C$21, $C$9, 100%, $E$9)</f>
        <v>6.7442000000000002</v>
      </c>
      <c r="J189" s="10">
        <f>CHOOSE(CONTROL!$C$42, 6.7024, 6.7024)* CHOOSE(CONTROL!$C$21, $C$9, 100%, $E$9)</f>
        <v>6.7023999999999999</v>
      </c>
      <c r="K189" s="10">
        <f>CHOOSE(CONTROL!$C$42, 6.6934, 6.6934) * CHOOSE(CONTROL!$C$21, $C$9, 100%, $E$9)</f>
        <v>6.6933999999999996</v>
      </c>
      <c r="L189" s="10">
        <f>CHOOSE(CONTROL!$C$42, 7.537, 7.537) * CHOOSE(CONTROL!$C$21, $C$9, 100%, $E$9)</f>
        <v>7.5369999999999999</v>
      </c>
      <c r="M189" s="10">
        <f>CHOOSE(CONTROL!$C$42, 6.6419, 6.6419) * CHOOSE(CONTROL!$C$21, $C$9, 100%, $E$9)</f>
        <v>6.6418999999999997</v>
      </c>
      <c r="N189" s="10">
        <f>CHOOSE(CONTROL!$C$42, 6.6579, 6.6579) * CHOOSE(CONTROL!$C$21, $C$9, 100%, $E$9)</f>
        <v>6.6578999999999997</v>
      </c>
      <c r="O189" s="10">
        <f>CHOOSE(CONTROL!$C$42, 6.8861, 6.8861) * CHOOSE(CONTROL!$C$21, $C$9, 100%, $E$9)</f>
        <v>6.8860999999999999</v>
      </c>
      <c r="P189" s="10">
        <f>CHOOSE(CONTROL!$C$42, 6.6832, 6.6832) * CHOOSE(CONTROL!$C$21, $C$9, 100%, $E$9)</f>
        <v>6.6832000000000003</v>
      </c>
      <c r="Q189" s="10">
        <f>CHOOSE(CONTROL!$C$42, 7.4814, 7.4814) * CHOOSE(CONTROL!$C$21, $C$9, 100%, $E$9)</f>
        <v>7.4813999999999998</v>
      </c>
      <c r="R189" s="10">
        <f>CHOOSE(CONTROL!$C$42, 8.0871, 8.0871) * CHOOSE(CONTROL!$C$21, $C$9, 100%, $E$9)</f>
        <v>8.0870999999999995</v>
      </c>
      <c r="S189" s="10">
        <f>CHOOSE(CONTROL!$C$42, 6.5656, 6.5656) * CHOOSE(CONTROL!$C$21, $C$9, 100%, $E$9)</f>
        <v>6.5655999999999999</v>
      </c>
      <c r="T18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89" s="38">
        <f>(1000*CHOOSE(CONTROL!$C$42, 695, 695)*CHOOSE(CONTROL!$C$42, 0.5599, 0.5599)*CHOOSE(CONTROL!$C$42, 30, 30))/1000000</f>
        <v>11.673914999999997</v>
      </c>
      <c r="V189" s="38">
        <f>(1000*CHOOSE(CONTROL!$C$42, 500, 500)*CHOOSE(CONTROL!$C$42, 0.275, 0.275)*CHOOSE(CONTROL!$C$42, 30, 30))/1000000</f>
        <v>4.125</v>
      </c>
      <c r="W189" s="38">
        <f>(1000*CHOOSE(CONTROL!$C$42, 0.1146, 0.1146)*CHOOSE(CONTROL!$C$42, 121.5, 121.5)*CHOOSE(CONTROL!$C$42, 30, 30))/1000000</f>
        <v>0.417717</v>
      </c>
      <c r="X189" s="38">
        <f>(30*0.1790888*245000/1000000)+(30*0.2374*100000/1000000)</f>
        <v>2.0285026799999999</v>
      </c>
      <c r="Y189" s="38">
        <f>(1000*600*CHOOSE(CONTROL!$C$42, 1.7044, 1.7044)*CHOOSE(CONTROL!$C$42, 30, 30))/1000000</f>
        <v>30.679200000000002</v>
      </c>
      <c r="Z189" s="38"/>
      <c r="AA189" s="10"/>
      <c r="AB189" s="39"/>
      <c r="AC189" s="33">
        <f>(B189*194.205+C189*267.466+D189*133.845+E189*53.484+F189*40+G189*185+H189*0+I189*100+J189*300)/(194.205+267.466+133.845+53.484+0+40+185+100+300)</f>
        <v>6.768699408712715</v>
      </c>
      <c r="AD189" s="27">
        <f>(M189*'RAP TEMPLATE-GAS AVAILABILITY'!O188+N189*'RAP TEMPLATE-GAS AVAILABILITY'!P188+O189*'RAP TEMPLATE-GAS AVAILABILITY'!Q188+P189*'RAP TEMPLATE-GAS AVAILABILITY'!R188)/('RAP TEMPLATE-GAS AVAILABILITY'!O188+'RAP TEMPLATE-GAS AVAILABILITY'!P188+'RAP TEMPLATE-GAS AVAILABILITY'!Q188+'RAP TEMPLATE-GAS AVAILABILITY'!R188)</f>
        <v>6.7200424460431645</v>
      </c>
    </row>
    <row r="190" spans="1:30" ht="15">
      <c r="A190" s="16">
        <v>47027</v>
      </c>
      <c r="B190" s="10">
        <f>CHOOSE(CONTROL!$C$42, 6.6256, 6.6256) * CHOOSE(CONTROL!$C$21, $C$9, 100%, $E$9)</f>
        <v>6.6256000000000004</v>
      </c>
      <c r="C190" s="10">
        <f>CHOOSE(CONTROL!$C$42, 6.631, 6.631) * CHOOSE(CONTROL!$C$21, $C$9, 100%, $E$9)</f>
        <v>6.6310000000000002</v>
      </c>
      <c r="D190" s="10">
        <f>CHOOSE(CONTROL!$C$42, 6.7929, 6.7929) * CHOOSE(CONTROL!$C$21, $C$9, 100%, $E$9)</f>
        <v>6.7929000000000004</v>
      </c>
      <c r="E190" s="10">
        <f>CHOOSE(CONTROL!$C$42, 6.8218, 6.8218) * CHOOSE(CONTROL!$C$21, $C$9, 100%, $E$9)</f>
        <v>6.8217999999999996</v>
      </c>
      <c r="F190" s="10">
        <f>CHOOSE(CONTROL!$C$42, 6.572, 6.572)*CHOOSE(CONTROL!$C$21, $C$9, 100%, $E$9)</f>
        <v>6.5720000000000001</v>
      </c>
      <c r="G190" s="10">
        <f>CHOOSE(CONTROL!$C$42, 6.5878, 6.5878)*CHOOSE(CONTROL!$C$21, $C$9, 100%, $E$9)</f>
        <v>6.5877999999999997</v>
      </c>
      <c r="H190" s="10">
        <f>CHOOSE(CONTROL!$C$42, 6.8119, 6.8119) * CHOOSE(CONTROL!$C$21, $C$9, 100%, $E$9)</f>
        <v>6.8118999999999996</v>
      </c>
      <c r="I190" s="10">
        <f>CHOOSE(CONTROL!$C$42, 6.6061, 6.6061)* CHOOSE(CONTROL!$C$21, $C$9, 100%, $E$9)</f>
        <v>6.6060999999999996</v>
      </c>
      <c r="J190" s="10">
        <f>CHOOSE(CONTROL!$C$42, 6.5646, 6.5646)* CHOOSE(CONTROL!$C$21, $C$9, 100%, $E$9)</f>
        <v>6.5646000000000004</v>
      </c>
      <c r="K190" s="10">
        <f>CHOOSE(CONTROL!$C$42, 6.5603, 6.5603) * CHOOSE(CONTROL!$C$21, $C$9, 100%, $E$9)</f>
        <v>6.5602999999999998</v>
      </c>
      <c r="L190" s="10">
        <f>CHOOSE(CONTROL!$C$42, 7.3989, 7.3989) * CHOOSE(CONTROL!$C$21, $C$9, 100%, $E$9)</f>
        <v>7.3989000000000003</v>
      </c>
      <c r="M190" s="10">
        <f>CHOOSE(CONTROL!$C$42, 6.5061, 6.5061) * CHOOSE(CONTROL!$C$21, $C$9, 100%, $E$9)</f>
        <v>6.5061</v>
      </c>
      <c r="N190" s="10">
        <f>CHOOSE(CONTROL!$C$42, 6.5216, 6.5216) * CHOOSE(CONTROL!$C$21, $C$9, 100%, $E$9)</f>
        <v>6.5216000000000003</v>
      </c>
      <c r="O190" s="10">
        <f>CHOOSE(CONTROL!$C$42, 6.7499, 6.7499) * CHOOSE(CONTROL!$C$21, $C$9, 100%, $E$9)</f>
        <v>6.7499000000000002</v>
      </c>
      <c r="P190" s="10">
        <f>CHOOSE(CONTROL!$C$42, 6.547, 6.547) * CHOOSE(CONTROL!$C$21, $C$9, 100%, $E$9)</f>
        <v>6.5469999999999997</v>
      </c>
      <c r="Q190" s="10">
        <f>CHOOSE(CONTROL!$C$42, 7.3452, 7.3452) * CHOOSE(CONTROL!$C$21, $C$9, 100%, $E$9)</f>
        <v>7.3452000000000002</v>
      </c>
      <c r="R190" s="10">
        <f>CHOOSE(CONTROL!$C$42, 7.9506, 7.9506) * CHOOSE(CONTROL!$C$21, $C$9, 100%, $E$9)</f>
        <v>7.9505999999999997</v>
      </c>
      <c r="S190" s="10">
        <f>CHOOSE(CONTROL!$C$42, 6.4318, 6.4318) * CHOOSE(CONTROL!$C$21, $C$9, 100%, $E$9)</f>
        <v>6.4318</v>
      </c>
      <c r="T19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90" s="38">
        <f>(1000*CHOOSE(CONTROL!$C$42, 695, 695)*CHOOSE(CONTROL!$C$42, 0.5599, 0.5599)*CHOOSE(CONTROL!$C$42, 31, 31))/1000000</f>
        <v>12.063045499999998</v>
      </c>
      <c r="V190" s="38">
        <f>(1000*CHOOSE(CONTROL!$C$42, 500, 500)*CHOOSE(CONTROL!$C$42, 0.275, 0.275)*CHOOSE(CONTROL!$C$42, 31, 31))/1000000</f>
        <v>4.2625000000000002</v>
      </c>
      <c r="W190" s="38">
        <f>(1000*CHOOSE(CONTROL!$C$42, 0.1146, 0.1146)*CHOOSE(CONTROL!$C$42, 121.5, 121.5)*CHOOSE(CONTROL!$C$42, 31, 31))/1000000</f>
        <v>0.43164089999999994</v>
      </c>
      <c r="X190" s="38">
        <f>(31*0.1790888*245000/1000000)+(31*0.2374*100000/1000000)</f>
        <v>2.0961194359999999</v>
      </c>
      <c r="Y190" s="38">
        <f>(1000*600*CHOOSE(CONTROL!$C$42, 1.7044, 1.7044)*CHOOSE(CONTROL!$C$42, 31, 31))/1000000</f>
        <v>31.701840000000001</v>
      </c>
      <c r="Z190" s="38"/>
      <c r="AA190" s="10"/>
      <c r="AB190" s="39"/>
      <c r="AC190" s="33">
        <f>(B190*131.881+C190*277.167+D190*79.08+E190*125.872+F190*40+G190*185+H190*0+I190*100+J190*300)/(131.881+277.167+79.08+125.872+0+40+185+100+300)</f>
        <v>6.63369997756255</v>
      </c>
      <c r="AD190" s="27">
        <f>(M190*'RAP TEMPLATE-GAS AVAILABILITY'!O189+N190*'RAP TEMPLATE-GAS AVAILABILITY'!P189+O190*'RAP TEMPLATE-GAS AVAILABILITY'!Q189+P190*'RAP TEMPLATE-GAS AVAILABILITY'!R189)/('RAP TEMPLATE-GAS AVAILABILITY'!O189+'RAP TEMPLATE-GAS AVAILABILITY'!P189+'RAP TEMPLATE-GAS AVAILABILITY'!Q189+'RAP TEMPLATE-GAS AVAILABILITY'!R189)</f>
        <v>6.5839575539568349</v>
      </c>
    </row>
    <row r="191" spans="1:30" ht="15">
      <c r="A191" s="16">
        <v>47058</v>
      </c>
      <c r="B191" s="10">
        <f>CHOOSE(CONTROL!$C$42, 6.8002, 6.8002) * CHOOSE(CONTROL!$C$21, $C$9, 100%, $E$9)</f>
        <v>6.8002000000000002</v>
      </c>
      <c r="C191" s="10">
        <f>CHOOSE(CONTROL!$C$42, 6.8053, 6.8053) * CHOOSE(CONTROL!$C$21, $C$9, 100%, $E$9)</f>
        <v>6.8052999999999999</v>
      </c>
      <c r="D191" s="10">
        <f>CHOOSE(CONTROL!$C$42, 6.83, 6.83) * CHOOSE(CONTROL!$C$21, $C$9, 100%, $E$9)</f>
        <v>6.83</v>
      </c>
      <c r="E191" s="10">
        <f>CHOOSE(CONTROL!$C$42, 6.8638, 6.8638) * CHOOSE(CONTROL!$C$21, $C$9, 100%, $E$9)</f>
        <v>6.8638000000000003</v>
      </c>
      <c r="F191" s="10">
        <f>CHOOSE(CONTROL!$C$42, 6.7685, 6.7685)*CHOOSE(CONTROL!$C$21, $C$9, 100%, $E$9)</f>
        <v>6.7685000000000004</v>
      </c>
      <c r="G191" s="10">
        <f>CHOOSE(CONTROL!$C$42, 6.7845, 6.7845)*CHOOSE(CONTROL!$C$21, $C$9, 100%, $E$9)</f>
        <v>6.7845000000000004</v>
      </c>
      <c r="H191" s="10">
        <f>CHOOSE(CONTROL!$C$42, 6.8526, 6.8526) * CHOOSE(CONTROL!$C$21, $C$9, 100%, $E$9)</f>
        <v>6.8525999999999998</v>
      </c>
      <c r="I191" s="10">
        <f>CHOOSE(CONTROL!$C$42, 6.8152, 6.8152)* CHOOSE(CONTROL!$C$21, $C$9, 100%, $E$9)</f>
        <v>6.8151999999999999</v>
      </c>
      <c r="J191" s="10">
        <f>CHOOSE(CONTROL!$C$42, 6.7611, 6.7611)* CHOOSE(CONTROL!$C$21, $C$9, 100%, $E$9)</f>
        <v>6.7610999999999999</v>
      </c>
      <c r="K191" s="10">
        <f>CHOOSE(CONTROL!$C$42, 6.765, 6.765) * CHOOSE(CONTROL!$C$21, $C$9, 100%, $E$9)</f>
        <v>6.7649999999999997</v>
      </c>
      <c r="L191" s="10">
        <f>CHOOSE(CONTROL!$C$42, 7.4396, 7.4396) * CHOOSE(CONTROL!$C$21, $C$9, 100%, $E$9)</f>
        <v>7.4396000000000004</v>
      </c>
      <c r="M191" s="10">
        <f>CHOOSE(CONTROL!$C$42, 6.6998, 6.6998) * CHOOSE(CONTROL!$C$21, $C$9, 100%, $E$9)</f>
        <v>6.6997999999999998</v>
      </c>
      <c r="N191" s="10">
        <f>CHOOSE(CONTROL!$C$42, 6.7156, 6.7156) * CHOOSE(CONTROL!$C$21, $C$9, 100%, $E$9)</f>
        <v>6.7156000000000002</v>
      </c>
      <c r="O191" s="10">
        <f>CHOOSE(CONTROL!$C$42, 6.7901, 6.7901) * CHOOSE(CONTROL!$C$21, $C$9, 100%, $E$9)</f>
        <v>6.7900999999999998</v>
      </c>
      <c r="P191" s="10">
        <f>CHOOSE(CONTROL!$C$42, 6.7532, 6.7532) * CHOOSE(CONTROL!$C$21, $C$9, 100%, $E$9)</f>
        <v>6.7531999999999996</v>
      </c>
      <c r="Q191" s="10">
        <f>CHOOSE(CONTROL!$C$42, 7.3854, 7.3854) * CHOOSE(CONTROL!$C$21, $C$9, 100%, $E$9)</f>
        <v>7.3853999999999997</v>
      </c>
      <c r="R191" s="10">
        <f>CHOOSE(CONTROL!$C$42, 7.9908, 7.9908) * CHOOSE(CONTROL!$C$21, $C$9, 100%, $E$9)</f>
        <v>7.9908000000000001</v>
      </c>
      <c r="S191" s="10">
        <f>CHOOSE(CONTROL!$C$42, 6.6013, 6.6013) * CHOOSE(CONTROL!$C$21, $C$9, 100%, $E$9)</f>
        <v>6.6013000000000002</v>
      </c>
      <c r="T19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91" s="38">
        <f>(1000*CHOOSE(CONTROL!$C$42, 695, 695)*CHOOSE(CONTROL!$C$42, 0.5599, 0.5599)*CHOOSE(CONTROL!$C$42, 30, 30))/1000000</f>
        <v>11.673914999999997</v>
      </c>
      <c r="V191" s="38">
        <f>(1000*CHOOSE(CONTROL!$C$42, 500, 500)*CHOOSE(CONTROL!$C$42, 0.275, 0.275)*CHOOSE(CONTROL!$C$42, 30, 30))/1000000</f>
        <v>4.125</v>
      </c>
      <c r="W191" s="38">
        <f>(1000*CHOOSE(CONTROL!$C$42, 0.1146, 0.1146)*CHOOSE(CONTROL!$C$42, 121.5, 121.5)*CHOOSE(CONTROL!$C$42, 30, 30))/1000000</f>
        <v>0.417717</v>
      </c>
      <c r="X191" s="38">
        <f>(30*0.1790888*100000/1000000)+(30*0.2374*100000/1000000)</f>
        <v>1.2494664</v>
      </c>
      <c r="Y191" s="38">
        <f>(1000*600*CHOOSE(CONTROL!$C$42, 1.7044, 1.7044)*CHOOSE(CONTROL!$C$42, 30, 30))/1000000</f>
        <v>30.679200000000002</v>
      </c>
      <c r="Z191" s="38"/>
      <c r="AA191" s="10"/>
      <c r="AB191" s="39"/>
      <c r="AC191" s="33">
        <f>(B191*122.58+C191*297.941+D191*89.177+E191*40.302+F191*40+G191*160+H191*0+I191*100+J191*300)/(122.58+297.941+89.177+40.302+0+40+160+100+300)</f>
        <v>6.7938784181739127</v>
      </c>
      <c r="AD191" s="27">
        <f>(M191*'RAP TEMPLATE-GAS AVAILABILITY'!O190+N191*'RAP TEMPLATE-GAS AVAILABILITY'!P190+O191*'RAP TEMPLATE-GAS AVAILABILITY'!Q190+P191*'RAP TEMPLATE-GAS AVAILABILITY'!R190)/('RAP TEMPLATE-GAS AVAILABILITY'!O190+'RAP TEMPLATE-GAS AVAILABILITY'!P190+'RAP TEMPLATE-GAS AVAILABILITY'!Q190+'RAP TEMPLATE-GAS AVAILABILITY'!R190)</f>
        <v>6.7493201438848924</v>
      </c>
    </row>
    <row r="192" spans="1:30" ht="15">
      <c r="A192" s="16">
        <v>47088</v>
      </c>
      <c r="B192" s="10">
        <f>CHOOSE(CONTROL!$C$42, 7.2649, 7.2649) * CHOOSE(CONTROL!$C$21, $C$9, 100%, $E$9)</f>
        <v>7.2648999999999999</v>
      </c>
      <c r="C192" s="10">
        <f>CHOOSE(CONTROL!$C$42, 7.27, 7.27) * CHOOSE(CONTROL!$C$21, $C$9, 100%, $E$9)</f>
        <v>7.27</v>
      </c>
      <c r="D192" s="10">
        <f>CHOOSE(CONTROL!$C$42, 7.2947, 7.2947) * CHOOSE(CONTROL!$C$21, $C$9, 100%, $E$9)</f>
        <v>7.2946999999999997</v>
      </c>
      <c r="E192" s="10">
        <f>CHOOSE(CONTROL!$C$42, 7.3285, 7.3285) * CHOOSE(CONTROL!$C$21, $C$9, 100%, $E$9)</f>
        <v>7.3285</v>
      </c>
      <c r="F192" s="10">
        <f>CHOOSE(CONTROL!$C$42, 7.2352, 7.2352)*CHOOSE(CONTROL!$C$21, $C$9, 100%, $E$9)</f>
        <v>7.2351999999999999</v>
      </c>
      <c r="G192" s="10">
        <f>CHOOSE(CONTROL!$C$42, 7.2516, 7.2516)*CHOOSE(CONTROL!$C$21, $C$9, 100%, $E$9)</f>
        <v>7.2515999999999998</v>
      </c>
      <c r="H192" s="10">
        <f>CHOOSE(CONTROL!$C$42, 7.3174, 7.3174) * CHOOSE(CONTROL!$C$21, $C$9, 100%, $E$9)</f>
        <v>7.3174000000000001</v>
      </c>
      <c r="I192" s="10">
        <f>CHOOSE(CONTROL!$C$42, 7.2799, 7.2799)* CHOOSE(CONTROL!$C$21, $C$9, 100%, $E$9)</f>
        <v>7.2798999999999996</v>
      </c>
      <c r="J192" s="10">
        <f>CHOOSE(CONTROL!$C$42, 7.2278, 7.2278)* CHOOSE(CONTROL!$C$21, $C$9, 100%, $E$9)</f>
        <v>7.2278000000000002</v>
      </c>
      <c r="K192" s="10">
        <f>CHOOSE(CONTROL!$C$42, 7.2194, 7.2194) * CHOOSE(CONTROL!$C$21, $C$9, 100%, $E$9)</f>
        <v>7.2194000000000003</v>
      </c>
      <c r="L192" s="10">
        <f>CHOOSE(CONTROL!$C$42, 7.9044, 7.9044) * CHOOSE(CONTROL!$C$21, $C$9, 100%, $E$9)</f>
        <v>7.9043999999999999</v>
      </c>
      <c r="M192" s="10">
        <f>CHOOSE(CONTROL!$C$42, 7.16, 7.16) * CHOOSE(CONTROL!$C$21, $C$9, 100%, $E$9)</f>
        <v>7.16</v>
      </c>
      <c r="N192" s="10">
        <f>CHOOSE(CONTROL!$C$42, 7.1762, 7.1762) * CHOOSE(CONTROL!$C$21, $C$9, 100%, $E$9)</f>
        <v>7.1761999999999997</v>
      </c>
      <c r="O192" s="10">
        <f>CHOOSE(CONTROL!$C$42, 7.2483, 7.2483) * CHOOSE(CONTROL!$C$21, $C$9, 100%, $E$9)</f>
        <v>7.2483000000000004</v>
      </c>
      <c r="P192" s="10">
        <f>CHOOSE(CONTROL!$C$42, 7.2114, 7.2114) * CHOOSE(CONTROL!$C$21, $C$9, 100%, $E$9)</f>
        <v>7.2114000000000003</v>
      </c>
      <c r="Q192" s="10">
        <f>CHOOSE(CONTROL!$C$42, 7.8436, 7.8436) * CHOOSE(CONTROL!$C$21, $C$9, 100%, $E$9)</f>
        <v>7.8436000000000003</v>
      </c>
      <c r="R192" s="10">
        <f>CHOOSE(CONTROL!$C$42, 8.4502, 8.4502) * CHOOSE(CONTROL!$C$21, $C$9, 100%, $E$9)</f>
        <v>8.4502000000000006</v>
      </c>
      <c r="S192" s="10">
        <f>CHOOSE(CONTROL!$C$42, 7.0513, 7.0513) * CHOOSE(CONTROL!$C$21, $C$9, 100%, $E$9)</f>
        <v>7.0513000000000003</v>
      </c>
      <c r="T19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92" s="38">
        <f>(1000*CHOOSE(CONTROL!$C$42, 695, 695)*CHOOSE(CONTROL!$C$42, 0.5599, 0.5599)*CHOOSE(CONTROL!$C$42, 31, 31))/1000000</f>
        <v>12.063045499999998</v>
      </c>
      <c r="V192" s="38">
        <f>(1000*CHOOSE(CONTROL!$C$42, 500, 500)*CHOOSE(CONTROL!$C$42, 0.275, 0.275)*CHOOSE(CONTROL!$C$42, 31, 31))/1000000</f>
        <v>4.2625000000000002</v>
      </c>
      <c r="W192" s="38">
        <f>(1000*CHOOSE(CONTROL!$C$42, 0.1146, 0.1146)*CHOOSE(CONTROL!$C$42, 121.5, 121.5)*CHOOSE(CONTROL!$C$42, 31, 31))/1000000</f>
        <v>0.43164089999999994</v>
      </c>
      <c r="X192" s="38">
        <f>(31*0.1790888*100000/1000000)+(31*0.2374*100000/1000000)</f>
        <v>1.2911152800000001</v>
      </c>
      <c r="Y192" s="38">
        <f>(1000*600*CHOOSE(CONTROL!$C$42, 1.7044, 1.7044)*CHOOSE(CONTROL!$C$42, 31, 31))/1000000</f>
        <v>31.701840000000001</v>
      </c>
      <c r="Z192" s="38"/>
      <c r="AA192" s="10"/>
      <c r="AB192" s="39"/>
      <c r="AC192" s="33">
        <f>(B192*122.58+C192*297.941+D192*89.177+E192*40.302+F192*40+G192*160+H192*0+I192*100+J192*300)/(122.58+297.941+89.177+40.302+0+40+160+100+300)</f>
        <v>7.2595036355652161</v>
      </c>
      <c r="AD192" s="27">
        <f>(M192*'RAP TEMPLATE-GAS AVAILABILITY'!O191+N192*'RAP TEMPLATE-GAS AVAILABILITY'!P191+O192*'RAP TEMPLATE-GAS AVAILABILITY'!Q191+P192*'RAP TEMPLATE-GAS AVAILABILITY'!R191)/('RAP TEMPLATE-GAS AVAILABILITY'!O191+'RAP TEMPLATE-GAS AVAILABILITY'!P191+'RAP TEMPLATE-GAS AVAILABILITY'!Q191+'RAP TEMPLATE-GAS AVAILABILITY'!R191)</f>
        <v>7.20834892086331</v>
      </c>
    </row>
    <row r="193" spans="1:30" ht="15">
      <c r="A193" s="16">
        <v>47119</v>
      </c>
      <c r="B193" s="10">
        <f>CHOOSE(CONTROL!$C$42, 7.8947, 7.8947) * CHOOSE(CONTROL!$C$21, $C$9, 100%, $E$9)</f>
        <v>7.8947000000000003</v>
      </c>
      <c r="C193" s="10">
        <f>CHOOSE(CONTROL!$C$42, 7.8998, 7.8998) * CHOOSE(CONTROL!$C$21, $C$9, 100%, $E$9)</f>
        <v>7.8997999999999999</v>
      </c>
      <c r="D193" s="10">
        <f>CHOOSE(CONTROL!$C$42, 7.9322, 7.9322) * CHOOSE(CONTROL!$C$21, $C$9, 100%, $E$9)</f>
        <v>7.9321999999999999</v>
      </c>
      <c r="E193" s="10">
        <f>CHOOSE(CONTROL!$C$42, 7.966, 7.966) * CHOOSE(CONTROL!$C$21, $C$9, 100%, $E$9)</f>
        <v>7.9660000000000002</v>
      </c>
      <c r="F193" s="10">
        <f>CHOOSE(CONTROL!$C$42, 7.8789, 7.8789)*CHOOSE(CONTROL!$C$21, $C$9, 100%, $E$9)</f>
        <v>7.8788999999999998</v>
      </c>
      <c r="G193" s="10">
        <f>CHOOSE(CONTROL!$C$42, 7.8969, 7.8969)*CHOOSE(CONTROL!$C$21, $C$9, 100%, $E$9)</f>
        <v>7.8968999999999996</v>
      </c>
      <c r="H193" s="10">
        <f>CHOOSE(CONTROL!$C$42, 7.9549, 7.9549) * CHOOSE(CONTROL!$C$21, $C$9, 100%, $E$9)</f>
        <v>7.9549000000000003</v>
      </c>
      <c r="I193" s="10">
        <f>CHOOSE(CONTROL!$C$42, 7.9081, 7.9081)* CHOOSE(CONTROL!$C$21, $C$9, 100%, $E$9)</f>
        <v>7.9081000000000001</v>
      </c>
      <c r="J193" s="10">
        <f>CHOOSE(CONTROL!$C$42, 7.8715, 7.8715)* CHOOSE(CONTROL!$C$21, $C$9, 100%, $E$9)</f>
        <v>7.8715000000000002</v>
      </c>
      <c r="K193" s="10">
        <f>CHOOSE(CONTROL!$C$42, 7.8419, 7.8419) * CHOOSE(CONTROL!$C$21, $C$9, 100%, $E$9)</f>
        <v>7.8418999999999999</v>
      </c>
      <c r="L193" s="10">
        <f>CHOOSE(CONTROL!$C$42, 8.5419, 8.5419) * CHOOSE(CONTROL!$C$21, $C$9, 100%, $E$9)</f>
        <v>8.5419</v>
      </c>
      <c r="M193" s="10">
        <f>CHOOSE(CONTROL!$C$42, 7.7947, 7.7947) * CHOOSE(CONTROL!$C$21, $C$9, 100%, $E$9)</f>
        <v>7.7946999999999997</v>
      </c>
      <c r="N193" s="10">
        <f>CHOOSE(CONTROL!$C$42, 7.8125, 7.8125) * CHOOSE(CONTROL!$C$21, $C$9, 100%, $E$9)</f>
        <v>7.8125</v>
      </c>
      <c r="O193" s="10">
        <f>CHOOSE(CONTROL!$C$42, 7.877, 7.877) * CHOOSE(CONTROL!$C$21, $C$9, 100%, $E$9)</f>
        <v>7.8769999999999998</v>
      </c>
      <c r="P193" s="10">
        <f>CHOOSE(CONTROL!$C$42, 7.8309, 7.8309) * CHOOSE(CONTROL!$C$21, $C$9, 100%, $E$9)</f>
        <v>7.8308999999999997</v>
      </c>
      <c r="Q193" s="10">
        <f>CHOOSE(CONTROL!$C$42, 8.4723, 8.4723) * CHOOSE(CONTROL!$C$21, $C$9, 100%, $E$9)</f>
        <v>8.4723000000000006</v>
      </c>
      <c r="R193" s="10">
        <f>CHOOSE(CONTROL!$C$42, 9.0804, 9.0804) * CHOOSE(CONTROL!$C$21, $C$9, 100%, $E$9)</f>
        <v>9.0803999999999991</v>
      </c>
      <c r="S193" s="10">
        <f>CHOOSE(CONTROL!$C$42, 7.6611, 7.6611) * CHOOSE(CONTROL!$C$21, $C$9, 100%, $E$9)</f>
        <v>7.6611000000000002</v>
      </c>
      <c r="T19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93" s="38">
        <f>(1000*CHOOSE(CONTROL!$C$42, 695, 695)*CHOOSE(CONTROL!$C$42, 0.5599, 0.5599)*CHOOSE(CONTROL!$C$42, 31, 31))/1000000</f>
        <v>12.063045499999998</v>
      </c>
      <c r="V193" s="38">
        <f>(1000*CHOOSE(CONTROL!$C$42, 500, 500)*CHOOSE(CONTROL!$C$42, 0.275, 0.275)*CHOOSE(CONTROL!$C$42, 31, 31))/1000000</f>
        <v>4.2625000000000002</v>
      </c>
      <c r="W193" s="38">
        <f>(1000*CHOOSE(CONTROL!$C$42, 0.1146, 0.1146)*CHOOSE(CONTROL!$C$42, 121.5, 121.5)*CHOOSE(CONTROL!$C$42, 31, 31))/1000000</f>
        <v>0.43164089999999994</v>
      </c>
      <c r="X193" s="38">
        <f>(31*0.1790888*100000/1000000)+(31*0.2374*100000/1000000)</f>
        <v>1.2911152800000001</v>
      </c>
      <c r="Y193" s="38">
        <f>(1000*600*CHOOSE(CONTROL!$C$42, 1.6945, 1.6945)*CHOOSE(CONTROL!$C$42, 31, 31))/1000000</f>
        <v>31.517699999999998</v>
      </c>
      <c r="Z193" s="38"/>
      <c r="AA193" s="10"/>
      <c r="AB193" s="39"/>
      <c r="AC193" s="33">
        <f>(B193*122.58+C193*297.941+D193*89.177+E193*40.302+F193*40+G193*160+H193*0+I193*100+J193*300)/(122.58+297.941+89.177+40.302+0+40+160+100+300)</f>
        <v>7.8962975384347835</v>
      </c>
      <c r="AD193" s="27">
        <f>(M193*'RAP TEMPLATE-GAS AVAILABILITY'!O192+N193*'RAP TEMPLATE-GAS AVAILABILITY'!P192+O193*'RAP TEMPLATE-GAS AVAILABILITY'!Q192+P193*'RAP TEMPLATE-GAS AVAILABILITY'!R192)/('RAP TEMPLATE-GAS AVAILABILITY'!O192+'RAP TEMPLATE-GAS AVAILABILITY'!P192+'RAP TEMPLATE-GAS AVAILABILITY'!Q192+'RAP TEMPLATE-GAS AVAILABILITY'!R192)</f>
        <v>7.8382345323741012</v>
      </c>
    </row>
    <row r="194" spans="1:30" ht="15">
      <c r="A194" s="16">
        <v>47150</v>
      </c>
      <c r="B194" s="10">
        <f>CHOOSE(CONTROL!$C$42, 8.0355, 8.0355) * CHOOSE(CONTROL!$C$21, $C$9, 100%, $E$9)</f>
        <v>8.0355000000000008</v>
      </c>
      <c r="C194" s="10">
        <f>CHOOSE(CONTROL!$C$42, 8.0406, 8.0406) * CHOOSE(CONTROL!$C$21, $C$9, 100%, $E$9)</f>
        <v>8.0405999999999995</v>
      </c>
      <c r="D194" s="10">
        <f>CHOOSE(CONTROL!$C$42, 8.073, 8.073) * CHOOSE(CONTROL!$C$21, $C$9, 100%, $E$9)</f>
        <v>8.0730000000000004</v>
      </c>
      <c r="E194" s="10">
        <f>CHOOSE(CONTROL!$C$42, 8.1069, 8.1069) * CHOOSE(CONTROL!$C$21, $C$9, 100%, $E$9)</f>
        <v>8.1068999999999996</v>
      </c>
      <c r="F194" s="10">
        <f>CHOOSE(CONTROL!$C$42, 8.0192, 8.0192)*CHOOSE(CONTROL!$C$21, $C$9, 100%, $E$9)</f>
        <v>8.0191999999999997</v>
      </c>
      <c r="G194" s="10">
        <f>CHOOSE(CONTROL!$C$42, 8.0372, 8.0372)*CHOOSE(CONTROL!$C$21, $C$9, 100%, $E$9)</f>
        <v>8.0372000000000003</v>
      </c>
      <c r="H194" s="10">
        <f>CHOOSE(CONTROL!$C$42, 8.0957, 8.0957) * CHOOSE(CONTROL!$C$21, $C$9, 100%, $E$9)</f>
        <v>8.0957000000000008</v>
      </c>
      <c r="I194" s="10">
        <f>CHOOSE(CONTROL!$C$42, 8.049, 8.049)* CHOOSE(CONTROL!$C$21, $C$9, 100%, $E$9)</f>
        <v>8.0489999999999995</v>
      </c>
      <c r="J194" s="10">
        <f>CHOOSE(CONTROL!$C$42, 8.0118, 8.0118)* CHOOSE(CONTROL!$C$21, $C$9, 100%, $E$9)</f>
        <v>8.0117999999999991</v>
      </c>
      <c r="K194" s="10">
        <f>CHOOSE(CONTROL!$C$42, 7.9774, 7.9774) * CHOOSE(CONTROL!$C$21, $C$9, 100%, $E$9)</f>
        <v>7.9774000000000003</v>
      </c>
      <c r="L194" s="10">
        <f>CHOOSE(CONTROL!$C$42, 8.6827, 8.6827) * CHOOSE(CONTROL!$C$21, $C$9, 100%, $E$9)</f>
        <v>8.6827000000000005</v>
      </c>
      <c r="M194" s="10">
        <f>CHOOSE(CONTROL!$C$42, 7.9331, 7.9331) * CHOOSE(CONTROL!$C$21, $C$9, 100%, $E$9)</f>
        <v>7.9330999999999996</v>
      </c>
      <c r="N194" s="10">
        <f>CHOOSE(CONTROL!$C$42, 7.9508, 7.9508) * CHOOSE(CONTROL!$C$21, $C$9, 100%, $E$9)</f>
        <v>7.9508000000000001</v>
      </c>
      <c r="O194" s="10">
        <f>CHOOSE(CONTROL!$C$42, 8.0158, 8.0158) * CHOOSE(CONTROL!$C$21, $C$9, 100%, $E$9)</f>
        <v>8.0158000000000005</v>
      </c>
      <c r="P194" s="10">
        <f>CHOOSE(CONTROL!$C$42, 7.9697, 7.9697) * CHOOSE(CONTROL!$C$21, $C$9, 100%, $E$9)</f>
        <v>7.9696999999999996</v>
      </c>
      <c r="Q194" s="10">
        <f>CHOOSE(CONTROL!$C$42, 8.6111, 8.6111) * CHOOSE(CONTROL!$C$21, $C$9, 100%, $E$9)</f>
        <v>8.6111000000000004</v>
      </c>
      <c r="R194" s="10">
        <f>CHOOSE(CONTROL!$C$42, 9.2196, 9.2196) * CHOOSE(CONTROL!$C$21, $C$9, 100%, $E$9)</f>
        <v>9.2195999999999998</v>
      </c>
      <c r="S194" s="10">
        <f>CHOOSE(CONTROL!$C$42, 7.7974, 7.7974) * CHOOSE(CONTROL!$C$21, $C$9, 100%, $E$9)</f>
        <v>7.7973999999999997</v>
      </c>
      <c r="T19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94" s="38">
        <f>(1000*CHOOSE(CONTROL!$C$42, 695, 695)*CHOOSE(CONTROL!$C$42, 0.5599, 0.5599)*CHOOSE(CONTROL!$C$42, 28, 28))/1000000</f>
        <v>10.895653999999999</v>
      </c>
      <c r="V194" s="38">
        <f>(1000*CHOOSE(CONTROL!$C$42, 500, 500)*CHOOSE(CONTROL!$C$42, 0.275, 0.275)*CHOOSE(CONTROL!$C$42, 28, 28))/1000000</f>
        <v>3.85</v>
      </c>
      <c r="W194" s="38">
        <f>(1000*CHOOSE(CONTROL!$C$42, 0.1146, 0.1146)*CHOOSE(CONTROL!$C$42, 121.5, 121.5)*CHOOSE(CONTROL!$C$42, 28, 28))/1000000</f>
        <v>0.38986920000000003</v>
      </c>
      <c r="X194" s="38">
        <f>(28*0.1790888*100000/1000000)+(28*0.2374*100000/1000000)</f>
        <v>1.16616864</v>
      </c>
      <c r="Y194" s="38">
        <f>(1000*600*CHOOSE(CONTROL!$C$42, 1.6945, 1.6945)*CHOOSE(CONTROL!$C$42, 28, 28))/1000000</f>
        <v>28.467599999999997</v>
      </c>
      <c r="Z194" s="38"/>
      <c r="AA194" s="10"/>
      <c r="AB194" s="39"/>
      <c r="AC194" s="33">
        <f>(B194*122.58+C194*297.941+D194*89.177+E194*40.302+F194*40+G194*160+H194*0+I194*100+J194*300)/(122.58+297.941+89.177+40.302+0+40+160+100+300)</f>
        <v>8.0368923473043488</v>
      </c>
      <c r="AD194" s="27">
        <f>(M194*'RAP TEMPLATE-GAS AVAILABILITY'!O193+N194*'RAP TEMPLATE-GAS AVAILABILITY'!P193+O194*'RAP TEMPLATE-GAS AVAILABILITY'!Q193+P194*'RAP TEMPLATE-GAS AVAILABILITY'!R193)/('RAP TEMPLATE-GAS AVAILABILITY'!O193+'RAP TEMPLATE-GAS AVAILABILITY'!P193+'RAP TEMPLATE-GAS AVAILABILITY'!Q193+'RAP TEMPLATE-GAS AVAILABILITY'!R193)</f>
        <v>7.9768676258992812</v>
      </c>
    </row>
    <row r="195" spans="1:30" ht="15">
      <c r="A195" s="16">
        <v>47178</v>
      </c>
      <c r="B195" s="10">
        <f>CHOOSE(CONTROL!$C$42, 7.8069, 7.8069) * CHOOSE(CONTROL!$C$21, $C$9, 100%, $E$9)</f>
        <v>7.8068999999999997</v>
      </c>
      <c r="C195" s="10">
        <f>CHOOSE(CONTROL!$C$42, 7.812, 7.812) * CHOOSE(CONTROL!$C$21, $C$9, 100%, $E$9)</f>
        <v>7.8120000000000003</v>
      </c>
      <c r="D195" s="10">
        <f>CHOOSE(CONTROL!$C$42, 7.8445, 7.8445) * CHOOSE(CONTROL!$C$21, $C$9, 100%, $E$9)</f>
        <v>7.8445</v>
      </c>
      <c r="E195" s="10">
        <f>CHOOSE(CONTROL!$C$42, 7.8783, 7.8783) * CHOOSE(CONTROL!$C$21, $C$9, 100%, $E$9)</f>
        <v>7.8783000000000003</v>
      </c>
      <c r="F195" s="10">
        <f>CHOOSE(CONTROL!$C$42, 7.7892, 7.7892)*CHOOSE(CONTROL!$C$21, $C$9, 100%, $E$9)</f>
        <v>7.7892000000000001</v>
      </c>
      <c r="G195" s="10">
        <f>CHOOSE(CONTROL!$C$42, 7.8067, 7.8067)*CHOOSE(CONTROL!$C$21, $C$9, 100%, $E$9)</f>
        <v>7.8067000000000002</v>
      </c>
      <c r="H195" s="10">
        <f>CHOOSE(CONTROL!$C$42, 7.8671, 7.8671) * CHOOSE(CONTROL!$C$21, $C$9, 100%, $E$9)</f>
        <v>7.8670999999999998</v>
      </c>
      <c r="I195" s="10">
        <f>CHOOSE(CONTROL!$C$42, 7.8204, 7.8204)* CHOOSE(CONTROL!$C$21, $C$9, 100%, $E$9)</f>
        <v>7.8204000000000002</v>
      </c>
      <c r="J195" s="10">
        <f>CHOOSE(CONTROL!$C$42, 7.7818, 7.7818)* CHOOSE(CONTROL!$C$21, $C$9, 100%, $E$9)</f>
        <v>7.7817999999999996</v>
      </c>
      <c r="K195" s="10">
        <f>CHOOSE(CONTROL!$C$42, 7.7528, 7.7528) * CHOOSE(CONTROL!$C$21, $C$9, 100%, $E$9)</f>
        <v>7.7527999999999997</v>
      </c>
      <c r="L195" s="10">
        <f>CHOOSE(CONTROL!$C$42, 8.4541, 8.4541) * CHOOSE(CONTROL!$C$21, $C$9, 100%, $E$9)</f>
        <v>8.4541000000000004</v>
      </c>
      <c r="M195" s="10">
        <f>CHOOSE(CONTROL!$C$42, 7.7062, 7.7062) * CHOOSE(CONTROL!$C$21, $C$9, 100%, $E$9)</f>
        <v>7.7061999999999999</v>
      </c>
      <c r="N195" s="10">
        <f>CHOOSE(CONTROL!$C$42, 7.7236, 7.7236) * CHOOSE(CONTROL!$C$21, $C$9, 100%, $E$9)</f>
        <v>7.7236000000000002</v>
      </c>
      <c r="O195" s="10">
        <f>CHOOSE(CONTROL!$C$42, 7.7904, 7.7904) * CHOOSE(CONTROL!$C$21, $C$9, 100%, $E$9)</f>
        <v>7.7904</v>
      </c>
      <c r="P195" s="10">
        <f>CHOOSE(CONTROL!$C$42, 7.7443, 7.7443) * CHOOSE(CONTROL!$C$21, $C$9, 100%, $E$9)</f>
        <v>7.7443</v>
      </c>
      <c r="Q195" s="10">
        <f>CHOOSE(CONTROL!$C$42, 8.3857, 8.3857) * CHOOSE(CONTROL!$C$21, $C$9, 100%, $E$9)</f>
        <v>8.3856999999999999</v>
      </c>
      <c r="R195" s="10">
        <f>CHOOSE(CONTROL!$C$42, 8.9937, 8.9937) * CHOOSE(CONTROL!$C$21, $C$9, 100%, $E$9)</f>
        <v>8.9937000000000005</v>
      </c>
      <c r="S195" s="10">
        <f>CHOOSE(CONTROL!$C$42, 7.5761, 7.5761) * CHOOSE(CONTROL!$C$21, $C$9, 100%, $E$9)</f>
        <v>7.5761000000000003</v>
      </c>
      <c r="T19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95" s="38">
        <f>(1000*CHOOSE(CONTROL!$C$42, 695, 695)*CHOOSE(CONTROL!$C$42, 0.5599, 0.5599)*CHOOSE(CONTROL!$C$42, 31, 31))/1000000</f>
        <v>12.063045499999998</v>
      </c>
      <c r="V195" s="38">
        <f>(1000*CHOOSE(CONTROL!$C$42, 500, 500)*CHOOSE(CONTROL!$C$42, 0.275, 0.275)*CHOOSE(CONTROL!$C$42, 31, 31))/1000000</f>
        <v>4.2625000000000002</v>
      </c>
      <c r="W195" s="38">
        <f>(1000*CHOOSE(CONTROL!$C$42, 0.1146, 0.1146)*CHOOSE(CONTROL!$C$42, 121.5, 121.5)*CHOOSE(CONTROL!$C$42, 31, 31))/1000000</f>
        <v>0.43164089999999994</v>
      </c>
      <c r="X195" s="38">
        <f>(31*0.1790888*100000/1000000)+(31*0.2374*100000/1000000)</f>
        <v>1.2911152800000001</v>
      </c>
      <c r="Y195" s="38">
        <f>(1000*600*CHOOSE(CONTROL!$C$42, 1.6945, 1.6945)*CHOOSE(CONTROL!$C$42, 31, 31))/1000000</f>
        <v>31.517699999999998</v>
      </c>
      <c r="Z195" s="38"/>
      <c r="AA195" s="10"/>
      <c r="AB195" s="39"/>
      <c r="AC195" s="33">
        <f>(B195*122.58+C195*297.941+D195*89.177+E195*40.302+F195*40+G195*160+H195*0+I195*100+J195*300)/(122.58+297.941+89.177+40.302+0+40+160+100+300)</f>
        <v>7.8076218409565215</v>
      </c>
      <c r="AD195" s="27">
        <f>(M195*'RAP TEMPLATE-GAS AVAILABILITY'!O194+N195*'RAP TEMPLATE-GAS AVAILABILITY'!P194+O195*'RAP TEMPLATE-GAS AVAILABILITY'!Q194+P195*'RAP TEMPLATE-GAS AVAILABILITY'!R194)/('RAP TEMPLATE-GAS AVAILABILITY'!O194+'RAP TEMPLATE-GAS AVAILABILITY'!P194+'RAP TEMPLATE-GAS AVAILABILITY'!Q194+'RAP TEMPLATE-GAS AVAILABILITY'!R194)</f>
        <v>7.7508460431654687</v>
      </c>
    </row>
    <row r="196" spans="1:30" ht="15">
      <c r="A196" s="16">
        <v>47209</v>
      </c>
      <c r="B196" s="10">
        <f>CHOOSE(CONTROL!$C$42, 7.7843, 7.7843) * CHOOSE(CONTROL!$C$21, $C$9, 100%, $E$9)</f>
        <v>7.7843</v>
      </c>
      <c r="C196" s="10">
        <f>CHOOSE(CONTROL!$C$42, 7.7888, 7.7888) * CHOOSE(CONTROL!$C$21, $C$9, 100%, $E$9)</f>
        <v>7.7888000000000002</v>
      </c>
      <c r="D196" s="10">
        <f>CHOOSE(CONTROL!$C$42, 7.9489, 7.9489) * CHOOSE(CONTROL!$C$21, $C$9, 100%, $E$9)</f>
        <v>7.9489000000000001</v>
      </c>
      <c r="E196" s="10">
        <f>CHOOSE(CONTROL!$C$42, 7.9808, 7.9808) * CHOOSE(CONTROL!$C$21, $C$9, 100%, $E$9)</f>
        <v>7.9808000000000003</v>
      </c>
      <c r="F196" s="10">
        <f>CHOOSE(CONTROL!$C$42, 7.7304, 7.7304)*CHOOSE(CONTROL!$C$21, $C$9, 100%, $E$9)</f>
        <v>7.7304000000000004</v>
      </c>
      <c r="G196" s="10">
        <f>CHOOSE(CONTROL!$C$42, 7.7462, 7.7462)*CHOOSE(CONTROL!$C$21, $C$9, 100%, $E$9)</f>
        <v>7.7462</v>
      </c>
      <c r="H196" s="10">
        <f>CHOOSE(CONTROL!$C$42, 7.9702, 7.9702) * CHOOSE(CONTROL!$C$21, $C$9, 100%, $E$9)</f>
        <v>7.9702000000000002</v>
      </c>
      <c r="I196" s="10">
        <f>CHOOSE(CONTROL!$C$42, 7.7644, 7.7644)* CHOOSE(CONTROL!$C$21, $C$9, 100%, $E$9)</f>
        <v>7.7644000000000002</v>
      </c>
      <c r="J196" s="10">
        <f>CHOOSE(CONTROL!$C$42, 7.723, 7.723)* CHOOSE(CONTROL!$C$21, $C$9, 100%, $E$9)</f>
        <v>7.7229999999999999</v>
      </c>
      <c r="K196" s="10">
        <f>CHOOSE(CONTROL!$C$42, 7.6825, 7.6825) * CHOOSE(CONTROL!$C$21, $C$9, 100%, $E$9)</f>
        <v>7.6825000000000001</v>
      </c>
      <c r="L196" s="10">
        <f>CHOOSE(CONTROL!$C$42, 8.5572, 8.5572) * CHOOSE(CONTROL!$C$21, $C$9, 100%, $E$9)</f>
        <v>8.5571999999999999</v>
      </c>
      <c r="M196" s="10">
        <f>CHOOSE(CONTROL!$C$42, 7.6482, 7.6482) * CHOOSE(CONTROL!$C$21, $C$9, 100%, $E$9)</f>
        <v>7.6482000000000001</v>
      </c>
      <c r="N196" s="10">
        <f>CHOOSE(CONTROL!$C$42, 7.6638, 7.6638) * CHOOSE(CONTROL!$C$21, $C$9, 100%, $E$9)</f>
        <v>7.6638000000000002</v>
      </c>
      <c r="O196" s="10">
        <f>CHOOSE(CONTROL!$C$42, 7.8921, 7.8921) * CHOOSE(CONTROL!$C$21, $C$9, 100%, $E$9)</f>
        <v>7.8921000000000001</v>
      </c>
      <c r="P196" s="10">
        <f>CHOOSE(CONTROL!$C$42, 7.6892, 7.6892) * CHOOSE(CONTROL!$C$21, $C$9, 100%, $E$9)</f>
        <v>7.6891999999999996</v>
      </c>
      <c r="Q196" s="10">
        <f>CHOOSE(CONTROL!$C$42, 8.4874, 8.4874) * CHOOSE(CONTROL!$C$21, $C$9, 100%, $E$9)</f>
        <v>8.4873999999999992</v>
      </c>
      <c r="R196" s="10">
        <f>CHOOSE(CONTROL!$C$42, 9.0956, 9.0956) * CHOOSE(CONTROL!$C$21, $C$9, 100%, $E$9)</f>
        <v>9.0955999999999992</v>
      </c>
      <c r="S196" s="10">
        <f>CHOOSE(CONTROL!$C$42, 7.5534, 7.5534) * CHOOSE(CONTROL!$C$21, $C$9, 100%, $E$9)</f>
        <v>7.5533999999999999</v>
      </c>
      <c r="T19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96" s="38">
        <f>(1000*CHOOSE(CONTROL!$C$42, 695, 695)*CHOOSE(CONTROL!$C$42, 0.5599, 0.5599)*CHOOSE(CONTROL!$C$42, 30, 30))/1000000</f>
        <v>11.673914999999997</v>
      </c>
      <c r="V196" s="38">
        <f>(1000*CHOOSE(CONTROL!$C$42, 500, 500)*CHOOSE(CONTROL!$C$42, 0.275, 0.275)*CHOOSE(CONTROL!$C$42, 30, 30))/1000000</f>
        <v>4.125</v>
      </c>
      <c r="W196" s="38">
        <f>(1000*CHOOSE(CONTROL!$C$42, 0.1146, 0.1146)*CHOOSE(CONTROL!$C$42, 121.5, 121.5)*CHOOSE(CONTROL!$C$42, 30, 30))/1000000</f>
        <v>0.417717</v>
      </c>
      <c r="X196" s="38">
        <f>(30*0.1790888*245000/1000000)+(30*0.2374*100000/1000000)</f>
        <v>2.0285026799999999</v>
      </c>
      <c r="Y196" s="38">
        <f>(1000*600*CHOOSE(CONTROL!$C$42, 1.6945, 1.6945)*CHOOSE(CONTROL!$C$42, 30, 30))/1000000</f>
        <v>30.500999999999998</v>
      </c>
      <c r="Z196" s="38"/>
      <c r="AA196" s="10"/>
      <c r="AB196" s="39"/>
      <c r="AC196" s="33">
        <f>(B196*141.293+C196*267.993+D196*115.016+E196*89.698+F196*40+G196*185+H196*0+I196*100+J196*300)/(141.293+267.993+115.016+89.698+0+40+185+100+300)</f>
        <v>7.7909010969330117</v>
      </c>
      <c r="AD196" s="27">
        <f>(M196*'RAP TEMPLATE-GAS AVAILABILITY'!O195+N196*'RAP TEMPLATE-GAS AVAILABILITY'!P195+O196*'RAP TEMPLATE-GAS AVAILABILITY'!Q195+P196*'RAP TEMPLATE-GAS AVAILABILITY'!R195)/('RAP TEMPLATE-GAS AVAILABILITY'!O195+'RAP TEMPLATE-GAS AVAILABILITY'!P195+'RAP TEMPLATE-GAS AVAILABILITY'!Q195+'RAP TEMPLATE-GAS AVAILABILITY'!R195)</f>
        <v>7.7261230215827332</v>
      </c>
    </row>
    <row r="197" spans="1:30" ht="15">
      <c r="A197" s="16">
        <v>47239</v>
      </c>
      <c r="B197" s="10">
        <f>CHOOSE(CONTROL!$C$42, 7.8549, 7.8549) * CHOOSE(CONTROL!$C$21, $C$9, 100%, $E$9)</f>
        <v>7.8548999999999998</v>
      </c>
      <c r="C197" s="10">
        <f>CHOOSE(CONTROL!$C$42, 7.8629, 7.8629) * CHOOSE(CONTROL!$C$21, $C$9, 100%, $E$9)</f>
        <v>7.8628999999999998</v>
      </c>
      <c r="D197" s="10">
        <f>CHOOSE(CONTROL!$C$42, 8.02, 8.02) * CHOOSE(CONTROL!$C$21, $C$9, 100%, $E$9)</f>
        <v>8.02</v>
      </c>
      <c r="E197" s="10">
        <f>CHOOSE(CONTROL!$C$42, 8.0512, 8.0512) * CHOOSE(CONTROL!$C$21, $C$9, 100%, $E$9)</f>
        <v>8.0511999999999997</v>
      </c>
      <c r="F197" s="10">
        <f>CHOOSE(CONTROL!$C$42, 7.7991, 7.7991)*CHOOSE(CONTROL!$C$21, $C$9, 100%, $E$9)</f>
        <v>7.7991000000000001</v>
      </c>
      <c r="G197" s="10">
        <f>CHOOSE(CONTROL!$C$42, 7.8152, 7.8152)*CHOOSE(CONTROL!$C$21, $C$9, 100%, $E$9)</f>
        <v>7.8151999999999999</v>
      </c>
      <c r="H197" s="10">
        <f>CHOOSE(CONTROL!$C$42, 8.0395, 8.0395) * CHOOSE(CONTROL!$C$21, $C$9, 100%, $E$9)</f>
        <v>8.0395000000000003</v>
      </c>
      <c r="I197" s="10">
        <f>CHOOSE(CONTROL!$C$42, 7.8337, 7.8337)* CHOOSE(CONTROL!$C$21, $C$9, 100%, $E$9)</f>
        <v>7.8337000000000003</v>
      </c>
      <c r="J197" s="10">
        <f>CHOOSE(CONTROL!$C$42, 7.7917, 7.7917)* CHOOSE(CONTROL!$C$21, $C$9, 100%, $E$9)</f>
        <v>7.7916999999999996</v>
      </c>
      <c r="K197" s="10">
        <f>CHOOSE(CONTROL!$C$42, 7.7484, 7.7484) * CHOOSE(CONTROL!$C$21, $C$9, 100%, $E$9)</f>
        <v>7.7484000000000002</v>
      </c>
      <c r="L197" s="10">
        <f>CHOOSE(CONTROL!$C$42, 8.6265, 8.6265) * CHOOSE(CONTROL!$C$21, $C$9, 100%, $E$9)</f>
        <v>8.6265000000000001</v>
      </c>
      <c r="M197" s="10">
        <f>CHOOSE(CONTROL!$C$42, 7.716, 7.716) * CHOOSE(CONTROL!$C$21, $C$9, 100%, $E$9)</f>
        <v>7.7160000000000002</v>
      </c>
      <c r="N197" s="10">
        <f>CHOOSE(CONTROL!$C$42, 7.7319, 7.7319) * CHOOSE(CONTROL!$C$21, $C$9, 100%, $E$9)</f>
        <v>7.7319000000000004</v>
      </c>
      <c r="O197" s="10">
        <f>CHOOSE(CONTROL!$C$42, 7.9604, 7.9604) * CHOOSE(CONTROL!$C$21, $C$9, 100%, $E$9)</f>
        <v>7.9603999999999999</v>
      </c>
      <c r="P197" s="10">
        <f>CHOOSE(CONTROL!$C$42, 7.7575, 7.7575) * CHOOSE(CONTROL!$C$21, $C$9, 100%, $E$9)</f>
        <v>7.7575000000000003</v>
      </c>
      <c r="Q197" s="10">
        <f>CHOOSE(CONTROL!$C$42, 8.5557, 8.5557) * CHOOSE(CONTROL!$C$21, $C$9, 100%, $E$9)</f>
        <v>8.5556999999999999</v>
      </c>
      <c r="R197" s="10">
        <f>CHOOSE(CONTROL!$C$42, 9.1641, 9.1641) * CHOOSE(CONTROL!$C$21, $C$9, 100%, $E$9)</f>
        <v>9.1640999999999995</v>
      </c>
      <c r="S197" s="10">
        <f>CHOOSE(CONTROL!$C$42, 7.6205, 7.6205) * CHOOSE(CONTROL!$C$21, $C$9, 100%, $E$9)</f>
        <v>7.6204999999999998</v>
      </c>
      <c r="T19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97" s="38">
        <f>(1000*CHOOSE(CONTROL!$C$42, 695, 695)*CHOOSE(CONTROL!$C$42, 0.5599, 0.5599)*CHOOSE(CONTROL!$C$42, 31, 31))/1000000</f>
        <v>12.063045499999998</v>
      </c>
      <c r="V197" s="38">
        <f>(1000*CHOOSE(CONTROL!$C$42, 500, 500)*CHOOSE(CONTROL!$C$42, 0.275, 0.275)*CHOOSE(CONTROL!$C$42, 31, 31))/1000000</f>
        <v>4.2625000000000002</v>
      </c>
      <c r="W197" s="38">
        <f>(1000*CHOOSE(CONTROL!$C$42, 0.1146, 0.1146)*CHOOSE(CONTROL!$C$42, 121.5, 121.5)*CHOOSE(CONTROL!$C$42, 31, 31))/1000000</f>
        <v>0.43164089999999994</v>
      </c>
      <c r="X197" s="38">
        <f>(31*0.1790888*245000/1000000)+(31*0.2374*100000/1000000)</f>
        <v>2.0961194359999999</v>
      </c>
      <c r="Y197" s="38">
        <f>(1000*600*CHOOSE(CONTROL!$C$42, 1.6945, 1.6945)*CHOOSE(CONTROL!$C$42, 31, 31))/1000000</f>
        <v>31.517699999999998</v>
      </c>
      <c r="Z197" s="38"/>
      <c r="AA197" s="10"/>
      <c r="AB197" s="39"/>
      <c r="AC197" s="33">
        <f>(B197*194.205+C197*267.466+D197*133.845+E197*53.484+F197*40+G197*185+H197*0+I197*100+J197*300)/(194.205+267.466+133.845+53.484+0+40+185+100+300)</f>
        <v>7.8581024699372044</v>
      </c>
      <c r="AD197" s="27">
        <f>(M197*'RAP TEMPLATE-GAS AVAILABILITY'!O196+N197*'RAP TEMPLATE-GAS AVAILABILITY'!P196+O197*'RAP TEMPLATE-GAS AVAILABILITY'!Q196+P197*'RAP TEMPLATE-GAS AVAILABILITY'!R196)/('RAP TEMPLATE-GAS AVAILABILITY'!O196+'RAP TEMPLATE-GAS AVAILABILITY'!P196+'RAP TEMPLATE-GAS AVAILABILITY'!Q196+'RAP TEMPLATE-GAS AVAILABILITY'!R196)</f>
        <v>7.7942043165467636</v>
      </c>
    </row>
    <row r="198" spans="1:30" ht="15">
      <c r="A198" s="16">
        <v>47270</v>
      </c>
      <c r="B198" s="10">
        <f>CHOOSE(CONTROL!$C$42, 8.0781, 8.0781) * CHOOSE(CONTROL!$C$21, $C$9, 100%, $E$9)</f>
        <v>8.0780999999999992</v>
      </c>
      <c r="C198" s="10">
        <f>CHOOSE(CONTROL!$C$42, 8.0861, 8.0861) * CHOOSE(CONTROL!$C$21, $C$9, 100%, $E$9)</f>
        <v>8.0861000000000001</v>
      </c>
      <c r="D198" s="10">
        <f>CHOOSE(CONTROL!$C$42, 8.2432, 8.2432) * CHOOSE(CONTROL!$C$21, $C$9, 100%, $E$9)</f>
        <v>8.2431999999999999</v>
      </c>
      <c r="E198" s="10">
        <f>CHOOSE(CONTROL!$C$42, 8.2744, 8.2744) * CHOOSE(CONTROL!$C$21, $C$9, 100%, $E$9)</f>
        <v>8.2744</v>
      </c>
      <c r="F198" s="10">
        <f>CHOOSE(CONTROL!$C$42, 8.0224, 8.0224)*CHOOSE(CONTROL!$C$21, $C$9, 100%, $E$9)</f>
        <v>8.0223999999999993</v>
      </c>
      <c r="G198" s="10">
        <f>CHOOSE(CONTROL!$C$42, 8.0386, 8.0386)*CHOOSE(CONTROL!$C$21, $C$9, 100%, $E$9)</f>
        <v>8.0386000000000006</v>
      </c>
      <c r="H198" s="10">
        <f>CHOOSE(CONTROL!$C$42, 8.2627, 8.2627) * CHOOSE(CONTROL!$C$21, $C$9, 100%, $E$9)</f>
        <v>8.2627000000000006</v>
      </c>
      <c r="I198" s="10">
        <f>CHOOSE(CONTROL!$C$42, 8.0569, 8.0569)* CHOOSE(CONTROL!$C$21, $C$9, 100%, $E$9)</f>
        <v>8.0569000000000006</v>
      </c>
      <c r="J198" s="10">
        <f>CHOOSE(CONTROL!$C$42, 8.015, 8.015)* CHOOSE(CONTROL!$C$21, $C$9, 100%, $E$9)</f>
        <v>8.0150000000000006</v>
      </c>
      <c r="K198" s="10">
        <f>CHOOSE(CONTROL!$C$42, 7.965, 7.965) * CHOOSE(CONTROL!$C$21, $C$9, 100%, $E$9)</f>
        <v>7.9649999999999999</v>
      </c>
      <c r="L198" s="10">
        <f>CHOOSE(CONTROL!$C$42, 8.8497, 8.8497) * CHOOSE(CONTROL!$C$21, $C$9, 100%, $E$9)</f>
        <v>8.8497000000000003</v>
      </c>
      <c r="M198" s="10">
        <f>CHOOSE(CONTROL!$C$42, 7.9363, 7.9363) * CHOOSE(CONTROL!$C$21, $C$9, 100%, $E$9)</f>
        <v>7.9363000000000001</v>
      </c>
      <c r="N198" s="10">
        <f>CHOOSE(CONTROL!$C$42, 7.9522, 7.9522) * CHOOSE(CONTROL!$C$21, $C$9, 100%, $E$9)</f>
        <v>7.9522000000000004</v>
      </c>
      <c r="O198" s="10">
        <f>CHOOSE(CONTROL!$C$42, 8.1805, 8.1805) * CHOOSE(CONTROL!$C$21, $C$9, 100%, $E$9)</f>
        <v>8.1805000000000003</v>
      </c>
      <c r="P198" s="10">
        <f>CHOOSE(CONTROL!$C$42, 7.9776, 7.9776) * CHOOSE(CONTROL!$C$21, $C$9, 100%, $E$9)</f>
        <v>7.9775999999999998</v>
      </c>
      <c r="Q198" s="10">
        <f>CHOOSE(CONTROL!$C$42, 8.7758, 8.7758) * CHOOSE(CONTROL!$C$21, $C$9, 100%, $E$9)</f>
        <v>8.7758000000000003</v>
      </c>
      <c r="R198" s="10">
        <f>CHOOSE(CONTROL!$C$42, 9.3847, 9.3847) * CHOOSE(CONTROL!$C$21, $C$9, 100%, $E$9)</f>
        <v>9.3847000000000005</v>
      </c>
      <c r="S198" s="10">
        <f>CHOOSE(CONTROL!$C$42, 7.8366, 7.8366) * CHOOSE(CONTROL!$C$21, $C$9, 100%, $E$9)</f>
        <v>7.8365999999999998</v>
      </c>
      <c r="T19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98" s="38">
        <f>(1000*CHOOSE(CONTROL!$C$42, 695, 695)*CHOOSE(CONTROL!$C$42, 0.5599, 0.5599)*CHOOSE(CONTROL!$C$42, 30, 30))/1000000</f>
        <v>11.673914999999997</v>
      </c>
      <c r="V198" s="38">
        <f>(1000*CHOOSE(CONTROL!$C$42, 500, 500)*CHOOSE(CONTROL!$C$42, 0.275, 0.275)*CHOOSE(CONTROL!$C$42, 30, 30))/1000000</f>
        <v>4.125</v>
      </c>
      <c r="W198" s="38">
        <f>(1000*CHOOSE(CONTROL!$C$42, 0.1146, 0.1146)*CHOOSE(CONTROL!$C$42, 121.5, 121.5)*CHOOSE(CONTROL!$C$42, 30, 30))/1000000</f>
        <v>0.417717</v>
      </c>
      <c r="X198" s="38">
        <f>(30*0.1790888*245000/1000000)+(30*0.2374*100000/1000000)</f>
        <v>2.0285026799999999</v>
      </c>
      <c r="Y198" s="38">
        <f>(1000*600*CHOOSE(CONTROL!$C$42, 1.6945, 1.6945)*CHOOSE(CONTROL!$C$42, 30, 30))/1000000</f>
        <v>30.500999999999998</v>
      </c>
      <c r="Z198" s="38"/>
      <c r="AA198" s="10"/>
      <c r="AB198" s="39"/>
      <c r="AC198" s="33">
        <f>(B198*194.205+C198*267.466+D198*133.845+E198*53.484+F198*40+G198*185+H198*0+I198*100+J198*300)/(194.205+267.466+133.845+53.484+0+40+185+100+300)</f>
        <v>8.0813581999215067</v>
      </c>
      <c r="AD198" s="27">
        <f>(M198*'RAP TEMPLATE-GAS AVAILABILITY'!O197+N198*'RAP TEMPLATE-GAS AVAILABILITY'!P197+O198*'RAP TEMPLATE-GAS AVAILABILITY'!Q197+P198*'RAP TEMPLATE-GAS AVAILABILITY'!R197)/('RAP TEMPLATE-GAS AVAILABILITY'!O197+'RAP TEMPLATE-GAS AVAILABILITY'!P197+'RAP TEMPLATE-GAS AVAILABILITY'!Q197+'RAP TEMPLATE-GAS AVAILABILITY'!R197)</f>
        <v>8.0144194244604332</v>
      </c>
    </row>
    <row r="199" spans="1:30" ht="15">
      <c r="A199" s="16">
        <v>47300</v>
      </c>
      <c r="B199" s="10">
        <f>CHOOSE(CONTROL!$C$42, 7.9229, 7.9229) * CHOOSE(CONTROL!$C$21, $C$9, 100%, $E$9)</f>
        <v>7.9229000000000003</v>
      </c>
      <c r="C199" s="10">
        <f>CHOOSE(CONTROL!$C$42, 7.9309, 7.9309) * CHOOSE(CONTROL!$C$21, $C$9, 100%, $E$9)</f>
        <v>7.9309000000000003</v>
      </c>
      <c r="D199" s="10">
        <f>CHOOSE(CONTROL!$C$42, 8.0879, 8.0879) * CHOOSE(CONTROL!$C$21, $C$9, 100%, $E$9)</f>
        <v>8.0878999999999994</v>
      </c>
      <c r="E199" s="10">
        <f>CHOOSE(CONTROL!$C$42, 8.1192, 8.1192) * CHOOSE(CONTROL!$C$21, $C$9, 100%, $E$9)</f>
        <v>8.1191999999999993</v>
      </c>
      <c r="F199" s="10">
        <f>CHOOSE(CONTROL!$C$42, 7.8675, 7.8675)*CHOOSE(CONTROL!$C$21, $C$9, 100%, $E$9)</f>
        <v>7.8674999999999997</v>
      </c>
      <c r="G199" s="10">
        <f>CHOOSE(CONTROL!$C$42, 7.8838, 7.8838)*CHOOSE(CONTROL!$C$21, $C$9, 100%, $E$9)</f>
        <v>7.8837999999999999</v>
      </c>
      <c r="H199" s="10">
        <f>CHOOSE(CONTROL!$C$42, 8.1075, 8.1075) * CHOOSE(CONTROL!$C$21, $C$9, 100%, $E$9)</f>
        <v>8.1074999999999999</v>
      </c>
      <c r="I199" s="10">
        <f>CHOOSE(CONTROL!$C$42, 7.9017, 7.9017)* CHOOSE(CONTROL!$C$21, $C$9, 100%, $E$9)</f>
        <v>7.9016999999999999</v>
      </c>
      <c r="J199" s="10">
        <f>CHOOSE(CONTROL!$C$42, 7.8601, 7.8601)* CHOOSE(CONTROL!$C$21, $C$9, 100%, $E$9)</f>
        <v>7.8601000000000001</v>
      </c>
      <c r="K199" s="10">
        <f>CHOOSE(CONTROL!$C$42, 7.8153, 7.8153) * CHOOSE(CONTROL!$C$21, $C$9, 100%, $E$9)</f>
        <v>7.8152999999999997</v>
      </c>
      <c r="L199" s="10">
        <f>CHOOSE(CONTROL!$C$42, 8.6945, 8.6945) * CHOOSE(CONTROL!$C$21, $C$9, 100%, $E$9)</f>
        <v>8.6944999999999997</v>
      </c>
      <c r="M199" s="10">
        <f>CHOOSE(CONTROL!$C$42, 7.7835, 7.7835) * CHOOSE(CONTROL!$C$21, $C$9, 100%, $E$9)</f>
        <v>7.7835000000000001</v>
      </c>
      <c r="N199" s="10">
        <f>CHOOSE(CONTROL!$C$42, 7.7995, 7.7995) * CHOOSE(CONTROL!$C$21, $C$9, 100%, $E$9)</f>
        <v>7.7995000000000001</v>
      </c>
      <c r="O199" s="10">
        <f>CHOOSE(CONTROL!$C$42, 8.0274, 8.0274) * CHOOSE(CONTROL!$C$21, $C$9, 100%, $E$9)</f>
        <v>8.0274000000000001</v>
      </c>
      <c r="P199" s="10">
        <f>CHOOSE(CONTROL!$C$42, 7.8245, 7.8245) * CHOOSE(CONTROL!$C$21, $C$9, 100%, $E$9)</f>
        <v>7.8244999999999996</v>
      </c>
      <c r="Q199" s="10">
        <f>CHOOSE(CONTROL!$C$42, 8.6227, 8.6227) * CHOOSE(CONTROL!$C$21, $C$9, 100%, $E$9)</f>
        <v>8.6227</v>
      </c>
      <c r="R199" s="10">
        <f>CHOOSE(CONTROL!$C$42, 9.2313, 9.2313) * CHOOSE(CONTROL!$C$21, $C$9, 100%, $E$9)</f>
        <v>9.2312999999999992</v>
      </c>
      <c r="S199" s="10">
        <f>CHOOSE(CONTROL!$C$42, 7.6863, 7.6863) * CHOOSE(CONTROL!$C$21, $C$9, 100%, $E$9)</f>
        <v>7.6863000000000001</v>
      </c>
      <c r="T19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99" s="38">
        <f>(1000*CHOOSE(CONTROL!$C$42, 695, 695)*CHOOSE(CONTROL!$C$42, 0.5599, 0.5599)*CHOOSE(CONTROL!$C$42, 31, 31))/1000000</f>
        <v>12.063045499999998</v>
      </c>
      <c r="V199" s="38">
        <f>(1000*CHOOSE(CONTROL!$C$42, 500, 500)*CHOOSE(CONTROL!$C$42, 0.275, 0.275)*CHOOSE(CONTROL!$C$42, 31, 31))/1000000</f>
        <v>4.2625000000000002</v>
      </c>
      <c r="W199" s="38">
        <f>(1000*CHOOSE(CONTROL!$C$42, 0.1146, 0.1146)*CHOOSE(CONTROL!$C$42, 121.5, 121.5)*CHOOSE(CONTROL!$C$42, 31, 31))/1000000</f>
        <v>0.43164089999999994</v>
      </c>
      <c r="X199" s="38">
        <f>(31*0.1790888*245000/1000000)+(31*0.2374*100000/1000000)</f>
        <v>2.0961194359999999</v>
      </c>
      <c r="Y199" s="38">
        <f>(1000*600*CHOOSE(CONTROL!$C$42, 1.6945, 1.6945)*CHOOSE(CONTROL!$C$42, 31, 31))/1000000</f>
        <v>31.517699999999998</v>
      </c>
      <c r="Z199" s="38"/>
      <c r="AA199" s="10"/>
      <c r="AB199" s="39"/>
      <c r="AC199" s="33">
        <f>(B199*194.205+C199*267.466+D199*133.845+E199*53.484+F199*40+G199*185+H199*0+I199*100+J199*300)/(194.205+267.466+133.845+53.484+0+40+185+100+300)</f>
        <v>7.9262858416012554</v>
      </c>
      <c r="AD199" s="27">
        <f>(M199*'RAP TEMPLATE-GAS AVAILABILITY'!O198+N199*'RAP TEMPLATE-GAS AVAILABILITY'!P198+O199*'RAP TEMPLATE-GAS AVAILABILITY'!Q198+P199*'RAP TEMPLATE-GAS AVAILABILITY'!R198)/('RAP TEMPLATE-GAS AVAILABILITY'!O198+'RAP TEMPLATE-GAS AVAILABILITY'!P198+'RAP TEMPLATE-GAS AVAILABILITY'!Q198+'RAP TEMPLATE-GAS AVAILABILITY'!R198)</f>
        <v>7.8615151079136689</v>
      </c>
    </row>
    <row r="200" spans="1:30" ht="15">
      <c r="A200" s="16">
        <v>47331</v>
      </c>
      <c r="B200" s="10">
        <f>CHOOSE(CONTROL!$C$42, 7.5309, 7.5309) * CHOOSE(CONTROL!$C$21, $C$9, 100%, $E$9)</f>
        <v>7.5308999999999999</v>
      </c>
      <c r="C200" s="10">
        <f>CHOOSE(CONTROL!$C$42, 7.5389, 7.5389) * CHOOSE(CONTROL!$C$21, $C$9, 100%, $E$9)</f>
        <v>7.5388999999999999</v>
      </c>
      <c r="D200" s="10">
        <f>CHOOSE(CONTROL!$C$42, 7.6959, 7.6959) * CHOOSE(CONTROL!$C$21, $C$9, 100%, $E$9)</f>
        <v>7.6959</v>
      </c>
      <c r="E200" s="10">
        <f>CHOOSE(CONTROL!$C$42, 7.7271, 7.7271) * CHOOSE(CONTROL!$C$21, $C$9, 100%, $E$9)</f>
        <v>7.7271000000000001</v>
      </c>
      <c r="F200" s="10">
        <f>CHOOSE(CONTROL!$C$42, 7.4754, 7.4754)*CHOOSE(CONTROL!$C$21, $C$9, 100%, $E$9)</f>
        <v>7.4753999999999996</v>
      </c>
      <c r="G200" s="10">
        <f>CHOOSE(CONTROL!$C$42, 7.4917, 7.4917)*CHOOSE(CONTROL!$C$21, $C$9, 100%, $E$9)</f>
        <v>7.4916999999999998</v>
      </c>
      <c r="H200" s="10">
        <f>CHOOSE(CONTROL!$C$42, 7.7155, 7.7155) * CHOOSE(CONTROL!$C$21, $C$9, 100%, $E$9)</f>
        <v>7.7154999999999996</v>
      </c>
      <c r="I200" s="10">
        <f>CHOOSE(CONTROL!$C$42, 7.5096, 7.5096)* CHOOSE(CONTROL!$C$21, $C$9, 100%, $E$9)</f>
        <v>7.5095999999999998</v>
      </c>
      <c r="J200" s="10">
        <f>CHOOSE(CONTROL!$C$42, 7.468, 7.468)* CHOOSE(CONTROL!$C$21, $C$9, 100%, $E$9)</f>
        <v>7.468</v>
      </c>
      <c r="K200" s="10">
        <f>CHOOSE(CONTROL!$C$42, 7.4354, 7.4354) * CHOOSE(CONTROL!$C$21, $C$9, 100%, $E$9)</f>
        <v>7.4353999999999996</v>
      </c>
      <c r="L200" s="10">
        <f>CHOOSE(CONTROL!$C$42, 8.3025, 8.3025) * CHOOSE(CONTROL!$C$21, $C$9, 100%, $E$9)</f>
        <v>8.3025000000000002</v>
      </c>
      <c r="M200" s="10">
        <f>CHOOSE(CONTROL!$C$42, 7.3969, 7.3969) * CHOOSE(CONTROL!$C$21, $C$9, 100%, $E$9)</f>
        <v>7.3968999999999996</v>
      </c>
      <c r="N200" s="10">
        <f>CHOOSE(CONTROL!$C$42, 7.4129, 7.4129) * CHOOSE(CONTROL!$C$21, $C$9, 100%, $E$9)</f>
        <v>7.4128999999999996</v>
      </c>
      <c r="O200" s="10">
        <f>CHOOSE(CONTROL!$C$42, 7.6408, 7.6408) * CHOOSE(CONTROL!$C$21, $C$9, 100%, $E$9)</f>
        <v>7.6407999999999996</v>
      </c>
      <c r="P200" s="10">
        <f>CHOOSE(CONTROL!$C$42, 7.438, 7.438) * CHOOSE(CONTROL!$C$21, $C$9, 100%, $E$9)</f>
        <v>7.4379999999999997</v>
      </c>
      <c r="Q200" s="10">
        <f>CHOOSE(CONTROL!$C$42, 8.2361, 8.2361) * CHOOSE(CONTROL!$C$21, $C$9, 100%, $E$9)</f>
        <v>8.2361000000000004</v>
      </c>
      <c r="R200" s="10">
        <f>CHOOSE(CONTROL!$C$42, 8.8437, 8.8437) * CHOOSE(CONTROL!$C$21, $C$9, 100%, $E$9)</f>
        <v>8.8437000000000001</v>
      </c>
      <c r="S200" s="10">
        <f>CHOOSE(CONTROL!$C$42, 7.3067, 7.3067) * CHOOSE(CONTROL!$C$21, $C$9, 100%, $E$9)</f>
        <v>7.3067000000000002</v>
      </c>
      <c r="T20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00" s="38">
        <f>(1000*CHOOSE(CONTROL!$C$42, 695, 695)*CHOOSE(CONTROL!$C$42, 0.5599, 0.5599)*CHOOSE(CONTROL!$C$42, 31, 31))/1000000</f>
        <v>12.063045499999998</v>
      </c>
      <c r="V200" s="38">
        <f>(1000*CHOOSE(CONTROL!$C$42, 500, 500)*CHOOSE(CONTROL!$C$42, 0.275, 0.275)*CHOOSE(CONTROL!$C$42, 31, 31))/1000000</f>
        <v>4.2625000000000002</v>
      </c>
      <c r="W200" s="38">
        <f>(1000*CHOOSE(CONTROL!$C$42, 0.1146, 0.1146)*CHOOSE(CONTROL!$C$42, 121.5, 121.5)*CHOOSE(CONTROL!$C$42, 31, 31))/1000000</f>
        <v>0.43164089999999994</v>
      </c>
      <c r="X200" s="38">
        <f>(31*0.1790888*245000/1000000)+(31*0.2374*100000/1000000)</f>
        <v>2.0961194359999999</v>
      </c>
      <c r="Y200" s="38">
        <f>(1000*600*CHOOSE(CONTROL!$C$42, 1.6945, 1.6945)*CHOOSE(CONTROL!$C$42, 31, 31))/1000000</f>
        <v>31.517699999999998</v>
      </c>
      <c r="Z200" s="38"/>
      <c r="AA200" s="10"/>
      <c r="AB200" s="39"/>
      <c r="AC200" s="33">
        <f>(B200*194.205+C200*267.466+D200*133.845+E200*53.484+F200*40+G200*185+H200*0+I200*100+J200*300)/(194.205+267.466+133.845+53.484+0+40+185+100+300)</f>
        <v>7.5342325854003143</v>
      </c>
      <c r="AD200" s="27">
        <f>(M200*'RAP TEMPLATE-GAS AVAILABILITY'!O199+N200*'RAP TEMPLATE-GAS AVAILABILITY'!P199+O200*'RAP TEMPLATE-GAS AVAILABILITY'!Q199+P200*'RAP TEMPLATE-GAS AVAILABILITY'!R199)/('RAP TEMPLATE-GAS AVAILABILITY'!O199+'RAP TEMPLATE-GAS AVAILABILITY'!P199+'RAP TEMPLATE-GAS AVAILABILITY'!Q199+'RAP TEMPLATE-GAS AVAILABILITY'!R199)</f>
        <v>7.4749294964028774</v>
      </c>
    </row>
    <row r="201" spans="1:30" ht="15">
      <c r="A201" s="16">
        <v>47362</v>
      </c>
      <c r="B201" s="10">
        <f>CHOOSE(CONTROL!$C$42, 7.0519, 7.0519) * CHOOSE(CONTROL!$C$21, $C$9, 100%, $E$9)</f>
        <v>7.0518999999999998</v>
      </c>
      <c r="C201" s="10">
        <f>CHOOSE(CONTROL!$C$42, 7.0599, 7.0599) * CHOOSE(CONTROL!$C$21, $C$9, 100%, $E$9)</f>
        <v>7.0598999999999998</v>
      </c>
      <c r="D201" s="10">
        <f>CHOOSE(CONTROL!$C$42, 7.2169, 7.2169) * CHOOSE(CONTROL!$C$21, $C$9, 100%, $E$9)</f>
        <v>7.2168999999999999</v>
      </c>
      <c r="E201" s="10">
        <f>CHOOSE(CONTROL!$C$42, 7.2481, 7.2481) * CHOOSE(CONTROL!$C$21, $C$9, 100%, $E$9)</f>
        <v>7.2481</v>
      </c>
      <c r="F201" s="10">
        <f>CHOOSE(CONTROL!$C$42, 6.9962, 6.9962)*CHOOSE(CONTROL!$C$21, $C$9, 100%, $E$9)</f>
        <v>6.9962</v>
      </c>
      <c r="G201" s="10">
        <f>CHOOSE(CONTROL!$C$42, 7.0124, 7.0124)*CHOOSE(CONTROL!$C$21, $C$9, 100%, $E$9)</f>
        <v>7.0124000000000004</v>
      </c>
      <c r="H201" s="10">
        <f>CHOOSE(CONTROL!$C$42, 7.2365, 7.2365) * CHOOSE(CONTROL!$C$21, $C$9, 100%, $E$9)</f>
        <v>7.2365000000000004</v>
      </c>
      <c r="I201" s="10">
        <f>CHOOSE(CONTROL!$C$42, 7.0307, 7.0307)* CHOOSE(CONTROL!$C$21, $C$9, 100%, $E$9)</f>
        <v>7.0307000000000004</v>
      </c>
      <c r="J201" s="10">
        <f>CHOOSE(CONTROL!$C$42, 6.9888, 6.9888)* CHOOSE(CONTROL!$C$21, $C$9, 100%, $E$9)</f>
        <v>6.9888000000000003</v>
      </c>
      <c r="K201" s="10">
        <f>CHOOSE(CONTROL!$C$42, 6.9709, 6.9709) * CHOOSE(CONTROL!$C$21, $C$9, 100%, $E$9)</f>
        <v>6.9709000000000003</v>
      </c>
      <c r="L201" s="10">
        <f>CHOOSE(CONTROL!$C$42, 7.8235, 7.8235) * CHOOSE(CONTROL!$C$21, $C$9, 100%, $E$9)</f>
        <v>7.8235000000000001</v>
      </c>
      <c r="M201" s="10">
        <f>CHOOSE(CONTROL!$C$42, 6.9244, 6.9244) * CHOOSE(CONTROL!$C$21, $C$9, 100%, $E$9)</f>
        <v>6.9244000000000003</v>
      </c>
      <c r="N201" s="10">
        <f>CHOOSE(CONTROL!$C$42, 6.9403, 6.9403) * CHOOSE(CONTROL!$C$21, $C$9, 100%, $E$9)</f>
        <v>6.9402999999999997</v>
      </c>
      <c r="O201" s="10">
        <f>CHOOSE(CONTROL!$C$42, 7.1685, 7.1685) * CHOOSE(CONTROL!$C$21, $C$9, 100%, $E$9)</f>
        <v>7.1684999999999999</v>
      </c>
      <c r="P201" s="10">
        <f>CHOOSE(CONTROL!$C$42, 6.9657, 6.9657) * CHOOSE(CONTROL!$C$21, $C$9, 100%, $E$9)</f>
        <v>6.9657</v>
      </c>
      <c r="Q201" s="10">
        <f>CHOOSE(CONTROL!$C$42, 7.7638, 7.7638) * CHOOSE(CONTROL!$C$21, $C$9, 100%, $E$9)</f>
        <v>7.7637999999999998</v>
      </c>
      <c r="R201" s="10">
        <f>CHOOSE(CONTROL!$C$42, 8.3703, 8.3703) * CHOOSE(CONTROL!$C$21, $C$9, 100%, $E$9)</f>
        <v>8.3703000000000003</v>
      </c>
      <c r="S201" s="10">
        <f>CHOOSE(CONTROL!$C$42, 6.8429, 6.8429) * CHOOSE(CONTROL!$C$21, $C$9, 100%, $E$9)</f>
        <v>6.8429000000000002</v>
      </c>
      <c r="T20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01" s="38">
        <f>(1000*CHOOSE(CONTROL!$C$42, 695, 695)*CHOOSE(CONTROL!$C$42, 0.5599, 0.5599)*CHOOSE(CONTROL!$C$42, 30, 30))/1000000</f>
        <v>11.673914999999997</v>
      </c>
      <c r="V201" s="38">
        <f>(1000*CHOOSE(CONTROL!$C$42, 500, 500)*CHOOSE(CONTROL!$C$42, 0.275, 0.275)*CHOOSE(CONTROL!$C$42, 30, 30))/1000000</f>
        <v>4.125</v>
      </c>
      <c r="W201" s="38">
        <f>(1000*CHOOSE(CONTROL!$C$42, 0.1146, 0.1146)*CHOOSE(CONTROL!$C$42, 121.5, 121.5)*CHOOSE(CONTROL!$C$42, 30, 30))/1000000</f>
        <v>0.417717</v>
      </c>
      <c r="X201" s="38">
        <f>(30*0.1790888*245000/1000000)+(30*0.2374*100000/1000000)</f>
        <v>2.0285026799999999</v>
      </c>
      <c r="Y201" s="38">
        <f>(1000*600*CHOOSE(CONTROL!$C$42, 1.6945, 1.6945)*CHOOSE(CONTROL!$C$42, 30, 30))/1000000</f>
        <v>30.500999999999998</v>
      </c>
      <c r="Z201" s="38"/>
      <c r="AA201" s="10"/>
      <c r="AB201" s="39"/>
      <c r="AC201" s="33">
        <f>(B201*194.205+C201*267.466+D201*133.845+E201*53.484+F201*40+G201*185+H201*0+I201*100+J201*300)/(194.205+267.466+133.845+53.484+0+40+185+100+300)</f>
        <v>7.055143495918367</v>
      </c>
      <c r="AD201" s="27">
        <f>(M201*'RAP TEMPLATE-GAS AVAILABILITY'!O200+N201*'RAP TEMPLATE-GAS AVAILABILITY'!P200+O201*'RAP TEMPLATE-GAS AVAILABILITY'!Q200+P201*'RAP TEMPLATE-GAS AVAILABILITY'!R200)/('RAP TEMPLATE-GAS AVAILABILITY'!O200+'RAP TEMPLATE-GAS AVAILABILITY'!P200+'RAP TEMPLATE-GAS AVAILABILITY'!Q200+'RAP TEMPLATE-GAS AVAILABILITY'!R200)</f>
        <v>7.002491366906475</v>
      </c>
    </row>
    <row r="202" spans="1:30" ht="15">
      <c r="A202" s="16">
        <v>47392</v>
      </c>
      <c r="B202" s="10">
        <f>CHOOSE(CONTROL!$C$42, 6.9062, 6.9062) * CHOOSE(CONTROL!$C$21, $C$9, 100%, $E$9)</f>
        <v>6.9062000000000001</v>
      </c>
      <c r="C202" s="10">
        <f>CHOOSE(CONTROL!$C$42, 6.9116, 6.9116) * CHOOSE(CONTROL!$C$21, $C$9, 100%, $E$9)</f>
        <v>6.9116</v>
      </c>
      <c r="D202" s="10">
        <f>CHOOSE(CONTROL!$C$42, 7.0735, 7.0735) * CHOOSE(CONTROL!$C$21, $C$9, 100%, $E$9)</f>
        <v>7.0735000000000001</v>
      </c>
      <c r="E202" s="10">
        <f>CHOOSE(CONTROL!$C$42, 7.1024, 7.1024) * CHOOSE(CONTROL!$C$21, $C$9, 100%, $E$9)</f>
        <v>7.1024000000000003</v>
      </c>
      <c r="F202" s="10">
        <f>CHOOSE(CONTROL!$C$42, 6.8526, 6.8526)*CHOOSE(CONTROL!$C$21, $C$9, 100%, $E$9)</f>
        <v>6.8525999999999998</v>
      </c>
      <c r="G202" s="10">
        <f>CHOOSE(CONTROL!$C$42, 6.8684, 6.8684)*CHOOSE(CONTROL!$C$21, $C$9, 100%, $E$9)</f>
        <v>6.8684000000000003</v>
      </c>
      <c r="H202" s="10">
        <f>CHOOSE(CONTROL!$C$42, 7.0926, 7.0926) * CHOOSE(CONTROL!$C$21, $C$9, 100%, $E$9)</f>
        <v>7.0926</v>
      </c>
      <c r="I202" s="10">
        <f>CHOOSE(CONTROL!$C$42, 6.8867, 6.8867)* CHOOSE(CONTROL!$C$21, $C$9, 100%, $E$9)</f>
        <v>6.8867000000000003</v>
      </c>
      <c r="J202" s="10">
        <f>CHOOSE(CONTROL!$C$42, 6.8452, 6.8452)* CHOOSE(CONTROL!$C$21, $C$9, 100%, $E$9)</f>
        <v>6.8452000000000002</v>
      </c>
      <c r="K202" s="10">
        <f>CHOOSE(CONTROL!$C$42, 6.8321, 6.8321) * CHOOSE(CONTROL!$C$21, $C$9, 100%, $E$9)</f>
        <v>6.8320999999999996</v>
      </c>
      <c r="L202" s="10">
        <f>CHOOSE(CONTROL!$C$42, 7.6796, 7.6796) * CHOOSE(CONTROL!$C$21, $C$9, 100%, $E$9)</f>
        <v>7.6795999999999998</v>
      </c>
      <c r="M202" s="10">
        <f>CHOOSE(CONTROL!$C$42, 6.7828, 6.7828) * CHOOSE(CONTROL!$C$21, $C$9, 100%, $E$9)</f>
        <v>6.7827999999999999</v>
      </c>
      <c r="N202" s="10">
        <f>CHOOSE(CONTROL!$C$42, 6.7983, 6.7983) * CHOOSE(CONTROL!$C$21, $C$9, 100%, $E$9)</f>
        <v>6.7983000000000002</v>
      </c>
      <c r="O202" s="10">
        <f>CHOOSE(CONTROL!$C$42, 7.0266, 7.0266) * CHOOSE(CONTROL!$C$21, $C$9, 100%, $E$9)</f>
        <v>7.0266000000000002</v>
      </c>
      <c r="P202" s="10">
        <f>CHOOSE(CONTROL!$C$42, 6.8237, 6.8237) * CHOOSE(CONTROL!$C$21, $C$9, 100%, $E$9)</f>
        <v>6.8236999999999997</v>
      </c>
      <c r="Q202" s="10">
        <f>CHOOSE(CONTROL!$C$42, 7.6219, 7.6219) * CHOOSE(CONTROL!$C$21, $C$9, 100%, $E$9)</f>
        <v>7.6219000000000001</v>
      </c>
      <c r="R202" s="10">
        <f>CHOOSE(CONTROL!$C$42, 8.228, 8.228) * CHOOSE(CONTROL!$C$21, $C$9, 100%, $E$9)</f>
        <v>8.2279999999999998</v>
      </c>
      <c r="S202" s="10">
        <f>CHOOSE(CONTROL!$C$42, 6.7036, 6.7036) * CHOOSE(CONTROL!$C$21, $C$9, 100%, $E$9)</f>
        <v>6.7035999999999998</v>
      </c>
      <c r="T20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02" s="38">
        <f>(1000*CHOOSE(CONTROL!$C$42, 695, 695)*CHOOSE(CONTROL!$C$42, 0.5599, 0.5599)*CHOOSE(CONTROL!$C$42, 31, 31))/1000000</f>
        <v>12.063045499999998</v>
      </c>
      <c r="V202" s="38">
        <f>(1000*CHOOSE(CONTROL!$C$42, 500, 500)*CHOOSE(CONTROL!$C$42, 0.275, 0.275)*CHOOSE(CONTROL!$C$42, 31, 31))/1000000</f>
        <v>4.2625000000000002</v>
      </c>
      <c r="W202" s="38">
        <f>(1000*CHOOSE(CONTROL!$C$42, 0.1146, 0.1146)*CHOOSE(CONTROL!$C$42, 121.5, 121.5)*CHOOSE(CONTROL!$C$42, 31, 31))/1000000</f>
        <v>0.43164089999999994</v>
      </c>
      <c r="X202" s="38">
        <f>(31*0.1790888*245000/1000000)+(31*0.2374*100000/1000000)</f>
        <v>2.0961194359999999</v>
      </c>
      <c r="Y202" s="38">
        <f>(1000*600*CHOOSE(CONTROL!$C$42, 1.6945, 1.6945)*CHOOSE(CONTROL!$C$42, 31, 31))/1000000</f>
        <v>31.517699999999998</v>
      </c>
      <c r="Z202" s="38"/>
      <c r="AA202" s="10"/>
      <c r="AB202" s="39"/>
      <c r="AC202" s="33">
        <f>(B202*131.881+C202*277.167+D202*79.08+E202*125.872+F202*40+G202*185+H202*0+I202*100+J202*300)/(131.881+277.167+79.08+125.872+0+40+185+100+300)</f>
        <v>6.9142999775625498</v>
      </c>
      <c r="AD202" s="27">
        <f>(M202*'RAP TEMPLATE-GAS AVAILABILITY'!O201+N202*'RAP TEMPLATE-GAS AVAILABILITY'!P201+O202*'RAP TEMPLATE-GAS AVAILABILITY'!Q201+P202*'RAP TEMPLATE-GAS AVAILABILITY'!R201)/('RAP TEMPLATE-GAS AVAILABILITY'!O201+'RAP TEMPLATE-GAS AVAILABILITY'!P201+'RAP TEMPLATE-GAS AVAILABILITY'!Q201+'RAP TEMPLATE-GAS AVAILABILITY'!R201)</f>
        <v>6.8606575539568349</v>
      </c>
    </row>
    <row r="203" spans="1:30" ht="15">
      <c r="A203" s="16">
        <v>47423</v>
      </c>
      <c r="B203" s="10">
        <f>CHOOSE(CONTROL!$C$42, 7.0882, 7.0882) * CHOOSE(CONTROL!$C$21, $C$9, 100%, $E$9)</f>
        <v>7.0881999999999996</v>
      </c>
      <c r="C203" s="10">
        <f>CHOOSE(CONTROL!$C$42, 7.0933, 7.0933) * CHOOSE(CONTROL!$C$21, $C$9, 100%, $E$9)</f>
        <v>7.0933000000000002</v>
      </c>
      <c r="D203" s="10">
        <f>CHOOSE(CONTROL!$C$42, 7.118, 7.118) * CHOOSE(CONTROL!$C$21, $C$9, 100%, $E$9)</f>
        <v>7.1180000000000003</v>
      </c>
      <c r="E203" s="10">
        <f>CHOOSE(CONTROL!$C$42, 7.1518, 7.1518) * CHOOSE(CONTROL!$C$21, $C$9, 100%, $E$9)</f>
        <v>7.1517999999999997</v>
      </c>
      <c r="F203" s="10">
        <f>CHOOSE(CONTROL!$C$42, 7.0565, 7.0565)*CHOOSE(CONTROL!$C$21, $C$9, 100%, $E$9)</f>
        <v>7.0564999999999998</v>
      </c>
      <c r="G203" s="10">
        <f>CHOOSE(CONTROL!$C$42, 7.0725, 7.0725)*CHOOSE(CONTROL!$C$21, $C$9, 100%, $E$9)</f>
        <v>7.0724999999999998</v>
      </c>
      <c r="H203" s="10">
        <f>CHOOSE(CONTROL!$C$42, 7.1407, 7.1407) * CHOOSE(CONTROL!$C$21, $C$9, 100%, $E$9)</f>
        <v>7.1406999999999998</v>
      </c>
      <c r="I203" s="10">
        <f>CHOOSE(CONTROL!$C$42, 7.1032, 7.1032)* CHOOSE(CONTROL!$C$21, $C$9, 100%, $E$9)</f>
        <v>7.1032000000000002</v>
      </c>
      <c r="J203" s="10">
        <f>CHOOSE(CONTROL!$C$42, 7.0491, 7.0491)* CHOOSE(CONTROL!$C$21, $C$9, 100%, $E$9)</f>
        <v>7.0491000000000001</v>
      </c>
      <c r="K203" s="10">
        <f>CHOOSE(CONTROL!$C$42, 7.044, 7.044) * CHOOSE(CONTROL!$C$21, $C$9, 100%, $E$9)</f>
        <v>7.0439999999999996</v>
      </c>
      <c r="L203" s="10">
        <f>CHOOSE(CONTROL!$C$42, 7.7277, 7.7277) * CHOOSE(CONTROL!$C$21, $C$9, 100%, $E$9)</f>
        <v>7.7276999999999996</v>
      </c>
      <c r="M203" s="10">
        <f>CHOOSE(CONTROL!$C$42, 6.9838, 6.9838) * CHOOSE(CONTROL!$C$21, $C$9, 100%, $E$9)</f>
        <v>6.9837999999999996</v>
      </c>
      <c r="N203" s="10">
        <f>CHOOSE(CONTROL!$C$42, 6.9996, 6.9996) * CHOOSE(CONTROL!$C$21, $C$9, 100%, $E$9)</f>
        <v>6.9996</v>
      </c>
      <c r="O203" s="10">
        <f>CHOOSE(CONTROL!$C$42, 7.0741, 7.0741) * CHOOSE(CONTROL!$C$21, $C$9, 100%, $E$9)</f>
        <v>7.0740999999999996</v>
      </c>
      <c r="P203" s="10">
        <f>CHOOSE(CONTROL!$C$42, 7.0372, 7.0372) * CHOOSE(CONTROL!$C$21, $C$9, 100%, $E$9)</f>
        <v>7.0372000000000003</v>
      </c>
      <c r="Q203" s="10">
        <f>CHOOSE(CONTROL!$C$42, 7.6694, 7.6694) * CHOOSE(CONTROL!$C$21, $C$9, 100%, $E$9)</f>
        <v>7.6694000000000004</v>
      </c>
      <c r="R203" s="10">
        <f>CHOOSE(CONTROL!$C$42, 8.2755, 8.2755) * CHOOSE(CONTROL!$C$21, $C$9, 100%, $E$9)</f>
        <v>8.2754999999999992</v>
      </c>
      <c r="S203" s="10">
        <f>CHOOSE(CONTROL!$C$42, 6.8802, 6.8802) * CHOOSE(CONTROL!$C$21, $C$9, 100%, $E$9)</f>
        <v>6.8802000000000003</v>
      </c>
      <c r="T20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03" s="38">
        <f>(1000*CHOOSE(CONTROL!$C$42, 695, 695)*CHOOSE(CONTROL!$C$42, 0.5599, 0.5599)*CHOOSE(CONTROL!$C$42, 30, 30))/1000000</f>
        <v>11.673914999999997</v>
      </c>
      <c r="V203" s="38">
        <f>(1000*CHOOSE(CONTROL!$C$42, 500, 500)*CHOOSE(CONTROL!$C$42, 0.275, 0.275)*CHOOSE(CONTROL!$C$42, 30, 30))/1000000</f>
        <v>4.125</v>
      </c>
      <c r="W203" s="38">
        <f>(1000*CHOOSE(CONTROL!$C$42, 0.1146, 0.1146)*CHOOSE(CONTROL!$C$42, 121.5, 121.5)*CHOOSE(CONTROL!$C$42, 30, 30))/1000000</f>
        <v>0.417717</v>
      </c>
      <c r="X203" s="38">
        <f>(30*0.1790888*100000/1000000)+(30*0.2374*100000/1000000)</f>
        <v>1.2494664</v>
      </c>
      <c r="Y203" s="38">
        <f>(1000*600*CHOOSE(CONTROL!$C$42, 1.6945, 1.6945)*CHOOSE(CONTROL!$C$42, 30, 30))/1000000</f>
        <v>30.500999999999998</v>
      </c>
      <c r="Z203" s="38"/>
      <c r="AA203" s="10"/>
      <c r="AB203" s="39"/>
      <c r="AC203" s="33">
        <f>(B203*122.58+C203*297.941+D203*89.177+E203*40.302+F203*40+G203*160+H203*0+I203*100+J203*300)/(122.58+297.941+89.177+40.302+0+40+160+100+300)</f>
        <v>7.0818784181739121</v>
      </c>
      <c r="AD203" s="27">
        <f>(M203*'RAP TEMPLATE-GAS AVAILABILITY'!O202+N203*'RAP TEMPLATE-GAS AVAILABILITY'!P202+O203*'RAP TEMPLATE-GAS AVAILABILITY'!Q202+P203*'RAP TEMPLATE-GAS AVAILABILITY'!R202)/('RAP TEMPLATE-GAS AVAILABILITY'!O202+'RAP TEMPLATE-GAS AVAILABILITY'!P202+'RAP TEMPLATE-GAS AVAILABILITY'!Q202+'RAP TEMPLATE-GAS AVAILABILITY'!R202)</f>
        <v>7.0333201438848922</v>
      </c>
    </row>
    <row r="204" spans="1:30" ht="15">
      <c r="A204" s="16">
        <v>47453</v>
      </c>
      <c r="B204" s="10">
        <f>CHOOSE(CONTROL!$C$42, 7.5726, 7.5726) * CHOOSE(CONTROL!$C$21, $C$9, 100%, $E$9)</f>
        <v>7.5726000000000004</v>
      </c>
      <c r="C204" s="10">
        <f>CHOOSE(CONTROL!$C$42, 7.5777, 7.5777) * CHOOSE(CONTROL!$C$21, $C$9, 100%, $E$9)</f>
        <v>7.5777000000000001</v>
      </c>
      <c r="D204" s="10">
        <f>CHOOSE(CONTROL!$C$42, 7.6024, 7.6024) * CHOOSE(CONTROL!$C$21, $C$9, 100%, $E$9)</f>
        <v>7.6024000000000003</v>
      </c>
      <c r="E204" s="10">
        <f>CHOOSE(CONTROL!$C$42, 7.6362, 7.6362) * CHOOSE(CONTROL!$C$21, $C$9, 100%, $E$9)</f>
        <v>7.6361999999999997</v>
      </c>
      <c r="F204" s="10">
        <f>CHOOSE(CONTROL!$C$42, 7.5428, 7.5428)*CHOOSE(CONTROL!$C$21, $C$9, 100%, $E$9)</f>
        <v>7.5427999999999997</v>
      </c>
      <c r="G204" s="10">
        <f>CHOOSE(CONTROL!$C$42, 7.5593, 7.5593)*CHOOSE(CONTROL!$C$21, $C$9, 100%, $E$9)</f>
        <v>7.5593000000000004</v>
      </c>
      <c r="H204" s="10">
        <f>CHOOSE(CONTROL!$C$42, 7.625, 7.625) * CHOOSE(CONTROL!$C$21, $C$9, 100%, $E$9)</f>
        <v>7.625</v>
      </c>
      <c r="I204" s="10">
        <f>CHOOSE(CONTROL!$C$42, 7.5876, 7.5876)* CHOOSE(CONTROL!$C$21, $C$9, 100%, $E$9)</f>
        <v>7.5876000000000001</v>
      </c>
      <c r="J204" s="10">
        <f>CHOOSE(CONTROL!$C$42, 7.5354, 7.5354)* CHOOSE(CONTROL!$C$21, $C$9, 100%, $E$9)</f>
        <v>7.5354000000000001</v>
      </c>
      <c r="K204" s="10">
        <f>CHOOSE(CONTROL!$C$42, 7.5174, 7.5174) * CHOOSE(CONTROL!$C$21, $C$9, 100%, $E$9)</f>
        <v>7.5174000000000003</v>
      </c>
      <c r="L204" s="10">
        <f>CHOOSE(CONTROL!$C$42, 8.212, 8.212) * CHOOSE(CONTROL!$C$21, $C$9, 100%, $E$9)</f>
        <v>8.2119999999999997</v>
      </c>
      <c r="M204" s="10">
        <f>CHOOSE(CONTROL!$C$42, 7.4633, 7.4633) * CHOOSE(CONTROL!$C$21, $C$9, 100%, $E$9)</f>
        <v>7.4633000000000003</v>
      </c>
      <c r="N204" s="10">
        <f>CHOOSE(CONTROL!$C$42, 7.4796, 7.4796) * CHOOSE(CONTROL!$C$21, $C$9, 100%, $E$9)</f>
        <v>7.4795999999999996</v>
      </c>
      <c r="O204" s="10">
        <f>CHOOSE(CONTROL!$C$42, 7.5517, 7.5517) * CHOOSE(CONTROL!$C$21, $C$9, 100%, $E$9)</f>
        <v>7.5517000000000003</v>
      </c>
      <c r="P204" s="10">
        <f>CHOOSE(CONTROL!$C$42, 7.5148, 7.5148) * CHOOSE(CONTROL!$C$21, $C$9, 100%, $E$9)</f>
        <v>7.5148000000000001</v>
      </c>
      <c r="Q204" s="10">
        <f>CHOOSE(CONTROL!$C$42, 8.147, 8.147) * CHOOSE(CONTROL!$C$21, $C$9, 100%, $E$9)</f>
        <v>8.1470000000000002</v>
      </c>
      <c r="R204" s="10">
        <f>CHOOSE(CONTROL!$C$42, 8.7544, 8.7544) * CHOOSE(CONTROL!$C$21, $C$9, 100%, $E$9)</f>
        <v>8.7544000000000004</v>
      </c>
      <c r="S204" s="10">
        <f>CHOOSE(CONTROL!$C$42, 7.3492, 7.3492) * CHOOSE(CONTROL!$C$21, $C$9, 100%, $E$9)</f>
        <v>7.3491999999999997</v>
      </c>
      <c r="T20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04" s="38">
        <f>(1000*CHOOSE(CONTROL!$C$42, 695, 695)*CHOOSE(CONTROL!$C$42, 0.5599, 0.5599)*CHOOSE(CONTROL!$C$42, 31, 31))/1000000</f>
        <v>12.063045499999998</v>
      </c>
      <c r="V204" s="38">
        <f>(1000*CHOOSE(CONTROL!$C$42, 500, 500)*CHOOSE(CONTROL!$C$42, 0.275, 0.275)*CHOOSE(CONTROL!$C$42, 31, 31))/1000000</f>
        <v>4.2625000000000002</v>
      </c>
      <c r="W204" s="38">
        <f>(1000*CHOOSE(CONTROL!$C$42, 0.1146, 0.1146)*CHOOSE(CONTROL!$C$42, 121.5, 121.5)*CHOOSE(CONTROL!$C$42, 31, 31))/1000000</f>
        <v>0.43164089999999994</v>
      </c>
      <c r="X204" s="38">
        <f>(31*0.1790888*100000/1000000)+(31*0.2374*100000/1000000)</f>
        <v>1.2911152800000001</v>
      </c>
      <c r="Y204" s="38">
        <f>(1000*600*CHOOSE(CONTROL!$C$42, 1.6945, 1.6945)*CHOOSE(CONTROL!$C$42, 31, 31))/1000000</f>
        <v>31.517699999999998</v>
      </c>
      <c r="Z204" s="38"/>
      <c r="AA204" s="10"/>
      <c r="AB204" s="39"/>
      <c r="AC204" s="33">
        <f>(B204*122.58+C204*297.941+D204*89.177+E204*40.302+F204*40+G204*160+H204*0+I204*100+J204*300)/(122.58+297.941+89.177+40.302+0+40+160+100+300)</f>
        <v>7.5671740703478267</v>
      </c>
      <c r="AD204" s="27">
        <f>(M204*'RAP TEMPLATE-GAS AVAILABILITY'!O203+N204*'RAP TEMPLATE-GAS AVAILABILITY'!P203+O204*'RAP TEMPLATE-GAS AVAILABILITY'!Q203+P204*'RAP TEMPLATE-GAS AVAILABILITY'!R203)/('RAP TEMPLATE-GAS AVAILABILITY'!O203+'RAP TEMPLATE-GAS AVAILABILITY'!P203+'RAP TEMPLATE-GAS AVAILABILITY'!Q203+'RAP TEMPLATE-GAS AVAILABILITY'!R203)</f>
        <v>7.5117143884892084</v>
      </c>
    </row>
    <row r="205" spans="1:30" ht="15">
      <c r="A205" s="16">
        <v>47484</v>
      </c>
      <c r="B205" s="10">
        <f>CHOOSE(CONTROL!$C$42, 8.2154, 8.2154) * CHOOSE(CONTROL!$C$21, $C$9, 100%, $E$9)</f>
        <v>8.2154000000000007</v>
      </c>
      <c r="C205" s="10">
        <f>CHOOSE(CONTROL!$C$42, 8.2205, 8.2205) * CHOOSE(CONTROL!$C$21, $C$9, 100%, $E$9)</f>
        <v>8.2204999999999995</v>
      </c>
      <c r="D205" s="10">
        <f>CHOOSE(CONTROL!$C$42, 8.2529, 8.2529) * CHOOSE(CONTROL!$C$21, $C$9, 100%, $E$9)</f>
        <v>8.2529000000000003</v>
      </c>
      <c r="E205" s="10">
        <f>CHOOSE(CONTROL!$C$42, 8.2867, 8.2867) * CHOOSE(CONTROL!$C$21, $C$9, 100%, $E$9)</f>
        <v>8.2866999999999997</v>
      </c>
      <c r="F205" s="10">
        <f>CHOOSE(CONTROL!$C$42, 8.1996, 8.1996)*CHOOSE(CONTROL!$C$21, $C$9, 100%, $E$9)</f>
        <v>8.1996000000000002</v>
      </c>
      <c r="G205" s="10">
        <f>CHOOSE(CONTROL!$C$42, 8.2176, 8.2176)*CHOOSE(CONTROL!$C$21, $C$9, 100%, $E$9)</f>
        <v>8.2175999999999991</v>
      </c>
      <c r="H205" s="10">
        <f>CHOOSE(CONTROL!$C$42, 8.2756, 8.2756) * CHOOSE(CONTROL!$C$21, $C$9, 100%, $E$9)</f>
        <v>8.2756000000000007</v>
      </c>
      <c r="I205" s="10">
        <f>CHOOSE(CONTROL!$C$42, 8.2288, 8.2288)* CHOOSE(CONTROL!$C$21, $C$9, 100%, $E$9)</f>
        <v>8.2287999999999997</v>
      </c>
      <c r="J205" s="10">
        <f>CHOOSE(CONTROL!$C$42, 8.1922, 8.1922)* CHOOSE(CONTROL!$C$21, $C$9, 100%, $E$9)</f>
        <v>8.1921999999999997</v>
      </c>
      <c r="K205" s="10">
        <f>CHOOSE(CONTROL!$C$42, 8.1526, 8.1526) * CHOOSE(CONTROL!$C$21, $C$9, 100%, $E$9)</f>
        <v>8.1525999999999996</v>
      </c>
      <c r="L205" s="10">
        <f>CHOOSE(CONTROL!$C$42, 8.8626, 8.8626) * CHOOSE(CONTROL!$C$21, $C$9, 100%, $E$9)</f>
        <v>8.8626000000000005</v>
      </c>
      <c r="M205" s="10">
        <f>CHOOSE(CONTROL!$C$42, 8.1109, 8.1109) * CHOOSE(CONTROL!$C$21, $C$9, 100%, $E$9)</f>
        <v>8.1109000000000009</v>
      </c>
      <c r="N205" s="10">
        <f>CHOOSE(CONTROL!$C$42, 8.1287, 8.1287) * CHOOSE(CONTROL!$C$21, $C$9, 100%, $E$9)</f>
        <v>8.1287000000000003</v>
      </c>
      <c r="O205" s="10">
        <f>CHOOSE(CONTROL!$C$42, 8.1932, 8.1932) * CHOOSE(CONTROL!$C$21, $C$9, 100%, $E$9)</f>
        <v>8.1931999999999992</v>
      </c>
      <c r="P205" s="10">
        <f>CHOOSE(CONTROL!$C$42, 8.1471, 8.1471) * CHOOSE(CONTROL!$C$21, $C$9, 100%, $E$9)</f>
        <v>8.1471</v>
      </c>
      <c r="Q205" s="10">
        <f>CHOOSE(CONTROL!$C$42, 8.7885, 8.7885) * CHOOSE(CONTROL!$C$21, $C$9, 100%, $E$9)</f>
        <v>8.7885000000000009</v>
      </c>
      <c r="R205" s="10">
        <f>CHOOSE(CONTROL!$C$42, 9.3975, 9.3975) * CHOOSE(CONTROL!$C$21, $C$9, 100%, $E$9)</f>
        <v>9.3975000000000009</v>
      </c>
      <c r="S205" s="10">
        <f>CHOOSE(CONTROL!$C$42, 7.9716, 7.9716) * CHOOSE(CONTROL!$C$21, $C$9, 100%, $E$9)</f>
        <v>7.9715999999999996</v>
      </c>
      <c r="T20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05" s="38">
        <f>(1000*CHOOSE(CONTROL!$C$42, 695, 695)*CHOOSE(CONTROL!$C$42, 0.5599, 0.5599)*CHOOSE(CONTROL!$C$42, 31, 31))/1000000</f>
        <v>12.063045499999998</v>
      </c>
      <c r="V205" s="38">
        <f>(1000*CHOOSE(CONTROL!$C$42, 500, 500)*CHOOSE(CONTROL!$C$42, 0.275, 0.275)*CHOOSE(CONTROL!$C$42, 31, 31))/1000000</f>
        <v>4.2625000000000002</v>
      </c>
      <c r="W205" s="38">
        <f>(1000*CHOOSE(CONTROL!$C$42, 0.1146, 0.1146)*CHOOSE(CONTROL!$C$42, 121.5, 121.5)*CHOOSE(CONTROL!$C$42, 31, 31))/1000000</f>
        <v>0.43164089999999994</v>
      </c>
      <c r="X205" s="38">
        <f>(31*0.1790888*100000/1000000)+(31*0.2374*100000/1000000)</f>
        <v>1.2911152800000001</v>
      </c>
      <c r="Y205" s="38">
        <f>(1000*600*CHOOSE(CONTROL!$C$42, 1.6846, 1.6846)*CHOOSE(CONTROL!$C$42, 31, 31))/1000000</f>
        <v>31.333560000000002</v>
      </c>
      <c r="Z205" s="38"/>
      <c r="AA205" s="10"/>
      <c r="AB205" s="39"/>
      <c r="AC205" s="33">
        <f>(B205*122.58+C205*297.941+D205*89.177+E205*40.302+F205*40+G205*160+H205*0+I205*100+J205*300)/(122.58+297.941+89.177+40.302+0+40+160+100+300)</f>
        <v>8.2169975384347822</v>
      </c>
      <c r="AD205" s="27">
        <f>(M205*'RAP TEMPLATE-GAS AVAILABILITY'!O204+N205*'RAP TEMPLATE-GAS AVAILABILITY'!P204+O205*'RAP TEMPLATE-GAS AVAILABILITY'!Q204+P205*'RAP TEMPLATE-GAS AVAILABILITY'!R204)/('RAP TEMPLATE-GAS AVAILABILITY'!O204+'RAP TEMPLATE-GAS AVAILABILITY'!P204+'RAP TEMPLATE-GAS AVAILABILITY'!Q204+'RAP TEMPLATE-GAS AVAILABILITY'!R204)</f>
        <v>8.1544345323741005</v>
      </c>
    </row>
    <row r="206" spans="1:30" ht="15">
      <c r="A206" s="16">
        <v>47515</v>
      </c>
      <c r="B206" s="10">
        <f>CHOOSE(CONTROL!$C$42, 8.3619, 8.3619) * CHOOSE(CONTROL!$C$21, $C$9, 100%, $E$9)</f>
        <v>8.3619000000000003</v>
      </c>
      <c r="C206" s="10">
        <f>CHOOSE(CONTROL!$C$42, 8.367, 8.367) * CHOOSE(CONTROL!$C$21, $C$9, 100%, $E$9)</f>
        <v>8.3670000000000009</v>
      </c>
      <c r="D206" s="10">
        <f>CHOOSE(CONTROL!$C$42, 8.3995, 8.3995) * CHOOSE(CONTROL!$C$21, $C$9, 100%, $E$9)</f>
        <v>8.3994999999999997</v>
      </c>
      <c r="E206" s="10">
        <f>CHOOSE(CONTROL!$C$42, 8.4333, 8.4333) * CHOOSE(CONTROL!$C$21, $C$9, 100%, $E$9)</f>
        <v>8.4332999999999991</v>
      </c>
      <c r="F206" s="10">
        <f>CHOOSE(CONTROL!$C$42, 8.3457, 8.3457)*CHOOSE(CONTROL!$C$21, $C$9, 100%, $E$9)</f>
        <v>8.3457000000000008</v>
      </c>
      <c r="G206" s="10">
        <f>CHOOSE(CONTROL!$C$42, 8.3636, 8.3636)*CHOOSE(CONTROL!$C$21, $C$9, 100%, $E$9)</f>
        <v>8.3635999999999999</v>
      </c>
      <c r="H206" s="10">
        <f>CHOOSE(CONTROL!$C$42, 8.4221, 8.4221) * CHOOSE(CONTROL!$C$21, $C$9, 100%, $E$9)</f>
        <v>8.4221000000000004</v>
      </c>
      <c r="I206" s="10">
        <f>CHOOSE(CONTROL!$C$42, 8.3754, 8.3754)* CHOOSE(CONTROL!$C$21, $C$9, 100%, $E$9)</f>
        <v>8.3754000000000008</v>
      </c>
      <c r="J206" s="10">
        <f>CHOOSE(CONTROL!$C$42, 8.3383, 8.3383)* CHOOSE(CONTROL!$C$21, $C$9, 100%, $E$9)</f>
        <v>8.3383000000000003</v>
      </c>
      <c r="K206" s="10">
        <f>CHOOSE(CONTROL!$C$42, 8.2936, 8.2936) * CHOOSE(CONTROL!$C$21, $C$9, 100%, $E$9)</f>
        <v>8.2935999999999996</v>
      </c>
      <c r="L206" s="10">
        <f>CHOOSE(CONTROL!$C$42, 9.0091, 9.0091) * CHOOSE(CONTROL!$C$21, $C$9, 100%, $E$9)</f>
        <v>9.0091000000000001</v>
      </c>
      <c r="M206" s="10">
        <f>CHOOSE(CONTROL!$C$42, 8.255, 8.255) * CHOOSE(CONTROL!$C$21, $C$9, 100%, $E$9)</f>
        <v>8.2550000000000008</v>
      </c>
      <c r="N206" s="10">
        <f>CHOOSE(CONTROL!$C$42, 8.2726, 8.2726) * CHOOSE(CONTROL!$C$21, $C$9, 100%, $E$9)</f>
        <v>8.2726000000000006</v>
      </c>
      <c r="O206" s="10">
        <f>CHOOSE(CONTROL!$C$42, 8.3377, 8.3377) * CHOOSE(CONTROL!$C$21, $C$9, 100%, $E$9)</f>
        <v>8.3376999999999999</v>
      </c>
      <c r="P206" s="10">
        <f>CHOOSE(CONTROL!$C$42, 8.2916, 8.2916) * CHOOSE(CONTROL!$C$21, $C$9, 100%, $E$9)</f>
        <v>8.2916000000000007</v>
      </c>
      <c r="Q206" s="10">
        <f>CHOOSE(CONTROL!$C$42, 8.933, 8.933) * CHOOSE(CONTROL!$C$21, $C$9, 100%, $E$9)</f>
        <v>8.9329999999999998</v>
      </c>
      <c r="R206" s="10">
        <f>CHOOSE(CONTROL!$C$42, 9.5423, 9.5423) * CHOOSE(CONTROL!$C$21, $C$9, 100%, $E$9)</f>
        <v>9.5422999999999991</v>
      </c>
      <c r="S206" s="10">
        <f>CHOOSE(CONTROL!$C$42, 8.1135, 8.1135) * CHOOSE(CONTROL!$C$21, $C$9, 100%, $E$9)</f>
        <v>8.1135000000000002</v>
      </c>
      <c r="T20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06" s="38">
        <f>(1000*CHOOSE(CONTROL!$C$42, 695, 695)*CHOOSE(CONTROL!$C$42, 0.5599, 0.5599)*CHOOSE(CONTROL!$C$42, 28, 28))/1000000</f>
        <v>10.895653999999999</v>
      </c>
      <c r="V206" s="38">
        <f>(1000*CHOOSE(CONTROL!$C$42, 500, 500)*CHOOSE(CONTROL!$C$42, 0.275, 0.275)*CHOOSE(CONTROL!$C$42, 28, 28))/1000000</f>
        <v>3.85</v>
      </c>
      <c r="W206" s="38">
        <f>(1000*CHOOSE(CONTROL!$C$42, 0.1146, 0.1146)*CHOOSE(CONTROL!$C$42, 121.5, 121.5)*CHOOSE(CONTROL!$C$42, 28, 28))/1000000</f>
        <v>0.38986920000000003</v>
      </c>
      <c r="X206" s="38">
        <f>(28*0.1790888*100000/1000000)+(28*0.2374*100000/1000000)</f>
        <v>1.16616864</v>
      </c>
      <c r="Y206" s="38">
        <f>(1000*600*CHOOSE(CONTROL!$C$42, 1.6846, 1.6846)*CHOOSE(CONTROL!$C$42, 28, 28))/1000000</f>
        <v>28.301280000000002</v>
      </c>
      <c r="Z206" s="38"/>
      <c r="AA206" s="10"/>
      <c r="AB206" s="39"/>
      <c r="AC206" s="33">
        <f>(B206*122.58+C206*297.941+D206*89.177+E206*40.302+F206*40+G206*160+H206*0+I206*100+J206*300)/(122.58+297.941+89.177+40.302+0+40+160+100+300)</f>
        <v>8.3633296670434802</v>
      </c>
      <c r="AD206" s="27">
        <f>(M206*'RAP TEMPLATE-GAS AVAILABILITY'!O205+N206*'RAP TEMPLATE-GAS AVAILABILITY'!P205+O206*'RAP TEMPLATE-GAS AVAILABILITY'!Q205+P206*'RAP TEMPLATE-GAS AVAILABILITY'!R205)/('RAP TEMPLATE-GAS AVAILABILITY'!O205+'RAP TEMPLATE-GAS AVAILABILITY'!P205+'RAP TEMPLATE-GAS AVAILABILITY'!Q205+'RAP TEMPLATE-GAS AVAILABILITY'!R205)</f>
        <v>8.298761870503597</v>
      </c>
    </row>
    <row r="207" spans="1:30" ht="15">
      <c r="A207" s="16">
        <v>47543</v>
      </c>
      <c r="B207" s="10">
        <f>CHOOSE(CONTROL!$C$42, 8.1241, 8.1241) * CHOOSE(CONTROL!$C$21, $C$9, 100%, $E$9)</f>
        <v>8.1241000000000003</v>
      </c>
      <c r="C207" s="10">
        <f>CHOOSE(CONTROL!$C$42, 8.1292, 8.1292) * CHOOSE(CONTROL!$C$21, $C$9, 100%, $E$9)</f>
        <v>8.1292000000000009</v>
      </c>
      <c r="D207" s="10">
        <f>CHOOSE(CONTROL!$C$42, 8.1616, 8.1616) * CHOOSE(CONTROL!$C$21, $C$9, 100%, $E$9)</f>
        <v>8.1616</v>
      </c>
      <c r="E207" s="10">
        <f>CHOOSE(CONTROL!$C$42, 8.1954, 8.1954) * CHOOSE(CONTROL!$C$21, $C$9, 100%, $E$9)</f>
        <v>8.1953999999999994</v>
      </c>
      <c r="F207" s="10">
        <f>CHOOSE(CONTROL!$C$42, 8.1063, 8.1063)*CHOOSE(CONTROL!$C$21, $C$9, 100%, $E$9)</f>
        <v>8.1062999999999992</v>
      </c>
      <c r="G207" s="10">
        <f>CHOOSE(CONTROL!$C$42, 8.1239, 8.1239)*CHOOSE(CONTROL!$C$21, $C$9, 100%, $E$9)</f>
        <v>8.1239000000000008</v>
      </c>
      <c r="H207" s="10">
        <f>CHOOSE(CONTROL!$C$42, 8.1843, 8.1843) * CHOOSE(CONTROL!$C$21, $C$9, 100%, $E$9)</f>
        <v>8.1843000000000004</v>
      </c>
      <c r="I207" s="10">
        <f>CHOOSE(CONTROL!$C$42, 8.1375, 8.1375)* CHOOSE(CONTROL!$C$21, $C$9, 100%, $E$9)</f>
        <v>8.1374999999999993</v>
      </c>
      <c r="J207" s="10">
        <f>CHOOSE(CONTROL!$C$42, 8.0989, 8.0989)* CHOOSE(CONTROL!$C$21, $C$9, 100%, $E$9)</f>
        <v>8.0989000000000004</v>
      </c>
      <c r="K207" s="10">
        <f>CHOOSE(CONTROL!$C$42, 8.06, 8.06) * CHOOSE(CONTROL!$C$21, $C$9, 100%, $E$9)</f>
        <v>8.06</v>
      </c>
      <c r="L207" s="10">
        <f>CHOOSE(CONTROL!$C$42, 8.7713, 8.7713) * CHOOSE(CONTROL!$C$21, $C$9, 100%, $E$9)</f>
        <v>8.7713000000000001</v>
      </c>
      <c r="M207" s="10">
        <f>CHOOSE(CONTROL!$C$42, 8.019, 8.019) * CHOOSE(CONTROL!$C$21, $C$9, 100%, $E$9)</f>
        <v>8.0190000000000001</v>
      </c>
      <c r="N207" s="10">
        <f>CHOOSE(CONTROL!$C$42, 8.0363, 8.0363) * CHOOSE(CONTROL!$C$21, $C$9, 100%, $E$9)</f>
        <v>8.0363000000000007</v>
      </c>
      <c r="O207" s="10">
        <f>CHOOSE(CONTROL!$C$42, 8.1031, 8.1031) * CHOOSE(CONTROL!$C$21, $C$9, 100%, $E$9)</f>
        <v>8.1030999999999995</v>
      </c>
      <c r="P207" s="10">
        <f>CHOOSE(CONTROL!$C$42, 8.0571, 8.0571) * CHOOSE(CONTROL!$C$21, $C$9, 100%, $E$9)</f>
        <v>8.0571000000000002</v>
      </c>
      <c r="Q207" s="10">
        <f>CHOOSE(CONTROL!$C$42, 8.6984, 8.6984) * CHOOSE(CONTROL!$C$21, $C$9, 100%, $E$9)</f>
        <v>8.6983999999999995</v>
      </c>
      <c r="R207" s="10">
        <f>CHOOSE(CONTROL!$C$42, 9.3072, 9.3072) * CHOOSE(CONTROL!$C$21, $C$9, 100%, $E$9)</f>
        <v>9.3071999999999999</v>
      </c>
      <c r="S207" s="10">
        <f>CHOOSE(CONTROL!$C$42, 7.8832, 7.8832) * CHOOSE(CONTROL!$C$21, $C$9, 100%, $E$9)</f>
        <v>7.8832000000000004</v>
      </c>
      <c r="T20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07" s="38">
        <f>(1000*CHOOSE(CONTROL!$C$42, 695, 695)*CHOOSE(CONTROL!$C$42, 0.5599, 0.5599)*CHOOSE(CONTROL!$C$42, 31, 31))/1000000</f>
        <v>12.063045499999998</v>
      </c>
      <c r="V207" s="38">
        <f>(1000*CHOOSE(CONTROL!$C$42, 500, 500)*CHOOSE(CONTROL!$C$42, 0.275, 0.275)*CHOOSE(CONTROL!$C$42, 31, 31))/1000000</f>
        <v>4.2625000000000002</v>
      </c>
      <c r="W207" s="38">
        <f>(1000*CHOOSE(CONTROL!$C$42, 0.1146, 0.1146)*CHOOSE(CONTROL!$C$42, 121.5, 121.5)*CHOOSE(CONTROL!$C$42, 31, 31))/1000000</f>
        <v>0.43164089999999994</v>
      </c>
      <c r="X207" s="38">
        <f>(31*0.1790888*100000/1000000)+(31*0.2374*100000/1000000)</f>
        <v>1.2911152800000001</v>
      </c>
      <c r="Y207" s="38">
        <f>(1000*600*CHOOSE(CONTROL!$C$42, 1.6846, 1.6846)*CHOOSE(CONTROL!$C$42, 31, 31))/1000000</f>
        <v>31.333560000000002</v>
      </c>
      <c r="Z207" s="38"/>
      <c r="AA207" s="10"/>
      <c r="AB207" s="39"/>
      <c r="AC207" s="33">
        <f>(B207*122.58+C207*297.941+D207*89.177+E207*40.302+F207*40+G207*160+H207*0+I207*100+J207*300)/(122.58+297.941+89.177+40.302+0+40+160+100+300)</f>
        <v>8.1247723210434781</v>
      </c>
      <c r="AD207" s="27">
        <f>(M207*'RAP TEMPLATE-GAS AVAILABILITY'!O206+N207*'RAP TEMPLATE-GAS AVAILABILITY'!P206+O207*'RAP TEMPLATE-GAS AVAILABILITY'!Q206+P207*'RAP TEMPLATE-GAS AVAILABILITY'!R206)/('RAP TEMPLATE-GAS AVAILABILITY'!O206+'RAP TEMPLATE-GAS AVAILABILITY'!P206+'RAP TEMPLATE-GAS AVAILABILITY'!Q206+'RAP TEMPLATE-GAS AVAILABILITY'!R206)</f>
        <v>8.063594964028777</v>
      </c>
    </row>
    <row r="208" spans="1:30" ht="15">
      <c r="A208" s="16">
        <v>47574</v>
      </c>
      <c r="B208" s="10">
        <f>CHOOSE(CONTROL!$C$42, 8.1005, 8.1005) * CHOOSE(CONTROL!$C$21, $C$9, 100%, $E$9)</f>
        <v>8.1005000000000003</v>
      </c>
      <c r="C208" s="10">
        <f>CHOOSE(CONTROL!$C$42, 8.105, 8.105) * CHOOSE(CONTROL!$C$21, $C$9, 100%, $E$9)</f>
        <v>8.1050000000000004</v>
      </c>
      <c r="D208" s="10">
        <f>CHOOSE(CONTROL!$C$42, 8.2651, 8.2651) * CHOOSE(CONTROL!$C$21, $C$9, 100%, $E$9)</f>
        <v>8.2651000000000003</v>
      </c>
      <c r="E208" s="10">
        <f>CHOOSE(CONTROL!$C$42, 8.297, 8.297) * CHOOSE(CONTROL!$C$21, $C$9, 100%, $E$9)</f>
        <v>8.2970000000000006</v>
      </c>
      <c r="F208" s="10">
        <f>CHOOSE(CONTROL!$C$42, 8.0466, 8.0466)*CHOOSE(CONTROL!$C$21, $C$9, 100%, $E$9)</f>
        <v>8.0465999999999998</v>
      </c>
      <c r="G208" s="10">
        <f>CHOOSE(CONTROL!$C$42, 8.0624, 8.0624)*CHOOSE(CONTROL!$C$21, $C$9, 100%, $E$9)</f>
        <v>8.0624000000000002</v>
      </c>
      <c r="H208" s="10">
        <f>CHOOSE(CONTROL!$C$42, 8.2864, 8.2864) * CHOOSE(CONTROL!$C$21, $C$9, 100%, $E$9)</f>
        <v>8.2864000000000004</v>
      </c>
      <c r="I208" s="10">
        <f>CHOOSE(CONTROL!$C$42, 8.0806, 8.0806)* CHOOSE(CONTROL!$C$21, $C$9, 100%, $E$9)</f>
        <v>8.0806000000000004</v>
      </c>
      <c r="J208" s="10">
        <f>CHOOSE(CONTROL!$C$42, 8.0392, 8.0392)* CHOOSE(CONTROL!$C$21, $C$9, 100%, $E$9)</f>
        <v>8.0391999999999992</v>
      </c>
      <c r="K208" s="10">
        <f>CHOOSE(CONTROL!$C$42, 7.9889, 7.9889) * CHOOSE(CONTROL!$C$21, $C$9, 100%, $E$9)</f>
        <v>7.9889000000000001</v>
      </c>
      <c r="L208" s="10">
        <f>CHOOSE(CONTROL!$C$42, 8.8734, 8.8734) * CHOOSE(CONTROL!$C$21, $C$9, 100%, $E$9)</f>
        <v>8.8734000000000002</v>
      </c>
      <c r="M208" s="10">
        <f>CHOOSE(CONTROL!$C$42, 7.96, 7.96) * CHOOSE(CONTROL!$C$21, $C$9, 100%, $E$9)</f>
        <v>7.96</v>
      </c>
      <c r="N208" s="10">
        <f>CHOOSE(CONTROL!$C$42, 7.9756, 7.9756) * CHOOSE(CONTROL!$C$21, $C$9, 100%, $E$9)</f>
        <v>7.9756</v>
      </c>
      <c r="O208" s="10">
        <f>CHOOSE(CONTROL!$C$42, 8.2038, 8.2038) * CHOOSE(CONTROL!$C$21, $C$9, 100%, $E$9)</f>
        <v>8.2037999999999993</v>
      </c>
      <c r="P208" s="10">
        <f>CHOOSE(CONTROL!$C$42, 8.001, 8.001) * CHOOSE(CONTROL!$C$21, $C$9, 100%, $E$9)</f>
        <v>8.0009999999999994</v>
      </c>
      <c r="Q208" s="10">
        <f>CHOOSE(CONTROL!$C$42, 8.7991, 8.7991) * CHOOSE(CONTROL!$C$21, $C$9, 100%, $E$9)</f>
        <v>8.7990999999999993</v>
      </c>
      <c r="R208" s="10">
        <f>CHOOSE(CONTROL!$C$42, 9.4081, 9.4081) * CHOOSE(CONTROL!$C$21, $C$9, 100%, $E$9)</f>
        <v>9.4080999999999992</v>
      </c>
      <c r="S208" s="10">
        <f>CHOOSE(CONTROL!$C$42, 7.8596, 7.8596) * CHOOSE(CONTROL!$C$21, $C$9, 100%, $E$9)</f>
        <v>7.8596000000000004</v>
      </c>
      <c r="T20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08" s="38">
        <f>(1000*CHOOSE(CONTROL!$C$42, 695, 695)*CHOOSE(CONTROL!$C$42, 0.5599, 0.5599)*CHOOSE(CONTROL!$C$42, 30, 30))/1000000</f>
        <v>11.673914999999997</v>
      </c>
      <c r="V208" s="38">
        <f>(1000*CHOOSE(CONTROL!$C$42, 500, 500)*CHOOSE(CONTROL!$C$42, 0.275, 0.275)*CHOOSE(CONTROL!$C$42, 30, 30))/1000000</f>
        <v>4.125</v>
      </c>
      <c r="W208" s="38">
        <f>(1000*CHOOSE(CONTROL!$C$42, 0.1146, 0.1146)*CHOOSE(CONTROL!$C$42, 121.5, 121.5)*CHOOSE(CONTROL!$C$42, 30, 30))/1000000</f>
        <v>0.417717</v>
      </c>
      <c r="X208" s="38">
        <f>(30*0.1790888*245000/1000000)+(30*0.2374*100000/1000000)</f>
        <v>2.0285026799999999</v>
      </c>
      <c r="Y208" s="38">
        <f>(1000*600*CHOOSE(CONTROL!$C$42, 1.6846, 1.6846)*CHOOSE(CONTROL!$C$42, 30, 30))/1000000</f>
        <v>30.322800000000004</v>
      </c>
      <c r="Z208" s="38"/>
      <c r="AA208" s="10"/>
      <c r="AB208" s="39"/>
      <c r="AC208" s="33">
        <f>(B208*141.293+C208*267.993+D208*115.016+E208*89.698+F208*40+G208*185+H208*0+I208*100+J208*300)/(141.293+267.993+115.016+89.698+0+40+185+100+300)</f>
        <v>8.1071010969330111</v>
      </c>
      <c r="AD208" s="27">
        <f>(M208*'RAP TEMPLATE-GAS AVAILABILITY'!O207+N208*'RAP TEMPLATE-GAS AVAILABILITY'!P207+O208*'RAP TEMPLATE-GAS AVAILABILITY'!Q207+P208*'RAP TEMPLATE-GAS AVAILABILITY'!R207)/('RAP TEMPLATE-GAS AVAILABILITY'!O207+'RAP TEMPLATE-GAS AVAILABILITY'!P207+'RAP TEMPLATE-GAS AVAILABILITY'!Q207+'RAP TEMPLATE-GAS AVAILABILITY'!R207)</f>
        <v>8.0378949640287765</v>
      </c>
    </row>
    <row r="209" spans="1:30" ht="15">
      <c r="A209" s="16">
        <v>47604</v>
      </c>
      <c r="B209" s="10">
        <f>CHOOSE(CONTROL!$C$42, 8.1739, 8.1739) * CHOOSE(CONTROL!$C$21, $C$9, 100%, $E$9)</f>
        <v>8.1738999999999997</v>
      </c>
      <c r="C209" s="10">
        <f>CHOOSE(CONTROL!$C$42, 8.1819, 8.1819) * CHOOSE(CONTROL!$C$21, $C$9, 100%, $E$9)</f>
        <v>8.1819000000000006</v>
      </c>
      <c r="D209" s="10">
        <f>CHOOSE(CONTROL!$C$42, 8.339, 8.339) * CHOOSE(CONTROL!$C$21, $C$9, 100%, $E$9)</f>
        <v>8.3390000000000004</v>
      </c>
      <c r="E209" s="10">
        <f>CHOOSE(CONTROL!$C$42, 8.3702, 8.3702) * CHOOSE(CONTROL!$C$21, $C$9, 100%, $E$9)</f>
        <v>8.3702000000000005</v>
      </c>
      <c r="F209" s="10">
        <f>CHOOSE(CONTROL!$C$42, 8.118, 8.118)*CHOOSE(CONTROL!$C$21, $C$9, 100%, $E$9)</f>
        <v>8.1180000000000003</v>
      </c>
      <c r="G209" s="10">
        <f>CHOOSE(CONTROL!$C$42, 8.1342, 8.1342)*CHOOSE(CONTROL!$C$21, $C$9, 100%, $E$9)</f>
        <v>8.1341999999999999</v>
      </c>
      <c r="H209" s="10">
        <f>CHOOSE(CONTROL!$C$42, 8.3585, 8.3585) * CHOOSE(CONTROL!$C$21, $C$9, 100%, $E$9)</f>
        <v>8.3584999999999994</v>
      </c>
      <c r="I209" s="10">
        <f>CHOOSE(CONTROL!$C$42, 8.1527, 8.1527)* CHOOSE(CONTROL!$C$21, $C$9, 100%, $E$9)</f>
        <v>8.1526999999999994</v>
      </c>
      <c r="J209" s="10">
        <f>CHOOSE(CONTROL!$C$42, 8.1106, 8.1106)* CHOOSE(CONTROL!$C$21, $C$9, 100%, $E$9)</f>
        <v>8.1105999999999998</v>
      </c>
      <c r="K209" s="10">
        <f>CHOOSE(CONTROL!$C$42, 8.0574, 8.0574) * CHOOSE(CONTROL!$C$21, $C$9, 100%, $E$9)</f>
        <v>8.0573999999999995</v>
      </c>
      <c r="L209" s="10">
        <f>CHOOSE(CONTROL!$C$42, 8.9455, 8.9455) * CHOOSE(CONTROL!$C$21, $C$9, 100%, $E$9)</f>
        <v>8.9454999999999991</v>
      </c>
      <c r="M209" s="10">
        <f>CHOOSE(CONTROL!$C$42, 8.0305, 8.0305) * CHOOSE(CONTROL!$C$21, $C$9, 100%, $E$9)</f>
        <v>8.0305</v>
      </c>
      <c r="N209" s="10">
        <f>CHOOSE(CONTROL!$C$42, 8.0464, 8.0464) * CHOOSE(CONTROL!$C$21, $C$9, 100%, $E$9)</f>
        <v>8.0464000000000002</v>
      </c>
      <c r="O209" s="10">
        <f>CHOOSE(CONTROL!$C$42, 8.2749, 8.2749) * CHOOSE(CONTROL!$C$21, $C$9, 100%, $E$9)</f>
        <v>8.2749000000000006</v>
      </c>
      <c r="P209" s="10">
        <f>CHOOSE(CONTROL!$C$42, 8.072, 8.072) * CHOOSE(CONTROL!$C$21, $C$9, 100%, $E$9)</f>
        <v>8.0719999999999992</v>
      </c>
      <c r="Q209" s="10">
        <f>CHOOSE(CONTROL!$C$42, 8.8702, 8.8702) * CHOOSE(CONTROL!$C$21, $C$9, 100%, $E$9)</f>
        <v>8.8702000000000005</v>
      </c>
      <c r="R209" s="10">
        <f>CHOOSE(CONTROL!$C$42, 9.4794, 9.4794) * CHOOSE(CONTROL!$C$21, $C$9, 100%, $E$9)</f>
        <v>9.4794</v>
      </c>
      <c r="S209" s="10">
        <f>CHOOSE(CONTROL!$C$42, 7.9294, 7.9294) * CHOOSE(CONTROL!$C$21, $C$9, 100%, $E$9)</f>
        <v>7.9294000000000002</v>
      </c>
      <c r="T20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09" s="38">
        <f>(1000*CHOOSE(CONTROL!$C$42, 695, 695)*CHOOSE(CONTROL!$C$42, 0.5599, 0.5599)*CHOOSE(CONTROL!$C$42, 31, 31))/1000000</f>
        <v>12.063045499999998</v>
      </c>
      <c r="V209" s="38">
        <f>(1000*CHOOSE(CONTROL!$C$42, 500, 500)*CHOOSE(CONTROL!$C$42, 0.275, 0.275)*CHOOSE(CONTROL!$C$42, 31, 31))/1000000</f>
        <v>4.2625000000000002</v>
      </c>
      <c r="W209" s="38">
        <f>(1000*CHOOSE(CONTROL!$C$42, 0.1146, 0.1146)*CHOOSE(CONTROL!$C$42, 121.5, 121.5)*CHOOSE(CONTROL!$C$42, 31, 31))/1000000</f>
        <v>0.43164089999999994</v>
      </c>
      <c r="X209" s="38">
        <f>(31*0.1790888*245000/1000000)+(31*0.2374*100000/1000000)</f>
        <v>2.0961194359999999</v>
      </c>
      <c r="Y209" s="38">
        <f>(1000*600*CHOOSE(CONTROL!$C$42, 1.6846, 1.6846)*CHOOSE(CONTROL!$C$42, 31, 31))/1000000</f>
        <v>31.333560000000002</v>
      </c>
      <c r="Z209" s="38"/>
      <c r="AA209" s="10"/>
      <c r="AB209" s="39"/>
      <c r="AC209" s="33">
        <f>(B209*194.205+C209*267.466+D209*133.845+E209*53.484+F209*40+G209*185+H209*0+I209*100+J209*300)/(194.205+267.466+133.845+53.484+0+40+185+100+300)</f>
        <v>8.1770757823390916</v>
      </c>
      <c r="AD209" s="27">
        <f>(M209*'RAP TEMPLATE-GAS AVAILABILITY'!O208+N209*'RAP TEMPLATE-GAS AVAILABILITY'!P208+O209*'RAP TEMPLATE-GAS AVAILABILITY'!Q208+P209*'RAP TEMPLATE-GAS AVAILABILITY'!R208)/('RAP TEMPLATE-GAS AVAILABILITY'!O208+'RAP TEMPLATE-GAS AVAILABILITY'!P208+'RAP TEMPLATE-GAS AVAILABILITY'!Q208+'RAP TEMPLATE-GAS AVAILABILITY'!R208)</f>
        <v>8.1087043165467634</v>
      </c>
    </row>
    <row r="210" spans="1:30" ht="15">
      <c r="A210" s="16">
        <v>47635</v>
      </c>
      <c r="B210" s="10">
        <f>CHOOSE(CONTROL!$C$42, 8.4062, 8.4062) * CHOOSE(CONTROL!$C$21, $C$9, 100%, $E$9)</f>
        <v>8.4062000000000001</v>
      </c>
      <c r="C210" s="10">
        <f>CHOOSE(CONTROL!$C$42, 8.4142, 8.4142) * CHOOSE(CONTROL!$C$21, $C$9, 100%, $E$9)</f>
        <v>8.4141999999999992</v>
      </c>
      <c r="D210" s="10">
        <f>CHOOSE(CONTROL!$C$42, 8.5712, 8.5712) * CHOOSE(CONTROL!$C$21, $C$9, 100%, $E$9)</f>
        <v>8.5711999999999993</v>
      </c>
      <c r="E210" s="10">
        <f>CHOOSE(CONTROL!$C$42, 8.6024, 8.6024) * CHOOSE(CONTROL!$C$21, $C$9, 100%, $E$9)</f>
        <v>8.6023999999999994</v>
      </c>
      <c r="F210" s="10">
        <f>CHOOSE(CONTROL!$C$42, 8.3505, 8.3505)*CHOOSE(CONTROL!$C$21, $C$9, 100%, $E$9)</f>
        <v>8.3505000000000003</v>
      </c>
      <c r="G210" s="10">
        <f>CHOOSE(CONTROL!$C$42, 8.3667, 8.3667)*CHOOSE(CONTROL!$C$21, $C$9, 100%, $E$9)</f>
        <v>8.3666999999999998</v>
      </c>
      <c r="H210" s="10">
        <f>CHOOSE(CONTROL!$C$42, 8.5908, 8.5908) * CHOOSE(CONTROL!$C$21, $C$9, 100%, $E$9)</f>
        <v>8.5907999999999998</v>
      </c>
      <c r="I210" s="10">
        <f>CHOOSE(CONTROL!$C$42, 8.3849, 8.3849)* CHOOSE(CONTROL!$C$21, $C$9, 100%, $E$9)</f>
        <v>8.3849</v>
      </c>
      <c r="J210" s="10">
        <f>CHOOSE(CONTROL!$C$42, 8.3431, 8.3431)* CHOOSE(CONTROL!$C$21, $C$9, 100%, $E$9)</f>
        <v>8.3430999999999997</v>
      </c>
      <c r="K210" s="10">
        <f>CHOOSE(CONTROL!$C$42, 8.2828, 8.2828) * CHOOSE(CONTROL!$C$21, $C$9, 100%, $E$9)</f>
        <v>8.2827999999999999</v>
      </c>
      <c r="L210" s="10">
        <f>CHOOSE(CONTROL!$C$42, 9.1778, 9.1778) * CHOOSE(CONTROL!$C$21, $C$9, 100%, $E$9)</f>
        <v>9.1777999999999995</v>
      </c>
      <c r="M210" s="10">
        <f>CHOOSE(CONTROL!$C$42, 8.2597, 8.2597) * CHOOSE(CONTROL!$C$21, $C$9, 100%, $E$9)</f>
        <v>8.2597000000000005</v>
      </c>
      <c r="N210" s="10">
        <f>CHOOSE(CONTROL!$C$42, 8.2757, 8.2757) * CHOOSE(CONTROL!$C$21, $C$9, 100%, $E$9)</f>
        <v>8.2757000000000005</v>
      </c>
      <c r="O210" s="10">
        <f>CHOOSE(CONTROL!$C$42, 8.5039, 8.5039) * CHOOSE(CONTROL!$C$21, $C$9, 100%, $E$9)</f>
        <v>8.5038999999999998</v>
      </c>
      <c r="P210" s="10">
        <f>CHOOSE(CONTROL!$C$42, 8.3011, 8.3011) * CHOOSE(CONTROL!$C$21, $C$9, 100%, $E$9)</f>
        <v>8.3010999999999999</v>
      </c>
      <c r="Q210" s="10">
        <f>CHOOSE(CONTROL!$C$42, 9.0992, 9.0992) * CHOOSE(CONTROL!$C$21, $C$9, 100%, $E$9)</f>
        <v>9.0991999999999997</v>
      </c>
      <c r="R210" s="10">
        <f>CHOOSE(CONTROL!$C$42, 9.709, 9.709) * CHOOSE(CONTROL!$C$21, $C$9, 100%, $E$9)</f>
        <v>9.7089999999999996</v>
      </c>
      <c r="S210" s="10">
        <f>CHOOSE(CONTROL!$C$42, 8.1543, 8.1543) * CHOOSE(CONTROL!$C$21, $C$9, 100%, $E$9)</f>
        <v>8.1542999999999992</v>
      </c>
      <c r="T21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10" s="38">
        <f>(1000*CHOOSE(CONTROL!$C$42, 695, 695)*CHOOSE(CONTROL!$C$42, 0.5599, 0.5599)*CHOOSE(CONTROL!$C$42, 30, 30))/1000000</f>
        <v>11.673914999999997</v>
      </c>
      <c r="V210" s="38">
        <f>(1000*CHOOSE(CONTROL!$C$42, 500, 500)*CHOOSE(CONTROL!$C$42, 0.275, 0.275)*CHOOSE(CONTROL!$C$42, 30, 30))/1000000</f>
        <v>4.125</v>
      </c>
      <c r="W210" s="38">
        <f>(1000*CHOOSE(CONTROL!$C$42, 0.1146, 0.1146)*CHOOSE(CONTROL!$C$42, 121.5, 121.5)*CHOOSE(CONTROL!$C$42, 30, 30))/1000000</f>
        <v>0.417717</v>
      </c>
      <c r="X210" s="38">
        <f>(30*0.1790888*245000/1000000)+(30*0.2374*100000/1000000)</f>
        <v>2.0285026799999999</v>
      </c>
      <c r="Y210" s="38">
        <f>(1000*600*CHOOSE(CONTROL!$C$42, 1.6846, 1.6846)*CHOOSE(CONTROL!$C$42, 30, 30))/1000000</f>
        <v>30.322800000000004</v>
      </c>
      <c r="Z210" s="38"/>
      <c r="AA210" s="10"/>
      <c r="AB210" s="39"/>
      <c r="AC210" s="33">
        <f>(B210*194.205+C210*267.466+D210*133.845+E210*53.484+F210*40+G210*185+H210*0+I210*100+J210*300)/(194.205+267.466+133.845+53.484+0+40+185+100+300)</f>
        <v>8.4094356466248037</v>
      </c>
      <c r="AD210" s="27">
        <f>(M210*'RAP TEMPLATE-GAS AVAILABILITY'!O209+N210*'RAP TEMPLATE-GAS AVAILABILITY'!P209+O210*'RAP TEMPLATE-GAS AVAILABILITY'!Q209+P210*'RAP TEMPLATE-GAS AVAILABILITY'!R209)/('RAP TEMPLATE-GAS AVAILABILITY'!O209+'RAP TEMPLATE-GAS AVAILABILITY'!P209+'RAP TEMPLATE-GAS AVAILABILITY'!Q209+'RAP TEMPLATE-GAS AVAILABILITY'!R209)</f>
        <v>8.3378568345323743</v>
      </c>
    </row>
    <row r="211" spans="1:30" ht="15">
      <c r="A211" s="16">
        <v>47665</v>
      </c>
      <c r="B211" s="10">
        <f>CHOOSE(CONTROL!$C$42, 8.2446, 8.2446) * CHOOSE(CONTROL!$C$21, $C$9, 100%, $E$9)</f>
        <v>8.2446000000000002</v>
      </c>
      <c r="C211" s="10">
        <f>CHOOSE(CONTROL!$C$42, 8.2526, 8.2526) * CHOOSE(CONTROL!$C$21, $C$9, 100%, $E$9)</f>
        <v>8.2525999999999993</v>
      </c>
      <c r="D211" s="10">
        <f>CHOOSE(CONTROL!$C$42, 8.4097, 8.4097) * CHOOSE(CONTROL!$C$21, $C$9, 100%, $E$9)</f>
        <v>8.4097000000000008</v>
      </c>
      <c r="E211" s="10">
        <f>CHOOSE(CONTROL!$C$42, 8.4409, 8.4409) * CHOOSE(CONTROL!$C$21, $C$9, 100%, $E$9)</f>
        <v>8.4408999999999992</v>
      </c>
      <c r="F211" s="10">
        <f>CHOOSE(CONTROL!$C$42, 8.1893, 8.1893)*CHOOSE(CONTROL!$C$21, $C$9, 100%, $E$9)</f>
        <v>8.1892999999999994</v>
      </c>
      <c r="G211" s="10">
        <f>CHOOSE(CONTROL!$C$42, 8.2055, 8.2055)*CHOOSE(CONTROL!$C$21, $C$9, 100%, $E$9)</f>
        <v>8.2055000000000007</v>
      </c>
      <c r="H211" s="10">
        <f>CHOOSE(CONTROL!$C$42, 8.4292, 8.4292) * CHOOSE(CONTROL!$C$21, $C$9, 100%, $E$9)</f>
        <v>8.4291999999999998</v>
      </c>
      <c r="I211" s="10">
        <f>CHOOSE(CONTROL!$C$42, 8.2234, 8.2234)* CHOOSE(CONTROL!$C$21, $C$9, 100%, $E$9)</f>
        <v>8.2233999999999998</v>
      </c>
      <c r="J211" s="10">
        <f>CHOOSE(CONTROL!$C$42, 8.1819, 8.1819)* CHOOSE(CONTROL!$C$21, $C$9, 100%, $E$9)</f>
        <v>8.1819000000000006</v>
      </c>
      <c r="K211" s="10">
        <f>CHOOSE(CONTROL!$C$42, 8.127, 8.127) * CHOOSE(CONTROL!$C$21, $C$9, 100%, $E$9)</f>
        <v>8.1270000000000007</v>
      </c>
      <c r="L211" s="10">
        <f>CHOOSE(CONTROL!$C$42, 9.0162, 9.0162) * CHOOSE(CONTROL!$C$21, $C$9, 100%, $E$9)</f>
        <v>9.0161999999999995</v>
      </c>
      <c r="M211" s="10">
        <f>CHOOSE(CONTROL!$C$42, 8.1008, 8.1008) * CHOOSE(CONTROL!$C$21, $C$9, 100%, $E$9)</f>
        <v>8.1007999999999996</v>
      </c>
      <c r="N211" s="10">
        <f>CHOOSE(CONTROL!$C$42, 8.1168, 8.1168) * CHOOSE(CONTROL!$C$21, $C$9, 100%, $E$9)</f>
        <v>8.1167999999999996</v>
      </c>
      <c r="O211" s="10">
        <f>CHOOSE(CONTROL!$C$42, 8.3447, 8.3447) * CHOOSE(CONTROL!$C$21, $C$9, 100%, $E$9)</f>
        <v>8.3446999999999996</v>
      </c>
      <c r="P211" s="10">
        <f>CHOOSE(CONTROL!$C$42, 8.1418, 8.1418) * CHOOSE(CONTROL!$C$21, $C$9, 100%, $E$9)</f>
        <v>8.1417999999999999</v>
      </c>
      <c r="Q211" s="10">
        <f>CHOOSE(CONTROL!$C$42, 8.94, 8.94) * CHOOSE(CONTROL!$C$21, $C$9, 100%, $E$9)</f>
        <v>8.94</v>
      </c>
      <c r="R211" s="10">
        <f>CHOOSE(CONTROL!$C$42, 9.5493, 9.5493) * CHOOSE(CONTROL!$C$21, $C$9, 100%, $E$9)</f>
        <v>9.5493000000000006</v>
      </c>
      <c r="S211" s="10">
        <f>CHOOSE(CONTROL!$C$42, 7.9979, 7.9979) * CHOOSE(CONTROL!$C$21, $C$9, 100%, $E$9)</f>
        <v>7.9978999999999996</v>
      </c>
      <c r="T21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11" s="38">
        <f>(1000*CHOOSE(CONTROL!$C$42, 695, 695)*CHOOSE(CONTROL!$C$42, 0.5599, 0.5599)*CHOOSE(CONTROL!$C$42, 31, 31))/1000000</f>
        <v>12.063045499999998</v>
      </c>
      <c r="V211" s="38">
        <f>(1000*CHOOSE(CONTROL!$C$42, 500, 500)*CHOOSE(CONTROL!$C$42, 0.275, 0.275)*CHOOSE(CONTROL!$C$42, 31, 31))/1000000</f>
        <v>4.2625000000000002</v>
      </c>
      <c r="W211" s="38">
        <f>(1000*CHOOSE(CONTROL!$C$42, 0.1146, 0.1146)*CHOOSE(CONTROL!$C$42, 121.5, 121.5)*CHOOSE(CONTROL!$C$42, 31, 31))/1000000</f>
        <v>0.43164089999999994</v>
      </c>
      <c r="X211" s="38">
        <f>(31*0.1790888*245000/1000000)+(31*0.2374*100000/1000000)</f>
        <v>2.0961194359999999</v>
      </c>
      <c r="Y211" s="38">
        <f>(1000*600*CHOOSE(CONTROL!$C$42, 1.6846, 1.6846)*CHOOSE(CONTROL!$C$42, 31, 31))/1000000</f>
        <v>31.333560000000002</v>
      </c>
      <c r="Z211" s="38"/>
      <c r="AA211" s="10"/>
      <c r="AB211" s="39"/>
      <c r="AC211" s="33">
        <f>(B211*194.205+C211*267.466+D211*133.845+E211*53.484+F211*40+G211*185+H211*0+I211*100+J211*300)/(194.205+267.466+133.845+53.484+0+40+185+100+300)</f>
        <v>8.2480230350863426</v>
      </c>
      <c r="AD211" s="27">
        <f>(M211*'RAP TEMPLATE-GAS AVAILABILITY'!O210+N211*'RAP TEMPLATE-GAS AVAILABILITY'!P210+O211*'RAP TEMPLATE-GAS AVAILABILITY'!Q210+P211*'RAP TEMPLATE-GAS AVAILABILITY'!R210)/('RAP TEMPLATE-GAS AVAILABILITY'!O210+'RAP TEMPLATE-GAS AVAILABILITY'!P210+'RAP TEMPLATE-GAS AVAILABILITY'!Q210+'RAP TEMPLATE-GAS AVAILABILITY'!R210)</f>
        <v>8.1788151079136693</v>
      </c>
    </row>
    <row r="212" spans="1:30" ht="15">
      <c r="A212" s="16">
        <v>47696</v>
      </c>
      <c r="B212" s="10">
        <f>CHOOSE(CONTROL!$C$42, 7.8367, 7.8367) * CHOOSE(CONTROL!$C$21, $C$9, 100%, $E$9)</f>
        <v>7.8367000000000004</v>
      </c>
      <c r="C212" s="10">
        <f>CHOOSE(CONTROL!$C$42, 7.8447, 7.8447) * CHOOSE(CONTROL!$C$21, $C$9, 100%, $E$9)</f>
        <v>7.8446999999999996</v>
      </c>
      <c r="D212" s="10">
        <f>CHOOSE(CONTROL!$C$42, 8.0018, 8.0018) * CHOOSE(CONTROL!$C$21, $C$9, 100%, $E$9)</f>
        <v>8.0017999999999994</v>
      </c>
      <c r="E212" s="10">
        <f>CHOOSE(CONTROL!$C$42, 8.033, 8.033) * CHOOSE(CONTROL!$C$21, $C$9, 100%, $E$9)</f>
        <v>8.0329999999999995</v>
      </c>
      <c r="F212" s="10">
        <f>CHOOSE(CONTROL!$C$42, 7.7813, 7.7813)*CHOOSE(CONTROL!$C$21, $C$9, 100%, $E$9)</f>
        <v>7.7812999999999999</v>
      </c>
      <c r="G212" s="10">
        <f>CHOOSE(CONTROL!$C$42, 7.7975, 7.7975)*CHOOSE(CONTROL!$C$21, $C$9, 100%, $E$9)</f>
        <v>7.7975000000000003</v>
      </c>
      <c r="H212" s="10">
        <f>CHOOSE(CONTROL!$C$42, 8.0213, 8.0213) * CHOOSE(CONTROL!$C$21, $C$9, 100%, $E$9)</f>
        <v>8.0213000000000001</v>
      </c>
      <c r="I212" s="10">
        <f>CHOOSE(CONTROL!$C$42, 7.8155, 7.8155)* CHOOSE(CONTROL!$C$21, $C$9, 100%, $E$9)</f>
        <v>7.8155000000000001</v>
      </c>
      <c r="J212" s="10">
        <f>CHOOSE(CONTROL!$C$42, 7.7739, 7.7739)* CHOOSE(CONTROL!$C$21, $C$9, 100%, $E$9)</f>
        <v>7.7739000000000003</v>
      </c>
      <c r="K212" s="10">
        <f>CHOOSE(CONTROL!$C$42, 7.7317, 7.7317) * CHOOSE(CONTROL!$C$21, $C$9, 100%, $E$9)</f>
        <v>7.7317</v>
      </c>
      <c r="L212" s="10">
        <f>CHOOSE(CONTROL!$C$42, 8.6083, 8.6083) * CHOOSE(CONTROL!$C$21, $C$9, 100%, $E$9)</f>
        <v>8.6082999999999998</v>
      </c>
      <c r="M212" s="10">
        <f>CHOOSE(CONTROL!$C$42, 7.6985, 7.6985) * CHOOSE(CONTROL!$C$21, $C$9, 100%, $E$9)</f>
        <v>7.6985000000000001</v>
      </c>
      <c r="N212" s="10">
        <f>CHOOSE(CONTROL!$C$42, 7.7145, 7.7145) * CHOOSE(CONTROL!$C$21, $C$9, 100%, $E$9)</f>
        <v>7.7145000000000001</v>
      </c>
      <c r="O212" s="10">
        <f>CHOOSE(CONTROL!$C$42, 7.9424, 7.9424) * CHOOSE(CONTROL!$C$21, $C$9, 100%, $E$9)</f>
        <v>7.9424000000000001</v>
      </c>
      <c r="P212" s="10">
        <f>CHOOSE(CONTROL!$C$42, 7.7395, 7.7395) * CHOOSE(CONTROL!$C$21, $C$9, 100%, $E$9)</f>
        <v>7.7394999999999996</v>
      </c>
      <c r="Q212" s="10">
        <f>CHOOSE(CONTROL!$C$42, 8.5377, 8.5377) * CHOOSE(CONTROL!$C$21, $C$9, 100%, $E$9)</f>
        <v>8.5376999999999992</v>
      </c>
      <c r="R212" s="10">
        <f>CHOOSE(CONTROL!$C$42, 9.1461, 9.1461) * CHOOSE(CONTROL!$C$21, $C$9, 100%, $E$9)</f>
        <v>9.1461000000000006</v>
      </c>
      <c r="S212" s="10">
        <f>CHOOSE(CONTROL!$C$42, 7.6029, 7.6029) * CHOOSE(CONTROL!$C$21, $C$9, 100%, $E$9)</f>
        <v>7.6029</v>
      </c>
      <c r="T21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12" s="38">
        <f>(1000*CHOOSE(CONTROL!$C$42, 695, 695)*CHOOSE(CONTROL!$C$42, 0.5599, 0.5599)*CHOOSE(CONTROL!$C$42, 31, 31))/1000000</f>
        <v>12.063045499999998</v>
      </c>
      <c r="V212" s="38">
        <f>(1000*CHOOSE(CONTROL!$C$42, 500, 500)*CHOOSE(CONTROL!$C$42, 0.275, 0.275)*CHOOSE(CONTROL!$C$42, 31, 31))/1000000</f>
        <v>4.2625000000000002</v>
      </c>
      <c r="W212" s="38">
        <f>(1000*CHOOSE(CONTROL!$C$42, 0.1146, 0.1146)*CHOOSE(CONTROL!$C$42, 121.5, 121.5)*CHOOSE(CONTROL!$C$42, 31, 31))/1000000</f>
        <v>0.43164089999999994</v>
      </c>
      <c r="X212" s="38">
        <f>(31*0.1790888*245000/1000000)+(31*0.2374*100000/1000000)</f>
        <v>2.0961194359999999</v>
      </c>
      <c r="Y212" s="38">
        <f>(1000*600*CHOOSE(CONTROL!$C$42, 1.6846, 1.6846)*CHOOSE(CONTROL!$C$42, 31, 31))/1000000</f>
        <v>31.333560000000002</v>
      </c>
      <c r="Z212" s="38"/>
      <c r="AA212" s="10"/>
      <c r="AB212" s="39"/>
      <c r="AC212" s="33">
        <f>(B212*194.205+C212*267.466+D212*133.845+E212*53.484+F212*40+G212*185+H212*0+I212*100+J212*300)/(194.205+267.466+133.845+53.484+0+40+185+100+300)</f>
        <v>7.8400818262951342</v>
      </c>
      <c r="AD212" s="27">
        <f>(M212*'RAP TEMPLATE-GAS AVAILABILITY'!O211+N212*'RAP TEMPLATE-GAS AVAILABILITY'!P211+O212*'RAP TEMPLATE-GAS AVAILABILITY'!Q211+P212*'RAP TEMPLATE-GAS AVAILABILITY'!R211)/('RAP TEMPLATE-GAS AVAILABILITY'!O211+'RAP TEMPLATE-GAS AVAILABILITY'!P211+'RAP TEMPLATE-GAS AVAILABILITY'!Q211+'RAP TEMPLATE-GAS AVAILABILITY'!R211)</f>
        <v>7.776515107913669</v>
      </c>
    </row>
    <row r="213" spans="1:30" ht="15">
      <c r="A213" s="16">
        <v>47727</v>
      </c>
      <c r="B213" s="10">
        <f>CHOOSE(CONTROL!$C$42, 7.3383, 7.3383) * CHOOSE(CONTROL!$C$21, $C$9, 100%, $E$9)</f>
        <v>7.3383000000000003</v>
      </c>
      <c r="C213" s="10">
        <f>CHOOSE(CONTROL!$C$42, 7.3463, 7.3463) * CHOOSE(CONTROL!$C$21, $C$9, 100%, $E$9)</f>
        <v>7.3463000000000003</v>
      </c>
      <c r="D213" s="10">
        <f>CHOOSE(CONTROL!$C$42, 7.5034, 7.5034) * CHOOSE(CONTROL!$C$21, $C$9, 100%, $E$9)</f>
        <v>7.5034000000000001</v>
      </c>
      <c r="E213" s="10">
        <f>CHOOSE(CONTROL!$C$42, 7.5346, 7.5346) * CHOOSE(CONTROL!$C$21, $C$9, 100%, $E$9)</f>
        <v>7.5346000000000002</v>
      </c>
      <c r="F213" s="10">
        <f>CHOOSE(CONTROL!$C$42, 7.2827, 7.2827)*CHOOSE(CONTROL!$C$21, $C$9, 100%, $E$9)</f>
        <v>7.2827000000000002</v>
      </c>
      <c r="G213" s="10">
        <f>CHOOSE(CONTROL!$C$42, 7.2989, 7.2989)*CHOOSE(CONTROL!$C$21, $C$9, 100%, $E$9)</f>
        <v>7.2988999999999997</v>
      </c>
      <c r="H213" s="10">
        <f>CHOOSE(CONTROL!$C$42, 7.5229, 7.5229) * CHOOSE(CONTROL!$C$21, $C$9, 100%, $E$9)</f>
        <v>7.5228999999999999</v>
      </c>
      <c r="I213" s="10">
        <f>CHOOSE(CONTROL!$C$42, 7.3171, 7.3171)* CHOOSE(CONTROL!$C$21, $C$9, 100%, $E$9)</f>
        <v>7.3170999999999999</v>
      </c>
      <c r="J213" s="10">
        <f>CHOOSE(CONTROL!$C$42, 7.2753, 7.2753)* CHOOSE(CONTROL!$C$21, $C$9, 100%, $E$9)</f>
        <v>7.2752999999999997</v>
      </c>
      <c r="K213" s="10">
        <f>CHOOSE(CONTROL!$C$42, 7.2484, 7.2484) * CHOOSE(CONTROL!$C$21, $C$9, 100%, $E$9)</f>
        <v>7.2484000000000002</v>
      </c>
      <c r="L213" s="10">
        <f>CHOOSE(CONTROL!$C$42, 8.1099, 8.1099) * CHOOSE(CONTROL!$C$21, $C$9, 100%, $E$9)</f>
        <v>8.1098999999999997</v>
      </c>
      <c r="M213" s="10">
        <f>CHOOSE(CONTROL!$C$42, 7.2068, 7.2068) * CHOOSE(CONTROL!$C$21, $C$9, 100%, $E$9)</f>
        <v>7.2068000000000003</v>
      </c>
      <c r="N213" s="10">
        <f>CHOOSE(CONTROL!$C$42, 7.2228, 7.2228) * CHOOSE(CONTROL!$C$21, $C$9, 100%, $E$9)</f>
        <v>7.2228000000000003</v>
      </c>
      <c r="O213" s="10">
        <f>CHOOSE(CONTROL!$C$42, 7.451, 7.451) * CHOOSE(CONTROL!$C$21, $C$9, 100%, $E$9)</f>
        <v>7.4509999999999996</v>
      </c>
      <c r="P213" s="10">
        <f>CHOOSE(CONTROL!$C$42, 7.2481, 7.2481) * CHOOSE(CONTROL!$C$21, $C$9, 100%, $E$9)</f>
        <v>7.2481</v>
      </c>
      <c r="Q213" s="10">
        <f>CHOOSE(CONTROL!$C$42, 8.0463, 8.0463) * CHOOSE(CONTROL!$C$21, $C$9, 100%, $E$9)</f>
        <v>8.0463000000000005</v>
      </c>
      <c r="R213" s="10">
        <f>CHOOSE(CONTROL!$C$42, 8.6534, 8.6534) * CHOOSE(CONTROL!$C$21, $C$9, 100%, $E$9)</f>
        <v>8.6533999999999995</v>
      </c>
      <c r="S213" s="10">
        <f>CHOOSE(CONTROL!$C$42, 7.1203, 7.1203) * CHOOSE(CONTROL!$C$21, $C$9, 100%, $E$9)</f>
        <v>7.1203000000000003</v>
      </c>
      <c r="T21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13" s="38">
        <f>(1000*CHOOSE(CONTROL!$C$42, 695, 695)*CHOOSE(CONTROL!$C$42, 0.5599, 0.5599)*CHOOSE(CONTROL!$C$42, 30, 30))/1000000</f>
        <v>11.673914999999997</v>
      </c>
      <c r="V213" s="38">
        <f>(1000*CHOOSE(CONTROL!$C$42, 500, 500)*CHOOSE(CONTROL!$C$42, 0.275, 0.275)*CHOOSE(CONTROL!$C$42, 30, 30))/1000000</f>
        <v>4.125</v>
      </c>
      <c r="W213" s="38">
        <f>(1000*CHOOSE(CONTROL!$C$42, 0.1146, 0.1146)*CHOOSE(CONTROL!$C$42, 121.5, 121.5)*CHOOSE(CONTROL!$C$42, 30, 30))/1000000</f>
        <v>0.417717</v>
      </c>
      <c r="X213" s="38">
        <f>(30*0.1790888*245000/1000000)+(30*0.2374*100000/1000000)</f>
        <v>2.0285026799999999</v>
      </c>
      <c r="Y213" s="38">
        <f>(1000*600*CHOOSE(CONTROL!$C$42, 1.6846, 1.6846)*CHOOSE(CONTROL!$C$42, 30, 30))/1000000</f>
        <v>30.322800000000004</v>
      </c>
      <c r="Z213" s="38"/>
      <c r="AA213" s="10"/>
      <c r="AB213" s="39"/>
      <c r="AC213" s="33">
        <f>(B213*194.205+C213*267.466+D213*133.845+E213*53.484+F213*40+G213*185+H213*0+I213*100+J213*300)/(194.205+267.466+133.845+53.484+0+40+185+100+300)</f>
        <v>7.3415994087127148</v>
      </c>
      <c r="AD213" s="27">
        <f>(M213*'RAP TEMPLATE-GAS AVAILABILITY'!O212+N213*'RAP TEMPLATE-GAS AVAILABILITY'!P212+O213*'RAP TEMPLATE-GAS AVAILABILITY'!Q212+P213*'RAP TEMPLATE-GAS AVAILABILITY'!R212)/('RAP TEMPLATE-GAS AVAILABILITY'!O212+'RAP TEMPLATE-GAS AVAILABILITY'!P212+'RAP TEMPLATE-GAS AVAILABILITY'!Q212+'RAP TEMPLATE-GAS AVAILABILITY'!R212)</f>
        <v>7.2849424460431651</v>
      </c>
    </row>
    <row r="214" spans="1:30" ht="15">
      <c r="A214" s="16">
        <v>47757</v>
      </c>
      <c r="B214" s="10">
        <f>CHOOSE(CONTROL!$C$42, 7.1869, 7.1869) * CHOOSE(CONTROL!$C$21, $C$9, 100%, $E$9)</f>
        <v>7.1868999999999996</v>
      </c>
      <c r="C214" s="10">
        <f>CHOOSE(CONTROL!$C$42, 7.1922, 7.1922) * CHOOSE(CONTROL!$C$21, $C$9, 100%, $E$9)</f>
        <v>7.1921999999999997</v>
      </c>
      <c r="D214" s="10">
        <f>CHOOSE(CONTROL!$C$42, 7.3541, 7.3541) * CHOOSE(CONTROL!$C$21, $C$9, 100%, $E$9)</f>
        <v>7.3540999999999999</v>
      </c>
      <c r="E214" s="10">
        <f>CHOOSE(CONTROL!$C$42, 7.3831, 7.3831) * CHOOSE(CONTROL!$C$21, $C$9, 100%, $E$9)</f>
        <v>7.3830999999999998</v>
      </c>
      <c r="F214" s="10">
        <f>CHOOSE(CONTROL!$C$42, 7.1333, 7.1333)*CHOOSE(CONTROL!$C$21, $C$9, 100%, $E$9)</f>
        <v>7.1333000000000002</v>
      </c>
      <c r="G214" s="10">
        <f>CHOOSE(CONTROL!$C$42, 7.1491, 7.1491)*CHOOSE(CONTROL!$C$21, $C$9, 100%, $E$9)</f>
        <v>7.1490999999999998</v>
      </c>
      <c r="H214" s="10">
        <f>CHOOSE(CONTROL!$C$42, 7.3732, 7.3732) * CHOOSE(CONTROL!$C$21, $C$9, 100%, $E$9)</f>
        <v>7.3731999999999998</v>
      </c>
      <c r="I214" s="10">
        <f>CHOOSE(CONTROL!$C$42, 7.1674, 7.1674)* CHOOSE(CONTROL!$C$21, $C$9, 100%, $E$9)</f>
        <v>7.1673999999999998</v>
      </c>
      <c r="J214" s="10">
        <f>CHOOSE(CONTROL!$C$42, 7.1259, 7.1259)* CHOOSE(CONTROL!$C$21, $C$9, 100%, $E$9)</f>
        <v>7.1258999999999997</v>
      </c>
      <c r="K214" s="10">
        <f>CHOOSE(CONTROL!$C$42, 7.104, 7.104) * CHOOSE(CONTROL!$C$21, $C$9, 100%, $E$9)</f>
        <v>7.1040000000000001</v>
      </c>
      <c r="L214" s="10">
        <f>CHOOSE(CONTROL!$C$42, 7.9602, 7.9602) * CHOOSE(CONTROL!$C$21, $C$9, 100%, $E$9)</f>
        <v>7.9602000000000004</v>
      </c>
      <c r="M214" s="10">
        <f>CHOOSE(CONTROL!$C$42, 7.0595, 7.0595) * CHOOSE(CONTROL!$C$21, $C$9, 100%, $E$9)</f>
        <v>7.0594999999999999</v>
      </c>
      <c r="N214" s="10">
        <f>CHOOSE(CONTROL!$C$42, 7.0751, 7.0751) * CHOOSE(CONTROL!$C$21, $C$9, 100%, $E$9)</f>
        <v>7.0750999999999999</v>
      </c>
      <c r="O214" s="10">
        <f>CHOOSE(CONTROL!$C$42, 7.3033, 7.3033) * CHOOSE(CONTROL!$C$21, $C$9, 100%, $E$9)</f>
        <v>7.3033000000000001</v>
      </c>
      <c r="P214" s="10">
        <f>CHOOSE(CONTROL!$C$42, 7.1005, 7.1005) * CHOOSE(CONTROL!$C$21, $C$9, 100%, $E$9)</f>
        <v>7.1005000000000003</v>
      </c>
      <c r="Q214" s="10">
        <f>CHOOSE(CONTROL!$C$42, 7.8986, 7.8986) * CHOOSE(CONTROL!$C$21, $C$9, 100%, $E$9)</f>
        <v>7.8986000000000001</v>
      </c>
      <c r="R214" s="10">
        <f>CHOOSE(CONTROL!$C$42, 8.5054, 8.5054) * CHOOSE(CONTROL!$C$21, $C$9, 100%, $E$9)</f>
        <v>8.5053999999999998</v>
      </c>
      <c r="S214" s="10">
        <f>CHOOSE(CONTROL!$C$42, 6.9753, 6.9753) * CHOOSE(CONTROL!$C$21, $C$9, 100%, $E$9)</f>
        <v>6.9752999999999998</v>
      </c>
      <c r="T21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14" s="38">
        <f>(1000*CHOOSE(CONTROL!$C$42, 695, 695)*CHOOSE(CONTROL!$C$42, 0.5599, 0.5599)*CHOOSE(CONTROL!$C$42, 31, 31))/1000000</f>
        <v>12.063045499999998</v>
      </c>
      <c r="V214" s="38">
        <f>(1000*CHOOSE(CONTROL!$C$42, 500, 500)*CHOOSE(CONTROL!$C$42, 0.275, 0.275)*CHOOSE(CONTROL!$C$42, 31, 31))/1000000</f>
        <v>4.2625000000000002</v>
      </c>
      <c r="W214" s="38">
        <f>(1000*CHOOSE(CONTROL!$C$42, 0.1146, 0.1146)*CHOOSE(CONTROL!$C$42, 121.5, 121.5)*CHOOSE(CONTROL!$C$42, 31, 31))/1000000</f>
        <v>0.43164089999999994</v>
      </c>
      <c r="X214" s="38">
        <f>(31*0.1790888*245000/1000000)+(31*0.2374*100000/1000000)</f>
        <v>2.0961194359999999</v>
      </c>
      <c r="Y214" s="38">
        <f>(1000*600*CHOOSE(CONTROL!$C$42, 1.6846, 1.6846)*CHOOSE(CONTROL!$C$42, 31, 31))/1000000</f>
        <v>31.333560000000002</v>
      </c>
      <c r="Z214" s="38"/>
      <c r="AA214" s="10"/>
      <c r="AB214" s="39"/>
      <c r="AC214" s="33">
        <f>(B214*131.881+C214*277.167+D214*79.08+E214*125.872+F214*40+G214*185+H214*0+I214*100+J214*300)/(131.881+277.167+79.08+125.872+0+40+185+100+300)</f>
        <v>7.1949712247780457</v>
      </c>
      <c r="AD214" s="27">
        <f>(M214*'RAP TEMPLATE-GAS AVAILABILITY'!O213+N214*'RAP TEMPLATE-GAS AVAILABILITY'!P213+O214*'RAP TEMPLATE-GAS AVAILABILITY'!Q213+P214*'RAP TEMPLATE-GAS AVAILABILITY'!R213)/('RAP TEMPLATE-GAS AVAILABILITY'!O213+'RAP TEMPLATE-GAS AVAILABILITY'!P213+'RAP TEMPLATE-GAS AVAILABILITY'!Q213+'RAP TEMPLATE-GAS AVAILABILITY'!R213)</f>
        <v>7.1373949640287782</v>
      </c>
    </row>
    <row r="215" spans="1:30" ht="15">
      <c r="A215" s="16">
        <v>47788</v>
      </c>
      <c r="B215" s="10">
        <f>CHOOSE(CONTROL!$C$42, 7.3762, 7.3762) * CHOOSE(CONTROL!$C$21, $C$9, 100%, $E$9)</f>
        <v>7.3761999999999999</v>
      </c>
      <c r="C215" s="10">
        <f>CHOOSE(CONTROL!$C$42, 7.3813, 7.3813) * CHOOSE(CONTROL!$C$21, $C$9, 100%, $E$9)</f>
        <v>7.3813000000000004</v>
      </c>
      <c r="D215" s="10">
        <f>CHOOSE(CONTROL!$C$42, 7.406, 7.406) * CHOOSE(CONTROL!$C$21, $C$9, 100%, $E$9)</f>
        <v>7.4059999999999997</v>
      </c>
      <c r="E215" s="10">
        <f>CHOOSE(CONTROL!$C$42, 7.4398, 7.4398) * CHOOSE(CONTROL!$C$21, $C$9, 100%, $E$9)</f>
        <v>7.4398</v>
      </c>
      <c r="F215" s="10">
        <f>CHOOSE(CONTROL!$C$42, 7.3445, 7.3445)*CHOOSE(CONTROL!$C$21, $C$9, 100%, $E$9)</f>
        <v>7.3445</v>
      </c>
      <c r="G215" s="10">
        <f>CHOOSE(CONTROL!$C$42, 7.3605, 7.3605)*CHOOSE(CONTROL!$C$21, $C$9, 100%, $E$9)</f>
        <v>7.3605</v>
      </c>
      <c r="H215" s="10">
        <f>CHOOSE(CONTROL!$C$42, 7.4287, 7.4287) * CHOOSE(CONTROL!$C$21, $C$9, 100%, $E$9)</f>
        <v>7.4287000000000001</v>
      </c>
      <c r="I215" s="10">
        <f>CHOOSE(CONTROL!$C$42, 7.3912, 7.3912)* CHOOSE(CONTROL!$C$21, $C$9, 100%, $E$9)</f>
        <v>7.3912000000000004</v>
      </c>
      <c r="J215" s="10">
        <f>CHOOSE(CONTROL!$C$42, 7.3371, 7.3371)* CHOOSE(CONTROL!$C$21, $C$9, 100%, $E$9)</f>
        <v>7.3371000000000004</v>
      </c>
      <c r="K215" s="10">
        <f>CHOOSE(CONTROL!$C$42, 7.3231, 7.3231) * CHOOSE(CONTROL!$C$21, $C$9, 100%, $E$9)</f>
        <v>7.3231000000000002</v>
      </c>
      <c r="L215" s="10">
        <f>CHOOSE(CONTROL!$C$42, 8.0157, 8.0157) * CHOOSE(CONTROL!$C$21, $C$9, 100%, $E$9)</f>
        <v>8.0157000000000007</v>
      </c>
      <c r="M215" s="10">
        <f>CHOOSE(CONTROL!$C$42, 7.2678, 7.2678) * CHOOSE(CONTROL!$C$21, $C$9, 100%, $E$9)</f>
        <v>7.2678000000000003</v>
      </c>
      <c r="N215" s="10">
        <f>CHOOSE(CONTROL!$C$42, 7.2836, 7.2836) * CHOOSE(CONTROL!$C$21, $C$9, 100%, $E$9)</f>
        <v>7.2835999999999999</v>
      </c>
      <c r="O215" s="10">
        <f>CHOOSE(CONTROL!$C$42, 7.3581, 7.3581) * CHOOSE(CONTROL!$C$21, $C$9, 100%, $E$9)</f>
        <v>7.3581000000000003</v>
      </c>
      <c r="P215" s="10">
        <f>CHOOSE(CONTROL!$C$42, 7.3212, 7.3212) * CHOOSE(CONTROL!$C$21, $C$9, 100%, $E$9)</f>
        <v>7.3212000000000002</v>
      </c>
      <c r="Q215" s="10">
        <f>CHOOSE(CONTROL!$C$42, 7.9534, 7.9534) * CHOOSE(CONTROL!$C$21, $C$9, 100%, $E$9)</f>
        <v>7.9534000000000002</v>
      </c>
      <c r="R215" s="10">
        <f>CHOOSE(CONTROL!$C$42, 8.5602, 8.5602) * CHOOSE(CONTROL!$C$21, $C$9, 100%, $E$9)</f>
        <v>8.5602</v>
      </c>
      <c r="S215" s="10">
        <f>CHOOSE(CONTROL!$C$42, 7.159, 7.159) * CHOOSE(CONTROL!$C$21, $C$9, 100%, $E$9)</f>
        <v>7.1589999999999998</v>
      </c>
      <c r="T21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15" s="38">
        <f>(1000*CHOOSE(CONTROL!$C$42, 695, 695)*CHOOSE(CONTROL!$C$42, 0.5599, 0.5599)*CHOOSE(CONTROL!$C$42, 30, 30))/1000000</f>
        <v>11.673914999999997</v>
      </c>
      <c r="V215" s="38">
        <f>(1000*CHOOSE(CONTROL!$C$42, 500, 500)*CHOOSE(CONTROL!$C$42, 0.275, 0.275)*CHOOSE(CONTROL!$C$42, 30, 30))/1000000</f>
        <v>4.125</v>
      </c>
      <c r="W215" s="38">
        <f>(1000*CHOOSE(CONTROL!$C$42, 0.1146, 0.1146)*CHOOSE(CONTROL!$C$42, 121.5, 121.5)*CHOOSE(CONTROL!$C$42, 30, 30))/1000000</f>
        <v>0.417717</v>
      </c>
      <c r="X215" s="38">
        <f>(30*0.1790888*100000/1000000)+(30*0.2374*100000/1000000)</f>
        <v>1.2494664</v>
      </c>
      <c r="Y215" s="38">
        <f>(1000*600*CHOOSE(CONTROL!$C$42, 1.6846, 1.6846)*CHOOSE(CONTROL!$C$42, 30, 30))/1000000</f>
        <v>30.322800000000004</v>
      </c>
      <c r="Z215" s="38"/>
      <c r="AA215" s="10"/>
      <c r="AB215" s="39"/>
      <c r="AC215" s="33">
        <f>(B215*122.58+C215*297.941+D215*89.177+E215*40.302+F215*40+G215*160+H215*0+I215*100+J215*300)/(122.58+297.941+89.177+40.302+0+40+160+100+300)</f>
        <v>7.3698784181739123</v>
      </c>
      <c r="AD215" s="27">
        <f>(M215*'RAP TEMPLATE-GAS AVAILABILITY'!O214+N215*'RAP TEMPLATE-GAS AVAILABILITY'!P214+O215*'RAP TEMPLATE-GAS AVAILABILITY'!Q214+P215*'RAP TEMPLATE-GAS AVAILABILITY'!R214)/('RAP TEMPLATE-GAS AVAILABILITY'!O214+'RAP TEMPLATE-GAS AVAILABILITY'!P214+'RAP TEMPLATE-GAS AVAILABILITY'!Q214+'RAP TEMPLATE-GAS AVAILABILITY'!R214)</f>
        <v>7.3173201438848929</v>
      </c>
    </row>
    <row r="216" spans="1:30" ht="15">
      <c r="A216" s="16">
        <v>47818</v>
      </c>
      <c r="B216" s="10">
        <f>CHOOSE(CONTROL!$C$42, 7.8802, 7.8802) * CHOOSE(CONTROL!$C$21, $C$9, 100%, $E$9)</f>
        <v>7.8802000000000003</v>
      </c>
      <c r="C216" s="10">
        <f>CHOOSE(CONTROL!$C$42, 7.8853, 7.8853) * CHOOSE(CONTROL!$C$21, $C$9, 100%, $E$9)</f>
        <v>7.8853</v>
      </c>
      <c r="D216" s="10">
        <f>CHOOSE(CONTROL!$C$42, 7.91, 7.91) * CHOOSE(CONTROL!$C$21, $C$9, 100%, $E$9)</f>
        <v>7.91</v>
      </c>
      <c r="E216" s="10">
        <f>CHOOSE(CONTROL!$C$42, 7.9438, 7.9438) * CHOOSE(CONTROL!$C$21, $C$9, 100%, $E$9)</f>
        <v>7.9438000000000004</v>
      </c>
      <c r="F216" s="10">
        <f>CHOOSE(CONTROL!$C$42, 7.8505, 7.8505)*CHOOSE(CONTROL!$C$21, $C$9, 100%, $E$9)</f>
        <v>7.8505000000000003</v>
      </c>
      <c r="G216" s="10">
        <f>CHOOSE(CONTROL!$C$42, 7.867, 7.867)*CHOOSE(CONTROL!$C$21, $C$9, 100%, $E$9)</f>
        <v>7.867</v>
      </c>
      <c r="H216" s="10">
        <f>CHOOSE(CONTROL!$C$42, 7.9327, 7.9327) * CHOOSE(CONTROL!$C$21, $C$9, 100%, $E$9)</f>
        <v>7.9326999999999996</v>
      </c>
      <c r="I216" s="10">
        <f>CHOOSE(CONTROL!$C$42, 7.8952, 7.8952)* CHOOSE(CONTROL!$C$21, $C$9, 100%, $E$9)</f>
        <v>7.8952</v>
      </c>
      <c r="J216" s="10">
        <f>CHOOSE(CONTROL!$C$42, 7.8431, 7.8431)* CHOOSE(CONTROL!$C$21, $C$9, 100%, $E$9)</f>
        <v>7.8430999999999997</v>
      </c>
      <c r="K216" s="10">
        <f>CHOOSE(CONTROL!$C$42, 7.8155, 7.8155) * CHOOSE(CONTROL!$C$21, $C$9, 100%, $E$9)</f>
        <v>7.8155000000000001</v>
      </c>
      <c r="L216" s="10">
        <f>CHOOSE(CONTROL!$C$42, 8.5197, 8.5197) * CHOOSE(CONTROL!$C$21, $C$9, 100%, $E$9)</f>
        <v>8.5197000000000003</v>
      </c>
      <c r="M216" s="10">
        <f>CHOOSE(CONTROL!$C$42, 7.7667, 7.7667) * CHOOSE(CONTROL!$C$21, $C$9, 100%, $E$9)</f>
        <v>7.7667000000000002</v>
      </c>
      <c r="N216" s="10">
        <f>CHOOSE(CONTROL!$C$42, 7.7829, 7.7829) * CHOOSE(CONTROL!$C$21, $C$9, 100%, $E$9)</f>
        <v>7.7828999999999997</v>
      </c>
      <c r="O216" s="10">
        <f>CHOOSE(CONTROL!$C$42, 7.855, 7.855) * CHOOSE(CONTROL!$C$21, $C$9, 100%, $E$9)</f>
        <v>7.8550000000000004</v>
      </c>
      <c r="P216" s="10">
        <f>CHOOSE(CONTROL!$C$42, 7.8181, 7.8181) * CHOOSE(CONTROL!$C$21, $C$9, 100%, $E$9)</f>
        <v>7.8181000000000003</v>
      </c>
      <c r="Q216" s="10">
        <f>CHOOSE(CONTROL!$C$42, 8.4503, 8.4503) * CHOOSE(CONTROL!$C$21, $C$9, 100%, $E$9)</f>
        <v>8.4503000000000004</v>
      </c>
      <c r="R216" s="10">
        <f>CHOOSE(CONTROL!$C$42, 9.0585, 9.0585) * CHOOSE(CONTROL!$C$21, $C$9, 100%, $E$9)</f>
        <v>9.0585000000000004</v>
      </c>
      <c r="S216" s="10">
        <f>CHOOSE(CONTROL!$C$42, 7.6471, 7.6471) * CHOOSE(CONTROL!$C$21, $C$9, 100%, $E$9)</f>
        <v>7.6471</v>
      </c>
      <c r="T21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16" s="38">
        <f>(1000*CHOOSE(CONTROL!$C$42, 695, 695)*CHOOSE(CONTROL!$C$42, 0.5599, 0.5599)*CHOOSE(CONTROL!$C$42, 31, 31))/1000000</f>
        <v>12.063045499999998</v>
      </c>
      <c r="V216" s="38">
        <f>(1000*CHOOSE(CONTROL!$C$42, 500, 500)*CHOOSE(CONTROL!$C$42, 0.275, 0.275)*CHOOSE(CONTROL!$C$42, 31, 31))/1000000</f>
        <v>4.2625000000000002</v>
      </c>
      <c r="W216" s="38">
        <f>(1000*CHOOSE(CONTROL!$C$42, 0.1146, 0.1146)*CHOOSE(CONTROL!$C$42, 121.5, 121.5)*CHOOSE(CONTROL!$C$42, 31, 31))/1000000</f>
        <v>0.43164089999999994</v>
      </c>
      <c r="X216" s="38">
        <f>(31*0.1790888*100000/1000000)+(31*0.2374*100000/1000000)</f>
        <v>1.2911152800000001</v>
      </c>
      <c r="Y216" s="38">
        <f>(1000*600*CHOOSE(CONTROL!$C$42, 1.6846, 1.6846)*CHOOSE(CONTROL!$C$42, 31, 31))/1000000</f>
        <v>31.333560000000002</v>
      </c>
      <c r="Z216" s="38"/>
      <c r="AA216" s="10"/>
      <c r="AB216" s="39"/>
      <c r="AC216" s="33">
        <f>(B216*122.58+C216*297.941+D216*89.177+E216*40.302+F216*40+G216*160+H216*0+I216*100+J216*300)/(122.58+297.941+89.177+40.302+0+40+160+100+300)</f>
        <v>7.8748175486086955</v>
      </c>
      <c r="AD216" s="27">
        <f>(M216*'RAP TEMPLATE-GAS AVAILABILITY'!O215+N216*'RAP TEMPLATE-GAS AVAILABILITY'!P215+O216*'RAP TEMPLATE-GAS AVAILABILITY'!Q215+P216*'RAP TEMPLATE-GAS AVAILABILITY'!R215)/('RAP TEMPLATE-GAS AVAILABILITY'!O215+'RAP TEMPLATE-GAS AVAILABILITY'!P215+'RAP TEMPLATE-GAS AVAILABILITY'!Q215+'RAP TEMPLATE-GAS AVAILABILITY'!R215)</f>
        <v>7.81504892086331</v>
      </c>
    </row>
    <row r="217" spans="1:30" ht="15">
      <c r="A217" s="16">
        <v>47849</v>
      </c>
      <c r="B217" s="10">
        <f>CHOOSE(CONTROL!$C$42, 8.4132, 8.4132) * CHOOSE(CONTROL!$C$21, $C$9, 100%, $E$9)</f>
        <v>8.4131999999999998</v>
      </c>
      <c r="C217" s="10">
        <f>CHOOSE(CONTROL!$C$42, 8.4183, 8.4183) * CHOOSE(CONTROL!$C$21, $C$9, 100%, $E$9)</f>
        <v>8.4183000000000003</v>
      </c>
      <c r="D217" s="10">
        <f>CHOOSE(CONTROL!$C$42, 8.4507, 8.4507) * CHOOSE(CONTROL!$C$21, $C$9, 100%, $E$9)</f>
        <v>8.4506999999999994</v>
      </c>
      <c r="E217" s="10">
        <f>CHOOSE(CONTROL!$C$42, 8.4845, 8.4845) * CHOOSE(CONTROL!$C$21, $C$9, 100%, $E$9)</f>
        <v>8.4845000000000006</v>
      </c>
      <c r="F217" s="10">
        <f>CHOOSE(CONTROL!$C$42, 8.3974, 8.3974)*CHOOSE(CONTROL!$C$21, $C$9, 100%, $E$9)</f>
        <v>8.3973999999999993</v>
      </c>
      <c r="G217" s="10">
        <f>CHOOSE(CONTROL!$C$42, 8.4154, 8.4154)*CHOOSE(CONTROL!$C$21, $C$9, 100%, $E$9)</f>
        <v>8.4154</v>
      </c>
      <c r="H217" s="10">
        <f>CHOOSE(CONTROL!$C$42, 8.4734, 8.4734) * CHOOSE(CONTROL!$C$21, $C$9, 100%, $E$9)</f>
        <v>8.4733999999999998</v>
      </c>
      <c r="I217" s="10">
        <f>CHOOSE(CONTROL!$C$42, 8.4266, 8.4266)* CHOOSE(CONTROL!$C$21, $C$9, 100%, $E$9)</f>
        <v>8.4266000000000005</v>
      </c>
      <c r="J217" s="10">
        <f>CHOOSE(CONTROL!$C$42, 8.39, 8.39)* CHOOSE(CONTROL!$C$21, $C$9, 100%, $E$9)</f>
        <v>8.39</v>
      </c>
      <c r="K217" s="10">
        <f>CHOOSE(CONTROL!$C$42, 8.3442, 8.3442) * CHOOSE(CONTROL!$C$21, $C$9, 100%, $E$9)</f>
        <v>8.3442000000000007</v>
      </c>
      <c r="L217" s="10">
        <f>CHOOSE(CONTROL!$C$42, 9.0604, 9.0604) * CHOOSE(CONTROL!$C$21, $C$9, 100%, $E$9)</f>
        <v>9.0603999999999996</v>
      </c>
      <c r="M217" s="10">
        <f>CHOOSE(CONTROL!$C$42, 8.306, 8.306) * CHOOSE(CONTROL!$C$21, $C$9, 100%, $E$9)</f>
        <v>8.3059999999999992</v>
      </c>
      <c r="N217" s="10">
        <f>CHOOSE(CONTROL!$C$42, 8.3237, 8.3237) * CHOOSE(CONTROL!$C$21, $C$9, 100%, $E$9)</f>
        <v>8.3237000000000005</v>
      </c>
      <c r="O217" s="10">
        <f>CHOOSE(CONTROL!$C$42, 8.3882, 8.3882) * CHOOSE(CONTROL!$C$21, $C$9, 100%, $E$9)</f>
        <v>8.3881999999999994</v>
      </c>
      <c r="P217" s="10">
        <f>CHOOSE(CONTROL!$C$42, 8.3421, 8.3421) * CHOOSE(CONTROL!$C$21, $C$9, 100%, $E$9)</f>
        <v>8.3421000000000003</v>
      </c>
      <c r="Q217" s="10">
        <f>CHOOSE(CONTROL!$C$42, 8.9835, 8.9835) * CHOOSE(CONTROL!$C$21, $C$9, 100%, $E$9)</f>
        <v>8.9834999999999994</v>
      </c>
      <c r="R217" s="10">
        <f>CHOOSE(CONTROL!$C$42, 9.593, 9.593) * CHOOSE(CONTROL!$C$21, $C$9, 100%, $E$9)</f>
        <v>9.593</v>
      </c>
      <c r="S217" s="10">
        <f>CHOOSE(CONTROL!$C$42, 8.1631, 8.1631) * CHOOSE(CONTROL!$C$21, $C$9, 100%, $E$9)</f>
        <v>8.1631</v>
      </c>
      <c r="T21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17" s="38">
        <f>(1000*CHOOSE(CONTROL!$C$42, 695, 695)*CHOOSE(CONTROL!$C$42, 0.5599, 0.5599)*CHOOSE(CONTROL!$C$42, 31, 31))/1000000</f>
        <v>12.063045499999998</v>
      </c>
      <c r="V217" s="38">
        <f>(1000*CHOOSE(CONTROL!$C$42, 500, 500)*CHOOSE(CONTROL!$C$42, 0.275, 0.275)*CHOOSE(CONTROL!$C$42, 31, 31))/1000000</f>
        <v>4.2625000000000002</v>
      </c>
      <c r="W217" s="38">
        <f>(1000*CHOOSE(CONTROL!$C$42, 0.1146, 0.1146)*CHOOSE(CONTROL!$C$42, 121.5, 121.5)*CHOOSE(CONTROL!$C$42, 31, 31))/1000000</f>
        <v>0.43164089999999994</v>
      </c>
      <c r="X217" s="38">
        <f>(31*0.1790888*100000/1000000)+(31*0.2374*100000/1000000)</f>
        <v>1.2911152800000001</v>
      </c>
      <c r="Y217" s="38">
        <f>(1000*600*CHOOSE(CONTROL!$C$42, 1.6681, 1.6681)*CHOOSE(CONTROL!$C$42, 31, 31))/1000000</f>
        <v>31.02666</v>
      </c>
      <c r="Z217" s="38"/>
      <c r="AA217" s="10"/>
      <c r="AB217" s="39"/>
      <c r="AC217" s="33">
        <f>(B217*122.58+C217*297.941+D217*89.177+E217*40.302+F217*40+G217*160+H217*0+I217*100+J217*300)/(122.58+297.941+89.177+40.302+0+40+160+100+300)</f>
        <v>8.4147975384347831</v>
      </c>
      <c r="AD217" s="27">
        <f>(M217*'RAP TEMPLATE-GAS AVAILABILITY'!O216+N217*'RAP TEMPLATE-GAS AVAILABILITY'!P216+O217*'RAP TEMPLATE-GAS AVAILABILITY'!Q216+P217*'RAP TEMPLATE-GAS AVAILABILITY'!R216)/('RAP TEMPLATE-GAS AVAILABILITY'!O216+'RAP TEMPLATE-GAS AVAILABILITY'!P216+'RAP TEMPLATE-GAS AVAILABILITY'!Q216+'RAP TEMPLATE-GAS AVAILABILITY'!R216)</f>
        <v>8.3494690647482024</v>
      </c>
    </row>
    <row r="218" spans="1:30" ht="15">
      <c r="A218" s="16">
        <v>47880</v>
      </c>
      <c r="B218" s="10">
        <f>CHOOSE(CONTROL!$C$42, 8.5632, 8.5632) * CHOOSE(CONTROL!$C$21, $C$9, 100%, $E$9)</f>
        <v>8.5632000000000001</v>
      </c>
      <c r="C218" s="10">
        <f>CHOOSE(CONTROL!$C$42, 8.5683, 8.5683) * CHOOSE(CONTROL!$C$21, $C$9, 100%, $E$9)</f>
        <v>8.5683000000000007</v>
      </c>
      <c r="D218" s="10">
        <f>CHOOSE(CONTROL!$C$42, 8.6008, 8.6008) * CHOOSE(CONTROL!$C$21, $C$9, 100%, $E$9)</f>
        <v>8.6007999999999996</v>
      </c>
      <c r="E218" s="10">
        <f>CHOOSE(CONTROL!$C$42, 8.6346, 8.6346) * CHOOSE(CONTROL!$C$21, $C$9, 100%, $E$9)</f>
        <v>8.6346000000000007</v>
      </c>
      <c r="F218" s="10">
        <f>CHOOSE(CONTROL!$C$42, 8.547, 8.547)*CHOOSE(CONTROL!$C$21, $C$9, 100%, $E$9)</f>
        <v>8.5470000000000006</v>
      </c>
      <c r="G218" s="10">
        <f>CHOOSE(CONTROL!$C$42, 8.5649, 8.5649)*CHOOSE(CONTROL!$C$21, $C$9, 100%, $E$9)</f>
        <v>8.5648999999999997</v>
      </c>
      <c r="H218" s="10">
        <f>CHOOSE(CONTROL!$C$42, 8.6235, 8.6235) * CHOOSE(CONTROL!$C$21, $C$9, 100%, $E$9)</f>
        <v>8.6234999999999999</v>
      </c>
      <c r="I218" s="10">
        <f>CHOOSE(CONTROL!$C$42, 8.5767, 8.5767)* CHOOSE(CONTROL!$C$21, $C$9, 100%, $E$9)</f>
        <v>8.5767000000000007</v>
      </c>
      <c r="J218" s="10">
        <f>CHOOSE(CONTROL!$C$42, 8.5396, 8.5396)* CHOOSE(CONTROL!$C$21, $C$9, 100%, $E$9)</f>
        <v>8.5396000000000001</v>
      </c>
      <c r="K218" s="10">
        <f>CHOOSE(CONTROL!$C$42, 8.4886, 8.4886) * CHOOSE(CONTROL!$C$21, $C$9, 100%, $E$9)</f>
        <v>8.4885999999999999</v>
      </c>
      <c r="L218" s="10">
        <f>CHOOSE(CONTROL!$C$42, 9.2105, 9.2105) * CHOOSE(CONTROL!$C$21, $C$9, 100%, $E$9)</f>
        <v>9.2104999999999997</v>
      </c>
      <c r="M218" s="10">
        <f>CHOOSE(CONTROL!$C$42, 8.4535, 8.4535) * CHOOSE(CONTROL!$C$21, $C$9, 100%, $E$9)</f>
        <v>8.4535</v>
      </c>
      <c r="N218" s="10">
        <f>CHOOSE(CONTROL!$C$42, 8.4711, 8.4711) * CHOOSE(CONTROL!$C$21, $C$9, 100%, $E$9)</f>
        <v>8.4710999999999999</v>
      </c>
      <c r="O218" s="10">
        <f>CHOOSE(CONTROL!$C$42, 8.5362, 8.5362) * CHOOSE(CONTROL!$C$21, $C$9, 100%, $E$9)</f>
        <v>8.5361999999999991</v>
      </c>
      <c r="P218" s="10">
        <f>CHOOSE(CONTROL!$C$42, 8.4901, 8.4901) * CHOOSE(CONTROL!$C$21, $C$9, 100%, $E$9)</f>
        <v>8.4901</v>
      </c>
      <c r="Q218" s="10">
        <f>CHOOSE(CONTROL!$C$42, 9.1315, 9.1315) * CHOOSE(CONTROL!$C$21, $C$9, 100%, $E$9)</f>
        <v>9.1315000000000008</v>
      </c>
      <c r="R218" s="10">
        <f>CHOOSE(CONTROL!$C$42, 9.7413, 9.7413) * CHOOSE(CONTROL!$C$21, $C$9, 100%, $E$9)</f>
        <v>9.7413000000000007</v>
      </c>
      <c r="S218" s="10">
        <f>CHOOSE(CONTROL!$C$42, 8.3084, 8.3084) * CHOOSE(CONTROL!$C$21, $C$9, 100%, $E$9)</f>
        <v>8.3084000000000007</v>
      </c>
      <c r="T21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18" s="38">
        <f>(1000*CHOOSE(CONTROL!$C$42, 695, 695)*CHOOSE(CONTROL!$C$42, 0.5599, 0.5599)*CHOOSE(CONTROL!$C$42, 28, 28))/1000000</f>
        <v>10.895653999999999</v>
      </c>
      <c r="V218" s="38">
        <f>(1000*CHOOSE(CONTROL!$C$42, 500, 500)*CHOOSE(CONTROL!$C$42, 0.275, 0.275)*CHOOSE(CONTROL!$C$42, 28, 28))/1000000</f>
        <v>3.85</v>
      </c>
      <c r="W218" s="38">
        <f>(1000*CHOOSE(CONTROL!$C$42, 0.1146, 0.1146)*CHOOSE(CONTROL!$C$42, 121.5, 121.5)*CHOOSE(CONTROL!$C$42, 28, 28))/1000000</f>
        <v>0.38986920000000003</v>
      </c>
      <c r="X218" s="38">
        <f>(28*0.1790888*100000/1000000)+(28*0.2374*100000/1000000)</f>
        <v>1.16616864</v>
      </c>
      <c r="Y218" s="38">
        <f>(1000*600*CHOOSE(CONTROL!$C$42, 1.6681, 1.6681)*CHOOSE(CONTROL!$C$42, 28, 28))/1000000</f>
        <v>28.024080000000001</v>
      </c>
      <c r="Z218" s="38"/>
      <c r="AA218" s="10"/>
      <c r="AB218" s="39"/>
      <c r="AC218" s="33">
        <f>(B218*122.58+C218*297.941+D218*89.177+E218*40.302+F218*40+G218*160+H218*0+I218*100+J218*300)/(122.58+297.941+89.177+40.302+0+40+160+100+300)</f>
        <v>8.5646296670434783</v>
      </c>
      <c r="AD218" s="27">
        <f>(M218*'RAP TEMPLATE-GAS AVAILABILITY'!O217+N218*'RAP TEMPLATE-GAS AVAILABILITY'!P217+O218*'RAP TEMPLATE-GAS AVAILABILITY'!Q217+P218*'RAP TEMPLATE-GAS AVAILABILITY'!R217)/('RAP TEMPLATE-GAS AVAILABILITY'!O217+'RAP TEMPLATE-GAS AVAILABILITY'!P217+'RAP TEMPLATE-GAS AVAILABILITY'!Q217+'RAP TEMPLATE-GAS AVAILABILITY'!R217)</f>
        <v>8.4972618705035963</v>
      </c>
    </row>
    <row r="219" spans="1:30" ht="15">
      <c r="A219" s="16">
        <v>47908</v>
      </c>
      <c r="B219" s="10">
        <f>CHOOSE(CONTROL!$C$42, 8.3197, 8.3197) * CHOOSE(CONTROL!$C$21, $C$9, 100%, $E$9)</f>
        <v>8.3196999999999992</v>
      </c>
      <c r="C219" s="10">
        <f>CHOOSE(CONTROL!$C$42, 8.3248, 8.3248) * CHOOSE(CONTROL!$C$21, $C$9, 100%, $E$9)</f>
        <v>8.3247999999999998</v>
      </c>
      <c r="D219" s="10">
        <f>CHOOSE(CONTROL!$C$42, 8.3572, 8.3572) * CHOOSE(CONTROL!$C$21, $C$9, 100%, $E$9)</f>
        <v>8.3572000000000006</v>
      </c>
      <c r="E219" s="10">
        <f>CHOOSE(CONTROL!$C$42, 8.391, 8.391) * CHOOSE(CONTROL!$C$21, $C$9, 100%, $E$9)</f>
        <v>8.391</v>
      </c>
      <c r="F219" s="10">
        <f>CHOOSE(CONTROL!$C$42, 8.3019, 8.3019)*CHOOSE(CONTROL!$C$21, $C$9, 100%, $E$9)</f>
        <v>8.3018999999999998</v>
      </c>
      <c r="G219" s="10">
        <f>CHOOSE(CONTROL!$C$42, 8.3195, 8.3195)*CHOOSE(CONTROL!$C$21, $C$9, 100%, $E$9)</f>
        <v>8.3194999999999997</v>
      </c>
      <c r="H219" s="10">
        <f>CHOOSE(CONTROL!$C$42, 8.3799, 8.3799) * CHOOSE(CONTROL!$C$21, $C$9, 100%, $E$9)</f>
        <v>8.3798999999999992</v>
      </c>
      <c r="I219" s="10">
        <f>CHOOSE(CONTROL!$C$42, 8.3331, 8.3331)* CHOOSE(CONTROL!$C$21, $C$9, 100%, $E$9)</f>
        <v>8.3331</v>
      </c>
      <c r="J219" s="10">
        <f>CHOOSE(CONTROL!$C$42, 8.2945, 8.2945)* CHOOSE(CONTROL!$C$21, $C$9, 100%, $E$9)</f>
        <v>8.2944999999999993</v>
      </c>
      <c r="K219" s="10">
        <f>CHOOSE(CONTROL!$C$42, 8.2495, 8.2495) * CHOOSE(CONTROL!$C$21, $C$9, 100%, $E$9)</f>
        <v>8.2494999999999994</v>
      </c>
      <c r="L219" s="10">
        <f>CHOOSE(CONTROL!$C$42, 8.9669, 8.9669) * CHOOSE(CONTROL!$C$21, $C$9, 100%, $E$9)</f>
        <v>8.9669000000000008</v>
      </c>
      <c r="M219" s="10">
        <f>CHOOSE(CONTROL!$C$42, 8.2118, 8.2118) * CHOOSE(CONTROL!$C$21, $C$9, 100%, $E$9)</f>
        <v>8.2118000000000002</v>
      </c>
      <c r="N219" s="10">
        <f>CHOOSE(CONTROL!$C$42, 8.2292, 8.2292) * CHOOSE(CONTROL!$C$21, $C$9, 100%, $E$9)</f>
        <v>8.2292000000000005</v>
      </c>
      <c r="O219" s="10">
        <f>CHOOSE(CONTROL!$C$42, 8.296, 8.296) * CHOOSE(CONTROL!$C$21, $C$9, 100%, $E$9)</f>
        <v>8.2959999999999994</v>
      </c>
      <c r="P219" s="10">
        <f>CHOOSE(CONTROL!$C$42, 8.2499, 8.2499) * CHOOSE(CONTROL!$C$21, $C$9, 100%, $E$9)</f>
        <v>8.2499000000000002</v>
      </c>
      <c r="Q219" s="10">
        <f>CHOOSE(CONTROL!$C$42, 8.8913, 8.8913) * CHOOSE(CONTROL!$C$21, $C$9, 100%, $E$9)</f>
        <v>8.8912999999999993</v>
      </c>
      <c r="R219" s="10">
        <f>CHOOSE(CONTROL!$C$42, 9.5005, 9.5005) * CHOOSE(CONTROL!$C$21, $C$9, 100%, $E$9)</f>
        <v>9.5005000000000006</v>
      </c>
      <c r="S219" s="10">
        <f>CHOOSE(CONTROL!$C$42, 8.0726, 8.0726) * CHOOSE(CONTROL!$C$21, $C$9, 100%, $E$9)</f>
        <v>8.0725999999999996</v>
      </c>
      <c r="T21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19" s="38">
        <f>(1000*CHOOSE(CONTROL!$C$42, 695, 695)*CHOOSE(CONTROL!$C$42, 0.5599, 0.5599)*CHOOSE(CONTROL!$C$42, 31, 31))/1000000</f>
        <v>12.063045499999998</v>
      </c>
      <c r="V219" s="38">
        <f>(1000*CHOOSE(CONTROL!$C$42, 500, 500)*CHOOSE(CONTROL!$C$42, 0.275, 0.275)*CHOOSE(CONTROL!$C$42, 31, 31))/1000000</f>
        <v>4.2625000000000002</v>
      </c>
      <c r="W219" s="38">
        <f>(1000*CHOOSE(CONTROL!$C$42, 0.1146, 0.1146)*CHOOSE(CONTROL!$C$42, 121.5, 121.5)*CHOOSE(CONTROL!$C$42, 31, 31))/1000000</f>
        <v>0.43164089999999994</v>
      </c>
      <c r="X219" s="38">
        <f>(31*0.1790888*100000/1000000)+(31*0.2374*100000/1000000)</f>
        <v>1.2911152800000001</v>
      </c>
      <c r="Y219" s="38">
        <f>(1000*600*CHOOSE(CONTROL!$C$42, 1.6681, 1.6681)*CHOOSE(CONTROL!$C$42, 31, 31))/1000000</f>
        <v>31.02666</v>
      </c>
      <c r="Z219" s="38"/>
      <c r="AA219" s="10"/>
      <c r="AB219" s="39"/>
      <c r="AC219" s="33">
        <f>(B219*122.58+C219*297.941+D219*89.177+E219*40.302+F219*40+G219*160+H219*0+I219*100+J219*300)/(122.58+297.941+89.177+40.302+0+40+160+100+300)</f>
        <v>8.320372321043477</v>
      </c>
      <c r="AD219" s="27">
        <f>(M219*'RAP TEMPLATE-GAS AVAILABILITY'!O218+N219*'RAP TEMPLATE-GAS AVAILABILITY'!P218+O219*'RAP TEMPLATE-GAS AVAILABILITY'!Q218+P219*'RAP TEMPLATE-GAS AVAILABILITY'!R218)/('RAP TEMPLATE-GAS AVAILABILITY'!O218+'RAP TEMPLATE-GAS AVAILABILITY'!P218+'RAP TEMPLATE-GAS AVAILABILITY'!Q218+'RAP TEMPLATE-GAS AVAILABILITY'!R218)</f>
        <v>8.2564460431654663</v>
      </c>
    </row>
    <row r="220" spans="1:30" ht="15">
      <c r="A220" s="16">
        <v>47939</v>
      </c>
      <c r="B220" s="10">
        <f>CHOOSE(CONTROL!$C$42, 8.2955, 8.2955) * CHOOSE(CONTROL!$C$21, $C$9, 100%, $E$9)</f>
        <v>8.2955000000000005</v>
      </c>
      <c r="C220" s="10">
        <f>CHOOSE(CONTROL!$C$42, 8.3, 8.3) * CHOOSE(CONTROL!$C$21, $C$9, 100%, $E$9)</f>
        <v>8.3000000000000007</v>
      </c>
      <c r="D220" s="10">
        <f>CHOOSE(CONTROL!$C$42, 8.4601, 8.4601) * CHOOSE(CONTROL!$C$21, $C$9, 100%, $E$9)</f>
        <v>8.4601000000000006</v>
      </c>
      <c r="E220" s="10">
        <f>CHOOSE(CONTROL!$C$42, 8.492, 8.492) * CHOOSE(CONTROL!$C$21, $C$9, 100%, $E$9)</f>
        <v>8.4920000000000009</v>
      </c>
      <c r="F220" s="10">
        <f>CHOOSE(CONTROL!$C$42, 8.2416, 8.2416)*CHOOSE(CONTROL!$C$21, $C$9, 100%, $E$9)</f>
        <v>8.2416</v>
      </c>
      <c r="G220" s="10">
        <f>CHOOSE(CONTROL!$C$42, 8.2574, 8.2574)*CHOOSE(CONTROL!$C$21, $C$9, 100%, $E$9)</f>
        <v>8.2574000000000005</v>
      </c>
      <c r="H220" s="10">
        <f>CHOOSE(CONTROL!$C$42, 8.4814, 8.4814) * CHOOSE(CONTROL!$C$21, $C$9, 100%, $E$9)</f>
        <v>8.4814000000000007</v>
      </c>
      <c r="I220" s="10">
        <f>CHOOSE(CONTROL!$C$42, 8.2756, 8.2756)* CHOOSE(CONTROL!$C$21, $C$9, 100%, $E$9)</f>
        <v>8.2756000000000007</v>
      </c>
      <c r="J220" s="10">
        <f>CHOOSE(CONTROL!$C$42, 8.2342, 8.2342)* CHOOSE(CONTROL!$C$21, $C$9, 100%, $E$9)</f>
        <v>8.2341999999999995</v>
      </c>
      <c r="K220" s="10">
        <f>CHOOSE(CONTROL!$C$42, 8.1778, 8.1778) * CHOOSE(CONTROL!$C$21, $C$9, 100%, $E$9)</f>
        <v>8.1777999999999995</v>
      </c>
      <c r="L220" s="10">
        <f>CHOOSE(CONTROL!$C$42, 9.0684, 9.0684) * CHOOSE(CONTROL!$C$21, $C$9, 100%, $E$9)</f>
        <v>9.0684000000000005</v>
      </c>
      <c r="M220" s="10">
        <f>CHOOSE(CONTROL!$C$42, 8.1523, 8.1523) * CHOOSE(CONTROL!$C$21, $C$9, 100%, $E$9)</f>
        <v>8.1523000000000003</v>
      </c>
      <c r="N220" s="10">
        <f>CHOOSE(CONTROL!$C$42, 8.1679, 8.1679) * CHOOSE(CONTROL!$C$21, $C$9, 100%, $E$9)</f>
        <v>8.1678999999999995</v>
      </c>
      <c r="O220" s="10">
        <f>CHOOSE(CONTROL!$C$42, 8.3961, 8.3961) * CHOOSE(CONTROL!$C$21, $C$9, 100%, $E$9)</f>
        <v>8.3961000000000006</v>
      </c>
      <c r="P220" s="10">
        <f>CHOOSE(CONTROL!$C$42, 8.1932, 8.1932) * CHOOSE(CONTROL!$C$21, $C$9, 100%, $E$9)</f>
        <v>8.1931999999999992</v>
      </c>
      <c r="Q220" s="10">
        <f>CHOOSE(CONTROL!$C$42, 8.9914, 8.9914) * CHOOSE(CONTROL!$C$21, $C$9, 100%, $E$9)</f>
        <v>8.9914000000000005</v>
      </c>
      <c r="R220" s="10">
        <f>CHOOSE(CONTROL!$C$42, 9.6009, 9.6009) * CHOOSE(CONTROL!$C$21, $C$9, 100%, $E$9)</f>
        <v>9.6008999999999993</v>
      </c>
      <c r="S220" s="10">
        <f>CHOOSE(CONTROL!$C$42, 8.0484, 8.0484) * CHOOSE(CONTROL!$C$21, $C$9, 100%, $E$9)</f>
        <v>8.0484000000000009</v>
      </c>
      <c r="T22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20" s="38">
        <f>(1000*CHOOSE(CONTROL!$C$42, 695, 695)*CHOOSE(CONTROL!$C$42, 0.5599, 0.5599)*CHOOSE(CONTROL!$C$42, 30, 30))/1000000</f>
        <v>11.673914999999997</v>
      </c>
      <c r="V220" s="38">
        <f>(1000*CHOOSE(CONTROL!$C$42, 500, 500)*CHOOSE(CONTROL!$C$42, 0.275, 0.275)*CHOOSE(CONTROL!$C$42, 30, 30))/1000000</f>
        <v>4.125</v>
      </c>
      <c r="W220" s="38">
        <f>(1000*CHOOSE(CONTROL!$C$42, 0.1146, 0.1146)*CHOOSE(CONTROL!$C$42, 121.5, 121.5)*CHOOSE(CONTROL!$C$42, 30, 30))/1000000</f>
        <v>0.417717</v>
      </c>
      <c r="X220" s="38">
        <f>(30*0.1790888*245000/1000000)+(30*0.2374*100000/1000000)</f>
        <v>2.0285026799999999</v>
      </c>
      <c r="Y220" s="38">
        <f>(1000*600*CHOOSE(CONTROL!$C$42, 1.6681, 1.6681)*CHOOSE(CONTROL!$C$42, 30, 30))/1000000</f>
        <v>30.0258</v>
      </c>
      <c r="Z220" s="38"/>
      <c r="AA220" s="10"/>
      <c r="AB220" s="39"/>
      <c r="AC220" s="33">
        <f>(B220*141.293+C220*267.993+D220*115.016+E220*89.698+F220*40+G220*185+H220*0+I220*100+J220*300)/(141.293+267.993+115.016+89.698+0+40+185+100+300)</f>
        <v>8.3021010969330096</v>
      </c>
      <c r="AD220" s="27">
        <f>(M220*'RAP TEMPLATE-GAS AVAILABILITY'!O219+N220*'RAP TEMPLATE-GAS AVAILABILITY'!P219+O220*'RAP TEMPLATE-GAS AVAILABILITY'!Q219+P220*'RAP TEMPLATE-GAS AVAILABILITY'!R219)/('RAP TEMPLATE-GAS AVAILABILITY'!O219+'RAP TEMPLATE-GAS AVAILABILITY'!P219+'RAP TEMPLATE-GAS AVAILABILITY'!Q219+'RAP TEMPLATE-GAS AVAILABILITY'!R219)</f>
        <v>8.2301805755395687</v>
      </c>
    </row>
    <row r="221" spans="1:30" ht="15">
      <c r="A221" s="16">
        <v>47969</v>
      </c>
      <c r="B221" s="10">
        <f>CHOOSE(CONTROL!$C$42, 8.3706, 8.3706) * CHOOSE(CONTROL!$C$21, $C$9, 100%, $E$9)</f>
        <v>8.3705999999999996</v>
      </c>
      <c r="C221" s="10">
        <f>CHOOSE(CONTROL!$C$42, 8.3786, 8.3786) * CHOOSE(CONTROL!$C$21, $C$9, 100%, $E$9)</f>
        <v>8.3786000000000005</v>
      </c>
      <c r="D221" s="10">
        <f>CHOOSE(CONTROL!$C$42, 8.5357, 8.5357) * CHOOSE(CONTROL!$C$21, $C$9, 100%, $E$9)</f>
        <v>8.5357000000000003</v>
      </c>
      <c r="E221" s="10">
        <f>CHOOSE(CONTROL!$C$42, 8.5669, 8.5669) * CHOOSE(CONTROL!$C$21, $C$9, 100%, $E$9)</f>
        <v>8.5669000000000004</v>
      </c>
      <c r="F221" s="10">
        <f>CHOOSE(CONTROL!$C$42, 8.3148, 8.3148)*CHOOSE(CONTROL!$C$21, $C$9, 100%, $E$9)</f>
        <v>8.3148</v>
      </c>
      <c r="G221" s="10">
        <f>CHOOSE(CONTROL!$C$42, 8.3309, 8.3309)*CHOOSE(CONTROL!$C$21, $C$9, 100%, $E$9)</f>
        <v>8.3308999999999997</v>
      </c>
      <c r="H221" s="10">
        <f>CHOOSE(CONTROL!$C$42, 8.5552, 8.5552) * CHOOSE(CONTROL!$C$21, $C$9, 100%, $E$9)</f>
        <v>8.5551999999999992</v>
      </c>
      <c r="I221" s="10">
        <f>CHOOSE(CONTROL!$C$42, 8.3494, 8.3494)* CHOOSE(CONTROL!$C$21, $C$9, 100%, $E$9)</f>
        <v>8.3493999999999993</v>
      </c>
      <c r="J221" s="10">
        <f>CHOOSE(CONTROL!$C$42, 8.3074, 8.3074)* CHOOSE(CONTROL!$C$21, $C$9, 100%, $E$9)</f>
        <v>8.3073999999999995</v>
      </c>
      <c r="K221" s="10">
        <f>CHOOSE(CONTROL!$C$42, 8.248, 8.248) * CHOOSE(CONTROL!$C$21, $C$9, 100%, $E$9)</f>
        <v>8.2479999999999993</v>
      </c>
      <c r="L221" s="10">
        <f>CHOOSE(CONTROL!$C$42, 9.1422, 9.1422) * CHOOSE(CONTROL!$C$21, $C$9, 100%, $E$9)</f>
        <v>9.1422000000000008</v>
      </c>
      <c r="M221" s="10">
        <f>CHOOSE(CONTROL!$C$42, 8.2245, 8.2245) * CHOOSE(CONTROL!$C$21, $C$9, 100%, $E$9)</f>
        <v>8.2245000000000008</v>
      </c>
      <c r="N221" s="10">
        <f>CHOOSE(CONTROL!$C$42, 8.2404, 8.2404) * CHOOSE(CONTROL!$C$21, $C$9, 100%, $E$9)</f>
        <v>8.2403999999999993</v>
      </c>
      <c r="O221" s="10">
        <f>CHOOSE(CONTROL!$C$42, 8.4689, 8.4689) * CHOOSE(CONTROL!$C$21, $C$9, 100%, $E$9)</f>
        <v>8.4688999999999997</v>
      </c>
      <c r="P221" s="10">
        <f>CHOOSE(CONTROL!$C$42, 8.266, 8.266) * CHOOSE(CONTROL!$C$21, $C$9, 100%, $E$9)</f>
        <v>8.266</v>
      </c>
      <c r="Q221" s="10">
        <f>CHOOSE(CONTROL!$C$42, 9.0642, 9.0642) * CHOOSE(CONTROL!$C$21, $C$9, 100%, $E$9)</f>
        <v>9.0641999999999996</v>
      </c>
      <c r="R221" s="10">
        <f>CHOOSE(CONTROL!$C$42, 9.6739, 9.6739) * CHOOSE(CONTROL!$C$21, $C$9, 100%, $E$9)</f>
        <v>9.6738999999999997</v>
      </c>
      <c r="S221" s="10">
        <f>CHOOSE(CONTROL!$C$42, 8.1199, 8.1199) * CHOOSE(CONTROL!$C$21, $C$9, 100%, $E$9)</f>
        <v>8.1198999999999995</v>
      </c>
      <c r="T22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21" s="38">
        <f>(1000*CHOOSE(CONTROL!$C$42, 695, 695)*CHOOSE(CONTROL!$C$42, 0.5599, 0.5599)*CHOOSE(CONTROL!$C$42, 31, 31))/1000000</f>
        <v>12.063045499999998</v>
      </c>
      <c r="V221" s="38">
        <f>(1000*CHOOSE(CONTROL!$C$42, 500, 500)*CHOOSE(CONTROL!$C$42, 0.275, 0.275)*CHOOSE(CONTROL!$C$42, 31, 31))/1000000</f>
        <v>4.2625000000000002</v>
      </c>
      <c r="W221" s="38">
        <f>(1000*CHOOSE(CONTROL!$C$42, 0.1146, 0.1146)*CHOOSE(CONTROL!$C$42, 121.5, 121.5)*CHOOSE(CONTROL!$C$42, 31, 31))/1000000</f>
        <v>0.43164089999999994</v>
      </c>
      <c r="X221" s="38">
        <f>(31*0.1790888*245000/1000000)+(31*0.2374*100000/1000000)</f>
        <v>2.0961194359999999</v>
      </c>
      <c r="Y221" s="38">
        <f>(1000*600*CHOOSE(CONTROL!$C$42, 1.6681, 1.6681)*CHOOSE(CONTROL!$C$42, 31, 31))/1000000</f>
        <v>31.02666</v>
      </c>
      <c r="Z221" s="38"/>
      <c r="AA221" s="10"/>
      <c r="AB221" s="39"/>
      <c r="AC221" s="33">
        <f>(B221*194.205+C221*267.466+D221*133.845+E221*53.484+F221*40+G221*185+H221*0+I221*100+J221*300)/(194.205+267.466+133.845+53.484+0+40+185+100+300)</f>
        <v>8.3738024699372069</v>
      </c>
      <c r="AD221" s="27">
        <f>(M221*'RAP TEMPLATE-GAS AVAILABILITY'!O220+N221*'RAP TEMPLATE-GAS AVAILABILITY'!P220+O221*'RAP TEMPLATE-GAS AVAILABILITY'!Q220+P221*'RAP TEMPLATE-GAS AVAILABILITY'!R220)/('RAP TEMPLATE-GAS AVAILABILITY'!O220+'RAP TEMPLATE-GAS AVAILABILITY'!P220+'RAP TEMPLATE-GAS AVAILABILITY'!Q220+'RAP TEMPLATE-GAS AVAILABILITY'!R220)</f>
        <v>8.3027043165467624</v>
      </c>
    </row>
    <row r="222" spans="1:30" ht="15">
      <c r="A222" s="16">
        <v>48000</v>
      </c>
      <c r="B222" s="10">
        <f>CHOOSE(CONTROL!$C$42, 8.6085, 8.6085) * CHOOSE(CONTROL!$C$21, $C$9, 100%, $E$9)</f>
        <v>8.6084999999999994</v>
      </c>
      <c r="C222" s="10">
        <f>CHOOSE(CONTROL!$C$42, 8.6165, 8.6165) * CHOOSE(CONTROL!$C$21, $C$9, 100%, $E$9)</f>
        <v>8.6165000000000003</v>
      </c>
      <c r="D222" s="10">
        <f>CHOOSE(CONTROL!$C$42, 8.7735, 8.7735) * CHOOSE(CONTROL!$C$21, $C$9, 100%, $E$9)</f>
        <v>8.7735000000000003</v>
      </c>
      <c r="E222" s="10">
        <f>CHOOSE(CONTROL!$C$42, 8.8047, 8.8047) * CHOOSE(CONTROL!$C$21, $C$9, 100%, $E$9)</f>
        <v>8.8047000000000004</v>
      </c>
      <c r="F222" s="10">
        <f>CHOOSE(CONTROL!$C$42, 8.5528, 8.5528)*CHOOSE(CONTROL!$C$21, $C$9, 100%, $E$9)</f>
        <v>8.5527999999999995</v>
      </c>
      <c r="G222" s="10">
        <f>CHOOSE(CONTROL!$C$42, 8.569, 8.569)*CHOOSE(CONTROL!$C$21, $C$9, 100%, $E$9)</f>
        <v>8.5690000000000008</v>
      </c>
      <c r="H222" s="10">
        <f>CHOOSE(CONTROL!$C$42, 8.7931, 8.7931) * CHOOSE(CONTROL!$C$21, $C$9, 100%, $E$9)</f>
        <v>8.7931000000000008</v>
      </c>
      <c r="I222" s="10">
        <f>CHOOSE(CONTROL!$C$42, 8.5873, 8.5873)* CHOOSE(CONTROL!$C$21, $C$9, 100%, $E$9)</f>
        <v>8.5873000000000008</v>
      </c>
      <c r="J222" s="10">
        <f>CHOOSE(CONTROL!$C$42, 8.5454, 8.5454)* CHOOSE(CONTROL!$C$21, $C$9, 100%, $E$9)</f>
        <v>8.5454000000000008</v>
      </c>
      <c r="K222" s="10">
        <f>CHOOSE(CONTROL!$C$42, 8.4788, 8.4788) * CHOOSE(CONTROL!$C$21, $C$9, 100%, $E$9)</f>
        <v>8.4787999999999997</v>
      </c>
      <c r="L222" s="10">
        <f>CHOOSE(CONTROL!$C$42, 9.3801, 9.3801) * CHOOSE(CONTROL!$C$21, $C$9, 100%, $E$9)</f>
        <v>9.3801000000000005</v>
      </c>
      <c r="M222" s="10">
        <f>CHOOSE(CONTROL!$C$42, 8.4592, 8.4592) * CHOOSE(CONTROL!$C$21, $C$9, 100%, $E$9)</f>
        <v>8.4591999999999992</v>
      </c>
      <c r="N222" s="10">
        <f>CHOOSE(CONTROL!$C$42, 8.4752, 8.4752) * CHOOSE(CONTROL!$C$21, $C$9, 100%, $E$9)</f>
        <v>8.4751999999999992</v>
      </c>
      <c r="O222" s="10">
        <f>CHOOSE(CONTROL!$C$42, 8.7034, 8.7034) * CHOOSE(CONTROL!$C$21, $C$9, 100%, $E$9)</f>
        <v>8.7034000000000002</v>
      </c>
      <c r="P222" s="10">
        <f>CHOOSE(CONTROL!$C$42, 8.5005, 8.5005) * CHOOSE(CONTROL!$C$21, $C$9, 100%, $E$9)</f>
        <v>8.5005000000000006</v>
      </c>
      <c r="Q222" s="10">
        <f>CHOOSE(CONTROL!$C$42, 9.2987, 9.2987) * CHOOSE(CONTROL!$C$21, $C$9, 100%, $E$9)</f>
        <v>9.2987000000000002</v>
      </c>
      <c r="R222" s="10">
        <f>CHOOSE(CONTROL!$C$42, 9.909, 9.909) * CHOOSE(CONTROL!$C$21, $C$9, 100%, $E$9)</f>
        <v>9.9090000000000007</v>
      </c>
      <c r="S222" s="10">
        <f>CHOOSE(CONTROL!$C$42, 8.3502, 8.3502) * CHOOSE(CONTROL!$C$21, $C$9, 100%, $E$9)</f>
        <v>8.3501999999999992</v>
      </c>
      <c r="T22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22" s="38">
        <f>(1000*CHOOSE(CONTROL!$C$42, 695, 695)*CHOOSE(CONTROL!$C$42, 0.5599, 0.5599)*CHOOSE(CONTROL!$C$42, 30, 30))/1000000</f>
        <v>11.673914999999997</v>
      </c>
      <c r="V222" s="38">
        <f>(1000*CHOOSE(CONTROL!$C$42, 500, 500)*CHOOSE(CONTROL!$C$42, 0.275, 0.275)*CHOOSE(CONTROL!$C$42, 30, 30))/1000000</f>
        <v>4.125</v>
      </c>
      <c r="W222" s="38">
        <f>(1000*CHOOSE(CONTROL!$C$42, 0.1146, 0.1146)*CHOOSE(CONTROL!$C$42, 121.5, 121.5)*CHOOSE(CONTROL!$C$42, 30, 30))/1000000</f>
        <v>0.417717</v>
      </c>
      <c r="X222" s="38">
        <f>(30*0.1790888*245000/1000000)+(30*0.2374*100000/1000000)</f>
        <v>2.0285026799999999</v>
      </c>
      <c r="Y222" s="38">
        <f>(1000*600*CHOOSE(CONTROL!$C$42, 1.6681, 1.6681)*CHOOSE(CONTROL!$C$42, 30, 30))/1000000</f>
        <v>30.0258</v>
      </c>
      <c r="Z222" s="38"/>
      <c r="AA222" s="10"/>
      <c r="AB222" s="39"/>
      <c r="AC222" s="33">
        <f>(B222*194.205+C222*267.466+D222*133.845+E222*53.484+F222*40+G222*185+H222*0+I222*100+J222*300)/(194.205+267.466+133.845+53.484+0+40+185+100+300)</f>
        <v>8.6117434959183683</v>
      </c>
      <c r="AD222" s="27">
        <f>(M222*'RAP TEMPLATE-GAS AVAILABILITY'!O221+N222*'RAP TEMPLATE-GAS AVAILABILITY'!P221+O222*'RAP TEMPLATE-GAS AVAILABILITY'!Q221+P222*'RAP TEMPLATE-GAS AVAILABILITY'!R221)/('RAP TEMPLATE-GAS AVAILABILITY'!O221+'RAP TEMPLATE-GAS AVAILABILITY'!P221+'RAP TEMPLATE-GAS AVAILABILITY'!Q221+'RAP TEMPLATE-GAS AVAILABILITY'!R221)</f>
        <v>8.5373424460431657</v>
      </c>
    </row>
    <row r="223" spans="1:30" ht="15">
      <c r="A223" s="16">
        <v>48030</v>
      </c>
      <c r="B223" s="10">
        <f>CHOOSE(CONTROL!$C$42, 8.4431, 8.4431) * CHOOSE(CONTROL!$C$21, $C$9, 100%, $E$9)</f>
        <v>8.4430999999999994</v>
      </c>
      <c r="C223" s="10">
        <f>CHOOSE(CONTROL!$C$42, 8.4511, 8.4511) * CHOOSE(CONTROL!$C$21, $C$9, 100%, $E$9)</f>
        <v>8.4511000000000003</v>
      </c>
      <c r="D223" s="10">
        <f>CHOOSE(CONTROL!$C$42, 8.6081, 8.6081) * CHOOSE(CONTROL!$C$21, $C$9, 100%, $E$9)</f>
        <v>8.6081000000000003</v>
      </c>
      <c r="E223" s="10">
        <f>CHOOSE(CONTROL!$C$42, 8.6393, 8.6393) * CHOOSE(CONTROL!$C$21, $C$9, 100%, $E$9)</f>
        <v>8.6393000000000004</v>
      </c>
      <c r="F223" s="10">
        <f>CHOOSE(CONTROL!$C$42, 8.3877, 8.3877)*CHOOSE(CONTROL!$C$21, $C$9, 100%, $E$9)</f>
        <v>8.3877000000000006</v>
      </c>
      <c r="G223" s="10">
        <f>CHOOSE(CONTROL!$C$42, 8.404, 8.404)*CHOOSE(CONTROL!$C$21, $C$9, 100%, $E$9)</f>
        <v>8.4039999999999999</v>
      </c>
      <c r="H223" s="10">
        <f>CHOOSE(CONTROL!$C$42, 8.6277, 8.6277) * CHOOSE(CONTROL!$C$21, $C$9, 100%, $E$9)</f>
        <v>8.6277000000000008</v>
      </c>
      <c r="I223" s="10">
        <f>CHOOSE(CONTROL!$C$42, 8.4218, 8.4218)* CHOOSE(CONTROL!$C$21, $C$9, 100%, $E$9)</f>
        <v>8.4217999999999993</v>
      </c>
      <c r="J223" s="10">
        <f>CHOOSE(CONTROL!$C$42, 8.3803, 8.3803)* CHOOSE(CONTROL!$C$21, $C$9, 100%, $E$9)</f>
        <v>8.3803000000000001</v>
      </c>
      <c r="K223" s="10">
        <f>CHOOSE(CONTROL!$C$42, 8.3192, 8.3192) * CHOOSE(CONTROL!$C$21, $C$9, 100%, $E$9)</f>
        <v>8.3192000000000004</v>
      </c>
      <c r="L223" s="10">
        <f>CHOOSE(CONTROL!$C$42, 9.2147, 9.2147) * CHOOSE(CONTROL!$C$21, $C$9, 100%, $E$9)</f>
        <v>9.2147000000000006</v>
      </c>
      <c r="M223" s="10">
        <f>CHOOSE(CONTROL!$C$42, 8.2964, 8.2964) * CHOOSE(CONTROL!$C$21, $C$9, 100%, $E$9)</f>
        <v>8.2964000000000002</v>
      </c>
      <c r="N223" s="10">
        <f>CHOOSE(CONTROL!$C$42, 8.3124, 8.3124) * CHOOSE(CONTROL!$C$21, $C$9, 100%, $E$9)</f>
        <v>8.3124000000000002</v>
      </c>
      <c r="O223" s="10">
        <f>CHOOSE(CONTROL!$C$42, 8.5403, 8.5403) * CHOOSE(CONTROL!$C$21, $C$9, 100%, $E$9)</f>
        <v>8.5403000000000002</v>
      </c>
      <c r="P223" s="10">
        <f>CHOOSE(CONTROL!$C$42, 8.3374, 8.3374) * CHOOSE(CONTROL!$C$21, $C$9, 100%, $E$9)</f>
        <v>8.3374000000000006</v>
      </c>
      <c r="Q223" s="10">
        <f>CHOOSE(CONTROL!$C$42, 9.1356, 9.1356) * CHOOSE(CONTROL!$C$21, $C$9, 100%, $E$9)</f>
        <v>9.1356000000000002</v>
      </c>
      <c r="R223" s="10">
        <f>CHOOSE(CONTROL!$C$42, 9.7455, 9.7455) * CHOOSE(CONTROL!$C$21, $C$9, 100%, $E$9)</f>
        <v>9.7454999999999998</v>
      </c>
      <c r="S223" s="10">
        <f>CHOOSE(CONTROL!$C$42, 8.19, 8.19) * CHOOSE(CONTROL!$C$21, $C$9, 100%, $E$9)</f>
        <v>8.19</v>
      </c>
      <c r="T22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23" s="38">
        <f>(1000*CHOOSE(CONTROL!$C$42, 695, 695)*CHOOSE(CONTROL!$C$42, 0.5599, 0.5599)*CHOOSE(CONTROL!$C$42, 31, 31))/1000000</f>
        <v>12.063045499999998</v>
      </c>
      <c r="V223" s="38">
        <f>(1000*CHOOSE(CONTROL!$C$42, 500, 500)*CHOOSE(CONTROL!$C$42, 0.275, 0.275)*CHOOSE(CONTROL!$C$42, 31, 31))/1000000</f>
        <v>4.2625000000000002</v>
      </c>
      <c r="W223" s="38">
        <f>(1000*CHOOSE(CONTROL!$C$42, 0.1146, 0.1146)*CHOOSE(CONTROL!$C$42, 121.5, 121.5)*CHOOSE(CONTROL!$C$42, 31, 31))/1000000</f>
        <v>0.43164089999999994</v>
      </c>
      <c r="X223" s="38">
        <f>(31*0.1790888*245000/1000000)+(31*0.2374*100000/1000000)</f>
        <v>2.0961194359999999</v>
      </c>
      <c r="Y223" s="38">
        <f>(1000*600*CHOOSE(CONTROL!$C$42, 1.6681, 1.6681)*CHOOSE(CONTROL!$C$42, 31, 31))/1000000</f>
        <v>31.02666</v>
      </c>
      <c r="Z223" s="38"/>
      <c r="AA223" s="10"/>
      <c r="AB223" s="39"/>
      <c r="AC223" s="33">
        <f>(B223*194.205+C223*267.466+D223*133.845+E223*53.484+F223*40+G223*185+H223*0+I223*100+J223*300)/(194.205+267.466+133.845+53.484+0+40+185+100+300)</f>
        <v>8.4464737941915224</v>
      </c>
      <c r="AD223" s="27">
        <f>(M223*'RAP TEMPLATE-GAS AVAILABILITY'!O222+N223*'RAP TEMPLATE-GAS AVAILABILITY'!P222+O223*'RAP TEMPLATE-GAS AVAILABILITY'!Q222+P223*'RAP TEMPLATE-GAS AVAILABILITY'!R222)/('RAP TEMPLATE-GAS AVAILABILITY'!O222+'RAP TEMPLATE-GAS AVAILABILITY'!P222+'RAP TEMPLATE-GAS AVAILABILITY'!Q222+'RAP TEMPLATE-GAS AVAILABILITY'!R222)</f>
        <v>8.3744151079136682</v>
      </c>
    </row>
    <row r="224" spans="1:30" ht="15">
      <c r="A224" s="16">
        <v>48061</v>
      </c>
      <c r="B224" s="10">
        <f>CHOOSE(CONTROL!$C$42, 8.0253, 8.0253) * CHOOSE(CONTROL!$C$21, $C$9, 100%, $E$9)</f>
        <v>8.0252999999999997</v>
      </c>
      <c r="C224" s="10">
        <f>CHOOSE(CONTROL!$C$42, 8.0333, 8.0333) * CHOOSE(CONTROL!$C$21, $C$9, 100%, $E$9)</f>
        <v>8.0333000000000006</v>
      </c>
      <c r="D224" s="10">
        <f>CHOOSE(CONTROL!$C$42, 8.1904, 8.1904) * CHOOSE(CONTROL!$C$21, $C$9, 100%, $E$9)</f>
        <v>8.1904000000000003</v>
      </c>
      <c r="E224" s="10">
        <f>CHOOSE(CONTROL!$C$42, 8.2216, 8.2216) * CHOOSE(CONTROL!$C$21, $C$9, 100%, $E$9)</f>
        <v>8.2216000000000005</v>
      </c>
      <c r="F224" s="10">
        <f>CHOOSE(CONTROL!$C$42, 7.9699, 7.9699)*CHOOSE(CONTROL!$C$21, $C$9, 100%, $E$9)</f>
        <v>7.9699</v>
      </c>
      <c r="G224" s="10">
        <f>CHOOSE(CONTROL!$C$42, 7.9862, 7.9862)*CHOOSE(CONTROL!$C$21, $C$9, 100%, $E$9)</f>
        <v>7.9862000000000002</v>
      </c>
      <c r="H224" s="10">
        <f>CHOOSE(CONTROL!$C$42, 8.2099, 8.2099) * CHOOSE(CONTROL!$C$21, $C$9, 100%, $E$9)</f>
        <v>8.2098999999999993</v>
      </c>
      <c r="I224" s="10">
        <f>CHOOSE(CONTROL!$C$42, 8.0041, 8.0041)* CHOOSE(CONTROL!$C$21, $C$9, 100%, $E$9)</f>
        <v>8.0040999999999993</v>
      </c>
      <c r="J224" s="10">
        <f>CHOOSE(CONTROL!$C$42, 7.9625, 7.9625)* CHOOSE(CONTROL!$C$21, $C$9, 100%, $E$9)</f>
        <v>7.9625000000000004</v>
      </c>
      <c r="K224" s="10">
        <f>CHOOSE(CONTROL!$C$42, 7.9144, 7.9144) * CHOOSE(CONTROL!$C$21, $C$9, 100%, $E$9)</f>
        <v>7.9143999999999997</v>
      </c>
      <c r="L224" s="10">
        <f>CHOOSE(CONTROL!$C$42, 8.7969, 8.7969) * CHOOSE(CONTROL!$C$21, $C$9, 100%, $E$9)</f>
        <v>8.7969000000000008</v>
      </c>
      <c r="M224" s="10">
        <f>CHOOSE(CONTROL!$C$42, 7.8845, 7.8845) * CHOOSE(CONTROL!$C$21, $C$9, 100%, $E$9)</f>
        <v>7.8845000000000001</v>
      </c>
      <c r="N224" s="10">
        <f>CHOOSE(CONTROL!$C$42, 7.9005, 7.9005) * CHOOSE(CONTROL!$C$21, $C$9, 100%, $E$9)</f>
        <v>7.9005000000000001</v>
      </c>
      <c r="O224" s="10">
        <f>CHOOSE(CONTROL!$C$42, 8.1284, 8.1284) * CHOOSE(CONTROL!$C$21, $C$9, 100%, $E$9)</f>
        <v>8.1283999999999992</v>
      </c>
      <c r="P224" s="10">
        <f>CHOOSE(CONTROL!$C$42, 7.9255, 7.9255) * CHOOSE(CONTROL!$C$21, $C$9, 100%, $E$9)</f>
        <v>7.9255000000000004</v>
      </c>
      <c r="Q224" s="10">
        <f>CHOOSE(CONTROL!$C$42, 8.7237, 8.7237) * CHOOSE(CONTROL!$C$21, $C$9, 100%, $E$9)</f>
        <v>8.7236999999999991</v>
      </c>
      <c r="R224" s="10">
        <f>CHOOSE(CONTROL!$C$42, 9.3325, 9.3325) * CHOOSE(CONTROL!$C$21, $C$9, 100%, $E$9)</f>
        <v>9.3324999999999996</v>
      </c>
      <c r="S224" s="10">
        <f>CHOOSE(CONTROL!$C$42, 7.7855, 7.7855) * CHOOSE(CONTROL!$C$21, $C$9, 100%, $E$9)</f>
        <v>7.7854999999999999</v>
      </c>
      <c r="T22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24" s="38">
        <f>(1000*CHOOSE(CONTROL!$C$42, 695, 695)*CHOOSE(CONTROL!$C$42, 0.5599, 0.5599)*CHOOSE(CONTROL!$C$42, 31, 31))/1000000</f>
        <v>12.063045499999998</v>
      </c>
      <c r="V224" s="38">
        <f>(1000*CHOOSE(CONTROL!$C$42, 500, 500)*CHOOSE(CONTROL!$C$42, 0.275, 0.275)*CHOOSE(CONTROL!$C$42, 31, 31))/1000000</f>
        <v>4.2625000000000002</v>
      </c>
      <c r="W224" s="38">
        <f>(1000*CHOOSE(CONTROL!$C$42, 0.1146, 0.1146)*CHOOSE(CONTROL!$C$42, 121.5, 121.5)*CHOOSE(CONTROL!$C$42, 31, 31))/1000000</f>
        <v>0.43164089999999994</v>
      </c>
      <c r="X224" s="38">
        <f>(31*0.1790888*245000/1000000)+(31*0.2374*100000/1000000)</f>
        <v>2.0961194359999999</v>
      </c>
      <c r="Y224" s="38">
        <f>(1000*600*CHOOSE(CONTROL!$C$42, 1.6681, 1.6681)*CHOOSE(CONTROL!$C$42, 31, 31))/1000000</f>
        <v>31.02666</v>
      </c>
      <c r="Z224" s="38"/>
      <c r="AA224" s="10"/>
      <c r="AB224" s="39"/>
      <c r="AC224" s="33">
        <f>(B224*194.205+C224*267.466+D224*133.845+E224*53.484+F224*40+G224*185+H224*0+I224*100+J224*300)/(194.205+267.466+133.845+53.484+0+40+185+100+300)</f>
        <v>8.0286963474882267</v>
      </c>
      <c r="AD224" s="27">
        <f>(M224*'RAP TEMPLATE-GAS AVAILABILITY'!O223+N224*'RAP TEMPLATE-GAS AVAILABILITY'!P223+O224*'RAP TEMPLATE-GAS AVAILABILITY'!Q223+P224*'RAP TEMPLATE-GAS AVAILABILITY'!R223)/('RAP TEMPLATE-GAS AVAILABILITY'!O223+'RAP TEMPLATE-GAS AVAILABILITY'!P223+'RAP TEMPLATE-GAS AVAILABILITY'!Q223+'RAP TEMPLATE-GAS AVAILABILITY'!R223)</f>
        <v>7.962515107913668</v>
      </c>
    </row>
    <row r="225" spans="1:30" ht="15">
      <c r="A225" s="16">
        <v>48092</v>
      </c>
      <c r="B225" s="10">
        <f>CHOOSE(CONTROL!$C$42, 7.515, 7.515) * CHOOSE(CONTROL!$C$21, $C$9, 100%, $E$9)</f>
        <v>7.5149999999999997</v>
      </c>
      <c r="C225" s="10">
        <f>CHOOSE(CONTROL!$C$42, 7.523, 7.523) * CHOOSE(CONTROL!$C$21, $C$9, 100%, $E$9)</f>
        <v>7.5229999999999997</v>
      </c>
      <c r="D225" s="10">
        <f>CHOOSE(CONTROL!$C$42, 7.68, 7.68) * CHOOSE(CONTROL!$C$21, $C$9, 100%, $E$9)</f>
        <v>7.68</v>
      </c>
      <c r="E225" s="10">
        <f>CHOOSE(CONTROL!$C$42, 7.7112, 7.7112) * CHOOSE(CONTROL!$C$21, $C$9, 100%, $E$9)</f>
        <v>7.7111999999999998</v>
      </c>
      <c r="F225" s="10">
        <f>CHOOSE(CONTROL!$C$42, 7.4593, 7.4593)*CHOOSE(CONTROL!$C$21, $C$9, 100%, $E$9)</f>
        <v>7.4592999999999998</v>
      </c>
      <c r="G225" s="10">
        <f>CHOOSE(CONTROL!$C$42, 7.4755, 7.4755)*CHOOSE(CONTROL!$C$21, $C$9, 100%, $E$9)</f>
        <v>7.4755000000000003</v>
      </c>
      <c r="H225" s="10">
        <f>CHOOSE(CONTROL!$C$42, 7.6996, 7.6996) * CHOOSE(CONTROL!$C$21, $C$9, 100%, $E$9)</f>
        <v>7.6996000000000002</v>
      </c>
      <c r="I225" s="10">
        <f>CHOOSE(CONTROL!$C$42, 7.4937, 7.4937)* CHOOSE(CONTROL!$C$21, $C$9, 100%, $E$9)</f>
        <v>7.4936999999999996</v>
      </c>
      <c r="J225" s="10">
        <f>CHOOSE(CONTROL!$C$42, 7.4519, 7.4519)* CHOOSE(CONTROL!$C$21, $C$9, 100%, $E$9)</f>
        <v>7.4519000000000002</v>
      </c>
      <c r="K225" s="10">
        <f>CHOOSE(CONTROL!$C$42, 7.4195, 7.4195) * CHOOSE(CONTROL!$C$21, $C$9, 100%, $E$9)</f>
        <v>7.4195000000000002</v>
      </c>
      <c r="L225" s="10">
        <f>CHOOSE(CONTROL!$C$42, 8.2866, 8.2866) * CHOOSE(CONTROL!$C$21, $C$9, 100%, $E$9)</f>
        <v>8.2866</v>
      </c>
      <c r="M225" s="10">
        <f>CHOOSE(CONTROL!$C$42, 7.381, 7.381) * CHOOSE(CONTROL!$C$21, $C$9, 100%, $E$9)</f>
        <v>7.3810000000000002</v>
      </c>
      <c r="N225" s="10">
        <f>CHOOSE(CONTROL!$C$42, 7.397, 7.397) * CHOOSE(CONTROL!$C$21, $C$9, 100%, $E$9)</f>
        <v>7.3970000000000002</v>
      </c>
      <c r="O225" s="10">
        <f>CHOOSE(CONTROL!$C$42, 7.6252, 7.6252) * CHOOSE(CONTROL!$C$21, $C$9, 100%, $E$9)</f>
        <v>7.6252000000000004</v>
      </c>
      <c r="P225" s="10">
        <f>CHOOSE(CONTROL!$C$42, 7.4223, 7.4223) * CHOOSE(CONTROL!$C$21, $C$9, 100%, $E$9)</f>
        <v>7.4222999999999999</v>
      </c>
      <c r="Q225" s="10">
        <f>CHOOSE(CONTROL!$C$42, 8.2205, 8.2205) * CHOOSE(CONTROL!$C$21, $C$9, 100%, $E$9)</f>
        <v>8.2204999999999995</v>
      </c>
      <c r="R225" s="10">
        <f>CHOOSE(CONTROL!$C$42, 8.828, 8.828) * CHOOSE(CONTROL!$C$21, $C$9, 100%, $E$9)</f>
        <v>8.8279999999999994</v>
      </c>
      <c r="S225" s="10">
        <f>CHOOSE(CONTROL!$C$42, 7.2913, 7.2913) * CHOOSE(CONTROL!$C$21, $C$9, 100%, $E$9)</f>
        <v>7.2912999999999997</v>
      </c>
      <c r="T22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25" s="38">
        <f>(1000*CHOOSE(CONTROL!$C$42, 695, 695)*CHOOSE(CONTROL!$C$42, 0.5599, 0.5599)*CHOOSE(CONTROL!$C$42, 30, 30))/1000000</f>
        <v>11.673914999999997</v>
      </c>
      <c r="V225" s="38">
        <f>(1000*CHOOSE(CONTROL!$C$42, 500, 500)*CHOOSE(CONTROL!$C$42, 0.275, 0.275)*CHOOSE(CONTROL!$C$42, 30, 30))/1000000</f>
        <v>4.125</v>
      </c>
      <c r="W225" s="38">
        <f>(1000*CHOOSE(CONTROL!$C$42, 0.1146, 0.1146)*CHOOSE(CONTROL!$C$42, 121.5, 121.5)*CHOOSE(CONTROL!$C$42, 30, 30))/1000000</f>
        <v>0.417717</v>
      </c>
      <c r="X225" s="38">
        <f>(30*0.1790888*245000/1000000)+(30*0.2374*100000/1000000)</f>
        <v>2.0285026799999999</v>
      </c>
      <c r="Y225" s="38">
        <f>(1000*600*CHOOSE(CONTROL!$C$42, 1.6681, 1.6681)*CHOOSE(CONTROL!$C$42, 30, 30))/1000000</f>
        <v>30.0258</v>
      </c>
      <c r="Z225" s="38"/>
      <c r="AA225" s="10"/>
      <c r="AB225" s="39"/>
      <c r="AC225" s="33">
        <f>(B225*194.205+C225*267.466+D225*133.845+E225*53.484+F225*40+G225*185+H225*0+I225*100+J225*300)/(194.205+267.466+133.845+53.484+0+40+185+100+300)</f>
        <v>7.5182356466248041</v>
      </c>
      <c r="AD225" s="27">
        <f>(M225*'RAP TEMPLATE-GAS AVAILABILITY'!O224+N225*'RAP TEMPLATE-GAS AVAILABILITY'!P224+O225*'RAP TEMPLATE-GAS AVAILABILITY'!Q224+P225*'RAP TEMPLATE-GAS AVAILABILITY'!R224)/('RAP TEMPLATE-GAS AVAILABILITY'!O224+'RAP TEMPLATE-GAS AVAILABILITY'!P224+'RAP TEMPLATE-GAS AVAILABILITY'!Q224+'RAP TEMPLATE-GAS AVAILABILITY'!R224)</f>
        <v>7.4591424460431641</v>
      </c>
    </row>
    <row r="226" spans="1:30" ht="15">
      <c r="A226" s="16">
        <v>48122</v>
      </c>
      <c r="B226" s="10">
        <f>CHOOSE(CONTROL!$C$42, 7.3599, 7.3599) * CHOOSE(CONTROL!$C$21, $C$9, 100%, $E$9)</f>
        <v>7.3598999999999997</v>
      </c>
      <c r="C226" s="10">
        <f>CHOOSE(CONTROL!$C$42, 7.3653, 7.3653) * CHOOSE(CONTROL!$C$21, $C$9, 100%, $E$9)</f>
        <v>7.3653000000000004</v>
      </c>
      <c r="D226" s="10">
        <f>CHOOSE(CONTROL!$C$42, 7.5272, 7.5272) * CHOOSE(CONTROL!$C$21, $C$9, 100%, $E$9)</f>
        <v>7.5271999999999997</v>
      </c>
      <c r="E226" s="10">
        <f>CHOOSE(CONTROL!$C$42, 7.5561, 7.5561) * CHOOSE(CONTROL!$C$21, $C$9, 100%, $E$9)</f>
        <v>7.5560999999999998</v>
      </c>
      <c r="F226" s="10">
        <f>CHOOSE(CONTROL!$C$42, 7.3063, 7.3063)*CHOOSE(CONTROL!$C$21, $C$9, 100%, $E$9)</f>
        <v>7.3063000000000002</v>
      </c>
      <c r="G226" s="10">
        <f>CHOOSE(CONTROL!$C$42, 7.3221, 7.3221)*CHOOSE(CONTROL!$C$21, $C$9, 100%, $E$9)</f>
        <v>7.3220999999999998</v>
      </c>
      <c r="H226" s="10">
        <f>CHOOSE(CONTROL!$C$42, 7.5462, 7.5462) * CHOOSE(CONTROL!$C$21, $C$9, 100%, $E$9)</f>
        <v>7.5461999999999998</v>
      </c>
      <c r="I226" s="10">
        <f>CHOOSE(CONTROL!$C$42, 7.3404, 7.3404)* CHOOSE(CONTROL!$C$21, $C$9, 100%, $E$9)</f>
        <v>7.3403999999999998</v>
      </c>
      <c r="J226" s="10">
        <f>CHOOSE(CONTROL!$C$42, 7.2989, 7.2989)* CHOOSE(CONTROL!$C$21, $C$9, 100%, $E$9)</f>
        <v>7.2988999999999997</v>
      </c>
      <c r="K226" s="10">
        <f>CHOOSE(CONTROL!$C$42, 7.2716, 7.2716) * CHOOSE(CONTROL!$C$21, $C$9, 100%, $E$9)</f>
        <v>7.2716000000000003</v>
      </c>
      <c r="L226" s="10">
        <f>CHOOSE(CONTROL!$C$42, 8.1332, 8.1332) * CHOOSE(CONTROL!$C$21, $C$9, 100%, $E$9)</f>
        <v>8.1332000000000004</v>
      </c>
      <c r="M226" s="10">
        <f>CHOOSE(CONTROL!$C$42, 7.2301, 7.2301) * CHOOSE(CONTROL!$C$21, $C$9, 100%, $E$9)</f>
        <v>7.2301000000000002</v>
      </c>
      <c r="N226" s="10">
        <f>CHOOSE(CONTROL!$C$42, 7.2457, 7.2457) * CHOOSE(CONTROL!$C$21, $C$9, 100%, $E$9)</f>
        <v>7.2457000000000003</v>
      </c>
      <c r="O226" s="10">
        <f>CHOOSE(CONTROL!$C$42, 7.474, 7.474) * CHOOSE(CONTROL!$C$21, $C$9, 100%, $E$9)</f>
        <v>7.4740000000000002</v>
      </c>
      <c r="P226" s="10">
        <f>CHOOSE(CONTROL!$C$42, 7.2711, 7.2711) * CHOOSE(CONTROL!$C$21, $C$9, 100%, $E$9)</f>
        <v>7.2710999999999997</v>
      </c>
      <c r="Q226" s="10">
        <f>CHOOSE(CONTROL!$C$42, 8.0693, 8.0693) * CHOOSE(CONTROL!$C$21, $C$9, 100%, $E$9)</f>
        <v>8.0693000000000001</v>
      </c>
      <c r="R226" s="10">
        <f>CHOOSE(CONTROL!$C$42, 8.6765, 8.6765) * CHOOSE(CONTROL!$C$21, $C$9, 100%, $E$9)</f>
        <v>8.6765000000000008</v>
      </c>
      <c r="S226" s="10">
        <f>CHOOSE(CONTROL!$C$42, 7.1429, 7.1429) * CHOOSE(CONTROL!$C$21, $C$9, 100%, $E$9)</f>
        <v>7.1429</v>
      </c>
      <c r="T22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26" s="38">
        <f>(1000*CHOOSE(CONTROL!$C$42, 695, 695)*CHOOSE(CONTROL!$C$42, 0.5599, 0.5599)*CHOOSE(CONTROL!$C$42, 31, 31))/1000000</f>
        <v>12.063045499999998</v>
      </c>
      <c r="V226" s="38">
        <f>(1000*CHOOSE(CONTROL!$C$42, 500, 500)*CHOOSE(CONTROL!$C$42, 0.275, 0.275)*CHOOSE(CONTROL!$C$42, 31, 31))/1000000</f>
        <v>4.2625000000000002</v>
      </c>
      <c r="W226" s="38">
        <f>(1000*CHOOSE(CONTROL!$C$42, 0.1146, 0.1146)*CHOOSE(CONTROL!$C$42, 121.5, 121.5)*CHOOSE(CONTROL!$C$42, 31, 31))/1000000</f>
        <v>0.43164089999999994</v>
      </c>
      <c r="X226" s="38">
        <f>(31*0.1790888*245000/1000000)+(31*0.2374*100000/1000000)</f>
        <v>2.0961194359999999</v>
      </c>
      <c r="Y226" s="38">
        <f>(1000*600*CHOOSE(CONTROL!$C$42, 1.6681, 1.6681)*CHOOSE(CONTROL!$C$42, 31, 31))/1000000</f>
        <v>31.02666</v>
      </c>
      <c r="Z226" s="38"/>
      <c r="AA226" s="10"/>
      <c r="AB226" s="39"/>
      <c r="AC226" s="33">
        <f>(B226*131.881+C226*277.167+D226*79.08+E226*125.872+F226*40+G226*185+H226*0+I226*100+J226*300)/(131.881+277.167+79.08+125.872+0+40+185+100+300)</f>
        <v>7.3679999775625511</v>
      </c>
      <c r="AD226" s="27">
        <f>(M226*'RAP TEMPLATE-GAS AVAILABILITY'!O225+N226*'RAP TEMPLATE-GAS AVAILABILITY'!P225+O226*'RAP TEMPLATE-GAS AVAILABILITY'!Q225+P226*'RAP TEMPLATE-GAS AVAILABILITY'!R225)/('RAP TEMPLATE-GAS AVAILABILITY'!O225+'RAP TEMPLATE-GAS AVAILABILITY'!P225+'RAP TEMPLATE-GAS AVAILABILITY'!Q225+'RAP TEMPLATE-GAS AVAILABILITY'!R225)</f>
        <v>7.3080230215827342</v>
      </c>
    </row>
    <row r="227" spans="1:30" ht="15">
      <c r="A227" s="16">
        <v>48153</v>
      </c>
      <c r="B227" s="10">
        <f>CHOOSE(CONTROL!$C$42, 7.5538, 7.5538) * CHOOSE(CONTROL!$C$21, $C$9, 100%, $E$9)</f>
        <v>7.5537999999999998</v>
      </c>
      <c r="C227" s="10">
        <f>CHOOSE(CONTROL!$C$42, 7.5589, 7.5589) * CHOOSE(CONTROL!$C$21, $C$9, 100%, $E$9)</f>
        <v>7.5589000000000004</v>
      </c>
      <c r="D227" s="10">
        <f>CHOOSE(CONTROL!$C$42, 7.5836, 7.5836) * CHOOSE(CONTROL!$C$21, $C$9, 100%, $E$9)</f>
        <v>7.5835999999999997</v>
      </c>
      <c r="E227" s="10">
        <f>CHOOSE(CONTROL!$C$42, 7.6174, 7.6174) * CHOOSE(CONTROL!$C$21, $C$9, 100%, $E$9)</f>
        <v>7.6173999999999999</v>
      </c>
      <c r="F227" s="10">
        <f>CHOOSE(CONTROL!$C$42, 7.5222, 7.5222)*CHOOSE(CONTROL!$C$21, $C$9, 100%, $E$9)</f>
        <v>7.5221999999999998</v>
      </c>
      <c r="G227" s="10">
        <f>CHOOSE(CONTROL!$C$42, 7.5382, 7.5382)*CHOOSE(CONTROL!$C$21, $C$9, 100%, $E$9)</f>
        <v>7.5381999999999998</v>
      </c>
      <c r="H227" s="10">
        <f>CHOOSE(CONTROL!$C$42, 7.6063, 7.6063) * CHOOSE(CONTROL!$C$21, $C$9, 100%, $E$9)</f>
        <v>7.6063000000000001</v>
      </c>
      <c r="I227" s="10">
        <f>CHOOSE(CONTROL!$C$42, 7.5688, 7.5688)* CHOOSE(CONTROL!$C$21, $C$9, 100%, $E$9)</f>
        <v>7.5688000000000004</v>
      </c>
      <c r="J227" s="10">
        <f>CHOOSE(CONTROL!$C$42, 7.5148, 7.5148)* CHOOSE(CONTROL!$C$21, $C$9, 100%, $E$9)</f>
        <v>7.5148000000000001</v>
      </c>
      <c r="K227" s="10">
        <f>CHOOSE(CONTROL!$C$42, 7.4951, 7.4951) * CHOOSE(CONTROL!$C$21, $C$9, 100%, $E$9)</f>
        <v>7.4950999999999999</v>
      </c>
      <c r="L227" s="10">
        <f>CHOOSE(CONTROL!$C$42, 8.1933, 8.1933) * CHOOSE(CONTROL!$C$21, $C$9, 100%, $E$9)</f>
        <v>8.1933000000000007</v>
      </c>
      <c r="M227" s="10">
        <f>CHOOSE(CONTROL!$C$42, 7.4429, 7.4429) * CHOOSE(CONTROL!$C$21, $C$9, 100%, $E$9)</f>
        <v>7.4428999999999998</v>
      </c>
      <c r="N227" s="10">
        <f>CHOOSE(CONTROL!$C$42, 7.4587, 7.4587) * CHOOSE(CONTROL!$C$21, $C$9, 100%, $E$9)</f>
        <v>7.4587000000000003</v>
      </c>
      <c r="O227" s="10">
        <f>CHOOSE(CONTROL!$C$42, 7.5332, 7.5332) * CHOOSE(CONTROL!$C$21, $C$9, 100%, $E$9)</f>
        <v>7.5331999999999999</v>
      </c>
      <c r="P227" s="10">
        <f>CHOOSE(CONTROL!$C$42, 7.4963, 7.4963) * CHOOSE(CONTROL!$C$21, $C$9, 100%, $E$9)</f>
        <v>7.4962999999999997</v>
      </c>
      <c r="Q227" s="10">
        <f>CHOOSE(CONTROL!$C$42, 8.1285, 8.1285) * CHOOSE(CONTROL!$C$21, $C$9, 100%, $E$9)</f>
        <v>8.1285000000000007</v>
      </c>
      <c r="R227" s="10">
        <f>CHOOSE(CONTROL!$C$42, 8.7358, 8.7358) * CHOOSE(CONTROL!$C$21, $C$9, 100%, $E$9)</f>
        <v>8.7357999999999993</v>
      </c>
      <c r="S227" s="10">
        <f>CHOOSE(CONTROL!$C$42, 7.331, 7.331) * CHOOSE(CONTROL!$C$21, $C$9, 100%, $E$9)</f>
        <v>7.3310000000000004</v>
      </c>
      <c r="T22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27" s="38">
        <f>(1000*CHOOSE(CONTROL!$C$42, 695, 695)*CHOOSE(CONTROL!$C$42, 0.5599, 0.5599)*CHOOSE(CONTROL!$C$42, 30, 30))/1000000</f>
        <v>11.673914999999997</v>
      </c>
      <c r="V227" s="38">
        <f>(1000*CHOOSE(CONTROL!$C$42, 500, 500)*CHOOSE(CONTROL!$C$42, 0.275, 0.275)*CHOOSE(CONTROL!$C$42, 30, 30))/1000000</f>
        <v>4.125</v>
      </c>
      <c r="W227" s="38">
        <f>(1000*CHOOSE(CONTROL!$C$42, 0.1146, 0.1146)*CHOOSE(CONTROL!$C$42, 121.5, 121.5)*CHOOSE(CONTROL!$C$42, 30, 30))/1000000</f>
        <v>0.417717</v>
      </c>
      <c r="X227" s="38">
        <f>(30*0.1790888*100000/1000000)+(30*0.2374*100000/1000000)</f>
        <v>1.2494664</v>
      </c>
      <c r="Y227" s="38">
        <f>(1000*600*CHOOSE(CONTROL!$C$42, 1.6681, 1.6681)*CHOOSE(CONTROL!$C$42, 30, 30))/1000000</f>
        <v>30.0258</v>
      </c>
      <c r="Z227" s="38"/>
      <c r="AA227" s="10"/>
      <c r="AB227" s="39"/>
      <c r="AC227" s="33">
        <f>(B227*122.58+C227*297.941+D227*89.177+E227*40.302+F227*40+G227*160+H227*0+I227*100+J227*300)/(122.58+297.941+89.177+40.302+0+40+160+100+300)</f>
        <v>7.547521896434783</v>
      </c>
      <c r="AD227" s="27">
        <f>(M227*'RAP TEMPLATE-GAS AVAILABILITY'!O226+N227*'RAP TEMPLATE-GAS AVAILABILITY'!P226+O227*'RAP TEMPLATE-GAS AVAILABILITY'!Q226+P227*'RAP TEMPLATE-GAS AVAILABILITY'!R226)/('RAP TEMPLATE-GAS AVAILABILITY'!O226+'RAP TEMPLATE-GAS AVAILABILITY'!P226+'RAP TEMPLATE-GAS AVAILABILITY'!Q226+'RAP TEMPLATE-GAS AVAILABILITY'!R226)</f>
        <v>7.4924201438848934</v>
      </c>
    </row>
    <row r="228" spans="1:30" ht="15">
      <c r="A228" s="16">
        <v>48183</v>
      </c>
      <c r="B228" s="10">
        <f>CHOOSE(CONTROL!$C$42, 8.07, 8.07) * CHOOSE(CONTROL!$C$21, $C$9, 100%, $E$9)</f>
        <v>8.07</v>
      </c>
      <c r="C228" s="10">
        <f>CHOOSE(CONTROL!$C$42, 8.075, 8.075) * CHOOSE(CONTROL!$C$21, $C$9, 100%, $E$9)</f>
        <v>8.0749999999999993</v>
      </c>
      <c r="D228" s="10">
        <f>CHOOSE(CONTROL!$C$42, 8.0997, 8.0997) * CHOOSE(CONTROL!$C$21, $C$9, 100%, $E$9)</f>
        <v>8.0997000000000003</v>
      </c>
      <c r="E228" s="10">
        <f>CHOOSE(CONTROL!$C$42, 8.1335, 8.1335) * CHOOSE(CONTROL!$C$21, $C$9, 100%, $E$9)</f>
        <v>8.1334999999999997</v>
      </c>
      <c r="F228" s="10">
        <f>CHOOSE(CONTROL!$C$42, 8.0402, 8.0402)*CHOOSE(CONTROL!$C$21, $C$9, 100%, $E$9)</f>
        <v>8.0402000000000005</v>
      </c>
      <c r="G228" s="10">
        <f>CHOOSE(CONTROL!$C$42, 8.0567, 8.0567)*CHOOSE(CONTROL!$C$21, $C$9, 100%, $E$9)</f>
        <v>8.0566999999999993</v>
      </c>
      <c r="H228" s="10">
        <f>CHOOSE(CONTROL!$C$42, 8.1224, 8.1224) * CHOOSE(CONTROL!$C$21, $C$9, 100%, $E$9)</f>
        <v>8.1224000000000007</v>
      </c>
      <c r="I228" s="10">
        <f>CHOOSE(CONTROL!$C$42, 8.0849, 8.0849)* CHOOSE(CONTROL!$C$21, $C$9, 100%, $E$9)</f>
        <v>8.0848999999999993</v>
      </c>
      <c r="J228" s="10">
        <f>CHOOSE(CONTROL!$C$42, 8.0328, 8.0328)* CHOOSE(CONTROL!$C$21, $C$9, 100%, $E$9)</f>
        <v>8.0327999999999999</v>
      </c>
      <c r="K228" s="10">
        <f>CHOOSE(CONTROL!$C$42, 7.9993, 7.9993) * CHOOSE(CONTROL!$C$21, $C$9, 100%, $E$9)</f>
        <v>7.9992999999999999</v>
      </c>
      <c r="L228" s="10">
        <f>CHOOSE(CONTROL!$C$42, 8.7094, 8.7094) * CHOOSE(CONTROL!$C$21, $C$9, 100%, $E$9)</f>
        <v>8.7094000000000005</v>
      </c>
      <c r="M228" s="10">
        <f>CHOOSE(CONTROL!$C$42, 7.9538, 7.9538) * CHOOSE(CONTROL!$C$21, $C$9, 100%, $E$9)</f>
        <v>7.9538000000000002</v>
      </c>
      <c r="N228" s="10">
        <f>CHOOSE(CONTROL!$C$42, 7.97, 7.97) * CHOOSE(CONTROL!$C$21, $C$9, 100%, $E$9)</f>
        <v>7.97</v>
      </c>
      <c r="O228" s="10">
        <f>CHOOSE(CONTROL!$C$42, 8.0421, 8.0421) * CHOOSE(CONTROL!$C$21, $C$9, 100%, $E$9)</f>
        <v>8.0420999999999996</v>
      </c>
      <c r="P228" s="10">
        <f>CHOOSE(CONTROL!$C$42, 8.0052, 8.0052) * CHOOSE(CONTROL!$C$21, $C$9, 100%, $E$9)</f>
        <v>8.0052000000000003</v>
      </c>
      <c r="Q228" s="10">
        <f>CHOOSE(CONTROL!$C$42, 8.6374, 8.6374) * CHOOSE(CONTROL!$C$21, $C$9, 100%, $E$9)</f>
        <v>8.6373999999999995</v>
      </c>
      <c r="R228" s="10">
        <f>CHOOSE(CONTROL!$C$42, 9.246, 9.246) * CHOOSE(CONTROL!$C$21, $C$9, 100%, $E$9)</f>
        <v>9.2460000000000004</v>
      </c>
      <c r="S228" s="10">
        <f>CHOOSE(CONTROL!$C$42, 7.8308, 7.8308) * CHOOSE(CONTROL!$C$21, $C$9, 100%, $E$9)</f>
        <v>7.8308</v>
      </c>
      <c r="T22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28" s="38">
        <f>(1000*CHOOSE(CONTROL!$C$42, 695, 695)*CHOOSE(CONTROL!$C$42, 0.5599, 0.5599)*CHOOSE(CONTROL!$C$42, 31, 31))/1000000</f>
        <v>12.063045499999998</v>
      </c>
      <c r="V228" s="38">
        <f>(1000*CHOOSE(CONTROL!$C$42, 500, 500)*CHOOSE(CONTROL!$C$42, 0.275, 0.275)*CHOOSE(CONTROL!$C$42, 31, 31))/1000000</f>
        <v>4.2625000000000002</v>
      </c>
      <c r="W228" s="38">
        <f>(1000*CHOOSE(CONTROL!$C$42, 0.1146, 0.1146)*CHOOSE(CONTROL!$C$42, 121.5, 121.5)*CHOOSE(CONTROL!$C$42, 31, 31))/1000000</f>
        <v>0.43164089999999994</v>
      </c>
      <c r="X228" s="38">
        <f>(31*0.1790888*100000/1000000)+(31*0.2374*100000/1000000)</f>
        <v>1.2911152800000001</v>
      </c>
      <c r="Y228" s="38">
        <f>(1000*600*CHOOSE(CONTROL!$C$42, 1.6681, 1.6681)*CHOOSE(CONTROL!$C$42, 31, 31))/1000000</f>
        <v>31.02666</v>
      </c>
      <c r="Z228" s="38"/>
      <c r="AA228" s="10"/>
      <c r="AB228" s="39"/>
      <c r="AC228" s="33">
        <f>(B228*122.58+C228*297.941+D228*89.177+E228*40.302+F228*40+G228*160+H228*0+I228*100+J228*300)/(122.58+297.941+89.177+40.302+0+40+160+100+300)</f>
        <v>8.0645282077391318</v>
      </c>
      <c r="AD228" s="27">
        <f>(M228*'RAP TEMPLATE-GAS AVAILABILITY'!O227+N228*'RAP TEMPLATE-GAS AVAILABILITY'!P227+O228*'RAP TEMPLATE-GAS AVAILABILITY'!Q227+P228*'RAP TEMPLATE-GAS AVAILABILITY'!R227)/('RAP TEMPLATE-GAS AVAILABILITY'!O227+'RAP TEMPLATE-GAS AVAILABILITY'!P227+'RAP TEMPLATE-GAS AVAILABILITY'!Q227+'RAP TEMPLATE-GAS AVAILABILITY'!R227)</f>
        <v>8.0021489208633092</v>
      </c>
    </row>
    <row r="229" spans="1:30" ht="15">
      <c r="A229" s="16">
        <v>48214</v>
      </c>
      <c r="B229" s="10">
        <f>CHOOSE(CONTROL!$C$42, 8.6157, 8.6157) * CHOOSE(CONTROL!$C$21, $C$9, 100%, $E$9)</f>
        <v>8.6157000000000004</v>
      </c>
      <c r="C229" s="10">
        <f>CHOOSE(CONTROL!$C$42, 8.6208, 8.6208) * CHOOSE(CONTROL!$C$21, $C$9, 100%, $E$9)</f>
        <v>8.6207999999999991</v>
      </c>
      <c r="D229" s="10">
        <f>CHOOSE(CONTROL!$C$42, 8.6533, 8.6533) * CHOOSE(CONTROL!$C$21, $C$9, 100%, $E$9)</f>
        <v>8.6532999999999998</v>
      </c>
      <c r="E229" s="10">
        <f>CHOOSE(CONTROL!$C$42, 8.6871, 8.6871) * CHOOSE(CONTROL!$C$21, $C$9, 100%, $E$9)</f>
        <v>8.6870999999999992</v>
      </c>
      <c r="F229" s="10">
        <f>CHOOSE(CONTROL!$C$42, 8.5999, 8.5999)*CHOOSE(CONTROL!$C$21, $C$9, 100%, $E$9)</f>
        <v>8.5998999999999999</v>
      </c>
      <c r="G229" s="10">
        <f>CHOOSE(CONTROL!$C$42, 8.6179, 8.6179)*CHOOSE(CONTROL!$C$21, $C$9, 100%, $E$9)</f>
        <v>8.6179000000000006</v>
      </c>
      <c r="H229" s="10">
        <f>CHOOSE(CONTROL!$C$42, 8.6759, 8.6759) * CHOOSE(CONTROL!$C$21, $C$9, 100%, $E$9)</f>
        <v>8.6759000000000004</v>
      </c>
      <c r="I229" s="10">
        <f>CHOOSE(CONTROL!$C$42, 8.6292, 8.6292)* CHOOSE(CONTROL!$C$21, $C$9, 100%, $E$9)</f>
        <v>8.6292000000000009</v>
      </c>
      <c r="J229" s="10">
        <f>CHOOSE(CONTROL!$C$42, 8.5925, 8.5925)* CHOOSE(CONTROL!$C$21, $C$9, 100%, $E$9)</f>
        <v>8.5924999999999994</v>
      </c>
      <c r="K229" s="10">
        <f>CHOOSE(CONTROL!$C$42, 8.5404, 8.5404) * CHOOSE(CONTROL!$C$21, $C$9, 100%, $E$9)</f>
        <v>8.5404</v>
      </c>
      <c r="L229" s="10">
        <f>CHOOSE(CONTROL!$C$42, 9.2629, 9.2629) * CHOOSE(CONTROL!$C$21, $C$9, 100%, $E$9)</f>
        <v>9.2629000000000001</v>
      </c>
      <c r="M229" s="10">
        <f>CHOOSE(CONTROL!$C$42, 8.5057, 8.5057) * CHOOSE(CONTROL!$C$21, $C$9, 100%, $E$9)</f>
        <v>8.5056999999999992</v>
      </c>
      <c r="N229" s="10">
        <f>CHOOSE(CONTROL!$C$42, 8.5234, 8.5234) * CHOOSE(CONTROL!$C$21, $C$9, 100%, $E$9)</f>
        <v>8.5234000000000005</v>
      </c>
      <c r="O229" s="10">
        <f>CHOOSE(CONTROL!$C$42, 8.5879, 8.5879) * CHOOSE(CONTROL!$C$21, $C$9, 100%, $E$9)</f>
        <v>8.5878999999999994</v>
      </c>
      <c r="P229" s="10">
        <f>CHOOSE(CONTROL!$C$42, 8.5419, 8.5419) * CHOOSE(CONTROL!$C$21, $C$9, 100%, $E$9)</f>
        <v>8.5419</v>
      </c>
      <c r="Q229" s="10">
        <f>CHOOSE(CONTROL!$C$42, 9.1832, 9.1832) * CHOOSE(CONTROL!$C$21, $C$9, 100%, $E$9)</f>
        <v>9.1831999999999994</v>
      </c>
      <c r="R229" s="10">
        <f>CHOOSE(CONTROL!$C$42, 9.7932, 9.7932) * CHOOSE(CONTROL!$C$21, $C$9, 100%, $E$9)</f>
        <v>9.7932000000000006</v>
      </c>
      <c r="S229" s="10">
        <f>CHOOSE(CONTROL!$C$42, 8.3593, 8.3593) * CHOOSE(CONTROL!$C$21, $C$9, 100%, $E$9)</f>
        <v>8.3592999999999993</v>
      </c>
      <c r="T22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29" s="38">
        <f>(1000*CHOOSE(CONTROL!$C$42, 695, 695)*CHOOSE(CONTROL!$C$42, 0.5599, 0.5599)*CHOOSE(CONTROL!$C$42, 31, 31))/1000000</f>
        <v>12.063045499999998</v>
      </c>
      <c r="V229" s="38">
        <f>(1000*CHOOSE(CONTROL!$C$42, 500, 500)*CHOOSE(CONTROL!$C$42, 0.275, 0.275)*CHOOSE(CONTROL!$C$42, 31, 31))/1000000</f>
        <v>4.2625000000000002</v>
      </c>
      <c r="W229" s="38">
        <f>(1000*CHOOSE(CONTROL!$C$42, 0.1146, 0.1146)*CHOOSE(CONTROL!$C$42, 121.5, 121.5)*CHOOSE(CONTROL!$C$42, 31, 31))/1000000</f>
        <v>0.43164089999999994</v>
      </c>
      <c r="X229" s="38">
        <f>(31*0.1790888*100000/1000000)+(31*0.2374*100000/1000000)</f>
        <v>1.2911152800000001</v>
      </c>
      <c r="Y229" s="38">
        <f>(1000*600*CHOOSE(CONTROL!$C$42, 1.6597, 1.6597)*CHOOSE(CONTROL!$C$42, 31, 31))/1000000</f>
        <v>30.870419999999999</v>
      </c>
      <c r="Z229" s="38"/>
      <c r="AA229" s="10"/>
      <c r="AB229" s="39"/>
      <c r="AC229" s="33">
        <f>(B229*122.58+C229*297.941+D229*89.177+E229*40.302+F229*40+G229*160+H229*0+I229*100+J229*300)/(122.58+297.941+89.177+40.302+0+40+160+100+300)</f>
        <v>8.6173174931304342</v>
      </c>
      <c r="AD229" s="27">
        <f>(M229*'RAP TEMPLATE-GAS AVAILABILITY'!O228+N229*'RAP TEMPLATE-GAS AVAILABILITY'!P228+O229*'RAP TEMPLATE-GAS AVAILABILITY'!Q228+P229*'RAP TEMPLATE-GAS AVAILABILITY'!R228)/('RAP TEMPLATE-GAS AVAILABILITY'!O228+'RAP TEMPLATE-GAS AVAILABILITY'!P228+'RAP TEMPLATE-GAS AVAILABILITY'!Q228+'RAP TEMPLATE-GAS AVAILABILITY'!R228)</f>
        <v>8.5491834532374078</v>
      </c>
    </row>
    <row r="230" spans="1:30" ht="15">
      <c r="A230" s="16">
        <v>48245</v>
      </c>
      <c r="B230" s="10">
        <f>CHOOSE(CONTROL!$C$42, 8.7694, 8.7694) * CHOOSE(CONTROL!$C$21, $C$9, 100%, $E$9)</f>
        <v>8.7693999999999992</v>
      </c>
      <c r="C230" s="10">
        <f>CHOOSE(CONTROL!$C$42, 8.7745, 8.7745) * CHOOSE(CONTROL!$C$21, $C$9, 100%, $E$9)</f>
        <v>8.7744999999999997</v>
      </c>
      <c r="D230" s="10">
        <f>CHOOSE(CONTROL!$C$42, 8.8069, 8.8069) * CHOOSE(CONTROL!$C$21, $C$9, 100%, $E$9)</f>
        <v>8.8069000000000006</v>
      </c>
      <c r="E230" s="10">
        <f>CHOOSE(CONTROL!$C$42, 8.8407, 8.8407) * CHOOSE(CONTROL!$C$21, $C$9, 100%, $E$9)</f>
        <v>8.8407</v>
      </c>
      <c r="F230" s="10">
        <f>CHOOSE(CONTROL!$C$42, 8.7531, 8.7531)*CHOOSE(CONTROL!$C$21, $C$9, 100%, $E$9)</f>
        <v>8.7530999999999999</v>
      </c>
      <c r="G230" s="10">
        <f>CHOOSE(CONTROL!$C$42, 8.771, 8.771)*CHOOSE(CONTROL!$C$21, $C$9, 100%, $E$9)</f>
        <v>8.7710000000000008</v>
      </c>
      <c r="H230" s="10">
        <f>CHOOSE(CONTROL!$C$42, 8.8296, 8.8296) * CHOOSE(CONTROL!$C$21, $C$9, 100%, $E$9)</f>
        <v>8.8295999999999992</v>
      </c>
      <c r="I230" s="10">
        <f>CHOOSE(CONTROL!$C$42, 8.7828, 8.7828)* CHOOSE(CONTROL!$C$21, $C$9, 100%, $E$9)</f>
        <v>8.7827999999999999</v>
      </c>
      <c r="J230" s="10">
        <f>CHOOSE(CONTROL!$C$42, 8.7457, 8.7457)* CHOOSE(CONTROL!$C$21, $C$9, 100%, $E$9)</f>
        <v>8.7456999999999994</v>
      </c>
      <c r="K230" s="10">
        <f>CHOOSE(CONTROL!$C$42, 8.6883, 8.6883) * CHOOSE(CONTROL!$C$21, $C$9, 100%, $E$9)</f>
        <v>8.6882999999999999</v>
      </c>
      <c r="L230" s="10">
        <f>CHOOSE(CONTROL!$C$42, 9.4166, 9.4166) * CHOOSE(CONTROL!$C$21, $C$9, 100%, $E$9)</f>
        <v>9.4166000000000007</v>
      </c>
      <c r="M230" s="10">
        <f>CHOOSE(CONTROL!$C$42, 8.6567, 8.6567) * CHOOSE(CONTROL!$C$21, $C$9, 100%, $E$9)</f>
        <v>8.6567000000000007</v>
      </c>
      <c r="N230" s="10">
        <f>CHOOSE(CONTROL!$C$42, 8.6744, 8.6744) * CHOOSE(CONTROL!$C$21, $C$9, 100%, $E$9)</f>
        <v>8.6744000000000003</v>
      </c>
      <c r="O230" s="10">
        <f>CHOOSE(CONTROL!$C$42, 8.7394, 8.7394) * CHOOSE(CONTROL!$C$21, $C$9, 100%, $E$9)</f>
        <v>8.7393999999999998</v>
      </c>
      <c r="P230" s="10">
        <f>CHOOSE(CONTROL!$C$42, 8.6934, 8.6934) * CHOOSE(CONTROL!$C$21, $C$9, 100%, $E$9)</f>
        <v>8.6934000000000005</v>
      </c>
      <c r="Q230" s="10">
        <f>CHOOSE(CONTROL!$C$42, 9.3347, 9.3347) * CHOOSE(CONTROL!$C$21, $C$9, 100%, $E$9)</f>
        <v>9.3346999999999998</v>
      </c>
      <c r="R230" s="10">
        <f>CHOOSE(CONTROL!$C$42, 9.9451, 9.9451) * CHOOSE(CONTROL!$C$21, $C$9, 100%, $E$9)</f>
        <v>9.9451000000000001</v>
      </c>
      <c r="S230" s="10">
        <f>CHOOSE(CONTROL!$C$42, 8.5081, 8.5081) * CHOOSE(CONTROL!$C$21, $C$9, 100%, $E$9)</f>
        <v>8.5081000000000007</v>
      </c>
      <c r="T230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230" s="38">
        <f>(1000*CHOOSE(CONTROL!$C$42, 695, 695)*CHOOSE(CONTROL!$C$42, 0.5599, 0.5599)*CHOOSE(CONTROL!$C$42, 29, 29))/1000000</f>
        <v>11.284784499999999</v>
      </c>
      <c r="V230" s="38">
        <f>(1000*CHOOSE(CONTROL!$C$42, 500, 500)*CHOOSE(CONTROL!$C$42, 0.275, 0.275)*CHOOSE(CONTROL!$C$42, 29, 29))/1000000</f>
        <v>3.9874999999999998</v>
      </c>
      <c r="W230" s="38">
        <f>(1000*CHOOSE(CONTROL!$C$42, 0.1146, 0.1146)*CHOOSE(CONTROL!$C$42, 121.5, 121.5)*CHOOSE(CONTROL!$C$42, 29, 29))/1000000</f>
        <v>0.40379309999999996</v>
      </c>
      <c r="X230" s="38">
        <f>(29*0.1790888*100000/1000000)+(29*0.2374*100000/1000000)</f>
        <v>1.2078175199999999</v>
      </c>
      <c r="Y230" s="38">
        <f>(1000*600*CHOOSE(CONTROL!$C$42, 1.6597, 1.6597)*CHOOSE(CONTROL!$C$42, 29, 29))/1000000</f>
        <v>28.878779999999999</v>
      </c>
      <c r="Z230" s="38"/>
      <c r="AA230" s="10"/>
      <c r="AB230" s="39"/>
      <c r="AC230" s="33">
        <f>(B230*122.58+C230*297.941+D230*89.177+E230*40.302+F230*40+G230*160+H230*0+I230*100+J230*300)/(122.58+297.941+89.177+40.302+0+40+160+100+300)</f>
        <v>8.7707662340869561</v>
      </c>
      <c r="AD230" s="27">
        <f>(M230*'RAP TEMPLATE-GAS AVAILABILITY'!O229+N230*'RAP TEMPLATE-GAS AVAILABILITY'!P229+O230*'RAP TEMPLATE-GAS AVAILABILITY'!Q229+P230*'RAP TEMPLATE-GAS AVAILABILITY'!R229)/('RAP TEMPLATE-GAS AVAILABILITY'!O229+'RAP TEMPLATE-GAS AVAILABILITY'!P229+'RAP TEMPLATE-GAS AVAILABILITY'!Q229+'RAP TEMPLATE-GAS AVAILABILITY'!R229)</f>
        <v>8.7004820143884913</v>
      </c>
    </row>
    <row r="231" spans="1:30" ht="15">
      <c r="A231" s="16">
        <v>48274</v>
      </c>
      <c r="B231" s="10">
        <f>CHOOSE(CONTROL!$C$42, 8.52, 8.52) * CHOOSE(CONTROL!$C$21, $C$9, 100%, $E$9)</f>
        <v>8.52</v>
      </c>
      <c r="C231" s="10">
        <f>CHOOSE(CONTROL!$C$42, 8.5251, 8.5251) * CHOOSE(CONTROL!$C$21, $C$9, 100%, $E$9)</f>
        <v>8.5251000000000001</v>
      </c>
      <c r="D231" s="10">
        <f>CHOOSE(CONTROL!$C$42, 8.5575, 8.5575) * CHOOSE(CONTROL!$C$21, $C$9, 100%, $E$9)</f>
        <v>8.5574999999999992</v>
      </c>
      <c r="E231" s="10">
        <f>CHOOSE(CONTROL!$C$42, 8.5913, 8.5913) * CHOOSE(CONTROL!$C$21, $C$9, 100%, $E$9)</f>
        <v>8.5913000000000004</v>
      </c>
      <c r="F231" s="10">
        <f>CHOOSE(CONTROL!$C$42, 8.5022, 8.5022)*CHOOSE(CONTROL!$C$21, $C$9, 100%, $E$9)</f>
        <v>8.5022000000000002</v>
      </c>
      <c r="G231" s="10">
        <f>CHOOSE(CONTROL!$C$42, 8.5198, 8.5198)*CHOOSE(CONTROL!$C$21, $C$9, 100%, $E$9)</f>
        <v>8.5198</v>
      </c>
      <c r="H231" s="10">
        <f>CHOOSE(CONTROL!$C$42, 8.5802, 8.5802) * CHOOSE(CONTROL!$C$21, $C$9, 100%, $E$9)</f>
        <v>8.5801999999999996</v>
      </c>
      <c r="I231" s="10">
        <f>CHOOSE(CONTROL!$C$42, 8.5334, 8.5334)* CHOOSE(CONTROL!$C$21, $C$9, 100%, $E$9)</f>
        <v>8.5334000000000003</v>
      </c>
      <c r="J231" s="10">
        <f>CHOOSE(CONTROL!$C$42, 8.4948, 8.4948)* CHOOSE(CONTROL!$C$21, $C$9, 100%, $E$9)</f>
        <v>8.4947999999999997</v>
      </c>
      <c r="K231" s="10">
        <f>CHOOSE(CONTROL!$C$42, 8.4435, 8.4435) * CHOOSE(CONTROL!$C$21, $C$9, 100%, $E$9)</f>
        <v>8.4435000000000002</v>
      </c>
      <c r="L231" s="10">
        <f>CHOOSE(CONTROL!$C$42, 9.1672, 9.1672) * CHOOSE(CONTROL!$C$21, $C$9, 100%, $E$9)</f>
        <v>9.1671999999999993</v>
      </c>
      <c r="M231" s="10">
        <f>CHOOSE(CONTROL!$C$42, 8.4093, 8.4093) * CHOOSE(CONTROL!$C$21, $C$9, 100%, $E$9)</f>
        <v>8.4093</v>
      </c>
      <c r="N231" s="10">
        <f>CHOOSE(CONTROL!$C$42, 8.4266, 8.4266) * CHOOSE(CONTROL!$C$21, $C$9, 100%, $E$9)</f>
        <v>8.4266000000000005</v>
      </c>
      <c r="O231" s="10">
        <f>CHOOSE(CONTROL!$C$42, 8.4935, 8.4935) * CHOOSE(CONTROL!$C$21, $C$9, 100%, $E$9)</f>
        <v>8.4934999999999992</v>
      </c>
      <c r="P231" s="10">
        <f>CHOOSE(CONTROL!$C$42, 8.4474, 8.4474) * CHOOSE(CONTROL!$C$21, $C$9, 100%, $E$9)</f>
        <v>8.4474</v>
      </c>
      <c r="Q231" s="10">
        <f>CHOOSE(CONTROL!$C$42, 9.0888, 9.0888) * CHOOSE(CONTROL!$C$21, $C$9, 100%, $E$9)</f>
        <v>9.0888000000000009</v>
      </c>
      <c r="R231" s="10">
        <f>CHOOSE(CONTROL!$C$42, 9.6985, 9.6985) * CHOOSE(CONTROL!$C$21, $C$9, 100%, $E$9)</f>
        <v>9.6984999999999992</v>
      </c>
      <c r="S231" s="10">
        <f>CHOOSE(CONTROL!$C$42, 8.2665, 8.2665) * CHOOSE(CONTROL!$C$21, $C$9, 100%, $E$9)</f>
        <v>8.2665000000000006</v>
      </c>
      <c r="T23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31" s="38">
        <f>(1000*CHOOSE(CONTROL!$C$42, 695, 695)*CHOOSE(CONTROL!$C$42, 0.5599, 0.5599)*CHOOSE(CONTROL!$C$42, 31, 31))/1000000</f>
        <v>12.063045499999998</v>
      </c>
      <c r="V231" s="38">
        <f>(1000*CHOOSE(CONTROL!$C$42, 500, 500)*CHOOSE(CONTROL!$C$42, 0.275, 0.275)*CHOOSE(CONTROL!$C$42, 31, 31))/1000000</f>
        <v>4.2625000000000002</v>
      </c>
      <c r="W231" s="38">
        <f>(1000*CHOOSE(CONTROL!$C$42, 0.1146, 0.1146)*CHOOSE(CONTROL!$C$42, 121.5, 121.5)*CHOOSE(CONTROL!$C$42, 31, 31))/1000000</f>
        <v>0.43164089999999994</v>
      </c>
      <c r="X231" s="38">
        <f>(31*0.1790888*100000/1000000)+(31*0.2374*100000/1000000)</f>
        <v>1.2911152800000001</v>
      </c>
      <c r="Y231" s="38">
        <f>(1000*600*CHOOSE(CONTROL!$C$42, 1.6597, 1.6597)*CHOOSE(CONTROL!$C$42, 31, 31))/1000000</f>
        <v>30.870419999999999</v>
      </c>
      <c r="Z231" s="38"/>
      <c r="AA231" s="10"/>
      <c r="AB231" s="39"/>
      <c r="AC231" s="33">
        <f>(B231*122.58+C231*297.941+D231*89.177+E231*40.302+F231*40+G231*160+H231*0+I231*100+J231*300)/(122.58+297.941+89.177+40.302+0+40+160+100+300)</f>
        <v>8.5206723210434774</v>
      </c>
      <c r="AD231" s="27">
        <f>(M231*'RAP TEMPLATE-GAS AVAILABILITY'!O230+N231*'RAP TEMPLATE-GAS AVAILABILITY'!P230+O231*'RAP TEMPLATE-GAS AVAILABILITY'!Q230+P231*'RAP TEMPLATE-GAS AVAILABILITY'!R230)/('RAP TEMPLATE-GAS AVAILABILITY'!O230+'RAP TEMPLATE-GAS AVAILABILITY'!P230+'RAP TEMPLATE-GAS AVAILABILITY'!Q230+'RAP TEMPLATE-GAS AVAILABILITY'!R230)</f>
        <v>8.4539402877697842</v>
      </c>
    </row>
    <row r="232" spans="1:30" ht="15">
      <c r="A232" s="16">
        <v>48305</v>
      </c>
      <c r="B232" s="10">
        <f>CHOOSE(CONTROL!$C$42, 8.4952, 8.4952) * CHOOSE(CONTROL!$C$21, $C$9, 100%, $E$9)</f>
        <v>8.4952000000000005</v>
      </c>
      <c r="C232" s="10">
        <f>CHOOSE(CONTROL!$C$42, 8.4997, 8.4997) * CHOOSE(CONTROL!$C$21, $C$9, 100%, $E$9)</f>
        <v>8.4997000000000007</v>
      </c>
      <c r="D232" s="10">
        <f>CHOOSE(CONTROL!$C$42, 8.6598, 8.6598) * CHOOSE(CONTROL!$C$21, $C$9, 100%, $E$9)</f>
        <v>8.6598000000000006</v>
      </c>
      <c r="E232" s="10">
        <f>CHOOSE(CONTROL!$C$42, 8.6917, 8.6917) * CHOOSE(CONTROL!$C$21, $C$9, 100%, $E$9)</f>
        <v>8.6917000000000009</v>
      </c>
      <c r="F232" s="10">
        <f>CHOOSE(CONTROL!$C$42, 8.4413, 8.4413)*CHOOSE(CONTROL!$C$21, $C$9, 100%, $E$9)</f>
        <v>8.4413</v>
      </c>
      <c r="G232" s="10">
        <f>CHOOSE(CONTROL!$C$42, 8.4571, 8.4571)*CHOOSE(CONTROL!$C$21, $C$9, 100%, $E$9)</f>
        <v>8.4571000000000005</v>
      </c>
      <c r="H232" s="10">
        <f>CHOOSE(CONTROL!$C$42, 8.6811, 8.6811) * CHOOSE(CONTROL!$C$21, $C$9, 100%, $E$9)</f>
        <v>8.6811000000000007</v>
      </c>
      <c r="I232" s="10">
        <f>CHOOSE(CONTROL!$C$42, 8.4753, 8.4753)* CHOOSE(CONTROL!$C$21, $C$9, 100%, $E$9)</f>
        <v>8.4753000000000007</v>
      </c>
      <c r="J232" s="10">
        <f>CHOOSE(CONTROL!$C$42, 8.4339, 8.4339)* CHOOSE(CONTROL!$C$21, $C$9, 100%, $E$9)</f>
        <v>8.4338999999999995</v>
      </c>
      <c r="K232" s="10">
        <f>CHOOSE(CONTROL!$C$42, 8.3712, 8.3712) * CHOOSE(CONTROL!$C$21, $C$9, 100%, $E$9)</f>
        <v>8.3712</v>
      </c>
      <c r="L232" s="10">
        <f>CHOOSE(CONTROL!$C$42, 9.2681, 9.2681) * CHOOSE(CONTROL!$C$21, $C$9, 100%, $E$9)</f>
        <v>9.2681000000000004</v>
      </c>
      <c r="M232" s="10">
        <f>CHOOSE(CONTROL!$C$42, 8.3492, 8.3492) * CHOOSE(CONTROL!$C$21, $C$9, 100%, $E$9)</f>
        <v>8.3491999999999997</v>
      </c>
      <c r="N232" s="10">
        <f>CHOOSE(CONTROL!$C$42, 8.3648, 8.3648) * CHOOSE(CONTROL!$C$21, $C$9, 100%, $E$9)</f>
        <v>8.3648000000000007</v>
      </c>
      <c r="O232" s="10">
        <f>CHOOSE(CONTROL!$C$42, 8.593, 8.593) * CHOOSE(CONTROL!$C$21, $C$9, 100%, $E$9)</f>
        <v>8.593</v>
      </c>
      <c r="P232" s="10">
        <f>CHOOSE(CONTROL!$C$42, 8.3901, 8.3901) * CHOOSE(CONTROL!$C$21, $C$9, 100%, $E$9)</f>
        <v>8.3901000000000003</v>
      </c>
      <c r="Q232" s="10">
        <f>CHOOSE(CONTROL!$C$42, 9.1883, 9.1883) * CHOOSE(CONTROL!$C$21, $C$9, 100%, $E$9)</f>
        <v>9.1882999999999999</v>
      </c>
      <c r="R232" s="10">
        <f>CHOOSE(CONTROL!$C$42, 9.7983, 9.7983) * CHOOSE(CONTROL!$C$21, $C$9, 100%, $E$9)</f>
        <v>9.7982999999999993</v>
      </c>
      <c r="S232" s="10">
        <f>CHOOSE(CONTROL!$C$42, 8.2418, 8.2418) * CHOOSE(CONTROL!$C$21, $C$9, 100%, $E$9)</f>
        <v>8.2417999999999996</v>
      </c>
      <c r="T23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32" s="38">
        <f>(1000*CHOOSE(CONTROL!$C$42, 695, 695)*CHOOSE(CONTROL!$C$42, 0.5599, 0.5599)*CHOOSE(CONTROL!$C$42, 30, 30))/1000000</f>
        <v>11.673914999999997</v>
      </c>
      <c r="V232" s="38">
        <f>(1000*CHOOSE(CONTROL!$C$42, 500, 500)*CHOOSE(CONTROL!$C$42, 0.275, 0.275)*CHOOSE(CONTROL!$C$42, 30, 30))/1000000</f>
        <v>4.125</v>
      </c>
      <c r="W232" s="38">
        <f>(1000*CHOOSE(CONTROL!$C$42, 0.1146, 0.1146)*CHOOSE(CONTROL!$C$42, 121.5, 121.5)*CHOOSE(CONTROL!$C$42, 30, 30))/1000000</f>
        <v>0.417717</v>
      </c>
      <c r="X232" s="38">
        <f>(30*0.1790888*245000/1000000)+(30*0.2374*100000/1000000)</f>
        <v>2.0285026799999999</v>
      </c>
      <c r="Y232" s="38">
        <f>(1000*600*CHOOSE(CONTROL!$C$42, 1.6597, 1.6597)*CHOOSE(CONTROL!$C$42, 30, 30))/1000000</f>
        <v>29.874600000000001</v>
      </c>
      <c r="Z232" s="38"/>
      <c r="AA232" s="10"/>
      <c r="AB232" s="39"/>
      <c r="AC232" s="33">
        <f>(B232*141.293+C232*267.993+D232*115.016+E232*89.698+F232*40+G232*185+H232*0+I232*100+J232*300)/(141.293+267.993+115.016+89.698+0+40+185+100+300)</f>
        <v>8.5018010969330113</v>
      </c>
      <c r="AD232" s="27">
        <f>(M232*'RAP TEMPLATE-GAS AVAILABILITY'!O231+N232*'RAP TEMPLATE-GAS AVAILABILITY'!P231+O232*'RAP TEMPLATE-GAS AVAILABILITY'!Q231+P232*'RAP TEMPLATE-GAS AVAILABILITY'!R231)/('RAP TEMPLATE-GAS AVAILABILITY'!O231+'RAP TEMPLATE-GAS AVAILABILITY'!P231+'RAP TEMPLATE-GAS AVAILABILITY'!Q231+'RAP TEMPLATE-GAS AVAILABILITY'!R231)</f>
        <v>8.4270805755395699</v>
      </c>
    </row>
    <row r="233" spans="1:30" ht="15">
      <c r="A233" s="16">
        <v>48335</v>
      </c>
      <c r="B233" s="10">
        <f>CHOOSE(CONTROL!$C$42, 8.5721, 8.5721) * CHOOSE(CONTROL!$C$21, $C$9, 100%, $E$9)</f>
        <v>8.5721000000000007</v>
      </c>
      <c r="C233" s="10">
        <f>CHOOSE(CONTROL!$C$42, 8.5801, 8.5801) * CHOOSE(CONTROL!$C$21, $C$9, 100%, $E$9)</f>
        <v>8.5800999999999998</v>
      </c>
      <c r="D233" s="10">
        <f>CHOOSE(CONTROL!$C$42, 8.7371, 8.7371) * CHOOSE(CONTROL!$C$21, $C$9, 100%, $E$9)</f>
        <v>8.7370999999999999</v>
      </c>
      <c r="E233" s="10">
        <f>CHOOSE(CONTROL!$C$42, 8.7684, 8.7684) * CHOOSE(CONTROL!$C$21, $C$9, 100%, $E$9)</f>
        <v>8.7683999999999997</v>
      </c>
      <c r="F233" s="10">
        <f>CHOOSE(CONTROL!$C$42, 8.5162, 8.5162)*CHOOSE(CONTROL!$C$21, $C$9, 100%, $E$9)</f>
        <v>8.5161999999999995</v>
      </c>
      <c r="G233" s="10">
        <f>CHOOSE(CONTROL!$C$42, 8.5324, 8.5324)*CHOOSE(CONTROL!$C$21, $C$9, 100%, $E$9)</f>
        <v>8.5324000000000009</v>
      </c>
      <c r="H233" s="10">
        <f>CHOOSE(CONTROL!$C$42, 8.7567, 8.7567) * CHOOSE(CONTROL!$C$21, $C$9, 100%, $E$9)</f>
        <v>8.7567000000000004</v>
      </c>
      <c r="I233" s="10">
        <f>CHOOSE(CONTROL!$C$42, 8.5509, 8.5509)* CHOOSE(CONTROL!$C$21, $C$9, 100%, $E$9)</f>
        <v>8.5509000000000004</v>
      </c>
      <c r="J233" s="10">
        <f>CHOOSE(CONTROL!$C$42, 8.5088, 8.5088)* CHOOSE(CONTROL!$C$21, $C$9, 100%, $E$9)</f>
        <v>8.5088000000000008</v>
      </c>
      <c r="K233" s="10">
        <f>CHOOSE(CONTROL!$C$42, 8.4432, 8.4432) * CHOOSE(CONTROL!$C$21, $C$9, 100%, $E$9)</f>
        <v>8.4431999999999992</v>
      </c>
      <c r="L233" s="10">
        <f>CHOOSE(CONTROL!$C$42, 9.3437, 9.3437) * CHOOSE(CONTROL!$C$21, $C$9, 100%, $E$9)</f>
        <v>9.3437000000000001</v>
      </c>
      <c r="M233" s="10">
        <f>CHOOSE(CONTROL!$C$42, 8.4231, 8.4231) * CHOOSE(CONTROL!$C$21, $C$9, 100%, $E$9)</f>
        <v>8.4230999999999998</v>
      </c>
      <c r="N233" s="10">
        <f>CHOOSE(CONTROL!$C$42, 8.4391, 8.4391) * CHOOSE(CONTROL!$C$21, $C$9, 100%, $E$9)</f>
        <v>8.4390999999999998</v>
      </c>
      <c r="O233" s="10">
        <f>CHOOSE(CONTROL!$C$42, 8.6676, 8.6676) * CHOOSE(CONTROL!$C$21, $C$9, 100%, $E$9)</f>
        <v>8.6676000000000002</v>
      </c>
      <c r="P233" s="10">
        <f>CHOOSE(CONTROL!$C$42, 8.4647, 8.4647) * CHOOSE(CONTROL!$C$21, $C$9, 100%, $E$9)</f>
        <v>8.4647000000000006</v>
      </c>
      <c r="Q233" s="10">
        <f>CHOOSE(CONTROL!$C$42, 9.2629, 9.2629) * CHOOSE(CONTROL!$C$21, $C$9, 100%, $E$9)</f>
        <v>9.2629000000000001</v>
      </c>
      <c r="R233" s="10">
        <f>CHOOSE(CONTROL!$C$42, 9.873, 9.873) * CHOOSE(CONTROL!$C$21, $C$9, 100%, $E$9)</f>
        <v>9.8729999999999993</v>
      </c>
      <c r="S233" s="10">
        <f>CHOOSE(CONTROL!$C$42, 8.315, 8.315) * CHOOSE(CONTROL!$C$21, $C$9, 100%, $E$9)</f>
        <v>8.3149999999999995</v>
      </c>
      <c r="T23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33" s="38">
        <f>(1000*CHOOSE(CONTROL!$C$42, 695, 695)*CHOOSE(CONTROL!$C$42, 0.5599, 0.5599)*CHOOSE(CONTROL!$C$42, 31, 31))/1000000</f>
        <v>12.063045499999998</v>
      </c>
      <c r="V233" s="38">
        <f>(1000*CHOOSE(CONTROL!$C$42, 500, 500)*CHOOSE(CONTROL!$C$42, 0.275, 0.275)*CHOOSE(CONTROL!$C$42, 31, 31))/1000000</f>
        <v>4.2625000000000002</v>
      </c>
      <c r="W233" s="38">
        <f>(1000*CHOOSE(CONTROL!$C$42, 0.1146, 0.1146)*CHOOSE(CONTROL!$C$42, 121.5, 121.5)*CHOOSE(CONTROL!$C$42, 31, 31))/1000000</f>
        <v>0.43164089999999994</v>
      </c>
      <c r="X233" s="38">
        <f>(31*0.1790888*245000/1000000)+(31*0.2374*100000/1000000)</f>
        <v>2.0961194359999999</v>
      </c>
      <c r="Y233" s="38">
        <f>(1000*600*CHOOSE(CONTROL!$C$42, 1.6597, 1.6597)*CHOOSE(CONTROL!$C$42, 31, 31))/1000000</f>
        <v>30.870419999999999</v>
      </c>
      <c r="Z233" s="38"/>
      <c r="AA233" s="10"/>
      <c r="AB233" s="39"/>
      <c r="AC233" s="33">
        <f>(B233*194.205+C233*267.466+D233*133.845+E233*53.484+F233*40+G233*185+H233*0+I233*100+J233*300)/(194.205+267.466+133.845+53.484+0+40+185+100+300)</f>
        <v>8.5752652764521216</v>
      </c>
      <c r="AD233" s="27">
        <f>(M233*'RAP TEMPLATE-GAS AVAILABILITY'!O232+N233*'RAP TEMPLATE-GAS AVAILABILITY'!P232+O233*'RAP TEMPLATE-GAS AVAILABILITY'!Q232+P233*'RAP TEMPLATE-GAS AVAILABILITY'!R232)/('RAP TEMPLATE-GAS AVAILABILITY'!O232+'RAP TEMPLATE-GAS AVAILABILITY'!P232+'RAP TEMPLATE-GAS AVAILABILITY'!Q232+'RAP TEMPLATE-GAS AVAILABILITY'!R232)</f>
        <v>8.5013697841726614</v>
      </c>
    </row>
    <row r="234" spans="1:30" ht="15">
      <c r="A234" s="16">
        <v>48366</v>
      </c>
      <c r="B234" s="10">
        <f>CHOOSE(CONTROL!$C$42, 8.8156, 8.8156) * CHOOSE(CONTROL!$C$21, $C$9, 100%, $E$9)</f>
        <v>8.8155999999999999</v>
      </c>
      <c r="C234" s="10">
        <f>CHOOSE(CONTROL!$C$42, 8.8236, 8.8236) * CHOOSE(CONTROL!$C$21, $C$9, 100%, $E$9)</f>
        <v>8.8236000000000008</v>
      </c>
      <c r="D234" s="10">
        <f>CHOOSE(CONTROL!$C$42, 8.9807, 8.9807) * CHOOSE(CONTROL!$C$21, $C$9, 100%, $E$9)</f>
        <v>8.9807000000000006</v>
      </c>
      <c r="E234" s="10">
        <f>CHOOSE(CONTROL!$C$42, 9.0119, 9.0119) * CHOOSE(CONTROL!$C$21, $C$9, 100%, $E$9)</f>
        <v>9.0119000000000007</v>
      </c>
      <c r="F234" s="10">
        <f>CHOOSE(CONTROL!$C$42, 8.76, 8.76)*CHOOSE(CONTROL!$C$21, $C$9, 100%, $E$9)</f>
        <v>8.76</v>
      </c>
      <c r="G234" s="10">
        <f>CHOOSE(CONTROL!$C$42, 8.7761, 8.7761)*CHOOSE(CONTROL!$C$21, $C$9, 100%, $E$9)</f>
        <v>8.7760999999999996</v>
      </c>
      <c r="H234" s="10">
        <f>CHOOSE(CONTROL!$C$42, 9.0002, 9.0002) * CHOOSE(CONTROL!$C$21, $C$9, 100%, $E$9)</f>
        <v>9.0001999999999995</v>
      </c>
      <c r="I234" s="10">
        <f>CHOOSE(CONTROL!$C$42, 8.7944, 8.7944)* CHOOSE(CONTROL!$C$21, $C$9, 100%, $E$9)</f>
        <v>8.7943999999999996</v>
      </c>
      <c r="J234" s="10">
        <f>CHOOSE(CONTROL!$C$42, 8.7526, 8.7526)* CHOOSE(CONTROL!$C$21, $C$9, 100%, $E$9)</f>
        <v>8.7525999999999993</v>
      </c>
      <c r="K234" s="10">
        <f>CHOOSE(CONTROL!$C$42, 8.6795, 8.6795) * CHOOSE(CONTROL!$C$21, $C$9, 100%, $E$9)</f>
        <v>8.6795000000000009</v>
      </c>
      <c r="L234" s="10">
        <f>CHOOSE(CONTROL!$C$42, 9.5872, 9.5872) * CHOOSE(CONTROL!$C$21, $C$9, 100%, $E$9)</f>
        <v>9.5871999999999993</v>
      </c>
      <c r="M234" s="10">
        <f>CHOOSE(CONTROL!$C$42, 8.6635, 8.6635) * CHOOSE(CONTROL!$C$21, $C$9, 100%, $E$9)</f>
        <v>8.6635000000000009</v>
      </c>
      <c r="N234" s="10">
        <f>CHOOSE(CONTROL!$C$42, 8.6794, 8.6794) * CHOOSE(CONTROL!$C$21, $C$9, 100%, $E$9)</f>
        <v>8.6793999999999993</v>
      </c>
      <c r="O234" s="10">
        <f>CHOOSE(CONTROL!$C$42, 8.9077, 8.9077) * CHOOSE(CONTROL!$C$21, $C$9, 100%, $E$9)</f>
        <v>8.9077000000000002</v>
      </c>
      <c r="P234" s="10">
        <f>CHOOSE(CONTROL!$C$42, 8.7048, 8.7048) * CHOOSE(CONTROL!$C$21, $C$9, 100%, $E$9)</f>
        <v>8.7048000000000005</v>
      </c>
      <c r="Q234" s="10">
        <f>CHOOSE(CONTROL!$C$42, 9.503, 9.503) * CHOOSE(CONTROL!$C$21, $C$9, 100%, $E$9)</f>
        <v>9.5030000000000001</v>
      </c>
      <c r="R234" s="10">
        <f>CHOOSE(CONTROL!$C$42, 10.1138, 10.1138) * CHOOSE(CONTROL!$C$21, $C$9, 100%, $E$9)</f>
        <v>10.113799999999999</v>
      </c>
      <c r="S234" s="10">
        <f>CHOOSE(CONTROL!$C$42, 8.5508, 8.5508) * CHOOSE(CONTROL!$C$21, $C$9, 100%, $E$9)</f>
        <v>8.5508000000000006</v>
      </c>
      <c r="T23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34" s="38">
        <f>(1000*CHOOSE(CONTROL!$C$42, 695, 695)*CHOOSE(CONTROL!$C$42, 0.5599, 0.5599)*CHOOSE(CONTROL!$C$42, 30, 30))/1000000</f>
        <v>11.673914999999997</v>
      </c>
      <c r="V234" s="38">
        <f>(1000*CHOOSE(CONTROL!$C$42, 500, 500)*CHOOSE(CONTROL!$C$42, 0.275, 0.275)*CHOOSE(CONTROL!$C$42, 30, 30))/1000000</f>
        <v>4.125</v>
      </c>
      <c r="W234" s="38">
        <f>(1000*CHOOSE(CONTROL!$C$42, 0.1146, 0.1146)*CHOOSE(CONTROL!$C$42, 121.5, 121.5)*CHOOSE(CONTROL!$C$42, 30, 30))/1000000</f>
        <v>0.417717</v>
      </c>
      <c r="X234" s="38">
        <f>(30*0.1790888*245000/1000000)+(30*0.2374*100000/1000000)</f>
        <v>2.0285026799999999</v>
      </c>
      <c r="Y234" s="38">
        <f>(1000*600*CHOOSE(CONTROL!$C$42, 1.6597, 1.6597)*CHOOSE(CONTROL!$C$42, 30, 30))/1000000</f>
        <v>29.874600000000001</v>
      </c>
      <c r="Z234" s="38"/>
      <c r="AA234" s="10"/>
      <c r="AB234" s="39"/>
      <c r="AC234" s="33">
        <f>(B234*194.205+C234*267.466+D234*133.845+E234*53.484+F234*40+G234*185+H234*0+I234*100+J234*300)/(194.205+267.466+133.845+53.484+0+40+185+100+300)</f>
        <v>8.8188848875196229</v>
      </c>
      <c r="AD234" s="27">
        <f>(M234*'RAP TEMPLATE-GAS AVAILABILITY'!O233+N234*'RAP TEMPLATE-GAS AVAILABILITY'!P233+O234*'RAP TEMPLATE-GAS AVAILABILITY'!Q233+P234*'RAP TEMPLATE-GAS AVAILABILITY'!R233)/('RAP TEMPLATE-GAS AVAILABILITY'!O233+'RAP TEMPLATE-GAS AVAILABILITY'!P233+'RAP TEMPLATE-GAS AVAILABILITY'!Q233+'RAP TEMPLATE-GAS AVAILABILITY'!R233)</f>
        <v>8.7416194244604331</v>
      </c>
    </row>
    <row r="235" spans="1:30" ht="15">
      <c r="A235" s="16">
        <v>48396</v>
      </c>
      <c r="B235" s="10">
        <f>CHOOSE(CONTROL!$C$42, 8.6463, 8.6463) * CHOOSE(CONTROL!$C$21, $C$9, 100%, $E$9)</f>
        <v>8.6463000000000001</v>
      </c>
      <c r="C235" s="10">
        <f>CHOOSE(CONTROL!$C$42, 8.6543, 8.6543) * CHOOSE(CONTROL!$C$21, $C$9, 100%, $E$9)</f>
        <v>8.6542999999999992</v>
      </c>
      <c r="D235" s="10">
        <f>CHOOSE(CONTROL!$C$42, 8.8113, 8.8113) * CHOOSE(CONTROL!$C$21, $C$9, 100%, $E$9)</f>
        <v>8.8112999999999992</v>
      </c>
      <c r="E235" s="10">
        <f>CHOOSE(CONTROL!$C$42, 8.8425, 8.8425) * CHOOSE(CONTROL!$C$21, $C$9, 100%, $E$9)</f>
        <v>8.8424999999999994</v>
      </c>
      <c r="F235" s="10">
        <f>CHOOSE(CONTROL!$C$42, 8.5909, 8.5909)*CHOOSE(CONTROL!$C$21, $C$9, 100%, $E$9)</f>
        <v>8.5908999999999995</v>
      </c>
      <c r="G235" s="10">
        <f>CHOOSE(CONTROL!$C$42, 8.6072, 8.6072)*CHOOSE(CONTROL!$C$21, $C$9, 100%, $E$9)</f>
        <v>8.6072000000000006</v>
      </c>
      <c r="H235" s="10">
        <f>CHOOSE(CONTROL!$C$42, 8.8308, 8.8308) * CHOOSE(CONTROL!$C$21, $C$9, 100%, $E$9)</f>
        <v>8.8308</v>
      </c>
      <c r="I235" s="10">
        <f>CHOOSE(CONTROL!$C$42, 8.625, 8.625)* CHOOSE(CONTROL!$C$21, $C$9, 100%, $E$9)</f>
        <v>8.625</v>
      </c>
      <c r="J235" s="10">
        <f>CHOOSE(CONTROL!$C$42, 8.5835, 8.5835)* CHOOSE(CONTROL!$C$21, $C$9, 100%, $E$9)</f>
        <v>8.5835000000000008</v>
      </c>
      <c r="K235" s="10">
        <f>CHOOSE(CONTROL!$C$42, 8.5161, 8.5161) * CHOOSE(CONTROL!$C$21, $C$9, 100%, $E$9)</f>
        <v>8.5160999999999998</v>
      </c>
      <c r="L235" s="10">
        <f>CHOOSE(CONTROL!$C$42, 9.4178, 9.4178) * CHOOSE(CONTROL!$C$21, $C$9, 100%, $E$9)</f>
        <v>9.4177999999999997</v>
      </c>
      <c r="M235" s="10">
        <f>CHOOSE(CONTROL!$C$42, 8.4968, 8.4968) * CHOOSE(CONTROL!$C$21, $C$9, 100%, $E$9)</f>
        <v>8.4968000000000004</v>
      </c>
      <c r="N235" s="10">
        <f>CHOOSE(CONTROL!$C$42, 8.5128, 8.5128) * CHOOSE(CONTROL!$C$21, $C$9, 100%, $E$9)</f>
        <v>8.5128000000000004</v>
      </c>
      <c r="O235" s="10">
        <f>CHOOSE(CONTROL!$C$42, 8.7407, 8.7407) * CHOOSE(CONTROL!$C$21, $C$9, 100%, $E$9)</f>
        <v>8.7407000000000004</v>
      </c>
      <c r="P235" s="10">
        <f>CHOOSE(CONTROL!$C$42, 8.5378, 8.5378) * CHOOSE(CONTROL!$C$21, $C$9, 100%, $E$9)</f>
        <v>8.5378000000000007</v>
      </c>
      <c r="Q235" s="10">
        <f>CHOOSE(CONTROL!$C$42, 9.336, 9.336) * CHOOSE(CONTROL!$C$21, $C$9, 100%, $E$9)</f>
        <v>9.3360000000000003</v>
      </c>
      <c r="R235" s="10">
        <f>CHOOSE(CONTROL!$C$42, 9.9463, 9.9463) * CHOOSE(CONTROL!$C$21, $C$9, 100%, $E$9)</f>
        <v>9.9463000000000008</v>
      </c>
      <c r="S235" s="10">
        <f>CHOOSE(CONTROL!$C$42, 8.3868, 8.3868) * CHOOSE(CONTROL!$C$21, $C$9, 100%, $E$9)</f>
        <v>8.3867999999999991</v>
      </c>
      <c r="T23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35" s="38">
        <f>(1000*CHOOSE(CONTROL!$C$42, 695, 695)*CHOOSE(CONTROL!$C$42, 0.5599, 0.5599)*CHOOSE(CONTROL!$C$42, 31, 31))/1000000</f>
        <v>12.063045499999998</v>
      </c>
      <c r="V235" s="38">
        <f>(1000*CHOOSE(CONTROL!$C$42, 500, 500)*CHOOSE(CONTROL!$C$42, 0.275, 0.275)*CHOOSE(CONTROL!$C$42, 31, 31))/1000000</f>
        <v>4.2625000000000002</v>
      </c>
      <c r="W235" s="38">
        <f>(1000*CHOOSE(CONTROL!$C$42, 0.1146, 0.1146)*CHOOSE(CONTROL!$C$42, 121.5, 121.5)*CHOOSE(CONTROL!$C$42, 31, 31))/1000000</f>
        <v>0.43164089999999994</v>
      </c>
      <c r="X235" s="38">
        <f>(31*0.1790888*245000/1000000)+(31*0.2374*100000/1000000)</f>
        <v>2.0961194359999999</v>
      </c>
      <c r="Y235" s="38">
        <f>(1000*600*CHOOSE(CONTROL!$C$42, 1.6597, 1.6597)*CHOOSE(CONTROL!$C$42, 31, 31))/1000000</f>
        <v>30.870419999999999</v>
      </c>
      <c r="Z235" s="38"/>
      <c r="AA235" s="10"/>
      <c r="AB235" s="39"/>
      <c r="AC235" s="33">
        <f>(B235*194.205+C235*267.466+D235*133.845+E235*53.484+F235*40+G235*185+H235*0+I235*100+J235*300)/(194.205+267.466+133.845+53.484+0+40+185+100+300)</f>
        <v>8.6496737941915232</v>
      </c>
      <c r="AD235" s="27">
        <f>(M235*'RAP TEMPLATE-GAS AVAILABILITY'!O234+N235*'RAP TEMPLATE-GAS AVAILABILITY'!P234+O235*'RAP TEMPLATE-GAS AVAILABILITY'!Q234+P235*'RAP TEMPLATE-GAS AVAILABILITY'!R234)/('RAP TEMPLATE-GAS AVAILABILITY'!O234+'RAP TEMPLATE-GAS AVAILABILITY'!P234+'RAP TEMPLATE-GAS AVAILABILITY'!Q234+'RAP TEMPLATE-GAS AVAILABILITY'!R234)</f>
        <v>8.5748151079136683</v>
      </c>
    </row>
    <row r="236" spans="1:30" ht="15">
      <c r="A236" s="16">
        <v>48427</v>
      </c>
      <c r="B236" s="10">
        <f>CHOOSE(CONTROL!$C$42, 8.2185, 8.2185) * CHOOSE(CONTROL!$C$21, $C$9, 100%, $E$9)</f>
        <v>8.2185000000000006</v>
      </c>
      <c r="C236" s="10">
        <f>CHOOSE(CONTROL!$C$42, 8.2265, 8.2265) * CHOOSE(CONTROL!$C$21, $C$9, 100%, $E$9)</f>
        <v>8.2264999999999997</v>
      </c>
      <c r="D236" s="10">
        <f>CHOOSE(CONTROL!$C$42, 8.3835, 8.3835) * CHOOSE(CONTROL!$C$21, $C$9, 100%, $E$9)</f>
        <v>8.3834999999999997</v>
      </c>
      <c r="E236" s="10">
        <f>CHOOSE(CONTROL!$C$42, 8.4148, 8.4148) * CHOOSE(CONTROL!$C$21, $C$9, 100%, $E$9)</f>
        <v>8.4147999999999996</v>
      </c>
      <c r="F236" s="10">
        <f>CHOOSE(CONTROL!$C$42, 8.1631, 8.1631)*CHOOSE(CONTROL!$C$21, $C$9, 100%, $E$9)</f>
        <v>8.1631</v>
      </c>
      <c r="G236" s="10">
        <f>CHOOSE(CONTROL!$C$42, 8.1793, 8.1793)*CHOOSE(CONTROL!$C$21, $C$9, 100%, $E$9)</f>
        <v>8.1792999999999996</v>
      </c>
      <c r="H236" s="10">
        <f>CHOOSE(CONTROL!$C$42, 8.4031, 8.4031) * CHOOSE(CONTROL!$C$21, $C$9, 100%, $E$9)</f>
        <v>8.4031000000000002</v>
      </c>
      <c r="I236" s="10">
        <f>CHOOSE(CONTROL!$C$42, 8.1973, 8.1973)* CHOOSE(CONTROL!$C$21, $C$9, 100%, $E$9)</f>
        <v>8.1973000000000003</v>
      </c>
      <c r="J236" s="10">
        <f>CHOOSE(CONTROL!$C$42, 8.1557, 8.1557)* CHOOSE(CONTROL!$C$21, $C$9, 100%, $E$9)</f>
        <v>8.1556999999999995</v>
      </c>
      <c r="K236" s="10">
        <f>CHOOSE(CONTROL!$C$42, 8.1015, 8.1015) * CHOOSE(CONTROL!$C$21, $C$9, 100%, $E$9)</f>
        <v>8.1014999999999997</v>
      </c>
      <c r="L236" s="10">
        <f>CHOOSE(CONTROL!$C$42, 8.9901, 8.9901) * CHOOSE(CONTROL!$C$21, $C$9, 100%, $E$9)</f>
        <v>8.9901</v>
      </c>
      <c r="M236" s="10">
        <f>CHOOSE(CONTROL!$C$42, 8.0749, 8.0749) * CHOOSE(CONTROL!$C$21, $C$9, 100%, $E$9)</f>
        <v>8.0748999999999995</v>
      </c>
      <c r="N236" s="10">
        <f>CHOOSE(CONTROL!$C$42, 8.0909, 8.0909) * CHOOSE(CONTROL!$C$21, $C$9, 100%, $E$9)</f>
        <v>8.0908999999999995</v>
      </c>
      <c r="O236" s="10">
        <f>CHOOSE(CONTROL!$C$42, 8.3189, 8.3189) * CHOOSE(CONTROL!$C$21, $C$9, 100%, $E$9)</f>
        <v>8.3188999999999993</v>
      </c>
      <c r="P236" s="10">
        <f>CHOOSE(CONTROL!$C$42, 8.116, 8.116) * CHOOSE(CONTROL!$C$21, $C$9, 100%, $E$9)</f>
        <v>8.1159999999999997</v>
      </c>
      <c r="Q236" s="10">
        <f>CHOOSE(CONTROL!$C$42, 8.9142, 8.9142) * CHOOSE(CONTROL!$C$21, $C$9, 100%, $E$9)</f>
        <v>8.9141999999999992</v>
      </c>
      <c r="R236" s="10">
        <f>CHOOSE(CONTROL!$C$42, 9.5235, 9.5235) * CHOOSE(CONTROL!$C$21, $C$9, 100%, $E$9)</f>
        <v>9.5235000000000003</v>
      </c>
      <c r="S236" s="10">
        <f>CHOOSE(CONTROL!$C$42, 7.9726, 7.9726) * CHOOSE(CONTROL!$C$21, $C$9, 100%, $E$9)</f>
        <v>7.9725999999999999</v>
      </c>
      <c r="T23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36" s="38">
        <f>(1000*CHOOSE(CONTROL!$C$42, 695, 695)*CHOOSE(CONTROL!$C$42, 0.5599, 0.5599)*CHOOSE(CONTROL!$C$42, 31, 31))/1000000</f>
        <v>12.063045499999998</v>
      </c>
      <c r="V236" s="38">
        <f>(1000*CHOOSE(CONTROL!$C$42, 500, 500)*CHOOSE(CONTROL!$C$42, 0.275, 0.275)*CHOOSE(CONTROL!$C$42, 31, 31))/1000000</f>
        <v>4.2625000000000002</v>
      </c>
      <c r="W236" s="38">
        <f>(1000*CHOOSE(CONTROL!$C$42, 0.1146, 0.1146)*CHOOSE(CONTROL!$C$42, 121.5, 121.5)*CHOOSE(CONTROL!$C$42, 31, 31))/1000000</f>
        <v>0.43164089999999994</v>
      </c>
      <c r="X236" s="38">
        <f>(31*0.1790888*245000/1000000)+(31*0.2374*100000/1000000)</f>
        <v>2.0961194359999999</v>
      </c>
      <c r="Y236" s="38">
        <f>(1000*600*CHOOSE(CONTROL!$C$42, 1.6597, 1.6597)*CHOOSE(CONTROL!$C$42, 31, 31))/1000000</f>
        <v>30.870419999999999</v>
      </c>
      <c r="Z236" s="38"/>
      <c r="AA236" s="10"/>
      <c r="AB236" s="39"/>
      <c r="AC236" s="33">
        <f>(B236*194.205+C236*267.466+D236*133.845+E236*53.484+F236*40+G236*185+H236*0+I236*100+J236*300)/(194.205+267.466+133.845+53.484+0+40+185+100+300)</f>
        <v>8.2218713204081642</v>
      </c>
      <c r="AD236" s="27">
        <f>(M236*'RAP TEMPLATE-GAS AVAILABILITY'!O235+N236*'RAP TEMPLATE-GAS AVAILABILITY'!P235+O236*'RAP TEMPLATE-GAS AVAILABILITY'!Q235+P236*'RAP TEMPLATE-GAS AVAILABILITY'!R235)/('RAP TEMPLATE-GAS AVAILABILITY'!O235+'RAP TEMPLATE-GAS AVAILABILITY'!P235+'RAP TEMPLATE-GAS AVAILABILITY'!Q235+'RAP TEMPLATE-GAS AVAILABILITY'!R235)</f>
        <v>8.1529575539568331</v>
      </c>
    </row>
    <row r="237" spans="1:30" ht="15">
      <c r="A237" s="16">
        <v>48458</v>
      </c>
      <c r="B237" s="10">
        <f>CHOOSE(CONTROL!$C$42, 7.6959, 7.6959) * CHOOSE(CONTROL!$C$21, $C$9, 100%, $E$9)</f>
        <v>7.6959</v>
      </c>
      <c r="C237" s="10">
        <f>CHOOSE(CONTROL!$C$42, 7.7039, 7.7039) * CHOOSE(CONTROL!$C$21, $C$9, 100%, $E$9)</f>
        <v>7.7039</v>
      </c>
      <c r="D237" s="10">
        <f>CHOOSE(CONTROL!$C$42, 7.8609, 7.8609) * CHOOSE(CONTROL!$C$21, $C$9, 100%, $E$9)</f>
        <v>7.8609</v>
      </c>
      <c r="E237" s="10">
        <f>CHOOSE(CONTROL!$C$42, 7.8921, 7.8921) * CHOOSE(CONTROL!$C$21, $C$9, 100%, $E$9)</f>
        <v>7.8921000000000001</v>
      </c>
      <c r="F237" s="10">
        <f>CHOOSE(CONTROL!$C$42, 7.6402, 7.6402)*CHOOSE(CONTROL!$C$21, $C$9, 100%, $E$9)</f>
        <v>7.6402000000000001</v>
      </c>
      <c r="G237" s="10">
        <f>CHOOSE(CONTROL!$C$42, 7.6564, 7.6564)*CHOOSE(CONTROL!$C$21, $C$9, 100%, $E$9)</f>
        <v>7.6563999999999997</v>
      </c>
      <c r="H237" s="10">
        <f>CHOOSE(CONTROL!$C$42, 7.8805, 7.8805) * CHOOSE(CONTROL!$C$21, $C$9, 100%, $E$9)</f>
        <v>7.8804999999999996</v>
      </c>
      <c r="I237" s="10">
        <f>CHOOSE(CONTROL!$C$42, 7.6746, 7.6746)* CHOOSE(CONTROL!$C$21, $C$9, 100%, $E$9)</f>
        <v>7.6745999999999999</v>
      </c>
      <c r="J237" s="10">
        <f>CHOOSE(CONTROL!$C$42, 7.6328, 7.6328)* CHOOSE(CONTROL!$C$21, $C$9, 100%, $E$9)</f>
        <v>7.6327999999999996</v>
      </c>
      <c r="K237" s="10">
        <f>CHOOSE(CONTROL!$C$42, 7.5948, 7.5948) * CHOOSE(CONTROL!$C$21, $C$9, 100%, $E$9)</f>
        <v>7.5948000000000002</v>
      </c>
      <c r="L237" s="10">
        <f>CHOOSE(CONTROL!$C$42, 8.4675, 8.4675) * CHOOSE(CONTROL!$C$21, $C$9, 100%, $E$9)</f>
        <v>8.4674999999999994</v>
      </c>
      <c r="M237" s="10">
        <f>CHOOSE(CONTROL!$C$42, 7.5594, 7.5594) * CHOOSE(CONTROL!$C$21, $C$9, 100%, $E$9)</f>
        <v>7.5594000000000001</v>
      </c>
      <c r="N237" s="10">
        <f>CHOOSE(CONTROL!$C$42, 7.5753, 7.5753) * CHOOSE(CONTROL!$C$21, $C$9, 100%, $E$9)</f>
        <v>7.5753000000000004</v>
      </c>
      <c r="O237" s="10">
        <f>CHOOSE(CONTROL!$C$42, 7.8035, 7.8035) * CHOOSE(CONTROL!$C$21, $C$9, 100%, $E$9)</f>
        <v>7.8034999999999997</v>
      </c>
      <c r="P237" s="10">
        <f>CHOOSE(CONTROL!$C$42, 7.6006, 7.6006) * CHOOSE(CONTROL!$C$21, $C$9, 100%, $E$9)</f>
        <v>7.6006</v>
      </c>
      <c r="Q237" s="10">
        <f>CHOOSE(CONTROL!$C$42, 8.3988, 8.3988) * CHOOSE(CONTROL!$C$21, $C$9, 100%, $E$9)</f>
        <v>8.3987999999999996</v>
      </c>
      <c r="R237" s="10">
        <f>CHOOSE(CONTROL!$C$42, 9.0068, 9.0068) * CHOOSE(CONTROL!$C$21, $C$9, 100%, $E$9)</f>
        <v>9.0068000000000001</v>
      </c>
      <c r="S237" s="10">
        <f>CHOOSE(CONTROL!$C$42, 7.4665, 7.4665) * CHOOSE(CONTROL!$C$21, $C$9, 100%, $E$9)</f>
        <v>7.4664999999999999</v>
      </c>
      <c r="T23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37" s="38">
        <f>(1000*CHOOSE(CONTROL!$C$42, 695, 695)*CHOOSE(CONTROL!$C$42, 0.5599, 0.5599)*CHOOSE(CONTROL!$C$42, 30, 30))/1000000</f>
        <v>11.673914999999997</v>
      </c>
      <c r="V237" s="38">
        <f>(1000*CHOOSE(CONTROL!$C$42, 500, 500)*CHOOSE(CONTROL!$C$42, 0.275, 0.275)*CHOOSE(CONTROL!$C$42, 30, 30))/1000000</f>
        <v>4.125</v>
      </c>
      <c r="W237" s="38">
        <f>(1000*CHOOSE(CONTROL!$C$42, 0.1146, 0.1146)*CHOOSE(CONTROL!$C$42, 121.5, 121.5)*CHOOSE(CONTROL!$C$42, 30, 30))/1000000</f>
        <v>0.417717</v>
      </c>
      <c r="X237" s="38">
        <f>(30*0.1790888*245000/1000000)+(30*0.2374*100000/1000000)</f>
        <v>2.0285026799999999</v>
      </c>
      <c r="Y237" s="38">
        <f>(1000*600*CHOOSE(CONTROL!$C$42, 1.6597, 1.6597)*CHOOSE(CONTROL!$C$42, 30, 30))/1000000</f>
        <v>29.874600000000001</v>
      </c>
      <c r="Z237" s="38"/>
      <c r="AA237" s="10"/>
      <c r="AB237" s="39"/>
      <c r="AC237" s="33">
        <f>(B237*194.205+C237*267.466+D237*133.845+E237*53.484+F237*40+G237*185+H237*0+I237*100+J237*300)/(194.205+267.466+133.845+53.484+0+40+185+100+300)</f>
        <v>7.6991356466248053</v>
      </c>
      <c r="AD237" s="27">
        <f>(M237*'RAP TEMPLATE-GAS AVAILABILITY'!O236+N237*'RAP TEMPLATE-GAS AVAILABILITY'!P236+O237*'RAP TEMPLATE-GAS AVAILABILITY'!Q236+P237*'RAP TEMPLATE-GAS AVAILABILITY'!R236)/('RAP TEMPLATE-GAS AVAILABILITY'!O236+'RAP TEMPLATE-GAS AVAILABILITY'!P236+'RAP TEMPLATE-GAS AVAILABILITY'!Q236+'RAP TEMPLATE-GAS AVAILABILITY'!R236)</f>
        <v>7.6374769784172667</v>
      </c>
    </row>
    <row r="238" spans="1:30" ht="15">
      <c r="A238" s="16">
        <v>48488</v>
      </c>
      <c r="B238" s="10">
        <f>CHOOSE(CONTROL!$C$42, 7.5371, 7.5371) * CHOOSE(CONTROL!$C$21, $C$9, 100%, $E$9)</f>
        <v>7.5370999999999997</v>
      </c>
      <c r="C238" s="10">
        <f>CHOOSE(CONTROL!$C$42, 7.5425, 7.5425) * CHOOSE(CONTROL!$C$21, $C$9, 100%, $E$9)</f>
        <v>7.5425000000000004</v>
      </c>
      <c r="D238" s="10">
        <f>CHOOSE(CONTROL!$C$42, 7.7044, 7.7044) * CHOOSE(CONTROL!$C$21, $C$9, 100%, $E$9)</f>
        <v>7.7043999999999997</v>
      </c>
      <c r="E238" s="10">
        <f>CHOOSE(CONTROL!$C$42, 7.7333, 7.7333) * CHOOSE(CONTROL!$C$21, $C$9, 100%, $E$9)</f>
        <v>7.7332999999999998</v>
      </c>
      <c r="F238" s="10">
        <f>CHOOSE(CONTROL!$C$42, 7.4835, 7.4835)*CHOOSE(CONTROL!$C$21, $C$9, 100%, $E$9)</f>
        <v>7.4835000000000003</v>
      </c>
      <c r="G238" s="10">
        <f>CHOOSE(CONTROL!$C$42, 7.4993, 7.4993)*CHOOSE(CONTROL!$C$21, $C$9, 100%, $E$9)</f>
        <v>7.4992999999999999</v>
      </c>
      <c r="H238" s="10">
        <f>CHOOSE(CONTROL!$C$42, 7.7235, 7.7235) * CHOOSE(CONTROL!$C$21, $C$9, 100%, $E$9)</f>
        <v>7.7234999999999996</v>
      </c>
      <c r="I238" s="10">
        <f>CHOOSE(CONTROL!$C$42, 7.5176, 7.5176)* CHOOSE(CONTROL!$C$21, $C$9, 100%, $E$9)</f>
        <v>7.5175999999999998</v>
      </c>
      <c r="J238" s="10">
        <f>CHOOSE(CONTROL!$C$42, 7.4761, 7.4761)* CHOOSE(CONTROL!$C$21, $C$9, 100%, $E$9)</f>
        <v>7.4760999999999997</v>
      </c>
      <c r="K238" s="10">
        <f>CHOOSE(CONTROL!$C$42, 7.4433, 7.4433) * CHOOSE(CONTROL!$C$21, $C$9, 100%, $E$9)</f>
        <v>7.4432999999999998</v>
      </c>
      <c r="L238" s="10">
        <f>CHOOSE(CONTROL!$C$42, 8.3105, 8.3105) * CHOOSE(CONTROL!$C$21, $C$9, 100%, $E$9)</f>
        <v>8.3104999999999993</v>
      </c>
      <c r="M238" s="10">
        <f>CHOOSE(CONTROL!$C$42, 7.4049, 7.4049) * CHOOSE(CONTROL!$C$21, $C$9, 100%, $E$9)</f>
        <v>7.4048999999999996</v>
      </c>
      <c r="N238" s="10">
        <f>CHOOSE(CONTROL!$C$42, 7.4204, 7.4204) * CHOOSE(CONTROL!$C$21, $C$9, 100%, $E$9)</f>
        <v>7.4203999999999999</v>
      </c>
      <c r="O238" s="10">
        <f>CHOOSE(CONTROL!$C$42, 7.6487, 7.6487) * CHOOSE(CONTROL!$C$21, $C$9, 100%, $E$9)</f>
        <v>7.6486999999999998</v>
      </c>
      <c r="P238" s="10">
        <f>CHOOSE(CONTROL!$C$42, 7.4458, 7.4458) * CHOOSE(CONTROL!$C$21, $C$9, 100%, $E$9)</f>
        <v>7.4458000000000002</v>
      </c>
      <c r="Q238" s="10">
        <f>CHOOSE(CONTROL!$C$42, 8.244, 8.244) * CHOOSE(CONTROL!$C$21, $C$9, 100%, $E$9)</f>
        <v>8.2439999999999998</v>
      </c>
      <c r="R238" s="10">
        <f>CHOOSE(CONTROL!$C$42, 8.8516, 8.8516) * CHOOSE(CONTROL!$C$21, $C$9, 100%, $E$9)</f>
        <v>8.8515999999999995</v>
      </c>
      <c r="S238" s="10">
        <f>CHOOSE(CONTROL!$C$42, 7.3145, 7.3145) * CHOOSE(CONTROL!$C$21, $C$9, 100%, $E$9)</f>
        <v>7.3144999999999998</v>
      </c>
      <c r="T23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38" s="38">
        <f>(1000*CHOOSE(CONTROL!$C$42, 695, 695)*CHOOSE(CONTROL!$C$42, 0.5599, 0.5599)*CHOOSE(CONTROL!$C$42, 31, 31))/1000000</f>
        <v>12.063045499999998</v>
      </c>
      <c r="V238" s="38">
        <f>(1000*CHOOSE(CONTROL!$C$42, 500, 500)*CHOOSE(CONTROL!$C$42, 0.275, 0.275)*CHOOSE(CONTROL!$C$42, 31, 31))/1000000</f>
        <v>4.2625000000000002</v>
      </c>
      <c r="W238" s="38">
        <f>(1000*CHOOSE(CONTROL!$C$42, 0.1146, 0.1146)*CHOOSE(CONTROL!$C$42, 121.5, 121.5)*CHOOSE(CONTROL!$C$42, 31, 31))/1000000</f>
        <v>0.43164089999999994</v>
      </c>
      <c r="X238" s="38">
        <f>(31*0.1790888*245000/1000000)+(31*0.2374*100000/1000000)</f>
        <v>2.0961194359999999</v>
      </c>
      <c r="Y238" s="38">
        <f>(1000*600*CHOOSE(CONTROL!$C$42, 1.6597, 1.6597)*CHOOSE(CONTROL!$C$42, 31, 31))/1000000</f>
        <v>30.870419999999999</v>
      </c>
      <c r="Z238" s="38"/>
      <c r="AA238" s="10"/>
      <c r="AB238" s="39"/>
      <c r="AC238" s="33">
        <f>(B238*131.881+C238*277.167+D238*79.08+E238*125.872+F238*40+G238*185+H238*0+I238*100+J238*300)/(131.881+277.167+79.08+125.872+0+40+185+100+300)</f>
        <v>7.5451999775625511</v>
      </c>
      <c r="AD238" s="27">
        <f>(M238*'RAP TEMPLATE-GAS AVAILABILITY'!O237+N238*'RAP TEMPLATE-GAS AVAILABILITY'!P237+O238*'RAP TEMPLATE-GAS AVAILABILITY'!Q237+P238*'RAP TEMPLATE-GAS AVAILABILITY'!R237)/('RAP TEMPLATE-GAS AVAILABILITY'!O237+'RAP TEMPLATE-GAS AVAILABILITY'!P237+'RAP TEMPLATE-GAS AVAILABILITY'!Q237+'RAP TEMPLATE-GAS AVAILABILITY'!R237)</f>
        <v>7.4827575539568345</v>
      </c>
    </row>
    <row r="239" spans="1:30" ht="15">
      <c r="A239" s="16">
        <v>48519</v>
      </c>
      <c r="B239" s="10">
        <f>CHOOSE(CONTROL!$C$42, 7.7357, 7.7357) * CHOOSE(CONTROL!$C$21, $C$9, 100%, $E$9)</f>
        <v>7.7356999999999996</v>
      </c>
      <c r="C239" s="10">
        <f>CHOOSE(CONTROL!$C$42, 7.7408, 7.7408) * CHOOSE(CONTROL!$C$21, $C$9, 100%, $E$9)</f>
        <v>7.7408000000000001</v>
      </c>
      <c r="D239" s="10">
        <f>CHOOSE(CONTROL!$C$42, 7.7655, 7.7655) * CHOOSE(CONTROL!$C$21, $C$9, 100%, $E$9)</f>
        <v>7.7655000000000003</v>
      </c>
      <c r="E239" s="10">
        <f>CHOOSE(CONTROL!$C$42, 7.7993, 7.7993) * CHOOSE(CONTROL!$C$21, $C$9, 100%, $E$9)</f>
        <v>7.7992999999999997</v>
      </c>
      <c r="F239" s="10">
        <f>CHOOSE(CONTROL!$C$42, 7.704, 7.704)*CHOOSE(CONTROL!$C$21, $C$9, 100%, $E$9)</f>
        <v>7.7039999999999997</v>
      </c>
      <c r="G239" s="10">
        <f>CHOOSE(CONTROL!$C$42, 7.7201, 7.7201)*CHOOSE(CONTROL!$C$21, $C$9, 100%, $E$9)</f>
        <v>7.7201000000000004</v>
      </c>
      <c r="H239" s="10">
        <f>CHOOSE(CONTROL!$C$42, 7.7882, 7.7882) * CHOOSE(CONTROL!$C$21, $C$9, 100%, $E$9)</f>
        <v>7.7881999999999998</v>
      </c>
      <c r="I239" s="10">
        <f>CHOOSE(CONTROL!$C$42, 7.7507, 7.7507)* CHOOSE(CONTROL!$C$21, $C$9, 100%, $E$9)</f>
        <v>7.7507000000000001</v>
      </c>
      <c r="J239" s="10">
        <f>CHOOSE(CONTROL!$C$42, 7.6966, 7.6966)* CHOOSE(CONTROL!$C$21, $C$9, 100%, $E$9)</f>
        <v>7.6966000000000001</v>
      </c>
      <c r="K239" s="10">
        <f>CHOOSE(CONTROL!$C$42, 7.6713, 7.6713) * CHOOSE(CONTROL!$C$21, $C$9, 100%, $E$9)</f>
        <v>7.6712999999999996</v>
      </c>
      <c r="L239" s="10">
        <f>CHOOSE(CONTROL!$C$42, 8.3752, 8.3752) * CHOOSE(CONTROL!$C$21, $C$9, 100%, $E$9)</f>
        <v>8.3751999999999995</v>
      </c>
      <c r="M239" s="10">
        <f>CHOOSE(CONTROL!$C$42, 7.6223, 7.6223) * CHOOSE(CONTROL!$C$21, $C$9, 100%, $E$9)</f>
        <v>7.6223000000000001</v>
      </c>
      <c r="N239" s="10">
        <f>CHOOSE(CONTROL!$C$42, 7.6381, 7.6381) * CHOOSE(CONTROL!$C$21, $C$9, 100%, $E$9)</f>
        <v>7.6380999999999997</v>
      </c>
      <c r="O239" s="10">
        <f>CHOOSE(CONTROL!$C$42, 7.7126, 7.7126) * CHOOSE(CONTROL!$C$21, $C$9, 100%, $E$9)</f>
        <v>7.7126000000000001</v>
      </c>
      <c r="P239" s="10">
        <f>CHOOSE(CONTROL!$C$42, 7.6757, 7.6757) * CHOOSE(CONTROL!$C$21, $C$9, 100%, $E$9)</f>
        <v>7.6757</v>
      </c>
      <c r="Q239" s="10">
        <f>CHOOSE(CONTROL!$C$42, 8.3079, 8.3079) * CHOOSE(CONTROL!$C$21, $C$9, 100%, $E$9)</f>
        <v>8.3079000000000001</v>
      </c>
      <c r="R239" s="10">
        <f>CHOOSE(CONTROL!$C$42, 8.9156, 8.9156) * CHOOSE(CONTROL!$C$21, $C$9, 100%, $E$9)</f>
        <v>8.9155999999999995</v>
      </c>
      <c r="S239" s="10">
        <f>CHOOSE(CONTROL!$C$42, 7.5072, 7.5072) * CHOOSE(CONTROL!$C$21, $C$9, 100%, $E$9)</f>
        <v>7.5072000000000001</v>
      </c>
      <c r="T23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39" s="38">
        <f>(1000*CHOOSE(CONTROL!$C$42, 695, 695)*CHOOSE(CONTROL!$C$42, 0.5599, 0.5599)*CHOOSE(CONTROL!$C$42, 30, 30))/1000000</f>
        <v>11.673914999999997</v>
      </c>
      <c r="V239" s="38">
        <f>(1000*CHOOSE(CONTROL!$C$42, 500, 500)*CHOOSE(CONTROL!$C$42, 0.275, 0.275)*CHOOSE(CONTROL!$C$42, 30, 30))/1000000</f>
        <v>4.125</v>
      </c>
      <c r="W239" s="38">
        <f>(1000*CHOOSE(CONTROL!$C$42, 0.1146, 0.1146)*CHOOSE(CONTROL!$C$42, 121.5, 121.5)*CHOOSE(CONTROL!$C$42, 30, 30))/1000000</f>
        <v>0.417717</v>
      </c>
      <c r="X239" s="38">
        <f>(30*0.1790888*100000/1000000)+(30*0.2374*100000/1000000)</f>
        <v>1.2494664</v>
      </c>
      <c r="Y239" s="38">
        <f>(1000*600*CHOOSE(CONTROL!$C$42, 1.6597, 1.6597)*CHOOSE(CONTROL!$C$42, 30, 30))/1000000</f>
        <v>29.874600000000001</v>
      </c>
      <c r="Z239" s="38"/>
      <c r="AA239" s="10"/>
      <c r="AB239" s="39"/>
      <c r="AC239" s="33">
        <f>(B239*122.58+C239*297.941+D239*89.177+E239*40.302+F239*40+G239*160+H239*0+I239*100+J239*300)/(122.58+297.941+89.177+40.302+0+40+160+100+300)</f>
        <v>7.7293923312173911</v>
      </c>
      <c r="AD239" s="27">
        <f>(M239*'RAP TEMPLATE-GAS AVAILABILITY'!O238+N239*'RAP TEMPLATE-GAS AVAILABILITY'!P238+O239*'RAP TEMPLATE-GAS AVAILABILITY'!Q238+P239*'RAP TEMPLATE-GAS AVAILABILITY'!R238)/('RAP TEMPLATE-GAS AVAILABILITY'!O238+'RAP TEMPLATE-GAS AVAILABILITY'!P238+'RAP TEMPLATE-GAS AVAILABILITY'!Q238+'RAP TEMPLATE-GAS AVAILABILITY'!R238)</f>
        <v>7.6718201438848919</v>
      </c>
    </row>
    <row r="240" spans="1:30" ht="15">
      <c r="A240" s="16">
        <v>48549</v>
      </c>
      <c r="B240" s="10">
        <f>CHOOSE(CONTROL!$C$42, 8.2642, 8.2642) * CHOOSE(CONTROL!$C$21, $C$9, 100%, $E$9)</f>
        <v>8.2642000000000007</v>
      </c>
      <c r="C240" s="10">
        <f>CHOOSE(CONTROL!$C$42, 8.2693, 8.2693) * CHOOSE(CONTROL!$C$21, $C$9, 100%, $E$9)</f>
        <v>8.2692999999999994</v>
      </c>
      <c r="D240" s="10">
        <f>CHOOSE(CONTROL!$C$42, 8.294, 8.294) * CHOOSE(CONTROL!$C$21, $C$9, 100%, $E$9)</f>
        <v>8.2940000000000005</v>
      </c>
      <c r="E240" s="10">
        <f>CHOOSE(CONTROL!$C$42, 8.3278, 8.3278) * CHOOSE(CONTROL!$C$21, $C$9, 100%, $E$9)</f>
        <v>8.3277999999999999</v>
      </c>
      <c r="F240" s="10">
        <f>CHOOSE(CONTROL!$C$42, 8.2345, 8.2345)*CHOOSE(CONTROL!$C$21, $C$9, 100%, $E$9)</f>
        <v>8.2345000000000006</v>
      </c>
      <c r="G240" s="10">
        <f>CHOOSE(CONTROL!$C$42, 8.251, 8.251)*CHOOSE(CONTROL!$C$21, $C$9, 100%, $E$9)</f>
        <v>8.2509999999999994</v>
      </c>
      <c r="H240" s="10">
        <f>CHOOSE(CONTROL!$C$42, 8.3167, 8.3167) * CHOOSE(CONTROL!$C$21, $C$9, 100%, $E$9)</f>
        <v>8.3167000000000009</v>
      </c>
      <c r="I240" s="10">
        <f>CHOOSE(CONTROL!$C$42, 8.2792, 8.2792)* CHOOSE(CONTROL!$C$21, $C$9, 100%, $E$9)</f>
        <v>8.2791999999999994</v>
      </c>
      <c r="J240" s="10">
        <f>CHOOSE(CONTROL!$C$42, 8.2271, 8.2271)* CHOOSE(CONTROL!$C$21, $C$9, 100%, $E$9)</f>
        <v>8.2271000000000001</v>
      </c>
      <c r="K240" s="10">
        <f>CHOOSE(CONTROL!$C$42, 8.1875, 8.1875) * CHOOSE(CONTROL!$C$21, $C$9, 100%, $E$9)</f>
        <v>8.1875</v>
      </c>
      <c r="L240" s="10">
        <f>CHOOSE(CONTROL!$C$42, 8.9037, 8.9037) * CHOOSE(CONTROL!$C$21, $C$9, 100%, $E$9)</f>
        <v>8.9037000000000006</v>
      </c>
      <c r="M240" s="10">
        <f>CHOOSE(CONTROL!$C$42, 8.1454, 8.1454) * CHOOSE(CONTROL!$C$21, $C$9, 100%, $E$9)</f>
        <v>8.1454000000000004</v>
      </c>
      <c r="N240" s="10">
        <f>CHOOSE(CONTROL!$C$42, 8.1616, 8.1616) * CHOOSE(CONTROL!$C$21, $C$9, 100%, $E$9)</f>
        <v>8.1616</v>
      </c>
      <c r="O240" s="10">
        <f>CHOOSE(CONTROL!$C$42, 8.2337, 8.2337) * CHOOSE(CONTROL!$C$21, $C$9, 100%, $E$9)</f>
        <v>8.2337000000000007</v>
      </c>
      <c r="P240" s="10">
        <f>CHOOSE(CONTROL!$C$42, 8.1968, 8.1968) * CHOOSE(CONTROL!$C$21, $C$9, 100%, $E$9)</f>
        <v>8.1967999999999996</v>
      </c>
      <c r="Q240" s="10">
        <f>CHOOSE(CONTROL!$C$42, 8.829, 8.829) * CHOOSE(CONTROL!$C$21, $C$9, 100%, $E$9)</f>
        <v>8.8290000000000006</v>
      </c>
      <c r="R240" s="10">
        <f>CHOOSE(CONTROL!$C$42, 9.4381, 9.4381) * CHOOSE(CONTROL!$C$21, $C$9, 100%, $E$9)</f>
        <v>9.4381000000000004</v>
      </c>
      <c r="S240" s="10">
        <f>CHOOSE(CONTROL!$C$42, 8.0189, 8.0189) * CHOOSE(CONTROL!$C$21, $C$9, 100%, $E$9)</f>
        <v>8.0189000000000004</v>
      </c>
      <c r="T24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40" s="38">
        <f>(1000*CHOOSE(CONTROL!$C$42, 695, 695)*CHOOSE(CONTROL!$C$42, 0.5599, 0.5599)*CHOOSE(CONTROL!$C$42, 31, 31))/1000000</f>
        <v>12.063045499999998</v>
      </c>
      <c r="V240" s="38">
        <f>(1000*CHOOSE(CONTROL!$C$42, 500, 500)*CHOOSE(CONTROL!$C$42, 0.275, 0.275)*CHOOSE(CONTROL!$C$42, 31, 31))/1000000</f>
        <v>4.2625000000000002</v>
      </c>
      <c r="W240" s="38">
        <f>(1000*CHOOSE(CONTROL!$C$42, 0.1146, 0.1146)*CHOOSE(CONTROL!$C$42, 121.5, 121.5)*CHOOSE(CONTROL!$C$42, 31, 31))/1000000</f>
        <v>0.43164089999999994</v>
      </c>
      <c r="X240" s="38">
        <f>(31*0.1790888*100000/1000000)+(31*0.2374*100000/1000000)</f>
        <v>1.2911152800000001</v>
      </c>
      <c r="Y240" s="38">
        <f>(1000*600*CHOOSE(CONTROL!$C$42, 1.6597, 1.6597)*CHOOSE(CONTROL!$C$42, 31, 31))/1000000</f>
        <v>30.870419999999999</v>
      </c>
      <c r="Z240" s="38"/>
      <c r="AA240" s="10"/>
      <c r="AB240" s="39"/>
      <c r="AC240" s="33">
        <f>(B240*122.58+C240*297.941+D240*89.177+E240*40.302+F240*40+G240*160+H240*0+I240*100+J240*300)/(122.58+297.941+89.177+40.302+0+40+160+100+300)</f>
        <v>8.258817548608695</v>
      </c>
      <c r="AD240" s="27">
        <f>(M240*'RAP TEMPLATE-GAS AVAILABILITY'!O239+N240*'RAP TEMPLATE-GAS AVAILABILITY'!P239+O240*'RAP TEMPLATE-GAS AVAILABILITY'!Q239+P240*'RAP TEMPLATE-GAS AVAILABILITY'!R239)/('RAP TEMPLATE-GAS AVAILABILITY'!O239+'RAP TEMPLATE-GAS AVAILABILITY'!P239+'RAP TEMPLATE-GAS AVAILABILITY'!Q239+'RAP TEMPLATE-GAS AVAILABILITY'!R239)</f>
        <v>8.1937489208633103</v>
      </c>
    </row>
    <row r="241" spans="1:30" ht="15">
      <c r="A241" s="16">
        <v>48580</v>
      </c>
      <c r="B241" s="10">
        <f>CHOOSE(CONTROL!$C$42, 8.8231, 8.8231) * CHOOSE(CONTROL!$C$21, $C$9, 100%, $E$9)</f>
        <v>8.8231000000000002</v>
      </c>
      <c r="C241" s="10">
        <f>CHOOSE(CONTROL!$C$42, 8.8282, 8.8282) * CHOOSE(CONTROL!$C$21, $C$9, 100%, $E$9)</f>
        <v>8.8282000000000007</v>
      </c>
      <c r="D241" s="10">
        <f>CHOOSE(CONTROL!$C$42, 8.8607, 8.8607) * CHOOSE(CONTROL!$C$21, $C$9, 100%, $E$9)</f>
        <v>8.8606999999999996</v>
      </c>
      <c r="E241" s="10">
        <f>CHOOSE(CONTROL!$C$42, 8.8945, 8.8945) * CHOOSE(CONTROL!$C$21, $C$9, 100%, $E$9)</f>
        <v>8.8945000000000007</v>
      </c>
      <c r="F241" s="10">
        <f>CHOOSE(CONTROL!$C$42, 8.8073, 8.8073)*CHOOSE(CONTROL!$C$21, $C$9, 100%, $E$9)</f>
        <v>8.8072999999999997</v>
      </c>
      <c r="G241" s="10">
        <f>CHOOSE(CONTROL!$C$42, 8.8254, 8.8254)*CHOOSE(CONTROL!$C$21, $C$9, 100%, $E$9)</f>
        <v>8.8254000000000001</v>
      </c>
      <c r="H241" s="10">
        <f>CHOOSE(CONTROL!$C$42, 8.8833, 8.8833) * CHOOSE(CONTROL!$C$21, $C$9, 100%, $E$9)</f>
        <v>8.8833000000000002</v>
      </c>
      <c r="I241" s="10">
        <f>CHOOSE(CONTROL!$C$42, 8.8366, 8.8366)* CHOOSE(CONTROL!$C$21, $C$9, 100%, $E$9)</f>
        <v>8.8366000000000007</v>
      </c>
      <c r="J241" s="10">
        <f>CHOOSE(CONTROL!$C$42, 8.7999, 8.7999)* CHOOSE(CONTROL!$C$21, $C$9, 100%, $E$9)</f>
        <v>8.7998999999999992</v>
      </c>
      <c r="K241" s="10">
        <f>CHOOSE(CONTROL!$C$42, 8.7414, 8.7414) * CHOOSE(CONTROL!$C$21, $C$9, 100%, $E$9)</f>
        <v>8.7414000000000005</v>
      </c>
      <c r="L241" s="10">
        <f>CHOOSE(CONTROL!$C$42, 9.4703, 9.4703) * CHOOSE(CONTROL!$C$21, $C$9, 100%, $E$9)</f>
        <v>9.4702999999999999</v>
      </c>
      <c r="M241" s="10">
        <f>CHOOSE(CONTROL!$C$42, 8.7102, 8.7102) * CHOOSE(CONTROL!$C$21, $C$9, 100%, $E$9)</f>
        <v>8.7102000000000004</v>
      </c>
      <c r="N241" s="10">
        <f>CHOOSE(CONTROL!$C$42, 8.728, 8.728) * CHOOSE(CONTROL!$C$21, $C$9, 100%, $E$9)</f>
        <v>8.7279999999999998</v>
      </c>
      <c r="O241" s="10">
        <f>CHOOSE(CONTROL!$C$42, 8.7924, 8.7924) * CHOOSE(CONTROL!$C$21, $C$9, 100%, $E$9)</f>
        <v>8.7924000000000007</v>
      </c>
      <c r="P241" s="10">
        <f>CHOOSE(CONTROL!$C$42, 8.7464, 8.7464) * CHOOSE(CONTROL!$C$21, $C$9, 100%, $E$9)</f>
        <v>8.7463999999999995</v>
      </c>
      <c r="Q241" s="10">
        <f>CHOOSE(CONTROL!$C$42, 9.3877, 9.3877) * CHOOSE(CONTROL!$C$21, $C$9, 100%, $E$9)</f>
        <v>9.3877000000000006</v>
      </c>
      <c r="R241" s="10">
        <f>CHOOSE(CONTROL!$C$42, 9.9982, 9.9982) * CHOOSE(CONTROL!$C$21, $C$9, 100%, $E$9)</f>
        <v>9.9982000000000006</v>
      </c>
      <c r="S241" s="10">
        <f>CHOOSE(CONTROL!$C$42, 8.5601, 8.5601) * CHOOSE(CONTROL!$C$21, $C$9, 100%, $E$9)</f>
        <v>8.5601000000000003</v>
      </c>
      <c r="T24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41" s="38">
        <f>(1000*CHOOSE(CONTROL!$C$42, 695, 695)*CHOOSE(CONTROL!$C$42, 0.5599, 0.5599)*CHOOSE(CONTROL!$C$42, 31, 31))/1000000</f>
        <v>12.063045499999998</v>
      </c>
      <c r="V241" s="38">
        <f>(1000*CHOOSE(CONTROL!$C$42, 500, 500)*CHOOSE(CONTROL!$C$42, 0.275, 0.275)*CHOOSE(CONTROL!$C$42, 31, 31))/1000000</f>
        <v>4.2625000000000002</v>
      </c>
      <c r="W241" s="38">
        <f>(1000*CHOOSE(CONTROL!$C$42, 0.1146, 0.1146)*CHOOSE(CONTROL!$C$42, 121.5, 121.5)*CHOOSE(CONTROL!$C$42, 31, 31))/1000000</f>
        <v>0.43164089999999994</v>
      </c>
      <c r="X241" s="38">
        <f>(31*0.1790888*100000/1000000)+(31*0.2374*100000/1000000)</f>
        <v>1.2911152800000001</v>
      </c>
      <c r="Y241" s="38">
        <f>(1000*600*CHOOSE(CONTROL!$C$42, 1.6545, 1.6545)*CHOOSE(CONTROL!$C$42, 31, 31))/1000000</f>
        <v>30.773700000000002</v>
      </c>
      <c r="Z241" s="38"/>
      <c r="AA241" s="10"/>
      <c r="AB241" s="39"/>
      <c r="AC241" s="33">
        <f>(B241*122.58+C241*297.941+D241*89.177+E241*40.302+F241*40+G241*160+H241*0+I241*100+J241*300)/(122.58+297.941+89.177+40.302+0+40+160+100+300)</f>
        <v>8.8247314061739139</v>
      </c>
      <c r="AD241" s="27">
        <f>(M241*'RAP TEMPLATE-GAS AVAILABILITY'!O240+N241*'RAP TEMPLATE-GAS AVAILABILITY'!P240+O241*'RAP TEMPLATE-GAS AVAILABILITY'!Q240+P241*'RAP TEMPLATE-GAS AVAILABILITY'!R240)/('RAP TEMPLATE-GAS AVAILABILITY'!O240+'RAP TEMPLATE-GAS AVAILABILITY'!P240+'RAP TEMPLATE-GAS AVAILABILITY'!Q240+'RAP TEMPLATE-GAS AVAILABILITY'!R240)</f>
        <v>8.7536892086330944</v>
      </c>
    </row>
    <row r="242" spans="1:30" ht="15">
      <c r="A242" s="16">
        <v>48611</v>
      </c>
      <c r="B242" s="10">
        <f>CHOOSE(CONTROL!$C$42, 8.9805, 8.9805) * CHOOSE(CONTROL!$C$21, $C$9, 100%, $E$9)</f>
        <v>8.9804999999999993</v>
      </c>
      <c r="C242" s="10">
        <f>CHOOSE(CONTROL!$C$42, 8.9856, 8.9856) * CHOOSE(CONTROL!$C$21, $C$9, 100%, $E$9)</f>
        <v>8.9855999999999998</v>
      </c>
      <c r="D242" s="10">
        <f>CHOOSE(CONTROL!$C$42, 9.018, 9.018) * CHOOSE(CONTROL!$C$21, $C$9, 100%, $E$9)</f>
        <v>9.0180000000000007</v>
      </c>
      <c r="E242" s="10">
        <f>CHOOSE(CONTROL!$C$42, 9.0518, 9.0518) * CHOOSE(CONTROL!$C$21, $C$9, 100%, $E$9)</f>
        <v>9.0518000000000001</v>
      </c>
      <c r="F242" s="10">
        <f>CHOOSE(CONTROL!$C$42, 8.9642, 8.9642)*CHOOSE(CONTROL!$C$21, $C$9, 100%, $E$9)</f>
        <v>8.9641999999999999</v>
      </c>
      <c r="G242" s="10">
        <f>CHOOSE(CONTROL!$C$42, 8.9821, 8.9821)*CHOOSE(CONTROL!$C$21, $C$9, 100%, $E$9)</f>
        <v>8.9821000000000009</v>
      </c>
      <c r="H242" s="10">
        <f>CHOOSE(CONTROL!$C$42, 9.0407, 9.0407) * CHOOSE(CONTROL!$C$21, $C$9, 100%, $E$9)</f>
        <v>9.0406999999999993</v>
      </c>
      <c r="I242" s="10">
        <f>CHOOSE(CONTROL!$C$42, 8.9939, 8.9939)* CHOOSE(CONTROL!$C$21, $C$9, 100%, $E$9)</f>
        <v>8.9939</v>
      </c>
      <c r="J242" s="10">
        <f>CHOOSE(CONTROL!$C$42, 8.9568, 8.9568)* CHOOSE(CONTROL!$C$21, $C$9, 100%, $E$9)</f>
        <v>8.9567999999999994</v>
      </c>
      <c r="K242" s="10">
        <f>CHOOSE(CONTROL!$C$42, 8.8928, 8.8928) * CHOOSE(CONTROL!$C$21, $C$9, 100%, $E$9)</f>
        <v>8.8927999999999994</v>
      </c>
      <c r="L242" s="10">
        <f>CHOOSE(CONTROL!$C$42, 9.6277, 9.6277) * CHOOSE(CONTROL!$C$21, $C$9, 100%, $E$9)</f>
        <v>9.6277000000000008</v>
      </c>
      <c r="M242" s="10">
        <f>CHOOSE(CONTROL!$C$42, 8.8649, 8.8649) * CHOOSE(CONTROL!$C$21, $C$9, 100%, $E$9)</f>
        <v>8.8649000000000004</v>
      </c>
      <c r="N242" s="10">
        <f>CHOOSE(CONTROL!$C$42, 8.8826, 8.8826) * CHOOSE(CONTROL!$C$21, $C$9, 100%, $E$9)</f>
        <v>8.8826000000000001</v>
      </c>
      <c r="O242" s="10">
        <f>CHOOSE(CONTROL!$C$42, 8.9476, 8.9476) * CHOOSE(CONTROL!$C$21, $C$9, 100%, $E$9)</f>
        <v>8.9475999999999996</v>
      </c>
      <c r="P242" s="10">
        <f>CHOOSE(CONTROL!$C$42, 8.9015, 8.9015) * CHOOSE(CONTROL!$C$21, $C$9, 100%, $E$9)</f>
        <v>8.9015000000000004</v>
      </c>
      <c r="Q242" s="10">
        <f>CHOOSE(CONTROL!$C$42, 9.5429, 9.5429) * CHOOSE(CONTROL!$C$21, $C$9, 100%, $E$9)</f>
        <v>9.5428999999999995</v>
      </c>
      <c r="R242" s="10">
        <f>CHOOSE(CONTROL!$C$42, 10.1537, 10.1537) * CHOOSE(CONTROL!$C$21, $C$9, 100%, $E$9)</f>
        <v>10.153700000000001</v>
      </c>
      <c r="S242" s="10">
        <f>CHOOSE(CONTROL!$C$42, 8.7125, 8.7125) * CHOOSE(CONTROL!$C$21, $C$9, 100%, $E$9)</f>
        <v>8.7125000000000004</v>
      </c>
      <c r="T24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42" s="38">
        <f>(1000*CHOOSE(CONTROL!$C$42, 695, 695)*CHOOSE(CONTROL!$C$42, 0.5599, 0.5599)*CHOOSE(CONTROL!$C$42, 28, 28))/1000000</f>
        <v>10.895653999999999</v>
      </c>
      <c r="V242" s="38">
        <f>(1000*CHOOSE(CONTROL!$C$42, 500, 500)*CHOOSE(CONTROL!$C$42, 0.275, 0.275)*CHOOSE(CONTROL!$C$42, 28, 28))/1000000</f>
        <v>3.85</v>
      </c>
      <c r="W242" s="38">
        <f>(1000*CHOOSE(CONTROL!$C$42, 0.1146, 0.1146)*CHOOSE(CONTROL!$C$42, 121.5, 121.5)*CHOOSE(CONTROL!$C$42, 28, 28))/1000000</f>
        <v>0.38986920000000003</v>
      </c>
      <c r="X242" s="38">
        <f>(28*0.1790888*100000/1000000)+(28*0.2374*100000/1000000)</f>
        <v>1.16616864</v>
      </c>
      <c r="Y242" s="38">
        <f>(1000*600*CHOOSE(CONTROL!$C$42, 1.6545, 1.6545)*CHOOSE(CONTROL!$C$42, 28, 28))/1000000</f>
        <v>27.7956</v>
      </c>
      <c r="Z242" s="38"/>
      <c r="AA242" s="10"/>
      <c r="AB242" s="39"/>
      <c r="AC242" s="33">
        <f>(B242*122.58+C242*297.941+D242*89.177+E242*40.302+F242*40+G242*160+H242*0+I242*100+J242*300)/(122.58+297.941+89.177+40.302+0+40+160+100+300)</f>
        <v>8.9818662340869562</v>
      </c>
      <c r="AD242" s="27">
        <f>(M242*'RAP TEMPLATE-GAS AVAILABILITY'!O241+N242*'RAP TEMPLATE-GAS AVAILABILITY'!P241+O242*'RAP TEMPLATE-GAS AVAILABILITY'!Q241+P242*'RAP TEMPLATE-GAS AVAILABILITY'!R241)/('RAP TEMPLATE-GAS AVAILABILITY'!O241+'RAP TEMPLATE-GAS AVAILABILITY'!P241+'RAP TEMPLATE-GAS AVAILABILITY'!Q241+'RAP TEMPLATE-GAS AVAILABILITY'!R241)</f>
        <v>8.9086676258992803</v>
      </c>
    </row>
    <row r="243" spans="1:30" ht="15">
      <c r="A243" s="16">
        <v>48639</v>
      </c>
      <c r="B243" s="10">
        <f>CHOOSE(CONTROL!$C$42, 8.7251, 8.7251) * CHOOSE(CONTROL!$C$21, $C$9, 100%, $E$9)</f>
        <v>8.7250999999999994</v>
      </c>
      <c r="C243" s="10">
        <f>CHOOSE(CONTROL!$C$42, 8.7302, 8.7302) * CHOOSE(CONTROL!$C$21, $C$9, 100%, $E$9)</f>
        <v>8.7302</v>
      </c>
      <c r="D243" s="10">
        <f>CHOOSE(CONTROL!$C$42, 8.7626, 8.7626) * CHOOSE(CONTROL!$C$21, $C$9, 100%, $E$9)</f>
        <v>8.7626000000000008</v>
      </c>
      <c r="E243" s="10">
        <f>CHOOSE(CONTROL!$C$42, 8.7964, 8.7964) * CHOOSE(CONTROL!$C$21, $C$9, 100%, $E$9)</f>
        <v>8.7964000000000002</v>
      </c>
      <c r="F243" s="10">
        <f>CHOOSE(CONTROL!$C$42, 8.7073, 8.7073)*CHOOSE(CONTROL!$C$21, $C$9, 100%, $E$9)</f>
        <v>8.7073</v>
      </c>
      <c r="G243" s="10">
        <f>CHOOSE(CONTROL!$C$42, 8.7249, 8.7249)*CHOOSE(CONTROL!$C$21, $C$9, 100%, $E$9)</f>
        <v>8.7248999999999999</v>
      </c>
      <c r="H243" s="10">
        <f>CHOOSE(CONTROL!$C$42, 8.7853, 8.7853) * CHOOSE(CONTROL!$C$21, $C$9, 100%, $E$9)</f>
        <v>8.7852999999999994</v>
      </c>
      <c r="I243" s="10">
        <f>CHOOSE(CONTROL!$C$42, 8.7385, 8.7385)* CHOOSE(CONTROL!$C$21, $C$9, 100%, $E$9)</f>
        <v>8.7385000000000002</v>
      </c>
      <c r="J243" s="10">
        <f>CHOOSE(CONTROL!$C$42, 8.6999, 8.6999)* CHOOSE(CONTROL!$C$21, $C$9, 100%, $E$9)</f>
        <v>8.6998999999999995</v>
      </c>
      <c r="K243" s="10">
        <f>CHOOSE(CONTROL!$C$42, 8.6422, 8.6422) * CHOOSE(CONTROL!$C$21, $C$9, 100%, $E$9)</f>
        <v>8.6422000000000008</v>
      </c>
      <c r="L243" s="10">
        <f>CHOOSE(CONTROL!$C$42, 9.3723, 9.3723) * CHOOSE(CONTROL!$C$21, $C$9, 100%, $E$9)</f>
        <v>9.3722999999999992</v>
      </c>
      <c r="M243" s="10">
        <f>CHOOSE(CONTROL!$C$42, 8.6116, 8.6116) * CHOOSE(CONTROL!$C$21, $C$9, 100%, $E$9)</f>
        <v>8.6115999999999993</v>
      </c>
      <c r="N243" s="10">
        <f>CHOOSE(CONTROL!$C$42, 8.6289, 8.6289) * CHOOSE(CONTROL!$C$21, $C$9, 100%, $E$9)</f>
        <v>8.6288999999999998</v>
      </c>
      <c r="O243" s="10">
        <f>CHOOSE(CONTROL!$C$42, 8.6957, 8.6957) * CHOOSE(CONTROL!$C$21, $C$9, 100%, $E$9)</f>
        <v>8.6957000000000004</v>
      </c>
      <c r="P243" s="10">
        <f>CHOOSE(CONTROL!$C$42, 8.6497, 8.6497) * CHOOSE(CONTROL!$C$21, $C$9, 100%, $E$9)</f>
        <v>8.6496999999999993</v>
      </c>
      <c r="Q243" s="10">
        <f>CHOOSE(CONTROL!$C$42, 9.291, 9.291) * CHOOSE(CONTROL!$C$21, $C$9, 100%, $E$9)</f>
        <v>9.2910000000000004</v>
      </c>
      <c r="R243" s="10">
        <f>CHOOSE(CONTROL!$C$42, 9.9013, 9.9013) * CHOOSE(CONTROL!$C$21, $C$9, 100%, $E$9)</f>
        <v>9.9013000000000009</v>
      </c>
      <c r="S243" s="10">
        <f>CHOOSE(CONTROL!$C$42, 8.4651, 8.4651) * CHOOSE(CONTROL!$C$21, $C$9, 100%, $E$9)</f>
        <v>8.4650999999999996</v>
      </c>
      <c r="T24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43" s="38">
        <f>(1000*CHOOSE(CONTROL!$C$42, 695, 695)*CHOOSE(CONTROL!$C$42, 0.5599, 0.5599)*CHOOSE(CONTROL!$C$42, 31, 31))/1000000</f>
        <v>12.063045499999998</v>
      </c>
      <c r="V243" s="38">
        <f>(1000*CHOOSE(CONTROL!$C$42, 500, 500)*CHOOSE(CONTROL!$C$42, 0.275, 0.275)*CHOOSE(CONTROL!$C$42, 31, 31))/1000000</f>
        <v>4.2625000000000002</v>
      </c>
      <c r="W243" s="38">
        <f>(1000*CHOOSE(CONTROL!$C$42, 0.1146, 0.1146)*CHOOSE(CONTROL!$C$42, 121.5, 121.5)*CHOOSE(CONTROL!$C$42, 31, 31))/1000000</f>
        <v>0.43164089999999994</v>
      </c>
      <c r="X243" s="38">
        <f>(31*0.1790888*100000/1000000)+(31*0.2374*100000/1000000)</f>
        <v>1.2911152800000001</v>
      </c>
      <c r="Y243" s="38">
        <f>(1000*600*CHOOSE(CONTROL!$C$42, 1.6545, 1.6545)*CHOOSE(CONTROL!$C$42, 31, 31))/1000000</f>
        <v>30.773700000000002</v>
      </c>
      <c r="Z243" s="38"/>
      <c r="AA243" s="10"/>
      <c r="AB243" s="39"/>
      <c r="AC243" s="33">
        <f>(B243*122.58+C243*297.941+D243*89.177+E243*40.302+F243*40+G243*160+H243*0+I243*100+J243*300)/(122.58+297.941+89.177+40.302+0+40+160+100+300)</f>
        <v>8.7257723210434772</v>
      </c>
      <c r="AD243" s="27">
        <f>(M243*'RAP TEMPLATE-GAS AVAILABILITY'!O242+N243*'RAP TEMPLATE-GAS AVAILABILITY'!P242+O243*'RAP TEMPLATE-GAS AVAILABILITY'!Q242+P243*'RAP TEMPLATE-GAS AVAILABILITY'!R242)/('RAP TEMPLATE-GAS AVAILABILITY'!O242+'RAP TEMPLATE-GAS AVAILABILITY'!P242+'RAP TEMPLATE-GAS AVAILABILITY'!Q242+'RAP TEMPLATE-GAS AVAILABILITY'!R242)</f>
        <v>8.6561949640287761</v>
      </c>
    </row>
    <row r="244" spans="1:30" ht="15">
      <c r="A244" s="16">
        <v>48670</v>
      </c>
      <c r="B244" s="10">
        <f>CHOOSE(CONTROL!$C$42, 8.6996, 8.6996) * CHOOSE(CONTROL!$C$21, $C$9, 100%, $E$9)</f>
        <v>8.6996000000000002</v>
      </c>
      <c r="C244" s="10">
        <f>CHOOSE(CONTROL!$C$42, 8.7042, 8.7042) * CHOOSE(CONTROL!$C$21, $C$9, 100%, $E$9)</f>
        <v>8.7042000000000002</v>
      </c>
      <c r="D244" s="10">
        <f>CHOOSE(CONTROL!$C$42, 8.8643, 8.8643) * CHOOSE(CONTROL!$C$21, $C$9, 100%, $E$9)</f>
        <v>8.8643000000000001</v>
      </c>
      <c r="E244" s="10">
        <f>CHOOSE(CONTROL!$C$42, 8.8962, 8.8962) * CHOOSE(CONTROL!$C$21, $C$9, 100%, $E$9)</f>
        <v>8.8962000000000003</v>
      </c>
      <c r="F244" s="10">
        <f>CHOOSE(CONTROL!$C$42, 8.6458, 8.6458)*CHOOSE(CONTROL!$C$21, $C$9, 100%, $E$9)</f>
        <v>8.6457999999999995</v>
      </c>
      <c r="G244" s="10">
        <f>CHOOSE(CONTROL!$C$42, 8.6616, 8.6616)*CHOOSE(CONTROL!$C$21, $C$9, 100%, $E$9)</f>
        <v>8.6616</v>
      </c>
      <c r="H244" s="10">
        <f>CHOOSE(CONTROL!$C$42, 8.8856, 8.8856) * CHOOSE(CONTROL!$C$21, $C$9, 100%, $E$9)</f>
        <v>8.8856000000000002</v>
      </c>
      <c r="I244" s="10">
        <f>CHOOSE(CONTROL!$C$42, 8.6798, 8.6798)* CHOOSE(CONTROL!$C$21, $C$9, 100%, $E$9)</f>
        <v>8.6798000000000002</v>
      </c>
      <c r="J244" s="10">
        <f>CHOOSE(CONTROL!$C$42, 8.6384, 8.6384)* CHOOSE(CONTROL!$C$21, $C$9, 100%, $E$9)</f>
        <v>8.6384000000000007</v>
      </c>
      <c r="K244" s="10">
        <f>CHOOSE(CONTROL!$C$42, 8.5693, 8.5693) * CHOOSE(CONTROL!$C$21, $C$9, 100%, $E$9)</f>
        <v>8.5693000000000001</v>
      </c>
      <c r="L244" s="10">
        <f>CHOOSE(CONTROL!$C$42, 9.4726, 9.4726) * CHOOSE(CONTROL!$C$21, $C$9, 100%, $E$9)</f>
        <v>9.4725999999999999</v>
      </c>
      <c r="M244" s="10">
        <f>CHOOSE(CONTROL!$C$42, 8.5509, 8.5509) * CHOOSE(CONTROL!$C$21, $C$9, 100%, $E$9)</f>
        <v>8.5509000000000004</v>
      </c>
      <c r="N244" s="10">
        <f>CHOOSE(CONTROL!$C$42, 8.5665, 8.5665) * CHOOSE(CONTROL!$C$21, $C$9, 100%, $E$9)</f>
        <v>8.5664999999999996</v>
      </c>
      <c r="O244" s="10">
        <f>CHOOSE(CONTROL!$C$42, 8.7947, 8.7947) * CHOOSE(CONTROL!$C$21, $C$9, 100%, $E$9)</f>
        <v>8.7947000000000006</v>
      </c>
      <c r="P244" s="10">
        <f>CHOOSE(CONTROL!$C$42, 8.5918, 8.5918) * CHOOSE(CONTROL!$C$21, $C$9, 100%, $E$9)</f>
        <v>8.5917999999999992</v>
      </c>
      <c r="Q244" s="10">
        <f>CHOOSE(CONTROL!$C$42, 9.39, 9.39) * CHOOSE(CONTROL!$C$21, $C$9, 100%, $E$9)</f>
        <v>9.39</v>
      </c>
      <c r="R244" s="10">
        <f>CHOOSE(CONTROL!$C$42, 10.0004, 10.0004) * CHOOSE(CONTROL!$C$21, $C$9, 100%, $E$9)</f>
        <v>10.000400000000001</v>
      </c>
      <c r="S244" s="10">
        <f>CHOOSE(CONTROL!$C$42, 8.4398, 8.4398) * CHOOSE(CONTROL!$C$21, $C$9, 100%, $E$9)</f>
        <v>8.4398</v>
      </c>
      <c r="T24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44" s="38">
        <f>(1000*CHOOSE(CONTROL!$C$42, 695, 695)*CHOOSE(CONTROL!$C$42, 0.5599, 0.5599)*CHOOSE(CONTROL!$C$42, 30, 30))/1000000</f>
        <v>11.673914999999997</v>
      </c>
      <c r="V244" s="38">
        <f>(1000*CHOOSE(CONTROL!$C$42, 500, 500)*CHOOSE(CONTROL!$C$42, 0.275, 0.275)*CHOOSE(CONTROL!$C$42, 30, 30))/1000000</f>
        <v>4.125</v>
      </c>
      <c r="W244" s="38">
        <f>(1000*CHOOSE(CONTROL!$C$42, 0.1146, 0.1146)*CHOOSE(CONTROL!$C$42, 121.5, 121.5)*CHOOSE(CONTROL!$C$42, 30, 30))/1000000</f>
        <v>0.417717</v>
      </c>
      <c r="X244" s="38">
        <f>(30*0.1790888*245000/1000000)+(30*0.2374*100000/1000000)</f>
        <v>2.0285026799999999</v>
      </c>
      <c r="Y244" s="38">
        <f>(1000*600*CHOOSE(CONTROL!$C$42, 1.6545, 1.6545)*CHOOSE(CONTROL!$C$42, 30, 30))/1000000</f>
        <v>29.780999999999999</v>
      </c>
      <c r="Z244" s="38"/>
      <c r="AA244" s="10"/>
      <c r="AB244" s="39"/>
      <c r="AC244" s="33">
        <f>(B244*141.293+C244*267.993+D244*115.016+E244*89.698+F244*40+G244*185+H244*0+I244*100+J244*300)/(141.293+267.993+115.016+89.698+0+40+185+100+300)</f>
        <v>8.7062896931396292</v>
      </c>
      <c r="AD244" s="27">
        <f>(M244*'RAP TEMPLATE-GAS AVAILABILITY'!O243+N244*'RAP TEMPLATE-GAS AVAILABILITY'!P243+O244*'RAP TEMPLATE-GAS AVAILABILITY'!Q243+P244*'RAP TEMPLATE-GAS AVAILABILITY'!R243)/('RAP TEMPLATE-GAS AVAILABILITY'!O243+'RAP TEMPLATE-GAS AVAILABILITY'!P243+'RAP TEMPLATE-GAS AVAILABILITY'!Q243+'RAP TEMPLATE-GAS AVAILABILITY'!R243)</f>
        <v>8.6287805755395688</v>
      </c>
    </row>
    <row r="245" spans="1:30" ht="15">
      <c r="A245" s="16">
        <v>48700</v>
      </c>
      <c r="B245" s="10">
        <f>CHOOSE(CONTROL!$C$42, 8.7784, 8.7784) * CHOOSE(CONTROL!$C$21, $C$9, 100%, $E$9)</f>
        <v>8.7783999999999995</v>
      </c>
      <c r="C245" s="10">
        <f>CHOOSE(CONTROL!$C$42, 8.7864, 8.7864) * CHOOSE(CONTROL!$C$21, $C$9, 100%, $E$9)</f>
        <v>8.7864000000000004</v>
      </c>
      <c r="D245" s="10">
        <f>CHOOSE(CONTROL!$C$42, 8.9434, 8.9434) * CHOOSE(CONTROL!$C$21, $C$9, 100%, $E$9)</f>
        <v>8.9434000000000005</v>
      </c>
      <c r="E245" s="10">
        <f>CHOOSE(CONTROL!$C$42, 8.9747, 8.9747) * CHOOSE(CONTROL!$C$21, $C$9, 100%, $E$9)</f>
        <v>8.9747000000000003</v>
      </c>
      <c r="F245" s="10">
        <f>CHOOSE(CONTROL!$C$42, 8.7225, 8.7225)*CHOOSE(CONTROL!$C$21, $C$9, 100%, $E$9)</f>
        <v>8.7225000000000001</v>
      </c>
      <c r="G245" s="10">
        <f>CHOOSE(CONTROL!$C$42, 8.7386, 8.7386)*CHOOSE(CONTROL!$C$21, $C$9, 100%, $E$9)</f>
        <v>8.7385999999999999</v>
      </c>
      <c r="H245" s="10">
        <f>CHOOSE(CONTROL!$C$42, 8.963, 8.963) * CHOOSE(CONTROL!$C$21, $C$9, 100%, $E$9)</f>
        <v>8.9629999999999992</v>
      </c>
      <c r="I245" s="10">
        <f>CHOOSE(CONTROL!$C$42, 8.7572, 8.7572)* CHOOSE(CONTROL!$C$21, $C$9, 100%, $E$9)</f>
        <v>8.7571999999999992</v>
      </c>
      <c r="J245" s="10">
        <f>CHOOSE(CONTROL!$C$42, 8.7151, 8.7151)* CHOOSE(CONTROL!$C$21, $C$9, 100%, $E$9)</f>
        <v>8.7150999999999996</v>
      </c>
      <c r="K245" s="10">
        <f>CHOOSE(CONTROL!$C$42, 8.643, 8.643) * CHOOSE(CONTROL!$C$21, $C$9, 100%, $E$9)</f>
        <v>8.6430000000000007</v>
      </c>
      <c r="L245" s="10">
        <f>CHOOSE(CONTROL!$C$42, 9.55, 9.55) * CHOOSE(CONTROL!$C$21, $C$9, 100%, $E$9)</f>
        <v>9.5500000000000007</v>
      </c>
      <c r="M245" s="10">
        <f>CHOOSE(CONTROL!$C$42, 8.6266, 8.6266) * CHOOSE(CONTROL!$C$21, $C$9, 100%, $E$9)</f>
        <v>8.6265999999999998</v>
      </c>
      <c r="N245" s="10">
        <f>CHOOSE(CONTROL!$C$42, 8.6425, 8.6425) * CHOOSE(CONTROL!$C$21, $C$9, 100%, $E$9)</f>
        <v>8.6425000000000001</v>
      </c>
      <c r="O245" s="10">
        <f>CHOOSE(CONTROL!$C$42, 8.871, 8.871) * CHOOSE(CONTROL!$C$21, $C$9, 100%, $E$9)</f>
        <v>8.8710000000000004</v>
      </c>
      <c r="P245" s="10">
        <f>CHOOSE(CONTROL!$C$42, 8.6681, 8.6681) * CHOOSE(CONTROL!$C$21, $C$9, 100%, $E$9)</f>
        <v>8.6681000000000008</v>
      </c>
      <c r="Q245" s="10">
        <f>CHOOSE(CONTROL!$C$42, 9.4663, 9.4663) * CHOOSE(CONTROL!$C$21, $C$9, 100%, $E$9)</f>
        <v>9.4663000000000004</v>
      </c>
      <c r="R245" s="10">
        <f>CHOOSE(CONTROL!$C$42, 10.0769, 10.0769) * CHOOSE(CONTROL!$C$21, $C$9, 100%, $E$9)</f>
        <v>10.0769</v>
      </c>
      <c r="S245" s="10">
        <f>CHOOSE(CONTROL!$C$42, 8.5147, 8.5147) * CHOOSE(CONTROL!$C$21, $C$9, 100%, $E$9)</f>
        <v>8.5146999999999995</v>
      </c>
      <c r="T24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45" s="38">
        <f>(1000*CHOOSE(CONTROL!$C$42, 695, 695)*CHOOSE(CONTROL!$C$42, 0.5599, 0.5599)*CHOOSE(CONTROL!$C$42, 31, 31))/1000000</f>
        <v>12.063045499999998</v>
      </c>
      <c r="V245" s="38">
        <f>(1000*CHOOSE(CONTROL!$C$42, 500, 500)*CHOOSE(CONTROL!$C$42, 0.275, 0.275)*CHOOSE(CONTROL!$C$42, 31, 31))/1000000</f>
        <v>4.2625000000000002</v>
      </c>
      <c r="W245" s="38">
        <f>(1000*CHOOSE(CONTROL!$C$42, 0.1146, 0.1146)*CHOOSE(CONTROL!$C$42, 121.5, 121.5)*CHOOSE(CONTROL!$C$42, 31, 31))/1000000</f>
        <v>0.43164089999999994</v>
      </c>
      <c r="X245" s="38">
        <f>(31*0.1790888*245000/1000000)+(31*0.2374*100000/1000000)</f>
        <v>2.0961194359999999</v>
      </c>
      <c r="Y245" s="38">
        <f>(1000*600*CHOOSE(CONTROL!$C$42, 1.6545, 1.6545)*CHOOSE(CONTROL!$C$42, 31, 31))/1000000</f>
        <v>30.773700000000002</v>
      </c>
      <c r="Z245" s="38"/>
      <c r="AA245" s="10"/>
      <c r="AB245" s="39"/>
      <c r="AC245" s="33">
        <f>(B245*194.205+C245*267.466+D245*133.845+E245*53.484+F245*40+G245*185+H245*0+I245*100+J245*300)/(194.205+267.466+133.845+53.484+0+40+185+100+300)</f>
        <v>8.7815507552590262</v>
      </c>
      <c r="AD245" s="27">
        <f>(M245*'RAP TEMPLATE-GAS AVAILABILITY'!O244+N245*'RAP TEMPLATE-GAS AVAILABILITY'!P244+O245*'RAP TEMPLATE-GAS AVAILABILITY'!Q244+P245*'RAP TEMPLATE-GAS AVAILABILITY'!R244)/('RAP TEMPLATE-GAS AVAILABILITY'!O244+'RAP TEMPLATE-GAS AVAILABILITY'!P244+'RAP TEMPLATE-GAS AVAILABILITY'!Q244+'RAP TEMPLATE-GAS AVAILABILITY'!R244)</f>
        <v>8.7048043165467632</v>
      </c>
    </row>
    <row r="246" spans="1:30" ht="15">
      <c r="A246" s="16">
        <v>48731</v>
      </c>
      <c r="B246" s="10">
        <f>CHOOSE(CONTROL!$C$42, 9.0278, 9.0278) * CHOOSE(CONTROL!$C$21, $C$9, 100%, $E$9)</f>
        <v>9.0277999999999992</v>
      </c>
      <c r="C246" s="10">
        <f>CHOOSE(CONTROL!$C$42, 9.0358, 9.0358) * CHOOSE(CONTROL!$C$21, $C$9, 100%, $E$9)</f>
        <v>9.0358000000000001</v>
      </c>
      <c r="D246" s="10">
        <f>CHOOSE(CONTROL!$C$42, 9.1928, 9.1928) * CHOOSE(CONTROL!$C$21, $C$9, 100%, $E$9)</f>
        <v>9.1928000000000001</v>
      </c>
      <c r="E246" s="10">
        <f>CHOOSE(CONTROL!$C$42, 9.2241, 9.2241) * CHOOSE(CONTROL!$C$21, $C$9, 100%, $E$9)</f>
        <v>9.2241</v>
      </c>
      <c r="F246" s="10">
        <f>CHOOSE(CONTROL!$C$42, 8.9721, 8.9721)*CHOOSE(CONTROL!$C$21, $C$9, 100%, $E$9)</f>
        <v>8.9720999999999993</v>
      </c>
      <c r="G246" s="10">
        <f>CHOOSE(CONTROL!$C$42, 8.9883, 8.9883)*CHOOSE(CONTROL!$C$21, $C$9, 100%, $E$9)</f>
        <v>8.9883000000000006</v>
      </c>
      <c r="H246" s="10">
        <f>CHOOSE(CONTROL!$C$42, 9.2124, 9.2124) * CHOOSE(CONTROL!$C$21, $C$9, 100%, $E$9)</f>
        <v>9.2124000000000006</v>
      </c>
      <c r="I246" s="10">
        <f>CHOOSE(CONTROL!$C$42, 9.0066, 9.0066)* CHOOSE(CONTROL!$C$21, $C$9, 100%, $E$9)</f>
        <v>9.0066000000000006</v>
      </c>
      <c r="J246" s="10">
        <f>CHOOSE(CONTROL!$C$42, 8.9647, 8.9647)* CHOOSE(CONTROL!$C$21, $C$9, 100%, $E$9)</f>
        <v>8.9647000000000006</v>
      </c>
      <c r="K246" s="10">
        <f>CHOOSE(CONTROL!$C$42, 8.885, 8.885) * CHOOSE(CONTROL!$C$21, $C$9, 100%, $E$9)</f>
        <v>8.8849999999999998</v>
      </c>
      <c r="L246" s="10">
        <f>CHOOSE(CONTROL!$C$42, 9.7994, 9.7994) * CHOOSE(CONTROL!$C$21, $C$9, 100%, $E$9)</f>
        <v>9.7994000000000003</v>
      </c>
      <c r="M246" s="10">
        <f>CHOOSE(CONTROL!$C$42, 8.8727, 8.8727) * CHOOSE(CONTROL!$C$21, $C$9, 100%, $E$9)</f>
        <v>8.8727</v>
      </c>
      <c r="N246" s="10">
        <f>CHOOSE(CONTROL!$C$42, 8.8886, 8.8886) * CHOOSE(CONTROL!$C$21, $C$9, 100%, $E$9)</f>
        <v>8.8886000000000003</v>
      </c>
      <c r="O246" s="10">
        <f>CHOOSE(CONTROL!$C$42, 9.1169, 9.1169) * CHOOSE(CONTROL!$C$21, $C$9, 100%, $E$9)</f>
        <v>9.1168999999999993</v>
      </c>
      <c r="P246" s="10">
        <f>CHOOSE(CONTROL!$C$42, 8.914, 8.914) * CHOOSE(CONTROL!$C$21, $C$9, 100%, $E$9)</f>
        <v>8.9139999999999997</v>
      </c>
      <c r="Q246" s="10">
        <f>CHOOSE(CONTROL!$C$42, 9.7122, 9.7122) * CHOOSE(CONTROL!$C$21, $C$9, 100%, $E$9)</f>
        <v>9.7121999999999993</v>
      </c>
      <c r="R246" s="10">
        <f>CHOOSE(CONTROL!$C$42, 10.3235, 10.3235) * CHOOSE(CONTROL!$C$21, $C$9, 100%, $E$9)</f>
        <v>10.323499999999999</v>
      </c>
      <c r="S246" s="10">
        <f>CHOOSE(CONTROL!$C$42, 8.7562, 8.7562) * CHOOSE(CONTROL!$C$21, $C$9, 100%, $E$9)</f>
        <v>8.7561999999999998</v>
      </c>
      <c r="T24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46" s="38">
        <f>(1000*CHOOSE(CONTROL!$C$42, 695, 695)*CHOOSE(CONTROL!$C$42, 0.5599, 0.5599)*CHOOSE(CONTROL!$C$42, 30, 30))/1000000</f>
        <v>11.673914999999997</v>
      </c>
      <c r="V246" s="38">
        <f>(1000*CHOOSE(CONTROL!$C$42, 500, 500)*CHOOSE(CONTROL!$C$42, 0.275, 0.275)*CHOOSE(CONTROL!$C$42, 30, 30))/1000000</f>
        <v>4.125</v>
      </c>
      <c r="W246" s="38">
        <f>(1000*CHOOSE(CONTROL!$C$42, 0.1146, 0.1146)*CHOOSE(CONTROL!$C$42, 121.5, 121.5)*CHOOSE(CONTROL!$C$42, 30, 30))/1000000</f>
        <v>0.417717</v>
      </c>
      <c r="X246" s="38">
        <f>(30*0.1790888*245000/1000000)+(30*0.2374*100000/1000000)</f>
        <v>2.0285026799999999</v>
      </c>
      <c r="Y246" s="38">
        <f>(1000*600*CHOOSE(CONTROL!$C$42, 1.6545, 1.6545)*CHOOSE(CONTROL!$C$42, 30, 30))/1000000</f>
        <v>29.780999999999999</v>
      </c>
      <c r="Z246" s="38"/>
      <c r="AA246" s="10"/>
      <c r="AB246" s="39"/>
      <c r="AC246" s="33">
        <f>(B246*194.205+C246*267.466+D246*133.845+E246*53.484+F246*40+G246*185+H246*0+I246*100+J246*300)/(194.205+267.466+133.845+53.484+0+40+185+100+300)</f>
        <v>9.0310476940345374</v>
      </c>
      <c r="AD246" s="27">
        <f>(M246*'RAP TEMPLATE-GAS AVAILABILITY'!O245+N246*'RAP TEMPLATE-GAS AVAILABILITY'!P245+O246*'RAP TEMPLATE-GAS AVAILABILITY'!Q245+P246*'RAP TEMPLATE-GAS AVAILABILITY'!R245)/('RAP TEMPLATE-GAS AVAILABILITY'!O245+'RAP TEMPLATE-GAS AVAILABILITY'!P245+'RAP TEMPLATE-GAS AVAILABILITY'!Q245+'RAP TEMPLATE-GAS AVAILABILITY'!R245)</f>
        <v>8.9508194244604304</v>
      </c>
    </row>
    <row r="247" spans="1:30" ht="15">
      <c r="A247" s="16">
        <v>48761</v>
      </c>
      <c r="B247" s="10">
        <f>CHOOSE(CONTROL!$C$42, 8.8543, 8.8543) * CHOOSE(CONTROL!$C$21, $C$9, 100%, $E$9)</f>
        <v>8.8543000000000003</v>
      </c>
      <c r="C247" s="10">
        <f>CHOOSE(CONTROL!$C$42, 8.8623, 8.8623) * CHOOSE(CONTROL!$C$21, $C$9, 100%, $E$9)</f>
        <v>8.8622999999999994</v>
      </c>
      <c r="D247" s="10">
        <f>CHOOSE(CONTROL!$C$42, 9.0194, 9.0194) * CHOOSE(CONTROL!$C$21, $C$9, 100%, $E$9)</f>
        <v>9.0193999999999992</v>
      </c>
      <c r="E247" s="10">
        <f>CHOOSE(CONTROL!$C$42, 9.0506, 9.0506) * CHOOSE(CONTROL!$C$21, $C$9, 100%, $E$9)</f>
        <v>9.0505999999999993</v>
      </c>
      <c r="F247" s="10">
        <f>CHOOSE(CONTROL!$C$42, 8.799, 8.799)*CHOOSE(CONTROL!$C$21, $C$9, 100%, $E$9)</f>
        <v>8.7989999999999995</v>
      </c>
      <c r="G247" s="10">
        <f>CHOOSE(CONTROL!$C$42, 8.8152, 8.8152)*CHOOSE(CONTROL!$C$21, $C$9, 100%, $E$9)</f>
        <v>8.8152000000000008</v>
      </c>
      <c r="H247" s="10">
        <f>CHOOSE(CONTROL!$C$42, 9.0389, 9.0389) * CHOOSE(CONTROL!$C$21, $C$9, 100%, $E$9)</f>
        <v>9.0388999999999999</v>
      </c>
      <c r="I247" s="10">
        <f>CHOOSE(CONTROL!$C$42, 8.8331, 8.8331)* CHOOSE(CONTROL!$C$21, $C$9, 100%, $E$9)</f>
        <v>8.8331</v>
      </c>
      <c r="J247" s="10">
        <f>CHOOSE(CONTROL!$C$42, 8.7916, 8.7916)* CHOOSE(CONTROL!$C$21, $C$9, 100%, $E$9)</f>
        <v>8.7916000000000007</v>
      </c>
      <c r="K247" s="10">
        <f>CHOOSE(CONTROL!$C$42, 8.7177, 8.7177) * CHOOSE(CONTROL!$C$21, $C$9, 100%, $E$9)</f>
        <v>8.7177000000000007</v>
      </c>
      <c r="L247" s="10">
        <f>CHOOSE(CONTROL!$C$42, 9.6259, 9.6259) * CHOOSE(CONTROL!$C$21, $C$9, 100%, $E$9)</f>
        <v>9.6258999999999997</v>
      </c>
      <c r="M247" s="10">
        <f>CHOOSE(CONTROL!$C$42, 8.702, 8.702) * CHOOSE(CONTROL!$C$21, $C$9, 100%, $E$9)</f>
        <v>8.702</v>
      </c>
      <c r="N247" s="10">
        <f>CHOOSE(CONTROL!$C$42, 8.718, 8.718) * CHOOSE(CONTROL!$C$21, $C$9, 100%, $E$9)</f>
        <v>8.718</v>
      </c>
      <c r="O247" s="10">
        <f>CHOOSE(CONTROL!$C$42, 8.9458, 8.9458) * CHOOSE(CONTROL!$C$21, $C$9, 100%, $E$9)</f>
        <v>8.9458000000000002</v>
      </c>
      <c r="P247" s="10">
        <f>CHOOSE(CONTROL!$C$42, 8.743, 8.743) * CHOOSE(CONTROL!$C$21, $C$9, 100%, $E$9)</f>
        <v>8.7430000000000003</v>
      </c>
      <c r="Q247" s="10">
        <f>CHOOSE(CONTROL!$C$42, 9.5411, 9.5411) * CHOOSE(CONTROL!$C$21, $C$9, 100%, $E$9)</f>
        <v>9.5411000000000001</v>
      </c>
      <c r="R247" s="10">
        <f>CHOOSE(CONTROL!$C$42, 10.152, 10.152) * CHOOSE(CONTROL!$C$21, $C$9, 100%, $E$9)</f>
        <v>10.151999999999999</v>
      </c>
      <c r="S247" s="10">
        <f>CHOOSE(CONTROL!$C$42, 8.5882, 8.5882) * CHOOSE(CONTROL!$C$21, $C$9, 100%, $E$9)</f>
        <v>8.5882000000000005</v>
      </c>
      <c r="T24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47" s="38">
        <f>(1000*CHOOSE(CONTROL!$C$42, 695, 695)*CHOOSE(CONTROL!$C$42, 0.5599, 0.5599)*CHOOSE(CONTROL!$C$42, 31, 31))/1000000</f>
        <v>12.063045499999998</v>
      </c>
      <c r="V247" s="38">
        <f>(1000*CHOOSE(CONTROL!$C$42, 500, 500)*CHOOSE(CONTROL!$C$42, 0.275, 0.275)*CHOOSE(CONTROL!$C$42, 31, 31))/1000000</f>
        <v>4.2625000000000002</v>
      </c>
      <c r="W247" s="38">
        <f>(1000*CHOOSE(CONTROL!$C$42, 0.1146, 0.1146)*CHOOSE(CONTROL!$C$42, 121.5, 121.5)*CHOOSE(CONTROL!$C$42, 31, 31))/1000000</f>
        <v>0.43164089999999994</v>
      </c>
      <c r="X247" s="38">
        <f>(31*0.1790888*245000/1000000)+(31*0.2374*100000/1000000)</f>
        <v>2.0961194359999999</v>
      </c>
      <c r="Y247" s="38">
        <f>(1000*600*CHOOSE(CONTROL!$C$42, 1.6545, 1.6545)*CHOOSE(CONTROL!$C$42, 31, 31))/1000000</f>
        <v>30.773700000000002</v>
      </c>
      <c r="Z247" s="38"/>
      <c r="AA247" s="10"/>
      <c r="AB247" s="39"/>
      <c r="AC247" s="33">
        <f>(B247*194.205+C247*267.466+D247*133.845+E247*53.484+F247*40+G247*185+H247*0+I247*100+J247*300)/(194.205+267.466+133.845+53.484+0+40+185+100+300)</f>
        <v>8.8577230350863427</v>
      </c>
      <c r="AD247" s="27">
        <f>(M247*'RAP TEMPLATE-GAS AVAILABILITY'!O246+N247*'RAP TEMPLATE-GAS AVAILABILITY'!P246+O247*'RAP TEMPLATE-GAS AVAILABILITY'!Q246+P247*'RAP TEMPLATE-GAS AVAILABILITY'!R246)/('RAP TEMPLATE-GAS AVAILABILITY'!O246+'RAP TEMPLATE-GAS AVAILABILITY'!P246+'RAP TEMPLATE-GAS AVAILABILITY'!Q246+'RAP TEMPLATE-GAS AVAILABILITY'!R246)</f>
        <v>8.7799870503597131</v>
      </c>
    </row>
    <row r="248" spans="1:30" ht="15">
      <c r="A248" s="16">
        <v>48792</v>
      </c>
      <c r="B248" s="10">
        <f>CHOOSE(CONTROL!$C$42, 8.4163, 8.4163) * CHOOSE(CONTROL!$C$21, $C$9, 100%, $E$9)</f>
        <v>8.4162999999999997</v>
      </c>
      <c r="C248" s="10">
        <f>CHOOSE(CONTROL!$C$42, 8.4243, 8.4243) * CHOOSE(CONTROL!$C$21, $C$9, 100%, $E$9)</f>
        <v>8.4243000000000006</v>
      </c>
      <c r="D248" s="10">
        <f>CHOOSE(CONTROL!$C$42, 8.5813, 8.5813) * CHOOSE(CONTROL!$C$21, $C$9, 100%, $E$9)</f>
        <v>8.5813000000000006</v>
      </c>
      <c r="E248" s="10">
        <f>CHOOSE(CONTROL!$C$42, 8.6126, 8.6126) * CHOOSE(CONTROL!$C$21, $C$9, 100%, $E$9)</f>
        <v>8.6126000000000005</v>
      </c>
      <c r="F248" s="10">
        <f>CHOOSE(CONTROL!$C$42, 8.3609, 8.3609)*CHOOSE(CONTROL!$C$21, $C$9, 100%, $E$9)</f>
        <v>8.3609000000000009</v>
      </c>
      <c r="G248" s="10">
        <f>CHOOSE(CONTROL!$C$42, 8.3771, 8.3771)*CHOOSE(CONTROL!$C$21, $C$9, 100%, $E$9)</f>
        <v>8.3771000000000004</v>
      </c>
      <c r="H248" s="10">
        <f>CHOOSE(CONTROL!$C$42, 8.6009, 8.6009) * CHOOSE(CONTROL!$C$21, $C$9, 100%, $E$9)</f>
        <v>8.6008999999999993</v>
      </c>
      <c r="I248" s="10">
        <f>CHOOSE(CONTROL!$C$42, 8.3951, 8.3951)* CHOOSE(CONTROL!$C$21, $C$9, 100%, $E$9)</f>
        <v>8.3950999999999993</v>
      </c>
      <c r="J248" s="10">
        <f>CHOOSE(CONTROL!$C$42, 8.3535, 8.3535)* CHOOSE(CONTROL!$C$21, $C$9, 100%, $E$9)</f>
        <v>8.3535000000000004</v>
      </c>
      <c r="K248" s="10">
        <f>CHOOSE(CONTROL!$C$42, 8.2932, 8.2932) * CHOOSE(CONTROL!$C$21, $C$9, 100%, $E$9)</f>
        <v>8.2932000000000006</v>
      </c>
      <c r="L248" s="10">
        <f>CHOOSE(CONTROL!$C$42, 9.1879, 9.1879) * CHOOSE(CONTROL!$C$21, $C$9, 100%, $E$9)</f>
        <v>9.1879000000000008</v>
      </c>
      <c r="M248" s="10">
        <f>CHOOSE(CONTROL!$C$42, 8.27, 8.27) * CHOOSE(CONTROL!$C$21, $C$9, 100%, $E$9)</f>
        <v>8.27</v>
      </c>
      <c r="N248" s="10">
        <f>CHOOSE(CONTROL!$C$42, 8.286, 8.286) * CHOOSE(CONTROL!$C$21, $C$9, 100%, $E$9)</f>
        <v>8.2859999999999996</v>
      </c>
      <c r="O248" s="10">
        <f>CHOOSE(CONTROL!$C$42, 8.5139, 8.5139) * CHOOSE(CONTROL!$C$21, $C$9, 100%, $E$9)</f>
        <v>8.5138999999999996</v>
      </c>
      <c r="P248" s="10">
        <f>CHOOSE(CONTROL!$C$42, 8.311, 8.311) * CHOOSE(CONTROL!$C$21, $C$9, 100%, $E$9)</f>
        <v>8.3109999999999999</v>
      </c>
      <c r="Q248" s="10">
        <f>CHOOSE(CONTROL!$C$42, 9.1092, 9.1092) * CHOOSE(CONTROL!$C$21, $C$9, 100%, $E$9)</f>
        <v>9.1091999999999995</v>
      </c>
      <c r="R248" s="10">
        <f>CHOOSE(CONTROL!$C$42, 9.719, 9.719) * CHOOSE(CONTROL!$C$21, $C$9, 100%, $E$9)</f>
        <v>9.7189999999999994</v>
      </c>
      <c r="S248" s="10">
        <f>CHOOSE(CONTROL!$C$42, 8.1641, 8.1641) * CHOOSE(CONTROL!$C$21, $C$9, 100%, $E$9)</f>
        <v>8.1640999999999995</v>
      </c>
      <c r="T24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48" s="38">
        <f>(1000*CHOOSE(CONTROL!$C$42, 695, 695)*CHOOSE(CONTROL!$C$42, 0.5599, 0.5599)*CHOOSE(CONTROL!$C$42, 31, 31))/1000000</f>
        <v>12.063045499999998</v>
      </c>
      <c r="V248" s="38">
        <f>(1000*CHOOSE(CONTROL!$C$42, 500, 500)*CHOOSE(CONTROL!$C$42, 0.275, 0.275)*CHOOSE(CONTROL!$C$42, 31, 31))/1000000</f>
        <v>4.2625000000000002</v>
      </c>
      <c r="W248" s="38">
        <f>(1000*CHOOSE(CONTROL!$C$42, 0.1146, 0.1146)*CHOOSE(CONTROL!$C$42, 121.5, 121.5)*CHOOSE(CONTROL!$C$42, 31, 31))/1000000</f>
        <v>0.43164089999999994</v>
      </c>
      <c r="X248" s="38">
        <f>(31*0.1790888*245000/1000000)+(31*0.2374*100000/1000000)</f>
        <v>2.0961194359999999</v>
      </c>
      <c r="Y248" s="38">
        <f>(1000*600*CHOOSE(CONTROL!$C$42, 1.6545, 1.6545)*CHOOSE(CONTROL!$C$42, 31, 31))/1000000</f>
        <v>30.773700000000002</v>
      </c>
      <c r="Z248" s="38"/>
      <c r="AA248" s="10"/>
      <c r="AB248" s="39"/>
      <c r="AC248" s="33">
        <f>(B248*194.205+C248*267.466+D248*133.845+E248*53.484+F248*40+G248*185+H248*0+I248*100+J248*300)/(194.205+267.466+133.845+53.484+0+40+185+100+300)</f>
        <v>8.4196713204081632</v>
      </c>
      <c r="AD248" s="27">
        <f>(M248*'RAP TEMPLATE-GAS AVAILABILITY'!O247+N248*'RAP TEMPLATE-GAS AVAILABILITY'!P247+O248*'RAP TEMPLATE-GAS AVAILABILITY'!Q247+P248*'RAP TEMPLATE-GAS AVAILABILITY'!R247)/('RAP TEMPLATE-GAS AVAILABILITY'!O247+'RAP TEMPLATE-GAS AVAILABILITY'!P247+'RAP TEMPLATE-GAS AVAILABILITY'!Q247+'RAP TEMPLATE-GAS AVAILABILITY'!R247)</f>
        <v>8.3480151079136693</v>
      </c>
    </row>
    <row r="249" spans="1:30" ht="15">
      <c r="A249" s="16">
        <v>48823</v>
      </c>
      <c r="B249" s="10">
        <f>CHOOSE(CONTROL!$C$42, 7.8811, 7.8811) * CHOOSE(CONTROL!$C$21, $C$9, 100%, $E$9)</f>
        <v>7.8811</v>
      </c>
      <c r="C249" s="10">
        <f>CHOOSE(CONTROL!$C$42, 7.8891, 7.8891) * CHOOSE(CONTROL!$C$21, $C$9, 100%, $E$9)</f>
        <v>7.8891</v>
      </c>
      <c r="D249" s="10">
        <f>CHOOSE(CONTROL!$C$42, 8.0461, 8.0461) * CHOOSE(CONTROL!$C$21, $C$9, 100%, $E$9)</f>
        <v>8.0460999999999991</v>
      </c>
      <c r="E249" s="10">
        <f>CHOOSE(CONTROL!$C$42, 8.0774, 8.0774) * CHOOSE(CONTROL!$C$21, $C$9, 100%, $E$9)</f>
        <v>8.0774000000000008</v>
      </c>
      <c r="F249" s="10">
        <f>CHOOSE(CONTROL!$C$42, 7.8255, 7.8255)*CHOOSE(CONTROL!$C$21, $C$9, 100%, $E$9)</f>
        <v>7.8254999999999999</v>
      </c>
      <c r="G249" s="10">
        <f>CHOOSE(CONTROL!$C$42, 7.8417, 7.8417)*CHOOSE(CONTROL!$C$21, $C$9, 100%, $E$9)</f>
        <v>7.8417000000000003</v>
      </c>
      <c r="H249" s="10">
        <f>CHOOSE(CONTROL!$C$42, 8.0657, 8.0657) * CHOOSE(CONTROL!$C$21, $C$9, 100%, $E$9)</f>
        <v>8.0656999999999996</v>
      </c>
      <c r="I249" s="10">
        <f>CHOOSE(CONTROL!$C$42, 7.8599, 7.8599)* CHOOSE(CONTROL!$C$21, $C$9, 100%, $E$9)</f>
        <v>7.8598999999999997</v>
      </c>
      <c r="J249" s="10">
        <f>CHOOSE(CONTROL!$C$42, 7.8181, 7.8181)* CHOOSE(CONTROL!$C$21, $C$9, 100%, $E$9)</f>
        <v>7.8181000000000003</v>
      </c>
      <c r="K249" s="10">
        <f>CHOOSE(CONTROL!$C$42, 7.7742, 7.7742) * CHOOSE(CONTROL!$C$21, $C$9, 100%, $E$9)</f>
        <v>7.7742000000000004</v>
      </c>
      <c r="L249" s="10">
        <f>CHOOSE(CONTROL!$C$42, 8.6527, 8.6527) * CHOOSE(CONTROL!$C$21, $C$9, 100%, $E$9)</f>
        <v>8.6526999999999994</v>
      </c>
      <c r="M249" s="10">
        <f>CHOOSE(CONTROL!$C$42, 7.742, 7.742) * CHOOSE(CONTROL!$C$21, $C$9, 100%, $E$9)</f>
        <v>7.742</v>
      </c>
      <c r="N249" s="10">
        <f>CHOOSE(CONTROL!$C$42, 7.758, 7.758) * CHOOSE(CONTROL!$C$21, $C$9, 100%, $E$9)</f>
        <v>7.758</v>
      </c>
      <c r="O249" s="10">
        <f>CHOOSE(CONTROL!$C$42, 7.9862, 7.9862) * CHOOSE(CONTROL!$C$21, $C$9, 100%, $E$9)</f>
        <v>7.9862000000000002</v>
      </c>
      <c r="P249" s="10">
        <f>CHOOSE(CONTROL!$C$42, 7.7833, 7.7833) * CHOOSE(CONTROL!$C$21, $C$9, 100%, $E$9)</f>
        <v>7.7832999999999997</v>
      </c>
      <c r="Q249" s="10">
        <f>CHOOSE(CONTROL!$C$42, 8.5815, 8.5815) * CHOOSE(CONTROL!$C$21, $C$9, 100%, $E$9)</f>
        <v>8.5815000000000001</v>
      </c>
      <c r="R249" s="10">
        <f>CHOOSE(CONTROL!$C$42, 9.1899, 9.1899) * CHOOSE(CONTROL!$C$21, $C$9, 100%, $E$9)</f>
        <v>9.1898999999999997</v>
      </c>
      <c r="S249" s="10">
        <f>CHOOSE(CONTROL!$C$42, 7.6459, 7.6459) * CHOOSE(CONTROL!$C$21, $C$9, 100%, $E$9)</f>
        <v>7.6459000000000001</v>
      </c>
      <c r="T24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49" s="38">
        <f>(1000*CHOOSE(CONTROL!$C$42, 695, 695)*CHOOSE(CONTROL!$C$42, 0.5599, 0.5599)*CHOOSE(CONTROL!$C$42, 30, 30))/1000000</f>
        <v>11.673914999999997</v>
      </c>
      <c r="V249" s="38">
        <f>(1000*CHOOSE(CONTROL!$C$42, 500, 500)*CHOOSE(CONTROL!$C$42, 0.275, 0.275)*CHOOSE(CONTROL!$C$42, 30, 30))/1000000</f>
        <v>4.125</v>
      </c>
      <c r="W249" s="38">
        <f>(1000*CHOOSE(CONTROL!$C$42, 0.1146, 0.1146)*CHOOSE(CONTROL!$C$42, 121.5, 121.5)*CHOOSE(CONTROL!$C$42, 30, 30))/1000000</f>
        <v>0.417717</v>
      </c>
      <c r="X249" s="38">
        <f>(30*0.1790888*245000/1000000)+(30*0.2374*100000/1000000)</f>
        <v>2.0285026799999999</v>
      </c>
      <c r="Y249" s="38">
        <f>(1000*600*CHOOSE(CONTROL!$C$42, 1.6545, 1.6545)*CHOOSE(CONTROL!$C$42, 30, 30))/1000000</f>
        <v>29.780999999999999</v>
      </c>
      <c r="Z249" s="38"/>
      <c r="AA249" s="10"/>
      <c r="AB249" s="39"/>
      <c r="AC249" s="33">
        <f>(B249*194.205+C249*267.466+D249*133.845+E249*53.484+F249*40+G249*185+H249*0+I249*100+J249*300)/(194.205+267.466+133.845+53.484+0+40+185+100+300)</f>
        <v>7.8843889028257461</v>
      </c>
      <c r="AD249" s="27">
        <f>(M249*'RAP TEMPLATE-GAS AVAILABILITY'!O248+N249*'RAP TEMPLATE-GAS AVAILABILITY'!P248+O249*'RAP TEMPLATE-GAS AVAILABILITY'!Q248+P249*'RAP TEMPLATE-GAS AVAILABILITY'!R248)/('RAP TEMPLATE-GAS AVAILABILITY'!O248+'RAP TEMPLATE-GAS AVAILABILITY'!P248+'RAP TEMPLATE-GAS AVAILABILITY'!Q248+'RAP TEMPLATE-GAS AVAILABILITY'!R248)</f>
        <v>7.8201424460431648</v>
      </c>
    </row>
    <row r="250" spans="1:30" ht="15">
      <c r="A250" s="16">
        <v>48853</v>
      </c>
      <c r="B250" s="10">
        <f>CHOOSE(CONTROL!$C$42, 7.7186, 7.7186) * CHOOSE(CONTROL!$C$21, $C$9, 100%, $E$9)</f>
        <v>7.7186000000000003</v>
      </c>
      <c r="C250" s="10">
        <f>CHOOSE(CONTROL!$C$42, 7.724, 7.724) * CHOOSE(CONTROL!$C$21, $C$9, 100%, $E$9)</f>
        <v>7.7240000000000002</v>
      </c>
      <c r="D250" s="10">
        <f>CHOOSE(CONTROL!$C$42, 7.8859, 7.8859) * CHOOSE(CONTROL!$C$21, $C$9, 100%, $E$9)</f>
        <v>7.8859000000000004</v>
      </c>
      <c r="E250" s="10">
        <f>CHOOSE(CONTROL!$C$42, 7.9148, 7.9148) * CHOOSE(CONTROL!$C$21, $C$9, 100%, $E$9)</f>
        <v>7.9147999999999996</v>
      </c>
      <c r="F250" s="10">
        <f>CHOOSE(CONTROL!$C$42, 7.665, 7.665)*CHOOSE(CONTROL!$C$21, $C$9, 100%, $E$9)</f>
        <v>7.665</v>
      </c>
      <c r="G250" s="10">
        <f>CHOOSE(CONTROL!$C$42, 7.6808, 7.6808)*CHOOSE(CONTROL!$C$21, $C$9, 100%, $E$9)</f>
        <v>7.6807999999999996</v>
      </c>
      <c r="H250" s="10">
        <f>CHOOSE(CONTROL!$C$42, 7.9049, 7.9049) * CHOOSE(CONTROL!$C$21, $C$9, 100%, $E$9)</f>
        <v>7.9048999999999996</v>
      </c>
      <c r="I250" s="10">
        <f>CHOOSE(CONTROL!$C$42, 7.6991, 7.6991)* CHOOSE(CONTROL!$C$21, $C$9, 100%, $E$9)</f>
        <v>7.6990999999999996</v>
      </c>
      <c r="J250" s="10">
        <f>CHOOSE(CONTROL!$C$42, 7.6576, 7.6576)* CHOOSE(CONTROL!$C$21, $C$9, 100%, $E$9)</f>
        <v>7.6576000000000004</v>
      </c>
      <c r="K250" s="10">
        <f>CHOOSE(CONTROL!$C$42, 7.6191, 7.6191) * CHOOSE(CONTROL!$C$21, $C$9, 100%, $E$9)</f>
        <v>7.6191000000000004</v>
      </c>
      <c r="L250" s="10">
        <f>CHOOSE(CONTROL!$C$42, 8.4919, 8.4919) * CHOOSE(CONTROL!$C$21, $C$9, 100%, $E$9)</f>
        <v>8.4918999999999993</v>
      </c>
      <c r="M250" s="10">
        <f>CHOOSE(CONTROL!$C$42, 7.5838, 7.5838) * CHOOSE(CONTROL!$C$21, $C$9, 100%, $E$9)</f>
        <v>7.5838000000000001</v>
      </c>
      <c r="N250" s="10">
        <f>CHOOSE(CONTROL!$C$42, 7.5994, 7.5994) * CHOOSE(CONTROL!$C$21, $C$9, 100%, $E$9)</f>
        <v>7.5994000000000002</v>
      </c>
      <c r="O250" s="10">
        <f>CHOOSE(CONTROL!$C$42, 7.8277, 7.8277) * CHOOSE(CONTROL!$C$21, $C$9, 100%, $E$9)</f>
        <v>7.8277000000000001</v>
      </c>
      <c r="P250" s="10">
        <f>CHOOSE(CONTROL!$C$42, 7.6248, 7.6248) * CHOOSE(CONTROL!$C$21, $C$9, 100%, $E$9)</f>
        <v>7.6247999999999996</v>
      </c>
      <c r="Q250" s="10">
        <f>CHOOSE(CONTROL!$C$42, 8.423, 8.423) * CHOOSE(CONTROL!$C$21, $C$9, 100%, $E$9)</f>
        <v>8.423</v>
      </c>
      <c r="R250" s="10">
        <f>CHOOSE(CONTROL!$C$42, 9.031, 9.031) * CHOOSE(CONTROL!$C$21, $C$9, 100%, $E$9)</f>
        <v>9.0310000000000006</v>
      </c>
      <c r="S250" s="10">
        <f>CHOOSE(CONTROL!$C$42, 7.4902, 7.4902) * CHOOSE(CONTROL!$C$21, $C$9, 100%, $E$9)</f>
        <v>7.4901999999999997</v>
      </c>
      <c r="T25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50" s="38">
        <f>(1000*CHOOSE(CONTROL!$C$42, 695, 695)*CHOOSE(CONTROL!$C$42, 0.5599, 0.5599)*CHOOSE(CONTROL!$C$42, 31, 31))/1000000</f>
        <v>12.063045499999998</v>
      </c>
      <c r="V250" s="38">
        <f>(1000*CHOOSE(CONTROL!$C$42, 500, 500)*CHOOSE(CONTROL!$C$42, 0.275, 0.275)*CHOOSE(CONTROL!$C$42, 31, 31))/1000000</f>
        <v>4.2625000000000002</v>
      </c>
      <c r="W250" s="38">
        <f>(1000*CHOOSE(CONTROL!$C$42, 0.1146, 0.1146)*CHOOSE(CONTROL!$C$42, 121.5, 121.5)*CHOOSE(CONTROL!$C$42, 31, 31))/1000000</f>
        <v>0.43164089999999994</v>
      </c>
      <c r="X250" s="38">
        <f>(31*0.1790888*245000/1000000)+(31*0.2374*100000/1000000)</f>
        <v>2.0961194359999999</v>
      </c>
      <c r="Y250" s="38">
        <f>(1000*600*CHOOSE(CONTROL!$C$42, 1.6545, 1.6545)*CHOOSE(CONTROL!$C$42, 31, 31))/1000000</f>
        <v>30.773700000000002</v>
      </c>
      <c r="Z250" s="38"/>
      <c r="AA250" s="10"/>
      <c r="AB250" s="39"/>
      <c r="AC250" s="33">
        <f>(B250*131.881+C250*277.167+D250*79.08+E250*125.872+F250*40+G250*185+H250*0+I250*100+J250*300)/(131.881+277.167+79.08+125.872+0+40+185+100+300)</f>
        <v>7.7266999775625509</v>
      </c>
      <c r="AD250" s="27">
        <f>(M250*'RAP TEMPLATE-GAS AVAILABILITY'!O249+N250*'RAP TEMPLATE-GAS AVAILABILITY'!P249+O250*'RAP TEMPLATE-GAS AVAILABILITY'!Q249+P250*'RAP TEMPLATE-GAS AVAILABILITY'!R249)/('RAP TEMPLATE-GAS AVAILABILITY'!O249+'RAP TEMPLATE-GAS AVAILABILITY'!P249+'RAP TEMPLATE-GAS AVAILABILITY'!Q249+'RAP TEMPLATE-GAS AVAILABILITY'!R249)</f>
        <v>7.6617230215827323</v>
      </c>
    </row>
    <row r="251" spans="1:30" ht="15">
      <c r="A251" s="16">
        <v>48884</v>
      </c>
      <c r="B251" s="10">
        <f>CHOOSE(CONTROL!$C$42, 7.922, 7.922) * CHOOSE(CONTROL!$C$21, $C$9, 100%, $E$9)</f>
        <v>7.9219999999999997</v>
      </c>
      <c r="C251" s="10">
        <f>CHOOSE(CONTROL!$C$42, 7.9271, 7.9271) * CHOOSE(CONTROL!$C$21, $C$9, 100%, $E$9)</f>
        <v>7.9271000000000003</v>
      </c>
      <c r="D251" s="10">
        <f>CHOOSE(CONTROL!$C$42, 7.9518, 7.9518) * CHOOSE(CONTROL!$C$21, $C$9, 100%, $E$9)</f>
        <v>7.9518000000000004</v>
      </c>
      <c r="E251" s="10">
        <f>CHOOSE(CONTROL!$C$42, 7.9856, 7.9856) * CHOOSE(CONTROL!$C$21, $C$9, 100%, $E$9)</f>
        <v>7.9855999999999998</v>
      </c>
      <c r="F251" s="10">
        <f>CHOOSE(CONTROL!$C$42, 7.8903, 7.8903)*CHOOSE(CONTROL!$C$21, $C$9, 100%, $E$9)</f>
        <v>7.8902999999999999</v>
      </c>
      <c r="G251" s="10">
        <f>CHOOSE(CONTROL!$C$42, 7.9063, 7.9063)*CHOOSE(CONTROL!$C$21, $C$9, 100%, $E$9)</f>
        <v>7.9062999999999999</v>
      </c>
      <c r="H251" s="10">
        <f>CHOOSE(CONTROL!$C$42, 7.9744, 7.9744) * CHOOSE(CONTROL!$C$21, $C$9, 100%, $E$9)</f>
        <v>7.9744000000000002</v>
      </c>
      <c r="I251" s="10">
        <f>CHOOSE(CONTROL!$C$42, 7.937, 7.937)* CHOOSE(CONTROL!$C$21, $C$9, 100%, $E$9)</f>
        <v>7.9370000000000003</v>
      </c>
      <c r="J251" s="10">
        <f>CHOOSE(CONTROL!$C$42, 7.8829, 7.8829)* CHOOSE(CONTROL!$C$21, $C$9, 100%, $E$9)</f>
        <v>7.8829000000000002</v>
      </c>
      <c r="K251" s="10">
        <f>CHOOSE(CONTROL!$C$42, 7.8518, 7.8518) * CHOOSE(CONTROL!$C$21, $C$9, 100%, $E$9)</f>
        <v>7.8517999999999999</v>
      </c>
      <c r="L251" s="10">
        <f>CHOOSE(CONTROL!$C$42, 8.5614, 8.5614) * CHOOSE(CONTROL!$C$21, $C$9, 100%, $E$9)</f>
        <v>8.5614000000000008</v>
      </c>
      <c r="M251" s="10">
        <f>CHOOSE(CONTROL!$C$42, 7.806, 7.806) * CHOOSE(CONTROL!$C$21, $C$9, 100%, $E$9)</f>
        <v>7.806</v>
      </c>
      <c r="N251" s="10">
        <f>CHOOSE(CONTROL!$C$42, 7.8217, 7.8217) * CHOOSE(CONTROL!$C$21, $C$9, 100%, $E$9)</f>
        <v>7.8216999999999999</v>
      </c>
      <c r="O251" s="10">
        <f>CHOOSE(CONTROL!$C$42, 7.8962, 7.8962) * CHOOSE(CONTROL!$C$21, $C$9, 100%, $E$9)</f>
        <v>7.8962000000000003</v>
      </c>
      <c r="P251" s="10">
        <f>CHOOSE(CONTROL!$C$42, 7.8593, 7.8593) * CHOOSE(CONTROL!$C$21, $C$9, 100%, $E$9)</f>
        <v>7.8593000000000002</v>
      </c>
      <c r="Q251" s="10">
        <f>CHOOSE(CONTROL!$C$42, 8.4915, 8.4915) * CHOOSE(CONTROL!$C$21, $C$9, 100%, $E$9)</f>
        <v>8.4915000000000003</v>
      </c>
      <c r="R251" s="10">
        <f>CHOOSE(CONTROL!$C$42, 9.0997, 9.0997) * CHOOSE(CONTROL!$C$21, $C$9, 100%, $E$9)</f>
        <v>9.0997000000000003</v>
      </c>
      <c r="S251" s="10">
        <f>CHOOSE(CONTROL!$C$42, 7.6875, 7.6875) * CHOOSE(CONTROL!$C$21, $C$9, 100%, $E$9)</f>
        <v>7.6875</v>
      </c>
      <c r="T25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51" s="38">
        <f>(1000*CHOOSE(CONTROL!$C$42, 695, 695)*CHOOSE(CONTROL!$C$42, 0.5599, 0.5599)*CHOOSE(CONTROL!$C$42, 30, 30))/1000000</f>
        <v>11.673914999999997</v>
      </c>
      <c r="V251" s="38">
        <f>(1000*CHOOSE(CONTROL!$C$42, 500, 500)*CHOOSE(CONTROL!$C$42, 0.275, 0.275)*CHOOSE(CONTROL!$C$42, 30, 30))/1000000</f>
        <v>4.125</v>
      </c>
      <c r="W251" s="38">
        <f>(1000*CHOOSE(CONTROL!$C$42, 0.1146, 0.1146)*CHOOSE(CONTROL!$C$42, 121.5, 121.5)*CHOOSE(CONTROL!$C$42, 30, 30))/1000000</f>
        <v>0.417717</v>
      </c>
      <c r="X251" s="38">
        <f>(30*0.1790888*100000/1000000)+(30*0.2374*100000/1000000)</f>
        <v>1.2494664</v>
      </c>
      <c r="Y251" s="38">
        <f>(1000*600*CHOOSE(CONTROL!$C$42, 1.6545, 1.6545)*CHOOSE(CONTROL!$C$42, 30, 30))/1000000</f>
        <v>29.780999999999999</v>
      </c>
      <c r="Z251" s="38"/>
      <c r="AA251" s="10"/>
      <c r="AB251" s="39"/>
      <c r="AC251" s="33">
        <f>(B251*122.58+C251*297.941+D251*89.177+E251*40.302+F251*40+G251*160+H251*0+I251*100+J251*300)/(122.58+297.941+89.177+40.302+0+40+160+100+300)</f>
        <v>7.9156784181739122</v>
      </c>
      <c r="AD251" s="27">
        <f>(M251*'RAP TEMPLATE-GAS AVAILABILITY'!O250+N251*'RAP TEMPLATE-GAS AVAILABILITY'!P250+O251*'RAP TEMPLATE-GAS AVAILABILITY'!Q250+P251*'RAP TEMPLATE-GAS AVAILABILITY'!R250)/('RAP TEMPLATE-GAS AVAILABILITY'!O250+'RAP TEMPLATE-GAS AVAILABILITY'!P250+'RAP TEMPLATE-GAS AVAILABILITY'!Q250+'RAP TEMPLATE-GAS AVAILABILITY'!R250)</f>
        <v>7.8554546762589927</v>
      </c>
    </row>
    <row r="252" spans="1:30" ht="15">
      <c r="A252" s="16">
        <v>48914</v>
      </c>
      <c r="B252" s="10">
        <f>CHOOSE(CONTROL!$C$42, 8.4632, 8.4632) * CHOOSE(CONTROL!$C$21, $C$9, 100%, $E$9)</f>
        <v>8.4632000000000005</v>
      </c>
      <c r="C252" s="10">
        <f>CHOOSE(CONTROL!$C$42, 8.4683, 8.4683) * CHOOSE(CONTROL!$C$21, $C$9, 100%, $E$9)</f>
        <v>8.4682999999999993</v>
      </c>
      <c r="D252" s="10">
        <f>CHOOSE(CONTROL!$C$42, 8.493, 8.493) * CHOOSE(CONTROL!$C$21, $C$9, 100%, $E$9)</f>
        <v>8.4930000000000003</v>
      </c>
      <c r="E252" s="10">
        <f>CHOOSE(CONTROL!$C$42, 8.5268, 8.5268) * CHOOSE(CONTROL!$C$21, $C$9, 100%, $E$9)</f>
        <v>8.5267999999999997</v>
      </c>
      <c r="F252" s="10">
        <f>CHOOSE(CONTROL!$C$42, 8.4335, 8.4335)*CHOOSE(CONTROL!$C$21, $C$9, 100%, $E$9)</f>
        <v>8.4335000000000004</v>
      </c>
      <c r="G252" s="10">
        <f>CHOOSE(CONTROL!$C$42, 8.4499, 8.4499)*CHOOSE(CONTROL!$C$21, $C$9, 100%, $E$9)</f>
        <v>8.4498999999999995</v>
      </c>
      <c r="H252" s="10">
        <f>CHOOSE(CONTROL!$C$42, 8.5157, 8.5157) * CHOOSE(CONTROL!$C$21, $C$9, 100%, $E$9)</f>
        <v>8.5157000000000007</v>
      </c>
      <c r="I252" s="10">
        <f>CHOOSE(CONTROL!$C$42, 8.4782, 8.4782)* CHOOSE(CONTROL!$C$21, $C$9, 100%, $E$9)</f>
        <v>8.4781999999999993</v>
      </c>
      <c r="J252" s="10">
        <f>CHOOSE(CONTROL!$C$42, 8.4261, 8.4261)* CHOOSE(CONTROL!$C$21, $C$9, 100%, $E$9)</f>
        <v>8.4260999999999999</v>
      </c>
      <c r="K252" s="10">
        <f>CHOOSE(CONTROL!$C$42, 8.3802, 8.3802) * CHOOSE(CONTROL!$C$21, $C$9, 100%, $E$9)</f>
        <v>8.3802000000000003</v>
      </c>
      <c r="L252" s="10">
        <f>CHOOSE(CONTROL!$C$42, 9.1027, 9.1027) * CHOOSE(CONTROL!$C$21, $C$9, 100%, $E$9)</f>
        <v>9.1027000000000005</v>
      </c>
      <c r="M252" s="10">
        <f>CHOOSE(CONTROL!$C$42, 8.3415, 8.3415) * CHOOSE(CONTROL!$C$21, $C$9, 100%, $E$9)</f>
        <v>8.3414999999999999</v>
      </c>
      <c r="N252" s="10">
        <f>CHOOSE(CONTROL!$C$42, 8.3578, 8.3578) * CHOOSE(CONTROL!$C$21, $C$9, 100%, $E$9)</f>
        <v>8.3577999999999992</v>
      </c>
      <c r="O252" s="10">
        <f>CHOOSE(CONTROL!$C$42, 8.4299, 8.4299) * CHOOSE(CONTROL!$C$21, $C$9, 100%, $E$9)</f>
        <v>8.4298999999999999</v>
      </c>
      <c r="P252" s="10">
        <f>CHOOSE(CONTROL!$C$42, 8.393, 8.393) * CHOOSE(CONTROL!$C$21, $C$9, 100%, $E$9)</f>
        <v>8.3930000000000007</v>
      </c>
      <c r="Q252" s="10">
        <f>CHOOSE(CONTROL!$C$42, 9.0252, 9.0252) * CHOOSE(CONTROL!$C$21, $C$9, 100%, $E$9)</f>
        <v>9.0251999999999999</v>
      </c>
      <c r="R252" s="10">
        <f>CHOOSE(CONTROL!$C$42, 9.6348, 9.6348) * CHOOSE(CONTROL!$C$21, $C$9, 100%, $E$9)</f>
        <v>9.6348000000000003</v>
      </c>
      <c r="S252" s="10">
        <f>CHOOSE(CONTROL!$C$42, 8.2116, 8.2116) * CHOOSE(CONTROL!$C$21, $C$9, 100%, $E$9)</f>
        <v>8.2116000000000007</v>
      </c>
      <c r="T25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52" s="38">
        <f>(1000*CHOOSE(CONTROL!$C$42, 695, 695)*CHOOSE(CONTROL!$C$42, 0.5599, 0.5599)*CHOOSE(CONTROL!$C$42, 31, 31))/1000000</f>
        <v>12.063045499999998</v>
      </c>
      <c r="V252" s="38">
        <f>(1000*CHOOSE(CONTROL!$C$42, 500, 500)*CHOOSE(CONTROL!$C$42, 0.275, 0.275)*CHOOSE(CONTROL!$C$42, 31, 31))/1000000</f>
        <v>4.2625000000000002</v>
      </c>
      <c r="W252" s="38">
        <f>(1000*CHOOSE(CONTROL!$C$42, 0.1146, 0.1146)*CHOOSE(CONTROL!$C$42, 121.5, 121.5)*CHOOSE(CONTROL!$C$42, 31, 31))/1000000</f>
        <v>0.43164089999999994</v>
      </c>
      <c r="X252" s="38">
        <f>(31*0.1790888*100000/1000000)+(31*0.2374*100000/1000000)</f>
        <v>1.2911152800000001</v>
      </c>
      <c r="Y252" s="38">
        <f>(1000*600*CHOOSE(CONTROL!$C$42, 1.6545, 1.6545)*CHOOSE(CONTROL!$C$42, 31, 31))/1000000</f>
        <v>30.773700000000002</v>
      </c>
      <c r="Z252" s="38"/>
      <c r="AA252" s="10"/>
      <c r="AB252" s="39"/>
      <c r="AC252" s="33">
        <f>(B252*122.58+C252*297.941+D252*89.177+E252*40.302+F252*40+G252*160+H252*0+I252*100+J252*300)/(122.58+297.941+89.177+40.302+0+40+160+100+300)</f>
        <v>8.4578036355652166</v>
      </c>
      <c r="AD252" s="27">
        <f>(M252*'RAP TEMPLATE-GAS AVAILABILITY'!O251+N252*'RAP TEMPLATE-GAS AVAILABILITY'!P251+O252*'RAP TEMPLATE-GAS AVAILABILITY'!Q251+P252*'RAP TEMPLATE-GAS AVAILABILITY'!R251)/('RAP TEMPLATE-GAS AVAILABILITY'!O251+'RAP TEMPLATE-GAS AVAILABILITY'!P251+'RAP TEMPLATE-GAS AVAILABILITY'!Q251+'RAP TEMPLATE-GAS AVAILABILITY'!R251)</f>
        <v>8.389914388489208</v>
      </c>
    </row>
    <row r="253" spans="1:30" ht="15">
      <c r="A253" s="16">
        <v>48945</v>
      </c>
      <c r="B253" s="10">
        <f>CHOOSE(CONTROL!$C$42, 9.0355, 9.0355) * CHOOSE(CONTROL!$C$21, $C$9, 100%, $E$9)</f>
        <v>9.0355000000000008</v>
      </c>
      <c r="C253" s="10">
        <f>CHOOSE(CONTROL!$C$42, 9.0406, 9.0406) * CHOOSE(CONTROL!$C$21, $C$9, 100%, $E$9)</f>
        <v>9.0405999999999995</v>
      </c>
      <c r="D253" s="10">
        <f>CHOOSE(CONTROL!$C$42, 9.073, 9.073) * CHOOSE(CONTROL!$C$21, $C$9, 100%, $E$9)</f>
        <v>9.0730000000000004</v>
      </c>
      <c r="E253" s="10">
        <f>CHOOSE(CONTROL!$C$42, 9.1068, 9.1068) * CHOOSE(CONTROL!$C$21, $C$9, 100%, $E$9)</f>
        <v>9.1067999999999998</v>
      </c>
      <c r="F253" s="10">
        <f>CHOOSE(CONTROL!$C$42, 9.0197, 9.0197)*CHOOSE(CONTROL!$C$21, $C$9, 100%, $E$9)</f>
        <v>9.0197000000000003</v>
      </c>
      <c r="G253" s="10">
        <f>CHOOSE(CONTROL!$C$42, 9.0377, 9.0377)*CHOOSE(CONTROL!$C$21, $C$9, 100%, $E$9)</f>
        <v>9.0376999999999992</v>
      </c>
      <c r="H253" s="10">
        <f>CHOOSE(CONTROL!$C$42, 9.0957, 9.0957) * CHOOSE(CONTROL!$C$21, $C$9, 100%, $E$9)</f>
        <v>9.0957000000000008</v>
      </c>
      <c r="I253" s="10">
        <f>CHOOSE(CONTROL!$C$42, 9.049, 9.049)* CHOOSE(CONTROL!$C$21, $C$9, 100%, $E$9)</f>
        <v>9.0489999999999995</v>
      </c>
      <c r="J253" s="10">
        <f>CHOOSE(CONTROL!$C$42, 9.0123, 9.0123)* CHOOSE(CONTROL!$C$21, $C$9, 100%, $E$9)</f>
        <v>9.0122999999999998</v>
      </c>
      <c r="K253" s="10">
        <f>CHOOSE(CONTROL!$C$42, 8.9471, 8.9471) * CHOOSE(CONTROL!$C$21, $C$9, 100%, $E$9)</f>
        <v>8.9471000000000007</v>
      </c>
      <c r="L253" s="10">
        <f>CHOOSE(CONTROL!$C$42, 9.6827, 9.6827) * CHOOSE(CONTROL!$C$21, $C$9, 100%, $E$9)</f>
        <v>9.6827000000000005</v>
      </c>
      <c r="M253" s="10">
        <f>CHOOSE(CONTROL!$C$42, 8.9196, 8.9196) * CHOOSE(CONTROL!$C$21, $C$9, 100%, $E$9)</f>
        <v>8.9196000000000009</v>
      </c>
      <c r="N253" s="10">
        <f>CHOOSE(CONTROL!$C$42, 8.9374, 8.9374) * CHOOSE(CONTROL!$C$21, $C$9, 100%, $E$9)</f>
        <v>8.9374000000000002</v>
      </c>
      <c r="O253" s="10">
        <f>CHOOSE(CONTROL!$C$42, 9.0019, 9.0019) * CHOOSE(CONTROL!$C$21, $C$9, 100%, $E$9)</f>
        <v>9.0018999999999991</v>
      </c>
      <c r="P253" s="10">
        <f>CHOOSE(CONTROL!$C$42, 8.9558, 8.9558) * CHOOSE(CONTROL!$C$21, $C$9, 100%, $E$9)</f>
        <v>8.9558</v>
      </c>
      <c r="Q253" s="10">
        <f>CHOOSE(CONTROL!$C$42, 9.5972, 9.5972) * CHOOSE(CONTROL!$C$21, $C$9, 100%, $E$9)</f>
        <v>9.5972000000000008</v>
      </c>
      <c r="R253" s="10">
        <f>CHOOSE(CONTROL!$C$42, 10.2082, 10.2082) * CHOOSE(CONTROL!$C$21, $C$9, 100%, $E$9)</f>
        <v>10.2082</v>
      </c>
      <c r="S253" s="10">
        <f>CHOOSE(CONTROL!$C$42, 8.7657, 8.7657) * CHOOSE(CONTROL!$C$21, $C$9, 100%, $E$9)</f>
        <v>8.7657000000000007</v>
      </c>
      <c r="T25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53" s="38">
        <f>(1000*CHOOSE(CONTROL!$C$42, 695, 695)*CHOOSE(CONTROL!$C$42, 0.5599, 0.5599)*CHOOSE(CONTROL!$C$42, 31, 31))/1000000</f>
        <v>12.063045499999998</v>
      </c>
      <c r="V253" s="38">
        <f>(1000*CHOOSE(CONTROL!$C$42, 500, 500)*CHOOSE(CONTROL!$C$42, 0.275, 0.275)*CHOOSE(CONTROL!$C$42, 31, 31))/1000000</f>
        <v>4.2625000000000002</v>
      </c>
      <c r="W253" s="38">
        <f>(1000*CHOOSE(CONTROL!$C$42, 0.1146, 0.1146)*CHOOSE(CONTROL!$C$42, 121.5, 121.5)*CHOOSE(CONTROL!$C$42, 31, 31))/1000000</f>
        <v>0.43164089999999994</v>
      </c>
      <c r="X253" s="38">
        <f>(31*0.1790888*100000/1000000)+(31*0.2374*100000/1000000)</f>
        <v>1.2911152800000001</v>
      </c>
      <c r="Y253" s="38">
        <f>(1000*600*CHOOSE(CONTROL!$C$42, 1.6511, 1.6511)*CHOOSE(CONTROL!$C$42, 31, 31))/1000000</f>
        <v>30.710460000000001</v>
      </c>
      <c r="Z253" s="38"/>
      <c r="AA253" s="10"/>
      <c r="AB253" s="39"/>
      <c r="AC253" s="33">
        <f>(B253*122.58+C253*297.941+D253*89.177+E253*40.302+F253*40+G253*160+H253*0+I253*100+J253*300)/(122.58+297.941+89.177+40.302+0+40+160+100+300)</f>
        <v>9.0371062340869557</v>
      </c>
      <c r="AD253" s="27">
        <f>(M253*'RAP TEMPLATE-GAS AVAILABILITY'!O252+N253*'RAP TEMPLATE-GAS AVAILABILITY'!P252+O253*'RAP TEMPLATE-GAS AVAILABILITY'!Q252+P253*'RAP TEMPLATE-GAS AVAILABILITY'!R252)/('RAP TEMPLATE-GAS AVAILABILITY'!O252+'RAP TEMPLATE-GAS AVAILABILITY'!P252+'RAP TEMPLATE-GAS AVAILABILITY'!Q252+'RAP TEMPLATE-GAS AVAILABILITY'!R252)</f>
        <v>8.9631345323741005</v>
      </c>
    </row>
    <row r="254" spans="1:30" ht="15">
      <c r="A254" s="16">
        <v>48976</v>
      </c>
      <c r="B254" s="10">
        <f>CHOOSE(CONTROL!$C$42, 9.1966, 9.1966) * CHOOSE(CONTROL!$C$21, $C$9, 100%, $E$9)</f>
        <v>9.1966000000000001</v>
      </c>
      <c r="C254" s="10">
        <f>CHOOSE(CONTROL!$C$42, 9.2017, 9.2017) * CHOOSE(CONTROL!$C$21, $C$9, 100%, $E$9)</f>
        <v>9.2017000000000007</v>
      </c>
      <c r="D254" s="10">
        <f>CHOOSE(CONTROL!$C$42, 9.2342, 9.2342) * CHOOSE(CONTROL!$C$21, $C$9, 100%, $E$9)</f>
        <v>9.2341999999999995</v>
      </c>
      <c r="E254" s="10">
        <f>CHOOSE(CONTROL!$C$42, 9.268, 9.268) * CHOOSE(CONTROL!$C$21, $C$9, 100%, $E$9)</f>
        <v>9.2680000000000007</v>
      </c>
      <c r="F254" s="10">
        <f>CHOOSE(CONTROL!$C$42, 9.1804, 9.1804)*CHOOSE(CONTROL!$C$21, $C$9, 100%, $E$9)</f>
        <v>9.1804000000000006</v>
      </c>
      <c r="G254" s="10">
        <f>CHOOSE(CONTROL!$C$42, 9.1983, 9.1983)*CHOOSE(CONTROL!$C$21, $C$9, 100%, $E$9)</f>
        <v>9.1982999999999997</v>
      </c>
      <c r="H254" s="10">
        <f>CHOOSE(CONTROL!$C$42, 9.2569, 9.2569) * CHOOSE(CONTROL!$C$21, $C$9, 100%, $E$9)</f>
        <v>9.2568999999999999</v>
      </c>
      <c r="I254" s="10">
        <f>CHOOSE(CONTROL!$C$42, 9.2101, 9.2101)* CHOOSE(CONTROL!$C$21, $C$9, 100%, $E$9)</f>
        <v>9.2101000000000006</v>
      </c>
      <c r="J254" s="10">
        <f>CHOOSE(CONTROL!$C$42, 9.173, 9.173)* CHOOSE(CONTROL!$C$21, $C$9, 100%, $E$9)</f>
        <v>9.173</v>
      </c>
      <c r="K254" s="10">
        <f>CHOOSE(CONTROL!$C$42, 9.1022, 9.1022) * CHOOSE(CONTROL!$C$21, $C$9, 100%, $E$9)</f>
        <v>9.1021999999999998</v>
      </c>
      <c r="L254" s="10">
        <f>CHOOSE(CONTROL!$C$42, 9.8439, 9.8439) * CHOOSE(CONTROL!$C$21, $C$9, 100%, $E$9)</f>
        <v>9.8438999999999997</v>
      </c>
      <c r="M254" s="10">
        <f>CHOOSE(CONTROL!$C$42, 9.078, 9.078) * CHOOSE(CONTROL!$C$21, $C$9, 100%, $E$9)</f>
        <v>9.0779999999999994</v>
      </c>
      <c r="N254" s="10">
        <f>CHOOSE(CONTROL!$C$42, 9.0957, 9.0957) * CHOOSE(CONTROL!$C$21, $C$9, 100%, $E$9)</f>
        <v>9.0957000000000008</v>
      </c>
      <c r="O254" s="10">
        <f>CHOOSE(CONTROL!$C$42, 9.1607, 9.1607) * CHOOSE(CONTROL!$C$21, $C$9, 100%, $E$9)</f>
        <v>9.1607000000000003</v>
      </c>
      <c r="P254" s="10">
        <f>CHOOSE(CONTROL!$C$42, 9.1147, 9.1147) * CHOOSE(CONTROL!$C$21, $C$9, 100%, $E$9)</f>
        <v>9.1146999999999991</v>
      </c>
      <c r="Q254" s="10">
        <f>CHOOSE(CONTROL!$C$42, 9.756, 9.756) * CHOOSE(CONTROL!$C$21, $C$9, 100%, $E$9)</f>
        <v>9.7560000000000002</v>
      </c>
      <c r="R254" s="10">
        <f>CHOOSE(CONTROL!$C$42, 10.3674, 10.3674) * CHOOSE(CONTROL!$C$21, $C$9, 100%, $E$9)</f>
        <v>10.3674</v>
      </c>
      <c r="S254" s="10">
        <f>CHOOSE(CONTROL!$C$42, 8.9218, 8.9218) * CHOOSE(CONTROL!$C$21, $C$9, 100%, $E$9)</f>
        <v>8.9217999999999993</v>
      </c>
      <c r="T25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54" s="38">
        <f>(1000*CHOOSE(CONTROL!$C$42, 695, 695)*CHOOSE(CONTROL!$C$42, 0.5599, 0.5599)*CHOOSE(CONTROL!$C$42, 28, 28))/1000000</f>
        <v>10.895653999999999</v>
      </c>
      <c r="V254" s="38">
        <f>(1000*CHOOSE(CONTROL!$C$42, 500, 500)*CHOOSE(CONTROL!$C$42, 0.275, 0.275)*CHOOSE(CONTROL!$C$42, 28, 28))/1000000</f>
        <v>3.85</v>
      </c>
      <c r="W254" s="38">
        <f>(1000*CHOOSE(CONTROL!$C$42, 0.1146, 0.1146)*CHOOSE(CONTROL!$C$42, 121.5, 121.5)*CHOOSE(CONTROL!$C$42, 28, 28))/1000000</f>
        <v>0.38986920000000003</v>
      </c>
      <c r="X254" s="38">
        <f>(28*0.1790888*100000/1000000)+(28*0.2374*100000/1000000)</f>
        <v>1.16616864</v>
      </c>
      <c r="Y254" s="38">
        <f>(1000*600*CHOOSE(CONTROL!$C$42, 1.6511, 1.6511)*CHOOSE(CONTROL!$C$42, 28, 28))/1000000</f>
        <v>27.738479999999999</v>
      </c>
      <c r="Z254" s="38"/>
      <c r="AA254" s="10"/>
      <c r="AB254" s="39"/>
      <c r="AC254" s="33">
        <f>(B254*122.58+C254*297.941+D254*89.177+E254*40.302+F254*40+G254*160+H254*0+I254*100+J254*300)/(122.58+297.941+89.177+40.302+0+40+160+100+300)</f>
        <v>9.1980296670434782</v>
      </c>
      <c r="AD254" s="27">
        <f>(M254*'RAP TEMPLATE-GAS AVAILABILITY'!O253+N254*'RAP TEMPLATE-GAS AVAILABILITY'!P253+O254*'RAP TEMPLATE-GAS AVAILABILITY'!Q253+P254*'RAP TEMPLATE-GAS AVAILABILITY'!R253)/('RAP TEMPLATE-GAS AVAILABILITY'!O253+'RAP TEMPLATE-GAS AVAILABILITY'!P253+'RAP TEMPLATE-GAS AVAILABILITY'!Q253+'RAP TEMPLATE-GAS AVAILABILITY'!R253)</f>
        <v>9.12178201438849</v>
      </c>
    </row>
    <row r="255" spans="1:30" ht="15">
      <c r="A255" s="16">
        <v>49004</v>
      </c>
      <c r="B255" s="10">
        <f>CHOOSE(CONTROL!$C$42, 8.9351, 8.9351) * CHOOSE(CONTROL!$C$21, $C$9, 100%, $E$9)</f>
        <v>8.9351000000000003</v>
      </c>
      <c r="C255" s="10">
        <f>CHOOSE(CONTROL!$C$42, 8.9402, 8.9402) * CHOOSE(CONTROL!$C$21, $C$9, 100%, $E$9)</f>
        <v>8.9402000000000008</v>
      </c>
      <c r="D255" s="10">
        <f>CHOOSE(CONTROL!$C$42, 8.9726, 8.9726) * CHOOSE(CONTROL!$C$21, $C$9, 100%, $E$9)</f>
        <v>8.9725999999999999</v>
      </c>
      <c r="E255" s="10">
        <f>CHOOSE(CONTROL!$C$42, 9.0064, 9.0064) * CHOOSE(CONTROL!$C$21, $C$9, 100%, $E$9)</f>
        <v>9.0063999999999993</v>
      </c>
      <c r="F255" s="10">
        <f>CHOOSE(CONTROL!$C$42, 8.9173, 8.9173)*CHOOSE(CONTROL!$C$21, $C$9, 100%, $E$9)</f>
        <v>8.9172999999999991</v>
      </c>
      <c r="G255" s="10">
        <f>CHOOSE(CONTROL!$C$42, 8.9349, 8.9349)*CHOOSE(CONTROL!$C$21, $C$9, 100%, $E$9)</f>
        <v>8.9349000000000007</v>
      </c>
      <c r="H255" s="10">
        <f>CHOOSE(CONTROL!$C$42, 8.9953, 8.9953) * CHOOSE(CONTROL!$C$21, $C$9, 100%, $E$9)</f>
        <v>8.9953000000000003</v>
      </c>
      <c r="I255" s="10">
        <f>CHOOSE(CONTROL!$C$42, 8.9485, 8.9485)* CHOOSE(CONTROL!$C$21, $C$9, 100%, $E$9)</f>
        <v>8.9484999999999992</v>
      </c>
      <c r="J255" s="10">
        <f>CHOOSE(CONTROL!$C$42, 8.9099, 8.9099)* CHOOSE(CONTROL!$C$21, $C$9, 100%, $E$9)</f>
        <v>8.9099000000000004</v>
      </c>
      <c r="K255" s="10">
        <f>CHOOSE(CONTROL!$C$42, 8.8457, 8.8457) * CHOOSE(CONTROL!$C$21, $C$9, 100%, $E$9)</f>
        <v>8.8457000000000008</v>
      </c>
      <c r="L255" s="10">
        <f>CHOOSE(CONTROL!$C$42, 9.5823, 9.5823) * CHOOSE(CONTROL!$C$21, $C$9, 100%, $E$9)</f>
        <v>9.5823</v>
      </c>
      <c r="M255" s="10">
        <f>CHOOSE(CONTROL!$C$42, 8.8187, 8.8187) * CHOOSE(CONTROL!$C$21, $C$9, 100%, $E$9)</f>
        <v>8.8186999999999998</v>
      </c>
      <c r="N255" s="10">
        <f>CHOOSE(CONTROL!$C$42, 8.836, 8.836) * CHOOSE(CONTROL!$C$21, $C$9, 100%, $E$9)</f>
        <v>8.8360000000000003</v>
      </c>
      <c r="O255" s="10">
        <f>CHOOSE(CONTROL!$C$42, 8.9028, 8.9028) * CHOOSE(CONTROL!$C$21, $C$9, 100%, $E$9)</f>
        <v>8.9027999999999992</v>
      </c>
      <c r="P255" s="10">
        <f>CHOOSE(CONTROL!$C$42, 8.8568, 8.8568) * CHOOSE(CONTROL!$C$21, $C$9, 100%, $E$9)</f>
        <v>8.8567999999999998</v>
      </c>
      <c r="Q255" s="10">
        <f>CHOOSE(CONTROL!$C$42, 9.4981, 9.4981) * CHOOSE(CONTROL!$C$21, $C$9, 100%, $E$9)</f>
        <v>9.4981000000000009</v>
      </c>
      <c r="R255" s="10">
        <f>CHOOSE(CONTROL!$C$42, 10.1089, 10.1089) * CHOOSE(CONTROL!$C$21, $C$9, 100%, $E$9)</f>
        <v>10.1089</v>
      </c>
      <c r="S255" s="10">
        <f>CHOOSE(CONTROL!$C$42, 8.6685, 8.6685) * CHOOSE(CONTROL!$C$21, $C$9, 100%, $E$9)</f>
        <v>8.6684999999999999</v>
      </c>
      <c r="T25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55" s="38">
        <f>(1000*CHOOSE(CONTROL!$C$42, 695, 695)*CHOOSE(CONTROL!$C$42, 0.5599, 0.5599)*CHOOSE(CONTROL!$C$42, 31, 31))/1000000</f>
        <v>12.063045499999998</v>
      </c>
      <c r="V255" s="38">
        <f>(1000*CHOOSE(CONTROL!$C$42, 500, 500)*CHOOSE(CONTROL!$C$42, 0.275, 0.275)*CHOOSE(CONTROL!$C$42, 31, 31))/1000000</f>
        <v>4.2625000000000002</v>
      </c>
      <c r="W255" s="38">
        <f>(1000*CHOOSE(CONTROL!$C$42, 0.1146, 0.1146)*CHOOSE(CONTROL!$C$42, 121.5, 121.5)*CHOOSE(CONTROL!$C$42, 31, 31))/1000000</f>
        <v>0.43164089999999994</v>
      </c>
      <c r="X255" s="38">
        <f>(31*0.1790888*100000/1000000)+(31*0.2374*100000/1000000)</f>
        <v>1.2911152800000001</v>
      </c>
      <c r="Y255" s="38">
        <f>(1000*600*CHOOSE(CONTROL!$C$42, 1.6511, 1.6511)*CHOOSE(CONTROL!$C$42, 31, 31))/1000000</f>
        <v>30.710460000000001</v>
      </c>
      <c r="Z255" s="38"/>
      <c r="AA255" s="10"/>
      <c r="AB255" s="39"/>
      <c r="AC255" s="33">
        <f>(B255*122.58+C255*297.941+D255*89.177+E255*40.302+F255*40+G255*160+H255*0+I255*100+J255*300)/(122.58+297.941+89.177+40.302+0+40+160+100+300)</f>
        <v>8.9357723210434781</v>
      </c>
      <c r="AD255" s="27">
        <f>(M255*'RAP TEMPLATE-GAS AVAILABILITY'!O254+N255*'RAP TEMPLATE-GAS AVAILABILITY'!P254+O255*'RAP TEMPLATE-GAS AVAILABILITY'!Q254+P255*'RAP TEMPLATE-GAS AVAILABILITY'!R254)/('RAP TEMPLATE-GAS AVAILABILITY'!O254+'RAP TEMPLATE-GAS AVAILABILITY'!P254+'RAP TEMPLATE-GAS AVAILABILITY'!Q254+'RAP TEMPLATE-GAS AVAILABILITY'!R254)</f>
        <v>8.8632949640287766</v>
      </c>
    </row>
    <row r="256" spans="1:30" ht="15">
      <c r="A256" s="16">
        <v>49035</v>
      </c>
      <c r="B256" s="10">
        <f>CHOOSE(CONTROL!$C$42, 8.909, 8.909) * CHOOSE(CONTROL!$C$21, $C$9, 100%, $E$9)</f>
        <v>8.9090000000000007</v>
      </c>
      <c r="C256" s="10">
        <f>CHOOSE(CONTROL!$C$42, 8.9136, 8.9136) * CHOOSE(CONTROL!$C$21, $C$9, 100%, $E$9)</f>
        <v>8.9136000000000006</v>
      </c>
      <c r="D256" s="10">
        <f>CHOOSE(CONTROL!$C$42, 9.0737, 9.0737) * CHOOSE(CONTROL!$C$21, $C$9, 100%, $E$9)</f>
        <v>9.0737000000000005</v>
      </c>
      <c r="E256" s="10">
        <f>CHOOSE(CONTROL!$C$42, 9.1056, 9.1056) * CHOOSE(CONTROL!$C$21, $C$9, 100%, $E$9)</f>
        <v>9.1056000000000008</v>
      </c>
      <c r="F256" s="10">
        <f>CHOOSE(CONTROL!$C$42, 8.8552, 8.8552)*CHOOSE(CONTROL!$C$21, $C$9, 100%, $E$9)</f>
        <v>8.8552</v>
      </c>
      <c r="G256" s="10">
        <f>CHOOSE(CONTROL!$C$42, 8.871, 8.871)*CHOOSE(CONTROL!$C$21, $C$9, 100%, $E$9)</f>
        <v>8.8710000000000004</v>
      </c>
      <c r="H256" s="10">
        <f>CHOOSE(CONTROL!$C$42, 9.095, 9.095) * CHOOSE(CONTROL!$C$21, $C$9, 100%, $E$9)</f>
        <v>9.0950000000000006</v>
      </c>
      <c r="I256" s="10">
        <f>CHOOSE(CONTROL!$C$42, 8.8892, 8.8892)* CHOOSE(CONTROL!$C$21, $C$9, 100%, $E$9)</f>
        <v>8.8892000000000007</v>
      </c>
      <c r="J256" s="10">
        <f>CHOOSE(CONTROL!$C$42, 8.8478, 8.8478)* CHOOSE(CONTROL!$C$21, $C$9, 100%, $E$9)</f>
        <v>8.8477999999999994</v>
      </c>
      <c r="K256" s="10">
        <f>CHOOSE(CONTROL!$C$42, 8.7722, 8.7722) * CHOOSE(CONTROL!$C$21, $C$9, 100%, $E$9)</f>
        <v>8.7721999999999998</v>
      </c>
      <c r="L256" s="10">
        <f>CHOOSE(CONTROL!$C$42, 9.682, 9.682) * CHOOSE(CONTROL!$C$21, $C$9, 100%, $E$9)</f>
        <v>9.6820000000000004</v>
      </c>
      <c r="M256" s="10">
        <f>CHOOSE(CONTROL!$C$42, 8.7573, 8.7573) * CHOOSE(CONTROL!$C$21, $C$9, 100%, $E$9)</f>
        <v>8.7573000000000008</v>
      </c>
      <c r="N256" s="10">
        <f>CHOOSE(CONTROL!$C$42, 8.7729, 8.7729) * CHOOSE(CONTROL!$C$21, $C$9, 100%, $E$9)</f>
        <v>8.7728999999999999</v>
      </c>
      <c r="O256" s="10">
        <f>CHOOSE(CONTROL!$C$42, 9.0012, 9.0012) * CHOOSE(CONTROL!$C$21, $C$9, 100%, $E$9)</f>
        <v>9.0012000000000008</v>
      </c>
      <c r="P256" s="10">
        <f>CHOOSE(CONTROL!$C$42, 8.7983, 8.7983) * CHOOSE(CONTROL!$C$21, $C$9, 100%, $E$9)</f>
        <v>8.7982999999999993</v>
      </c>
      <c r="Q256" s="10">
        <f>CHOOSE(CONTROL!$C$42, 9.5965, 9.5965) * CHOOSE(CONTROL!$C$21, $C$9, 100%, $E$9)</f>
        <v>9.5965000000000007</v>
      </c>
      <c r="R256" s="10">
        <f>CHOOSE(CONTROL!$C$42, 10.2074, 10.2074) * CHOOSE(CONTROL!$C$21, $C$9, 100%, $E$9)</f>
        <v>10.2074</v>
      </c>
      <c r="S256" s="10">
        <f>CHOOSE(CONTROL!$C$42, 8.6426, 8.6426) * CHOOSE(CONTROL!$C$21, $C$9, 100%, $E$9)</f>
        <v>8.6425999999999998</v>
      </c>
      <c r="T25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56" s="38">
        <f>(1000*CHOOSE(CONTROL!$C$42, 695, 695)*CHOOSE(CONTROL!$C$42, 0.5599, 0.5599)*CHOOSE(CONTROL!$C$42, 30, 30))/1000000</f>
        <v>11.673914999999997</v>
      </c>
      <c r="V256" s="38">
        <f>(1000*CHOOSE(CONTROL!$C$42, 500, 500)*CHOOSE(CONTROL!$C$42, 0.275, 0.275)*CHOOSE(CONTROL!$C$42, 30, 30))/1000000</f>
        <v>4.125</v>
      </c>
      <c r="W256" s="38">
        <f>(1000*CHOOSE(CONTROL!$C$42, 0.1146, 0.1146)*CHOOSE(CONTROL!$C$42, 121.5, 121.5)*CHOOSE(CONTROL!$C$42, 30, 30))/1000000</f>
        <v>0.417717</v>
      </c>
      <c r="X256" s="38">
        <f>(30*0.1790888*245000/1000000)+(30*0.2374*100000/1000000)</f>
        <v>2.0285026799999999</v>
      </c>
      <c r="Y256" s="38">
        <f>(1000*600*CHOOSE(CONTROL!$C$42, 1.6511, 1.6511)*CHOOSE(CONTROL!$C$42, 30, 30))/1000000</f>
        <v>29.719799999999999</v>
      </c>
      <c r="Z256" s="38"/>
      <c r="AA256" s="10"/>
      <c r="AB256" s="39"/>
      <c r="AC256" s="33">
        <f>(B256*141.293+C256*267.993+D256*115.016+E256*89.698+F256*40+G256*185+H256*0+I256*100+J256*300)/(141.293+267.993+115.016+89.698+0+40+185+100+300)</f>
        <v>8.9156896931396297</v>
      </c>
      <c r="AD256" s="27">
        <f>(M256*'RAP TEMPLATE-GAS AVAILABILITY'!O255+N256*'RAP TEMPLATE-GAS AVAILABILITY'!P255+O256*'RAP TEMPLATE-GAS AVAILABILITY'!Q255+P256*'RAP TEMPLATE-GAS AVAILABILITY'!R255)/('RAP TEMPLATE-GAS AVAILABILITY'!O255+'RAP TEMPLATE-GAS AVAILABILITY'!P255+'RAP TEMPLATE-GAS AVAILABILITY'!Q255+'RAP TEMPLATE-GAS AVAILABILITY'!R255)</f>
        <v>8.8352230215827348</v>
      </c>
    </row>
    <row r="257" spans="1:30" ht="15">
      <c r="A257" s="16">
        <v>49065</v>
      </c>
      <c r="B257" s="10">
        <f>CHOOSE(CONTROL!$C$42, 8.9896, 8.9896) * CHOOSE(CONTROL!$C$21, $C$9, 100%, $E$9)</f>
        <v>8.9895999999999994</v>
      </c>
      <c r="C257" s="10">
        <f>CHOOSE(CONTROL!$C$42, 8.9976, 8.9976) * CHOOSE(CONTROL!$C$21, $C$9, 100%, $E$9)</f>
        <v>8.9976000000000003</v>
      </c>
      <c r="D257" s="10">
        <f>CHOOSE(CONTROL!$C$42, 9.1547, 9.1547) * CHOOSE(CONTROL!$C$21, $C$9, 100%, $E$9)</f>
        <v>9.1547000000000001</v>
      </c>
      <c r="E257" s="10">
        <f>CHOOSE(CONTROL!$C$42, 9.1859, 9.1859) * CHOOSE(CONTROL!$C$21, $C$9, 100%, $E$9)</f>
        <v>9.1859000000000002</v>
      </c>
      <c r="F257" s="10">
        <f>CHOOSE(CONTROL!$C$42, 8.9338, 8.9338)*CHOOSE(CONTROL!$C$21, $C$9, 100%, $E$9)</f>
        <v>8.9337999999999997</v>
      </c>
      <c r="G257" s="10">
        <f>CHOOSE(CONTROL!$C$42, 8.9499, 8.9499)*CHOOSE(CONTROL!$C$21, $C$9, 100%, $E$9)</f>
        <v>8.9498999999999995</v>
      </c>
      <c r="H257" s="10">
        <f>CHOOSE(CONTROL!$C$42, 9.1742, 9.1742) * CHOOSE(CONTROL!$C$21, $C$9, 100%, $E$9)</f>
        <v>9.1742000000000008</v>
      </c>
      <c r="I257" s="10">
        <f>CHOOSE(CONTROL!$C$42, 8.9684, 8.9684)* CHOOSE(CONTROL!$C$21, $C$9, 100%, $E$9)</f>
        <v>8.9684000000000008</v>
      </c>
      <c r="J257" s="10">
        <f>CHOOSE(CONTROL!$C$42, 8.9264, 8.9264)* CHOOSE(CONTROL!$C$21, $C$9, 100%, $E$9)</f>
        <v>8.9263999999999992</v>
      </c>
      <c r="K257" s="10">
        <f>CHOOSE(CONTROL!$C$42, 8.8477, 8.8477) * CHOOSE(CONTROL!$C$21, $C$9, 100%, $E$9)</f>
        <v>8.8476999999999997</v>
      </c>
      <c r="L257" s="10">
        <f>CHOOSE(CONTROL!$C$42, 9.7612, 9.7612) * CHOOSE(CONTROL!$C$21, $C$9, 100%, $E$9)</f>
        <v>9.7612000000000005</v>
      </c>
      <c r="M257" s="10">
        <f>CHOOSE(CONTROL!$C$42, 8.8349, 8.8349) * CHOOSE(CONTROL!$C$21, $C$9, 100%, $E$9)</f>
        <v>8.8348999999999993</v>
      </c>
      <c r="N257" s="10">
        <f>CHOOSE(CONTROL!$C$42, 8.8508, 8.8508) * CHOOSE(CONTROL!$C$21, $C$9, 100%, $E$9)</f>
        <v>8.8507999999999996</v>
      </c>
      <c r="O257" s="10">
        <f>CHOOSE(CONTROL!$C$42, 9.0793, 9.0793) * CHOOSE(CONTROL!$C$21, $C$9, 100%, $E$9)</f>
        <v>9.0792999999999999</v>
      </c>
      <c r="P257" s="10">
        <f>CHOOSE(CONTROL!$C$42, 8.8764, 8.8764) * CHOOSE(CONTROL!$C$21, $C$9, 100%, $E$9)</f>
        <v>8.8764000000000003</v>
      </c>
      <c r="Q257" s="10">
        <f>CHOOSE(CONTROL!$C$42, 9.6746, 9.6746) * CHOOSE(CONTROL!$C$21, $C$9, 100%, $E$9)</f>
        <v>9.6745999999999999</v>
      </c>
      <c r="R257" s="10">
        <f>CHOOSE(CONTROL!$C$42, 10.2858, 10.2858) * CHOOSE(CONTROL!$C$21, $C$9, 100%, $E$9)</f>
        <v>10.2858</v>
      </c>
      <c r="S257" s="10">
        <f>CHOOSE(CONTROL!$C$42, 8.7193, 8.7193) * CHOOSE(CONTROL!$C$21, $C$9, 100%, $E$9)</f>
        <v>8.7193000000000005</v>
      </c>
      <c r="T25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57" s="38">
        <f>(1000*CHOOSE(CONTROL!$C$42, 695, 695)*CHOOSE(CONTROL!$C$42, 0.5599, 0.5599)*CHOOSE(CONTROL!$C$42, 31, 31))/1000000</f>
        <v>12.063045499999998</v>
      </c>
      <c r="V257" s="38">
        <f>(1000*CHOOSE(CONTROL!$C$42, 500, 500)*CHOOSE(CONTROL!$C$42, 0.275, 0.275)*CHOOSE(CONTROL!$C$42, 31, 31))/1000000</f>
        <v>4.2625000000000002</v>
      </c>
      <c r="W257" s="38">
        <f>(1000*CHOOSE(CONTROL!$C$42, 0.1146, 0.1146)*CHOOSE(CONTROL!$C$42, 121.5, 121.5)*CHOOSE(CONTROL!$C$42, 31, 31))/1000000</f>
        <v>0.43164089999999994</v>
      </c>
      <c r="X257" s="38">
        <f>(31*0.1790888*245000/1000000)+(31*0.2374*100000/1000000)</f>
        <v>2.0961194359999999</v>
      </c>
      <c r="Y257" s="38">
        <f>(1000*600*CHOOSE(CONTROL!$C$42, 1.6511, 1.6511)*CHOOSE(CONTROL!$C$42, 31, 31))/1000000</f>
        <v>30.710460000000001</v>
      </c>
      <c r="Z257" s="38"/>
      <c r="AA257" s="10"/>
      <c r="AB257" s="39"/>
      <c r="AC257" s="33">
        <f>(B257*194.205+C257*267.466+D257*133.845+E257*53.484+F257*40+G257*185+H257*0+I257*100+J257*300)/(194.205+267.466+133.845+53.484+0+40+185+100+300)</f>
        <v>8.9928024699372067</v>
      </c>
      <c r="AD257" s="27">
        <f>(M257*'RAP TEMPLATE-GAS AVAILABILITY'!O256+N257*'RAP TEMPLATE-GAS AVAILABILITY'!P256+O257*'RAP TEMPLATE-GAS AVAILABILITY'!Q256+P257*'RAP TEMPLATE-GAS AVAILABILITY'!R256)/('RAP TEMPLATE-GAS AVAILABILITY'!O256+'RAP TEMPLATE-GAS AVAILABILITY'!P256+'RAP TEMPLATE-GAS AVAILABILITY'!Q256+'RAP TEMPLATE-GAS AVAILABILITY'!R256)</f>
        <v>8.9131043165467627</v>
      </c>
    </row>
    <row r="258" spans="1:30" ht="15">
      <c r="A258" s="16">
        <v>49096</v>
      </c>
      <c r="B258" s="10">
        <f>CHOOSE(CONTROL!$C$42, 9.245, 9.245) * CHOOSE(CONTROL!$C$21, $C$9, 100%, $E$9)</f>
        <v>9.2449999999999992</v>
      </c>
      <c r="C258" s="10">
        <f>CHOOSE(CONTROL!$C$42, 9.253, 9.253) * CHOOSE(CONTROL!$C$21, $C$9, 100%, $E$9)</f>
        <v>9.2530000000000001</v>
      </c>
      <c r="D258" s="10">
        <f>CHOOSE(CONTROL!$C$42, 9.4101, 9.4101) * CHOOSE(CONTROL!$C$21, $C$9, 100%, $E$9)</f>
        <v>9.4100999999999999</v>
      </c>
      <c r="E258" s="10">
        <f>CHOOSE(CONTROL!$C$42, 9.4413, 9.4413) * CHOOSE(CONTROL!$C$21, $C$9, 100%, $E$9)</f>
        <v>9.4413</v>
      </c>
      <c r="F258" s="10">
        <f>CHOOSE(CONTROL!$C$42, 9.1893, 9.1893)*CHOOSE(CONTROL!$C$21, $C$9, 100%, $E$9)</f>
        <v>9.1892999999999994</v>
      </c>
      <c r="G258" s="10">
        <f>CHOOSE(CONTROL!$C$42, 9.2055, 9.2055)*CHOOSE(CONTROL!$C$21, $C$9, 100%, $E$9)</f>
        <v>9.2055000000000007</v>
      </c>
      <c r="H258" s="10">
        <f>CHOOSE(CONTROL!$C$42, 9.4296, 9.4296) * CHOOSE(CONTROL!$C$21, $C$9, 100%, $E$9)</f>
        <v>9.4296000000000006</v>
      </c>
      <c r="I258" s="10">
        <f>CHOOSE(CONTROL!$C$42, 9.2238, 9.2238)* CHOOSE(CONTROL!$C$21, $C$9, 100%, $E$9)</f>
        <v>9.2238000000000007</v>
      </c>
      <c r="J258" s="10">
        <f>CHOOSE(CONTROL!$C$42, 9.1819, 9.1819)* CHOOSE(CONTROL!$C$21, $C$9, 100%, $E$9)</f>
        <v>9.1819000000000006</v>
      </c>
      <c r="K258" s="10">
        <f>CHOOSE(CONTROL!$C$42, 9.0955, 9.0955) * CHOOSE(CONTROL!$C$21, $C$9, 100%, $E$9)</f>
        <v>9.0954999999999995</v>
      </c>
      <c r="L258" s="10">
        <f>CHOOSE(CONTROL!$C$42, 10.0166, 10.0166) * CHOOSE(CONTROL!$C$21, $C$9, 100%, $E$9)</f>
        <v>10.0166</v>
      </c>
      <c r="M258" s="10">
        <f>CHOOSE(CONTROL!$C$42, 9.0869, 9.0869) * CHOOSE(CONTROL!$C$21, $C$9, 100%, $E$9)</f>
        <v>9.0869</v>
      </c>
      <c r="N258" s="10">
        <f>CHOOSE(CONTROL!$C$42, 9.1028, 9.1028) * CHOOSE(CONTROL!$C$21, $C$9, 100%, $E$9)</f>
        <v>9.1028000000000002</v>
      </c>
      <c r="O258" s="10">
        <f>CHOOSE(CONTROL!$C$42, 9.3311, 9.3311) * CHOOSE(CONTROL!$C$21, $C$9, 100%, $E$9)</f>
        <v>9.3310999999999993</v>
      </c>
      <c r="P258" s="10">
        <f>CHOOSE(CONTROL!$C$42, 9.1282, 9.1282) * CHOOSE(CONTROL!$C$21, $C$9, 100%, $E$9)</f>
        <v>9.1281999999999996</v>
      </c>
      <c r="Q258" s="10">
        <f>CHOOSE(CONTROL!$C$42, 9.9264, 9.9264) * CHOOSE(CONTROL!$C$21, $C$9, 100%, $E$9)</f>
        <v>9.9263999999999992</v>
      </c>
      <c r="R258" s="10">
        <f>CHOOSE(CONTROL!$C$42, 10.5382, 10.5382) * CHOOSE(CONTROL!$C$21, $C$9, 100%, $E$9)</f>
        <v>10.5382</v>
      </c>
      <c r="S258" s="10">
        <f>CHOOSE(CONTROL!$C$42, 8.9666, 8.9666) * CHOOSE(CONTROL!$C$21, $C$9, 100%, $E$9)</f>
        <v>8.9665999999999997</v>
      </c>
      <c r="T25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58" s="38">
        <f>(1000*CHOOSE(CONTROL!$C$42, 695, 695)*CHOOSE(CONTROL!$C$42, 0.5599, 0.5599)*CHOOSE(CONTROL!$C$42, 30, 30))/1000000</f>
        <v>11.673914999999997</v>
      </c>
      <c r="V258" s="38">
        <f>(1000*CHOOSE(CONTROL!$C$42, 500, 500)*CHOOSE(CONTROL!$C$42, 0.275, 0.275)*CHOOSE(CONTROL!$C$42, 30, 30))/1000000</f>
        <v>4.125</v>
      </c>
      <c r="W258" s="38">
        <f>(1000*CHOOSE(CONTROL!$C$42, 0.1146, 0.1146)*CHOOSE(CONTROL!$C$42, 121.5, 121.5)*CHOOSE(CONTROL!$C$42, 30, 30))/1000000</f>
        <v>0.417717</v>
      </c>
      <c r="X258" s="38">
        <f>(30*0.1790888*245000/1000000)+(30*0.2374*100000/1000000)</f>
        <v>2.0285026799999999</v>
      </c>
      <c r="Y258" s="38">
        <f>(1000*600*CHOOSE(CONTROL!$C$42, 1.6511, 1.6511)*CHOOSE(CONTROL!$C$42, 30, 30))/1000000</f>
        <v>29.719799999999999</v>
      </c>
      <c r="Z258" s="38"/>
      <c r="AA258" s="10"/>
      <c r="AB258" s="39"/>
      <c r="AC258" s="33">
        <f>(B258*194.205+C258*267.466+D258*133.845+E258*53.484+F258*40+G258*185+H258*0+I258*100+J258*300)/(194.205+267.466+133.845+53.484+0+40+185+100+300)</f>
        <v>9.2482581999215068</v>
      </c>
      <c r="AD258" s="27">
        <f>(M258*'RAP TEMPLATE-GAS AVAILABILITY'!O257+N258*'RAP TEMPLATE-GAS AVAILABILITY'!P257+O258*'RAP TEMPLATE-GAS AVAILABILITY'!Q257+P258*'RAP TEMPLATE-GAS AVAILABILITY'!R257)/('RAP TEMPLATE-GAS AVAILABILITY'!O257+'RAP TEMPLATE-GAS AVAILABILITY'!P257+'RAP TEMPLATE-GAS AVAILABILITY'!Q257+'RAP TEMPLATE-GAS AVAILABILITY'!R257)</f>
        <v>9.1650194244604322</v>
      </c>
    </row>
    <row r="259" spans="1:30" ht="15">
      <c r="A259" s="16">
        <v>49126</v>
      </c>
      <c r="B259" s="10">
        <f>CHOOSE(CONTROL!$C$42, 9.0674, 9.0674) * CHOOSE(CONTROL!$C$21, $C$9, 100%, $E$9)</f>
        <v>9.0673999999999992</v>
      </c>
      <c r="C259" s="10">
        <f>CHOOSE(CONTROL!$C$42, 9.0754, 9.0754) * CHOOSE(CONTROL!$C$21, $C$9, 100%, $E$9)</f>
        <v>9.0754000000000001</v>
      </c>
      <c r="D259" s="10">
        <f>CHOOSE(CONTROL!$C$42, 9.2325, 9.2325) * CHOOSE(CONTROL!$C$21, $C$9, 100%, $E$9)</f>
        <v>9.2324999999999999</v>
      </c>
      <c r="E259" s="10">
        <f>CHOOSE(CONTROL!$C$42, 9.2637, 9.2637) * CHOOSE(CONTROL!$C$21, $C$9, 100%, $E$9)</f>
        <v>9.2637</v>
      </c>
      <c r="F259" s="10">
        <f>CHOOSE(CONTROL!$C$42, 9.012, 9.012)*CHOOSE(CONTROL!$C$21, $C$9, 100%, $E$9)</f>
        <v>9.0120000000000005</v>
      </c>
      <c r="G259" s="10">
        <f>CHOOSE(CONTROL!$C$42, 9.0283, 9.0283)*CHOOSE(CONTROL!$C$21, $C$9, 100%, $E$9)</f>
        <v>9.0282999999999998</v>
      </c>
      <c r="H259" s="10">
        <f>CHOOSE(CONTROL!$C$42, 9.252, 9.252) * CHOOSE(CONTROL!$C$21, $C$9, 100%, $E$9)</f>
        <v>9.2520000000000007</v>
      </c>
      <c r="I259" s="10">
        <f>CHOOSE(CONTROL!$C$42, 9.0462, 9.0462)* CHOOSE(CONTROL!$C$21, $C$9, 100%, $E$9)</f>
        <v>9.0462000000000007</v>
      </c>
      <c r="J259" s="10">
        <f>CHOOSE(CONTROL!$C$42, 9.0046, 9.0046)* CHOOSE(CONTROL!$C$21, $C$9, 100%, $E$9)</f>
        <v>9.0045999999999999</v>
      </c>
      <c r="K259" s="10">
        <f>CHOOSE(CONTROL!$C$42, 8.9241, 8.9241) * CHOOSE(CONTROL!$C$21, $C$9, 100%, $E$9)</f>
        <v>8.9240999999999993</v>
      </c>
      <c r="L259" s="10">
        <f>CHOOSE(CONTROL!$C$42, 9.839, 9.839) * CHOOSE(CONTROL!$C$21, $C$9, 100%, $E$9)</f>
        <v>9.8390000000000004</v>
      </c>
      <c r="M259" s="10">
        <f>CHOOSE(CONTROL!$C$42, 8.9121, 8.9121) * CHOOSE(CONTROL!$C$21, $C$9, 100%, $E$9)</f>
        <v>8.9121000000000006</v>
      </c>
      <c r="N259" s="10">
        <f>CHOOSE(CONTROL!$C$42, 8.9281, 8.9281) * CHOOSE(CONTROL!$C$21, $C$9, 100%, $E$9)</f>
        <v>8.9281000000000006</v>
      </c>
      <c r="O259" s="10">
        <f>CHOOSE(CONTROL!$C$42, 9.156, 9.156) * CHOOSE(CONTROL!$C$21, $C$9, 100%, $E$9)</f>
        <v>9.1560000000000006</v>
      </c>
      <c r="P259" s="10">
        <f>CHOOSE(CONTROL!$C$42, 8.9531, 8.9531) * CHOOSE(CONTROL!$C$21, $C$9, 100%, $E$9)</f>
        <v>8.9530999999999992</v>
      </c>
      <c r="Q259" s="10">
        <f>CHOOSE(CONTROL!$C$42, 9.7513, 9.7513) * CHOOSE(CONTROL!$C$21, $C$9, 100%, $E$9)</f>
        <v>9.7513000000000005</v>
      </c>
      <c r="R259" s="10">
        <f>CHOOSE(CONTROL!$C$42, 10.3626, 10.3626) * CHOOSE(CONTROL!$C$21, $C$9, 100%, $E$9)</f>
        <v>10.3626</v>
      </c>
      <c r="S259" s="10">
        <f>CHOOSE(CONTROL!$C$42, 8.7946, 8.7946) * CHOOSE(CONTROL!$C$21, $C$9, 100%, $E$9)</f>
        <v>8.7946000000000009</v>
      </c>
      <c r="T25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59" s="38">
        <f>(1000*CHOOSE(CONTROL!$C$42, 695, 695)*CHOOSE(CONTROL!$C$42, 0.5599, 0.5599)*CHOOSE(CONTROL!$C$42, 31, 31))/1000000</f>
        <v>12.063045499999998</v>
      </c>
      <c r="V259" s="38">
        <f>(1000*CHOOSE(CONTROL!$C$42, 500, 500)*CHOOSE(CONTROL!$C$42, 0.275, 0.275)*CHOOSE(CONTROL!$C$42, 31, 31))/1000000</f>
        <v>4.2625000000000002</v>
      </c>
      <c r="W259" s="38">
        <f>(1000*CHOOSE(CONTROL!$C$42, 0.1146, 0.1146)*CHOOSE(CONTROL!$C$42, 121.5, 121.5)*CHOOSE(CONTROL!$C$42, 31, 31))/1000000</f>
        <v>0.43164089999999994</v>
      </c>
      <c r="X259" s="38">
        <f>(31*0.1790888*245000/1000000)+(31*0.2374*100000/1000000)</f>
        <v>2.0961194359999999</v>
      </c>
      <c r="Y259" s="38">
        <f>(1000*600*CHOOSE(CONTROL!$C$42, 1.6511, 1.6511)*CHOOSE(CONTROL!$C$42, 31, 31))/1000000</f>
        <v>30.710460000000001</v>
      </c>
      <c r="Z259" s="38"/>
      <c r="AA259" s="10"/>
      <c r="AB259" s="39"/>
      <c r="AC259" s="33">
        <f>(B259*194.205+C259*267.466+D259*133.845+E259*53.484+F259*40+G259*185+H259*0+I259*100+J259*300)/(194.205+267.466+133.845+53.484+0+40+185+100+300)</f>
        <v>9.0707963474882263</v>
      </c>
      <c r="AD259" s="27">
        <f>(M259*'RAP TEMPLATE-GAS AVAILABILITY'!O258+N259*'RAP TEMPLATE-GAS AVAILABILITY'!P258+O259*'RAP TEMPLATE-GAS AVAILABILITY'!Q258+P259*'RAP TEMPLATE-GAS AVAILABILITY'!R258)/('RAP TEMPLATE-GAS AVAILABILITY'!O258+'RAP TEMPLATE-GAS AVAILABILITY'!P258+'RAP TEMPLATE-GAS AVAILABILITY'!Q258+'RAP TEMPLATE-GAS AVAILABILITY'!R258)</f>
        <v>8.9901151079136685</v>
      </c>
    </row>
    <row r="260" spans="1:30" ht="15">
      <c r="A260" s="16">
        <v>49157</v>
      </c>
      <c r="B260" s="10">
        <f>CHOOSE(CONTROL!$C$42, 8.6188, 8.6188) * CHOOSE(CONTROL!$C$21, $C$9, 100%, $E$9)</f>
        <v>8.6188000000000002</v>
      </c>
      <c r="C260" s="10">
        <f>CHOOSE(CONTROL!$C$42, 8.6268, 8.6268) * CHOOSE(CONTROL!$C$21, $C$9, 100%, $E$9)</f>
        <v>8.6267999999999994</v>
      </c>
      <c r="D260" s="10">
        <f>CHOOSE(CONTROL!$C$42, 8.7839, 8.7839) * CHOOSE(CONTROL!$C$21, $C$9, 100%, $E$9)</f>
        <v>8.7838999999999992</v>
      </c>
      <c r="E260" s="10">
        <f>CHOOSE(CONTROL!$C$42, 8.8151, 8.8151) * CHOOSE(CONTROL!$C$21, $C$9, 100%, $E$9)</f>
        <v>8.8150999999999993</v>
      </c>
      <c r="F260" s="10">
        <f>CHOOSE(CONTROL!$C$42, 8.5634, 8.5634)*CHOOSE(CONTROL!$C$21, $C$9, 100%, $E$9)</f>
        <v>8.5633999999999997</v>
      </c>
      <c r="G260" s="10">
        <f>CHOOSE(CONTROL!$C$42, 8.5797, 8.5797)*CHOOSE(CONTROL!$C$21, $C$9, 100%, $E$9)</f>
        <v>8.5797000000000008</v>
      </c>
      <c r="H260" s="10">
        <f>CHOOSE(CONTROL!$C$42, 8.8034, 8.8034) * CHOOSE(CONTROL!$C$21, $C$9, 100%, $E$9)</f>
        <v>8.8033999999999999</v>
      </c>
      <c r="I260" s="10">
        <f>CHOOSE(CONTROL!$C$42, 8.5976, 8.5976)* CHOOSE(CONTROL!$C$21, $C$9, 100%, $E$9)</f>
        <v>8.5975999999999999</v>
      </c>
      <c r="J260" s="10">
        <f>CHOOSE(CONTROL!$C$42, 8.556, 8.556)* CHOOSE(CONTROL!$C$21, $C$9, 100%, $E$9)</f>
        <v>8.5559999999999992</v>
      </c>
      <c r="K260" s="10">
        <f>CHOOSE(CONTROL!$C$42, 8.4894, 8.4894) * CHOOSE(CONTROL!$C$21, $C$9, 100%, $E$9)</f>
        <v>8.4893999999999998</v>
      </c>
      <c r="L260" s="10">
        <f>CHOOSE(CONTROL!$C$42, 9.3904, 9.3904) * CHOOSE(CONTROL!$C$21, $C$9, 100%, $E$9)</f>
        <v>9.3903999999999996</v>
      </c>
      <c r="M260" s="10">
        <f>CHOOSE(CONTROL!$C$42, 8.4697, 8.4697) * CHOOSE(CONTROL!$C$21, $C$9, 100%, $E$9)</f>
        <v>8.4696999999999996</v>
      </c>
      <c r="N260" s="10">
        <f>CHOOSE(CONTROL!$C$42, 8.4857, 8.4857) * CHOOSE(CONTROL!$C$21, $C$9, 100%, $E$9)</f>
        <v>8.4856999999999996</v>
      </c>
      <c r="O260" s="10">
        <f>CHOOSE(CONTROL!$C$42, 8.7136, 8.7136) * CHOOSE(CONTROL!$C$21, $C$9, 100%, $E$9)</f>
        <v>8.7135999999999996</v>
      </c>
      <c r="P260" s="10">
        <f>CHOOSE(CONTROL!$C$42, 8.5108, 8.5108) * CHOOSE(CONTROL!$C$21, $C$9, 100%, $E$9)</f>
        <v>8.5107999999999997</v>
      </c>
      <c r="Q260" s="10">
        <f>CHOOSE(CONTROL!$C$42, 9.3089, 9.3089) * CHOOSE(CONTROL!$C$21, $C$9, 100%, $E$9)</f>
        <v>9.3088999999999995</v>
      </c>
      <c r="R260" s="10">
        <f>CHOOSE(CONTROL!$C$42, 9.9192, 9.9192) * CHOOSE(CONTROL!$C$21, $C$9, 100%, $E$9)</f>
        <v>9.9192</v>
      </c>
      <c r="S260" s="10">
        <f>CHOOSE(CONTROL!$C$42, 8.3602, 8.3602) * CHOOSE(CONTROL!$C$21, $C$9, 100%, $E$9)</f>
        <v>8.3602000000000007</v>
      </c>
      <c r="T26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60" s="38">
        <f>(1000*CHOOSE(CONTROL!$C$42, 695, 695)*CHOOSE(CONTROL!$C$42, 0.5599, 0.5599)*CHOOSE(CONTROL!$C$42, 31, 31))/1000000</f>
        <v>12.063045499999998</v>
      </c>
      <c r="V260" s="38">
        <f>(1000*CHOOSE(CONTROL!$C$42, 500, 500)*CHOOSE(CONTROL!$C$42, 0.275, 0.275)*CHOOSE(CONTROL!$C$42, 31, 31))/1000000</f>
        <v>4.2625000000000002</v>
      </c>
      <c r="W260" s="38">
        <f>(1000*CHOOSE(CONTROL!$C$42, 0.1146, 0.1146)*CHOOSE(CONTROL!$C$42, 121.5, 121.5)*CHOOSE(CONTROL!$C$42, 31, 31))/1000000</f>
        <v>0.43164089999999994</v>
      </c>
      <c r="X260" s="38">
        <f>(31*0.1790888*245000/1000000)+(31*0.2374*100000/1000000)</f>
        <v>2.0961194359999999</v>
      </c>
      <c r="Y260" s="38">
        <f>(1000*600*CHOOSE(CONTROL!$C$42, 1.6511, 1.6511)*CHOOSE(CONTROL!$C$42, 31, 31))/1000000</f>
        <v>30.710460000000001</v>
      </c>
      <c r="Z260" s="38"/>
      <c r="AA260" s="10"/>
      <c r="AB260" s="39"/>
      <c r="AC260" s="33">
        <f>(B260*194.205+C260*267.466+D260*133.845+E260*53.484+F260*40+G260*185+H260*0+I260*100+J260*300)/(194.205+267.466+133.845+53.484+0+40+185+100+300)</f>
        <v>8.6221963474882255</v>
      </c>
      <c r="AD260" s="27">
        <f>(M260*'RAP TEMPLATE-GAS AVAILABILITY'!O259+N260*'RAP TEMPLATE-GAS AVAILABILITY'!P259+O260*'RAP TEMPLATE-GAS AVAILABILITY'!Q259+P260*'RAP TEMPLATE-GAS AVAILABILITY'!R259)/('RAP TEMPLATE-GAS AVAILABILITY'!O259+'RAP TEMPLATE-GAS AVAILABILITY'!P259+'RAP TEMPLATE-GAS AVAILABILITY'!Q259+'RAP TEMPLATE-GAS AVAILABILITY'!R259)</f>
        <v>8.5477294964028765</v>
      </c>
    </row>
    <row r="261" spans="1:30" ht="15">
      <c r="A261" s="16">
        <v>49188</v>
      </c>
      <c r="B261" s="10">
        <f>CHOOSE(CONTROL!$C$42, 8.0708, 8.0708) * CHOOSE(CONTROL!$C$21, $C$9, 100%, $E$9)</f>
        <v>8.0708000000000002</v>
      </c>
      <c r="C261" s="10">
        <f>CHOOSE(CONTROL!$C$42, 8.0788, 8.0788) * CHOOSE(CONTROL!$C$21, $C$9, 100%, $E$9)</f>
        <v>8.0787999999999993</v>
      </c>
      <c r="D261" s="10">
        <f>CHOOSE(CONTROL!$C$42, 8.2358, 8.2358) * CHOOSE(CONTROL!$C$21, $C$9, 100%, $E$9)</f>
        <v>8.2357999999999993</v>
      </c>
      <c r="E261" s="10">
        <f>CHOOSE(CONTROL!$C$42, 8.2671, 8.2671) * CHOOSE(CONTROL!$C$21, $C$9, 100%, $E$9)</f>
        <v>8.2670999999999992</v>
      </c>
      <c r="F261" s="10">
        <f>CHOOSE(CONTROL!$C$42, 8.0152, 8.0152)*CHOOSE(CONTROL!$C$21, $C$9, 100%, $E$9)</f>
        <v>8.0152000000000001</v>
      </c>
      <c r="G261" s="10">
        <f>CHOOSE(CONTROL!$C$42, 8.0313, 8.0313)*CHOOSE(CONTROL!$C$21, $C$9, 100%, $E$9)</f>
        <v>8.0312999999999999</v>
      </c>
      <c r="H261" s="10">
        <f>CHOOSE(CONTROL!$C$42, 8.2554, 8.2554) * CHOOSE(CONTROL!$C$21, $C$9, 100%, $E$9)</f>
        <v>8.2553999999999998</v>
      </c>
      <c r="I261" s="10">
        <f>CHOOSE(CONTROL!$C$42, 8.0496, 8.0496)* CHOOSE(CONTROL!$C$21, $C$9, 100%, $E$9)</f>
        <v>8.0495999999999999</v>
      </c>
      <c r="J261" s="10">
        <f>CHOOSE(CONTROL!$C$42, 8.0078, 8.0078)* CHOOSE(CONTROL!$C$21, $C$9, 100%, $E$9)</f>
        <v>8.0077999999999996</v>
      </c>
      <c r="K261" s="10">
        <f>CHOOSE(CONTROL!$C$42, 7.958, 7.958) * CHOOSE(CONTROL!$C$21, $C$9, 100%, $E$9)</f>
        <v>7.9580000000000002</v>
      </c>
      <c r="L261" s="10">
        <f>CHOOSE(CONTROL!$C$42, 8.8424, 8.8424) * CHOOSE(CONTROL!$C$21, $C$9, 100%, $E$9)</f>
        <v>8.8423999999999996</v>
      </c>
      <c r="M261" s="10">
        <f>CHOOSE(CONTROL!$C$42, 7.9291, 7.9291) * CHOOSE(CONTROL!$C$21, $C$9, 100%, $E$9)</f>
        <v>7.9291</v>
      </c>
      <c r="N261" s="10">
        <f>CHOOSE(CONTROL!$C$42, 7.945, 7.945) * CHOOSE(CONTROL!$C$21, $C$9, 100%, $E$9)</f>
        <v>7.9450000000000003</v>
      </c>
      <c r="O261" s="10">
        <f>CHOOSE(CONTROL!$C$42, 8.1732, 8.1732) * CHOOSE(CONTROL!$C$21, $C$9, 100%, $E$9)</f>
        <v>8.1731999999999996</v>
      </c>
      <c r="P261" s="10">
        <f>CHOOSE(CONTROL!$C$42, 7.9703, 7.9703) * CHOOSE(CONTROL!$C$21, $C$9, 100%, $E$9)</f>
        <v>7.9702999999999999</v>
      </c>
      <c r="Q261" s="10">
        <f>CHOOSE(CONTROL!$C$42, 8.7685, 8.7685) * CHOOSE(CONTROL!$C$21, $C$9, 100%, $E$9)</f>
        <v>8.7684999999999995</v>
      </c>
      <c r="R261" s="10">
        <f>CHOOSE(CONTROL!$C$42, 9.3775, 9.3775) * CHOOSE(CONTROL!$C$21, $C$9, 100%, $E$9)</f>
        <v>9.3774999999999995</v>
      </c>
      <c r="S261" s="10">
        <f>CHOOSE(CONTROL!$C$42, 7.8295, 7.8295) * CHOOSE(CONTROL!$C$21, $C$9, 100%, $E$9)</f>
        <v>7.8295000000000003</v>
      </c>
      <c r="T26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61" s="38">
        <f>(1000*CHOOSE(CONTROL!$C$42, 695, 695)*CHOOSE(CONTROL!$C$42, 0.5599, 0.5599)*CHOOSE(CONTROL!$C$42, 30, 30))/1000000</f>
        <v>11.673914999999997</v>
      </c>
      <c r="V261" s="38">
        <f>(1000*CHOOSE(CONTROL!$C$42, 500, 500)*CHOOSE(CONTROL!$C$42, 0.275, 0.275)*CHOOSE(CONTROL!$C$42, 30, 30))/1000000</f>
        <v>4.125</v>
      </c>
      <c r="W261" s="38">
        <f>(1000*CHOOSE(CONTROL!$C$42, 0.1146, 0.1146)*CHOOSE(CONTROL!$C$42, 121.5, 121.5)*CHOOSE(CONTROL!$C$42, 30, 30))/1000000</f>
        <v>0.417717</v>
      </c>
      <c r="X261" s="38">
        <f>(30*0.1790888*245000/1000000)+(30*0.2374*100000/1000000)</f>
        <v>2.0285026799999999</v>
      </c>
      <c r="Y261" s="38">
        <f>(1000*600*CHOOSE(CONTROL!$C$42, 1.6511, 1.6511)*CHOOSE(CONTROL!$C$42, 30, 30))/1000000</f>
        <v>29.719799999999999</v>
      </c>
      <c r="Z261" s="38"/>
      <c r="AA261" s="10"/>
      <c r="AB261" s="39"/>
      <c r="AC261" s="33">
        <f>(B261*194.205+C261*267.466+D261*133.845+E261*53.484+F261*40+G261*185+H261*0+I261*100+J261*300)/(194.205+267.466+133.845+53.484+0+40+185+100+300)</f>
        <v>8.0740743816326539</v>
      </c>
      <c r="AD261" s="27">
        <f>(M261*'RAP TEMPLATE-GAS AVAILABILITY'!O260+N261*'RAP TEMPLATE-GAS AVAILABILITY'!P260+O261*'RAP TEMPLATE-GAS AVAILABILITY'!Q260+P261*'RAP TEMPLATE-GAS AVAILABILITY'!R260)/('RAP TEMPLATE-GAS AVAILABILITY'!O260+'RAP TEMPLATE-GAS AVAILABILITY'!P260+'RAP TEMPLATE-GAS AVAILABILITY'!Q260+'RAP TEMPLATE-GAS AVAILABILITY'!R260)</f>
        <v>8.0071769784172666</v>
      </c>
    </row>
    <row r="262" spans="1:30" ht="15">
      <c r="A262" s="16">
        <v>49218</v>
      </c>
      <c r="B262" s="10">
        <f>CHOOSE(CONTROL!$C$42, 7.9045, 7.9045) * CHOOSE(CONTROL!$C$21, $C$9, 100%, $E$9)</f>
        <v>7.9044999999999996</v>
      </c>
      <c r="C262" s="10">
        <f>CHOOSE(CONTROL!$C$42, 7.9098, 7.9098) * CHOOSE(CONTROL!$C$21, $C$9, 100%, $E$9)</f>
        <v>7.9097999999999997</v>
      </c>
      <c r="D262" s="10">
        <f>CHOOSE(CONTROL!$C$42, 8.0717, 8.0717) * CHOOSE(CONTROL!$C$21, $C$9, 100%, $E$9)</f>
        <v>8.0716999999999999</v>
      </c>
      <c r="E262" s="10">
        <f>CHOOSE(CONTROL!$C$42, 8.1007, 8.1007) * CHOOSE(CONTROL!$C$21, $C$9, 100%, $E$9)</f>
        <v>8.1006999999999998</v>
      </c>
      <c r="F262" s="10">
        <f>CHOOSE(CONTROL!$C$42, 7.8509, 7.8509)*CHOOSE(CONTROL!$C$21, $C$9, 100%, $E$9)</f>
        <v>7.8509000000000002</v>
      </c>
      <c r="G262" s="10">
        <f>CHOOSE(CONTROL!$C$42, 7.8667, 7.8667)*CHOOSE(CONTROL!$C$21, $C$9, 100%, $E$9)</f>
        <v>7.8666999999999998</v>
      </c>
      <c r="H262" s="10">
        <f>CHOOSE(CONTROL!$C$42, 8.0908, 8.0908) * CHOOSE(CONTROL!$C$21, $C$9, 100%, $E$9)</f>
        <v>8.0907999999999998</v>
      </c>
      <c r="I262" s="10">
        <f>CHOOSE(CONTROL!$C$42, 7.885, 7.885)* CHOOSE(CONTROL!$C$21, $C$9, 100%, $E$9)</f>
        <v>7.8849999999999998</v>
      </c>
      <c r="J262" s="10">
        <f>CHOOSE(CONTROL!$C$42, 7.8435, 7.8435)* CHOOSE(CONTROL!$C$21, $C$9, 100%, $E$9)</f>
        <v>7.8434999999999997</v>
      </c>
      <c r="K262" s="10">
        <f>CHOOSE(CONTROL!$C$42, 7.7992, 7.7992) * CHOOSE(CONTROL!$C$21, $C$9, 100%, $E$9)</f>
        <v>7.7991999999999999</v>
      </c>
      <c r="L262" s="10">
        <f>CHOOSE(CONTROL!$C$42, 8.6778, 8.6778) * CHOOSE(CONTROL!$C$21, $C$9, 100%, $E$9)</f>
        <v>8.6777999999999995</v>
      </c>
      <c r="M262" s="10">
        <f>CHOOSE(CONTROL!$C$42, 7.7671, 7.7671) * CHOOSE(CONTROL!$C$21, $C$9, 100%, $E$9)</f>
        <v>7.7671000000000001</v>
      </c>
      <c r="N262" s="10">
        <f>CHOOSE(CONTROL!$C$42, 7.7826, 7.7826) * CHOOSE(CONTROL!$C$21, $C$9, 100%, $E$9)</f>
        <v>7.7826000000000004</v>
      </c>
      <c r="O262" s="10">
        <f>CHOOSE(CONTROL!$C$42, 8.0109, 8.0109) * CHOOSE(CONTROL!$C$21, $C$9, 100%, $E$9)</f>
        <v>8.0108999999999995</v>
      </c>
      <c r="P262" s="10">
        <f>CHOOSE(CONTROL!$C$42, 7.808, 7.808) * CHOOSE(CONTROL!$C$21, $C$9, 100%, $E$9)</f>
        <v>7.8079999999999998</v>
      </c>
      <c r="Q262" s="10">
        <f>CHOOSE(CONTROL!$C$42, 8.6062, 8.6062) * CHOOSE(CONTROL!$C$21, $C$9, 100%, $E$9)</f>
        <v>8.6061999999999994</v>
      </c>
      <c r="R262" s="10">
        <f>CHOOSE(CONTROL!$C$42, 9.2147, 9.2147) * CHOOSE(CONTROL!$C$21, $C$9, 100%, $E$9)</f>
        <v>9.2147000000000006</v>
      </c>
      <c r="S262" s="10">
        <f>CHOOSE(CONTROL!$C$42, 7.6702, 7.6702) * CHOOSE(CONTROL!$C$21, $C$9, 100%, $E$9)</f>
        <v>7.6702000000000004</v>
      </c>
      <c r="T26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62" s="38">
        <f>(1000*CHOOSE(CONTROL!$C$42, 695, 695)*CHOOSE(CONTROL!$C$42, 0.5599, 0.5599)*CHOOSE(CONTROL!$C$42, 31, 31))/1000000</f>
        <v>12.063045499999998</v>
      </c>
      <c r="V262" s="38">
        <f>(1000*CHOOSE(CONTROL!$C$42, 500, 500)*CHOOSE(CONTROL!$C$42, 0.275, 0.275)*CHOOSE(CONTROL!$C$42, 31, 31))/1000000</f>
        <v>4.2625000000000002</v>
      </c>
      <c r="W262" s="38">
        <f>(1000*CHOOSE(CONTROL!$C$42, 0.1146, 0.1146)*CHOOSE(CONTROL!$C$42, 121.5, 121.5)*CHOOSE(CONTROL!$C$42, 31, 31))/1000000</f>
        <v>0.43164089999999994</v>
      </c>
      <c r="X262" s="38">
        <f>(31*0.1790888*245000/1000000)+(31*0.2374*100000/1000000)</f>
        <v>2.0961194359999999</v>
      </c>
      <c r="Y262" s="38">
        <f>(1000*600*CHOOSE(CONTROL!$C$42, 1.6511, 1.6511)*CHOOSE(CONTROL!$C$42, 31, 31))/1000000</f>
        <v>30.710460000000001</v>
      </c>
      <c r="Z262" s="38"/>
      <c r="AA262" s="10"/>
      <c r="AB262" s="39"/>
      <c r="AC262" s="33">
        <f>(B262*131.881+C262*277.167+D262*79.08+E262*125.872+F262*40+G262*185+H262*0+I262*100+J262*300)/(131.881+277.167+79.08+125.872+0+40+185+100+300)</f>
        <v>7.9125712247780466</v>
      </c>
      <c r="AD262" s="27">
        <f>(M262*'RAP TEMPLATE-GAS AVAILABILITY'!O261+N262*'RAP TEMPLATE-GAS AVAILABILITY'!P261+O262*'RAP TEMPLATE-GAS AVAILABILITY'!Q261+P262*'RAP TEMPLATE-GAS AVAILABILITY'!R261)/('RAP TEMPLATE-GAS AVAILABILITY'!O261+'RAP TEMPLATE-GAS AVAILABILITY'!P261+'RAP TEMPLATE-GAS AVAILABILITY'!Q261+'RAP TEMPLATE-GAS AVAILABILITY'!R261)</f>
        <v>7.8449575539568341</v>
      </c>
    </row>
    <row r="263" spans="1:30" ht="15">
      <c r="A263" s="16">
        <v>49249</v>
      </c>
      <c r="B263" s="10">
        <f>CHOOSE(CONTROL!$C$42, 8.1127, 8.1127) * CHOOSE(CONTROL!$C$21, $C$9, 100%, $E$9)</f>
        <v>8.1127000000000002</v>
      </c>
      <c r="C263" s="10">
        <f>CHOOSE(CONTROL!$C$42, 8.1178, 8.1178) * CHOOSE(CONTROL!$C$21, $C$9, 100%, $E$9)</f>
        <v>8.1178000000000008</v>
      </c>
      <c r="D263" s="10">
        <f>CHOOSE(CONTROL!$C$42, 8.1425, 8.1425) * CHOOSE(CONTROL!$C$21, $C$9, 100%, $E$9)</f>
        <v>8.1425000000000001</v>
      </c>
      <c r="E263" s="10">
        <f>CHOOSE(CONTROL!$C$42, 8.1763, 8.1763) * CHOOSE(CONTROL!$C$21, $C$9, 100%, $E$9)</f>
        <v>8.1762999999999995</v>
      </c>
      <c r="F263" s="10">
        <f>CHOOSE(CONTROL!$C$42, 8.081, 8.081)*CHOOSE(CONTROL!$C$21, $C$9, 100%, $E$9)</f>
        <v>8.0809999999999995</v>
      </c>
      <c r="G263" s="10">
        <f>CHOOSE(CONTROL!$C$42, 8.097, 8.097)*CHOOSE(CONTROL!$C$21, $C$9, 100%, $E$9)</f>
        <v>8.0969999999999995</v>
      </c>
      <c r="H263" s="10">
        <f>CHOOSE(CONTROL!$C$42, 8.1652, 8.1652) * CHOOSE(CONTROL!$C$21, $C$9, 100%, $E$9)</f>
        <v>8.1652000000000005</v>
      </c>
      <c r="I263" s="10">
        <f>CHOOSE(CONTROL!$C$42, 8.1277, 8.1277)* CHOOSE(CONTROL!$C$21, $C$9, 100%, $E$9)</f>
        <v>8.1277000000000008</v>
      </c>
      <c r="J263" s="10">
        <f>CHOOSE(CONTROL!$C$42, 8.0736, 8.0736)* CHOOSE(CONTROL!$C$21, $C$9, 100%, $E$9)</f>
        <v>8.0736000000000008</v>
      </c>
      <c r="K263" s="10">
        <f>CHOOSE(CONTROL!$C$42, 8.0366, 8.0366) * CHOOSE(CONTROL!$C$21, $C$9, 100%, $E$9)</f>
        <v>8.0366</v>
      </c>
      <c r="L263" s="10">
        <f>CHOOSE(CONTROL!$C$42, 8.7522, 8.7522) * CHOOSE(CONTROL!$C$21, $C$9, 100%, $E$9)</f>
        <v>8.7522000000000002</v>
      </c>
      <c r="M263" s="10">
        <f>CHOOSE(CONTROL!$C$42, 7.994, 7.994) * CHOOSE(CONTROL!$C$21, $C$9, 100%, $E$9)</f>
        <v>7.9939999999999998</v>
      </c>
      <c r="N263" s="10">
        <f>CHOOSE(CONTROL!$C$42, 8.0098, 8.0098) * CHOOSE(CONTROL!$C$21, $C$9, 100%, $E$9)</f>
        <v>8.0098000000000003</v>
      </c>
      <c r="O263" s="10">
        <f>CHOOSE(CONTROL!$C$42, 8.0843, 8.0843) * CHOOSE(CONTROL!$C$21, $C$9, 100%, $E$9)</f>
        <v>8.0843000000000007</v>
      </c>
      <c r="P263" s="10">
        <f>CHOOSE(CONTROL!$C$42, 8.0474, 8.0474) * CHOOSE(CONTROL!$C$21, $C$9, 100%, $E$9)</f>
        <v>8.0473999999999997</v>
      </c>
      <c r="Q263" s="10">
        <f>CHOOSE(CONTROL!$C$42, 8.6796, 8.6796) * CHOOSE(CONTROL!$C$21, $C$9, 100%, $E$9)</f>
        <v>8.6796000000000006</v>
      </c>
      <c r="R263" s="10">
        <f>CHOOSE(CONTROL!$C$42, 9.2883, 9.2883) * CHOOSE(CONTROL!$C$21, $C$9, 100%, $E$9)</f>
        <v>9.2882999999999996</v>
      </c>
      <c r="S263" s="10">
        <f>CHOOSE(CONTROL!$C$42, 7.8722, 7.8722) * CHOOSE(CONTROL!$C$21, $C$9, 100%, $E$9)</f>
        <v>7.8722000000000003</v>
      </c>
      <c r="T26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63" s="38">
        <f>(1000*CHOOSE(CONTROL!$C$42, 695, 695)*CHOOSE(CONTROL!$C$42, 0.5599, 0.5599)*CHOOSE(CONTROL!$C$42, 30, 30))/1000000</f>
        <v>11.673914999999997</v>
      </c>
      <c r="V263" s="38">
        <f>(1000*CHOOSE(CONTROL!$C$42, 500, 500)*CHOOSE(CONTROL!$C$42, 0.275, 0.275)*CHOOSE(CONTROL!$C$42, 30, 30))/1000000</f>
        <v>4.125</v>
      </c>
      <c r="W263" s="38">
        <f>(1000*CHOOSE(CONTROL!$C$42, 0.1146, 0.1146)*CHOOSE(CONTROL!$C$42, 121.5, 121.5)*CHOOSE(CONTROL!$C$42, 30, 30))/1000000</f>
        <v>0.417717</v>
      </c>
      <c r="X263" s="38">
        <f>(30*0.1790888*100000/1000000)+(30*0.2374*100000/1000000)</f>
        <v>1.2494664</v>
      </c>
      <c r="Y263" s="38">
        <f>(1000*600*CHOOSE(CONTROL!$C$42, 1.6511, 1.6511)*CHOOSE(CONTROL!$C$42, 30, 30))/1000000</f>
        <v>29.719799999999999</v>
      </c>
      <c r="Z263" s="38"/>
      <c r="AA263" s="10"/>
      <c r="AB263" s="39"/>
      <c r="AC263" s="33">
        <f>(B263*122.58+C263*297.941+D263*89.177+E263*40.302+F263*40+G263*160+H263*0+I263*100+J263*300)/(122.58+297.941+89.177+40.302+0+40+160+100+300)</f>
        <v>8.1063784181739127</v>
      </c>
      <c r="AD263" s="27">
        <f>(M263*'RAP TEMPLATE-GAS AVAILABILITY'!O262+N263*'RAP TEMPLATE-GAS AVAILABILITY'!P262+O263*'RAP TEMPLATE-GAS AVAILABILITY'!Q262+P263*'RAP TEMPLATE-GAS AVAILABILITY'!R262)/('RAP TEMPLATE-GAS AVAILABILITY'!O262+'RAP TEMPLATE-GAS AVAILABILITY'!P262+'RAP TEMPLATE-GAS AVAILABILITY'!Q262+'RAP TEMPLATE-GAS AVAILABILITY'!R262)</f>
        <v>8.0435201438848907</v>
      </c>
    </row>
    <row r="264" spans="1:30" ht="15">
      <c r="A264" s="16">
        <v>49279</v>
      </c>
      <c r="B264" s="10">
        <f>CHOOSE(CONTROL!$C$42, 8.6669, 8.6669) * CHOOSE(CONTROL!$C$21, $C$9, 100%, $E$9)</f>
        <v>8.6669</v>
      </c>
      <c r="C264" s="10">
        <f>CHOOSE(CONTROL!$C$42, 8.672, 8.672) * CHOOSE(CONTROL!$C$21, $C$9, 100%, $E$9)</f>
        <v>8.6720000000000006</v>
      </c>
      <c r="D264" s="10">
        <f>CHOOSE(CONTROL!$C$42, 8.6967, 8.6967) * CHOOSE(CONTROL!$C$21, $C$9, 100%, $E$9)</f>
        <v>8.6966999999999999</v>
      </c>
      <c r="E264" s="10">
        <f>CHOOSE(CONTROL!$C$42, 8.7305, 8.7305) * CHOOSE(CONTROL!$C$21, $C$9, 100%, $E$9)</f>
        <v>8.7304999999999993</v>
      </c>
      <c r="F264" s="10">
        <f>CHOOSE(CONTROL!$C$42, 8.6372, 8.6372)*CHOOSE(CONTROL!$C$21, $C$9, 100%, $E$9)</f>
        <v>8.6372</v>
      </c>
      <c r="G264" s="10">
        <f>CHOOSE(CONTROL!$C$42, 8.6537, 8.6537)*CHOOSE(CONTROL!$C$21, $C$9, 100%, $E$9)</f>
        <v>8.6537000000000006</v>
      </c>
      <c r="H264" s="10">
        <f>CHOOSE(CONTROL!$C$42, 8.7194, 8.7194) * CHOOSE(CONTROL!$C$21, $C$9, 100%, $E$9)</f>
        <v>8.7194000000000003</v>
      </c>
      <c r="I264" s="10">
        <f>CHOOSE(CONTROL!$C$42, 8.6819, 8.6819)* CHOOSE(CONTROL!$C$21, $C$9, 100%, $E$9)</f>
        <v>8.6819000000000006</v>
      </c>
      <c r="J264" s="10">
        <f>CHOOSE(CONTROL!$C$42, 8.6298, 8.6298)* CHOOSE(CONTROL!$C$21, $C$9, 100%, $E$9)</f>
        <v>8.6297999999999995</v>
      </c>
      <c r="K264" s="10">
        <f>CHOOSE(CONTROL!$C$42, 8.5776, 8.5776) * CHOOSE(CONTROL!$C$21, $C$9, 100%, $E$9)</f>
        <v>8.5776000000000003</v>
      </c>
      <c r="L264" s="10">
        <f>CHOOSE(CONTROL!$C$42, 9.3064, 9.3064) * CHOOSE(CONTROL!$C$21, $C$9, 100%, $E$9)</f>
        <v>9.3064</v>
      </c>
      <c r="M264" s="10">
        <f>CHOOSE(CONTROL!$C$42, 8.5424, 8.5424) * CHOOSE(CONTROL!$C$21, $C$9, 100%, $E$9)</f>
        <v>8.5424000000000007</v>
      </c>
      <c r="N264" s="10">
        <f>CHOOSE(CONTROL!$C$42, 8.5587, 8.5587) * CHOOSE(CONTROL!$C$21, $C$9, 100%, $E$9)</f>
        <v>8.5587</v>
      </c>
      <c r="O264" s="10">
        <f>CHOOSE(CONTROL!$C$42, 8.6308, 8.6308) * CHOOSE(CONTROL!$C$21, $C$9, 100%, $E$9)</f>
        <v>8.6308000000000007</v>
      </c>
      <c r="P264" s="10">
        <f>CHOOSE(CONTROL!$C$42, 8.5939, 8.5939) * CHOOSE(CONTROL!$C$21, $C$9, 100%, $E$9)</f>
        <v>8.5938999999999997</v>
      </c>
      <c r="Q264" s="10">
        <f>CHOOSE(CONTROL!$C$42, 9.2261, 9.2261) * CHOOSE(CONTROL!$C$21, $C$9, 100%, $E$9)</f>
        <v>9.2261000000000006</v>
      </c>
      <c r="R264" s="10">
        <f>CHOOSE(CONTROL!$C$42, 9.8362, 9.8362) * CHOOSE(CONTROL!$C$21, $C$9, 100%, $E$9)</f>
        <v>9.8361999999999998</v>
      </c>
      <c r="S264" s="10">
        <f>CHOOSE(CONTROL!$C$42, 8.4089, 8.4089) * CHOOSE(CONTROL!$C$21, $C$9, 100%, $E$9)</f>
        <v>8.4088999999999992</v>
      </c>
      <c r="T26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64" s="38">
        <f>(1000*CHOOSE(CONTROL!$C$42, 695, 695)*CHOOSE(CONTROL!$C$42, 0.5599, 0.5599)*CHOOSE(CONTROL!$C$42, 31, 31))/1000000</f>
        <v>12.063045499999998</v>
      </c>
      <c r="V264" s="38">
        <f>(1000*CHOOSE(CONTROL!$C$42, 500, 500)*CHOOSE(CONTROL!$C$42, 0.275, 0.275)*CHOOSE(CONTROL!$C$42, 31, 31))/1000000</f>
        <v>4.2625000000000002</v>
      </c>
      <c r="W264" s="38">
        <f>(1000*CHOOSE(CONTROL!$C$42, 0.1146, 0.1146)*CHOOSE(CONTROL!$C$42, 121.5, 121.5)*CHOOSE(CONTROL!$C$42, 31, 31))/1000000</f>
        <v>0.43164089999999994</v>
      </c>
      <c r="X264" s="38">
        <f>(31*0.1790888*100000/1000000)+(31*0.2374*100000/1000000)</f>
        <v>1.2911152800000001</v>
      </c>
      <c r="Y264" s="38">
        <f>(1000*600*CHOOSE(CONTROL!$C$42, 1.6511, 1.6511)*CHOOSE(CONTROL!$C$42, 31, 31))/1000000</f>
        <v>30.710460000000001</v>
      </c>
      <c r="Z264" s="38"/>
      <c r="AA264" s="10"/>
      <c r="AB264" s="39"/>
      <c r="AC264" s="33">
        <f>(B264*122.58+C264*297.941+D264*89.177+E264*40.302+F264*40+G264*160+H264*0+I264*100+J264*300)/(122.58+297.941+89.177+40.302+0+40+160+100+300)</f>
        <v>8.6615175486086962</v>
      </c>
      <c r="AD264" s="27">
        <f>(M264*'RAP TEMPLATE-GAS AVAILABILITY'!O263+N264*'RAP TEMPLATE-GAS AVAILABILITY'!P263+O264*'RAP TEMPLATE-GAS AVAILABILITY'!Q263+P264*'RAP TEMPLATE-GAS AVAILABILITY'!R263)/('RAP TEMPLATE-GAS AVAILABILITY'!O263+'RAP TEMPLATE-GAS AVAILABILITY'!P263+'RAP TEMPLATE-GAS AVAILABILITY'!Q263+'RAP TEMPLATE-GAS AVAILABILITY'!R263)</f>
        <v>8.5908143884892105</v>
      </c>
    </row>
    <row r="265" spans="1:30" ht="15">
      <c r="A265" s="16">
        <v>49310</v>
      </c>
      <c r="B265" s="10">
        <f>CHOOSE(CONTROL!$C$42, 9.253, 9.253) * CHOOSE(CONTROL!$C$21, $C$9, 100%, $E$9)</f>
        <v>9.2530000000000001</v>
      </c>
      <c r="C265" s="10">
        <f>CHOOSE(CONTROL!$C$42, 9.2581, 9.2581) * CHOOSE(CONTROL!$C$21, $C$9, 100%, $E$9)</f>
        <v>9.2581000000000007</v>
      </c>
      <c r="D265" s="10">
        <f>CHOOSE(CONTROL!$C$42, 9.2905, 9.2905) * CHOOSE(CONTROL!$C$21, $C$9, 100%, $E$9)</f>
        <v>9.2904999999999998</v>
      </c>
      <c r="E265" s="10">
        <f>CHOOSE(CONTROL!$C$42, 9.3243, 9.3243) * CHOOSE(CONTROL!$C$21, $C$9, 100%, $E$9)</f>
        <v>9.3242999999999991</v>
      </c>
      <c r="F265" s="10">
        <f>CHOOSE(CONTROL!$C$42, 9.2372, 9.2372)*CHOOSE(CONTROL!$C$21, $C$9, 100%, $E$9)</f>
        <v>9.2371999999999996</v>
      </c>
      <c r="G265" s="10">
        <f>CHOOSE(CONTROL!$C$42, 9.2552, 9.2552)*CHOOSE(CONTROL!$C$21, $C$9, 100%, $E$9)</f>
        <v>9.2552000000000003</v>
      </c>
      <c r="H265" s="10">
        <f>CHOOSE(CONTROL!$C$42, 9.3132, 9.3132) * CHOOSE(CONTROL!$C$21, $C$9, 100%, $E$9)</f>
        <v>9.3132000000000001</v>
      </c>
      <c r="I265" s="10">
        <f>CHOOSE(CONTROL!$C$42, 9.2664, 9.2664)* CHOOSE(CONTROL!$C$21, $C$9, 100%, $E$9)</f>
        <v>9.2664000000000009</v>
      </c>
      <c r="J265" s="10">
        <f>CHOOSE(CONTROL!$C$42, 9.2298, 9.2298)* CHOOSE(CONTROL!$C$21, $C$9, 100%, $E$9)</f>
        <v>9.2297999999999991</v>
      </c>
      <c r="K265" s="10">
        <f>CHOOSE(CONTROL!$C$42, 9.1578, 9.1578) * CHOOSE(CONTROL!$C$21, $C$9, 100%, $E$9)</f>
        <v>9.1577999999999999</v>
      </c>
      <c r="L265" s="10">
        <f>CHOOSE(CONTROL!$C$42, 9.9002, 9.9002) * CHOOSE(CONTROL!$C$21, $C$9, 100%, $E$9)</f>
        <v>9.9001999999999999</v>
      </c>
      <c r="M265" s="10">
        <f>CHOOSE(CONTROL!$C$42, 9.1341, 9.1341) * CHOOSE(CONTROL!$C$21, $C$9, 100%, $E$9)</f>
        <v>9.1341000000000001</v>
      </c>
      <c r="N265" s="10">
        <f>CHOOSE(CONTROL!$C$42, 9.1518, 9.1518) * CHOOSE(CONTROL!$C$21, $C$9, 100%, $E$9)</f>
        <v>9.1517999999999997</v>
      </c>
      <c r="O265" s="10">
        <f>CHOOSE(CONTROL!$C$42, 9.2163, 9.2163) * CHOOSE(CONTROL!$C$21, $C$9, 100%, $E$9)</f>
        <v>9.2163000000000004</v>
      </c>
      <c r="P265" s="10">
        <f>CHOOSE(CONTROL!$C$42, 9.1702, 9.1702) * CHOOSE(CONTROL!$C$21, $C$9, 100%, $E$9)</f>
        <v>9.1701999999999995</v>
      </c>
      <c r="Q265" s="10">
        <f>CHOOSE(CONTROL!$C$42, 9.8116, 9.8116) * CHOOSE(CONTROL!$C$21, $C$9, 100%, $E$9)</f>
        <v>9.8116000000000003</v>
      </c>
      <c r="R265" s="10">
        <f>CHOOSE(CONTROL!$C$42, 10.4231, 10.4231) * CHOOSE(CONTROL!$C$21, $C$9, 100%, $E$9)</f>
        <v>10.4231</v>
      </c>
      <c r="S265" s="10">
        <f>CHOOSE(CONTROL!$C$42, 8.9763, 8.9763) * CHOOSE(CONTROL!$C$21, $C$9, 100%, $E$9)</f>
        <v>8.9763000000000002</v>
      </c>
      <c r="T26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65" s="38">
        <f>(1000*CHOOSE(CONTROL!$C$42, 695, 695)*CHOOSE(CONTROL!$C$42, 0.5599, 0.5599)*CHOOSE(CONTROL!$C$42, 31, 31))/1000000</f>
        <v>12.063045499999998</v>
      </c>
      <c r="V265" s="38">
        <f>(1000*CHOOSE(CONTROL!$C$42, 500, 500)*CHOOSE(CONTROL!$C$42, 0.275, 0.275)*CHOOSE(CONTROL!$C$42, 31, 31))/1000000</f>
        <v>4.2625000000000002</v>
      </c>
      <c r="W265" s="38">
        <f>(1000*CHOOSE(CONTROL!$C$42, 0.1146, 0.1146)*CHOOSE(CONTROL!$C$42, 121.5, 121.5)*CHOOSE(CONTROL!$C$42, 31, 31))/1000000</f>
        <v>0.43164089999999994</v>
      </c>
      <c r="X265" s="38">
        <f>(31*0.1790888*100000/1000000)+(31*0.2374*100000/1000000)</f>
        <v>1.2911152800000001</v>
      </c>
      <c r="Y265" s="38">
        <f>(1000*600*CHOOSE(CONTROL!$C$42, 1.6476, 1.6476)*CHOOSE(CONTROL!$C$42, 31, 31))/1000000</f>
        <v>30.64536</v>
      </c>
      <c r="Z265" s="38"/>
      <c r="AA265" s="10"/>
      <c r="AB265" s="39"/>
      <c r="AC265" s="33">
        <f>(B265*122.58+C265*297.941+D265*89.177+E265*40.302+F265*40+G265*160+H265*0+I265*100+J265*300)/(122.58+297.941+89.177+40.302+0+40+160+100+300)</f>
        <v>9.2545975384347834</v>
      </c>
      <c r="AD265" s="27">
        <f>(M265*'RAP TEMPLATE-GAS AVAILABILITY'!O264+N265*'RAP TEMPLATE-GAS AVAILABILITY'!P264+O265*'RAP TEMPLATE-GAS AVAILABILITY'!Q264+P265*'RAP TEMPLATE-GAS AVAILABILITY'!R264)/('RAP TEMPLATE-GAS AVAILABILITY'!O264+'RAP TEMPLATE-GAS AVAILABILITY'!P264+'RAP TEMPLATE-GAS AVAILABILITY'!Q264+'RAP TEMPLATE-GAS AVAILABILITY'!R264)</f>
        <v>9.1775690647482016</v>
      </c>
    </row>
    <row r="266" spans="1:30" ht="15">
      <c r="A266" s="16">
        <v>49341</v>
      </c>
      <c r="B266" s="10">
        <f>CHOOSE(CONTROL!$C$42, 9.418, 9.418) * CHOOSE(CONTROL!$C$21, $C$9, 100%, $E$9)</f>
        <v>9.4179999999999993</v>
      </c>
      <c r="C266" s="10">
        <f>CHOOSE(CONTROL!$C$42, 9.4231, 9.4231) * CHOOSE(CONTROL!$C$21, $C$9, 100%, $E$9)</f>
        <v>9.4230999999999998</v>
      </c>
      <c r="D266" s="10">
        <f>CHOOSE(CONTROL!$C$42, 9.4555, 9.4555) * CHOOSE(CONTROL!$C$21, $C$9, 100%, $E$9)</f>
        <v>9.4555000000000007</v>
      </c>
      <c r="E266" s="10">
        <f>CHOOSE(CONTROL!$C$42, 9.4893, 9.4893) * CHOOSE(CONTROL!$C$21, $C$9, 100%, $E$9)</f>
        <v>9.4893000000000001</v>
      </c>
      <c r="F266" s="10">
        <f>CHOOSE(CONTROL!$C$42, 9.4017, 9.4017)*CHOOSE(CONTROL!$C$21, $C$9, 100%, $E$9)</f>
        <v>9.4016999999999999</v>
      </c>
      <c r="G266" s="10">
        <f>CHOOSE(CONTROL!$C$42, 9.4197, 9.4197)*CHOOSE(CONTROL!$C$21, $C$9, 100%, $E$9)</f>
        <v>9.4197000000000006</v>
      </c>
      <c r="H266" s="10">
        <f>CHOOSE(CONTROL!$C$42, 9.4782, 9.4782) * CHOOSE(CONTROL!$C$21, $C$9, 100%, $E$9)</f>
        <v>9.4781999999999993</v>
      </c>
      <c r="I266" s="10">
        <f>CHOOSE(CONTROL!$C$42, 9.4314, 9.4314)* CHOOSE(CONTROL!$C$21, $C$9, 100%, $E$9)</f>
        <v>9.4314</v>
      </c>
      <c r="J266" s="10">
        <f>CHOOSE(CONTROL!$C$42, 9.3943, 9.3943)* CHOOSE(CONTROL!$C$21, $C$9, 100%, $E$9)</f>
        <v>9.3942999999999994</v>
      </c>
      <c r="K266" s="10">
        <f>CHOOSE(CONTROL!$C$42, 9.3167, 9.3167) * CHOOSE(CONTROL!$C$21, $C$9, 100%, $E$9)</f>
        <v>9.3167000000000009</v>
      </c>
      <c r="L266" s="10">
        <f>CHOOSE(CONTROL!$C$42, 10.0652, 10.0652) * CHOOSE(CONTROL!$C$21, $C$9, 100%, $E$9)</f>
        <v>10.065200000000001</v>
      </c>
      <c r="M266" s="10">
        <f>CHOOSE(CONTROL!$C$42, 9.2963, 9.2963) * CHOOSE(CONTROL!$C$21, $C$9, 100%, $E$9)</f>
        <v>9.2963000000000005</v>
      </c>
      <c r="N266" s="10">
        <f>CHOOSE(CONTROL!$C$42, 9.314, 9.314) * CHOOSE(CONTROL!$C$21, $C$9, 100%, $E$9)</f>
        <v>9.3140000000000001</v>
      </c>
      <c r="O266" s="10">
        <f>CHOOSE(CONTROL!$C$42, 9.379, 9.379) * CHOOSE(CONTROL!$C$21, $C$9, 100%, $E$9)</f>
        <v>9.3789999999999996</v>
      </c>
      <c r="P266" s="10">
        <f>CHOOSE(CONTROL!$C$42, 9.3329, 9.3329) * CHOOSE(CONTROL!$C$21, $C$9, 100%, $E$9)</f>
        <v>9.3329000000000004</v>
      </c>
      <c r="Q266" s="10">
        <f>CHOOSE(CONTROL!$C$42, 9.9743, 9.9743) * CHOOSE(CONTROL!$C$21, $C$9, 100%, $E$9)</f>
        <v>9.9742999999999995</v>
      </c>
      <c r="R266" s="10">
        <f>CHOOSE(CONTROL!$C$42, 10.5863, 10.5863) * CHOOSE(CONTROL!$C$21, $C$9, 100%, $E$9)</f>
        <v>10.5863</v>
      </c>
      <c r="S266" s="10">
        <f>CHOOSE(CONTROL!$C$42, 9.1361, 9.1361) * CHOOSE(CONTROL!$C$21, $C$9, 100%, $E$9)</f>
        <v>9.1361000000000008</v>
      </c>
      <c r="T26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66" s="38">
        <f>(1000*CHOOSE(CONTROL!$C$42, 695, 695)*CHOOSE(CONTROL!$C$42, 0.5599, 0.5599)*CHOOSE(CONTROL!$C$42, 28, 28))/1000000</f>
        <v>10.895653999999999</v>
      </c>
      <c r="V266" s="38">
        <f>(1000*CHOOSE(CONTROL!$C$42, 500, 500)*CHOOSE(CONTROL!$C$42, 0.275, 0.275)*CHOOSE(CONTROL!$C$42, 28, 28))/1000000</f>
        <v>3.85</v>
      </c>
      <c r="W266" s="38">
        <f>(1000*CHOOSE(CONTROL!$C$42, 0.1146, 0.1146)*CHOOSE(CONTROL!$C$42, 121.5, 121.5)*CHOOSE(CONTROL!$C$42, 28, 28))/1000000</f>
        <v>0.38986920000000003</v>
      </c>
      <c r="X266" s="38">
        <f>(28*0.1790888*100000/1000000)+(28*0.2374*100000/1000000)</f>
        <v>1.16616864</v>
      </c>
      <c r="Y266" s="38">
        <f>(1000*600*CHOOSE(CONTROL!$C$42, 1.6476, 1.6476)*CHOOSE(CONTROL!$C$42, 28, 28))/1000000</f>
        <v>27.679680000000001</v>
      </c>
      <c r="Z266" s="38"/>
      <c r="AA266" s="10"/>
      <c r="AB266" s="39"/>
      <c r="AC266" s="33">
        <f>(B266*122.58+C266*297.941+D266*89.177+E266*40.302+F266*40+G266*160+H266*0+I266*100+J266*300)/(122.58+297.941+89.177+40.302+0+40+160+100+300)</f>
        <v>9.4193801471304361</v>
      </c>
      <c r="AD266" s="27">
        <f>(M266*'RAP TEMPLATE-GAS AVAILABILITY'!O265+N266*'RAP TEMPLATE-GAS AVAILABILITY'!P265+O266*'RAP TEMPLATE-GAS AVAILABILITY'!Q265+P266*'RAP TEMPLATE-GAS AVAILABILITY'!R265)/('RAP TEMPLATE-GAS AVAILABILITY'!O265+'RAP TEMPLATE-GAS AVAILABILITY'!P265+'RAP TEMPLATE-GAS AVAILABILITY'!Q265+'RAP TEMPLATE-GAS AVAILABILITY'!R265)</f>
        <v>9.3400676258992803</v>
      </c>
    </row>
    <row r="267" spans="1:30" ht="15">
      <c r="A267" s="16">
        <v>49369</v>
      </c>
      <c r="B267" s="10">
        <f>CHOOSE(CONTROL!$C$42, 9.1502, 9.1502) * CHOOSE(CONTROL!$C$21, $C$9, 100%, $E$9)</f>
        <v>9.1501999999999999</v>
      </c>
      <c r="C267" s="10">
        <f>CHOOSE(CONTROL!$C$42, 9.1553, 9.1553) * CHOOSE(CONTROL!$C$21, $C$9, 100%, $E$9)</f>
        <v>9.1553000000000004</v>
      </c>
      <c r="D267" s="10">
        <f>CHOOSE(CONTROL!$C$42, 9.1877, 9.1877) * CHOOSE(CONTROL!$C$21, $C$9, 100%, $E$9)</f>
        <v>9.1876999999999995</v>
      </c>
      <c r="E267" s="10">
        <f>CHOOSE(CONTROL!$C$42, 9.2215, 9.2215) * CHOOSE(CONTROL!$C$21, $C$9, 100%, $E$9)</f>
        <v>9.2215000000000007</v>
      </c>
      <c r="F267" s="10">
        <f>CHOOSE(CONTROL!$C$42, 9.1324, 9.1324)*CHOOSE(CONTROL!$C$21, $C$9, 100%, $E$9)</f>
        <v>9.1324000000000005</v>
      </c>
      <c r="G267" s="10">
        <f>CHOOSE(CONTROL!$C$42, 9.15, 9.15)*CHOOSE(CONTROL!$C$21, $C$9, 100%, $E$9)</f>
        <v>9.15</v>
      </c>
      <c r="H267" s="10">
        <f>CHOOSE(CONTROL!$C$42, 9.2104, 9.2104) * CHOOSE(CONTROL!$C$21, $C$9, 100%, $E$9)</f>
        <v>9.2103999999999999</v>
      </c>
      <c r="I267" s="10">
        <f>CHOOSE(CONTROL!$C$42, 9.1636, 9.1636)* CHOOSE(CONTROL!$C$21, $C$9, 100%, $E$9)</f>
        <v>9.1636000000000006</v>
      </c>
      <c r="J267" s="10">
        <f>CHOOSE(CONTROL!$C$42, 9.125, 9.125)* CHOOSE(CONTROL!$C$21, $C$9, 100%, $E$9)</f>
        <v>9.125</v>
      </c>
      <c r="K267" s="10">
        <f>CHOOSE(CONTROL!$C$42, 9.0541, 9.0541) * CHOOSE(CONTROL!$C$21, $C$9, 100%, $E$9)</f>
        <v>9.0541</v>
      </c>
      <c r="L267" s="10">
        <f>CHOOSE(CONTROL!$C$42, 9.7974, 9.7974) * CHOOSE(CONTROL!$C$21, $C$9, 100%, $E$9)</f>
        <v>9.7973999999999997</v>
      </c>
      <c r="M267" s="10">
        <f>CHOOSE(CONTROL!$C$42, 9.0307, 9.0307) * CHOOSE(CONTROL!$C$21, $C$9, 100%, $E$9)</f>
        <v>9.0306999999999995</v>
      </c>
      <c r="N267" s="10">
        <f>CHOOSE(CONTROL!$C$42, 9.0481, 9.0481) * CHOOSE(CONTROL!$C$21, $C$9, 100%, $E$9)</f>
        <v>9.0480999999999998</v>
      </c>
      <c r="O267" s="10">
        <f>CHOOSE(CONTROL!$C$42, 9.1149, 9.1149) * CHOOSE(CONTROL!$C$21, $C$9, 100%, $E$9)</f>
        <v>9.1149000000000004</v>
      </c>
      <c r="P267" s="10">
        <f>CHOOSE(CONTROL!$C$42, 9.0688, 9.0688) * CHOOSE(CONTROL!$C$21, $C$9, 100%, $E$9)</f>
        <v>9.0687999999999995</v>
      </c>
      <c r="Q267" s="10">
        <f>CHOOSE(CONTROL!$C$42, 9.7102, 9.7102) * CHOOSE(CONTROL!$C$21, $C$9, 100%, $E$9)</f>
        <v>9.7102000000000004</v>
      </c>
      <c r="R267" s="10">
        <f>CHOOSE(CONTROL!$C$42, 10.3215, 10.3215) * CHOOSE(CONTROL!$C$21, $C$9, 100%, $E$9)</f>
        <v>10.3215</v>
      </c>
      <c r="S267" s="10">
        <f>CHOOSE(CONTROL!$C$42, 8.8768, 8.8768) * CHOOSE(CONTROL!$C$21, $C$9, 100%, $E$9)</f>
        <v>8.8767999999999994</v>
      </c>
      <c r="T26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67" s="38">
        <f>(1000*CHOOSE(CONTROL!$C$42, 695, 695)*CHOOSE(CONTROL!$C$42, 0.5599, 0.5599)*CHOOSE(CONTROL!$C$42, 31, 31))/1000000</f>
        <v>12.063045499999998</v>
      </c>
      <c r="V267" s="38">
        <f>(1000*CHOOSE(CONTROL!$C$42, 500, 500)*CHOOSE(CONTROL!$C$42, 0.275, 0.275)*CHOOSE(CONTROL!$C$42, 31, 31))/1000000</f>
        <v>4.2625000000000002</v>
      </c>
      <c r="W267" s="38">
        <f>(1000*CHOOSE(CONTROL!$C$42, 0.1146, 0.1146)*CHOOSE(CONTROL!$C$42, 121.5, 121.5)*CHOOSE(CONTROL!$C$42, 31, 31))/1000000</f>
        <v>0.43164089999999994</v>
      </c>
      <c r="X267" s="38">
        <f>(31*0.1790888*100000/1000000)+(31*0.2374*100000/1000000)</f>
        <v>1.2911152800000001</v>
      </c>
      <c r="Y267" s="38">
        <f>(1000*600*CHOOSE(CONTROL!$C$42, 1.6476, 1.6476)*CHOOSE(CONTROL!$C$42, 31, 31))/1000000</f>
        <v>30.64536</v>
      </c>
      <c r="Z267" s="38"/>
      <c r="AA267" s="10"/>
      <c r="AB267" s="39"/>
      <c r="AC267" s="33">
        <f>(B267*122.58+C267*297.941+D267*89.177+E267*40.302+F267*40+G267*160+H267*0+I267*100+J267*300)/(122.58+297.941+89.177+40.302+0+40+160+100+300)</f>
        <v>9.1508723210434777</v>
      </c>
      <c r="AD267" s="27">
        <f>(M267*'RAP TEMPLATE-GAS AVAILABILITY'!O266+N267*'RAP TEMPLATE-GAS AVAILABILITY'!P266+O267*'RAP TEMPLATE-GAS AVAILABILITY'!Q266+P267*'RAP TEMPLATE-GAS AVAILABILITY'!R266)/('RAP TEMPLATE-GAS AVAILABILITY'!O266+'RAP TEMPLATE-GAS AVAILABILITY'!P266+'RAP TEMPLATE-GAS AVAILABILITY'!Q266+'RAP TEMPLATE-GAS AVAILABILITY'!R266)</f>
        <v>9.0753460431654691</v>
      </c>
    </row>
    <row r="268" spans="1:30" ht="15">
      <c r="A268" s="16">
        <v>49400</v>
      </c>
      <c r="B268" s="10">
        <f>CHOOSE(CONTROL!$C$42, 9.1235, 9.1235) * CHOOSE(CONTROL!$C$21, $C$9, 100%, $E$9)</f>
        <v>9.1234999999999999</v>
      </c>
      <c r="C268" s="10">
        <f>CHOOSE(CONTROL!$C$42, 9.128, 9.128) * CHOOSE(CONTROL!$C$21, $C$9, 100%, $E$9)</f>
        <v>9.1280000000000001</v>
      </c>
      <c r="D268" s="10">
        <f>CHOOSE(CONTROL!$C$42, 9.2881, 9.2881) * CHOOSE(CONTROL!$C$21, $C$9, 100%, $E$9)</f>
        <v>9.2881</v>
      </c>
      <c r="E268" s="10">
        <f>CHOOSE(CONTROL!$C$42, 9.32, 9.32) * CHOOSE(CONTROL!$C$21, $C$9, 100%, $E$9)</f>
        <v>9.32</v>
      </c>
      <c r="F268" s="10">
        <f>CHOOSE(CONTROL!$C$42, 9.0696, 9.0696)*CHOOSE(CONTROL!$C$21, $C$9, 100%, $E$9)</f>
        <v>9.0695999999999994</v>
      </c>
      <c r="G268" s="10">
        <f>CHOOSE(CONTROL!$C$42, 9.0854, 9.0854)*CHOOSE(CONTROL!$C$21, $C$9, 100%, $E$9)</f>
        <v>9.0853999999999999</v>
      </c>
      <c r="H268" s="10">
        <f>CHOOSE(CONTROL!$C$42, 9.3094, 9.3094) * CHOOSE(CONTROL!$C$21, $C$9, 100%, $E$9)</f>
        <v>9.3094000000000001</v>
      </c>
      <c r="I268" s="10">
        <f>CHOOSE(CONTROL!$C$42, 9.1036, 9.1036)* CHOOSE(CONTROL!$C$21, $C$9, 100%, $E$9)</f>
        <v>9.1036000000000001</v>
      </c>
      <c r="J268" s="10">
        <f>CHOOSE(CONTROL!$C$42, 9.0622, 9.0622)* CHOOSE(CONTROL!$C$21, $C$9, 100%, $E$9)</f>
        <v>9.0622000000000007</v>
      </c>
      <c r="K268" s="10">
        <f>CHOOSE(CONTROL!$C$42, 8.98, 8.98) * CHOOSE(CONTROL!$C$21, $C$9, 100%, $E$9)</f>
        <v>8.98</v>
      </c>
      <c r="L268" s="10">
        <f>CHOOSE(CONTROL!$C$42, 9.8964, 9.8964) * CHOOSE(CONTROL!$C$21, $C$9, 100%, $E$9)</f>
        <v>9.8963999999999999</v>
      </c>
      <c r="M268" s="10">
        <f>CHOOSE(CONTROL!$C$42, 8.9688, 8.9688) * CHOOSE(CONTROL!$C$21, $C$9, 100%, $E$9)</f>
        <v>8.9687999999999999</v>
      </c>
      <c r="N268" s="10">
        <f>CHOOSE(CONTROL!$C$42, 8.9844, 8.9844) * CHOOSE(CONTROL!$C$21, $C$9, 100%, $E$9)</f>
        <v>8.9844000000000008</v>
      </c>
      <c r="O268" s="10">
        <f>CHOOSE(CONTROL!$C$42, 9.2126, 9.2126) * CHOOSE(CONTROL!$C$21, $C$9, 100%, $E$9)</f>
        <v>9.2126000000000001</v>
      </c>
      <c r="P268" s="10">
        <f>CHOOSE(CONTROL!$C$42, 9.0097, 9.0097) * CHOOSE(CONTROL!$C$21, $C$9, 100%, $E$9)</f>
        <v>9.0097000000000005</v>
      </c>
      <c r="Q268" s="10">
        <f>CHOOSE(CONTROL!$C$42, 9.8079, 9.8079) * CHOOSE(CONTROL!$C$21, $C$9, 100%, $E$9)</f>
        <v>9.8079000000000001</v>
      </c>
      <c r="R268" s="10">
        <f>CHOOSE(CONTROL!$C$42, 10.4194, 10.4194) * CHOOSE(CONTROL!$C$21, $C$9, 100%, $E$9)</f>
        <v>10.4194</v>
      </c>
      <c r="S268" s="10">
        <f>CHOOSE(CONTROL!$C$42, 8.8502, 8.8502) * CHOOSE(CONTROL!$C$21, $C$9, 100%, $E$9)</f>
        <v>8.8501999999999992</v>
      </c>
      <c r="T26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68" s="38">
        <f>(1000*CHOOSE(CONTROL!$C$42, 695, 695)*CHOOSE(CONTROL!$C$42, 0.5599, 0.5599)*CHOOSE(CONTROL!$C$42, 30, 30))/1000000</f>
        <v>11.673914999999997</v>
      </c>
      <c r="V268" s="38">
        <f>(1000*CHOOSE(CONTROL!$C$42, 500, 500)*CHOOSE(CONTROL!$C$42, 0.275, 0.275)*CHOOSE(CONTROL!$C$42, 30, 30))/1000000</f>
        <v>4.125</v>
      </c>
      <c r="W268" s="38">
        <f>(1000*CHOOSE(CONTROL!$C$42, 0.1146, 0.1146)*CHOOSE(CONTROL!$C$42, 121.5, 121.5)*CHOOSE(CONTROL!$C$42, 30, 30))/1000000</f>
        <v>0.417717</v>
      </c>
      <c r="X268" s="38">
        <f>(30*0.1790888*245000/1000000)+(30*0.2374*100000/1000000)</f>
        <v>2.0285026799999999</v>
      </c>
      <c r="Y268" s="38">
        <f>(1000*600*CHOOSE(CONTROL!$C$42, 1.6476, 1.6476)*CHOOSE(CONTROL!$C$42, 30, 30))/1000000</f>
        <v>29.6568</v>
      </c>
      <c r="Z268" s="38"/>
      <c r="AA268" s="10"/>
      <c r="AB268" s="39"/>
      <c r="AC268" s="33">
        <f>(B268*141.293+C268*267.993+D268*115.016+E268*89.698+F268*40+G268*185+H268*0+I268*100+J268*300)/(141.293+267.993+115.016+89.698+0+40+185+100+300)</f>
        <v>9.130101096933009</v>
      </c>
      <c r="AD268" s="27">
        <f>(M268*'RAP TEMPLATE-GAS AVAILABILITY'!O267+N268*'RAP TEMPLATE-GAS AVAILABILITY'!P267+O268*'RAP TEMPLATE-GAS AVAILABILITY'!Q267+P268*'RAP TEMPLATE-GAS AVAILABILITY'!R267)/('RAP TEMPLATE-GAS AVAILABILITY'!O267+'RAP TEMPLATE-GAS AVAILABILITY'!P267+'RAP TEMPLATE-GAS AVAILABILITY'!Q267+'RAP TEMPLATE-GAS AVAILABILITY'!R267)</f>
        <v>9.0466805755395701</v>
      </c>
    </row>
    <row r="269" spans="1:30" ht="15">
      <c r="A269" s="16">
        <v>49430</v>
      </c>
      <c r="B269" s="10">
        <f>CHOOSE(CONTROL!$C$42, 9.206, 9.206) * CHOOSE(CONTROL!$C$21, $C$9, 100%, $E$9)</f>
        <v>9.2059999999999995</v>
      </c>
      <c r="C269" s="10">
        <f>CHOOSE(CONTROL!$C$42, 9.214, 9.214) * CHOOSE(CONTROL!$C$21, $C$9, 100%, $E$9)</f>
        <v>9.2140000000000004</v>
      </c>
      <c r="D269" s="10">
        <f>CHOOSE(CONTROL!$C$42, 9.371, 9.371) * CHOOSE(CONTROL!$C$21, $C$9, 100%, $E$9)</f>
        <v>9.3710000000000004</v>
      </c>
      <c r="E269" s="10">
        <f>CHOOSE(CONTROL!$C$42, 9.4022, 9.4022) * CHOOSE(CONTROL!$C$21, $C$9, 100%, $E$9)</f>
        <v>9.4022000000000006</v>
      </c>
      <c r="F269" s="10">
        <f>CHOOSE(CONTROL!$C$42, 9.1501, 9.1501)*CHOOSE(CONTROL!$C$21, $C$9, 100%, $E$9)</f>
        <v>9.1501000000000001</v>
      </c>
      <c r="G269" s="10">
        <f>CHOOSE(CONTROL!$C$42, 9.1662, 9.1662)*CHOOSE(CONTROL!$C$21, $C$9, 100%, $E$9)</f>
        <v>9.1661999999999999</v>
      </c>
      <c r="H269" s="10">
        <f>CHOOSE(CONTROL!$C$42, 9.3906, 9.3906) * CHOOSE(CONTROL!$C$21, $C$9, 100%, $E$9)</f>
        <v>9.3905999999999992</v>
      </c>
      <c r="I269" s="10">
        <f>CHOOSE(CONTROL!$C$42, 9.1847, 9.1847)* CHOOSE(CONTROL!$C$21, $C$9, 100%, $E$9)</f>
        <v>9.1846999999999994</v>
      </c>
      <c r="J269" s="10">
        <f>CHOOSE(CONTROL!$C$42, 9.1427, 9.1427)* CHOOSE(CONTROL!$C$21, $C$9, 100%, $E$9)</f>
        <v>9.1426999999999996</v>
      </c>
      <c r="K269" s="10">
        <f>CHOOSE(CONTROL!$C$42, 9.0572, 9.0572) * CHOOSE(CONTROL!$C$21, $C$9, 100%, $E$9)</f>
        <v>9.0571999999999999</v>
      </c>
      <c r="L269" s="10">
        <f>CHOOSE(CONTROL!$C$42, 9.9776, 9.9776) * CHOOSE(CONTROL!$C$21, $C$9, 100%, $E$9)</f>
        <v>9.9776000000000007</v>
      </c>
      <c r="M269" s="10">
        <f>CHOOSE(CONTROL!$C$42, 9.0482, 9.0482) * CHOOSE(CONTROL!$C$21, $C$9, 100%, $E$9)</f>
        <v>9.0481999999999996</v>
      </c>
      <c r="N269" s="10">
        <f>CHOOSE(CONTROL!$C$42, 9.0641, 9.0641) * CHOOSE(CONTROL!$C$21, $C$9, 100%, $E$9)</f>
        <v>9.0640999999999998</v>
      </c>
      <c r="O269" s="10">
        <f>CHOOSE(CONTROL!$C$42, 9.2926, 9.2926) * CHOOSE(CONTROL!$C$21, $C$9, 100%, $E$9)</f>
        <v>9.2926000000000002</v>
      </c>
      <c r="P269" s="10">
        <f>CHOOSE(CONTROL!$C$42, 9.0897, 9.0897) * CHOOSE(CONTROL!$C$21, $C$9, 100%, $E$9)</f>
        <v>9.0897000000000006</v>
      </c>
      <c r="Q269" s="10">
        <f>CHOOSE(CONTROL!$C$42, 9.8879, 9.8879) * CHOOSE(CONTROL!$C$21, $C$9, 100%, $E$9)</f>
        <v>9.8879000000000001</v>
      </c>
      <c r="R269" s="10">
        <f>CHOOSE(CONTROL!$C$42, 10.4996, 10.4996) * CHOOSE(CONTROL!$C$21, $C$9, 100%, $E$9)</f>
        <v>10.499599999999999</v>
      </c>
      <c r="S269" s="10">
        <f>CHOOSE(CONTROL!$C$42, 8.9287, 8.9287) * CHOOSE(CONTROL!$C$21, $C$9, 100%, $E$9)</f>
        <v>8.9286999999999992</v>
      </c>
      <c r="T26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69" s="38">
        <f>(1000*CHOOSE(CONTROL!$C$42, 695, 695)*CHOOSE(CONTROL!$C$42, 0.5599, 0.5599)*CHOOSE(CONTROL!$C$42, 31, 31))/1000000</f>
        <v>12.063045499999998</v>
      </c>
      <c r="V269" s="38">
        <f>(1000*CHOOSE(CONTROL!$C$42, 500, 500)*CHOOSE(CONTROL!$C$42, 0.275, 0.275)*CHOOSE(CONTROL!$C$42, 31, 31))/1000000</f>
        <v>4.2625000000000002</v>
      </c>
      <c r="W269" s="38">
        <f>(1000*CHOOSE(CONTROL!$C$42, 0.1146, 0.1146)*CHOOSE(CONTROL!$C$42, 121.5, 121.5)*CHOOSE(CONTROL!$C$42, 31, 31))/1000000</f>
        <v>0.43164089999999994</v>
      </c>
      <c r="X269" s="38">
        <f>(31*0.1790888*245000/1000000)+(31*0.2374*100000/1000000)</f>
        <v>2.0961194359999999</v>
      </c>
      <c r="Y269" s="38">
        <f>(1000*600*CHOOSE(CONTROL!$C$42, 1.6476, 1.6476)*CHOOSE(CONTROL!$C$42, 31, 31))/1000000</f>
        <v>30.64536</v>
      </c>
      <c r="Z269" s="38"/>
      <c r="AA269" s="10"/>
      <c r="AB269" s="39"/>
      <c r="AC269" s="33">
        <f>(B269*194.205+C269*267.466+D269*133.845+E269*53.484+F269*40+G269*185+H269*0+I269*100+J269*300)/(194.205+267.466+133.845+53.484+0+40+185+100+300)</f>
        <v>9.2091387078492932</v>
      </c>
      <c r="AD269" s="27">
        <f>(M269*'RAP TEMPLATE-GAS AVAILABILITY'!O268+N269*'RAP TEMPLATE-GAS AVAILABILITY'!P268+O269*'RAP TEMPLATE-GAS AVAILABILITY'!Q268+P269*'RAP TEMPLATE-GAS AVAILABILITY'!R268)/('RAP TEMPLATE-GAS AVAILABILITY'!O268+'RAP TEMPLATE-GAS AVAILABILITY'!P268+'RAP TEMPLATE-GAS AVAILABILITY'!Q268+'RAP TEMPLATE-GAS AVAILABILITY'!R268)</f>
        <v>9.126404316546763</v>
      </c>
    </row>
    <row r="270" spans="1:30" ht="15">
      <c r="A270" s="15">
        <v>49461</v>
      </c>
      <c r="B270" s="10">
        <f>CHOOSE(CONTROL!$C$42, 9.4675, 9.4675) * CHOOSE(CONTROL!$C$21, $C$9, 100%, $E$9)</f>
        <v>9.4674999999999994</v>
      </c>
      <c r="C270" s="10">
        <f>CHOOSE(CONTROL!$C$42, 9.4755, 9.4755) * CHOOSE(CONTROL!$C$21, $C$9, 100%, $E$9)</f>
        <v>9.4755000000000003</v>
      </c>
      <c r="D270" s="10">
        <f>CHOOSE(CONTROL!$C$42, 9.6325, 9.6325) * CHOOSE(CONTROL!$C$21, $C$9, 100%, $E$9)</f>
        <v>9.6325000000000003</v>
      </c>
      <c r="E270" s="10">
        <f>CHOOSE(CONTROL!$C$42, 9.6638, 9.6638) * CHOOSE(CONTROL!$C$21, $C$9, 100%, $E$9)</f>
        <v>9.6638000000000002</v>
      </c>
      <c r="F270" s="10">
        <f>CHOOSE(CONTROL!$C$42, 9.4118, 9.4118)*CHOOSE(CONTROL!$C$21, $C$9, 100%, $E$9)</f>
        <v>9.4117999999999995</v>
      </c>
      <c r="G270" s="10">
        <f>CHOOSE(CONTROL!$C$42, 9.428, 9.428)*CHOOSE(CONTROL!$C$21, $C$9, 100%, $E$9)</f>
        <v>9.4280000000000008</v>
      </c>
      <c r="H270" s="10">
        <f>CHOOSE(CONTROL!$C$42, 9.6521, 9.6521) * CHOOSE(CONTROL!$C$21, $C$9, 100%, $E$9)</f>
        <v>9.6521000000000008</v>
      </c>
      <c r="I270" s="10">
        <f>CHOOSE(CONTROL!$C$42, 9.4463, 9.4463)* CHOOSE(CONTROL!$C$21, $C$9, 100%, $E$9)</f>
        <v>9.4463000000000008</v>
      </c>
      <c r="J270" s="10">
        <f>CHOOSE(CONTROL!$C$42, 9.4044, 9.4044)* CHOOSE(CONTROL!$C$21, $C$9, 100%, $E$9)</f>
        <v>9.4044000000000008</v>
      </c>
      <c r="K270" s="10">
        <f>CHOOSE(CONTROL!$C$42, 9.311, 9.311) * CHOOSE(CONTROL!$C$21, $C$9, 100%, $E$9)</f>
        <v>9.3109999999999999</v>
      </c>
      <c r="L270" s="10">
        <f>CHOOSE(CONTROL!$C$42, 10.2391, 10.2391) * CHOOSE(CONTROL!$C$21, $C$9, 100%, $E$9)</f>
        <v>10.239100000000001</v>
      </c>
      <c r="M270" s="10">
        <f>CHOOSE(CONTROL!$C$42, 9.3062, 9.3062) * CHOOSE(CONTROL!$C$21, $C$9, 100%, $E$9)</f>
        <v>9.3062000000000005</v>
      </c>
      <c r="N270" s="10">
        <f>CHOOSE(CONTROL!$C$42, 9.3222, 9.3222) * CHOOSE(CONTROL!$C$21, $C$9, 100%, $E$9)</f>
        <v>9.3222000000000005</v>
      </c>
      <c r="O270" s="10">
        <f>CHOOSE(CONTROL!$C$42, 9.5505, 9.5505) * CHOOSE(CONTROL!$C$21, $C$9, 100%, $E$9)</f>
        <v>9.5504999999999995</v>
      </c>
      <c r="P270" s="10">
        <f>CHOOSE(CONTROL!$C$42, 9.3476, 9.3476) * CHOOSE(CONTROL!$C$21, $C$9, 100%, $E$9)</f>
        <v>9.3475999999999999</v>
      </c>
      <c r="Q270" s="10">
        <f>CHOOSE(CONTROL!$C$42, 10.1458, 10.1458) * CHOOSE(CONTROL!$C$21, $C$9, 100%, $E$9)</f>
        <v>10.145799999999999</v>
      </c>
      <c r="R270" s="10">
        <f>CHOOSE(CONTROL!$C$42, 10.7581, 10.7581) * CHOOSE(CONTROL!$C$21, $C$9, 100%, $E$9)</f>
        <v>10.758100000000001</v>
      </c>
      <c r="S270" s="10">
        <f>CHOOSE(CONTROL!$C$42, 9.182, 9.182) * CHOOSE(CONTROL!$C$21, $C$9, 100%, $E$9)</f>
        <v>9.1820000000000004</v>
      </c>
      <c r="T27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70" s="38">
        <f>(1000*CHOOSE(CONTROL!$C$42, 695, 695)*CHOOSE(CONTROL!$C$42, 0.5599, 0.5599)*CHOOSE(CONTROL!$C$42, 30, 30))/1000000</f>
        <v>11.673914999999997</v>
      </c>
      <c r="V270" s="38">
        <f>(1000*CHOOSE(CONTROL!$C$42, 500, 500)*CHOOSE(CONTROL!$C$42, 0.275, 0.275)*CHOOSE(CONTROL!$C$42, 30, 30))/1000000</f>
        <v>4.125</v>
      </c>
      <c r="W270" s="38">
        <f>(1000*CHOOSE(CONTROL!$C$42, 0.1146, 0.1146)*CHOOSE(CONTROL!$C$42, 121.5, 121.5)*CHOOSE(CONTROL!$C$42, 30, 30))/1000000</f>
        <v>0.417717</v>
      </c>
      <c r="X270" s="38">
        <f>(30*0.1790888*245000/1000000)+(30*0.2374*100000/1000000)</f>
        <v>2.0285026799999999</v>
      </c>
      <c r="Y270" s="38">
        <f>(1000*600*CHOOSE(CONTROL!$C$42, 1.6476, 1.6476)*CHOOSE(CONTROL!$C$42, 30, 30))/1000000</f>
        <v>29.6568</v>
      </c>
      <c r="Z270" s="38"/>
      <c r="AA270" s="10"/>
      <c r="AB270" s="39"/>
      <c r="AC270" s="33">
        <f>(B270*194.205+C270*267.466+D270*133.845+E270*53.484+F270*40+G270*185+H270*0+I270*100+J270*300)/(194.205+267.466+133.845+53.484+0+40+185+100+300)</f>
        <v>9.4707476940345359</v>
      </c>
      <c r="AD270" s="27">
        <f>(M270*'RAP TEMPLATE-GAS AVAILABILITY'!O269+N270*'RAP TEMPLATE-GAS AVAILABILITY'!P269+O270*'RAP TEMPLATE-GAS AVAILABILITY'!Q269+P270*'RAP TEMPLATE-GAS AVAILABILITY'!R269)/('RAP TEMPLATE-GAS AVAILABILITY'!O269+'RAP TEMPLATE-GAS AVAILABILITY'!P269+'RAP TEMPLATE-GAS AVAILABILITY'!Q269+'RAP TEMPLATE-GAS AVAILABILITY'!R269)</f>
        <v>9.3843848920863326</v>
      </c>
    </row>
    <row r="271" spans="1:30" ht="15">
      <c r="A271" s="15">
        <v>49491</v>
      </c>
      <c r="B271" s="10">
        <f>CHOOSE(CONTROL!$C$42, 9.2856, 9.2856) * CHOOSE(CONTROL!$C$21, $C$9, 100%, $E$9)</f>
        <v>9.2856000000000005</v>
      </c>
      <c r="C271" s="10">
        <f>CHOOSE(CONTROL!$C$42, 9.2936, 9.2936) * CHOOSE(CONTROL!$C$21, $C$9, 100%, $E$9)</f>
        <v>9.2935999999999996</v>
      </c>
      <c r="D271" s="10">
        <f>CHOOSE(CONTROL!$C$42, 9.4506, 9.4506) * CHOOSE(CONTROL!$C$21, $C$9, 100%, $E$9)</f>
        <v>9.4505999999999997</v>
      </c>
      <c r="E271" s="10">
        <f>CHOOSE(CONTROL!$C$42, 9.4819, 9.4819) * CHOOSE(CONTROL!$C$21, $C$9, 100%, $E$9)</f>
        <v>9.4818999999999996</v>
      </c>
      <c r="F271" s="10">
        <f>CHOOSE(CONTROL!$C$42, 9.2302, 9.2302)*CHOOSE(CONTROL!$C$21, $C$9, 100%, $E$9)</f>
        <v>9.2302</v>
      </c>
      <c r="G271" s="10">
        <f>CHOOSE(CONTROL!$C$42, 9.2465, 9.2465)*CHOOSE(CONTROL!$C$21, $C$9, 100%, $E$9)</f>
        <v>9.2464999999999993</v>
      </c>
      <c r="H271" s="10">
        <f>CHOOSE(CONTROL!$C$42, 9.4702, 9.4702) * CHOOSE(CONTROL!$C$21, $C$9, 100%, $E$9)</f>
        <v>9.4702000000000002</v>
      </c>
      <c r="I271" s="10">
        <f>CHOOSE(CONTROL!$C$42, 9.2644, 9.2644)* CHOOSE(CONTROL!$C$21, $C$9, 100%, $E$9)</f>
        <v>9.2644000000000002</v>
      </c>
      <c r="J271" s="10">
        <f>CHOOSE(CONTROL!$C$42, 9.2228, 9.2228)* CHOOSE(CONTROL!$C$21, $C$9, 100%, $E$9)</f>
        <v>9.2227999999999994</v>
      </c>
      <c r="K271" s="10">
        <f>CHOOSE(CONTROL!$C$42, 9.1355, 9.1355) * CHOOSE(CONTROL!$C$21, $C$9, 100%, $E$9)</f>
        <v>9.1355000000000004</v>
      </c>
      <c r="L271" s="10">
        <f>CHOOSE(CONTROL!$C$42, 10.0572, 10.0572) * CHOOSE(CONTROL!$C$21, $C$9, 100%, $E$9)</f>
        <v>10.0572</v>
      </c>
      <c r="M271" s="10">
        <f>CHOOSE(CONTROL!$C$42, 9.1272, 9.1272) * CHOOSE(CONTROL!$C$21, $C$9, 100%, $E$9)</f>
        <v>9.1272000000000002</v>
      </c>
      <c r="N271" s="10">
        <f>CHOOSE(CONTROL!$C$42, 9.1432, 9.1432) * CHOOSE(CONTROL!$C$21, $C$9, 100%, $E$9)</f>
        <v>9.1432000000000002</v>
      </c>
      <c r="O271" s="10">
        <f>CHOOSE(CONTROL!$C$42, 9.3711, 9.3711) * CHOOSE(CONTROL!$C$21, $C$9, 100%, $E$9)</f>
        <v>9.3711000000000002</v>
      </c>
      <c r="P271" s="10">
        <f>CHOOSE(CONTROL!$C$42, 9.1682, 9.1682) * CHOOSE(CONTROL!$C$21, $C$9, 100%, $E$9)</f>
        <v>9.1682000000000006</v>
      </c>
      <c r="Q271" s="10">
        <f>CHOOSE(CONTROL!$C$42, 9.9664, 9.9664) * CHOOSE(CONTROL!$C$21, $C$9, 100%, $E$9)</f>
        <v>9.9664000000000001</v>
      </c>
      <c r="R271" s="10">
        <f>CHOOSE(CONTROL!$C$42, 10.5783, 10.5783) * CHOOSE(CONTROL!$C$21, $C$9, 100%, $E$9)</f>
        <v>10.5783</v>
      </c>
      <c r="S271" s="10">
        <f>CHOOSE(CONTROL!$C$42, 9.0058, 9.0058) * CHOOSE(CONTROL!$C$21, $C$9, 100%, $E$9)</f>
        <v>9.0058000000000007</v>
      </c>
      <c r="T27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71" s="38">
        <f>(1000*CHOOSE(CONTROL!$C$42, 695, 695)*CHOOSE(CONTROL!$C$42, 0.5599, 0.5599)*CHOOSE(CONTROL!$C$42, 31, 31))/1000000</f>
        <v>12.063045499999998</v>
      </c>
      <c r="V271" s="38">
        <f>(1000*CHOOSE(CONTROL!$C$42, 500, 500)*CHOOSE(CONTROL!$C$42, 0.275, 0.275)*CHOOSE(CONTROL!$C$42, 31, 31))/1000000</f>
        <v>4.2625000000000002</v>
      </c>
      <c r="W271" s="38">
        <f>(1000*CHOOSE(CONTROL!$C$42, 0.1146, 0.1146)*CHOOSE(CONTROL!$C$42, 121.5, 121.5)*CHOOSE(CONTROL!$C$42, 31, 31))/1000000</f>
        <v>0.43164089999999994</v>
      </c>
      <c r="X271" s="38">
        <f>(31*0.1790888*245000/1000000)+(31*0.2374*100000/1000000)</f>
        <v>2.0961194359999999</v>
      </c>
      <c r="Y271" s="38">
        <f>(1000*600*CHOOSE(CONTROL!$C$42, 1.6476, 1.6476)*CHOOSE(CONTROL!$C$42, 31, 31))/1000000</f>
        <v>30.64536</v>
      </c>
      <c r="Z271" s="38"/>
      <c r="AA271" s="10"/>
      <c r="AB271" s="39"/>
      <c r="AC271" s="33">
        <f>(B271*194.205+C271*267.466+D271*133.845+E271*53.484+F271*40+G271*185+H271*0+I271*100+J271*300)/(194.205+267.466+133.845+53.484+0+40+185+100+300)</f>
        <v>9.2889858416012565</v>
      </c>
      <c r="AD271" s="27">
        <f>(M271*'RAP TEMPLATE-GAS AVAILABILITY'!O270+N271*'RAP TEMPLATE-GAS AVAILABILITY'!P270+O271*'RAP TEMPLATE-GAS AVAILABILITY'!Q270+P271*'RAP TEMPLATE-GAS AVAILABILITY'!R270)/('RAP TEMPLATE-GAS AVAILABILITY'!O270+'RAP TEMPLATE-GAS AVAILABILITY'!P270+'RAP TEMPLATE-GAS AVAILABILITY'!Q270+'RAP TEMPLATE-GAS AVAILABILITY'!R270)</f>
        <v>9.2052151079136681</v>
      </c>
    </row>
    <row r="272" spans="1:30" ht="15">
      <c r="A272" s="15">
        <v>49522</v>
      </c>
      <c r="B272" s="10">
        <f>CHOOSE(CONTROL!$C$42, 8.8263, 8.8263) * CHOOSE(CONTROL!$C$21, $C$9, 100%, $E$9)</f>
        <v>8.8262999999999998</v>
      </c>
      <c r="C272" s="10">
        <f>CHOOSE(CONTROL!$C$42, 8.8343, 8.8343) * CHOOSE(CONTROL!$C$21, $C$9, 100%, $E$9)</f>
        <v>8.8343000000000007</v>
      </c>
      <c r="D272" s="10">
        <f>CHOOSE(CONTROL!$C$42, 8.9913, 8.9913) * CHOOSE(CONTROL!$C$21, $C$9, 100%, $E$9)</f>
        <v>8.9913000000000007</v>
      </c>
      <c r="E272" s="10">
        <f>CHOOSE(CONTROL!$C$42, 9.0225, 9.0225) * CHOOSE(CONTROL!$C$21, $C$9, 100%, $E$9)</f>
        <v>9.0225000000000009</v>
      </c>
      <c r="F272" s="10">
        <f>CHOOSE(CONTROL!$C$42, 8.7708, 8.7708)*CHOOSE(CONTROL!$C$21, $C$9, 100%, $E$9)</f>
        <v>8.7707999999999995</v>
      </c>
      <c r="G272" s="10">
        <f>CHOOSE(CONTROL!$C$42, 8.7871, 8.7871)*CHOOSE(CONTROL!$C$21, $C$9, 100%, $E$9)</f>
        <v>8.7871000000000006</v>
      </c>
      <c r="H272" s="10">
        <f>CHOOSE(CONTROL!$C$42, 9.0109, 9.0109) * CHOOSE(CONTROL!$C$21, $C$9, 100%, $E$9)</f>
        <v>9.0108999999999995</v>
      </c>
      <c r="I272" s="10">
        <f>CHOOSE(CONTROL!$C$42, 8.805, 8.805)* CHOOSE(CONTROL!$C$21, $C$9, 100%, $E$9)</f>
        <v>8.8049999999999997</v>
      </c>
      <c r="J272" s="10">
        <f>CHOOSE(CONTROL!$C$42, 8.7634, 8.7634)* CHOOSE(CONTROL!$C$21, $C$9, 100%, $E$9)</f>
        <v>8.7634000000000007</v>
      </c>
      <c r="K272" s="10">
        <f>CHOOSE(CONTROL!$C$42, 8.6903, 8.6903) * CHOOSE(CONTROL!$C$21, $C$9, 100%, $E$9)</f>
        <v>8.6903000000000006</v>
      </c>
      <c r="L272" s="10">
        <f>CHOOSE(CONTROL!$C$42, 9.5979, 9.5979) * CHOOSE(CONTROL!$C$21, $C$9, 100%, $E$9)</f>
        <v>9.5978999999999992</v>
      </c>
      <c r="M272" s="10">
        <f>CHOOSE(CONTROL!$C$42, 8.6742, 8.6742) * CHOOSE(CONTROL!$C$21, $C$9, 100%, $E$9)</f>
        <v>8.6742000000000008</v>
      </c>
      <c r="N272" s="10">
        <f>CHOOSE(CONTROL!$C$42, 8.6902, 8.6902) * CHOOSE(CONTROL!$C$21, $C$9, 100%, $E$9)</f>
        <v>8.6902000000000008</v>
      </c>
      <c r="O272" s="10">
        <f>CHOOSE(CONTROL!$C$42, 8.9182, 8.9182) * CHOOSE(CONTROL!$C$21, $C$9, 100%, $E$9)</f>
        <v>8.9182000000000006</v>
      </c>
      <c r="P272" s="10">
        <f>CHOOSE(CONTROL!$C$42, 8.7153, 8.7153) * CHOOSE(CONTROL!$C$21, $C$9, 100%, $E$9)</f>
        <v>8.7152999999999992</v>
      </c>
      <c r="Q272" s="10">
        <f>CHOOSE(CONTROL!$C$42, 9.5135, 9.5135) * CHOOSE(CONTROL!$C$21, $C$9, 100%, $E$9)</f>
        <v>9.5135000000000005</v>
      </c>
      <c r="R272" s="10">
        <f>CHOOSE(CONTROL!$C$42, 10.1243, 10.1243) * CHOOSE(CONTROL!$C$21, $C$9, 100%, $E$9)</f>
        <v>10.1243</v>
      </c>
      <c r="S272" s="10">
        <f>CHOOSE(CONTROL!$C$42, 8.5611, 8.5611) * CHOOSE(CONTROL!$C$21, $C$9, 100%, $E$9)</f>
        <v>8.5610999999999997</v>
      </c>
      <c r="T27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72" s="38">
        <f>(1000*CHOOSE(CONTROL!$C$42, 695, 695)*CHOOSE(CONTROL!$C$42, 0.5599, 0.5599)*CHOOSE(CONTROL!$C$42, 31, 31))/1000000</f>
        <v>12.063045499999998</v>
      </c>
      <c r="V272" s="38">
        <f>(1000*CHOOSE(CONTROL!$C$42, 500, 500)*CHOOSE(CONTROL!$C$42, 0.275, 0.275)*CHOOSE(CONTROL!$C$42, 31, 31))/1000000</f>
        <v>4.2625000000000002</v>
      </c>
      <c r="W272" s="38">
        <f>(1000*CHOOSE(CONTROL!$C$42, 0.1146, 0.1146)*CHOOSE(CONTROL!$C$42, 121.5, 121.5)*CHOOSE(CONTROL!$C$42, 31, 31))/1000000</f>
        <v>0.43164089999999994</v>
      </c>
      <c r="X272" s="38">
        <f>(31*0.1790888*245000/1000000)+(31*0.2374*100000/1000000)</f>
        <v>2.0961194359999999</v>
      </c>
      <c r="Y272" s="38">
        <f>(1000*600*CHOOSE(CONTROL!$C$42, 1.6476, 1.6476)*CHOOSE(CONTROL!$C$42, 31, 31))/1000000</f>
        <v>30.64536</v>
      </c>
      <c r="Z272" s="38"/>
      <c r="AA272" s="10"/>
      <c r="AB272" s="39"/>
      <c r="AC272" s="33">
        <f>(B272*194.205+C272*267.466+D272*133.845+E272*53.484+F272*40+G272*185+H272*0+I272*100+J272*300)/(194.205+267.466+133.845+53.484+0+40+185+100+300)</f>
        <v>8.829632585400315</v>
      </c>
      <c r="AD272" s="27">
        <f>(M272*'RAP TEMPLATE-GAS AVAILABILITY'!O271+N272*'RAP TEMPLATE-GAS AVAILABILITY'!P271+O272*'RAP TEMPLATE-GAS AVAILABILITY'!Q271+P272*'RAP TEMPLATE-GAS AVAILABILITY'!R271)/('RAP TEMPLATE-GAS AVAILABILITY'!O271+'RAP TEMPLATE-GAS AVAILABILITY'!P271+'RAP TEMPLATE-GAS AVAILABILITY'!Q271+'RAP TEMPLATE-GAS AVAILABILITY'!R271)</f>
        <v>8.7522575539568344</v>
      </c>
    </row>
    <row r="273" spans="1:30" ht="15">
      <c r="A273" s="15">
        <v>49553</v>
      </c>
      <c r="B273" s="10">
        <f>CHOOSE(CONTROL!$C$42, 8.265, 8.265) * CHOOSE(CONTROL!$C$21, $C$9, 100%, $E$9)</f>
        <v>8.2650000000000006</v>
      </c>
      <c r="C273" s="10">
        <f>CHOOSE(CONTROL!$C$42, 8.273, 8.273) * CHOOSE(CONTROL!$C$21, $C$9, 100%, $E$9)</f>
        <v>8.2729999999999997</v>
      </c>
      <c r="D273" s="10">
        <f>CHOOSE(CONTROL!$C$42, 8.4301, 8.4301) * CHOOSE(CONTROL!$C$21, $C$9, 100%, $E$9)</f>
        <v>8.4300999999999995</v>
      </c>
      <c r="E273" s="10">
        <f>CHOOSE(CONTROL!$C$42, 8.4613, 8.4613) * CHOOSE(CONTROL!$C$21, $C$9, 100%, $E$9)</f>
        <v>8.4612999999999996</v>
      </c>
      <c r="F273" s="10">
        <f>CHOOSE(CONTROL!$C$42, 8.2094, 8.2094)*CHOOSE(CONTROL!$C$21, $C$9, 100%, $E$9)</f>
        <v>8.2094000000000005</v>
      </c>
      <c r="G273" s="10">
        <f>CHOOSE(CONTROL!$C$42, 8.2256, 8.2256)*CHOOSE(CONTROL!$C$21, $C$9, 100%, $E$9)</f>
        <v>8.2256</v>
      </c>
      <c r="H273" s="10">
        <f>CHOOSE(CONTROL!$C$42, 8.4496, 8.4496) * CHOOSE(CONTROL!$C$21, $C$9, 100%, $E$9)</f>
        <v>8.4496000000000002</v>
      </c>
      <c r="I273" s="10">
        <f>CHOOSE(CONTROL!$C$42, 8.2438, 8.2438)* CHOOSE(CONTROL!$C$21, $C$9, 100%, $E$9)</f>
        <v>8.2438000000000002</v>
      </c>
      <c r="J273" s="10">
        <f>CHOOSE(CONTROL!$C$42, 8.202, 8.202)* CHOOSE(CONTROL!$C$21, $C$9, 100%, $E$9)</f>
        <v>8.202</v>
      </c>
      <c r="K273" s="10">
        <f>CHOOSE(CONTROL!$C$42, 8.1462, 8.1462) * CHOOSE(CONTROL!$C$21, $C$9, 100%, $E$9)</f>
        <v>8.1462000000000003</v>
      </c>
      <c r="L273" s="10">
        <f>CHOOSE(CONTROL!$C$42, 9.0366, 9.0366) * CHOOSE(CONTROL!$C$21, $C$9, 100%, $E$9)</f>
        <v>9.0366</v>
      </c>
      <c r="M273" s="10">
        <f>CHOOSE(CONTROL!$C$42, 8.1206, 8.1206) * CHOOSE(CONTROL!$C$21, $C$9, 100%, $E$9)</f>
        <v>8.1205999999999996</v>
      </c>
      <c r="N273" s="10">
        <f>CHOOSE(CONTROL!$C$42, 8.1366, 8.1366) * CHOOSE(CONTROL!$C$21, $C$9, 100%, $E$9)</f>
        <v>8.1365999999999996</v>
      </c>
      <c r="O273" s="10">
        <f>CHOOSE(CONTROL!$C$42, 8.3648, 8.3648) * CHOOSE(CONTROL!$C$21, $C$9, 100%, $E$9)</f>
        <v>8.3648000000000007</v>
      </c>
      <c r="P273" s="10">
        <f>CHOOSE(CONTROL!$C$42, 8.1619, 8.1619) * CHOOSE(CONTROL!$C$21, $C$9, 100%, $E$9)</f>
        <v>8.1618999999999993</v>
      </c>
      <c r="Q273" s="10">
        <f>CHOOSE(CONTROL!$C$42, 8.9601, 8.9601) * CHOOSE(CONTROL!$C$21, $C$9, 100%, $E$9)</f>
        <v>8.9601000000000006</v>
      </c>
      <c r="R273" s="10">
        <f>CHOOSE(CONTROL!$C$42, 9.5695, 9.5695) * CHOOSE(CONTROL!$C$21, $C$9, 100%, $E$9)</f>
        <v>9.5694999999999997</v>
      </c>
      <c r="S273" s="10">
        <f>CHOOSE(CONTROL!$C$42, 8.0176, 8.0176) * CHOOSE(CONTROL!$C$21, $C$9, 100%, $E$9)</f>
        <v>8.0175999999999998</v>
      </c>
      <c r="T27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73" s="38">
        <f>(1000*CHOOSE(CONTROL!$C$42, 695, 695)*CHOOSE(CONTROL!$C$42, 0.5599, 0.5599)*CHOOSE(CONTROL!$C$42, 30, 30))/1000000</f>
        <v>11.673914999999997</v>
      </c>
      <c r="V273" s="38">
        <f>(1000*CHOOSE(CONTROL!$C$42, 500, 500)*CHOOSE(CONTROL!$C$42, 0.275, 0.275)*CHOOSE(CONTROL!$C$42, 30, 30))/1000000</f>
        <v>4.125</v>
      </c>
      <c r="W273" s="38">
        <f>(1000*CHOOSE(CONTROL!$C$42, 0.1146, 0.1146)*CHOOSE(CONTROL!$C$42, 121.5, 121.5)*CHOOSE(CONTROL!$C$42, 30, 30))/1000000</f>
        <v>0.417717</v>
      </c>
      <c r="X273" s="38">
        <f>(30*0.1790888*245000/1000000)+(30*0.2374*100000/1000000)</f>
        <v>2.0285026799999999</v>
      </c>
      <c r="Y273" s="38">
        <f>(1000*600*CHOOSE(CONTROL!$C$42, 1.6476, 1.6476)*CHOOSE(CONTROL!$C$42, 30, 30))/1000000</f>
        <v>29.6568</v>
      </c>
      <c r="Z273" s="38"/>
      <c r="AA273" s="10"/>
      <c r="AB273" s="39"/>
      <c r="AC273" s="33">
        <f>(B273*194.205+C273*267.466+D273*133.845+E273*53.484+F273*40+G273*185+H273*0+I273*100+J273*300)/(194.205+267.466+133.845+53.484+0+40+185+100+300)</f>
        <v>8.268299408712716</v>
      </c>
      <c r="AD273" s="27">
        <f>(M273*'RAP TEMPLATE-GAS AVAILABILITY'!O272+N273*'RAP TEMPLATE-GAS AVAILABILITY'!P272+O273*'RAP TEMPLATE-GAS AVAILABILITY'!Q272+P273*'RAP TEMPLATE-GAS AVAILABILITY'!R272)/('RAP TEMPLATE-GAS AVAILABILITY'!O272+'RAP TEMPLATE-GAS AVAILABILITY'!P272+'RAP TEMPLATE-GAS AVAILABILITY'!Q272+'RAP TEMPLATE-GAS AVAILABILITY'!R272)</f>
        <v>8.1987424460431662</v>
      </c>
    </row>
    <row r="274" spans="1:30" ht="15">
      <c r="A274" s="15">
        <v>49583</v>
      </c>
      <c r="B274" s="10">
        <f>CHOOSE(CONTROL!$C$42, 8.0948, 8.0948) * CHOOSE(CONTROL!$C$21, $C$9, 100%, $E$9)</f>
        <v>8.0947999999999993</v>
      </c>
      <c r="C274" s="10">
        <f>CHOOSE(CONTROL!$C$42, 8.1001, 8.1001) * CHOOSE(CONTROL!$C$21, $C$9, 100%, $E$9)</f>
        <v>8.1000999999999994</v>
      </c>
      <c r="D274" s="10">
        <f>CHOOSE(CONTROL!$C$42, 8.262, 8.262) * CHOOSE(CONTROL!$C$21, $C$9, 100%, $E$9)</f>
        <v>8.2620000000000005</v>
      </c>
      <c r="E274" s="10">
        <f>CHOOSE(CONTROL!$C$42, 8.291, 8.291) * CHOOSE(CONTROL!$C$21, $C$9, 100%, $E$9)</f>
        <v>8.2910000000000004</v>
      </c>
      <c r="F274" s="10">
        <f>CHOOSE(CONTROL!$C$42, 8.0412, 8.0412)*CHOOSE(CONTROL!$C$21, $C$9, 100%, $E$9)</f>
        <v>8.0411999999999999</v>
      </c>
      <c r="G274" s="10">
        <f>CHOOSE(CONTROL!$C$42, 8.057, 8.057)*CHOOSE(CONTROL!$C$21, $C$9, 100%, $E$9)</f>
        <v>8.0570000000000004</v>
      </c>
      <c r="H274" s="10">
        <f>CHOOSE(CONTROL!$C$42, 8.2811, 8.2811) * CHOOSE(CONTROL!$C$21, $C$9, 100%, $E$9)</f>
        <v>8.2811000000000003</v>
      </c>
      <c r="I274" s="10">
        <f>CHOOSE(CONTROL!$C$42, 8.0753, 8.0753)* CHOOSE(CONTROL!$C$21, $C$9, 100%, $E$9)</f>
        <v>8.0753000000000004</v>
      </c>
      <c r="J274" s="10">
        <f>CHOOSE(CONTROL!$C$42, 8.0338, 8.0338)* CHOOSE(CONTROL!$C$21, $C$9, 100%, $E$9)</f>
        <v>8.0337999999999994</v>
      </c>
      <c r="K274" s="10">
        <f>CHOOSE(CONTROL!$C$42, 7.9835, 7.9835) * CHOOSE(CONTROL!$C$21, $C$9, 100%, $E$9)</f>
        <v>7.9835000000000003</v>
      </c>
      <c r="L274" s="10">
        <f>CHOOSE(CONTROL!$C$42, 8.8681, 8.8681) * CHOOSE(CONTROL!$C$21, $C$9, 100%, $E$9)</f>
        <v>8.8681000000000001</v>
      </c>
      <c r="M274" s="10">
        <f>CHOOSE(CONTROL!$C$42, 7.9547, 7.9547) * CHOOSE(CONTROL!$C$21, $C$9, 100%, $E$9)</f>
        <v>7.9546999999999999</v>
      </c>
      <c r="N274" s="10">
        <f>CHOOSE(CONTROL!$C$42, 7.9703, 7.9703) * CHOOSE(CONTROL!$C$21, $C$9, 100%, $E$9)</f>
        <v>7.9702999999999999</v>
      </c>
      <c r="O274" s="10">
        <f>CHOOSE(CONTROL!$C$42, 8.1986, 8.1986) * CHOOSE(CONTROL!$C$21, $C$9, 100%, $E$9)</f>
        <v>8.1986000000000008</v>
      </c>
      <c r="P274" s="10">
        <f>CHOOSE(CONTROL!$C$42, 7.9957, 7.9957) * CHOOSE(CONTROL!$C$21, $C$9, 100%, $E$9)</f>
        <v>7.9957000000000003</v>
      </c>
      <c r="Q274" s="10">
        <f>CHOOSE(CONTROL!$C$42, 8.7939, 8.7939) * CHOOSE(CONTROL!$C$21, $C$9, 100%, $E$9)</f>
        <v>8.7939000000000007</v>
      </c>
      <c r="R274" s="10">
        <f>CHOOSE(CONTROL!$C$42, 9.4029, 9.4029) * CHOOSE(CONTROL!$C$21, $C$9, 100%, $E$9)</f>
        <v>9.4029000000000007</v>
      </c>
      <c r="S274" s="10">
        <f>CHOOSE(CONTROL!$C$42, 7.8544, 7.8544) * CHOOSE(CONTROL!$C$21, $C$9, 100%, $E$9)</f>
        <v>7.8544</v>
      </c>
      <c r="T27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74" s="38">
        <f>(1000*CHOOSE(CONTROL!$C$42, 695, 695)*CHOOSE(CONTROL!$C$42, 0.5599, 0.5599)*CHOOSE(CONTROL!$C$42, 31, 31))/1000000</f>
        <v>12.063045499999998</v>
      </c>
      <c r="V274" s="38">
        <f>(1000*CHOOSE(CONTROL!$C$42, 500, 500)*CHOOSE(CONTROL!$C$42, 0.275, 0.275)*CHOOSE(CONTROL!$C$42, 31, 31))/1000000</f>
        <v>4.2625000000000002</v>
      </c>
      <c r="W274" s="38">
        <f>(1000*CHOOSE(CONTROL!$C$42, 0.1146, 0.1146)*CHOOSE(CONTROL!$C$42, 121.5, 121.5)*CHOOSE(CONTROL!$C$42, 31, 31))/1000000</f>
        <v>0.43164089999999994</v>
      </c>
      <c r="X274" s="38">
        <f>(31*0.1790888*245000/1000000)+(31*0.2374*100000/1000000)</f>
        <v>2.0961194359999999</v>
      </c>
      <c r="Y274" s="38">
        <f>(1000*600*CHOOSE(CONTROL!$C$42, 1.6476, 1.6476)*CHOOSE(CONTROL!$C$42, 31, 31))/1000000</f>
        <v>30.64536</v>
      </c>
      <c r="Z274" s="38"/>
      <c r="AA274" s="10"/>
      <c r="AB274" s="39"/>
      <c r="AC274" s="33">
        <f>(B274*131.881+C274*277.167+D274*79.08+E274*125.872+F274*40+G274*185+H274*0+I274*100+J274*300)/(131.881+277.167+79.08+125.872+0+40+185+100+300)</f>
        <v>8.1028712247780454</v>
      </c>
      <c r="AD274" s="27">
        <f>(M274*'RAP TEMPLATE-GAS AVAILABILITY'!O273+N274*'RAP TEMPLATE-GAS AVAILABILITY'!P273+O274*'RAP TEMPLATE-GAS AVAILABILITY'!Q273+P274*'RAP TEMPLATE-GAS AVAILABILITY'!R273)/('RAP TEMPLATE-GAS AVAILABILITY'!O273+'RAP TEMPLATE-GAS AVAILABILITY'!P273+'RAP TEMPLATE-GAS AVAILABILITY'!Q273+'RAP TEMPLATE-GAS AVAILABILITY'!R273)</f>
        <v>8.032623021582733</v>
      </c>
    </row>
    <row r="275" spans="1:30" ht="15">
      <c r="A275" s="15">
        <v>49614</v>
      </c>
      <c r="B275" s="10">
        <f>CHOOSE(CONTROL!$C$42, 8.308, 8.308) * CHOOSE(CONTROL!$C$21, $C$9, 100%, $E$9)</f>
        <v>8.3079999999999998</v>
      </c>
      <c r="C275" s="10">
        <f>CHOOSE(CONTROL!$C$42, 8.3131, 8.3131) * CHOOSE(CONTROL!$C$21, $C$9, 100%, $E$9)</f>
        <v>8.3131000000000004</v>
      </c>
      <c r="D275" s="10">
        <f>CHOOSE(CONTROL!$C$42, 8.3378, 8.3378) * CHOOSE(CONTROL!$C$21, $C$9, 100%, $E$9)</f>
        <v>8.3377999999999997</v>
      </c>
      <c r="E275" s="10">
        <f>CHOOSE(CONTROL!$C$42, 8.3716, 8.3716) * CHOOSE(CONTROL!$C$21, $C$9, 100%, $E$9)</f>
        <v>8.3716000000000008</v>
      </c>
      <c r="F275" s="10">
        <f>CHOOSE(CONTROL!$C$42, 8.2764, 8.2764)*CHOOSE(CONTROL!$C$21, $C$9, 100%, $E$9)</f>
        <v>8.2764000000000006</v>
      </c>
      <c r="G275" s="10">
        <f>CHOOSE(CONTROL!$C$42, 8.2924, 8.2924)*CHOOSE(CONTROL!$C$21, $C$9, 100%, $E$9)</f>
        <v>8.2924000000000007</v>
      </c>
      <c r="H275" s="10">
        <f>CHOOSE(CONTROL!$C$42, 8.3605, 8.3605) * CHOOSE(CONTROL!$C$21, $C$9, 100%, $E$9)</f>
        <v>8.3605</v>
      </c>
      <c r="I275" s="10">
        <f>CHOOSE(CONTROL!$C$42, 8.323, 8.323)* CHOOSE(CONTROL!$C$21, $C$9, 100%, $E$9)</f>
        <v>8.3230000000000004</v>
      </c>
      <c r="J275" s="10">
        <f>CHOOSE(CONTROL!$C$42, 8.269, 8.269)* CHOOSE(CONTROL!$C$21, $C$9, 100%, $E$9)</f>
        <v>8.2690000000000001</v>
      </c>
      <c r="K275" s="10">
        <f>CHOOSE(CONTROL!$C$42, 8.2258, 8.2258) * CHOOSE(CONTROL!$C$21, $C$9, 100%, $E$9)</f>
        <v>8.2257999999999996</v>
      </c>
      <c r="L275" s="10">
        <f>CHOOSE(CONTROL!$C$42, 8.9475, 8.9475) * CHOOSE(CONTROL!$C$21, $C$9, 100%, $E$9)</f>
        <v>8.9474999999999998</v>
      </c>
      <c r="M275" s="10">
        <f>CHOOSE(CONTROL!$C$42, 8.1866, 8.1866) * CHOOSE(CONTROL!$C$21, $C$9, 100%, $E$9)</f>
        <v>8.1866000000000003</v>
      </c>
      <c r="N275" s="10">
        <f>CHOOSE(CONTROL!$C$42, 8.2024, 8.2024) * CHOOSE(CONTROL!$C$21, $C$9, 100%, $E$9)</f>
        <v>8.2024000000000008</v>
      </c>
      <c r="O275" s="10">
        <f>CHOOSE(CONTROL!$C$42, 8.2769, 8.2769) * CHOOSE(CONTROL!$C$21, $C$9, 100%, $E$9)</f>
        <v>8.2768999999999995</v>
      </c>
      <c r="P275" s="10">
        <f>CHOOSE(CONTROL!$C$42, 8.24, 8.24) * CHOOSE(CONTROL!$C$21, $C$9, 100%, $E$9)</f>
        <v>8.24</v>
      </c>
      <c r="Q275" s="10">
        <f>CHOOSE(CONTROL!$C$42, 8.8722, 8.8722) * CHOOSE(CONTROL!$C$21, $C$9, 100%, $E$9)</f>
        <v>8.8721999999999994</v>
      </c>
      <c r="R275" s="10">
        <f>CHOOSE(CONTROL!$C$42, 9.4814, 9.4814) * CHOOSE(CONTROL!$C$21, $C$9, 100%, $E$9)</f>
        <v>9.4814000000000007</v>
      </c>
      <c r="S275" s="10">
        <f>CHOOSE(CONTROL!$C$42, 8.0613, 8.0613) * CHOOSE(CONTROL!$C$21, $C$9, 100%, $E$9)</f>
        <v>8.0612999999999992</v>
      </c>
      <c r="T27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75" s="38">
        <f>(1000*CHOOSE(CONTROL!$C$42, 695, 695)*CHOOSE(CONTROL!$C$42, 0.5599, 0.5599)*CHOOSE(CONTROL!$C$42, 30, 30))/1000000</f>
        <v>11.673914999999997</v>
      </c>
      <c r="V275" s="38">
        <f>(1000*CHOOSE(CONTROL!$C$42, 500, 500)*CHOOSE(CONTROL!$C$42, 0.275, 0.275)*CHOOSE(CONTROL!$C$42, 30, 30))/1000000</f>
        <v>4.125</v>
      </c>
      <c r="W275" s="38">
        <f>(1000*CHOOSE(CONTROL!$C$42, 0.1146, 0.1146)*CHOOSE(CONTROL!$C$42, 121.5, 121.5)*CHOOSE(CONTROL!$C$42, 30, 30))/1000000</f>
        <v>0.417717</v>
      </c>
      <c r="X275" s="38">
        <f>(30*0.1790888*100000/1000000)+(30*0.2374*100000/1000000)</f>
        <v>1.2494664</v>
      </c>
      <c r="Y275" s="38">
        <f>(1000*600*CHOOSE(CONTROL!$C$42, 1.6476, 1.6476)*CHOOSE(CONTROL!$C$42, 30, 30))/1000000</f>
        <v>29.6568</v>
      </c>
      <c r="Z275" s="38"/>
      <c r="AA275" s="10"/>
      <c r="AB275" s="39"/>
      <c r="AC275" s="33">
        <f>(B275*122.58+C275*297.941+D275*89.177+E275*40.302+F275*40+G275*160+H275*0+I275*100+J275*300)/(122.58+297.941+89.177+40.302+0+40+160+100+300)</f>
        <v>8.301721896434783</v>
      </c>
      <c r="AD275" s="27">
        <f>(M275*'RAP TEMPLATE-GAS AVAILABILITY'!O274+N275*'RAP TEMPLATE-GAS AVAILABILITY'!P274+O275*'RAP TEMPLATE-GAS AVAILABILITY'!Q274+P275*'RAP TEMPLATE-GAS AVAILABILITY'!R274)/('RAP TEMPLATE-GAS AVAILABILITY'!O274+'RAP TEMPLATE-GAS AVAILABILITY'!P274+'RAP TEMPLATE-GAS AVAILABILITY'!Q274+'RAP TEMPLATE-GAS AVAILABILITY'!R274)</f>
        <v>8.236120143884893</v>
      </c>
    </row>
    <row r="276" spans="1:30" ht="15">
      <c r="A276" s="15">
        <v>49644</v>
      </c>
      <c r="B276" s="10">
        <f>CHOOSE(CONTROL!$C$42, 8.8756, 8.8756) * CHOOSE(CONTROL!$C$21, $C$9, 100%, $E$9)</f>
        <v>8.8756000000000004</v>
      </c>
      <c r="C276" s="10">
        <f>CHOOSE(CONTROL!$C$42, 8.8807, 8.8807) * CHOOSE(CONTROL!$C$21, $C$9, 100%, $E$9)</f>
        <v>8.8806999999999992</v>
      </c>
      <c r="D276" s="10">
        <f>CHOOSE(CONTROL!$C$42, 8.9054, 8.9054) * CHOOSE(CONTROL!$C$21, $C$9, 100%, $E$9)</f>
        <v>8.9054000000000002</v>
      </c>
      <c r="E276" s="10">
        <f>CHOOSE(CONTROL!$C$42, 8.9392, 8.9392) * CHOOSE(CONTROL!$C$21, $C$9, 100%, $E$9)</f>
        <v>8.9391999999999996</v>
      </c>
      <c r="F276" s="10">
        <f>CHOOSE(CONTROL!$C$42, 8.8458, 8.8458)*CHOOSE(CONTROL!$C$21, $C$9, 100%, $E$9)</f>
        <v>8.8458000000000006</v>
      </c>
      <c r="G276" s="10">
        <f>CHOOSE(CONTROL!$C$42, 8.8623, 8.8623)*CHOOSE(CONTROL!$C$21, $C$9, 100%, $E$9)</f>
        <v>8.8622999999999994</v>
      </c>
      <c r="H276" s="10">
        <f>CHOOSE(CONTROL!$C$42, 8.928, 8.928) * CHOOSE(CONTROL!$C$21, $C$9, 100%, $E$9)</f>
        <v>8.9280000000000008</v>
      </c>
      <c r="I276" s="10">
        <f>CHOOSE(CONTROL!$C$42, 8.8906, 8.8906)* CHOOSE(CONTROL!$C$21, $C$9, 100%, $E$9)</f>
        <v>8.8905999999999992</v>
      </c>
      <c r="J276" s="10">
        <f>CHOOSE(CONTROL!$C$42, 8.8384, 8.8384)* CHOOSE(CONTROL!$C$21, $C$9, 100%, $E$9)</f>
        <v>8.8384</v>
      </c>
      <c r="K276" s="10">
        <f>CHOOSE(CONTROL!$C$42, 8.7797, 8.7797) * CHOOSE(CONTROL!$C$21, $C$9, 100%, $E$9)</f>
        <v>8.7797000000000001</v>
      </c>
      <c r="L276" s="10">
        <f>CHOOSE(CONTROL!$C$42, 9.515, 9.515) * CHOOSE(CONTROL!$C$21, $C$9, 100%, $E$9)</f>
        <v>9.5150000000000006</v>
      </c>
      <c r="M276" s="10">
        <f>CHOOSE(CONTROL!$C$42, 8.7482, 8.7482) * CHOOSE(CONTROL!$C$21, $C$9, 100%, $E$9)</f>
        <v>8.7482000000000006</v>
      </c>
      <c r="N276" s="10">
        <f>CHOOSE(CONTROL!$C$42, 8.7644, 8.7644) * CHOOSE(CONTROL!$C$21, $C$9, 100%, $E$9)</f>
        <v>8.7644000000000002</v>
      </c>
      <c r="O276" s="10">
        <f>CHOOSE(CONTROL!$C$42, 8.8365, 8.8365) * CHOOSE(CONTROL!$C$21, $C$9, 100%, $E$9)</f>
        <v>8.8364999999999991</v>
      </c>
      <c r="P276" s="10">
        <f>CHOOSE(CONTROL!$C$42, 8.7996, 8.7996) * CHOOSE(CONTROL!$C$21, $C$9, 100%, $E$9)</f>
        <v>8.7995999999999999</v>
      </c>
      <c r="Q276" s="10">
        <f>CHOOSE(CONTROL!$C$42, 9.4318, 9.4318) * CHOOSE(CONTROL!$C$21, $C$9, 100%, $E$9)</f>
        <v>9.4318000000000008</v>
      </c>
      <c r="R276" s="10">
        <f>CHOOSE(CONTROL!$C$42, 10.0424, 10.0424) * CHOOSE(CONTROL!$C$21, $C$9, 100%, $E$9)</f>
        <v>10.042400000000001</v>
      </c>
      <c r="S276" s="10">
        <f>CHOOSE(CONTROL!$C$42, 8.6109, 8.6109) * CHOOSE(CONTROL!$C$21, $C$9, 100%, $E$9)</f>
        <v>8.6109000000000009</v>
      </c>
      <c r="T27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76" s="38">
        <f>(1000*CHOOSE(CONTROL!$C$42, 695, 695)*CHOOSE(CONTROL!$C$42, 0.5599, 0.5599)*CHOOSE(CONTROL!$C$42, 31, 31))/1000000</f>
        <v>12.063045499999998</v>
      </c>
      <c r="V276" s="38">
        <f>(1000*CHOOSE(CONTROL!$C$42, 500, 500)*CHOOSE(CONTROL!$C$42, 0.275, 0.275)*CHOOSE(CONTROL!$C$42, 31, 31))/1000000</f>
        <v>4.2625000000000002</v>
      </c>
      <c r="W276" s="38">
        <f>(1000*CHOOSE(CONTROL!$C$42, 0.1146, 0.1146)*CHOOSE(CONTROL!$C$42, 121.5, 121.5)*CHOOSE(CONTROL!$C$42, 31, 31))/1000000</f>
        <v>0.43164089999999994</v>
      </c>
      <c r="X276" s="38">
        <f>(31*0.1790888*100000/1000000)+(31*0.2374*100000/1000000)</f>
        <v>1.2911152800000001</v>
      </c>
      <c r="Y276" s="38">
        <f>(1000*600*CHOOSE(CONTROL!$C$42, 1.6476, 1.6476)*CHOOSE(CONTROL!$C$42, 31, 31))/1000000</f>
        <v>30.64536</v>
      </c>
      <c r="Z276" s="38"/>
      <c r="AA276" s="10"/>
      <c r="AB276" s="39"/>
      <c r="AC276" s="33">
        <f>(B276*122.58+C276*297.941+D276*89.177+E276*40.302+F276*40+G276*160+H276*0+I276*100+J276*300)/(122.58+297.941+89.177+40.302+0+40+160+100+300)</f>
        <v>8.8701740703478258</v>
      </c>
      <c r="AD276" s="27">
        <f>(M276*'RAP TEMPLATE-GAS AVAILABILITY'!O275+N276*'RAP TEMPLATE-GAS AVAILABILITY'!P275+O276*'RAP TEMPLATE-GAS AVAILABILITY'!Q275+P276*'RAP TEMPLATE-GAS AVAILABILITY'!R275)/('RAP TEMPLATE-GAS AVAILABILITY'!O275+'RAP TEMPLATE-GAS AVAILABILITY'!P275+'RAP TEMPLATE-GAS AVAILABILITY'!Q275+'RAP TEMPLATE-GAS AVAILABILITY'!R275)</f>
        <v>8.7965489208633088</v>
      </c>
    </row>
    <row r="277" spans="1:30" ht="15">
      <c r="A277" s="15">
        <v>49675</v>
      </c>
      <c r="B277" s="10">
        <f>CHOOSE(CONTROL!$C$42, 9.4757, 9.4757) * CHOOSE(CONTROL!$C$21, $C$9, 100%, $E$9)</f>
        <v>9.4756999999999998</v>
      </c>
      <c r="C277" s="10">
        <f>CHOOSE(CONTROL!$C$42, 9.4808, 9.4808) * CHOOSE(CONTROL!$C$21, $C$9, 100%, $E$9)</f>
        <v>9.4808000000000003</v>
      </c>
      <c r="D277" s="10">
        <f>CHOOSE(CONTROL!$C$42, 9.5132, 9.5132) * CHOOSE(CONTROL!$C$21, $C$9, 100%, $E$9)</f>
        <v>9.5131999999999994</v>
      </c>
      <c r="E277" s="10">
        <f>CHOOSE(CONTROL!$C$42, 9.5471, 9.5471) * CHOOSE(CONTROL!$C$21, $C$9, 100%, $E$9)</f>
        <v>9.5471000000000004</v>
      </c>
      <c r="F277" s="10">
        <f>CHOOSE(CONTROL!$C$42, 9.4599, 9.4599)*CHOOSE(CONTROL!$C$21, $C$9, 100%, $E$9)</f>
        <v>9.4598999999999993</v>
      </c>
      <c r="G277" s="10">
        <f>CHOOSE(CONTROL!$C$42, 9.4779, 9.4779)*CHOOSE(CONTROL!$C$21, $C$9, 100%, $E$9)</f>
        <v>9.4779</v>
      </c>
      <c r="H277" s="10">
        <f>CHOOSE(CONTROL!$C$42, 9.5359, 9.5359) * CHOOSE(CONTROL!$C$21, $C$9, 100%, $E$9)</f>
        <v>9.5358999999999998</v>
      </c>
      <c r="I277" s="10">
        <f>CHOOSE(CONTROL!$C$42, 9.4892, 9.4892)* CHOOSE(CONTROL!$C$21, $C$9, 100%, $E$9)</f>
        <v>9.4892000000000003</v>
      </c>
      <c r="J277" s="10">
        <f>CHOOSE(CONTROL!$C$42, 9.4525, 9.4525)* CHOOSE(CONTROL!$C$21, $C$9, 100%, $E$9)</f>
        <v>9.4525000000000006</v>
      </c>
      <c r="K277" s="10">
        <f>CHOOSE(CONTROL!$C$42, 9.3736, 9.3736) * CHOOSE(CONTROL!$C$21, $C$9, 100%, $E$9)</f>
        <v>9.3735999999999997</v>
      </c>
      <c r="L277" s="10">
        <f>CHOOSE(CONTROL!$C$42, 10.1229, 10.1229) * CHOOSE(CONTROL!$C$21, $C$9, 100%, $E$9)</f>
        <v>10.1229</v>
      </c>
      <c r="M277" s="10">
        <f>CHOOSE(CONTROL!$C$42, 9.3537, 9.3537) * CHOOSE(CONTROL!$C$21, $C$9, 100%, $E$9)</f>
        <v>9.3536999999999999</v>
      </c>
      <c r="N277" s="10">
        <f>CHOOSE(CONTROL!$C$42, 9.3714, 9.3714) * CHOOSE(CONTROL!$C$21, $C$9, 100%, $E$9)</f>
        <v>9.3713999999999995</v>
      </c>
      <c r="O277" s="10">
        <f>CHOOSE(CONTROL!$C$42, 9.4359, 9.4359) * CHOOSE(CONTROL!$C$21, $C$9, 100%, $E$9)</f>
        <v>9.4359000000000002</v>
      </c>
      <c r="P277" s="10">
        <f>CHOOSE(CONTROL!$C$42, 9.3899, 9.3899) * CHOOSE(CONTROL!$C$21, $C$9, 100%, $E$9)</f>
        <v>9.3899000000000008</v>
      </c>
      <c r="Q277" s="10">
        <f>CHOOSE(CONTROL!$C$42, 10.0312, 10.0312) * CHOOSE(CONTROL!$C$21, $C$9, 100%, $E$9)</f>
        <v>10.0312</v>
      </c>
      <c r="R277" s="10">
        <f>CHOOSE(CONTROL!$C$42, 10.6433, 10.6433) * CHOOSE(CONTROL!$C$21, $C$9, 100%, $E$9)</f>
        <v>10.6433</v>
      </c>
      <c r="S277" s="10">
        <f>CHOOSE(CONTROL!$C$42, 9.192, 9.192) * CHOOSE(CONTROL!$C$21, $C$9, 100%, $E$9)</f>
        <v>9.1920000000000002</v>
      </c>
      <c r="T27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77" s="38">
        <f>(1000*CHOOSE(CONTROL!$C$42, 695, 695)*CHOOSE(CONTROL!$C$42, 0.5599, 0.5599)*CHOOSE(CONTROL!$C$42, 31, 31))/1000000</f>
        <v>12.063045499999998</v>
      </c>
      <c r="V277" s="38">
        <f>(1000*CHOOSE(CONTROL!$C$42, 500, 500)*CHOOSE(CONTROL!$C$42, 0.275, 0.275)*CHOOSE(CONTROL!$C$42, 31, 31))/1000000</f>
        <v>4.2625000000000002</v>
      </c>
      <c r="W277" s="38">
        <f>(1000*CHOOSE(CONTROL!$C$42, 0.1146, 0.1146)*CHOOSE(CONTROL!$C$42, 121.5, 121.5)*CHOOSE(CONTROL!$C$42, 31, 31))/1000000</f>
        <v>0.43164089999999994</v>
      </c>
      <c r="X277" s="38">
        <f>(31*0.1790888*100000/1000000)+(31*0.2374*100000/1000000)</f>
        <v>1.2911152800000001</v>
      </c>
      <c r="Y277" s="38">
        <f>(1000*600*CHOOSE(CONTROL!$C$42, 1.6441, 1.6441)*CHOOSE(CONTROL!$C$42, 31, 31))/1000000</f>
        <v>30.580259999999996</v>
      </c>
      <c r="Z277" s="38"/>
      <c r="AA277" s="10"/>
      <c r="AB277" s="39"/>
      <c r="AC277" s="33">
        <f>(B277*122.58+C277*297.941+D277*89.177+E277*40.302+F277*40+G277*160+H277*0+I277*100+J277*300)/(122.58+297.941+89.177+40.302+0+40+160+100+300)</f>
        <v>9.477309738608696</v>
      </c>
      <c r="AD277" s="27">
        <f>(M277*'RAP TEMPLATE-GAS AVAILABILITY'!O276+N277*'RAP TEMPLATE-GAS AVAILABILITY'!P276+O277*'RAP TEMPLATE-GAS AVAILABILITY'!Q276+P277*'RAP TEMPLATE-GAS AVAILABILITY'!R276)/('RAP TEMPLATE-GAS AVAILABILITY'!O276+'RAP TEMPLATE-GAS AVAILABILITY'!P276+'RAP TEMPLATE-GAS AVAILABILITY'!Q276+'RAP TEMPLATE-GAS AVAILABILITY'!R276)</f>
        <v>9.3971834532374086</v>
      </c>
    </row>
    <row r="278" spans="1:30" ht="15">
      <c r="A278" s="15">
        <v>49706</v>
      </c>
      <c r="B278" s="10">
        <f>CHOOSE(CONTROL!$C$42, 9.6447, 9.6447) * CHOOSE(CONTROL!$C$21, $C$9, 100%, $E$9)</f>
        <v>9.6447000000000003</v>
      </c>
      <c r="C278" s="10">
        <f>CHOOSE(CONTROL!$C$42, 9.6498, 9.6498) * CHOOSE(CONTROL!$C$21, $C$9, 100%, $E$9)</f>
        <v>9.6498000000000008</v>
      </c>
      <c r="D278" s="10">
        <f>CHOOSE(CONTROL!$C$42, 9.6822, 9.6822) * CHOOSE(CONTROL!$C$21, $C$9, 100%, $E$9)</f>
        <v>9.6821999999999999</v>
      </c>
      <c r="E278" s="10">
        <f>CHOOSE(CONTROL!$C$42, 9.716, 9.716) * CHOOSE(CONTROL!$C$21, $C$9, 100%, $E$9)</f>
        <v>9.7159999999999993</v>
      </c>
      <c r="F278" s="10">
        <f>CHOOSE(CONTROL!$C$42, 9.6284, 9.6284)*CHOOSE(CONTROL!$C$21, $C$9, 100%, $E$9)</f>
        <v>9.6283999999999992</v>
      </c>
      <c r="G278" s="10">
        <f>CHOOSE(CONTROL!$C$42, 9.6463, 9.6463)*CHOOSE(CONTROL!$C$21, $C$9, 100%, $E$9)</f>
        <v>9.6463000000000001</v>
      </c>
      <c r="H278" s="10">
        <f>CHOOSE(CONTROL!$C$42, 9.7049, 9.7049) * CHOOSE(CONTROL!$C$21, $C$9, 100%, $E$9)</f>
        <v>9.7049000000000003</v>
      </c>
      <c r="I278" s="10">
        <f>CHOOSE(CONTROL!$C$42, 9.6581, 9.6581)* CHOOSE(CONTROL!$C$21, $C$9, 100%, $E$9)</f>
        <v>9.6580999999999992</v>
      </c>
      <c r="J278" s="10">
        <f>CHOOSE(CONTROL!$C$42, 9.621, 9.621)* CHOOSE(CONTROL!$C$21, $C$9, 100%, $E$9)</f>
        <v>9.6210000000000004</v>
      </c>
      <c r="K278" s="10">
        <f>CHOOSE(CONTROL!$C$42, 9.5363, 9.5363) * CHOOSE(CONTROL!$C$21, $C$9, 100%, $E$9)</f>
        <v>9.5363000000000007</v>
      </c>
      <c r="L278" s="10">
        <f>CHOOSE(CONTROL!$C$42, 10.2919, 10.2919) * CHOOSE(CONTROL!$C$21, $C$9, 100%, $E$9)</f>
        <v>10.2919</v>
      </c>
      <c r="M278" s="10">
        <f>CHOOSE(CONTROL!$C$42, 9.5198, 9.5198) * CHOOSE(CONTROL!$C$21, $C$9, 100%, $E$9)</f>
        <v>9.5198</v>
      </c>
      <c r="N278" s="10">
        <f>CHOOSE(CONTROL!$C$42, 9.5375, 9.5375) * CHOOSE(CONTROL!$C$21, $C$9, 100%, $E$9)</f>
        <v>9.5374999999999996</v>
      </c>
      <c r="O278" s="10">
        <f>CHOOSE(CONTROL!$C$42, 9.6025, 9.6025) * CHOOSE(CONTROL!$C$21, $C$9, 100%, $E$9)</f>
        <v>9.6024999999999991</v>
      </c>
      <c r="P278" s="10">
        <f>CHOOSE(CONTROL!$C$42, 9.5565, 9.5565) * CHOOSE(CONTROL!$C$21, $C$9, 100%, $E$9)</f>
        <v>9.5564999999999998</v>
      </c>
      <c r="Q278" s="10">
        <f>CHOOSE(CONTROL!$C$42, 10.1978, 10.1978) * CHOOSE(CONTROL!$C$21, $C$9, 100%, $E$9)</f>
        <v>10.197800000000001</v>
      </c>
      <c r="R278" s="10">
        <f>CHOOSE(CONTROL!$C$42, 10.8103, 10.8103) * CHOOSE(CONTROL!$C$21, $C$9, 100%, $E$9)</f>
        <v>10.8103</v>
      </c>
      <c r="S278" s="10">
        <f>CHOOSE(CONTROL!$C$42, 9.3556, 9.3556) * CHOOSE(CONTROL!$C$21, $C$9, 100%, $E$9)</f>
        <v>9.3556000000000008</v>
      </c>
      <c r="T278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278" s="38">
        <f>(1000*CHOOSE(CONTROL!$C$42, 695, 695)*CHOOSE(CONTROL!$C$42, 0.5599, 0.5599)*CHOOSE(CONTROL!$C$42, 29, 29))/1000000</f>
        <v>11.284784499999999</v>
      </c>
      <c r="V278" s="38">
        <f>(1000*CHOOSE(CONTROL!$C$42, 500, 500)*CHOOSE(CONTROL!$C$42, 0.275, 0.275)*CHOOSE(CONTROL!$C$42, 29, 29))/1000000</f>
        <v>3.9874999999999998</v>
      </c>
      <c r="W278" s="38">
        <f>(1000*CHOOSE(CONTROL!$C$42, 0.1146, 0.1146)*CHOOSE(CONTROL!$C$42, 121.5, 121.5)*CHOOSE(CONTROL!$C$42, 29, 29))/1000000</f>
        <v>0.40379309999999996</v>
      </c>
      <c r="X278" s="38">
        <f>(29*0.1790888*100000/1000000)+(29*0.2374*100000/1000000)</f>
        <v>1.2078175199999999</v>
      </c>
      <c r="Y278" s="38">
        <f>(1000*600*CHOOSE(CONTROL!$C$42, 1.6441, 1.6441)*CHOOSE(CONTROL!$C$42, 29, 29))/1000000</f>
        <v>28.607339999999997</v>
      </c>
      <c r="Z278" s="38"/>
      <c r="AA278" s="10"/>
      <c r="AB278" s="39"/>
      <c r="AC278" s="33">
        <f>(B278*122.58+C278*297.941+D278*89.177+E278*40.302+F278*40+G278*160+H278*0+I278*100+J278*300)/(122.58+297.941+89.177+40.302+0+40+160+100+300)</f>
        <v>9.6460662340869554</v>
      </c>
      <c r="AD278" s="27">
        <f>(M278*'RAP TEMPLATE-GAS AVAILABILITY'!O277+N278*'RAP TEMPLATE-GAS AVAILABILITY'!P277+O278*'RAP TEMPLATE-GAS AVAILABILITY'!Q277+P278*'RAP TEMPLATE-GAS AVAILABILITY'!R277)/('RAP TEMPLATE-GAS AVAILABILITY'!O277+'RAP TEMPLATE-GAS AVAILABILITY'!P277+'RAP TEMPLATE-GAS AVAILABILITY'!Q277+'RAP TEMPLATE-GAS AVAILABILITY'!R277)</f>
        <v>9.5635820143884889</v>
      </c>
    </row>
    <row r="279" spans="1:30" ht="15">
      <c r="A279" s="15">
        <v>49735</v>
      </c>
      <c r="B279" s="10">
        <f>CHOOSE(CONTROL!$C$42, 9.3704, 9.3704) * CHOOSE(CONTROL!$C$21, $C$9, 100%, $E$9)</f>
        <v>9.3704000000000001</v>
      </c>
      <c r="C279" s="10">
        <f>CHOOSE(CONTROL!$C$42, 9.3755, 9.3755) * CHOOSE(CONTROL!$C$21, $C$9, 100%, $E$9)</f>
        <v>9.3755000000000006</v>
      </c>
      <c r="D279" s="10">
        <f>CHOOSE(CONTROL!$C$42, 9.4079, 9.4079) * CHOOSE(CONTROL!$C$21, $C$9, 100%, $E$9)</f>
        <v>9.4078999999999997</v>
      </c>
      <c r="E279" s="10">
        <f>CHOOSE(CONTROL!$C$42, 9.4417, 9.4417) * CHOOSE(CONTROL!$C$21, $C$9, 100%, $E$9)</f>
        <v>9.4417000000000009</v>
      </c>
      <c r="F279" s="10">
        <f>CHOOSE(CONTROL!$C$42, 9.3527, 9.3527)*CHOOSE(CONTROL!$C$21, $C$9, 100%, $E$9)</f>
        <v>9.3527000000000005</v>
      </c>
      <c r="G279" s="10">
        <f>CHOOSE(CONTROL!$C$42, 9.3702, 9.3702)*CHOOSE(CONTROL!$C$21, $C$9, 100%, $E$9)</f>
        <v>9.3702000000000005</v>
      </c>
      <c r="H279" s="10">
        <f>CHOOSE(CONTROL!$C$42, 9.4306, 9.4306) * CHOOSE(CONTROL!$C$21, $C$9, 100%, $E$9)</f>
        <v>9.4306000000000001</v>
      </c>
      <c r="I279" s="10">
        <f>CHOOSE(CONTROL!$C$42, 9.3838, 9.3838)* CHOOSE(CONTROL!$C$21, $C$9, 100%, $E$9)</f>
        <v>9.3838000000000008</v>
      </c>
      <c r="J279" s="10">
        <f>CHOOSE(CONTROL!$C$42, 9.3453, 9.3453)* CHOOSE(CONTROL!$C$21, $C$9, 100%, $E$9)</f>
        <v>9.3452999999999999</v>
      </c>
      <c r="K279" s="10">
        <f>CHOOSE(CONTROL!$C$42, 9.2674, 9.2674) * CHOOSE(CONTROL!$C$21, $C$9, 100%, $E$9)</f>
        <v>9.2674000000000003</v>
      </c>
      <c r="L279" s="10">
        <f>CHOOSE(CONTROL!$C$42, 10.0176, 10.0176) * CHOOSE(CONTROL!$C$21, $C$9, 100%, $E$9)</f>
        <v>10.0176</v>
      </c>
      <c r="M279" s="10">
        <f>CHOOSE(CONTROL!$C$42, 9.2479, 9.2479) * CHOOSE(CONTROL!$C$21, $C$9, 100%, $E$9)</f>
        <v>9.2478999999999996</v>
      </c>
      <c r="N279" s="10">
        <f>CHOOSE(CONTROL!$C$42, 9.2652, 9.2652) * CHOOSE(CONTROL!$C$21, $C$9, 100%, $E$9)</f>
        <v>9.2652000000000001</v>
      </c>
      <c r="O279" s="10">
        <f>CHOOSE(CONTROL!$C$42, 9.3321, 9.3321) * CHOOSE(CONTROL!$C$21, $C$9, 100%, $E$9)</f>
        <v>9.3321000000000005</v>
      </c>
      <c r="P279" s="10">
        <f>CHOOSE(CONTROL!$C$42, 9.286, 9.286) * CHOOSE(CONTROL!$C$21, $C$9, 100%, $E$9)</f>
        <v>9.2859999999999996</v>
      </c>
      <c r="Q279" s="10">
        <f>CHOOSE(CONTROL!$C$42, 9.9274, 9.9274) * CHOOSE(CONTROL!$C$21, $C$9, 100%, $E$9)</f>
        <v>9.9274000000000004</v>
      </c>
      <c r="R279" s="10">
        <f>CHOOSE(CONTROL!$C$42, 10.5392, 10.5392) * CHOOSE(CONTROL!$C$21, $C$9, 100%, $E$9)</f>
        <v>10.539199999999999</v>
      </c>
      <c r="S279" s="10">
        <f>CHOOSE(CONTROL!$C$42, 9.09, 9.09) * CHOOSE(CONTROL!$C$21, $C$9, 100%, $E$9)</f>
        <v>9.09</v>
      </c>
      <c r="T27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79" s="38">
        <f>(1000*CHOOSE(CONTROL!$C$42, 695, 695)*CHOOSE(CONTROL!$C$42, 0.5599, 0.5599)*CHOOSE(CONTROL!$C$42, 31, 31))/1000000</f>
        <v>12.063045499999998</v>
      </c>
      <c r="V279" s="38">
        <f>(1000*CHOOSE(CONTROL!$C$42, 500, 500)*CHOOSE(CONTROL!$C$42, 0.275, 0.275)*CHOOSE(CONTROL!$C$42, 31, 31))/1000000</f>
        <v>4.2625000000000002</v>
      </c>
      <c r="W279" s="38">
        <f>(1000*CHOOSE(CONTROL!$C$42, 0.1146, 0.1146)*CHOOSE(CONTROL!$C$42, 121.5, 121.5)*CHOOSE(CONTROL!$C$42, 31, 31))/1000000</f>
        <v>0.43164089999999994</v>
      </c>
      <c r="X279" s="38">
        <f>(31*0.1790888*100000/1000000)+(31*0.2374*100000/1000000)</f>
        <v>1.2911152800000001</v>
      </c>
      <c r="Y279" s="38">
        <f>(1000*600*CHOOSE(CONTROL!$C$42, 1.6441, 1.6441)*CHOOSE(CONTROL!$C$42, 31, 31))/1000000</f>
        <v>30.580259999999996</v>
      </c>
      <c r="Z279" s="38"/>
      <c r="AA279" s="10"/>
      <c r="AB279" s="39"/>
      <c r="AC279" s="33">
        <f>(B279*122.58+C279*297.941+D279*89.177+E279*40.302+F279*40+G279*160+H279*0+I279*100+J279*300)/(122.58+297.941+89.177+40.302+0+40+160+100+300)</f>
        <v>9.3711018862608704</v>
      </c>
      <c r="AD279" s="27">
        <f>(M279*'RAP TEMPLATE-GAS AVAILABILITY'!O278+N279*'RAP TEMPLATE-GAS AVAILABILITY'!P278+O279*'RAP TEMPLATE-GAS AVAILABILITY'!Q278+P279*'RAP TEMPLATE-GAS AVAILABILITY'!R278)/('RAP TEMPLATE-GAS AVAILABILITY'!O278+'RAP TEMPLATE-GAS AVAILABILITY'!P278+'RAP TEMPLATE-GAS AVAILABILITY'!Q278+'RAP TEMPLATE-GAS AVAILABILITY'!R278)</f>
        <v>9.2925402877697856</v>
      </c>
    </row>
    <row r="280" spans="1:30" ht="15">
      <c r="A280" s="15">
        <v>49766</v>
      </c>
      <c r="B280" s="10">
        <f>CHOOSE(CONTROL!$C$42, 9.3431, 9.3431) * CHOOSE(CONTROL!$C$21, $C$9, 100%, $E$9)</f>
        <v>9.3430999999999997</v>
      </c>
      <c r="C280" s="10">
        <f>CHOOSE(CONTROL!$C$42, 9.3476, 9.3476) * CHOOSE(CONTROL!$C$21, $C$9, 100%, $E$9)</f>
        <v>9.3475999999999999</v>
      </c>
      <c r="D280" s="10">
        <f>CHOOSE(CONTROL!$C$42, 9.5077, 9.5077) * CHOOSE(CONTROL!$C$21, $C$9, 100%, $E$9)</f>
        <v>9.5076999999999998</v>
      </c>
      <c r="E280" s="10">
        <f>CHOOSE(CONTROL!$C$42, 9.5396, 9.5396) * CHOOSE(CONTROL!$C$21, $C$9, 100%, $E$9)</f>
        <v>9.5396000000000001</v>
      </c>
      <c r="F280" s="10">
        <f>CHOOSE(CONTROL!$C$42, 9.2892, 9.2892)*CHOOSE(CONTROL!$C$21, $C$9, 100%, $E$9)</f>
        <v>9.2891999999999992</v>
      </c>
      <c r="G280" s="10">
        <f>CHOOSE(CONTROL!$C$42, 9.305, 9.305)*CHOOSE(CONTROL!$C$21, $C$9, 100%, $E$9)</f>
        <v>9.3049999999999997</v>
      </c>
      <c r="H280" s="10">
        <f>CHOOSE(CONTROL!$C$42, 9.529, 9.529) * CHOOSE(CONTROL!$C$21, $C$9, 100%, $E$9)</f>
        <v>9.5289999999999999</v>
      </c>
      <c r="I280" s="10">
        <f>CHOOSE(CONTROL!$C$42, 9.3232, 9.3232)* CHOOSE(CONTROL!$C$21, $C$9, 100%, $E$9)</f>
        <v>9.3231999999999999</v>
      </c>
      <c r="J280" s="10">
        <f>CHOOSE(CONTROL!$C$42, 9.2818, 9.2818)* CHOOSE(CONTROL!$C$21, $C$9, 100%, $E$9)</f>
        <v>9.2818000000000005</v>
      </c>
      <c r="K280" s="10">
        <f>CHOOSE(CONTROL!$C$42, 9.1927, 9.1927) * CHOOSE(CONTROL!$C$21, $C$9, 100%, $E$9)</f>
        <v>9.1927000000000003</v>
      </c>
      <c r="L280" s="10">
        <f>CHOOSE(CONTROL!$C$42, 10.116, 10.116) * CHOOSE(CONTROL!$C$21, $C$9, 100%, $E$9)</f>
        <v>10.116</v>
      </c>
      <c r="M280" s="10">
        <f>CHOOSE(CONTROL!$C$42, 9.1853, 9.1853) * CHOOSE(CONTROL!$C$21, $C$9, 100%, $E$9)</f>
        <v>9.1852999999999998</v>
      </c>
      <c r="N280" s="10">
        <f>CHOOSE(CONTROL!$C$42, 9.2009, 9.2009) * CHOOSE(CONTROL!$C$21, $C$9, 100%, $E$9)</f>
        <v>9.2009000000000007</v>
      </c>
      <c r="O280" s="10">
        <f>CHOOSE(CONTROL!$C$42, 9.4291, 9.4291) * CHOOSE(CONTROL!$C$21, $C$9, 100%, $E$9)</f>
        <v>9.4291</v>
      </c>
      <c r="P280" s="10">
        <f>CHOOSE(CONTROL!$C$42, 9.2262, 9.2262) * CHOOSE(CONTROL!$C$21, $C$9, 100%, $E$9)</f>
        <v>9.2262000000000004</v>
      </c>
      <c r="Q280" s="10">
        <f>CHOOSE(CONTROL!$C$42, 10.0244, 10.0244) * CHOOSE(CONTROL!$C$21, $C$9, 100%, $E$9)</f>
        <v>10.0244</v>
      </c>
      <c r="R280" s="10">
        <f>CHOOSE(CONTROL!$C$42, 10.6365, 10.6365) * CHOOSE(CONTROL!$C$21, $C$9, 100%, $E$9)</f>
        <v>10.6365</v>
      </c>
      <c r="S280" s="10">
        <f>CHOOSE(CONTROL!$C$42, 9.0628, 9.0628) * CHOOSE(CONTROL!$C$21, $C$9, 100%, $E$9)</f>
        <v>9.0627999999999993</v>
      </c>
      <c r="T28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80" s="38">
        <f>(1000*CHOOSE(CONTROL!$C$42, 695, 695)*CHOOSE(CONTROL!$C$42, 0.5599, 0.5599)*CHOOSE(CONTROL!$C$42, 30, 30))/1000000</f>
        <v>11.673914999999997</v>
      </c>
      <c r="V280" s="38">
        <f>(1000*CHOOSE(CONTROL!$C$42, 500, 500)*CHOOSE(CONTROL!$C$42, 0.275, 0.275)*CHOOSE(CONTROL!$C$42, 30, 30))/1000000</f>
        <v>4.125</v>
      </c>
      <c r="W280" s="38">
        <f>(1000*CHOOSE(CONTROL!$C$42, 0.1146, 0.1146)*CHOOSE(CONTROL!$C$42, 121.5, 121.5)*CHOOSE(CONTROL!$C$42, 30, 30))/1000000</f>
        <v>0.417717</v>
      </c>
      <c r="X280" s="38">
        <f>(30*0.1790888*245000/1000000)+(30*0.2374*100000/1000000)</f>
        <v>2.0285026799999999</v>
      </c>
      <c r="Y280" s="38">
        <f>(1000*600*CHOOSE(CONTROL!$C$42, 1.6441, 1.6441)*CHOOSE(CONTROL!$C$42, 30, 30))/1000000</f>
        <v>29.593799999999995</v>
      </c>
      <c r="Z280" s="38"/>
      <c r="AA280" s="10"/>
      <c r="AB280" s="39"/>
      <c r="AC280" s="33">
        <f>(B280*141.293+C280*267.993+D280*115.016+E280*89.698+F280*40+G280*185+H280*0+I280*100+J280*300)/(141.293+267.993+115.016+89.698+0+40+185+100+300)</f>
        <v>9.3497010969330105</v>
      </c>
      <c r="AD280" s="27">
        <f>(M280*'RAP TEMPLATE-GAS AVAILABILITY'!O279+N280*'RAP TEMPLATE-GAS AVAILABILITY'!P279+O280*'RAP TEMPLATE-GAS AVAILABILITY'!Q279+P280*'RAP TEMPLATE-GAS AVAILABILITY'!R279)/('RAP TEMPLATE-GAS AVAILABILITY'!O279+'RAP TEMPLATE-GAS AVAILABILITY'!P279+'RAP TEMPLATE-GAS AVAILABILITY'!Q279+'RAP TEMPLATE-GAS AVAILABILITY'!R279)</f>
        <v>9.2631805755395682</v>
      </c>
    </row>
    <row r="281" spans="1:30" ht="15">
      <c r="A281" s="15">
        <v>49796</v>
      </c>
      <c r="B281" s="10">
        <f>CHOOSE(CONTROL!$C$42, 9.4275, 9.4275) * CHOOSE(CONTROL!$C$21, $C$9, 100%, $E$9)</f>
        <v>9.4275000000000002</v>
      </c>
      <c r="C281" s="10">
        <f>CHOOSE(CONTROL!$C$42, 9.4355, 9.4355) * CHOOSE(CONTROL!$C$21, $C$9, 100%, $E$9)</f>
        <v>9.4354999999999993</v>
      </c>
      <c r="D281" s="10">
        <f>CHOOSE(CONTROL!$C$42, 9.5925, 9.5925) * CHOOSE(CONTROL!$C$21, $C$9, 100%, $E$9)</f>
        <v>9.5924999999999994</v>
      </c>
      <c r="E281" s="10">
        <f>CHOOSE(CONTROL!$C$42, 9.6238, 9.6238) * CHOOSE(CONTROL!$C$21, $C$9, 100%, $E$9)</f>
        <v>9.6237999999999992</v>
      </c>
      <c r="F281" s="10">
        <f>CHOOSE(CONTROL!$C$42, 9.3716, 9.3716)*CHOOSE(CONTROL!$C$21, $C$9, 100%, $E$9)</f>
        <v>9.3716000000000008</v>
      </c>
      <c r="G281" s="10">
        <f>CHOOSE(CONTROL!$C$42, 9.3877, 9.3877)*CHOOSE(CONTROL!$C$21, $C$9, 100%, $E$9)</f>
        <v>9.3877000000000006</v>
      </c>
      <c r="H281" s="10">
        <f>CHOOSE(CONTROL!$C$42, 9.6121, 9.6121) * CHOOSE(CONTROL!$C$21, $C$9, 100%, $E$9)</f>
        <v>9.6120999999999999</v>
      </c>
      <c r="I281" s="10">
        <f>CHOOSE(CONTROL!$C$42, 9.4063, 9.4063)* CHOOSE(CONTROL!$C$21, $C$9, 100%, $E$9)</f>
        <v>9.4062999999999999</v>
      </c>
      <c r="J281" s="10">
        <f>CHOOSE(CONTROL!$C$42, 9.3642, 9.3642)* CHOOSE(CONTROL!$C$21, $C$9, 100%, $E$9)</f>
        <v>9.3642000000000003</v>
      </c>
      <c r="K281" s="10">
        <f>CHOOSE(CONTROL!$C$42, 9.2718, 9.2718) * CHOOSE(CONTROL!$C$21, $C$9, 100%, $E$9)</f>
        <v>9.2718000000000007</v>
      </c>
      <c r="L281" s="10">
        <f>CHOOSE(CONTROL!$C$42, 10.1991, 10.1991) * CHOOSE(CONTROL!$C$21, $C$9, 100%, $E$9)</f>
        <v>10.1991</v>
      </c>
      <c r="M281" s="10">
        <f>CHOOSE(CONTROL!$C$42, 9.2666, 9.2666) * CHOOSE(CONTROL!$C$21, $C$9, 100%, $E$9)</f>
        <v>9.2666000000000004</v>
      </c>
      <c r="N281" s="10">
        <f>CHOOSE(CONTROL!$C$42, 9.2825, 9.2825) * CHOOSE(CONTROL!$C$21, $C$9, 100%, $E$9)</f>
        <v>9.2825000000000006</v>
      </c>
      <c r="O281" s="10">
        <f>CHOOSE(CONTROL!$C$42, 9.511, 9.511) * CHOOSE(CONTROL!$C$21, $C$9, 100%, $E$9)</f>
        <v>9.5109999999999992</v>
      </c>
      <c r="P281" s="10">
        <f>CHOOSE(CONTROL!$C$42, 9.3081, 9.3081) * CHOOSE(CONTROL!$C$21, $C$9, 100%, $E$9)</f>
        <v>9.3080999999999996</v>
      </c>
      <c r="Q281" s="10">
        <f>CHOOSE(CONTROL!$C$42, 10.1063, 10.1063) * CHOOSE(CONTROL!$C$21, $C$9, 100%, $E$9)</f>
        <v>10.106299999999999</v>
      </c>
      <c r="R281" s="10">
        <f>CHOOSE(CONTROL!$C$42, 10.7186, 10.7186) * CHOOSE(CONTROL!$C$21, $C$9, 100%, $E$9)</f>
        <v>10.7186</v>
      </c>
      <c r="S281" s="10">
        <f>CHOOSE(CONTROL!$C$42, 9.1432, 9.1432) * CHOOSE(CONTROL!$C$21, $C$9, 100%, $E$9)</f>
        <v>9.1432000000000002</v>
      </c>
      <c r="T28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81" s="38">
        <f>(1000*CHOOSE(CONTROL!$C$42, 695, 695)*CHOOSE(CONTROL!$C$42, 0.5599, 0.5599)*CHOOSE(CONTROL!$C$42, 31, 31))/1000000</f>
        <v>12.063045499999998</v>
      </c>
      <c r="V281" s="38">
        <f>(1000*CHOOSE(CONTROL!$C$42, 500, 500)*CHOOSE(CONTROL!$C$42, 0.275, 0.275)*CHOOSE(CONTROL!$C$42, 31, 31))/1000000</f>
        <v>4.2625000000000002</v>
      </c>
      <c r="W281" s="38">
        <f>(1000*CHOOSE(CONTROL!$C$42, 0.1146, 0.1146)*CHOOSE(CONTROL!$C$42, 121.5, 121.5)*CHOOSE(CONTROL!$C$42, 31, 31))/1000000</f>
        <v>0.43164089999999994</v>
      </c>
      <c r="X281" s="38">
        <f>(31*0.1790888*245000/1000000)+(31*0.2374*100000/1000000)</f>
        <v>2.0961194359999999</v>
      </c>
      <c r="Y281" s="38">
        <f>(1000*600*CHOOSE(CONTROL!$C$42, 1.6441, 1.6441)*CHOOSE(CONTROL!$C$42, 31, 31))/1000000</f>
        <v>30.580259999999996</v>
      </c>
      <c r="Z281" s="38"/>
      <c r="AA281" s="10"/>
      <c r="AB281" s="39"/>
      <c r="AC281" s="33">
        <f>(B281*194.205+C281*267.466+D281*133.845+E281*53.484+F281*40+G281*185+H281*0+I281*100+J281*300)/(194.205+267.466+133.845+53.484+0+40+185+100+300)</f>
        <v>9.4306507552590269</v>
      </c>
      <c r="AD281" s="27">
        <f>(M281*'RAP TEMPLATE-GAS AVAILABILITY'!O280+N281*'RAP TEMPLATE-GAS AVAILABILITY'!P280+O281*'RAP TEMPLATE-GAS AVAILABILITY'!Q280+P281*'RAP TEMPLATE-GAS AVAILABILITY'!R280)/('RAP TEMPLATE-GAS AVAILABILITY'!O280+'RAP TEMPLATE-GAS AVAILABILITY'!P280+'RAP TEMPLATE-GAS AVAILABILITY'!Q280+'RAP TEMPLATE-GAS AVAILABILITY'!R280)</f>
        <v>9.344804316546762</v>
      </c>
    </row>
    <row r="282" spans="1:30" ht="15">
      <c r="A282" s="15">
        <v>49827</v>
      </c>
      <c r="B282" s="10">
        <f>CHOOSE(CONTROL!$C$42, 9.6953, 9.6953) * CHOOSE(CONTROL!$C$21, $C$9, 100%, $E$9)</f>
        <v>9.6952999999999996</v>
      </c>
      <c r="C282" s="10">
        <f>CHOOSE(CONTROL!$C$42, 9.7033, 9.7033) * CHOOSE(CONTROL!$C$21, $C$9, 100%, $E$9)</f>
        <v>9.7033000000000005</v>
      </c>
      <c r="D282" s="10">
        <f>CHOOSE(CONTROL!$C$42, 9.8603, 9.8603) * CHOOSE(CONTROL!$C$21, $C$9, 100%, $E$9)</f>
        <v>9.8603000000000005</v>
      </c>
      <c r="E282" s="10">
        <f>CHOOSE(CONTROL!$C$42, 9.8916, 9.8916) * CHOOSE(CONTROL!$C$21, $C$9, 100%, $E$9)</f>
        <v>9.8916000000000004</v>
      </c>
      <c r="F282" s="10">
        <f>CHOOSE(CONTROL!$C$42, 9.6396, 9.6396)*CHOOSE(CONTROL!$C$21, $C$9, 100%, $E$9)</f>
        <v>9.6395999999999997</v>
      </c>
      <c r="G282" s="10">
        <f>CHOOSE(CONTROL!$C$42, 9.6558, 9.6558)*CHOOSE(CONTROL!$C$21, $C$9, 100%, $E$9)</f>
        <v>9.6557999999999993</v>
      </c>
      <c r="H282" s="10">
        <f>CHOOSE(CONTROL!$C$42, 9.8799, 9.8799) * CHOOSE(CONTROL!$C$21, $C$9, 100%, $E$9)</f>
        <v>9.8798999999999992</v>
      </c>
      <c r="I282" s="10">
        <f>CHOOSE(CONTROL!$C$42, 9.6741, 9.6741)* CHOOSE(CONTROL!$C$21, $C$9, 100%, $E$9)</f>
        <v>9.6740999999999993</v>
      </c>
      <c r="J282" s="10">
        <f>CHOOSE(CONTROL!$C$42, 9.6322, 9.6322)* CHOOSE(CONTROL!$C$21, $C$9, 100%, $E$9)</f>
        <v>9.6321999999999992</v>
      </c>
      <c r="K282" s="10">
        <f>CHOOSE(CONTROL!$C$42, 9.5317, 9.5317) * CHOOSE(CONTROL!$C$21, $C$9, 100%, $E$9)</f>
        <v>9.5317000000000007</v>
      </c>
      <c r="L282" s="10">
        <f>CHOOSE(CONTROL!$C$42, 10.4669, 10.4669) * CHOOSE(CONTROL!$C$21, $C$9, 100%, $E$9)</f>
        <v>10.466900000000001</v>
      </c>
      <c r="M282" s="10">
        <f>CHOOSE(CONTROL!$C$42, 9.5309, 9.5309) * CHOOSE(CONTROL!$C$21, $C$9, 100%, $E$9)</f>
        <v>9.5309000000000008</v>
      </c>
      <c r="N282" s="10">
        <f>CHOOSE(CONTROL!$C$42, 9.5468, 9.5468) * CHOOSE(CONTROL!$C$21, $C$9, 100%, $E$9)</f>
        <v>9.5467999999999993</v>
      </c>
      <c r="O282" s="10">
        <f>CHOOSE(CONTROL!$C$42, 9.7751, 9.7751) * CHOOSE(CONTROL!$C$21, $C$9, 100%, $E$9)</f>
        <v>9.7751000000000001</v>
      </c>
      <c r="P282" s="10">
        <f>CHOOSE(CONTROL!$C$42, 9.5722, 9.5722) * CHOOSE(CONTROL!$C$21, $C$9, 100%, $E$9)</f>
        <v>9.5722000000000005</v>
      </c>
      <c r="Q282" s="10">
        <f>CHOOSE(CONTROL!$C$42, 10.3704, 10.3704) * CHOOSE(CONTROL!$C$21, $C$9, 100%, $E$9)</f>
        <v>10.3704</v>
      </c>
      <c r="R282" s="10">
        <f>CHOOSE(CONTROL!$C$42, 10.9833, 10.9833) * CHOOSE(CONTROL!$C$21, $C$9, 100%, $E$9)</f>
        <v>10.9833</v>
      </c>
      <c r="S282" s="10">
        <f>CHOOSE(CONTROL!$C$42, 9.4026, 9.4026) * CHOOSE(CONTROL!$C$21, $C$9, 100%, $E$9)</f>
        <v>9.4025999999999996</v>
      </c>
      <c r="T28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82" s="38">
        <f>(1000*CHOOSE(CONTROL!$C$42, 695, 695)*CHOOSE(CONTROL!$C$42, 0.5599, 0.5599)*CHOOSE(CONTROL!$C$42, 30, 30))/1000000</f>
        <v>11.673914999999997</v>
      </c>
      <c r="V282" s="38">
        <f>(1000*CHOOSE(CONTROL!$C$42, 500, 500)*CHOOSE(CONTROL!$C$42, 0.275, 0.275)*CHOOSE(CONTROL!$C$42, 30, 30))/1000000</f>
        <v>4.125</v>
      </c>
      <c r="W282" s="38">
        <f>(1000*CHOOSE(CONTROL!$C$42, 0.1146, 0.1146)*CHOOSE(CONTROL!$C$42, 121.5, 121.5)*CHOOSE(CONTROL!$C$42, 30, 30))/1000000</f>
        <v>0.417717</v>
      </c>
      <c r="X282" s="38">
        <f>(30*0.1790888*245000/1000000)+(30*0.2374*100000/1000000)</f>
        <v>2.0285026799999999</v>
      </c>
      <c r="Y282" s="38">
        <f>(1000*600*CHOOSE(CONTROL!$C$42, 1.6441, 1.6441)*CHOOSE(CONTROL!$C$42, 30, 30))/1000000</f>
        <v>29.593799999999995</v>
      </c>
      <c r="Z282" s="38"/>
      <c r="AA282" s="10"/>
      <c r="AB282" s="39"/>
      <c r="AC282" s="33">
        <f>(B282*194.205+C282*267.466+D282*133.845+E282*53.484+F282*40+G282*185+H282*0+I282*100+J282*300)/(194.205+267.466+133.845+53.484+0+40+185+100+300)</f>
        <v>9.6985476940345361</v>
      </c>
      <c r="AD282" s="27">
        <f>(M282*'RAP TEMPLATE-GAS AVAILABILITY'!O281+N282*'RAP TEMPLATE-GAS AVAILABILITY'!P281+O282*'RAP TEMPLATE-GAS AVAILABILITY'!Q281+P282*'RAP TEMPLATE-GAS AVAILABILITY'!R281)/('RAP TEMPLATE-GAS AVAILABILITY'!O281+'RAP TEMPLATE-GAS AVAILABILITY'!P281+'RAP TEMPLATE-GAS AVAILABILITY'!Q281+'RAP TEMPLATE-GAS AVAILABILITY'!R281)</f>
        <v>9.6090194244604312</v>
      </c>
    </row>
    <row r="283" spans="1:30" ht="15">
      <c r="A283" s="15">
        <v>49857</v>
      </c>
      <c r="B283" s="10">
        <f>CHOOSE(CONTROL!$C$42, 9.509, 9.509) * CHOOSE(CONTROL!$C$21, $C$9, 100%, $E$9)</f>
        <v>9.5090000000000003</v>
      </c>
      <c r="C283" s="10">
        <f>CHOOSE(CONTROL!$C$42, 9.517, 9.517) * CHOOSE(CONTROL!$C$21, $C$9, 100%, $E$9)</f>
        <v>9.5169999999999995</v>
      </c>
      <c r="D283" s="10">
        <f>CHOOSE(CONTROL!$C$42, 9.6741, 9.6741) * CHOOSE(CONTROL!$C$21, $C$9, 100%, $E$9)</f>
        <v>9.6740999999999993</v>
      </c>
      <c r="E283" s="10">
        <f>CHOOSE(CONTROL!$C$42, 9.7053, 9.7053) * CHOOSE(CONTROL!$C$21, $C$9, 100%, $E$9)</f>
        <v>9.7052999999999994</v>
      </c>
      <c r="F283" s="10">
        <f>CHOOSE(CONTROL!$C$42, 9.4537, 9.4537)*CHOOSE(CONTROL!$C$21, $C$9, 100%, $E$9)</f>
        <v>9.4536999999999995</v>
      </c>
      <c r="G283" s="10">
        <f>CHOOSE(CONTROL!$C$42, 9.4699, 9.4699)*CHOOSE(CONTROL!$C$21, $C$9, 100%, $E$9)</f>
        <v>9.4699000000000009</v>
      </c>
      <c r="H283" s="10">
        <f>CHOOSE(CONTROL!$C$42, 9.6936, 9.6936) * CHOOSE(CONTROL!$C$21, $C$9, 100%, $E$9)</f>
        <v>9.6936</v>
      </c>
      <c r="I283" s="10">
        <f>CHOOSE(CONTROL!$C$42, 9.4878, 9.4878)* CHOOSE(CONTROL!$C$21, $C$9, 100%, $E$9)</f>
        <v>9.4878</v>
      </c>
      <c r="J283" s="10">
        <f>CHOOSE(CONTROL!$C$42, 9.4463, 9.4463)* CHOOSE(CONTROL!$C$21, $C$9, 100%, $E$9)</f>
        <v>9.4463000000000008</v>
      </c>
      <c r="K283" s="10">
        <f>CHOOSE(CONTROL!$C$42, 9.3519, 9.3519) * CHOOSE(CONTROL!$C$21, $C$9, 100%, $E$9)</f>
        <v>9.3519000000000005</v>
      </c>
      <c r="L283" s="10">
        <f>CHOOSE(CONTROL!$C$42, 10.2806, 10.2806) * CHOOSE(CONTROL!$C$21, $C$9, 100%, $E$9)</f>
        <v>10.2806</v>
      </c>
      <c r="M283" s="10">
        <f>CHOOSE(CONTROL!$C$42, 9.3475, 9.3475) * CHOOSE(CONTROL!$C$21, $C$9, 100%, $E$9)</f>
        <v>9.3475000000000001</v>
      </c>
      <c r="N283" s="10">
        <f>CHOOSE(CONTROL!$C$42, 9.3635, 9.3635) * CHOOSE(CONTROL!$C$21, $C$9, 100%, $E$9)</f>
        <v>9.3635000000000002</v>
      </c>
      <c r="O283" s="10">
        <f>CHOOSE(CONTROL!$C$42, 9.5914, 9.5914) * CHOOSE(CONTROL!$C$21, $C$9, 100%, $E$9)</f>
        <v>9.5914000000000001</v>
      </c>
      <c r="P283" s="10">
        <f>CHOOSE(CONTROL!$C$42, 9.3885, 9.3885) * CHOOSE(CONTROL!$C$21, $C$9, 100%, $E$9)</f>
        <v>9.3885000000000005</v>
      </c>
      <c r="Q283" s="10">
        <f>CHOOSE(CONTROL!$C$42, 10.1867, 10.1867) * CHOOSE(CONTROL!$C$21, $C$9, 100%, $E$9)</f>
        <v>10.1867</v>
      </c>
      <c r="R283" s="10">
        <f>CHOOSE(CONTROL!$C$42, 10.7992, 10.7992) * CHOOSE(CONTROL!$C$21, $C$9, 100%, $E$9)</f>
        <v>10.799200000000001</v>
      </c>
      <c r="S283" s="10">
        <f>CHOOSE(CONTROL!$C$42, 9.2222, 9.2222) * CHOOSE(CONTROL!$C$21, $C$9, 100%, $E$9)</f>
        <v>9.2222000000000008</v>
      </c>
      <c r="T28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83" s="38">
        <f>(1000*CHOOSE(CONTROL!$C$42, 695, 695)*CHOOSE(CONTROL!$C$42, 0.5599, 0.5599)*CHOOSE(CONTROL!$C$42, 31, 31))/1000000</f>
        <v>12.063045499999998</v>
      </c>
      <c r="V283" s="38">
        <f>(1000*CHOOSE(CONTROL!$C$42, 500, 500)*CHOOSE(CONTROL!$C$42, 0.275, 0.275)*CHOOSE(CONTROL!$C$42, 31, 31))/1000000</f>
        <v>4.2625000000000002</v>
      </c>
      <c r="W283" s="38">
        <f>(1000*CHOOSE(CONTROL!$C$42, 0.1146, 0.1146)*CHOOSE(CONTROL!$C$42, 121.5, 121.5)*CHOOSE(CONTROL!$C$42, 31, 31))/1000000</f>
        <v>0.43164089999999994</v>
      </c>
      <c r="X283" s="38">
        <f>(31*0.1790888*245000/1000000)+(31*0.2374*100000/1000000)</f>
        <v>2.0961194359999999</v>
      </c>
      <c r="Y283" s="38">
        <f>(1000*600*CHOOSE(CONTROL!$C$42, 1.6441, 1.6441)*CHOOSE(CONTROL!$C$42, 31, 31))/1000000</f>
        <v>30.580259999999996</v>
      </c>
      <c r="Z283" s="38"/>
      <c r="AA283" s="10"/>
      <c r="AB283" s="39"/>
      <c r="AC283" s="33">
        <f>(B283*194.205+C283*267.466+D283*133.845+E283*53.484+F283*40+G283*185+H283*0+I283*100+J283*300)/(194.205+267.466+133.845+53.484+0+40+185+100+300)</f>
        <v>9.5124230350863446</v>
      </c>
      <c r="AD283" s="27">
        <f>(M283*'RAP TEMPLATE-GAS AVAILABILITY'!O282+N283*'RAP TEMPLATE-GAS AVAILABILITY'!P282+O283*'RAP TEMPLATE-GAS AVAILABILITY'!Q282+P283*'RAP TEMPLATE-GAS AVAILABILITY'!R282)/('RAP TEMPLATE-GAS AVAILABILITY'!O282+'RAP TEMPLATE-GAS AVAILABILITY'!P282+'RAP TEMPLATE-GAS AVAILABILITY'!Q282+'RAP TEMPLATE-GAS AVAILABILITY'!R282)</f>
        <v>9.4255151079136699</v>
      </c>
    </row>
    <row r="284" spans="1:30" ht="15">
      <c r="A284" s="15">
        <v>49888</v>
      </c>
      <c r="B284" s="10">
        <f>CHOOSE(CONTROL!$C$42, 9.0387, 9.0387) * CHOOSE(CONTROL!$C$21, $C$9, 100%, $E$9)</f>
        <v>9.0387000000000004</v>
      </c>
      <c r="C284" s="10">
        <f>CHOOSE(CONTROL!$C$42, 9.0467, 9.0467) * CHOOSE(CONTROL!$C$21, $C$9, 100%, $E$9)</f>
        <v>9.0466999999999995</v>
      </c>
      <c r="D284" s="10">
        <f>CHOOSE(CONTROL!$C$42, 9.2037, 9.2037) * CHOOSE(CONTROL!$C$21, $C$9, 100%, $E$9)</f>
        <v>9.2036999999999995</v>
      </c>
      <c r="E284" s="10">
        <f>CHOOSE(CONTROL!$C$42, 9.2349, 9.2349) * CHOOSE(CONTROL!$C$21, $C$9, 100%, $E$9)</f>
        <v>9.2348999999999997</v>
      </c>
      <c r="F284" s="10">
        <f>CHOOSE(CONTROL!$C$42, 8.9832, 8.9832)*CHOOSE(CONTROL!$C$21, $C$9, 100%, $E$9)</f>
        <v>8.9832000000000001</v>
      </c>
      <c r="G284" s="10">
        <f>CHOOSE(CONTROL!$C$42, 8.9995, 8.9995)*CHOOSE(CONTROL!$C$21, $C$9, 100%, $E$9)</f>
        <v>8.9994999999999994</v>
      </c>
      <c r="H284" s="10">
        <f>CHOOSE(CONTROL!$C$42, 9.2233, 9.2233) * CHOOSE(CONTROL!$C$21, $C$9, 100%, $E$9)</f>
        <v>9.2233000000000001</v>
      </c>
      <c r="I284" s="10">
        <f>CHOOSE(CONTROL!$C$42, 9.0174, 9.0174)* CHOOSE(CONTROL!$C$21, $C$9, 100%, $E$9)</f>
        <v>9.0174000000000003</v>
      </c>
      <c r="J284" s="10">
        <f>CHOOSE(CONTROL!$C$42, 8.9758, 8.9758)* CHOOSE(CONTROL!$C$21, $C$9, 100%, $E$9)</f>
        <v>8.9757999999999996</v>
      </c>
      <c r="K284" s="10">
        <f>CHOOSE(CONTROL!$C$42, 8.8961, 8.8961) * CHOOSE(CONTROL!$C$21, $C$9, 100%, $E$9)</f>
        <v>8.8961000000000006</v>
      </c>
      <c r="L284" s="10">
        <f>CHOOSE(CONTROL!$C$42, 9.8103, 9.8103) * CHOOSE(CONTROL!$C$21, $C$9, 100%, $E$9)</f>
        <v>9.8102999999999998</v>
      </c>
      <c r="M284" s="10">
        <f>CHOOSE(CONTROL!$C$42, 8.8836, 8.8836) * CHOOSE(CONTROL!$C$21, $C$9, 100%, $E$9)</f>
        <v>8.8835999999999995</v>
      </c>
      <c r="N284" s="10">
        <f>CHOOSE(CONTROL!$C$42, 8.8997, 8.8997) * CHOOSE(CONTROL!$C$21, $C$9, 100%, $E$9)</f>
        <v>8.8996999999999993</v>
      </c>
      <c r="O284" s="10">
        <f>CHOOSE(CONTROL!$C$42, 9.1276, 9.1276) * CHOOSE(CONTROL!$C$21, $C$9, 100%, $E$9)</f>
        <v>9.1275999999999993</v>
      </c>
      <c r="P284" s="10">
        <f>CHOOSE(CONTROL!$C$42, 8.9247, 8.9247) * CHOOSE(CONTROL!$C$21, $C$9, 100%, $E$9)</f>
        <v>8.9246999999999996</v>
      </c>
      <c r="Q284" s="10">
        <f>CHOOSE(CONTROL!$C$42, 9.7229, 9.7229) * CHOOSE(CONTROL!$C$21, $C$9, 100%, $E$9)</f>
        <v>9.7228999999999992</v>
      </c>
      <c r="R284" s="10">
        <f>CHOOSE(CONTROL!$C$42, 10.3342, 10.3342) * CHOOSE(CONTROL!$C$21, $C$9, 100%, $E$9)</f>
        <v>10.334199999999999</v>
      </c>
      <c r="S284" s="10">
        <f>CHOOSE(CONTROL!$C$42, 8.7667, 8.7667) * CHOOSE(CONTROL!$C$21, $C$9, 100%, $E$9)</f>
        <v>8.7667000000000002</v>
      </c>
      <c r="T28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84" s="38">
        <f>(1000*CHOOSE(CONTROL!$C$42, 695, 695)*CHOOSE(CONTROL!$C$42, 0.5599, 0.5599)*CHOOSE(CONTROL!$C$42, 31, 31))/1000000</f>
        <v>12.063045499999998</v>
      </c>
      <c r="V284" s="38">
        <f>(1000*CHOOSE(CONTROL!$C$42, 500, 500)*CHOOSE(CONTROL!$C$42, 0.275, 0.275)*CHOOSE(CONTROL!$C$42, 31, 31))/1000000</f>
        <v>4.2625000000000002</v>
      </c>
      <c r="W284" s="38">
        <f>(1000*CHOOSE(CONTROL!$C$42, 0.1146, 0.1146)*CHOOSE(CONTROL!$C$42, 121.5, 121.5)*CHOOSE(CONTROL!$C$42, 31, 31))/1000000</f>
        <v>0.43164089999999994</v>
      </c>
      <c r="X284" s="38">
        <f>(31*0.1790888*245000/1000000)+(31*0.2374*100000/1000000)</f>
        <v>2.0961194359999999</v>
      </c>
      <c r="Y284" s="38">
        <f>(1000*600*CHOOSE(CONTROL!$C$42, 1.6441, 1.6441)*CHOOSE(CONTROL!$C$42, 31, 31))/1000000</f>
        <v>30.580259999999996</v>
      </c>
      <c r="Z284" s="38"/>
      <c r="AA284" s="10"/>
      <c r="AB284" s="39"/>
      <c r="AC284" s="33">
        <f>(B284*194.205+C284*267.466+D284*133.845+E284*53.484+F284*40+G284*185+H284*0+I284*100+J284*300)/(194.205+267.466+133.845+53.484+0+40+185+100+300)</f>
        <v>9.0420325854003138</v>
      </c>
      <c r="AD284" s="27">
        <f>(M284*'RAP TEMPLATE-GAS AVAILABILITY'!O283+N284*'RAP TEMPLATE-GAS AVAILABILITY'!P283+O284*'RAP TEMPLATE-GAS AVAILABILITY'!Q283+P284*'RAP TEMPLATE-GAS AVAILABILITY'!R283)/('RAP TEMPLATE-GAS AVAILABILITY'!O283+'RAP TEMPLATE-GAS AVAILABILITY'!P283+'RAP TEMPLATE-GAS AVAILABILITY'!Q283+'RAP TEMPLATE-GAS AVAILABILITY'!R283)</f>
        <v>8.9616805755395674</v>
      </c>
    </row>
    <row r="285" spans="1:30" ht="15">
      <c r="A285" s="15">
        <v>49919</v>
      </c>
      <c r="B285" s="10">
        <f>CHOOSE(CONTROL!$C$42, 8.4639, 8.4639) * CHOOSE(CONTROL!$C$21, $C$9, 100%, $E$9)</f>
        <v>8.4639000000000006</v>
      </c>
      <c r="C285" s="10">
        <f>CHOOSE(CONTROL!$C$42, 8.4719, 8.4719) * CHOOSE(CONTROL!$C$21, $C$9, 100%, $E$9)</f>
        <v>8.4718999999999998</v>
      </c>
      <c r="D285" s="10">
        <f>CHOOSE(CONTROL!$C$42, 8.629, 8.629) * CHOOSE(CONTROL!$C$21, $C$9, 100%, $E$9)</f>
        <v>8.6289999999999996</v>
      </c>
      <c r="E285" s="10">
        <f>CHOOSE(CONTROL!$C$42, 8.6602, 8.6602) * CHOOSE(CONTROL!$C$21, $C$9, 100%, $E$9)</f>
        <v>8.6601999999999997</v>
      </c>
      <c r="F285" s="10">
        <f>CHOOSE(CONTROL!$C$42, 8.4083, 8.4083)*CHOOSE(CONTROL!$C$21, $C$9, 100%, $E$9)</f>
        <v>8.4083000000000006</v>
      </c>
      <c r="G285" s="10">
        <f>CHOOSE(CONTROL!$C$42, 8.4245, 8.4245)*CHOOSE(CONTROL!$C$21, $C$9, 100%, $E$9)</f>
        <v>8.4245000000000001</v>
      </c>
      <c r="H285" s="10">
        <f>CHOOSE(CONTROL!$C$42, 8.6485, 8.6485) * CHOOSE(CONTROL!$C$21, $C$9, 100%, $E$9)</f>
        <v>8.6485000000000003</v>
      </c>
      <c r="I285" s="10">
        <f>CHOOSE(CONTROL!$C$42, 8.4427, 8.4427)* CHOOSE(CONTROL!$C$21, $C$9, 100%, $E$9)</f>
        <v>8.4427000000000003</v>
      </c>
      <c r="J285" s="10">
        <f>CHOOSE(CONTROL!$C$42, 8.4009, 8.4009)* CHOOSE(CONTROL!$C$21, $C$9, 100%, $E$9)</f>
        <v>8.4009</v>
      </c>
      <c r="K285" s="10">
        <f>CHOOSE(CONTROL!$C$42, 8.3389, 8.3389) * CHOOSE(CONTROL!$C$21, $C$9, 100%, $E$9)</f>
        <v>8.3389000000000006</v>
      </c>
      <c r="L285" s="10">
        <f>CHOOSE(CONTROL!$C$42, 9.2355, 9.2355) * CHOOSE(CONTROL!$C$21, $C$9, 100%, $E$9)</f>
        <v>9.2355</v>
      </c>
      <c r="M285" s="10">
        <f>CHOOSE(CONTROL!$C$42, 8.3167, 8.3167) * CHOOSE(CONTROL!$C$21, $C$9, 100%, $E$9)</f>
        <v>8.3167000000000009</v>
      </c>
      <c r="N285" s="10">
        <f>CHOOSE(CONTROL!$C$42, 8.3327, 8.3327) * CHOOSE(CONTROL!$C$21, $C$9, 100%, $E$9)</f>
        <v>8.3327000000000009</v>
      </c>
      <c r="O285" s="10">
        <f>CHOOSE(CONTROL!$C$42, 8.5609, 8.5609) * CHOOSE(CONTROL!$C$21, $C$9, 100%, $E$9)</f>
        <v>8.5609000000000002</v>
      </c>
      <c r="P285" s="10">
        <f>CHOOSE(CONTROL!$C$42, 8.358, 8.358) * CHOOSE(CONTROL!$C$21, $C$9, 100%, $E$9)</f>
        <v>8.3580000000000005</v>
      </c>
      <c r="Q285" s="10">
        <f>CHOOSE(CONTROL!$C$42, 9.1562, 9.1562) * CHOOSE(CONTROL!$C$21, $C$9, 100%, $E$9)</f>
        <v>9.1562000000000001</v>
      </c>
      <c r="R285" s="10">
        <f>CHOOSE(CONTROL!$C$42, 9.7661, 9.7661) * CHOOSE(CONTROL!$C$21, $C$9, 100%, $E$9)</f>
        <v>9.7660999999999998</v>
      </c>
      <c r="S285" s="10">
        <f>CHOOSE(CONTROL!$C$42, 8.2102, 8.2102) * CHOOSE(CONTROL!$C$21, $C$9, 100%, $E$9)</f>
        <v>8.2102000000000004</v>
      </c>
      <c r="T28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85" s="38">
        <f>(1000*CHOOSE(CONTROL!$C$42, 695, 695)*CHOOSE(CONTROL!$C$42, 0.5599, 0.5599)*CHOOSE(CONTROL!$C$42, 30, 30))/1000000</f>
        <v>11.673914999999997</v>
      </c>
      <c r="V285" s="38">
        <f>(1000*CHOOSE(CONTROL!$C$42, 500, 500)*CHOOSE(CONTROL!$C$42, 0.275, 0.275)*CHOOSE(CONTROL!$C$42, 30, 30))/1000000</f>
        <v>4.125</v>
      </c>
      <c r="W285" s="38">
        <f>(1000*CHOOSE(CONTROL!$C$42, 0.1146, 0.1146)*CHOOSE(CONTROL!$C$42, 121.5, 121.5)*CHOOSE(CONTROL!$C$42, 30, 30))/1000000</f>
        <v>0.417717</v>
      </c>
      <c r="X285" s="38">
        <f>(30*0.1790888*245000/1000000)+(30*0.2374*100000/1000000)</f>
        <v>2.0285026799999999</v>
      </c>
      <c r="Y285" s="38">
        <f>(1000*600*CHOOSE(CONTROL!$C$42, 1.6441, 1.6441)*CHOOSE(CONTROL!$C$42, 30, 30))/1000000</f>
        <v>29.593799999999995</v>
      </c>
      <c r="Z285" s="38"/>
      <c r="AA285" s="10"/>
      <c r="AB285" s="39"/>
      <c r="AC285" s="33">
        <f>(B285*194.205+C285*267.466+D285*133.845+E285*53.484+F285*40+G285*185+H285*0+I285*100+J285*300)/(194.205+267.466+133.845+53.484+0+40+185+100+300)</f>
        <v>8.467199408712716</v>
      </c>
      <c r="AD285" s="27">
        <f>(M285*'RAP TEMPLATE-GAS AVAILABILITY'!O284+N285*'RAP TEMPLATE-GAS AVAILABILITY'!P284+O285*'RAP TEMPLATE-GAS AVAILABILITY'!Q284+P285*'RAP TEMPLATE-GAS AVAILABILITY'!R284)/('RAP TEMPLATE-GAS AVAILABILITY'!O284+'RAP TEMPLATE-GAS AVAILABILITY'!P284+'RAP TEMPLATE-GAS AVAILABILITY'!Q284+'RAP TEMPLATE-GAS AVAILABILITY'!R284)</f>
        <v>8.3948424460431674</v>
      </c>
    </row>
    <row r="286" spans="1:30" ht="15">
      <c r="A286" s="15">
        <v>49949</v>
      </c>
      <c r="B286" s="10">
        <f>CHOOSE(CONTROL!$C$42, 8.2896, 8.2896) * CHOOSE(CONTROL!$C$21, $C$9, 100%, $E$9)</f>
        <v>8.2896000000000001</v>
      </c>
      <c r="C286" s="10">
        <f>CHOOSE(CONTROL!$C$42, 8.295, 8.295) * CHOOSE(CONTROL!$C$21, $C$9, 100%, $E$9)</f>
        <v>8.2949999999999999</v>
      </c>
      <c r="D286" s="10">
        <f>CHOOSE(CONTROL!$C$42, 8.4569, 8.4569) * CHOOSE(CONTROL!$C$21, $C$9, 100%, $E$9)</f>
        <v>8.4568999999999992</v>
      </c>
      <c r="E286" s="10">
        <f>CHOOSE(CONTROL!$C$42, 8.4858, 8.4858) * CHOOSE(CONTROL!$C$21, $C$9, 100%, $E$9)</f>
        <v>8.4857999999999993</v>
      </c>
      <c r="F286" s="10">
        <f>CHOOSE(CONTROL!$C$42, 8.236, 8.236)*CHOOSE(CONTROL!$C$21, $C$9, 100%, $E$9)</f>
        <v>8.2360000000000007</v>
      </c>
      <c r="G286" s="10">
        <f>CHOOSE(CONTROL!$C$42, 8.2518, 8.2518)*CHOOSE(CONTROL!$C$21, $C$9, 100%, $E$9)</f>
        <v>8.2517999999999994</v>
      </c>
      <c r="H286" s="10">
        <f>CHOOSE(CONTROL!$C$42, 8.476, 8.476) * CHOOSE(CONTROL!$C$21, $C$9, 100%, $E$9)</f>
        <v>8.4760000000000009</v>
      </c>
      <c r="I286" s="10">
        <f>CHOOSE(CONTROL!$C$42, 8.2701, 8.2701)* CHOOSE(CONTROL!$C$21, $C$9, 100%, $E$9)</f>
        <v>8.2700999999999993</v>
      </c>
      <c r="J286" s="10">
        <f>CHOOSE(CONTROL!$C$42, 8.2286, 8.2286)* CHOOSE(CONTROL!$C$21, $C$9, 100%, $E$9)</f>
        <v>8.2286000000000001</v>
      </c>
      <c r="K286" s="10">
        <f>CHOOSE(CONTROL!$C$42, 8.1723, 8.1723) * CHOOSE(CONTROL!$C$21, $C$9, 100%, $E$9)</f>
        <v>8.1722999999999999</v>
      </c>
      <c r="L286" s="10">
        <f>CHOOSE(CONTROL!$C$42, 9.063, 9.063) * CHOOSE(CONTROL!$C$21, $C$9, 100%, $E$9)</f>
        <v>9.0630000000000006</v>
      </c>
      <c r="M286" s="10">
        <f>CHOOSE(CONTROL!$C$42, 8.1469, 8.1469) * CHOOSE(CONTROL!$C$21, $C$9, 100%, $E$9)</f>
        <v>8.1469000000000005</v>
      </c>
      <c r="N286" s="10">
        <f>CHOOSE(CONTROL!$C$42, 8.1624, 8.1624) * CHOOSE(CONTROL!$C$21, $C$9, 100%, $E$9)</f>
        <v>8.1623999999999999</v>
      </c>
      <c r="O286" s="10">
        <f>CHOOSE(CONTROL!$C$42, 8.3907, 8.3907) * CHOOSE(CONTROL!$C$21, $C$9, 100%, $E$9)</f>
        <v>8.3907000000000007</v>
      </c>
      <c r="P286" s="10">
        <f>CHOOSE(CONTROL!$C$42, 8.1878, 8.1878) * CHOOSE(CONTROL!$C$21, $C$9, 100%, $E$9)</f>
        <v>8.1877999999999993</v>
      </c>
      <c r="Q286" s="10">
        <f>CHOOSE(CONTROL!$C$42, 8.986, 8.986) * CHOOSE(CONTROL!$C$21, $C$9, 100%, $E$9)</f>
        <v>8.9860000000000007</v>
      </c>
      <c r="R286" s="10">
        <f>CHOOSE(CONTROL!$C$42, 9.5955, 9.5955) * CHOOSE(CONTROL!$C$21, $C$9, 100%, $E$9)</f>
        <v>9.5954999999999995</v>
      </c>
      <c r="S286" s="10">
        <f>CHOOSE(CONTROL!$C$42, 8.0431, 8.0431) * CHOOSE(CONTROL!$C$21, $C$9, 100%, $E$9)</f>
        <v>8.0431000000000008</v>
      </c>
      <c r="T28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86" s="38">
        <f>(1000*CHOOSE(CONTROL!$C$42, 695, 695)*CHOOSE(CONTROL!$C$42, 0.5599, 0.5599)*CHOOSE(CONTROL!$C$42, 31, 31))/1000000</f>
        <v>12.063045499999998</v>
      </c>
      <c r="V286" s="38">
        <f>(1000*CHOOSE(CONTROL!$C$42, 500, 500)*CHOOSE(CONTROL!$C$42, 0.275, 0.275)*CHOOSE(CONTROL!$C$42, 31, 31))/1000000</f>
        <v>4.2625000000000002</v>
      </c>
      <c r="W286" s="38">
        <f>(1000*CHOOSE(CONTROL!$C$42, 0.1146, 0.1146)*CHOOSE(CONTROL!$C$42, 121.5, 121.5)*CHOOSE(CONTROL!$C$42, 31, 31))/1000000</f>
        <v>0.43164089999999994</v>
      </c>
      <c r="X286" s="38">
        <f>(31*0.1790888*245000/1000000)+(31*0.2374*100000/1000000)</f>
        <v>2.0961194359999999</v>
      </c>
      <c r="Y286" s="38">
        <f>(1000*600*CHOOSE(CONTROL!$C$42, 1.6441, 1.6441)*CHOOSE(CONTROL!$C$42, 31, 31))/1000000</f>
        <v>30.580259999999996</v>
      </c>
      <c r="Z286" s="38"/>
      <c r="AA286" s="10"/>
      <c r="AB286" s="39"/>
      <c r="AC286" s="33">
        <f>(B286*131.881+C286*277.167+D286*79.08+E286*125.872+F286*40+G286*185+H286*0+I286*100+J286*300)/(131.881+277.167+79.08+125.872+0+40+185+100+300)</f>
        <v>8.2976999775625515</v>
      </c>
      <c r="AD286" s="27">
        <f>(M286*'RAP TEMPLATE-GAS AVAILABILITY'!O285+N286*'RAP TEMPLATE-GAS AVAILABILITY'!P285+O286*'RAP TEMPLATE-GAS AVAILABILITY'!Q285+P286*'RAP TEMPLATE-GAS AVAILABILITY'!R285)/('RAP TEMPLATE-GAS AVAILABILITY'!O285+'RAP TEMPLATE-GAS AVAILABILITY'!P285+'RAP TEMPLATE-GAS AVAILABILITY'!Q285+'RAP TEMPLATE-GAS AVAILABILITY'!R285)</f>
        <v>8.2247575539568327</v>
      </c>
    </row>
    <row r="287" spans="1:30" ht="15">
      <c r="A287" s="15">
        <v>49980</v>
      </c>
      <c r="B287" s="10">
        <f>CHOOSE(CONTROL!$C$42, 8.508, 8.508) * CHOOSE(CONTROL!$C$21, $C$9, 100%, $E$9)</f>
        <v>8.5079999999999991</v>
      </c>
      <c r="C287" s="10">
        <f>CHOOSE(CONTROL!$C$42, 8.5131, 8.5131) * CHOOSE(CONTROL!$C$21, $C$9, 100%, $E$9)</f>
        <v>8.5130999999999997</v>
      </c>
      <c r="D287" s="10">
        <f>CHOOSE(CONTROL!$C$42, 8.5378, 8.5378) * CHOOSE(CONTROL!$C$21, $C$9, 100%, $E$9)</f>
        <v>8.5378000000000007</v>
      </c>
      <c r="E287" s="10">
        <f>CHOOSE(CONTROL!$C$42, 8.5716, 8.5716) * CHOOSE(CONTROL!$C$21, $C$9, 100%, $E$9)</f>
        <v>8.5716000000000001</v>
      </c>
      <c r="F287" s="10">
        <f>CHOOSE(CONTROL!$C$42, 8.4764, 8.4764)*CHOOSE(CONTROL!$C$21, $C$9, 100%, $E$9)</f>
        <v>8.4763999999999999</v>
      </c>
      <c r="G287" s="10">
        <f>CHOOSE(CONTROL!$C$42, 8.4924, 8.4924)*CHOOSE(CONTROL!$C$21, $C$9, 100%, $E$9)</f>
        <v>8.4923999999999999</v>
      </c>
      <c r="H287" s="10">
        <f>CHOOSE(CONTROL!$C$42, 8.5605, 8.5605) * CHOOSE(CONTROL!$C$21, $C$9, 100%, $E$9)</f>
        <v>8.5604999999999993</v>
      </c>
      <c r="I287" s="10">
        <f>CHOOSE(CONTROL!$C$42, 8.523, 8.523)* CHOOSE(CONTROL!$C$21, $C$9, 100%, $E$9)</f>
        <v>8.5229999999999997</v>
      </c>
      <c r="J287" s="10">
        <f>CHOOSE(CONTROL!$C$42, 8.469, 8.469)* CHOOSE(CONTROL!$C$21, $C$9, 100%, $E$9)</f>
        <v>8.4689999999999994</v>
      </c>
      <c r="K287" s="10">
        <f>CHOOSE(CONTROL!$C$42, 8.4196, 8.4196) * CHOOSE(CONTROL!$C$21, $C$9, 100%, $E$9)</f>
        <v>8.4196000000000009</v>
      </c>
      <c r="L287" s="10">
        <f>CHOOSE(CONTROL!$C$42, 9.1475, 9.1475) * CHOOSE(CONTROL!$C$21, $C$9, 100%, $E$9)</f>
        <v>9.1475000000000009</v>
      </c>
      <c r="M287" s="10">
        <f>CHOOSE(CONTROL!$C$42, 8.3838, 8.3838) * CHOOSE(CONTROL!$C$21, $C$9, 100%, $E$9)</f>
        <v>8.3838000000000008</v>
      </c>
      <c r="N287" s="10">
        <f>CHOOSE(CONTROL!$C$42, 8.3996, 8.3996) * CHOOSE(CONTROL!$C$21, $C$9, 100%, $E$9)</f>
        <v>8.3995999999999995</v>
      </c>
      <c r="O287" s="10">
        <f>CHOOSE(CONTROL!$C$42, 8.4741, 8.4741) * CHOOSE(CONTROL!$C$21, $C$9, 100%, $E$9)</f>
        <v>8.4741</v>
      </c>
      <c r="P287" s="10">
        <f>CHOOSE(CONTROL!$C$42, 8.4372, 8.4372) * CHOOSE(CONTROL!$C$21, $C$9, 100%, $E$9)</f>
        <v>8.4372000000000007</v>
      </c>
      <c r="Q287" s="10">
        <f>CHOOSE(CONTROL!$C$42, 9.0694, 9.0694) * CHOOSE(CONTROL!$C$21, $C$9, 100%, $E$9)</f>
        <v>9.0693999999999999</v>
      </c>
      <c r="R287" s="10">
        <f>CHOOSE(CONTROL!$C$42, 9.6791, 9.6791) * CHOOSE(CONTROL!$C$21, $C$9, 100%, $E$9)</f>
        <v>9.6791</v>
      </c>
      <c r="S287" s="10">
        <f>CHOOSE(CONTROL!$C$42, 8.255, 8.255) * CHOOSE(CONTROL!$C$21, $C$9, 100%, $E$9)</f>
        <v>8.2550000000000008</v>
      </c>
      <c r="T28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87" s="38">
        <f>(1000*CHOOSE(CONTROL!$C$42, 695, 695)*CHOOSE(CONTROL!$C$42, 0.5599, 0.5599)*CHOOSE(CONTROL!$C$42, 30, 30))/1000000</f>
        <v>11.673914999999997</v>
      </c>
      <c r="V287" s="38">
        <f>(1000*CHOOSE(CONTROL!$C$42, 500, 500)*CHOOSE(CONTROL!$C$42, 0.275, 0.275)*CHOOSE(CONTROL!$C$42, 30, 30))/1000000</f>
        <v>4.125</v>
      </c>
      <c r="W287" s="38">
        <f>(1000*CHOOSE(CONTROL!$C$42, 0.1146, 0.1146)*CHOOSE(CONTROL!$C$42, 121.5, 121.5)*CHOOSE(CONTROL!$C$42, 30, 30))/1000000</f>
        <v>0.417717</v>
      </c>
      <c r="X287" s="38">
        <f>(30*0.1790888*100000/1000000)+(30*0.2374*100000/1000000)</f>
        <v>1.2494664</v>
      </c>
      <c r="Y287" s="38">
        <f>(1000*600*CHOOSE(CONTROL!$C$42, 1.6441, 1.6441)*CHOOSE(CONTROL!$C$42, 30, 30))/1000000</f>
        <v>29.593799999999995</v>
      </c>
      <c r="Z287" s="38"/>
      <c r="AA287" s="10"/>
      <c r="AB287" s="39"/>
      <c r="AC287" s="33">
        <f>(B287*122.58+C287*297.941+D287*89.177+E287*40.302+F287*40+G287*160+H287*0+I287*100+J287*300)/(122.58+297.941+89.177+40.302+0+40+160+100+300)</f>
        <v>8.5017218964347823</v>
      </c>
      <c r="AD287" s="27">
        <f>(M287*'RAP TEMPLATE-GAS AVAILABILITY'!O286+N287*'RAP TEMPLATE-GAS AVAILABILITY'!P286+O287*'RAP TEMPLATE-GAS AVAILABILITY'!Q286+P287*'RAP TEMPLATE-GAS AVAILABILITY'!R286)/('RAP TEMPLATE-GAS AVAILABILITY'!O286+'RAP TEMPLATE-GAS AVAILABILITY'!P286+'RAP TEMPLATE-GAS AVAILABILITY'!Q286+'RAP TEMPLATE-GAS AVAILABILITY'!R286)</f>
        <v>8.4333201438848917</v>
      </c>
    </row>
    <row r="288" spans="1:30" ht="15">
      <c r="A288" s="15">
        <v>50010</v>
      </c>
      <c r="B288" s="10">
        <f>CHOOSE(CONTROL!$C$42, 9.0892, 9.0892) * CHOOSE(CONTROL!$C$21, $C$9, 100%, $E$9)</f>
        <v>9.0891999999999999</v>
      </c>
      <c r="C288" s="10">
        <f>CHOOSE(CONTROL!$C$42, 9.0943, 9.0943) * CHOOSE(CONTROL!$C$21, $C$9, 100%, $E$9)</f>
        <v>9.0943000000000005</v>
      </c>
      <c r="D288" s="10">
        <f>CHOOSE(CONTROL!$C$42, 9.119, 9.119) * CHOOSE(CONTROL!$C$21, $C$9, 100%, $E$9)</f>
        <v>9.1189999999999998</v>
      </c>
      <c r="E288" s="10">
        <f>CHOOSE(CONTROL!$C$42, 9.1528, 9.1528) * CHOOSE(CONTROL!$C$21, $C$9, 100%, $E$9)</f>
        <v>9.1527999999999992</v>
      </c>
      <c r="F288" s="10">
        <f>CHOOSE(CONTROL!$C$42, 9.0595, 9.0595)*CHOOSE(CONTROL!$C$21, $C$9, 100%, $E$9)</f>
        <v>9.0594999999999999</v>
      </c>
      <c r="G288" s="10">
        <f>CHOOSE(CONTROL!$C$42, 9.076, 9.076)*CHOOSE(CONTROL!$C$21, $C$9, 100%, $E$9)</f>
        <v>9.0760000000000005</v>
      </c>
      <c r="H288" s="10">
        <f>CHOOSE(CONTROL!$C$42, 9.1417, 9.1417) * CHOOSE(CONTROL!$C$21, $C$9, 100%, $E$9)</f>
        <v>9.1417000000000002</v>
      </c>
      <c r="I288" s="10">
        <f>CHOOSE(CONTROL!$C$42, 9.1042, 9.1042)* CHOOSE(CONTROL!$C$21, $C$9, 100%, $E$9)</f>
        <v>9.1042000000000005</v>
      </c>
      <c r="J288" s="10">
        <f>CHOOSE(CONTROL!$C$42, 9.0521, 9.0521)* CHOOSE(CONTROL!$C$21, $C$9, 100%, $E$9)</f>
        <v>9.0520999999999994</v>
      </c>
      <c r="K288" s="10">
        <f>CHOOSE(CONTROL!$C$42, 8.9867, 8.9867) * CHOOSE(CONTROL!$C$21, $C$9, 100%, $E$9)</f>
        <v>8.9867000000000008</v>
      </c>
      <c r="L288" s="10">
        <f>CHOOSE(CONTROL!$C$42, 9.7287, 9.7287) * CHOOSE(CONTROL!$C$21, $C$9, 100%, $E$9)</f>
        <v>9.7286999999999999</v>
      </c>
      <c r="M288" s="10">
        <f>CHOOSE(CONTROL!$C$42, 8.9588, 8.9588) * CHOOSE(CONTROL!$C$21, $C$9, 100%, $E$9)</f>
        <v>8.9588000000000001</v>
      </c>
      <c r="N288" s="10">
        <f>CHOOSE(CONTROL!$C$42, 8.9751, 8.9751) * CHOOSE(CONTROL!$C$21, $C$9, 100%, $E$9)</f>
        <v>8.9750999999999994</v>
      </c>
      <c r="O288" s="10">
        <f>CHOOSE(CONTROL!$C$42, 9.0472, 9.0472) * CHOOSE(CONTROL!$C$21, $C$9, 100%, $E$9)</f>
        <v>9.0472000000000001</v>
      </c>
      <c r="P288" s="10">
        <f>CHOOSE(CONTROL!$C$42, 9.0103, 9.0103) * CHOOSE(CONTROL!$C$21, $C$9, 100%, $E$9)</f>
        <v>9.0103000000000009</v>
      </c>
      <c r="Q288" s="10">
        <f>CHOOSE(CONTROL!$C$42, 9.6425, 9.6425) * CHOOSE(CONTROL!$C$21, $C$9, 100%, $E$9)</f>
        <v>9.6425000000000001</v>
      </c>
      <c r="R288" s="10">
        <f>CHOOSE(CONTROL!$C$42, 10.2536, 10.2536) * CHOOSE(CONTROL!$C$21, $C$9, 100%, $E$9)</f>
        <v>10.2536</v>
      </c>
      <c r="S288" s="10">
        <f>CHOOSE(CONTROL!$C$42, 8.8177, 8.8177) * CHOOSE(CONTROL!$C$21, $C$9, 100%, $E$9)</f>
        <v>8.8177000000000003</v>
      </c>
      <c r="T28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288" s="38">
        <f>(1000*CHOOSE(CONTROL!$C$42, 695, 695)*CHOOSE(CONTROL!$C$42, 0.5599, 0.5599)*CHOOSE(CONTROL!$C$42, 31, 31))/1000000</f>
        <v>12.063045499999998</v>
      </c>
      <c r="V288" s="38">
        <f>(1000*CHOOSE(CONTROL!$C$42, 500, 500)*CHOOSE(CONTROL!$C$42, 0.275, 0.275)*CHOOSE(CONTROL!$C$42, 31, 31))/1000000</f>
        <v>4.2625000000000002</v>
      </c>
      <c r="W288" s="38">
        <f>(1000*CHOOSE(CONTROL!$C$42, 0.1146, 0.1146)*CHOOSE(CONTROL!$C$42, 121.5, 121.5)*CHOOSE(CONTROL!$C$42, 31, 31))/1000000</f>
        <v>0.43164089999999994</v>
      </c>
      <c r="X288" s="38">
        <f>(31*0.1790888*100000/1000000)+(31*0.2374*100000/1000000)</f>
        <v>1.2911152800000001</v>
      </c>
      <c r="Y288" s="38">
        <f>(1000*600*CHOOSE(CONTROL!$C$42, 1.6441, 1.6441)*CHOOSE(CONTROL!$C$42, 31, 31))/1000000</f>
        <v>30.580259999999996</v>
      </c>
      <c r="Z288" s="38"/>
      <c r="AA288" s="10"/>
      <c r="AB288" s="39"/>
      <c r="AC288" s="33">
        <f>(B288*122.58+C288*297.941+D288*89.177+E288*40.302+F288*40+G288*160+H288*0+I288*100+J288*300)/(122.58+297.941+89.177+40.302+0+40+160+100+300)</f>
        <v>9.0838175486086961</v>
      </c>
      <c r="AD288" s="27">
        <f>(M288*'RAP TEMPLATE-GAS AVAILABILITY'!O287+N288*'RAP TEMPLATE-GAS AVAILABILITY'!P287+O288*'RAP TEMPLATE-GAS AVAILABILITY'!Q287+P288*'RAP TEMPLATE-GAS AVAILABILITY'!R287)/('RAP TEMPLATE-GAS AVAILABILITY'!O287+'RAP TEMPLATE-GAS AVAILABILITY'!P287+'RAP TEMPLATE-GAS AVAILABILITY'!Q287+'RAP TEMPLATE-GAS AVAILABILITY'!R287)</f>
        <v>9.0072143884892082</v>
      </c>
    </row>
    <row r="289" spans="1:30" ht="15">
      <c r="A289" s="15">
        <v>50041</v>
      </c>
      <c r="B289" s="10">
        <f>CHOOSE(CONTROL!$C$42, 9.7038, 9.7038) * CHOOSE(CONTROL!$C$21, $C$9, 100%, $E$9)</f>
        <v>9.7037999999999993</v>
      </c>
      <c r="C289" s="10">
        <f>CHOOSE(CONTROL!$C$42, 9.7089, 9.7089) * CHOOSE(CONTROL!$C$21, $C$9, 100%, $E$9)</f>
        <v>9.7088999999999999</v>
      </c>
      <c r="D289" s="10">
        <f>CHOOSE(CONTROL!$C$42, 9.7413, 9.7413) * CHOOSE(CONTROL!$C$21, $C$9, 100%, $E$9)</f>
        <v>9.7413000000000007</v>
      </c>
      <c r="E289" s="10">
        <f>CHOOSE(CONTROL!$C$42, 9.7751, 9.7751) * CHOOSE(CONTROL!$C$21, $C$9, 100%, $E$9)</f>
        <v>9.7751000000000001</v>
      </c>
      <c r="F289" s="10">
        <f>CHOOSE(CONTROL!$C$42, 9.688, 9.688)*CHOOSE(CONTROL!$C$21, $C$9, 100%, $E$9)</f>
        <v>9.6880000000000006</v>
      </c>
      <c r="G289" s="10">
        <f>CHOOSE(CONTROL!$C$42, 9.706, 9.706)*CHOOSE(CONTROL!$C$21, $C$9, 100%, $E$9)</f>
        <v>9.7059999999999995</v>
      </c>
      <c r="H289" s="10">
        <f>CHOOSE(CONTROL!$C$42, 9.764, 9.764) * CHOOSE(CONTROL!$C$21, $C$9, 100%, $E$9)</f>
        <v>9.7639999999999993</v>
      </c>
      <c r="I289" s="10">
        <f>CHOOSE(CONTROL!$C$42, 9.7172, 9.7172)* CHOOSE(CONTROL!$C$21, $C$9, 100%, $E$9)</f>
        <v>9.7172000000000001</v>
      </c>
      <c r="J289" s="10">
        <f>CHOOSE(CONTROL!$C$42, 9.6806, 9.6806)* CHOOSE(CONTROL!$C$21, $C$9, 100%, $E$9)</f>
        <v>9.6806000000000001</v>
      </c>
      <c r="K289" s="10">
        <f>CHOOSE(CONTROL!$C$42, 9.5945, 9.5945) * CHOOSE(CONTROL!$C$21, $C$9, 100%, $E$9)</f>
        <v>9.5945</v>
      </c>
      <c r="L289" s="10">
        <f>CHOOSE(CONTROL!$C$42, 10.351, 10.351) * CHOOSE(CONTROL!$C$21, $C$9, 100%, $E$9)</f>
        <v>10.351000000000001</v>
      </c>
      <c r="M289" s="10">
        <f>CHOOSE(CONTROL!$C$42, 9.5786, 9.5786) * CHOOSE(CONTROL!$C$21, $C$9, 100%, $E$9)</f>
        <v>9.5785999999999998</v>
      </c>
      <c r="N289" s="10">
        <f>CHOOSE(CONTROL!$C$42, 9.5963, 9.5963) * CHOOSE(CONTROL!$C$21, $C$9, 100%, $E$9)</f>
        <v>9.5962999999999994</v>
      </c>
      <c r="O289" s="10">
        <f>CHOOSE(CONTROL!$C$42, 9.6608, 9.6608) * CHOOSE(CONTROL!$C$21, $C$9, 100%, $E$9)</f>
        <v>9.6608000000000001</v>
      </c>
      <c r="P289" s="10">
        <f>CHOOSE(CONTROL!$C$42, 9.6147, 9.6147) * CHOOSE(CONTROL!$C$21, $C$9, 100%, $E$9)</f>
        <v>9.6146999999999991</v>
      </c>
      <c r="Q289" s="10">
        <f>CHOOSE(CONTROL!$C$42, 10.2561, 10.2561) * CHOOSE(CONTROL!$C$21, $C$9, 100%, $E$9)</f>
        <v>10.2561</v>
      </c>
      <c r="R289" s="10">
        <f>CHOOSE(CONTROL!$C$42, 10.8687, 10.8687) * CHOOSE(CONTROL!$C$21, $C$9, 100%, $E$9)</f>
        <v>10.8687</v>
      </c>
      <c r="S289" s="10">
        <f>CHOOSE(CONTROL!$C$42, 9.4128, 9.4128) * CHOOSE(CONTROL!$C$21, $C$9, 100%, $E$9)</f>
        <v>9.4128000000000007</v>
      </c>
      <c r="T28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289" s="38">
        <f>(1000*CHOOSE(CONTROL!$C$42, 695, 695)*CHOOSE(CONTROL!$C$42, 0.5599, 0.5599)*CHOOSE(CONTROL!$C$42, 31, 31))/1000000</f>
        <v>12.063045499999998</v>
      </c>
      <c r="V289" s="38">
        <f>(1000*CHOOSE(CONTROL!$C$42, 500, 500)*CHOOSE(CONTROL!$C$42, 0.275, 0.275)*CHOOSE(CONTROL!$C$42, 31, 31))/1000000</f>
        <v>4.2625000000000002</v>
      </c>
      <c r="W289" s="38">
        <f>(1000*CHOOSE(CONTROL!$C$42, 0.1146, 0.1146)*CHOOSE(CONTROL!$C$42, 121.5, 121.5)*CHOOSE(CONTROL!$C$42, 31, 31))/1000000</f>
        <v>0.43164089999999994</v>
      </c>
      <c r="X289" s="38">
        <f>(31*0.1790888*100000/1000000)+(31*0.2374*100000/1000000)</f>
        <v>1.2911152800000001</v>
      </c>
      <c r="Y289" s="38">
        <f>(1000*600*CHOOSE(CONTROL!$C$42, 1.6406, 1.6406)*CHOOSE(CONTROL!$C$42, 31, 31))/1000000</f>
        <v>30.515160000000002</v>
      </c>
      <c r="Z289" s="38"/>
      <c r="AA289" s="10"/>
      <c r="AB289" s="39"/>
      <c r="AC289" s="33">
        <f>(B289*122.58+C289*297.941+D289*89.177+E289*40.302+F289*40+G289*160+H289*0+I289*100+J289*300)/(122.58+297.941+89.177+40.302+0+40+160+100+300)</f>
        <v>9.7053975384347826</v>
      </c>
      <c r="AD289" s="27">
        <f>(M289*'RAP TEMPLATE-GAS AVAILABILITY'!O288+N289*'RAP TEMPLATE-GAS AVAILABILITY'!P288+O289*'RAP TEMPLATE-GAS AVAILABILITY'!Q288+P289*'RAP TEMPLATE-GAS AVAILABILITY'!R288)/('RAP TEMPLATE-GAS AVAILABILITY'!O288+'RAP TEMPLATE-GAS AVAILABILITY'!P288+'RAP TEMPLATE-GAS AVAILABILITY'!Q288+'RAP TEMPLATE-GAS AVAILABILITY'!R288)</f>
        <v>9.622069064748203</v>
      </c>
    </row>
    <row r="290" spans="1:30" ht="15">
      <c r="A290" s="15">
        <v>50072</v>
      </c>
      <c r="B290" s="10">
        <f>CHOOSE(CONTROL!$C$42, 9.8768, 9.8768) * CHOOSE(CONTROL!$C$21, $C$9, 100%, $E$9)</f>
        <v>9.8767999999999994</v>
      </c>
      <c r="C290" s="10">
        <f>CHOOSE(CONTROL!$C$42, 9.8819, 9.8819) * CHOOSE(CONTROL!$C$21, $C$9, 100%, $E$9)</f>
        <v>9.8818999999999999</v>
      </c>
      <c r="D290" s="10">
        <f>CHOOSE(CONTROL!$C$42, 9.9143, 9.9143) * CHOOSE(CONTROL!$C$21, $C$9, 100%, $E$9)</f>
        <v>9.9143000000000008</v>
      </c>
      <c r="E290" s="10">
        <f>CHOOSE(CONTROL!$C$42, 9.9482, 9.9482) * CHOOSE(CONTROL!$C$21, $C$9, 100%, $E$9)</f>
        <v>9.9481999999999999</v>
      </c>
      <c r="F290" s="10">
        <f>CHOOSE(CONTROL!$C$42, 9.8605, 9.8605)*CHOOSE(CONTROL!$C$21, $C$9, 100%, $E$9)</f>
        <v>9.8605</v>
      </c>
      <c r="G290" s="10">
        <f>CHOOSE(CONTROL!$C$42, 9.8785, 9.8785)*CHOOSE(CONTROL!$C$21, $C$9, 100%, $E$9)</f>
        <v>9.8785000000000007</v>
      </c>
      <c r="H290" s="10">
        <f>CHOOSE(CONTROL!$C$42, 9.937, 9.937) * CHOOSE(CONTROL!$C$21, $C$9, 100%, $E$9)</f>
        <v>9.9369999999999994</v>
      </c>
      <c r="I290" s="10">
        <f>CHOOSE(CONTROL!$C$42, 9.8903, 9.8903)* CHOOSE(CONTROL!$C$21, $C$9, 100%, $E$9)</f>
        <v>9.8902999999999999</v>
      </c>
      <c r="J290" s="10">
        <f>CHOOSE(CONTROL!$C$42, 9.8531, 9.8531)* CHOOSE(CONTROL!$C$21, $C$9, 100%, $E$9)</f>
        <v>9.8530999999999995</v>
      </c>
      <c r="K290" s="10">
        <f>CHOOSE(CONTROL!$C$42, 9.7612, 9.7612) * CHOOSE(CONTROL!$C$21, $C$9, 100%, $E$9)</f>
        <v>9.7612000000000005</v>
      </c>
      <c r="L290" s="10">
        <f>CHOOSE(CONTROL!$C$42, 10.524, 10.524) * CHOOSE(CONTROL!$C$21, $C$9, 100%, $E$9)</f>
        <v>10.523999999999999</v>
      </c>
      <c r="M290" s="10">
        <f>CHOOSE(CONTROL!$C$42, 9.7487, 9.7487) * CHOOSE(CONTROL!$C$21, $C$9, 100%, $E$9)</f>
        <v>9.7486999999999995</v>
      </c>
      <c r="N290" s="10">
        <f>CHOOSE(CONTROL!$C$42, 9.7664, 9.7664) * CHOOSE(CONTROL!$C$21, $C$9, 100%, $E$9)</f>
        <v>9.7664000000000009</v>
      </c>
      <c r="O290" s="10">
        <f>CHOOSE(CONTROL!$C$42, 9.8314, 9.8314) * CHOOSE(CONTROL!$C$21, $C$9, 100%, $E$9)</f>
        <v>9.8314000000000004</v>
      </c>
      <c r="P290" s="10">
        <f>CHOOSE(CONTROL!$C$42, 9.7854, 9.7854) * CHOOSE(CONTROL!$C$21, $C$9, 100%, $E$9)</f>
        <v>9.7853999999999992</v>
      </c>
      <c r="Q290" s="10">
        <f>CHOOSE(CONTROL!$C$42, 10.4267, 10.4267) * CHOOSE(CONTROL!$C$21, $C$9, 100%, $E$9)</f>
        <v>10.4267</v>
      </c>
      <c r="R290" s="10">
        <f>CHOOSE(CONTROL!$C$42, 11.0398, 11.0398) * CHOOSE(CONTROL!$C$21, $C$9, 100%, $E$9)</f>
        <v>11.0398</v>
      </c>
      <c r="S290" s="10">
        <f>CHOOSE(CONTROL!$C$42, 9.5804, 9.5804) * CHOOSE(CONTROL!$C$21, $C$9, 100%, $E$9)</f>
        <v>9.5803999999999991</v>
      </c>
      <c r="T29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290" s="38">
        <f>(1000*CHOOSE(CONTROL!$C$42, 695, 695)*CHOOSE(CONTROL!$C$42, 0.5599, 0.5599)*CHOOSE(CONTROL!$C$42, 28, 28))/1000000</f>
        <v>10.895653999999999</v>
      </c>
      <c r="V290" s="38">
        <f>(1000*CHOOSE(CONTROL!$C$42, 500, 500)*CHOOSE(CONTROL!$C$42, 0.275, 0.275)*CHOOSE(CONTROL!$C$42, 28, 28))/1000000</f>
        <v>3.85</v>
      </c>
      <c r="W290" s="38">
        <f>(1000*CHOOSE(CONTROL!$C$42, 0.1146, 0.1146)*CHOOSE(CONTROL!$C$42, 121.5, 121.5)*CHOOSE(CONTROL!$C$42, 28, 28))/1000000</f>
        <v>0.38986920000000003</v>
      </c>
      <c r="X290" s="38">
        <f>(28*0.1790888*100000/1000000)+(28*0.2374*100000/1000000)</f>
        <v>1.16616864</v>
      </c>
      <c r="Y290" s="38">
        <f>(1000*600*CHOOSE(CONTROL!$C$42, 1.6406, 1.6406)*CHOOSE(CONTROL!$C$42, 28, 28))/1000000</f>
        <v>27.562080000000002</v>
      </c>
      <c r="Z290" s="38"/>
      <c r="AA290" s="10"/>
      <c r="AB290" s="39"/>
      <c r="AC290" s="33">
        <f>(B290*122.58+C290*297.941+D290*89.177+E290*40.302+F290*40+G290*160+H290*0+I290*100+J290*300)/(122.58+297.941+89.177+40.302+0+40+160+100+300)</f>
        <v>9.8781923473043474</v>
      </c>
      <c r="AD290" s="27">
        <f>(M290*'RAP TEMPLATE-GAS AVAILABILITY'!O289+N290*'RAP TEMPLATE-GAS AVAILABILITY'!P289+O290*'RAP TEMPLATE-GAS AVAILABILITY'!Q289+P290*'RAP TEMPLATE-GAS AVAILABILITY'!R289)/('RAP TEMPLATE-GAS AVAILABILITY'!O289+'RAP TEMPLATE-GAS AVAILABILITY'!P289+'RAP TEMPLATE-GAS AVAILABILITY'!Q289+'RAP TEMPLATE-GAS AVAILABILITY'!R289)</f>
        <v>9.7924820143884901</v>
      </c>
    </row>
    <row r="291" spans="1:30" ht="15">
      <c r="A291" s="15">
        <v>50100</v>
      </c>
      <c r="B291" s="10">
        <f>CHOOSE(CONTROL!$C$42, 9.5959, 9.5959) * CHOOSE(CONTROL!$C$21, $C$9, 100%, $E$9)</f>
        <v>9.5959000000000003</v>
      </c>
      <c r="C291" s="10">
        <f>CHOOSE(CONTROL!$C$42, 9.601, 9.601) * CHOOSE(CONTROL!$C$21, $C$9, 100%, $E$9)</f>
        <v>9.6010000000000009</v>
      </c>
      <c r="D291" s="10">
        <f>CHOOSE(CONTROL!$C$42, 9.6335, 9.6335) * CHOOSE(CONTROL!$C$21, $C$9, 100%, $E$9)</f>
        <v>9.6334999999999997</v>
      </c>
      <c r="E291" s="10">
        <f>CHOOSE(CONTROL!$C$42, 9.6673, 9.6673) * CHOOSE(CONTROL!$C$21, $C$9, 100%, $E$9)</f>
        <v>9.6672999999999991</v>
      </c>
      <c r="F291" s="10">
        <f>CHOOSE(CONTROL!$C$42, 9.5782, 9.5782)*CHOOSE(CONTROL!$C$21, $C$9, 100%, $E$9)</f>
        <v>9.5782000000000007</v>
      </c>
      <c r="G291" s="10">
        <f>CHOOSE(CONTROL!$C$42, 9.5958, 9.5958)*CHOOSE(CONTROL!$C$21, $C$9, 100%, $E$9)</f>
        <v>9.5958000000000006</v>
      </c>
      <c r="H291" s="10">
        <f>CHOOSE(CONTROL!$C$42, 9.6562, 9.6562) * CHOOSE(CONTROL!$C$21, $C$9, 100%, $E$9)</f>
        <v>9.6562000000000001</v>
      </c>
      <c r="I291" s="10">
        <f>CHOOSE(CONTROL!$C$42, 9.6094, 9.6094)* CHOOSE(CONTROL!$C$21, $C$9, 100%, $E$9)</f>
        <v>9.6094000000000008</v>
      </c>
      <c r="J291" s="10">
        <f>CHOOSE(CONTROL!$C$42, 9.5708, 9.5708)* CHOOSE(CONTROL!$C$21, $C$9, 100%, $E$9)</f>
        <v>9.5708000000000002</v>
      </c>
      <c r="K291" s="10">
        <f>CHOOSE(CONTROL!$C$42, 9.4859, 9.4859) * CHOOSE(CONTROL!$C$21, $C$9, 100%, $E$9)</f>
        <v>9.4859000000000009</v>
      </c>
      <c r="L291" s="10">
        <f>CHOOSE(CONTROL!$C$42, 10.2432, 10.2432) * CHOOSE(CONTROL!$C$21, $C$9, 100%, $E$9)</f>
        <v>10.2432</v>
      </c>
      <c r="M291" s="10">
        <f>CHOOSE(CONTROL!$C$42, 9.4703, 9.4703) * CHOOSE(CONTROL!$C$21, $C$9, 100%, $E$9)</f>
        <v>9.4702999999999999</v>
      </c>
      <c r="N291" s="10">
        <f>CHOOSE(CONTROL!$C$42, 9.4876, 9.4876) * CHOOSE(CONTROL!$C$21, $C$9, 100%, $E$9)</f>
        <v>9.4876000000000005</v>
      </c>
      <c r="O291" s="10">
        <f>CHOOSE(CONTROL!$C$42, 9.5545, 9.5545) * CHOOSE(CONTROL!$C$21, $C$9, 100%, $E$9)</f>
        <v>9.5545000000000009</v>
      </c>
      <c r="P291" s="10">
        <f>CHOOSE(CONTROL!$C$42, 9.5084, 9.5084) * CHOOSE(CONTROL!$C$21, $C$9, 100%, $E$9)</f>
        <v>9.5084</v>
      </c>
      <c r="Q291" s="10">
        <f>CHOOSE(CONTROL!$C$42, 10.1498, 10.1498) * CHOOSE(CONTROL!$C$21, $C$9, 100%, $E$9)</f>
        <v>10.149800000000001</v>
      </c>
      <c r="R291" s="10">
        <f>CHOOSE(CONTROL!$C$42, 10.7621, 10.7621) * CHOOSE(CONTROL!$C$21, $C$9, 100%, $E$9)</f>
        <v>10.7621</v>
      </c>
      <c r="S291" s="10">
        <f>CHOOSE(CONTROL!$C$42, 9.3084, 9.3084) * CHOOSE(CONTROL!$C$21, $C$9, 100%, $E$9)</f>
        <v>9.3084000000000007</v>
      </c>
      <c r="T29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291" s="38">
        <f>(1000*CHOOSE(CONTROL!$C$42, 695, 695)*CHOOSE(CONTROL!$C$42, 0.5599, 0.5599)*CHOOSE(CONTROL!$C$42, 31, 31))/1000000</f>
        <v>12.063045499999998</v>
      </c>
      <c r="V291" s="38">
        <f>(1000*CHOOSE(CONTROL!$C$42, 500, 500)*CHOOSE(CONTROL!$C$42, 0.275, 0.275)*CHOOSE(CONTROL!$C$42, 31, 31))/1000000</f>
        <v>4.2625000000000002</v>
      </c>
      <c r="W291" s="38">
        <f>(1000*CHOOSE(CONTROL!$C$42, 0.1146, 0.1146)*CHOOSE(CONTROL!$C$42, 121.5, 121.5)*CHOOSE(CONTROL!$C$42, 31, 31))/1000000</f>
        <v>0.43164089999999994</v>
      </c>
      <c r="X291" s="38">
        <f>(31*0.1790888*100000/1000000)+(31*0.2374*100000/1000000)</f>
        <v>1.2911152800000001</v>
      </c>
      <c r="Y291" s="38">
        <f>(1000*600*CHOOSE(CONTROL!$C$42, 1.6406, 1.6406)*CHOOSE(CONTROL!$C$42, 31, 31))/1000000</f>
        <v>30.515160000000002</v>
      </c>
      <c r="Z291" s="38"/>
      <c r="AA291" s="10"/>
      <c r="AB291" s="39"/>
      <c r="AC291" s="33">
        <f>(B291*122.58+C291*297.941+D291*89.177+E291*40.302+F291*40+G291*160+H291*0+I291*100+J291*300)/(122.58+297.941+89.177+40.302+0+40+160+100+300)</f>
        <v>9.5966357539999994</v>
      </c>
      <c r="AD291" s="27">
        <f>(M291*'RAP TEMPLATE-GAS AVAILABILITY'!O290+N291*'RAP TEMPLATE-GAS AVAILABILITY'!P290+O291*'RAP TEMPLATE-GAS AVAILABILITY'!Q290+P291*'RAP TEMPLATE-GAS AVAILABILITY'!R290)/('RAP TEMPLATE-GAS AVAILABILITY'!O290+'RAP TEMPLATE-GAS AVAILABILITY'!P290+'RAP TEMPLATE-GAS AVAILABILITY'!Q290+'RAP TEMPLATE-GAS AVAILABILITY'!R290)</f>
        <v>9.5149402877697842</v>
      </c>
    </row>
    <row r="292" spans="1:30" ht="15">
      <c r="A292" s="15">
        <v>50131</v>
      </c>
      <c r="B292" s="10">
        <f>CHOOSE(CONTROL!$C$42, 9.5679, 9.5679) * CHOOSE(CONTROL!$C$21, $C$9, 100%, $E$9)</f>
        <v>9.5678999999999998</v>
      </c>
      <c r="C292" s="10">
        <f>CHOOSE(CONTROL!$C$42, 9.5725, 9.5725) * CHOOSE(CONTROL!$C$21, $C$9, 100%, $E$9)</f>
        <v>9.5724999999999998</v>
      </c>
      <c r="D292" s="10">
        <f>CHOOSE(CONTROL!$C$42, 9.7326, 9.7326) * CHOOSE(CONTROL!$C$21, $C$9, 100%, $E$9)</f>
        <v>9.7325999999999997</v>
      </c>
      <c r="E292" s="10">
        <f>CHOOSE(CONTROL!$C$42, 9.7644, 9.7644) * CHOOSE(CONTROL!$C$21, $C$9, 100%, $E$9)</f>
        <v>9.7644000000000002</v>
      </c>
      <c r="F292" s="10">
        <f>CHOOSE(CONTROL!$C$42, 9.514, 9.514)*CHOOSE(CONTROL!$C$21, $C$9, 100%, $E$9)</f>
        <v>9.5139999999999993</v>
      </c>
      <c r="G292" s="10">
        <f>CHOOSE(CONTROL!$C$42, 9.5299, 9.5299)*CHOOSE(CONTROL!$C$21, $C$9, 100%, $E$9)</f>
        <v>9.5298999999999996</v>
      </c>
      <c r="H292" s="10">
        <f>CHOOSE(CONTROL!$C$42, 9.7539, 9.7539) * CHOOSE(CONTROL!$C$21, $C$9, 100%, $E$9)</f>
        <v>9.7538999999999998</v>
      </c>
      <c r="I292" s="10">
        <f>CHOOSE(CONTROL!$C$42, 9.5481, 9.5481)* CHOOSE(CONTROL!$C$21, $C$9, 100%, $E$9)</f>
        <v>9.5480999999999998</v>
      </c>
      <c r="J292" s="10">
        <f>CHOOSE(CONTROL!$C$42, 9.5066, 9.5066)* CHOOSE(CONTROL!$C$21, $C$9, 100%, $E$9)</f>
        <v>9.5066000000000006</v>
      </c>
      <c r="K292" s="10">
        <f>CHOOSE(CONTROL!$C$42, 9.4105, 9.4105) * CHOOSE(CONTROL!$C$21, $C$9, 100%, $E$9)</f>
        <v>9.4105000000000008</v>
      </c>
      <c r="L292" s="10">
        <f>CHOOSE(CONTROL!$C$42, 10.3409, 10.3409) * CHOOSE(CONTROL!$C$21, $C$9, 100%, $E$9)</f>
        <v>10.3409</v>
      </c>
      <c r="M292" s="10">
        <f>CHOOSE(CONTROL!$C$42, 9.407, 9.407) * CHOOSE(CONTROL!$C$21, $C$9, 100%, $E$9)</f>
        <v>9.407</v>
      </c>
      <c r="N292" s="10">
        <f>CHOOSE(CONTROL!$C$42, 9.4226, 9.4226) * CHOOSE(CONTROL!$C$21, $C$9, 100%, $E$9)</f>
        <v>9.4225999999999992</v>
      </c>
      <c r="O292" s="10">
        <f>CHOOSE(CONTROL!$C$42, 9.6508, 9.6508) * CHOOSE(CONTROL!$C$21, $C$9, 100%, $E$9)</f>
        <v>9.6508000000000003</v>
      </c>
      <c r="P292" s="10">
        <f>CHOOSE(CONTROL!$C$42, 9.4479, 9.4479) * CHOOSE(CONTROL!$C$21, $C$9, 100%, $E$9)</f>
        <v>9.4479000000000006</v>
      </c>
      <c r="Q292" s="10">
        <f>CHOOSE(CONTROL!$C$42, 10.2461, 10.2461) * CHOOSE(CONTROL!$C$21, $C$9, 100%, $E$9)</f>
        <v>10.2461</v>
      </c>
      <c r="R292" s="10">
        <f>CHOOSE(CONTROL!$C$42, 10.8588, 10.8588) * CHOOSE(CONTROL!$C$21, $C$9, 100%, $E$9)</f>
        <v>10.8588</v>
      </c>
      <c r="S292" s="10">
        <f>CHOOSE(CONTROL!$C$42, 9.2805, 9.2805) * CHOOSE(CONTROL!$C$21, $C$9, 100%, $E$9)</f>
        <v>9.2805</v>
      </c>
      <c r="T29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292" s="38">
        <f>(1000*CHOOSE(CONTROL!$C$42, 695, 695)*CHOOSE(CONTROL!$C$42, 0.5599, 0.5599)*CHOOSE(CONTROL!$C$42, 30, 30))/1000000</f>
        <v>11.673914999999997</v>
      </c>
      <c r="V292" s="38">
        <f>(1000*CHOOSE(CONTROL!$C$42, 500, 500)*CHOOSE(CONTROL!$C$42, 0.275, 0.275)*CHOOSE(CONTROL!$C$42, 30, 30))/1000000</f>
        <v>4.125</v>
      </c>
      <c r="W292" s="38">
        <f>(1000*CHOOSE(CONTROL!$C$42, 0.1146, 0.1146)*CHOOSE(CONTROL!$C$42, 121.5, 121.5)*CHOOSE(CONTROL!$C$42, 30, 30))/1000000</f>
        <v>0.417717</v>
      </c>
      <c r="X292" s="38">
        <f>(30*0.1790888*245000/1000000)+(30*0.2374*100000/1000000)</f>
        <v>2.0285026799999999</v>
      </c>
      <c r="Y292" s="38">
        <f>(1000*600*CHOOSE(CONTROL!$C$42, 1.6406, 1.6406)*CHOOSE(CONTROL!$C$42, 30, 30))/1000000</f>
        <v>29.530799999999999</v>
      </c>
      <c r="Z292" s="38"/>
      <c r="AA292" s="10"/>
      <c r="AB292" s="39"/>
      <c r="AC292" s="33">
        <f>(B292*141.293+C292*267.993+D292*115.016+E292*89.698+F292*40+G292*185+H292*0+I292*100+J292*300)/(141.293+267.993+115.016+89.698+0+40+185+100+300)</f>
        <v>9.5745550121065364</v>
      </c>
      <c r="AD292" s="27">
        <f>(M292*'RAP TEMPLATE-GAS AVAILABILITY'!O291+N292*'RAP TEMPLATE-GAS AVAILABILITY'!P291+O292*'RAP TEMPLATE-GAS AVAILABILITY'!Q291+P292*'RAP TEMPLATE-GAS AVAILABILITY'!R291)/('RAP TEMPLATE-GAS AVAILABILITY'!O291+'RAP TEMPLATE-GAS AVAILABILITY'!P291+'RAP TEMPLATE-GAS AVAILABILITY'!Q291+'RAP TEMPLATE-GAS AVAILABILITY'!R291)</f>
        <v>9.4848805755395666</v>
      </c>
    </row>
    <row r="293" spans="1:30" ht="15">
      <c r="A293" s="15">
        <v>50161</v>
      </c>
      <c r="B293" s="10">
        <f>CHOOSE(CONTROL!$C$42, 9.6543, 9.6543) * CHOOSE(CONTROL!$C$21, $C$9, 100%, $E$9)</f>
        <v>9.6542999999999992</v>
      </c>
      <c r="C293" s="10">
        <f>CHOOSE(CONTROL!$C$42, 9.6623, 9.6623) * CHOOSE(CONTROL!$C$21, $C$9, 100%, $E$9)</f>
        <v>9.6623000000000001</v>
      </c>
      <c r="D293" s="10">
        <f>CHOOSE(CONTROL!$C$42, 9.8194, 9.8194) * CHOOSE(CONTROL!$C$21, $C$9, 100%, $E$9)</f>
        <v>9.8193999999999999</v>
      </c>
      <c r="E293" s="10">
        <f>CHOOSE(CONTROL!$C$42, 9.8506, 9.8506) * CHOOSE(CONTROL!$C$21, $C$9, 100%, $E$9)</f>
        <v>9.8506</v>
      </c>
      <c r="F293" s="10">
        <f>CHOOSE(CONTROL!$C$42, 9.5985, 9.5985)*CHOOSE(CONTROL!$C$21, $C$9, 100%, $E$9)</f>
        <v>9.5984999999999996</v>
      </c>
      <c r="G293" s="10">
        <f>CHOOSE(CONTROL!$C$42, 9.6146, 9.6146)*CHOOSE(CONTROL!$C$21, $C$9, 100%, $E$9)</f>
        <v>9.6145999999999994</v>
      </c>
      <c r="H293" s="10">
        <f>CHOOSE(CONTROL!$C$42, 9.8389, 9.8389) * CHOOSE(CONTROL!$C$21, $C$9, 100%, $E$9)</f>
        <v>9.8389000000000006</v>
      </c>
      <c r="I293" s="10">
        <f>CHOOSE(CONTROL!$C$42, 9.6331, 9.6331)* CHOOSE(CONTROL!$C$21, $C$9, 100%, $E$9)</f>
        <v>9.6331000000000007</v>
      </c>
      <c r="J293" s="10">
        <f>CHOOSE(CONTROL!$C$42, 9.5911, 9.5911)* CHOOSE(CONTROL!$C$21, $C$9, 100%, $E$9)</f>
        <v>9.5911000000000008</v>
      </c>
      <c r="K293" s="10">
        <f>CHOOSE(CONTROL!$C$42, 9.4916, 9.4916) * CHOOSE(CONTROL!$C$21, $C$9, 100%, $E$9)</f>
        <v>9.4916</v>
      </c>
      <c r="L293" s="10">
        <f>CHOOSE(CONTROL!$C$42, 10.4259, 10.4259) * CHOOSE(CONTROL!$C$21, $C$9, 100%, $E$9)</f>
        <v>10.4259</v>
      </c>
      <c r="M293" s="10">
        <f>CHOOSE(CONTROL!$C$42, 9.4903, 9.4903) * CHOOSE(CONTROL!$C$21, $C$9, 100%, $E$9)</f>
        <v>9.4902999999999995</v>
      </c>
      <c r="N293" s="10">
        <f>CHOOSE(CONTROL!$C$42, 9.5062, 9.5062) * CHOOSE(CONTROL!$C$21, $C$9, 100%, $E$9)</f>
        <v>9.5061999999999998</v>
      </c>
      <c r="O293" s="10">
        <f>CHOOSE(CONTROL!$C$42, 9.7347, 9.7347) * CHOOSE(CONTROL!$C$21, $C$9, 100%, $E$9)</f>
        <v>9.7347000000000001</v>
      </c>
      <c r="P293" s="10">
        <f>CHOOSE(CONTROL!$C$42, 9.5318, 9.5318) * CHOOSE(CONTROL!$C$21, $C$9, 100%, $E$9)</f>
        <v>9.5318000000000005</v>
      </c>
      <c r="Q293" s="10">
        <f>CHOOSE(CONTROL!$C$42, 10.33, 10.33) * CHOOSE(CONTROL!$C$21, $C$9, 100%, $E$9)</f>
        <v>10.33</v>
      </c>
      <c r="R293" s="10">
        <f>CHOOSE(CONTROL!$C$42, 10.9428, 10.9428) * CHOOSE(CONTROL!$C$21, $C$9, 100%, $E$9)</f>
        <v>10.9428</v>
      </c>
      <c r="S293" s="10">
        <f>CHOOSE(CONTROL!$C$42, 9.3629, 9.3629) * CHOOSE(CONTROL!$C$21, $C$9, 100%, $E$9)</f>
        <v>9.3628999999999998</v>
      </c>
      <c r="T29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293" s="38">
        <f>(1000*CHOOSE(CONTROL!$C$42, 695, 695)*CHOOSE(CONTROL!$C$42, 0.5599, 0.5599)*CHOOSE(CONTROL!$C$42, 31, 31))/1000000</f>
        <v>12.063045499999998</v>
      </c>
      <c r="V293" s="38">
        <f>(1000*CHOOSE(CONTROL!$C$42, 500, 500)*CHOOSE(CONTROL!$C$42, 0.275, 0.275)*CHOOSE(CONTROL!$C$42, 31, 31))/1000000</f>
        <v>4.2625000000000002</v>
      </c>
      <c r="W293" s="38">
        <f>(1000*CHOOSE(CONTROL!$C$42, 0.1146, 0.1146)*CHOOSE(CONTROL!$C$42, 121.5, 121.5)*CHOOSE(CONTROL!$C$42, 31, 31))/1000000</f>
        <v>0.43164089999999994</v>
      </c>
      <c r="X293" s="38">
        <f>(31*0.1790888*245000/1000000)+(31*0.2374*100000/1000000)</f>
        <v>2.0961194359999999</v>
      </c>
      <c r="Y293" s="38">
        <f>(1000*600*CHOOSE(CONTROL!$C$42, 1.6406, 1.6406)*CHOOSE(CONTROL!$C$42, 31, 31))/1000000</f>
        <v>30.515160000000002</v>
      </c>
      <c r="Z293" s="38"/>
      <c r="AA293" s="10"/>
      <c r="AB293" s="39"/>
      <c r="AC293" s="33">
        <f>(B293*194.205+C293*267.466+D293*133.845+E293*53.484+F293*40+G293*185+H293*0+I293*100+J293*300)/(194.205+267.466+133.845+53.484+0+40+185+100+300)</f>
        <v>9.6575024699372047</v>
      </c>
      <c r="AD293" s="27">
        <f>(M293*'RAP TEMPLATE-GAS AVAILABILITY'!O292+N293*'RAP TEMPLATE-GAS AVAILABILITY'!P292+O293*'RAP TEMPLATE-GAS AVAILABILITY'!Q292+P293*'RAP TEMPLATE-GAS AVAILABILITY'!R292)/('RAP TEMPLATE-GAS AVAILABILITY'!O292+'RAP TEMPLATE-GAS AVAILABILITY'!P292+'RAP TEMPLATE-GAS AVAILABILITY'!Q292+'RAP TEMPLATE-GAS AVAILABILITY'!R292)</f>
        <v>9.5685043165467629</v>
      </c>
    </row>
    <row r="294" spans="1:30" ht="15">
      <c r="A294" s="15">
        <v>50192</v>
      </c>
      <c r="B294" s="10">
        <f>CHOOSE(CONTROL!$C$42, 9.9286, 9.9286) * CHOOSE(CONTROL!$C$21, $C$9, 100%, $E$9)</f>
        <v>9.9285999999999994</v>
      </c>
      <c r="C294" s="10">
        <f>CHOOSE(CONTROL!$C$42, 9.9366, 9.9366) * CHOOSE(CONTROL!$C$21, $C$9, 100%, $E$9)</f>
        <v>9.9366000000000003</v>
      </c>
      <c r="D294" s="10">
        <f>CHOOSE(CONTROL!$C$42, 10.0936, 10.0936) * CHOOSE(CONTROL!$C$21, $C$9, 100%, $E$9)</f>
        <v>10.0936</v>
      </c>
      <c r="E294" s="10">
        <f>CHOOSE(CONTROL!$C$42, 10.1248, 10.1248) * CHOOSE(CONTROL!$C$21, $C$9, 100%, $E$9)</f>
        <v>10.1248</v>
      </c>
      <c r="F294" s="10">
        <f>CHOOSE(CONTROL!$C$42, 9.8729, 9.8729)*CHOOSE(CONTROL!$C$21, $C$9, 100%, $E$9)</f>
        <v>9.8728999999999996</v>
      </c>
      <c r="G294" s="10">
        <f>CHOOSE(CONTROL!$C$42, 9.8891, 9.8891)*CHOOSE(CONTROL!$C$21, $C$9, 100%, $E$9)</f>
        <v>9.8890999999999991</v>
      </c>
      <c r="H294" s="10">
        <f>CHOOSE(CONTROL!$C$42, 10.1132, 10.1132) * CHOOSE(CONTROL!$C$21, $C$9, 100%, $E$9)</f>
        <v>10.113200000000001</v>
      </c>
      <c r="I294" s="10">
        <f>CHOOSE(CONTROL!$C$42, 9.9074, 9.9074)* CHOOSE(CONTROL!$C$21, $C$9, 100%, $E$9)</f>
        <v>9.9074000000000009</v>
      </c>
      <c r="J294" s="10">
        <f>CHOOSE(CONTROL!$C$42, 9.8655, 9.8655)* CHOOSE(CONTROL!$C$21, $C$9, 100%, $E$9)</f>
        <v>9.8655000000000008</v>
      </c>
      <c r="K294" s="10">
        <f>CHOOSE(CONTROL!$C$42, 9.7577, 9.7577) * CHOOSE(CONTROL!$C$21, $C$9, 100%, $E$9)</f>
        <v>9.7576999999999998</v>
      </c>
      <c r="L294" s="10">
        <f>CHOOSE(CONTROL!$C$42, 10.7002, 10.7002) * CHOOSE(CONTROL!$C$21, $C$9, 100%, $E$9)</f>
        <v>10.700200000000001</v>
      </c>
      <c r="M294" s="10">
        <f>CHOOSE(CONTROL!$C$42, 9.7609, 9.7609) * CHOOSE(CONTROL!$C$21, $C$9, 100%, $E$9)</f>
        <v>9.7608999999999995</v>
      </c>
      <c r="N294" s="10">
        <f>CHOOSE(CONTROL!$C$42, 9.7768, 9.7768) * CHOOSE(CONTROL!$C$21, $C$9, 100%, $E$9)</f>
        <v>9.7767999999999997</v>
      </c>
      <c r="O294" s="10">
        <f>CHOOSE(CONTROL!$C$42, 10.0051, 10.0051) * CHOOSE(CONTROL!$C$21, $C$9, 100%, $E$9)</f>
        <v>10.005100000000001</v>
      </c>
      <c r="P294" s="10">
        <f>CHOOSE(CONTROL!$C$42, 9.8022, 9.8022) * CHOOSE(CONTROL!$C$21, $C$9, 100%, $E$9)</f>
        <v>9.8021999999999991</v>
      </c>
      <c r="Q294" s="10">
        <f>CHOOSE(CONTROL!$C$42, 10.6004, 10.6004) * CHOOSE(CONTROL!$C$21, $C$9, 100%, $E$9)</f>
        <v>10.6004</v>
      </c>
      <c r="R294" s="10">
        <f>CHOOSE(CONTROL!$C$42, 11.2139, 11.2139) * CHOOSE(CONTROL!$C$21, $C$9, 100%, $E$9)</f>
        <v>11.213900000000001</v>
      </c>
      <c r="S294" s="10">
        <f>CHOOSE(CONTROL!$C$42, 9.6284, 9.6284) * CHOOSE(CONTROL!$C$21, $C$9, 100%, $E$9)</f>
        <v>9.6283999999999992</v>
      </c>
      <c r="T29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294" s="38">
        <f>(1000*CHOOSE(CONTROL!$C$42, 695, 695)*CHOOSE(CONTROL!$C$42, 0.5599, 0.5599)*CHOOSE(CONTROL!$C$42, 30, 30))/1000000</f>
        <v>11.673914999999997</v>
      </c>
      <c r="V294" s="38">
        <f>(1000*CHOOSE(CONTROL!$C$42, 500, 500)*CHOOSE(CONTROL!$C$42, 0.275, 0.275)*CHOOSE(CONTROL!$C$42, 30, 30))/1000000</f>
        <v>4.125</v>
      </c>
      <c r="W294" s="38">
        <f>(1000*CHOOSE(CONTROL!$C$42, 0.1146, 0.1146)*CHOOSE(CONTROL!$C$42, 121.5, 121.5)*CHOOSE(CONTROL!$C$42, 30, 30))/1000000</f>
        <v>0.417717</v>
      </c>
      <c r="X294" s="38">
        <f>(30*0.1790888*245000/1000000)+(30*0.2374*100000/1000000)</f>
        <v>2.0285026799999999</v>
      </c>
      <c r="Y294" s="38">
        <f>(1000*600*CHOOSE(CONTROL!$C$42, 1.6406, 1.6406)*CHOOSE(CONTROL!$C$42, 30, 30))/1000000</f>
        <v>29.530799999999999</v>
      </c>
      <c r="Z294" s="38"/>
      <c r="AA294" s="10"/>
      <c r="AB294" s="39"/>
      <c r="AC294" s="33">
        <f>(B294*194.205+C294*267.466+D294*133.845+E294*53.484+F294*40+G294*185+H294*0+I294*100+J294*300)/(194.205+267.466+133.845+53.484+0+40+185+100+300)</f>
        <v>9.9318434959183666</v>
      </c>
      <c r="AD294" s="27">
        <f>(M294*'RAP TEMPLATE-GAS AVAILABILITY'!O293+N294*'RAP TEMPLATE-GAS AVAILABILITY'!P293+O294*'RAP TEMPLATE-GAS AVAILABILITY'!Q293+P294*'RAP TEMPLATE-GAS AVAILABILITY'!R293)/('RAP TEMPLATE-GAS AVAILABILITY'!O293+'RAP TEMPLATE-GAS AVAILABILITY'!P293+'RAP TEMPLATE-GAS AVAILABILITY'!Q293+'RAP TEMPLATE-GAS AVAILABILITY'!R293)</f>
        <v>9.8390194244604317</v>
      </c>
    </row>
    <row r="295" spans="1:30" ht="15">
      <c r="A295" s="15">
        <v>50222</v>
      </c>
      <c r="B295" s="10">
        <f>CHOOSE(CONTROL!$C$42, 9.7378, 9.7378) * CHOOSE(CONTROL!$C$21, $C$9, 100%, $E$9)</f>
        <v>9.7378</v>
      </c>
      <c r="C295" s="10">
        <f>CHOOSE(CONTROL!$C$42, 9.7458, 9.7458) * CHOOSE(CONTROL!$C$21, $C$9, 100%, $E$9)</f>
        <v>9.7457999999999991</v>
      </c>
      <c r="D295" s="10">
        <f>CHOOSE(CONTROL!$C$42, 9.9029, 9.9029) * CHOOSE(CONTROL!$C$21, $C$9, 100%, $E$9)</f>
        <v>9.9029000000000007</v>
      </c>
      <c r="E295" s="10">
        <f>CHOOSE(CONTROL!$C$42, 9.9341, 9.9341) * CHOOSE(CONTROL!$C$21, $C$9, 100%, $E$9)</f>
        <v>9.9341000000000008</v>
      </c>
      <c r="F295" s="10">
        <f>CHOOSE(CONTROL!$C$42, 9.6825, 9.6825)*CHOOSE(CONTROL!$C$21, $C$9, 100%, $E$9)</f>
        <v>9.6824999999999992</v>
      </c>
      <c r="G295" s="10">
        <f>CHOOSE(CONTROL!$C$42, 9.6987, 9.6987)*CHOOSE(CONTROL!$C$21, $C$9, 100%, $E$9)</f>
        <v>9.6987000000000005</v>
      </c>
      <c r="H295" s="10">
        <f>CHOOSE(CONTROL!$C$42, 9.9224, 9.9224) * CHOOSE(CONTROL!$C$21, $C$9, 100%, $E$9)</f>
        <v>9.9223999999999997</v>
      </c>
      <c r="I295" s="10">
        <f>CHOOSE(CONTROL!$C$42, 9.7166, 9.7166)* CHOOSE(CONTROL!$C$21, $C$9, 100%, $E$9)</f>
        <v>9.7165999999999997</v>
      </c>
      <c r="J295" s="10">
        <f>CHOOSE(CONTROL!$C$42, 9.6751, 9.6751)* CHOOSE(CONTROL!$C$21, $C$9, 100%, $E$9)</f>
        <v>9.6751000000000005</v>
      </c>
      <c r="K295" s="10">
        <f>CHOOSE(CONTROL!$C$42, 9.5736, 9.5736) * CHOOSE(CONTROL!$C$21, $C$9, 100%, $E$9)</f>
        <v>9.5736000000000008</v>
      </c>
      <c r="L295" s="10">
        <f>CHOOSE(CONTROL!$C$42, 10.5094, 10.5094) * CHOOSE(CONTROL!$C$21, $C$9, 100%, $E$9)</f>
        <v>10.509399999999999</v>
      </c>
      <c r="M295" s="10">
        <f>CHOOSE(CONTROL!$C$42, 9.5731, 9.5731) * CHOOSE(CONTROL!$C$21, $C$9, 100%, $E$9)</f>
        <v>9.5731000000000002</v>
      </c>
      <c r="N295" s="10">
        <f>CHOOSE(CONTROL!$C$42, 9.5892, 9.5892) * CHOOSE(CONTROL!$C$21, $C$9, 100%, $E$9)</f>
        <v>9.5891999999999999</v>
      </c>
      <c r="O295" s="10">
        <f>CHOOSE(CONTROL!$C$42, 9.817, 9.817) * CHOOSE(CONTROL!$C$21, $C$9, 100%, $E$9)</f>
        <v>9.8170000000000002</v>
      </c>
      <c r="P295" s="10">
        <f>CHOOSE(CONTROL!$C$42, 9.6141, 9.6141) * CHOOSE(CONTROL!$C$21, $C$9, 100%, $E$9)</f>
        <v>9.6141000000000005</v>
      </c>
      <c r="Q295" s="10">
        <f>CHOOSE(CONTROL!$C$42, 10.4123, 10.4123) * CHOOSE(CONTROL!$C$21, $C$9, 100%, $E$9)</f>
        <v>10.4123</v>
      </c>
      <c r="R295" s="10">
        <f>CHOOSE(CONTROL!$C$42, 11.0254, 11.0254) * CHOOSE(CONTROL!$C$21, $C$9, 100%, $E$9)</f>
        <v>11.025399999999999</v>
      </c>
      <c r="S295" s="10">
        <f>CHOOSE(CONTROL!$C$42, 9.4437, 9.4437) * CHOOSE(CONTROL!$C$21, $C$9, 100%, $E$9)</f>
        <v>9.4436999999999998</v>
      </c>
      <c r="T29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295" s="38">
        <f>(1000*CHOOSE(CONTROL!$C$42, 695, 695)*CHOOSE(CONTROL!$C$42, 0.5599, 0.5599)*CHOOSE(CONTROL!$C$42, 31, 31))/1000000</f>
        <v>12.063045499999998</v>
      </c>
      <c r="V295" s="38">
        <f>(1000*CHOOSE(CONTROL!$C$42, 500, 500)*CHOOSE(CONTROL!$C$42, 0.275, 0.275)*CHOOSE(CONTROL!$C$42, 31, 31))/1000000</f>
        <v>4.2625000000000002</v>
      </c>
      <c r="W295" s="38">
        <f>(1000*CHOOSE(CONTROL!$C$42, 0.1146, 0.1146)*CHOOSE(CONTROL!$C$42, 121.5, 121.5)*CHOOSE(CONTROL!$C$42, 31, 31))/1000000</f>
        <v>0.43164089999999994</v>
      </c>
      <c r="X295" s="38">
        <f>(31*0.1790888*245000/1000000)+(31*0.2374*100000/1000000)</f>
        <v>2.0961194359999999</v>
      </c>
      <c r="Y295" s="38">
        <f>(1000*600*CHOOSE(CONTROL!$C$42, 1.6406, 1.6406)*CHOOSE(CONTROL!$C$42, 31, 31))/1000000</f>
        <v>30.515160000000002</v>
      </c>
      <c r="Z295" s="38"/>
      <c r="AA295" s="10"/>
      <c r="AB295" s="39"/>
      <c r="AC295" s="33">
        <f>(B295*194.205+C295*267.466+D295*133.845+E295*53.484+F295*40+G295*185+H295*0+I295*100+J295*300)/(194.205+267.466+133.845+53.484+0+40+185+100+300)</f>
        <v>9.7412230350863425</v>
      </c>
      <c r="AD295" s="27">
        <f>(M295*'RAP TEMPLATE-GAS AVAILABILITY'!O294+N295*'RAP TEMPLATE-GAS AVAILABILITY'!P294+O295*'RAP TEMPLATE-GAS AVAILABILITY'!Q294+P295*'RAP TEMPLATE-GAS AVAILABILITY'!R294)/('RAP TEMPLATE-GAS AVAILABILITY'!O294+'RAP TEMPLATE-GAS AVAILABILITY'!P294+'RAP TEMPLATE-GAS AVAILABILITY'!Q294+'RAP TEMPLATE-GAS AVAILABILITY'!R294)</f>
        <v>9.6511381294964025</v>
      </c>
    </row>
    <row r="296" spans="1:30" ht="15">
      <c r="A296" s="15">
        <v>50253</v>
      </c>
      <c r="B296" s="10">
        <f>CHOOSE(CONTROL!$C$42, 9.2562, 9.2562) * CHOOSE(CONTROL!$C$21, $C$9, 100%, $E$9)</f>
        <v>9.2561999999999998</v>
      </c>
      <c r="C296" s="10">
        <f>CHOOSE(CONTROL!$C$42, 9.2642, 9.2642) * CHOOSE(CONTROL!$C$21, $C$9, 100%, $E$9)</f>
        <v>9.2642000000000007</v>
      </c>
      <c r="D296" s="10">
        <f>CHOOSE(CONTROL!$C$42, 9.4212, 9.4212) * CHOOSE(CONTROL!$C$21, $C$9, 100%, $E$9)</f>
        <v>9.4212000000000007</v>
      </c>
      <c r="E296" s="10">
        <f>CHOOSE(CONTROL!$C$42, 9.4524, 9.4524) * CHOOSE(CONTROL!$C$21, $C$9, 100%, $E$9)</f>
        <v>9.4524000000000008</v>
      </c>
      <c r="F296" s="10">
        <f>CHOOSE(CONTROL!$C$42, 9.2007, 9.2007)*CHOOSE(CONTROL!$C$21, $C$9, 100%, $E$9)</f>
        <v>9.2006999999999994</v>
      </c>
      <c r="G296" s="10">
        <f>CHOOSE(CONTROL!$C$42, 9.217, 9.217)*CHOOSE(CONTROL!$C$21, $C$9, 100%, $E$9)</f>
        <v>9.2170000000000005</v>
      </c>
      <c r="H296" s="10">
        <f>CHOOSE(CONTROL!$C$42, 9.4408, 9.4408) * CHOOSE(CONTROL!$C$21, $C$9, 100%, $E$9)</f>
        <v>9.4407999999999994</v>
      </c>
      <c r="I296" s="10">
        <f>CHOOSE(CONTROL!$C$42, 9.2349, 9.2349)* CHOOSE(CONTROL!$C$21, $C$9, 100%, $E$9)</f>
        <v>9.2348999999999997</v>
      </c>
      <c r="J296" s="10">
        <f>CHOOSE(CONTROL!$C$42, 9.1933, 9.1933)* CHOOSE(CONTROL!$C$21, $C$9, 100%, $E$9)</f>
        <v>9.1933000000000007</v>
      </c>
      <c r="K296" s="10">
        <f>CHOOSE(CONTROL!$C$42, 9.1068, 9.1068) * CHOOSE(CONTROL!$C$21, $C$9, 100%, $E$9)</f>
        <v>9.1067999999999998</v>
      </c>
      <c r="L296" s="10">
        <f>CHOOSE(CONTROL!$C$42, 10.0278, 10.0278) * CHOOSE(CONTROL!$C$21, $C$9, 100%, $E$9)</f>
        <v>10.027799999999999</v>
      </c>
      <c r="M296" s="10">
        <f>CHOOSE(CONTROL!$C$42, 9.0981, 9.0981) * CHOOSE(CONTROL!$C$21, $C$9, 100%, $E$9)</f>
        <v>9.0981000000000005</v>
      </c>
      <c r="N296" s="10">
        <f>CHOOSE(CONTROL!$C$42, 9.1141, 9.1141) * CHOOSE(CONTROL!$C$21, $C$9, 100%, $E$9)</f>
        <v>9.1141000000000005</v>
      </c>
      <c r="O296" s="10">
        <f>CHOOSE(CONTROL!$C$42, 9.3421, 9.3421) * CHOOSE(CONTROL!$C$21, $C$9, 100%, $E$9)</f>
        <v>9.3421000000000003</v>
      </c>
      <c r="P296" s="10">
        <f>CHOOSE(CONTROL!$C$42, 9.1392, 9.1392) * CHOOSE(CONTROL!$C$21, $C$9, 100%, $E$9)</f>
        <v>9.1392000000000007</v>
      </c>
      <c r="Q296" s="10">
        <f>CHOOSE(CONTROL!$C$42, 9.9374, 9.9374) * CHOOSE(CONTROL!$C$21, $C$9, 100%, $E$9)</f>
        <v>9.9374000000000002</v>
      </c>
      <c r="R296" s="10">
        <f>CHOOSE(CONTROL!$C$42, 10.5492, 10.5492) * CHOOSE(CONTROL!$C$21, $C$9, 100%, $E$9)</f>
        <v>10.549200000000001</v>
      </c>
      <c r="S296" s="10">
        <f>CHOOSE(CONTROL!$C$42, 8.9773, 8.9773) * CHOOSE(CONTROL!$C$21, $C$9, 100%, $E$9)</f>
        <v>8.9772999999999996</v>
      </c>
      <c r="T29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296" s="38">
        <f>(1000*CHOOSE(CONTROL!$C$42, 695, 695)*CHOOSE(CONTROL!$C$42, 0.5599, 0.5599)*CHOOSE(CONTROL!$C$42, 31, 31))/1000000</f>
        <v>12.063045499999998</v>
      </c>
      <c r="V296" s="38">
        <f>(1000*CHOOSE(CONTROL!$C$42, 500, 500)*CHOOSE(CONTROL!$C$42, 0.275, 0.275)*CHOOSE(CONTROL!$C$42, 31, 31))/1000000</f>
        <v>4.2625000000000002</v>
      </c>
      <c r="W296" s="38">
        <f>(1000*CHOOSE(CONTROL!$C$42, 0.1146, 0.1146)*CHOOSE(CONTROL!$C$42, 121.5, 121.5)*CHOOSE(CONTROL!$C$42, 31, 31))/1000000</f>
        <v>0.43164089999999994</v>
      </c>
      <c r="X296" s="38">
        <f>(31*0.1790888*245000/1000000)+(31*0.2374*100000/1000000)</f>
        <v>2.0961194359999999</v>
      </c>
      <c r="Y296" s="38">
        <f>(1000*600*CHOOSE(CONTROL!$C$42, 1.6406, 1.6406)*CHOOSE(CONTROL!$C$42, 31, 31))/1000000</f>
        <v>30.515160000000002</v>
      </c>
      <c r="Z296" s="38"/>
      <c r="AA296" s="10"/>
      <c r="AB296" s="39"/>
      <c r="AC296" s="33">
        <f>(B296*194.205+C296*267.466+D296*133.845+E296*53.484+F296*40+G296*185+H296*0+I296*100+J296*300)/(194.205+267.466+133.845+53.484+0+40+185+100+300)</f>
        <v>9.2595325854003132</v>
      </c>
      <c r="AD296" s="27">
        <f>(M296*'RAP TEMPLATE-GAS AVAILABILITY'!O295+N296*'RAP TEMPLATE-GAS AVAILABILITY'!P295+O296*'RAP TEMPLATE-GAS AVAILABILITY'!Q295+P296*'RAP TEMPLATE-GAS AVAILABILITY'!R295)/('RAP TEMPLATE-GAS AVAILABILITY'!O295+'RAP TEMPLATE-GAS AVAILABILITY'!P295+'RAP TEMPLATE-GAS AVAILABILITY'!Q295+'RAP TEMPLATE-GAS AVAILABILITY'!R295)</f>
        <v>9.1761575539568341</v>
      </c>
    </row>
    <row r="297" spans="1:30" ht="15">
      <c r="A297" s="15">
        <v>50284</v>
      </c>
      <c r="B297" s="10">
        <f>CHOOSE(CONTROL!$C$42, 8.6676, 8.6676) * CHOOSE(CONTROL!$C$21, $C$9, 100%, $E$9)</f>
        <v>8.6676000000000002</v>
      </c>
      <c r="C297" s="10">
        <f>CHOOSE(CONTROL!$C$42, 8.6756, 8.6756) * CHOOSE(CONTROL!$C$21, $C$9, 100%, $E$9)</f>
        <v>8.6755999999999993</v>
      </c>
      <c r="D297" s="10">
        <f>CHOOSE(CONTROL!$C$42, 8.8327, 8.8327) * CHOOSE(CONTROL!$C$21, $C$9, 100%, $E$9)</f>
        <v>8.8327000000000009</v>
      </c>
      <c r="E297" s="10">
        <f>CHOOSE(CONTROL!$C$42, 8.8639, 8.8639) * CHOOSE(CONTROL!$C$21, $C$9, 100%, $E$9)</f>
        <v>8.8638999999999992</v>
      </c>
      <c r="F297" s="10">
        <f>CHOOSE(CONTROL!$C$42, 8.612, 8.612)*CHOOSE(CONTROL!$C$21, $C$9, 100%, $E$9)</f>
        <v>8.6120000000000001</v>
      </c>
      <c r="G297" s="10">
        <f>CHOOSE(CONTROL!$C$42, 8.6282, 8.6282)*CHOOSE(CONTROL!$C$21, $C$9, 100%, $E$9)</f>
        <v>8.6281999999999996</v>
      </c>
      <c r="H297" s="10">
        <f>CHOOSE(CONTROL!$C$42, 8.8522, 8.8522) * CHOOSE(CONTROL!$C$21, $C$9, 100%, $E$9)</f>
        <v>8.8521999999999998</v>
      </c>
      <c r="I297" s="10">
        <f>CHOOSE(CONTROL!$C$42, 8.6464, 8.6464)* CHOOSE(CONTROL!$C$21, $C$9, 100%, $E$9)</f>
        <v>8.6463999999999999</v>
      </c>
      <c r="J297" s="10">
        <f>CHOOSE(CONTROL!$C$42, 8.6046, 8.6046)* CHOOSE(CONTROL!$C$21, $C$9, 100%, $E$9)</f>
        <v>8.6045999999999996</v>
      </c>
      <c r="K297" s="10">
        <f>CHOOSE(CONTROL!$C$42, 8.5362, 8.5362) * CHOOSE(CONTROL!$C$21, $C$9, 100%, $E$9)</f>
        <v>8.5361999999999991</v>
      </c>
      <c r="L297" s="10">
        <f>CHOOSE(CONTROL!$C$42, 9.4392, 9.4392) * CHOOSE(CONTROL!$C$21, $C$9, 100%, $E$9)</f>
        <v>9.4391999999999996</v>
      </c>
      <c r="M297" s="10">
        <f>CHOOSE(CONTROL!$C$42, 8.5176, 8.5176) * CHOOSE(CONTROL!$C$21, $C$9, 100%, $E$9)</f>
        <v>8.5175999999999998</v>
      </c>
      <c r="N297" s="10">
        <f>CHOOSE(CONTROL!$C$42, 8.5336, 8.5336) * CHOOSE(CONTROL!$C$21, $C$9, 100%, $E$9)</f>
        <v>8.5335999999999999</v>
      </c>
      <c r="O297" s="10">
        <f>CHOOSE(CONTROL!$C$42, 8.7618, 8.7618) * CHOOSE(CONTROL!$C$21, $C$9, 100%, $E$9)</f>
        <v>8.7617999999999991</v>
      </c>
      <c r="P297" s="10">
        <f>CHOOSE(CONTROL!$C$42, 8.5589, 8.5589) * CHOOSE(CONTROL!$C$21, $C$9, 100%, $E$9)</f>
        <v>8.5588999999999995</v>
      </c>
      <c r="Q297" s="10">
        <f>CHOOSE(CONTROL!$C$42, 9.3571, 9.3571) * CHOOSE(CONTROL!$C$21, $C$9, 100%, $E$9)</f>
        <v>9.3571000000000009</v>
      </c>
      <c r="R297" s="10">
        <f>CHOOSE(CONTROL!$C$42, 9.9675, 9.9675) * CHOOSE(CONTROL!$C$21, $C$9, 100%, $E$9)</f>
        <v>9.9674999999999994</v>
      </c>
      <c r="S297" s="10">
        <f>CHOOSE(CONTROL!$C$42, 8.4075, 8.4075) * CHOOSE(CONTROL!$C$21, $C$9, 100%, $E$9)</f>
        <v>8.4075000000000006</v>
      </c>
      <c r="T29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297" s="38">
        <f>(1000*CHOOSE(CONTROL!$C$42, 695, 695)*CHOOSE(CONTROL!$C$42, 0.5599, 0.5599)*CHOOSE(CONTROL!$C$42, 30, 30))/1000000</f>
        <v>11.673914999999997</v>
      </c>
      <c r="V297" s="38">
        <f>(1000*CHOOSE(CONTROL!$C$42, 500, 500)*CHOOSE(CONTROL!$C$42, 0.275, 0.275)*CHOOSE(CONTROL!$C$42, 30, 30))/1000000</f>
        <v>4.125</v>
      </c>
      <c r="W297" s="38">
        <f>(1000*CHOOSE(CONTROL!$C$42, 0.1146, 0.1146)*CHOOSE(CONTROL!$C$42, 121.5, 121.5)*CHOOSE(CONTROL!$C$42, 30, 30))/1000000</f>
        <v>0.417717</v>
      </c>
      <c r="X297" s="38">
        <f>(30*0.1790888*245000/1000000)+(30*0.2374*100000/1000000)</f>
        <v>2.0285026799999999</v>
      </c>
      <c r="Y297" s="38">
        <f>(1000*600*CHOOSE(CONTROL!$C$42, 1.6406, 1.6406)*CHOOSE(CONTROL!$C$42, 30, 30))/1000000</f>
        <v>29.530799999999999</v>
      </c>
      <c r="Z297" s="38"/>
      <c r="AA297" s="10"/>
      <c r="AB297" s="39"/>
      <c r="AC297" s="33">
        <f>(B297*194.205+C297*267.466+D297*133.845+E297*53.484+F297*40+G297*185+H297*0+I297*100+J297*300)/(194.205+267.466+133.845+53.484+0+40+185+100+300)</f>
        <v>8.6708994087127156</v>
      </c>
      <c r="AD297" s="27">
        <f>(M297*'RAP TEMPLATE-GAS AVAILABILITY'!O296+N297*'RAP TEMPLATE-GAS AVAILABILITY'!P296+O297*'RAP TEMPLATE-GAS AVAILABILITY'!Q296+P297*'RAP TEMPLATE-GAS AVAILABILITY'!R296)/('RAP TEMPLATE-GAS AVAILABILITY'!O296+'RAP TEMPLATE-GAS AVAILABILITY'!P296+'RAP TEMPLATE-GAS AVAILABILITY'!Q296+'RAP TEMPLATE-GAS AVAILABILITY'!R296)</f>
        <v>8.5957424460431664</v>
      </c>
    </row>
    <row r="298" spans="1:30" ht="15">
      <c r="A298" s="15">
        <v>50314</v>
      </c>
      <c r="B298" s="10">
        <f>CHOOSE(CONTROL!$C$42, 8.4892, 8.4892) * CHOOSE(CONTROL!$C$21, $C$9, 100%, $E$9)</f>
        <v>8.4892000000000003</v>
      </c>
      <c r="C298" s="10">
        <f>CHOOSE(CONTROL!$C$42, 8.4945, 8.4945) * CHOOSE(CONTROL!$C$21, $C$9, 100%, $E$9)</f>
        <v>8.4945000000000004</v>
      </c>
      <c r="D298" s="10">
        <f>CHOOSE(CONTROL!$C$42, 8.6565, 8.6565) * CHOOSE(CONTROL!$C$21, $C$9, 100%, $E$9)</f>
        <v>8.6564999999999994</v>
      </c>
      <c r="E298" s="10">
        <f>CHOOSE(CONTROL!$C$42, 8.6854, 8.6854) * CHOOSE(CONTROL!$C$21, $C$9, 100%, $E$9)</f>
        <v>8.6853999999999996</v>
      </c>
      <c r="F298" s="10">
        <f>CHOOSE(CONTROL!$C$42, 8.4356, 8.4356)*CHOOSE(CONTROL!$C$21, $C$9, 100%, $E$9)</f>
        <v>8.4356000000000009</v>
      </c>
      <c r="G298" s="10">
        <f>CHOOSE(CONTROL!$C$42, 8.4514, 8.4514)*CHOOSE(CONTROL!$C$21, $C$9, 100%, $E$9)</f>
        <v>8.4513999999999996</v>
      </c>
      <c r="H298" s="10">
        <f>CHOOSE(CONTROL!$C$42, 8.6755, 8.6755) * CHOOSE(CONTROL!$C$21, $C$9, 100%, $E$9)</f>
        <v>8.6754999999999995</v>
      </c>
      <c r="I298" s="10">
        <f>CHOOSE(CONTROL!$C$42, 8.4697, 8.4697)* CHOOSE(CONTROL!$C$21, $C$9, 100%, $E$9)</f>
        <v>8.4696999999999996</v>
      </c>
      <c r="J298" s="10">
        <f>CHOOSE(CONTROL!$C$42, 8.4282, 8.4282)* CHOOSE(CONTROL!$C$21, $C$9, 100%, $E$9)</f>
        <v>8.4282000000000004</v>
      </c>
      <c r="K298" s="10">
        <f>CHOOSE(CONTROL!$C$42, 8.3657, 8.3657) * CHOOSE(CONTROL!$C$21, $C$9, 100%, $E$9)</f>
        <v>8.3657000000000004</v>
      </c>
      <c r="L298" s="10">
        <f>CHOOSE(CONTROL!$C$42, 9.2625, 9.2625) * CHOOSE(CONTROL!$C$21, $C$9, 100%, $E$9)</f>
        <v>9.2624999999999993</v>
      </c>
      <c r="M298" s="10">
        <f>CHOOSE(CONTROL!$C$42, 8.3436, 8.3436) * CHOOSE(CONTROL!$C$21, $C$9, 100%, $E$9)</f>
        <v>8.3436000000000003</v>
      </c>
      <c r="N298" s="10">
        <f>CHOOSE(CONTROL!$C$42, 8.3592, 8.3592) * CHOOSE(CONTROL!$C$21, $C$9, 100%, $E$9)</f>
        <v>8.3591999999999995</v>
      </c>
      <c r="O298" s="10">
        <f>CHOOSE(CONTROL!$C$42, 8.5875, 8.5875) * CHOOSE(CONTROL!$C$21, $C$9, 100%, $E$9)</f>
        <v>8.5875000000000004</v>
      </c>
      <c r="P298" s="10">
        <f>CHOOSE(CONTROL!$C$42, 8.3846, 8.3846) * CHOOSE(CONTROL!$C$21, $C$9, 100%, $E$9)</f>
        <v>8.3846000000000007</v>
      </c>
      <c r="Q298" s="10">
        <f>CHOOSE(CONTROL!$C$42, 9.1828, 9.1828) * CHOOSE(CONTROL!$C$21, $C$9, 100%, $E$9)</f>
        <v>9.1828000000000003</v>
      </c>
      <c r="R298" s="10">
        <f>CHOOSE(CONTROL!$C$42, 9.7928, 9.7928) * CHOOSE(CONTROL!$C$21, $C$9, 100%, $E$9)</f>
        <v>9.7927999999999997</v>
      </c>
      <c r="S298" s="10">
        <f>CHOOSE(CONTROL!$C$42, 8.2364, 8.2364) * CHOOSE(CONTROL!$C$21, $C$9, 100%, $E$9)</f>
        <v>8.2363999999999997</v>
      </c>
      <c r="T29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298" s="38">
        <f>(1000*CHOOSE(CONTROL!$C$42, 695, 695)*CHOOSE(CONTROL!$C$42, 0.5599, 0.5599)*CHOOSE(CONTROL!$C$42, 31, 31))/1000000</f>
        <v>12.063045499999998</v>
      </c>
      <c r="V298" s="38">
        <f>(1000*CHOOSE(CONTROL!$C$42, 500, 500)*CHOOSE(CONTROL!$C$42, 0.275, 0.275)*CHOOSE(CONTROL!$C$42, 31, 31))/1000000</f>
        <v>4.2625000000000002</v>
      </c>
      <c r="W298" s="38">
        <f>(1000*CHOOSE(CONTROL!$C$42, 0.1146, 0.1146)*CHOOSE(CONTROL!$C$42, 121.5, 121.5)*CHOOSE(CONTROL!$C$42, 31, 31))/1000000</f>
        <v>0.43164089999999994</v>
      </c>
      <c r="X298" s="38">
        <f>(31*0.1790888*245000/1000000)+(31*0.2374*100000/1000000)</f>
        <v>2.0961194359999999</v>
      </c>
      <c r="Y298" s="38">
        <f>(1000*600*CHOOSE(CONTROL!$C$42, 1.6406, 1.6406)*CHOOSE(CONTROL!$C$42, 31, 31))/1000000</f>
        <v>30.515160000000002</v>
      </c>
      <c r="Z298" s="38"/>
      <c r="AA298" s="10"/>
      <c r="AB298" s="39"/>
      <c r="AC298" s="33">
        <f>(B298*131.881+C298*277.167+D298*79.08+E298*125.872+F298*40+G298*185+H298*0+I298*100+J298*300)/(131.881+277.167+79.08+125.872+0+40+185+100+300)</f>
        <v>8.4972776073446319</v>
      </c>
      <c r="AD298" s="27">
        <f>(M298*'RAP TEMPLATE-GAS AVAILABILITY'!O297+N298*'RAP TEMPLATE-GAS AVAILABILITY'!P297+O298*'RAP TEMPLATE-GAS AVAILABILITY'!Q297+P298*'RAP TEMPLATE-GAS AVAILABILITY'!R297)/('RAP TEMPLATE-GAS AVAILABILITY'!O297+'RAP TEMPLATE-GAS AVAILABILITY'!P297+'RAP TEMPLATE-GAS AVAILABILITY'!Q297+'RAP TEMPLATE-GAS AVAILABILITY'!R297)</f>
        <v>8.4215230215827326</v>
      </c>
    </row>
    <row r="299" spans="1:30" ht="15">
      <c r="A299" s="15">
        <v>50345</v>
      </c>
      <c r="B299" s="10">
        <f>CHOOSE(CONTROL!$C$42, 8.7129, 8.7129) * CHOOSE(CONTROL!$C$21, $C$9, 100%, $E$9)</f>
        <v>8.7128999999999994</v>
      </c>
      <c r="C299" s="10">
        <f>CHOOSE(CONTROL!$C$42, 8.718, 8.718) * CHOOSE(CONTROL!$C$21, $C$9, 100%, $E$9)</f>
        <v>8.718</v>
      </c>
      <c r="D299" s="10">
        <f>CHOOSE(CONTROL!$C$42, 8.7426, 8.7426) * CHOOSE(CONTROL!$C$21, $C$9, 100%, $E$9)</f>
        <v>8.7425999999999995</v>
      </c>
      <c r="E299" s="10">
        <f>CHOOSE(CONTROL!$C$42, 8.7764, 8.7764) * CHOOSE(CONTROL!$C$21, $C$9, 100%, $E$9)</f>
        <v>8.7764000000000006</v>
      </c>
      <c r="F299" s="10">
        <f>CHOOSE(CONTROL!$C$42, 8.6812, 8.6812)*CHOOSE(CONTROL!$C$21, $C$9, 100%, $E$9)</f>
        <v>8.6812000000000005</v>
      </c>
      <c r="G299" s="10">
        <f>CHOOSE(CONTROL!$C$42, 8.6972, 8.6972)*CHOOSE(CONTROL!$C$21, $C$9, 100%, $E$9)</f>
        <v>8.6972000000000005</v>
      </c>
      <c r="H299" s="10">
        <f>CHOOSE(CONTROL!$C$42, 8.7653, 8.7653) * CHOOSE(CONTROL!$C$21, $C$9, 100%, $E$9)</f>
        <v>8.7652999999999999</v>
      </c>
      <c r="I299" s="10">
        <f>CHOOSE(CONTROL!$C$42, 8.7278, 8.7278)* CHOOSE(CONTROL!$C$21, $C$9, 100%, $E$9)</f>
        <v>8.7278000000000002</v>
      </c>
      <c r="J299" s="10">
        <f>CHOOSE(CONTROL!$C$42, 8.6738, 8.6738)* CHOOSE(CONTROL!$C$21, $C$9, 100%, $E$9)</f>
        <v>8.6738</v>
      </c>
      <c r="K299" s="10">
        <f>CHOOSE(CONTROL!$C$42, 8.618, 8.618) * CHOOSE(CONTROL!$C$21, $C$9, 100%, $E$9)</f>
        <v>8.6180000000000003</v>
      </c>
      <c r="L299" s="10">
        <f>CHOOSE(CONTROL!$C$42, 9.3523, 9.3523) * CHOOSE(CONTROL!$C$21, $C$9, 100%, $E$9)</f>
        <v>9.3522999999999996</v>
      </c>
      <c r="M299" s="10">
        <f>CHOOSE(CONTROL!$C$42, 8.5858, 8.5858) * CHOOSE(CONTROL!$C$21, $C$9, 100%, $E$9)</f>
        <v>8.5858000000000008</v>
      </c>
      <c r="N299" s="10">
        <f>CHOOSE(CONTROL!$C$42, 8.6016, 8.6016) * CHOOSE(CONTROL!$C$21, $C$9, 100%, $E$9)</f>
        <v>8.6015999999999995</v>
      </c>
      <c r="O299" s="10">
        <f>CHOOSE(CONTROL!$C$42, 8.6761, 8.6761) * CHOOSE(CONTROL!$C$21, $C$9, 100%, $E$9)</f>
        <v>8.6760999999999999</v>
      </c>
      <c r="P299" s="10">
        <f>CHOOSE(CONTROL!$C$42, 8.6392, 8.6392) * CHOOSE(CONTROL!$C$21, $C$9, 100%, $E$9)</f>
        <v>8.6392000000000007</v>
      </c>
      <c r="Q299" s="10">
        <f>CHOOSE(CONTROL!$C$42, 9.2714, 9.2714) * CHOOSE(CONTROL!$C$21, $C$9, 100%, $E$9)</f>
        <v>9.2713999999999999</v>
      </c>
      <c r="R299" s="10">
        <f>CHOOSE(CONTROL!$C$42, 9.8815, 9.8815) * CHOOSE(CONTROL!$C$21, $C$9, 100%, $E$9)</f>
        <v>9.8815000000000008</v>
      </c>
      <c r="S299" s="10">
        <f>CHOOSE(CONTROL!$C$42, 8.4533, 8.4533) * CHOOSE(CONTROL!$C$21, $C$9, 100%, $E$9)</f>
        <v>8.4533000000000005</v>
      </c>
      <c r="T29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299" s="38">
        <f>(1000*CHOOSE(CONTROL!$C$42, 695, 695)*CHOOSE(CONTROL!$C$42, 0.5599, 0.5599)*CHOOSE(CONTROL!$C$42, 30, 30))/1000000</f>
        <v>11.673914999999997</v>
      </c>
      <c r="V299" s="38">
        <f>(1000*CHOOSE(CONTROL!$C$42, 500, 500)*CHOOSE(CONTROL!$C$42, 0.275, 0.275)*CHOOSE(CONTROL!$C$42, 30, 30))/1000000</f>
        <v>4.125</v>
      </c>
      <c r="W299" s="38">
        <f>(1000*CHOOSE(CONTROL!$C$42, 0.1146, 0.1146)*CHOOSE(CONTROL!$C$42, 121.5, 121.5)*CHOOSE(CONTROL!$C$42, 30, 30))/1000000</f>
        <v>0.417717</v>
      </c>
      <c r="X299" s="38">
        <f>(30*0.1790888*100000/1000000)+(30*0.2374*100000/1000000)</f>
        <v>1.2494664</v>
      </c>
      <c r="Y299" s="38">
        <f>(1000*600*CHOOSE(CONTROL!$C$42, 1.6406, 1.6406)*CHOOSE(CONTROL!$C$42, 30, 30))/1000000</f>
        <v>29.530799999999999</v>
      </c>
      <c r="Z299" s="38"/>
      <c r="AA299" s="10"/>
      <c r="AB299" s="39"/>
      <c r="AC299" s="33">
        <f>(B299*122.58+C299*297.941+D299*89.177+E299*40.302+F299*40+G299*160+H299*0+I299*100+J299*300)/(122.58+297.941+89.177+40.302+0+40+160+100+300)</f>
        <v>8.7065584634782596</v>
      </c>
      <c r="AD299" s="27">
        <f>(M299*'RAP TEMPLATE-GAS AVAILABILITY'!O298+N299*'RAP TEMPLATE-GAS AVAILABILITY'!P298+O299*'RAP TEMPLATE-GAS AVAILABILITY'!Q298+P299*'RAP TEMPLATE-GAS AVAILABILITY'!R298)/('RAP TEMPLATE-GAS AVAILABILITY'!O298+'RAP TEMPLATE-GAS AVAILABILITY'!P298+'RAP TEMPLATE-GAS AVAILABILITY'!Q298+'RAP TEMPLATE-GAS AVAILABILITY'!R298)</f>
        <v>8.6353201438848934</v>
      </c>
    </row>
    <row r="300" spans="1:30" ht="15">
      <c r="A300" s="15">
        <v>50375</v>
      </c>
      <c r="B300" s="10">
        <f>CHOOSE(CONTROL!$C$42, 9.308, 9.308) * CHOOSE(CONTROL!$C$21, $C$9, 100%, $E$9)</f>
        <v>9.3079999999999998</v>
      </c>
      <c r="C300" s="10">
        <f>CHOOSE(CONTROL!$C$42, 9.3131, 9.3131) * CHOOSE(CONTROL!$C$21, $C$9, 100%, $E$9)</f>
        <v>9.3131000000000004</v>
      </c>
      <c r="D300" s="10">
        <f>CHOOSE(CONTROL!$C$42, 9.3378, 9.3378) * CHOOSE(CONTROL!$C$21, $C$9, 100%, $E$9)</f>
        <v>9.3377999999999997</v>
      </c>
      <c r="E300" s="10">
        <f>CHOOSE(CONTROL!$C$42, 9.3716, 9.3716) * CHOOSE(CONTROL!$C$21, $C$9, 100%, $E$9)</f>
        <v>9.3716000000000008</v>
      </c>
      <c r="F300" s="10">
        <f>CHOOSE(CONTROL!$C$42, 9.2783, 9.2783)*CHOOSE(CONTROL!$C$21, $C$9, 100%, $E$9)</f>
        <v>9.2782999999999998</v>
      </c>
      <c r="G300" s="10">
        <f>CHOOSE(CONTROL!$C$42, 9.2947, 9.2947)*CHOOSE(CONTROL!$C$21, $C$9, 100%, $E$9)</f>
        <v>9.2947000000000006</v>
      </c>
      <c r="H300" s="10">
        <f>CHOOSE(CONTROL!$C$42, 9.3605, 9.3605) * CHOOSE(CONTROL!$C$21, $C$9, 100%, $E$9)</f>
        <v>9.3605</v>
      </c>
      <c r="I300" s="10">
        <f>CHOOSE(CONTROL!$C$42, 9.323, 9.323)* CHOOSE(CONTROL!$C$21, $C$9, 100%, $E$9)</f>
        <v>9.3230000000000004</v>
      </c>
      <c r="J300" s="10">
        <f>CHOOSE(CONTROL!$C$42, 9.2709, 9.2709)* CHOOSE(CONTROL!$C$21, $C$9, 100%, $E$9)</f>
        <v>9.2708999999999993</v>
      </c>
      <c r="K300" s="10">
        <f>CHOOSE(CONTROL!$C$42, 9.1987, 9.1987) * CHOOSE(CONTROL!$C$21, $C$9, 100%, $E$9)</f>
        <v>9.1987000000000005</v>
      </c>
      <c r="L300" s="10">
        <f>CHOOSE(CONTROL!$C$42, 9.9475, 9.9475) * CHOOSE(CONTROL!$C$21, $C$9, 100%, $E$9)</f>
        <v>9.9474999999999998</v>
      </c>
      <c r="M300" s="10">
        <f>CHOOSE(CONTROL!$C$42, 9.1746, 9.1746) * CHOOSE(CONTROL!$C$21, $C$9, 100%, $E$9)</f>
        <v>9.1745999999999999</v>
      </c>
      <c r="N300" s="10">
        <f>CHOOSE(CONTROL!$C$42, 9.1908, 9.1908) * CHOOSE(CONTROL!$C$21, $C$9, 100%, $E$9)</f>
        <v>9.1907999999999994</v>
      </c>
      <c r="O300" s="10">
        <f>CHOOSE(CONTROL!$C$42, 9.2629, 9.2629) * CHOOSE(CONTROL!$C$21, $C$9, 100%, $E$9)</f>
        <v>9.2629000000000001</v>
      </c>
      <c r="P300" s="10">
        <f>CHOOSE(CONTROL!$C$42, 9.226, 9.226) * CHOOSE(CONTROL!$C$21, $C$9, 100%, $E$9)</f>
        <v>9.2260000000000009</v>
      </c>
      <c r="Q300" s="10">
        <f>CHOOSE(CONTROL!$C$42, 9.8582, 9.8582) * CHOOSE(CONTROL!$C$21, $C$9, 100%, $E$9)</f>
        <v>9.8582000000000001</v>
      </c>
      <c r="R300" s="10">
        <f>CHOOSE(CONTROL!$C$42, 10.4699, 10.4699) * CHOOSE(CONTROL!$C$21, $C$9, 100%, $E$9)</f>
        <v>10.469900000000001</v>
      </c>
      <c r="S300" s="10">
        <f>CHOOSE(CONTROL!$C$42, 9.0296, 9.0296) * CHOOSE(CONTROL!$C$21, $C$9, 100%, $E$9)</f>
        <v>9.0296000000000003</v>
      </c>
      <c r="T30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00" s="38">
        <f>(1000*CHOOSE(CONTROL!$C$42, 695, 695)*CHOOSE(CONTROL!$C$42, 0.5599, 0.5599)*CHOOSE(CONTROL!$C$42, 31, 31))/1000000</f>
        <v>12.063045499999998</v>
      </c>
      <c r="V300" s="38">
        <f>(1000*CHOOSE(CONTROL!$C$42, 500, 500)*CHOOSE(CONTROL!$C$42, 0.275, 0.275)*CHOOSE(CONTROL!$C$42, 31, 31))/1000000</f>
        <v>4.2625000000000002</v>
      </c>
      <c r="W300" s="38">
        <f>(1000*CHOOSE(CONTROL!$C$42, 0.1146, 0.1146)*CHOOSE(CONTROL!$C$42, 121.5, 121.5)*CHOOSE(CONTROL!$C$42, 31, 31))/1000000</f>
        <v>0.43164089999999994</v>
      </c>
      <c r="X300" s="38">
        <f>(31*0.1790888*100000/1000000)+(31*0.2374*100000/1000000)</f>
        <v>1.2911152800000001</v>
      </c>
      <c r="Y300" s="38">
        <f>(1000*600*CHOOSE(CONTROL!$C$42, 1.6406, 1.6406)*CHOOSE(CONTROL!$C$42, 31, 31))/1000000</f>
        <v>30.515160000000002</v>
      </c>
      <c r="Z300" s="38"/>
      <c r="AA300" s="10"/>
      <c r="AB300" s="39"/>
      <c r="AC300" s="33">
        <f>(B300*122.58+C300*297.941+D300*89.177+E300*40.302+F300*40+G300*160+H300*0+I300*100+J300*300)/(122.58+297.941+89.177+40.302+0+40+160+100+300)</f>
        <v>9.302603635565216</v>
      </c>
      <c r="AD300" s="27">
        <f>(M300*'RAP TEMPLATE-GAS AVAILABILITY'!O299+N300*'RAP TEMPLATE-GAS AVAILABILITY'!P299+O300*'RAP TEMPLATE-GAS AVAILABILITY'!Q299+P300*'RAP TEMPLATE-GAS AVAILABILITY'!R299)/('RAP TEMPLATE-GAS AVAILABILITY'!O299+'RAP TEMPLATE-GAS AVAILABILITY'!P299+'RAP TEMPLATE-GAS AVAILABILITY'!Q299+'RAP TEMPLATE-GAS AVAILABILITY'!R299)</f>
        <v>9.2229489208633098</v>
      </c>
    </row>
    <row r="301" spans="1:30" ht="15.75">
      <c r="A301" s="14">
        <v>50436</v>
      </c>
      <c r="B301" s="10">
        <f>CHOOSE(CONTROL!$C$42, 9.9373, 9.9373) * CHOOSE(CONTROL!$C$21, $C$9, 100%, $E$9)</f>
        <v>9.9373000000000005</v>
      </c>
      <c r="C301" s="10">
        <f>CHOOSE(CONTROL!$C$42, 9.9424, 9.9424) * CHOOSE(CONTROL!$C$21, $C$9, 100%, $E$9)</f>
        <v>9.9423999999999992</v>
      </c>
      <c r="D301" s="10">
        <f>CHOOSE(CONTROL!$C$42, 9.9749, 9.9749) * CHOOSE(CONTROL!$C$21, $C$9, 100%, $E$9)</f>
        <v>9.9748999999999999</v>
      </c>
      <c r="E301" s="10">
        <f>CHOOSE(CONTROL!$C$42, 10.0087, 10.0087) * CHOOSE(CONTROL!$C$21, $C$9, 100%, $E$9)</f>
        <v>10.008699999999999</v>
      </c>
      <c r="F301" s="10">
        <f>CHOOSE(CONTROL!$C$42, 9.9215, 9.9215)*CHOOSE(CONTROL!$C$21, $C$9, 100%, $E$9)</f>
        <v>9.9215</v>
      </c>
      <c r="G301" s="10">
        <f>CHOOSE(CONTROL!$C$42, 9.9396, 9.9396)*CHOOSE(CONTROL!$C$21, $C$9, 100%, $E$9)</f>
        <v>9.9396000000000004</v>
      </c>
      <c r="H301" s="10">
        <f>CHOOSE(CONTROL!$C$42, 9.9975, 9.9975) * CHOOSE(CONTROL!$C$21, $C$9, 100%, $E$9)</f>
        <v>9.9975000000000005</v>
      </c>
      <c r="I301" s="10">
        <f>CHOOSE(CONTROL!$C$42, 9.9508, 9.9508)* CHOOSE(CONTROL!$C$21, $C$9, 100%, $E$9)</f>
        <v>9.9507999999999992</v>
      </c>
      <c r="J301" s="10">
        <f>CHOOSE(CONTROL!$C$42, 9.9141, 9.9141)* CHOOSE(CONTROL!$C$21, $C$9, 100%, $E$9)</f>
        <v>9.9140999999999995</v>
      </c>
      <c r="K301" s="10">
        <f>CHOOSE(CONTROL!$C$42, 9.8208, 9.8208) * CHOOSE(CONTROL!$C$21, $C$9, 100%, $E$9)</f>
        <v>9.8208000000000002</v>
      </c>
      <c r="L301" s="10">
        <f>CHOOSE(CONTROL!$C$42, 10.5845, 10.5845) * CHOOSE(CONTROL!$C$21, $C$9, 100%, $E$9)</f>
        <v>10.5845</v>
      </c>
      <c r="M301" s="10">
        <f>CHOOSE(CONTROL!$C$42, 9.8088, 9.8088) * CHOOSE(CONTROL!$C$21, $C$9, 100%, $E$9)</f>
        <v>9.8087999999999997</v>
      </c>
      <c r="N301" s="10">
        <f>CHOOSE(CONTROL!$C$42, 9.8266, 9.8266) * CHOOSE(CONTROL!$C$21, $C$9, 100%, $E$9)</f>
        <v>9.8265999999999991</v>
      </c>
      <c r="O301" s="10">
        <f>CHOOSE(CONTROL!$C$42, 9.8911, 9.8911) * CHOOSE(CONTROL!$C$21, $C$9, 100%, $E$9)</f>
        <v>9.8910999999999998</v>
      </c>
      <c r="P301" s="10">
        <f>CHOOSE(CONTROL!$C$42, 9.845, 9.845) * CHOOSE(CONTROL!$C$21, $C$9, 100%, $E$9)</f>
        <v>9.8450000000000006</v>
      </c>
      <c r="Q301" s="10">
        <f>CHOOSE(CONTROL!$C$42, 10.4864, 10.4864) * CHOOSE(CONTROL!$C$21, $C$9, 100%, $E$9)</f>
        <v>10.4864</v>
      </c>
      <c r="R301" s="10">
        <f>CHOOSE(CONTROL!$C$42, 11.0996, 11.0996) * CHOOSE(CONTROL!$C$21, $C$9, 100%, $E$9)</f>
        <v>11.099600000000001</v>
      </c>
      <c r="S301" s="10">
        <f>CHOOSE(CONTROL!$C$42, 9.639, 9.639) * CHOOSE(CONTROL!$C$21, $C$9, 100%, $E$9)</f>
        <v>9.6389999999999993</v>
      </c>
      <c r="T30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01" s="38">
        <f>(1000*CHOOSE(CONTROL!$C$42, 695, 695)*CHOOSE(CONTROL!$C$42, 0.5599, 0.5599)*CHOOSE(CONTROL!$C$42, 31, 31))/1000000</f>
        <v>12.063045499999998</v>
      </c>
      <c r="V301" s="38">
        <f>(1000*CHOOSE(CONTROL!$C$42, 500, 500)*CHOOSE(CONTROL!$C$42, 0.275, 0.275)*CHOOSE(CONTROL!$C$42, 31, 31))/1000000</f>
        <v>4.2625000000000002</v>
      </c>
      <c r="W301" s="38">
        <f>(1000*CHOOSE(CONTROL!$C$42, 0.1146, 0.1146)*CHOOSE(CONTROL!$C$42, 121.5, 121.5)*CHOOSE(CONTROL!$C$42, 31, 31))/1000000</f>
        <v>0.43164089999999994</v>
      </c>
      <c r="X301" s="38">
        <f>(31*0.1790888*100000/1000000)+(31*0.2374*100000/1000000)</f>
        <v>1.2911152800000001</v>
      </c>
      <c r="Y301" s="38">
        <f>(1000*600*CHOOSE(CONTROL!$C$42, 1.6372, 1.6372)*CHOOSE(CONTROL!$C$42, 31, 31))/1000000</f>
        <v>30.451920000000001</v>
      </c>
      <c r="Z301" s="38"/>
      <c r="AA301" s="10"/>
      <c r="AB301" s="39"/>
      <c r="AC301" s="33">
        <f>(B301*122.58+C301*297.941+D301*89.177+E301*40.302+F301*40+G301*160+H301*0+I301*100+J301*300)/(122.58+297.941+89.177+40.302+0+40+160+100+300)</f>
        <v>9.9389314061739125</v>
      </c>
      <c r="AD301" s="27">
        <f>(M301*'RAP TEMPLATE-GAS AVAILABILITY'!O300+N301*'RAP TEMPLATE-GAS AVAILABILITY'!P300+O301*'RAP TEMPLATE-GAS AVAILABILITY'!Q300+P301*'RAP TEMPLATE-GAS AVAILABILITY'!R300)/('RAP TEMPLATE-GAS AVAILABILITY'!O300+'RAP TEMPLATE-GAS AVAILABILITY'!P300+'RAP TEMPLATE-GAS AVAILABILITY'!Q300+'RAP TEMPLATE-GAS AVAILABILITY'!R300)</f>
        <v>9.8523345323740994</v>
      </c>
    </row>
    <row r="302" spans="1:30" ht="15.75">
      <c r="A302" s="14">
        <v>50464</v>
      </c>
      <c r="B302" s="10">
        <f>CHOOSE(CONTROL!$C$42, 10.1145, 10.1145) * CHOOSE(CONTROL!$C$21, $C$9, 100%, $E$9)</f>
        <v>10.1145</v>
      </c>
      <c r="C302" s="10">
        <f>CHOOSE(CONTROL!$C$42, 10.1196, 10.1196) * CHOOSE(CONTROL!$C$21, $C$9, 100%, $E$9)</f>
        <v>10.1196</v>
      </c>
      <c r="D302" s="10">
        <f>CHOOSE(CONTROL!$C$42, 10.152, 10.152) * CHOOSE(CONTROL!$C$21, $C$9, 100%, $E$9)</f>
        <v>10.151999999999999</v>
      </c>
      <c r="E302" s="10">
        <f>CHOOSE(CONTROL!$C$42, 10.1859, 10.1859) * CHOOSE(CONTROL!$C$21, $C$9, 100%, $E$9)</f>
        <v>10.1859</v>
      </c>
      <c r="F302" s="10">
        <f>CHOOSE(CONTROL!$C$42, 10.0983, 10.0983)*CHOOSE(CONTROL!$C$21, $C$9, 100%, $E$9)</f>
        <v>10.0983</v>
      </c>
      <c r="G302" s="10">
        <f>CHOOSE(CONTROL!$C$42, 10.1162, 10.1162)*CHOOSE(CONTROL!$C$21, $C$9, 100%, $E$9)</f>
        <v>10.116199999999999</v>
      </c>
      <c r="H302" s="10">
        <f>CHOOSE(CONTROL!$C$42, 10.1747, 10.1747) * CHOOSE(CONTROL!$C$21, $C$9, 100%, $E$9)</f>
        <v>10.1747</v>
      </c>
      <c r="I302" s="10">
        <f>CHOOSE(CONTROL!$C$42, 10.128, 10.128)* CHOOSE(CONTROL!$C$21, $C$9, 100%, $E$9)</f>
        <v>10.128</v>
      </c>
      <c r="J302" s="10">
        <f>CHOOSE(CONTROL!$C$42, 10.0909, 10.0909)* CHOOSE(CONTROL!$C$21, $C$9, 100%, $E$9)</f>
        <v>10.0909</v>
      </c>
      <c r="K302" s="10">
        <f>CHOOSE(CONTROL!$C$42, 9.9915, 9.9915) * CHOOSE(CONTROL!$C$21, $C$9, 100%, $E$9)</f>
        <v>9.9915000000000003</v>
      </c>
      <c r="L302" s="10">
        <f>CHOOSE(CONTROL!$C$42, 10.7617, 10.7617) * CHOOSE(CONTROL!$C$21, $C$9, 100%, $E$9)</f>
        <v>10.761699999999999</v>
      </c>
      <c r="M302" s="10">
        <f>CHOOSE(CONTROL!$C$42, 9.9831, 9.9831) * CHOOSE(CONTROL!$C$21, $C$9, 100%, $E$9)</f>
        <v>9.9831000000000003</v>
      </c>
      <c r="N302" s="10">
        <f>CHOOSE(CONTROL!$C$42, 10.0008, 10.0008) * CHOOSE(CONTROL!$C$21, $C$9, 100%, $E$9)</f>
        <v>10.0008</v>
      </c>
      <c r="O302" s="10">
        <f>CHOOSE(CONTROL!$C$42, 10.0658, 10.0658) * CHOOSE(CONTROL!$C$21, $C$9, 100%, $E$9)</f>
        <v>10.065799999999999</v>
      </c>
      <c r="P302" s="10">
        <f>CHOOSE(CONTROL!$C$42, 10.0197, 10.0197) * CHOOSE(CONTROL!$C$21, $C$9, 100%, $E$9)</f>
        <v>10.0197</v>
      </c>
      <c r="Q302" s="10">
        <f>CHOOSE(CONTROL!$C$42, 10.6611, 10.6611) * CHOOSE(CONTROL!$C$21, $C$9, 100%, $E$9)</f>
        <v>10.661099999999999</v>
      </c>
      <c r="R302" s="10">
        <f>CHOOSE(CONTROL!$C$42, 11.2748, 11.2748) * CHOOSE(CONTROL!$C$21, $C$9, 100%, $E$9)</f>
        <v>11.274800000000001</v>
      </c>
      <c r="S302" s="10">
        <f>CHOOSE(CONTROL!$C$42, 9.8105, 9.8105) * CHOOSE(CONTROL!$C$21, $C$9, 100%, $E$9)</f>
        <v>9.8104999999999993</v>
      </c>
      <c r="T30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02" s="38">
        <f>(1000*CHOOSE(CONTROL!$C$42, 695, 695)*CHOOSE(CONTROL!$C$42, 0.5599, 0.5599)*CHOOSE(CONTROL!$C$42, 28, 28))/1000000</f>
        <v>10.895653999999999</v>
      </c>
      <c r="V302" s="38">
        <f>(1000*CHOOSE(CONTROL!$C$42, 500, 500)*CHOOSE(CONTROL!$C$42, 0.275, 0.275)*CHOOSE(CONTROL!$C$42, 28, 28))/1000000</f>
        <v>3.85</v>
      </c>
      <c r="W302" s="38">
        <f>(1000*CHOOSE(CONTROL!$C$42, 0.1146, 0.1146)*CHOOSE(CONTROL!$C$42, 121.5, 121.5)*CHOOSE(CONTROL!$C$42, 28, 28))/1000000</f>
        <v>0.38986920000000003</v>
      </c>
      <c r="X302" s="38">
        <f>(28*0.1790888*100000/1000000)+(28*0.2374*100000/1000000)</f>
        <v>1.16616864</v>
      </c>
      <c r="Y302" s="38">
        <f>(1000*600*CHOOSE(CONTROL!$C$42, 1.6372, 1.6372)*CHOOSE(CONTROL!$C$42, 28, 28))/1000000</f>
        <v>27.504960000000001</v>
      </c>
      <c r="Z302" s="38"/>
      <c r="AA302" s="10"/>
      <c r="AB302" s="39"/>
      <c r="AC302" s="33">
        <f>(B302*122.58+C302*297.941+D302*89.177+E302*40.302+F302*40+G302*160+H302*0+I302*100+J302*300)/(122.58+297.941+89.177+40.302+0+40+160+100+300)</f>
        <v>10.115921912521738</v>
      </c>
      <c r="AD302" s="27">
        <f>(M302*'RAP TEMPLATE-GAS AVAILABILITY'!O301+N302*'RAP TEMPLATE-GAS AVAILABILITY'!P301+O302*'RAP TEMPLATE-GAS AVAILABILITY'!Q301+P302*'RAP TEMPLATE-GAS AVAILABILITY'!R301)/('RAP TEMPLATE-GAS AVAILABILITY'!O301+'RAP TEMPLATE-GAS AVAILABILITY'!P301+'RAP TEMPLATE-GAS AVAILABILITY'!Q301+'RAP TEMPLATE-GAS AVAILABILITY'!R301)</f>
        <v>10.02686762589928</v>
      </c>
    </row>
    <row r="303" spans="1:30" ht="15.75">
      <c r="A303" s="14">
        <v>50495</v>
      </c>
      <c r="B303" s="10">
        <f>CHOOSE(CONTROL!$C$42, 9.8269, 9.8269) * CHOOSE(CONTROL!$C$21, $C$9, 100%, $E$9)</f>
        <v>9.8269000000000002</v>
      </c>
      <c r="C303" s="10">
        <f>CHOOSE(CONTROL!$C$42, 9.832, 9.832) * CHOOSE(CONTROL!$C$21, $C$9, 100%, $E$9)</f>
        <v>9.8320000000000007</v>
      </c>
      <c r="D303" s="10">
        <f>CHOOSE(CONTROL!$C$42, 9.8644, 9.8644) * CHOOSE(CONTROL!$C$21, $C$9, 100%, $E$9)</f>
        <v>9.8643999999999998</v>
      </c>
      <c r="E303" s="10">
        <f>CHOOSE(CONTROL!$C$42, 9.8982, 9.8982) * CHOOSE(CONTROL!$C$21, $C$9, 100%, $E$9)</f>
        <v>9.8981999999999992</v>
      </c>
      <c r="F303" s="10">
        <f>CHOOSE(CONTROL!$C$42, 9.8091, 9.8091)*CHOOSE(CONTROL!$C$21, $C$9, 100%, $E$9)</f>
        <v>9.8091000000000008</v>
      </c>
      <c r="G303" s="10">
        <f>CHOOSE(CONTROL!$C$42, 9.8267, 9.8267)*CHOOSE(CONTROL!$C$21, $C$9, 100%, $E$9)</f>
        <v>9.8267000000000007</v>
      </c>
      <c r="H303" s="10">
        <f>CHOOSE(CONTROL!$C$42, 9.8871, 9.8871) * CHOOSE(CONTROL!$C$21, $C$9, 100%, $E$9)</f>
        <v>9.8871000000000002</v>
      </c>
      <c r="I303" s="10">
        <f>CHOOSE(CONTROL!$C$42, 9.8403, 9.8403)* CHOOSE(CONTROL!$C$21, $C$9, 100%, $E$9)</f>
        <v>9.8402999999999992</v>
      </c>
      <c r="J303" s="10">
        <f>CHOOSE(CONTROL!$C$42, 9.8017, 9.8017)* CHOOSE(CONTROL!$C$21, $C$9, 100%, $E$9)</f>
        <v>9.8017000000000003</v>
      </c>
      <c r="K303" s="10">
        <f>CHOOSE(CONTROL!$C$42, 9.7097, 9.7097) * CHOOSE(CONTROL!$C$21, $C$9, 100%, $E$9)</f>
        <v>9.7096999999999998</v>
      </c>
      <c r="L303" s="10">
        <f>CHOOSE(CONTROL!$C$42, 10.4741, 10.4741) * CHOOSE(CONTROL!$C$21, $C$9, 100%, $E$9)</f>
        <v>10.4741</v>
      </c>
      <c r="M303" s="10">
        <f>CHOOSE(CONTROL!$C$42, 9.698, 9.698) * CHOOSE(CONTROL!$C$21, $C$9, 100%, $E$9)</f>
        <v>9.6980000000000004</v>
      </c>
      <c r="N303" s="10">
        <f>CHOOSE(CONTROL!$C$42, 9.7154, 9.7154) * CHOOSE(CONTROL!$C$21, $C$9, 100%, $E$9)</f>
        <v>9.7154000000000007</v>
      </c>
      <c r="O303" s="10">
        <f>CHOOSE(CONTROL!$C$42, 9.7822, 9.7822) * CHOOSE(CONTROL!$C$21, $C$9, 100%, $E$9)</f>
        <v>9.7821999999999996</v>
      </c>
      <c r="P303" s="10">
        <f>CHOOSE(CONTROL!$C$42, 9.7361, 9.7361) * CHOOSE(CONTROL!$C$21, $C$9, 100%, $E$9)</f>
        <v>9.7361000000000004</v>
      </c>
      <c r="Q303" s="10">
        <f>CHOOSE(CONTROL!$C$42, 10.3775, 10.3775) * CHOOSE(CONTROL!$C$21, $C$9, 100%, $E$9)</f>
        <v>10.3775</v>
      </c>
      <c r="R303" s="10">
        <f>CHOOSE(CONTROL!$C$42, 10.9904, 10.9904) * CHOOSE(CONTROL!$C$21, $C$9, 100%, $E$9)</f>
        <v>10.990399999999999</v>
      </c>
      <c r="S303" s="10">
        <f>CHOOSE(CONTROL!$C$42, 9.532, 9.532) * CHOOSE(CONTROL!$C$21, $C$9, 100%, $E$9)</f>
        <v>9.532</v>
      </c>
      <c r="T30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03" s="38">
        <f>(1000*CHOOSE(CONTROL!$C$42, 695, 695)*CHOOSE(CONTROL!$C$42, 0.5599, 0.5599)*CHOOSE(CONTROL!$C$42, 31, 31))/1000000</f>
        <v>12.063045499999998</v>
      </c>
      <c r="V303" s="38">
        <f>(1000*CHOOSE(CONTROL!$C$42, 500, 500)*CHOOSE(CONTROL!$C$42, 0.275, 0.275)*CHOOSE(CONTROL!$C$42, 31, 31))/1000000</f>
        <v>4.2625000000000002</v>
      </c>
      <c r="W303" s="38">
        <f>(1000*CHOOSE(CONTROL!$C$42, 0.1146, 0.1146)*CHOOSE(CONTROL!$C$42, 121.5, 121.5)*CHOOSE(CONTROL!$C$42, 31, 31))/1000000</f>
        <v>0.43164089999999994</v>
      </c>
      <c r="X303" s="38">
        <f>(31*0.1790888*100000/1000000)+(31*0.2374*100000/1000000)</f>
        <v>1.2911152800000001</v>
      </c>
      <c r="Y303" s="38">
        <f>(1000*600*CHOOSE(CONTROL!$C$42, 1.6372, 1.6372)*CHOOSE(CONTROL!$C$42, 31, 31))/1000000</f>
        <v>30.451920000000001</v>
      </c>
      <c r="Z303" s="38"/>
      <c r="AA303" s="10"/>
      <c r="AB303" s="39"/>
      <c r="AC303" s="33">
        <f>(B303*122.58+C303*297.941+D303*89.177+E303*40.302+F303*40+G303*160+H303*0+I303*100+J303*300)/(122.58+297.941+89.177+40.302+0+40+160+100+300)</f>
        <v>9.827572321043478</v>
      </c>
      <c r="AD303" s="27">
        <f>(M303*'RAP TEMPLATE-GAS AVAILABILITY'!O302+N303*'RAP TEMPLATE-GAS AVAILABILITY'!P302+O303*'RAP TEMPLATE-GAS AVAILABILITY'!Q302+P303*'RAP TEMPLATE-GAS AVAILABILITY'!R302)/('RAP TEMPLATE-GAS AVAILABILITY'!O302+'RAP TEMPLATE-GAS AVAILABILITY'!P302+'RAP TEMPLATE-GAS AVAILABILITY'!Q302+'RAP TEMPLATE-GAS AVAILABILITY'!R302)</f>
        <v>9.7426460431654682</v>
      </c>
    </row>
    <row r="304" spans="1:30" ht="15.75">
      <c r="A304" s="14">
        <v>50525</v>
      </c>
      <c r="B304" s="10">
        <f>CHOOSE(CONTROL!$C$42, 9.7982, 9.7982) * CHOOSE(CONTROL!$C$21, $C$9, 100%, $E$9)</f>
        <v>9.7981999999999996</v>
      </c>
      <c r="C304" s="10">
        <f>CHOOSE(CONTROL!$C$42, 9.8027, 9.8027) * CHOOSE(CONTROL!$C$21, $C$9, 100%, $E$9)</f>
        <v>9.8026999999999997</v>
      </c>
      <c r="D304" s="10">
        <f>CHOOSE(CONTROL!$C$42, 9.9628, 9.9628) * CHOOSE(CONTROL!$C$21, $C$9, 100%, $E$9)</f>
        <v>9.9627999999999997</v>
      </c>
      <c r="E304" s="10">
        <f>CHOOSE(CONTROL!$C$42, 9.9947, 9.9947) * CHOOSE(CONTROL!$C$21, $C$9, 100%, $E$9)</f>
        <v>9.9946999999999999</v>
      </c>
      <c r="F304" s="10">
        <f>CHOOSE(CONTROL!$C$42, 9.7443, 9.7443)*CHOOSE(CONTROL!$C$21, $C$9, 100%, $E$9)</f>
        <v>9.7443000000000008</v>
      </c>
      <c r="G304" s="10">
        <f>CHOOSE(CONTROL!$C$42, 9.7601, 9.7601)*CHOOSE(CONTROL!$C$21, $C$9, 100%, $E$9)</f>
        <v>9.7600999999999996</v>
      </c>
      <c r="H304" s="10">
        <f>CHOOSE(CONTROL!$C$42, 9.9842, 9.9842) * CHOOSE(CONTROL!$C$21, $C$9, 100%, $E$9)</f>
        <v>9.9841999999999995</v>
      </c>
      <c r="I304" s="10">
        <f>CHOOSE(CONTROL!$C$42, 9.7783, 9.7783)* CHOOSE(CONTROL!$C$21, $C$9, 100%, $E$9)</f>
        <v>9.7782999999999998</v>
      </c>
      <c r="J304" s="10">
        <f>CHOOSE(CONTROL!$C$42, 9.7369, 9.7369)* CHOOSE(CONTROL!$C$21, $C$9, 100%, $E$9)</f>
        <v>9.7369000000000003</v>
      </c>
      <c r="K304" s="10">
        <f>CHOOSE(CONTROL!$C$42, 9.6336, 9.6336) * CHOOSE(CONTROL!$C$21, $C$9, 100%, $E$9)</f>
        <v>9.6335999999999995</v>
      </c>
      <c r="L304" s="10">
        <f>CHOOSE(CONTROL!$C$42, 10.5712, 10.5712) * CHOOSE(CONTROL!$C$21, $C$9, 100%, $E$9)</f>
        <v>10.571199999999999</v>
      </c>
      <c r="M304" s="10">
        <f>CHOOSE(CONTROL!$C$42, 9.6341, 9.6341) * CHOOSE(CONTROL!$C$21, $C$9, 100%, $E$9)</f>
        <v>9.6341000000000001</v>
      </c>
      <c r="N304" s="10">
        <f>CHOOSE(CONTROL!$C$42, 9.6497, 9.6497) * CHOOSE(CONTROL!$C$21, $C$9, 100%, $E$9)</f>
        <v>9.6496999999999993</v>
      </c>
      <c r="O304" s="10">
        <f>CHOOSE(CONTROL!$C$42, 9.8779, 9.8779) * CHOOSE(CONTROL!$C$21, $C$9, 100%, $E$9)</f>
        <v>9.8779000000000003</v>
      </c>
      <c r="P304" s="10">
        <f>CHOOSE(CONTROL!$C$42, 9.675, 9.675) * CHOOSE(CONTROL!$C$21, $C$9, 100%, $E$9)</f>
        <v>9.6750000000000007</v>
      </c>
      <c r="Q304" s="10">
        <f>CHOOSE(CONTROL!$C$42, 10.4732, 10.4732) * CHOOSE(CONTROL!$C$21, $C$9, 100%, $E$9)</f>
        <v>10.4732</v>
      </c>
      <c r="R304" s="10">
        <f>CHOOSE(CONTROL!$C$42, 11.0864, 11.0864) * CHOOSE(CONTROL!$C$21, $C$9, 100%, $E$9)</f>
        <v>11.086399999999999</v>
      </c>
      <c r="S304" s="10">
        <f>CHOOSE(CONTROL!$C$42, 9.5035, 9.5035) * CHOOSE(CONTROL!$C$21, $C$9, 100%, $E$9)</f>
        <v>9.5035000000000007</v>
      </c>
      <c r="T30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04" s="38">
        <f>(1000*CHOOSE(CONTROL!$C$42, 695, 695)*CHOOSE(CONTROL!$C$42, 0.5599, 0.5599)*CHOOSE(CONTROL!$C$42, 30, 30))/1000000</f>
        <v>11.673914999999997</v>
      </c>
      <c r="V304" s="38">
        <f>(1000*CHOOSE(CONTROL!$C$42, 500, 500)*CHOOSE(CONTROL!$C$42, 0.275, 0.275)*CHOOSE(CONTROL!$C$42, 30, 30))/1000000</f>
        <v>4.125</v>
      </c>
      <c r="W304" s="38">
        <f>(1000*CHOOSE(CONTROL!$C$42, 0.1146, 0.1146)*CHOOSE(CONTROL!$C$42, 121.5, 121.5)*CHOOSE(CONTROL!$C$42, 30, 30))/1000000</f>
        <v>0.417717</v>
      </c>
      <c r="X304" s="38">
        <f>(30*0.1790888*245000/1000000)+(30*0.2374*100000/1000000)</f>
        <v>2.0285026799999999</v>
      </c>
      <c r="Y304" s="38">
        <f>(1000*600*CHOOSE(CONTROL!$C$42, 1.6372, 1.6372)*CHOOSE(CONTROL!$C$42, 30, 30))/1000000</f>
        <v>29.4696</v>
      </c>
      <c r="Z304" s="38"/>
      <c r="AA304" s="10"/>
      <c r="AB304" s="39"/>
      <c r="AC304" s="33">
        <f>(B304*141.293+C304*267.993+D304*115.016+E304*89.698+F304*40+G304*185+H304*0+I304*100+J304*300)/(141.293+267.993+115.016+89.698+0+40+185+100+300)</f>
        <v>9.8048010969330104</v>
      </c>
      <c r="AD304" s="27">
        <f>(M304*'RAP TEMPLATE-GAS AVAILABILITY'!O303+N304*'RAP TEMPLATE-GAS AVAILABILITY'!P303+O304*'RAP TEMPLATE-GAS AVAILABILITY'!Q303+P304*'RAP TEMPLATE-GAS AVAILABILITY'!R303)/('RAP TEMPLATE-GAS AVAILABILITY'!O303+'RAP TEMPLATE-GAS AVAILABILITY'!P303+'RAP TEMPLATE-GAS AVAILABILITY'!Q303+'RAP TEMPLATE-GAS AVAILABILITY'!R303)</f>
        <v>9.7119805755395685</v>
      </c>
    </row>
    <row r="305" spans="1:30" ht="15.75">
      <c r="A305" s="14">
        <v>50556</v>
      </c>
      <c r="B305" s="10">
        <f>CHOOSE(CONTROL!$C$42, 9.8866, 9.8866) * CHOOSE(CONTROL!$C$21, $C$9, 100%, $E$9)</f>
        <v>9.8865999999999996</v>
      </c>
      <c r="C305" s="10">
        <f>CHOOSE(CONTROL!$C$42, 9.8946, 9.8946) * CHOOSE(CONTROL!$C$21, $C$9, 100%, $E$9)</f>
        <v>9.8946000000000005</v>
      </c>
      <c r="D305" s="10">
        <f>CHOOSE(CONTROL!$C$42, 10.0517, 10.0517) * CHOOSE(CONTROL!$C$21, $C$9, 100%, $E$9)</f>
        <v>10.0517</v>
      </c>
      <c r="E305" s="10">
        <f>CHOOSE(CONTROL!$C$42, 10.0829, 10.0829) * CHOOSE(CONTROL!$C$21, $C$9, 100%, $E$9)</f>
        <v>10.0829</v>
      </c>
      <c r="F305" s="10">
        <f>CHOOSE(CONTROL!$C$42, 9.8308, 9.8308)*CHOOSE(CONTROL!$C$21, $C$9, 100%, $E$9)</f>
        <v>9.8308</v>
      </c>
      <c r="G305" s="10">
        <f>CHOOSE(CONTROL!$C$42, 9.8469, 9.8469)*CHOOSE(CONTROL!$C$21, $C$9, 100%, $E$9)</f>
        <v>9.8468999999999998</v>
      </c>
      <c r="H305" s="10">
        <f>CHOOSE(CONTROL!$C$42, 10.0712, 10.0712) * CHOOSE(CONTROL!$C$21, $C$9, 100%, $E$9)</f>
        <v>10.071199999999999</v>
      </c>
      <c r="I305" s="10">
        <f>CHOOSE(CONTROL!$C$42, 9.8654, 9.8654)* CHOOSE(CONTROL!$C$21, $C$9, 100%, $E$9)</f>
        <v>9.8653999999999993</v>
      </c>
      <c r="J305" s="10">
        <f>CHOOSE(CONTROL!$C$42, 9.8234, 9.8234)* CHOOSE(CONTROL!$C$21, $C$9, 100%, $E$9)</f>
        <v>9.8233999999999995</v>
      </c>
      <c r="K305" s="10">
        <f>CHOOSE(CONTROL!$C$42, 9.7167, 9.7167) * CHOOSE(CONTROL!$C$21, $C$9, 100%, $E$9)</f>
        <v>9.7166999999999994</v>
      </c>
      <c r="L305" s="10">
        <f>CHOOSE(CONTROL!$C$42, 10.6582, 10.6582) * CHOOSE(CONTROL!$C$21, $C$9, 100%, $E$9)</f>
        <v>10.658200000000001</v>
      </c>
      <c r="M305" s="10">
        <f>CHOOSE(CONTROL!$C$42, 9.7193, 9.7193) * CHOOSE(CONTROL!$C$21, $C$9, 100%, $E$9)</f>
        <v>9.7193000000000005</v>
      </c>
      <c r="N305" s="10">
        <f>CHOOSE(CONTROL!$C$42, 9.7352, 9.7352) * CHOOSE(CONTROL!$C$21, $C$9, 100%, $E$9)</f>
        <v>9.7352000000000007</v>
      </c>
      <c r="O305" s="10">
        <f>CHOOSE(CONTROL!$C$42, 9.9637, 9.9637) * CHOOSE(CONTROL!$C$21, $C$9, 100%, $E$9)</f>
        <v>9.9636999999999993</v>
      </c>
      <c r="P305" s="10">
        <f>CHOOSE(CONTROL!$C$42, 9.7609, 9.7609) * CHOOSE(CONTROL!$C$21, $C$9, 100%, $E$9)</f>
        <v>9.7608999999999995</v>
      </c>
      <c r="Q305" s="10">
        <f>CHOOSE(CONTROL!$C$42, 10.559, 10.559) * CHOOSE(CONTROL!$C$21, $C$9, 100%, $E$9)</f>
        <v>10.558999999999999</v>
      </c>
      <c r="R305" s="10">
        <f>CHOOSE(CONTROL!$C$42, 11.1724, 11.1724) * CHOOSE(CONTROL!$C$21, $C$9, 100%, $E$9)</f>
        <v>11.1724</v>
      </c>
      <c r="S305" s="10">
        <f>CHOOSE(CONTROL!$C$42, 9.5878, 9.5878) * CHOOSE(CONTROL!$C$21, $C$9, 100%, $E$9)</f>
        <v>9.5877999999999997</v>
      </c>
      <c r="T30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05" s="38">
        <f>(1000*CHOOSE(CONTROL!$C$42, 695, 695)*CHOOSE(CONTROL!$C$42, 0.5599, 0.5599)*CHOOSE(CONTROL!$C$42, 31, 31))/1000000</f>
        <v>12.063045499999998</v>
      </c>
      <c r="V305" s="38">
        <f>(1000*CHOOSE(CONTROL!$C$42, 500, 500)*CHOOSE(CONTROL!$C$42, 0.275, 0.275)*CHOOSE(CONTROL!$C$42, 31, 31))/1000000</f>
        <v>4.2625000000000002</v>
      </c>
      <c r="W305" s="38">
        <f>(1000*CHOOSE(CONTROL!$C$42, 0.1146, 0.1146)*CHOOSE(CONTROL!$C$42, 121.5, 121.5)*CHOOSE(CONTROL!$C$42, 31, 31))/1000000</f>
        <v>0.43164089999999994</v>
      </c>
      <c r="X305" s="38">
        <f>(31*0.1790888*245000/1000000)+(31*0.2374*100000/1000000)</f>
        <v>2.0961194359999999</v>
      </c>
      <c r="Y305" s="38">
        <f>(1000*600*CHOOSE(CONTROL!$C$42, 1.6372, 1.6372)*CHOOSE(CONTROL!$C$42, 31, 31))/1000000</f>
        <v>30.451920000000001</v>
      </c>
      <c r="Z305" s="38"/>
      <c r="AA305" s="10"/>
      <c r="AB305" s="39"/>
      <c r="AC305" s="33">
        <f>(B305*194.205+C305*267.466+D305*133.845+E305*53.484+F305*40+G305*185+H305*0+I305*100+J305*300)/(194.205+267.466+133.845+53.484+0+40+185+100+300)</f>
        <v>9.8898024699372051</v>
      </c>
      <c r="AD305" s="27">
        <f>(M305*'RAP TEMPLATE-GAS AVAILABILITY'!O304+N305*'RAP TEMPLATE-GAS AVAILABILITY'!P304+O305*'RAP TEMPLATE-GAS AVAILABILITY'!Q304+P305*'RAP TEMPLATE-GAS AVAILABILITY'!R304)/('RAP TEMPLATE-GAS AVAILABILITY'!O304+'RAP TEMPLATE-GAS AVAILABILITY'!P304+'RAP TEMPLATE-GAS AVAILABILITY'!Q304+'RAP TEMPLATE-GAS AVAILABILITY'!R304)</f>
        <v>9.7975187050359711</v>
      </c>
    </row>
    <row r="306" spans="1:30" ht="15.75">
      <c r="A306" s="14">
        <v>50586</v>
      </c>
      <c r="B306" s="10">
        <f>CHOOSE(CONTROL!$C$42, 10.1675, 10.1675) * CHOOSE(CONTROL!$C$21, $C$9, 100%, $E$9)</f>
        <v>10.1675</v>
      </c>
      <c r="C306" s="10">
        <f>CHOOSE(CONTROL!$C$42, 10.1755, 10.1755) * CHOOSE(CONTROL!$C$21, $C$9, 100%, $E$9)</f>
        <v>10.1755</v>
      </c>
      <c r="D306" s="10">
        <f>CHOOSE(CONTROL!$C$42, 10.3325, 10.3325) * CHOOSE(CONTROL!$C$21, $C$9, 100%, $E$9)</f>
        <v>10.3325</v>
      </c>
      <c r="E306" s="10">
        <f>CHOOSE(CONTROL!$C$42, 10.3637, 10.3637) * CHOOSE(CONTROL!$C$21, $C$9, 100%, $E$9)</f>
        <v>10.3637</v>
      </c>
      <c r="F306" s="10">
        <f>CHOOSE(CONTROL!$C$42, 10.1118, 10.1118)*CHOOSE(CONTROL!$C$21, $C$9, 100%, $E$9)</f>
        <v>10.111800000000001</v>
      </c>
      <c r="G306" s="10">
        <f>CHOOSE(CONTROL!$C$42, 10.128, 10.128)*CHOOSE(CONTROL!$C$21, $C$9, 100%, $E$9)</f>
        <v>10.128</v>
      </c>
      <c r="H306" s="10">
        <f>CHOOSE(CONTROL!$C$42, 10.3521, 10.3521) * CHOOSE(CONTROL!$C$21, $C$9, 100%, $E$9)</f>
        <v>10.3521</v>
      </c>
      <c r="I306" s="10">
        <f>CHOOSE(CONTROL!$C$42, 10.1462, 10.1462)* CHOOSE(CONTROL!$C$21, $C$9, 100%, $E$9)</f>
        <v>10.1462</v>
      </c>
      <c r="J306" s="10">
        <f>CHOOSE(CONTROL!$C$42, 10.1044, 10.1044)* CHOOSE(CONTROL!$C$21, $C$9, 100%, $E$9)</f>
        <v>10.1044</v>
      </c>
      <c r="K306" s="10">
        <f>CHOOSE(CONTROL!$C$42, 9.9891, 9.9891) * CHOOSE(CONTROL!$C$21, $C$9, 100%, $E$9)</f>
        <v>9.9891000000000005</v>
      </c>
      <c r="L306" s="10">
        <f>CHOOSE(CONTROL!$C$42, 10.9391, 10.9391) * CHOOSE(CONTROL!$C$21, $C$9, 100%, $E$9)</f>
        <v>10.9391</v>
      </c>
      <c r="M306" s="10">
        <f>CHOOSE(CONTROL!$C$42, 9.9964, 9.9964) * CHOOSE(CONTROL!$C$21, $C$9, 100%, $E$9)</f>
        <v>9.9963999999999995</v>
      </c>
      <c r="N306" s="10">
        <f>CHOOSE(CONTROL!$C$42, 10.0124, 10.0124) * CHOOSE(CONTROL!$C$21, $C$9, 100%, $E$9)</f>
        <v>10.0124</v>
      </c>
      <c r="O306" s="10">
        <f>CHOOSE(CONTROL!$C$42, 10.2407, 10.2407) * CHOOSE(CONTROL!$C$21, $C$9, 100%, $E$9)</f>
        <v>10.2407</v>
      </c>
      <c r="P306" s="10">
        <f>CHOOSE(CONTROL!$C$42, 10.0378, 10.0378) * CHOOSE(CONTROL!$C$21, $C$9, 100%, $E$9)</f>
        <v>10.037800000000001</v>
      </c>
      <c r="Q306" s="10">
        <f>CHOOSE(CONTROL!$C$42, 10.836, 10.836) * CHOOSE(CONTROL!$C$21, $C$9, 100%, $E$9)</f>
        <v>10.836</v>
      </c>
      <c r="R306" s="10">
        <f>CHOOSE(CONTROL!$C$42, 11.4501, 11.4501) * CHOOSE(CONTROL!$C$21, $C$9, 100%, $E$9)</f>
        <v>11.450100000000001</v>
      </c>
      <c r="S306" s="10">
        <f>CHOOSE(CONTROL!$C$42, 9.8598, 9.8598) * CHOOSE(CONTROL!$C$21, $C$9, 100%, $E$9)</f>
        <v>9.8597999999999999</v>
      </c>
      <c r="T30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06" s="38">
        <f>(1000*CHOOSE(CONTROL!$C$42, 695, 695)*CHOOSE(CONTROL!$C$42, 0.5599, 0.5599)*CHOOSE(CONTROL!$C$42, 30, 30))/1000000</f>
        <v>11.673914999999997</v>
      </c>
      <c r="V306" s="38">
        <f>(1000*CHOOSE(CONTROL!$C$42, 500, 500)*CHOOSE(CONTROL!$C$42, 0.275, 0.275)*CHOOSE(CONTROL!$C$42, 30, 30))/1000000</f>
        <v>4.125</v>
      </c>
      <c r="W306" s="38">
        <f>(1000*CHOOSE(CONTROL!$C$42, 0.1146, 0.1146)*CHOOSE(CONTROL!$C$42, 121.5, 121.5)*CHOOSE(CONTROL!$C$42, 30, 30))/1000000</f>
        <v>0.417717</v>
      </c>
      <c r="X306" s="38">
        <f>(30*0.1790888*245000/1000000)+(30*0.2374*100000/1000000)</f>
        <v>2.0285026799999999</v>
      </c>
      <c r="Y306" s="38">
        <f>(1000*600*CHOOSE(CONTROL!$C$42, 1.6372, 1.6372)*CHOOSE(CONTROL!$C$42, 30, 30))/1000000</f>
        <v>29.4696</v>
      </c>
      <c r="Z306" s="38"/>
      <c r="AA306" s="10"/>
      <c r="AB306" s="39"/>
      <c r="AC306" s="33">
        <f>(B306*194.205+C306*267.466+D306*133.845+E306*53.484+F306*40+G306*185+H306*0+I306*100+J306*300)/(194.205+267.466+133.845+53.484+0+40+185+100+300)</f>
        <v>10.170735646624804</v>
      </c>
      <c r="AD306" s="27">
        <f>(M306*'RAP TEMPLATE-GAS AVAILABILITY'!O305+N306*'RAP TEMPLATE-GAS AVAILABILITY'!P305+O306*'RAP TEMPLATE-GAS AVAILABILITY'!Q305+P306*'RAP TEMPLATE-GAS AVAILABILITY'!R305)/('RAP TEMPLATE-GAS AVAILABILITY'!O305+'RAP TEMPLATE-GAS AVAILABILITY'!P305+'RAP TEMPLATE-GAS AVAILABILITY'!Q305+'RAP TEMPLATE-GAS AVAILABILITY'!R305)</f>
        <v>10.07458489208633</v>
      </c>
    </row>
    <row r="307" spans="1:30" ht="15.75">
      <c r="A307" s="14">
        <v>50617</v>
      </c>
      <c r="B307" s="10">
        <f>CHOOSE(CONTROL!$C$42, 9.9721, 9.9721) * CHOOSE(CONTROL!$C$21, $C$9, 100%, $E$9)</f>
        <v>9.9720999999999993</v>
      </c>
      <c r="C307" s="10">
        <f>CHOOSE(CONTROL!$C$42, 9.9801, 9.9801) * CHOOSE(CONTROL!$C$21, $C$9, 100%, $E$9)</f>
        <v>9.9801000000000002</v>
      </c>
      <c r="D307" s="10">
        <f>CHOOSE(CONTROL!$C$42, 10.1372, 10.1372) * CHOOSE(CONTROL!$C$21, $C$9, 100%, $E$9)</f>
        <v>10.1372</v>
      </c>
      <c r="E307" s="10">
        <f>CHOOSE(CONTROL!$C$42, 10.1684, 10.1684) * CHOOSE(CONTROL!$C$21, $C$9, 100%, $E$9)</f>
        <v>10.1684</v>
      </c>
      <c r="F307" s="10">
        <f>CHOOSE(CONTROL!$C$42, 9.9168, 9.9168)*CHOOSE(CONTROL!$C$21, $C$9, 100%, $E$9)</f>
        <v>9.9168000000000003</v>
      </c>
      <c r="G307" s="10">
        <f>CHOOSE(CONTROL!$C$42, 9.933, 9.933)*CHOOSE(CONTROL!$C$21, $C$9, 100%, $E$9)</f>
        <v>9.9329999999999998</v>
      </c>
      <c r="H307" s="10">
        <f>CHOOSE(CONTROL!$C$42, 10.1567, 10.1567) * CHOOSE(CONTROL!$C$21, $C$9, 100%, $E$9)</f>
        <v>10.156700000000001</v>
      </c>
      <c r="I307" s="10">
        <f>CHOOSE(CONTROL!$C$42, 9.9509, 9.9509)* CHOOSE(CONTROL!$C$21, $C$9, 100%, $E$9)</f>
        <v>9.9509000000000007</v>
      </c>
      <c r="J307" s="10">
        <f>CHOOSE(CONTROL!$C$42, 9.9094, 9.9094)* CHOOSE(CONTROL!$C$21, $C$9, 100%, $E$9)</f>
        <v>9.9093999999999998</v>
      </c>
      <c r="K307" s="10">
        <f>CHOOSE(CONTROL!$C$42, 9.8006, 9.8006) * CHOOSE(CONTROL!$C$21, $C$9, 100%, $E$9)</f>
        <v>9.8005999999999993</v>
      </c>
      <c r="L307" s="10">
        <f>CHOOSE(CONTROL!$C$42, 10.7437, 10.7437) * CHOOSE(CONTROL!$C$21, $C$9, 100%, $E$9)</f>
        <v>10.7437</v>
      </c>
      <c r="M307" s="10">
        <f>CHOOSE(CONTROL!$C$42, 9.8042, 9.8042) * CHOOSE(CONTROL!$C$21, $C$9, 100%, $E$9)</f>
        <v>9.8041999999999998</v>
      </c>
      <c r="N307" s="10">
        <f>CHOOSE(CONTROL!$C$42, 9.8202, 9.8202) * CHOOSE(CONTROL!$C$21, $C$9, 100%, $E$9)</f>
        <v>9.8201999999999998</v>
      </c>
      <c r="O307" s="10">
        <f>CHOOSE(CONTROL!$C$42, 10.0481, 10.0481) * CHOOSE(CONTROL!$C$21, $C$9, 100%, $E$9)</f>
        <v>10.0481</v>
      </c>
      <c r="P307" s="10">
        <f>CHOOSE(CONTROL!$C$42, 9.8452, 9.8452) * CHOOSE(CONTROL!$C$21, $C$9, 100%, $E$9)</f>
        <v>9.8452000000000002</v>
      </c>
      <c r="Q307" s="10">
        <f>CHOOSE(CONTROL!$C$42, 10.6434, 10.6434) * CHOOSE(CONTROL!$C$21, $C$9, 100%, $E$9)</f>
        <v>10.6434</v>
      </c>
      <c r="R307" s="10">
        <f>CHOOSE(CONTROL!$C$42, 11.257, 11.257) * CHOOSE(CONTROL!$C$21, $C$9, 100%, $E$9)</f>
        <v>11.257</v>
      </c>
      <c r="S307" s="10">
        <f>CHOOSE(CONTROL!$C$42, 9.6706, 9.6706) * CHOOSE(CONTROL!$C$21, $C$9, 100%, $E$9)</f>
        <v>9.6706000000000003</v>
      </c>
      <c r="T30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07" s="38">
        <f>(1000*CHOOSE(CONTROL!$C$42, 695, 695)*CHOOSE(CONTROL!$C$42, 0.5599, 0.5599)*CHOOSE(CONTROL!$C$42, 31, 31))/1000000</f>
        <v>12.063045499999998</v>
      </c>
      <c r="V307" s="38">
        <f>(1000*CHOOSE(CONTROL!$C$42, 500, 500)*CHOOSE(CONTROL!$C$42, 0.275, 0.275)*CHOOSE(CONTROL!$C$42, 31, 31))/1000000</f>
        <v>4.2625000000000002</v>
      </c>
      <c r="W307" s="38">
        <f>(1000*CHOOSE(CONTROL!$C$42, 0.1146, 0.1146)*CHOOSE(CONTROL!$C$42, 121.5, 121.5)*CHOOSE(CONTROL!$C$42, 31, 31))/1000000</f>
        <v>0.43164089999999994</v>
      </c>
      <c r="X307" s="38">
        <f>(31*0.1790888*245000/1000000)+(31*0.2374*100000/1000000)</f>
        <v>2.0961194359999999</v>
      </c>
      <c r="Y307" s="38">
        <f>(1000*600*CHOOSE(CONTROL!$C$42, 1.6372, 1.6372)*CHOOSE(CONTROL!$C$42, 31, 31))/1000000</f>
        <v>30.451920000000001</v>
      </c>
      <c r="Z307" s="38"/>
      <c r="AA307" s="10"/>
      <c r="AB307" s="39"/>
      <c r="AC307" s="33">
        <f>(B307*194.205+C307*267.466+D307*133.845+E307*53.484+F307*40+G307*185+H307*0+I307*100+J307*300)/(194.205+267.466+133.845+53.484+0+40+185+100+300)</f>
        <v>9.9755230350863417</v>
      </c>
      <c r="AD307" s="27">
        <f>(M307*'RAP TEMPLATE-GAS AVAILABILITY'!O306+N307*'RAP TEMPLATE-GAS AVAILABILITY'!P306+O307*'RAP TEMPLATE-GAS AVAILABILITY'!Q306+P307*'RAP TEMPLATE-GAS AVAILABILITY'!R306)/('RAP TEMPLATE-GAS AVAILABILITY'!O306+'RAP TEMPLATE-GAS AVAILABILITY'!P306+'RAP TEMPLATE-GAS AVAILABILITY'!Q306+'RAP TEMPLATE-GAS AVAILABILITY'!R306)</f>
        <v>9.8822151079136678</v>
      </c>
    </row>
    <row r="308" spans="1:30" ht="15.75">
      <c r="A308" s="14">
        <v>50648</v>
      </c>
      <c r="B308" s="10">
        <f>CHOOSE(CONTROL!$C$42, 9.4789, 9.4789) * CHOOSE(CONTROL!$C$21, $C$9, 100%, $E$9)</f>
        <v>9.4788999999999994</v>
      </c>
      <c r="C308" s="10">
        <f>CHOOSE(CONTROL!$C$42, 9.4869, 9.4869) * CHOOSE(CONTROL!$C$21, $C$9, 100%, $E$9)</f>
        <v>9.4869000000000003</v>
      </c>
      <c r="D308" s="10">
        <f>CHOOSE(CONTROL!$C$42, 9.6439, 9.6439) * CHOOSE(CONTROL!$C$21, $C$9, 100%, $E$9)</f>
        <v>9.6439000000000004</v>
      </c>
      <c r="E308" s="10">
        <f>CHOOSE(CONTROL!$C$42, 9.6752, 9.6752) * CHOOSE(CONTROL!$C$21, $C$9, 100%, $E$9)</f>
        <v>9.6752000000000002</v>
      </c>
      <c r="F308" s="10">
        <f>CHOOSE(CONTROL!$C$42, 9.4235, 9.4235)*CHOOSE(CONTROL!$C$21, $C$9, 100%, $E$9)</f>
        <v>9.4235000000000007</v>
      </c>
      <c r="G308" s="10">
        <f>CHOOSE(CONTROL!$C$42, 9.4397, 9.4397)*CHOOSE(CONTROL!$C$21, $C$9, 100%, $E$9)</f>
        <v>9.4397000000000002</v>
      </c>
      <c r="H308" s="10">
        <f>CHOOSE(CONTROL!$C$42, 9.6635, 9.6635) * CHOOSE(CONTROL!$C$21, $C$9, 100%, $E$9)</f>
        <v>9.6635000000000009</v>
      </c>
      <c r="I308" s="10">
        <f>CHOOSE(CONTROL!$C$42, 9.4577, 9.4577)* CHOOSE(CONTROL!$C$21, $C$9, 100%, $E$9)</f>
        <v>9.4577000000000009</v>
      </c>
      <c r="J308" s="10">
        <f>CHOOSE(CONTROL!$C$42, 9.4161, 9.4161)* CHOOSE(CONTROL!$C$21, $C$9, 100%, $E$9)</f>
        <v>9.4161000000000001</v>
      </c>
      <c r="K308" s="10">
        <f>CHOOSE(CONTROL!$C$42, 9.3226, 9.3226) * CHOOSE(CONTROL!$C$21, $C$9, 100%, $E$9)</f>
        <v>9.3225999999999996</v>
      </c>
      <c r="L308" s="10">
        <f>CHOOSE(CONTROL!$C$42, 10.2505, 10.2505) * CHOOSE(CONTROL!$C$21, $C$9, 100%, $E$9)</f>
        <v>10.250500000000001</v>
      </c>
      <c r="M308" s="10">
        <f>CHOOSE(CONTROL!$C$42, 9.3177, 9.3177) * CHOOSE(CONTROL!$C$21, $C$9, 100%, $E$9)</f>
        <v>9.3177000000000003</v>
      </c>
      <c r="N308" s="10">
        <f>CHOOSE(CONTROL!$C$42, 9.3337, 9.3337) * CHOOSE(CONTROL!$C$21, $C$9, 100%, $E$9)</f>
        <v>9.3337000000000003</v>
      </c>
      <c r="O308" s="10">
        <f>CHOOSE(CONTROL!$C$42, 9.5617, 9.5617) * CHOOSE(CONTROL!$C$21, $C$9, 100%, $E$9)</f>
        <v>9.5617000000000001</v>
      </c>
      <c r="P308" s="10">
        <f>CHOOSE(CONTROL!$C$42, 9.3588, 9.3588) * CHOOSE(CONTROL!$C$21, $C$9, 100%, $E$9)</f>
        <v>9.3588000000000005</v>
      </c>
      <c r="Q308" s="10">
        <f>CHOOSE(CONTROL!$C$42, 10.157, 10.157) * CHOOSE(CONTROL!$C$21, $C$9, 100%, $E$9)</f>
        <v>10.157</v>
      </c>
      <c r="R308" s="10">
        <f>CHOOSE(CONTROL!$C$42, 10.7694, 10.7694) * CHOOSE(CONTROL!$C$21, $C$9, 100%, $E$9)</f>
        <v>10.769399999999999</v>
      </c>
      <c r="S308" s="10">
        <f>CHOOSE(CONTROL!$C$42, 9.193, 9.193) * CHOOSE(CONTROL!$C$21, $C$9, 100%, $E$9)</f>
        <v>9.1929999999999996</v>
      </c>
      <c r="T30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08" s="38">
        <f>(1000*CHOOSE(CONTROL!$C$42, 695, 695)*CHOOSE(CONTROL!$C$42, 0.5599, 0.5599)*CHOOSE(CONTROL!$C$42, 31, 31))/1000000</f>
        <v>12.063045499999998</v>
      </c>
      <c r="V308" s="38">
        <f>(1000*CHOOSE(CONTROL!$C$42, 500, 500)*CHOOSE(CONTROL!$C$42, 0.275, 0.275)*CHOOSE(CONTROL!$C$42, 31, 31))/1000000</f>
        <v>4.2625000000000002</v>
      </c>
      <c r="W308" s="38">
        <f>(1000*CHOOSE(CONTROL!$C$42, 0.1146, 0.1146)*CHOOSE(CONTROL!$C$42, 121.5, 121.5)*CHOOSE(CONTROL!$C$42, 31, 31))/1000000</f>
        <v>0.43164089999999994</v>
      </c>
      <c r="X308" s="38">
        <f>(31*0.1790888*245000/1000000)+(31*0.2374*100000/1000000)</f>
        <v>2.0961194359999999</v>
      </c>
      <c r="Y308" s="38">
        <f>(1000*600*CHOOSE(CONTROL!$C$42, 1.6372, 1.6372)*CHOOSE(CONTROL!$C$42, 31, 31))/1000000</f>
        <v>30.451920000000001</v>
      </c>
      <c r="Z308" s="38"/>
      <c r="AA308" s="10"/>
      <c r="AB308" s="39"/>
      <c r="AC308" s="33">
        <f>(B308*194.205+C308*267.466+D308*133.845+E308*53.484+F308*40+G308*185+H308*0+I308*100+J308*300)/(194.205+267.466+133.845+53.484+0+40+185+100+300)</f>
        <v>9.482271320408163</v>
      </c>
      <c r="AD308" s="27">
        <f>(M308*'RAP TEMPLATE-GAS AVAILABILITY'!O307+N308*'RAP TEMPLATE-GAS AVAILABILITY'!P307+O308*'RAP TEMPLATE-GAS AVAILABILITY'!Q307+P308*'RAP TEMPLATE-GAS AVAILABILITY'!R307)/('RAP TEMPLATE-GAS AVAILABILITY'!O307+'RAP TEMPLATE-GAS AVAILABILITY'!P307+'RAP TEMPLATE-GAS AVAILABILITY'!Q307+'RAP TEMPLATE-GAS AVAILABILITY'!R307)</f>
        <v>9.3957575539568357</v>
      </c>
    </row>
    <row r="309" spans="1:30" ht="15.75">
      <c r="A309" s="14">
        <v>50678</v>
      </c>
      <c r="B309" s="10">
        <f>CHOOSE(CONTROL!$C$42, 8.8762, 8.8762) * CHOOSE(CONTROL!$C$21, $C$9, 100%, $E$9)</f>
        <v>8.8762000000000008</v>
      </c>
      <c r="C309" s="10">
        <f>CHOOSE(CONTROL!$C$42, 8.8842, 8.8842) * CHOOSE(CONTROL!$C$21, $C$9, 100%, $E$9)</f>
        <v>8.8841999999999999</v>
      </c>
      <c r="D309" s="10">
        <f>CHOOSE(CONTROL!$C$42, 9.0413, 9.0413) * CHOOSE(CONTROL!$C$21, $C$9, 100%, $E$9)</f>
        <v>9.0412999999999997</v>
      </c>
      <c r="E309" s="10">
        <f>CHOOSE(CONTROL!$C$42, 9.0725, 9.0725) * CHOOSE(CONTROL!$C$21, $C$9, 100%, $E$9)</f>
        <v>9.0724999999999998</v>
      </c>
      <c r="F309" s="10">
        <f>CHOOSE(CONTROL!$C$42, 8.8206, 8.8206)*CHOOSE(CONTROL!$C$21, $C$9, 100%, $E$9)</f>
        <v>8.8206000000000007</v>
      </c>
      <c r="G309" s="10">
        <f>CHOOSE(CONTROL!$C$42, 8.8368, 8.8368)*CHOOSE(CONTROL!$C$21, $C$9, 100%, $E$9)</f>
        <v>8.8368000000000002</v>
      </c>
      <c r="H309" s="10">
        <f>CHOOSE(CONTROL!$C$42, 9.0608, 9.0608) * CHOOSE(CONTROL!$C$21, $C$9, 100%, $E$9)</f>
        <v>9.0608000000000004</v>
      </c>
      <c r="I309" s="10">
        <f>CHOOSE(CONTROL!$C$42, 8.855, 8.855)* CHOOSE(CONTROL!$C$21, $C$9, 100%, $E$9)</f>
        <v>8.8550000000000004</v>
      </c>
      <c r="J309" s="10">
        <f>CHOOSE(CONTROL!$C$42, 8.8132, 8.8132)* CHOOSE(CONTROL!$C$21, $C$9, 100%, $E$9)</f>
        <v>8.8132000000000001</v>
      </c>
      <c r="K309" s="10">
        <f>CHOOSE(CONTROL!$C$42, 8.7383, 8.7383) * CHOOSE(CONTROL!$C$21, $C$9, 100%, $E$9)</f>
        <v>8.7383000000000006</v>
      </c>
      <c r="L309" s="10">
        <f>CHOOSE(CONTROL!$C$42, 9.6478, 9.6478) * CHOOSE(CONTROL!$C$21, $C$9, 100%, $E$9)</f>
        <v>9.6478000000000002</v>
      </c>
      <c r="M309" s="10">
        <f>CHOOSE(CONTROL!$C$42, 8.7233, 8.7233) * CHOOSE(CONTROL!$C$21, $C$9, 100%, $E$9)</f>
        <v>8.7233000000000001</v>
      </c>
      <c r="N309" s="10">
        <f>CHOOSE(CONTROL!$C$42, 8.7392, 8.7392) * CHOOSE(CONTROL!$C$21, $C$9, 100%, $E$9)</f>
        <v>8.7392000000000003</v>
      </c>
      <c r="O309" s="10">
        <f>CHOOSE(CONTROL!$C$42, 8.9674, 8.9674) * CHOOSE(CONTROL!$C$21, $C$9, 100%, $E$9)</f>
        <v>8.9673999999999996</v>
      </c>
      <c r="P309" s="10">
        <f>CHOOSE(CONTROL!$C$42, 8.7646, 8.7646) * CHOOSE(CONTROL!$C$21, $C$9, 100%, $E$9)</f>
        <v>8.7645999999999997</v>
      </c>
      <c r="Q309" s="10">
        <f>CHOOSE(CONTROL!$C$42, 9.5627, 9.5627) * CHOOSE(CONTROL!$C$21, $C$9, 100%, $E$9)</f>
        <v>9.5626999999999995</v>
      </c>
      <c r="R309" s="10">
        <f>CHOOSE(CONTROL!$C$42, 10.1737, 10.1737) * CHOOSE(CONTROL!$C$21, $C$9, 100%, $E$9)</f>
        <v>10.1737</v>
      </c>
      <c r="S309" s="10">
        <f>CHOOSE(CONTROL!$C$42, 8.6095, 8.6095) * CHOOSE(CONTROL!$C$21, $C$9, 100%, $E$9)</f>
        <v>8.6095000000000006</v>
      </c>
      <c r="T30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09" s="38">
        <f>(1000*CHOOSE(CONTROL!$C$42, 695, 695)*CHOOSE(CONTROL!$C$42, 0.5599, 0.5599)*CHOOSE(CONTROL!$C$42, 30, 30))/1000000</f>
        <v>11.673914999999997</v>
      </c>
      <c r="V309" s="38">
        <f>(1000*CHOOSE(CONTROL!$C$42, 500, 500)*CHOOSE(CONTROL!$C$42, 0.275, 0.275)*CHOOSE(CONTROL!$C$42, 30, 30))/1000000</f>
        <v>4.125</v>
      </c>
      <c r="W309" s="38">
        <f>(1000*CHOOSE(CONTROL!$C$42, 0.1146, 0.1146)*CHOOSE(CONTROL!$C$42, 121.5, 121.5)*CHOOSE(CONTROL!$C$42, 30, 30))/1000000</f>
        <v>0.417717</v>
      </c>
      <c r="X309" s="38">
        <f>(30*0.1790888*245000/1000000)+(30*0.2374*100000/1000000)</f>
        <v>2.0285026799999999</v>
      </c>
      <c r="Y309" s="38">
        <f>(1000*600*CHOOSE(CONTROL!$C$42, 1.6372, 1.6372)*CHOOSE(CONTROL!$C$42, 30, 30))/1000000</f>
        <v>29.4696</v>
      </c>
      <c r="Z309" s="38"/>
      <c r="AA309" s="10"/>
      <c r="AB309" s="39"/>
      <c r="AC309" s="33">
        <f>(B309*194.205+C309*267.466+D309*133.845+E309*53.484+F309*40+G309*185+H309*0+I309*100+J309*300)/(194.205+267.466+133.845+53.484+0+40+185+100+300)</f>
        <v>8.8794994087127144</v>
      </c>
      <c r="AD309" s="27">
        <f>(M309*'RAP TEMPLATE-GAS AVAILABILITY'!O308+N309*'RAP TEMPLATE-GAS AVAILABILITY'!P308+O309*'RAP TEMPLATE-GAS AVAILABILITY'!Q308+P309*'RAP TEMPLATE-GAS AVAILABILITY'!R308)/('RAP TEMPLATE-GAS AVAILABILITY'!O308+'RAP TEMPLATE-GAS AVAILABILITY'!P308+'RAP TEMPLATE-GAS AVAILABILITY'!Q308+'RAP TEMPLATE-GAS AVAILABILITY'!R308)</f>
        <v>8.8013913669064738</v>
      </c>
    </row>
    <row r="310" spans="1:30" ht="15.75">
      <c r="A310" s="14">
        <v>50709</v>
      </c>
      <c r="B310" s="10">
        <f>CHOOSE(CONTROL!$C$42, 8.6936, 8.6936) * CHOOSE(CONTROL!$C$21, $C$9, 100%, $E$9)</f>
        <v>8.6936</v>
      </c>
      <c r="C310" s="10">
        <f>CHOOSE(CONTROL!$C$42, 8.6989, 8.6989) * CHOOSE(CONTROL!$C$21, $C$9, 100%, $E$9)</f>
        <v>8.6989000000000001</v>
      </c>
      <c r="D310" s="10">
        <f>CHOOSE(CONTROL!$C$42, 8.8608, 8.8608) * CHOOSE(CONTROL!$C$21, $C$9, 100%, $E$9)</f>
        <v>8.8607999999999993</v>
      </c>
      <c r="E310" s="10">
        <f>CHOOSE(CONTROL!$C$42, 8.8897, 8.8897) * CHOOSE(CONTROL!$C$21, $C$9, 100%, $E$9)</f>
        <v>8.8896999999999995</v>
      </c>
      <c r="F310" s="10">
        <f>CHOOSE(CONTROL!$C$42, 8.6399, 8.6399)*CHOOSE(CONTROL!$C$21, $C$9, 100%, $E$9)</f>
        <v>8.6399000000000008</v>
      </c>
      <c r="G310" s="10">
        <f>CHOOSE(CONTROL!$C$42, 8.6558, 8.6558)*CHOOSE(CONTROL!$C$21, $C$9, 100%, $E$9)</f>
        <v>8.6557999999999993</v>
      </c>
      <c r="H310" s="10">
        <f>CHOOSE(CONTROL!$C$42, 8.8799, 8.8799) * CHOOSE(CONTROL!$C$21, $C$9, 100%, $E$9)</f>
        <v>8.8798999999999992</v>
      </c>
      <c r="I310" s="10">
        <f>CHOOSE(CONTROL!$C$42, 8.6741, 8.6741)* CHOOSE(CONTROL!$C$21, $C$9, 100%, $E$9)</f>
        <v>8.6740999999999993</v>
      </c>
      <c r="J310" s="10">
        <f>CHOOSE(CONTROL!$C$42, 8.6325, 8.6325)* CHOOSE(CONTROL!$C$21, $C$9, 100%, $E$9)</f>
        <v>8.6325000000000003</v>
      </c>
      <c r="K310" s="10">
        <f>CHOOSE(CONTROL!$C$42, 8.5636, 8.5636) * CHOOSE(CONTROL!$C$21, $C$9, 100%, $E$9)</f>
        <v>8.5635999999999992</v>
      </c>
      <c r="L310" s="10">
        <f>CHOOSE(CONTROL!$C$42, 9.4669, 9.4669) * CHOOSE(CONTROL!$C$21, $C$9, 100%, $E$9)</f>
        <v>9.4669000000000008</v>
      </c>
      <c r="M310" s="10">
        <f>CHOOSE(CONTROL!$C$42, 8.5451, 8.5451) * CHOOSE(CONTROL!$C$21, $C$9, 100%, $E$9)</f>
        <v>8.5450999999999997</v>
      </c>
      <c r="N310" s="10">
        <f>CHOOSE(CONTROL!$C$42, 8.5607, 8.5607) * CHOOSE(CONTROL!$C$21, $C$9, 100%, $E$9)</f>
        <v>8.5607000000000006</v>
      </c>
      <c r="O310" s="10">
        <f>CHOOSE(CONTROL!$C$42, 8.789, 8.789) * CHOOSE(CONTROL!$C$21, $C$9, 100%, $E$9)</f>
        <v>8.7889999999999997</v>
      </c>
      <c r="P310" s="10">
        <f>CHOOSE(CONTROL!$C$42, 8.5861, 8.5861) * CHOOSE(CONTROL!$C$21, $C$9, 100%, $E$9)</f>
        <v>8.5861000000000001</v>
      </c>
      <c r="Q310" s="10">
        <f>CHOOSE(CONTROL!$C$42, 9.3843, 9.3843) * CHOOSE(CONTROL!$C$21, $C$9, 100%, $E$9)</f>
        <v>9.3842999999999996</v>
      </c>
      <c r="R310" s="10">
        <f>CHOOSE(CONTROL!$C$42, 9.9948, 9.9948) * CHOOSE(CONTROL!$C$21, $C$9, 100%, $E$9)</f>
        <v>9.9947999999999997</v>
      </c>
      <c r="S310" s="10">
        <f>CHOOSE(CONTROL!$C$42, 8.4342, 8.4342) * CHOOSE(CONTROL!$C$21, $C$9, 100%, $E$9)</f>
        <v>8.4342000000000006</v>
      </c>
      <c r="T31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10" s="38">
        <f>(1000*CHOOSE(CONTROL!$C$42, 695, 695)*CHOOSE(CONTROL!$C$42, 0.5599, 0.5599)*CHOOSE(CONTROL!$C$42, 31, 31))/1000000</f>
        <v>12.063045499999998</v>
      </c>
      <c r="V310" s="38">
        <f>(1000*CHOOSE(CONTROL!$C$42, 500, 500)*CHOOSE(CONTROL!$C$42, 0.275, 0.275)*CHOOSE(CONTROL!$C$42, 31, 31))/1000000</f>
        <v>4.2625000000000002</v>
      </c>
      <c r="W310" s="38">
        <f>(1000*CHOOSE(CONTROL!$C$42, 0.1146, 0.1146)*CHOOSE(CONTROL!$C$42, 121.5, 121.5)*CHOOSE(CONTROL!$C$42, 31, 31))/1000000</f>
        <v>0.43164089999999994</v>
      </c>
      <c r="X310" s="38">
        <f>(31*0.1790888*245000/1000000)+(31*0.2374*100000/1000000)</f>
        <v>2.0961194359999999</v>
      </c>
      <c r="Y310" s="38">
        <f>(1000*600*CHOOSE(CONTROL!$C$42, 1.6372, 1.6372)*CHOOSE(CONTROL!$C$42, 31, 31))/1000000</f>
        <v>30.451920000000001</v>
      </c>
      <c r="Z310" s="38"/>
      <c r="AA310" s="10"/>
      <c r="AB310" s="39"/>
      <c r="AC310" s="33">
        <f>(B310*131.881+C310*277.167+D310*79.08+E310*125.872+F310*40+G310*185+H310*0+I310*100+J310*300)/(131.881+277.167+79.08+125.872+0+40+185+100+300)</f>
        <v>8.7016336241323646</v>
      </c>
      <c r="AD310" s="27">
        <f>(M310*'RAP TEMPLATE-GAS AVAILABILITY'!O309+N310*'RAP TEMPLATE-GAS AVAILABILITY'!P309+O310*'RAP TEMPLATE-GAS AVAILABILITY'!Q309+P310*'RAP TEMPLATE-GAS AVAILABILITY'!R309)/('RAP TEMPLATE-GAS AVAILABILITY'!O309+'RAP TEMPLATE-GAS AVAILABILITY'!P309+'RAP TEMPLATE-GAS AVAILABILITY'!Q309+'RAP TEMPLATE-GAS AVAILABILITY'!R309)</f>
        <v>8.6230230215827319</v>
      </c>
    </row>
    <row r="311" spans="1:30" ht="15.75">
      <c r="A311" s="14">
        <v>50739</v>
      </c>
      <c r="B311" s="10">
        <f>CHOOSE(CONTROL!$C$42, 8.9226, 8.9226) * CHOOSE(CONTROL!$C$21, $C$9, 100%, $E$9)</f>
        <v>8.9225999999999992</v>
      </c>
      <c r="C311" s="10">
        <f>CHOOSE(CONTROL!$C$42, 8.9277, 8.9277) * CHOOSE(CONTROL!$C$21, $C$9, 100%, $E$9)</f>
        <v>8.9276999999999997</v>
      </c>
      <c r="D311" s="10">
        <f>CHOOSE(CONTROL!$C$42, 8.9524, 8.9524) * CHOOSE(CONTROL!$C$21, $C$9, 100%, $E$9)</f>
        <v>8.9524000000000008</v>
      </c>
      <c r="E311" s="10">
        <f>CHOOSE(CONTROL!$C$42, 8.9862, 8.9862) * CHOOSE(CONTROL!$C$21, $C$9, 100%, $E$9)</f>
        <v>8.9862000000000002</v>
      </c>
      <c r="F311" s="10">
        <f>CHOOSE(CONTROL!$C$42, 8.8909, 8.8909)*CHOOSE(CONTROL!$C$21, $C$9, 100%, $E$9)</f>
        <v>8.8909000000000002</v>
      </c>
      <c r="G311" s="10">
        <f>CHOOSE(CONTROL!$C$42, 8.9069, 8.9069)*CHOOSE(CONTROL!$C$21, $C$9, 100%, $E$9)</f>
        <v>8.9069000000000003</v>
      </c>
      <c r="H311" s="10">
        <f>CHOOSE(CONTROL!$C$42, 8.9751, 8.9751) * CHOOSE(CONTROL!$C$21, $C$9, 100%, $E$9)</f>
        <v>8.9750999999999994</v>
      </c>
      <c r="I311" s="10">
        <f>CHOOSE(CONTROL!$C$42, 8.9376, 8.9376)* CHOOSE(CONTROL!$C$21, $C$9, 100%, $E$9)</f>
        <v>8.9375999999999998</v>
      </c>
      <c r="J311" s="10">
        <f>CHOOSE(CONTROL!$C$42, 8.8835, 8.8835)* CHOOSE(CONTROL!$C$21, $C$9, 100%, $E$9)</f>
        <v>8.8834999999999997</v>
      </c>
      <c r="K311" s="10">
        <f>CHOOSE(CONTROL!$C$42, 8.8212, 8.8212) * CHOOSE(CONTROL!$C$21, $C$9, 100%, $E$9)</f>
        <v>8.8211999999999993</v>
      </c>
      <c r="L311" s="10">
        <f>CHOOSE(CONTROL!$C$42, 9.5621, 9.5621) * CHOOSE(CONTROL!$C$21, $C$9, 100%, $E$9)</f>
        <v>9.5620999999999992</v>
      </c>
      <c r="M311" s="10">
        <f>CHOOSE(CONTROL!$C$42, 8.7926, 8.7926) * CHOOSE(CONTROL!$C$21, $C$9, 100%, $E$9)</f>
        <v>8.7926000000000002</v>
      </c>
      <c r="N311" s="10">
        <f>CHOOSE(CONTROL!$C$42, 8.8084, 8.8084) * CHOOSE(CONTROL!$C$21, $C$9, 100%, $E$9)</f>
        <v>8.8084000000000007</v>
      </c>
      <c r="O311" s="10">
        <f>CHOOSE(CONTROL!$C$42, 8.8829, 8.8829) * CHOOSE(CONTROL!$C$21, $C$9, 100%, $E$9)</f>
        <v>8.8828999999999994</v>
      </c>
      <c r="P311" s="10">
        <f>CHOOSE(CONTROL!$C$42, 8.846, 8.846) * CHOOSE(CONTROL!$C$21, $C$9, 100%, $E$9)</f>
        <v>8.8460000000000001</v>
      </c>
      <c r="Q311" s="10">
        <f>CHOOSE(CONTROL!$C$42, 9.4782, 9.4782) * CHOOSE(CONTROL!$C$21, $C$9, 100%, $E$9)</f>
        <v>9.4781999999999993</v>
      </c>
      <c r="R311" s="10">
        <f>CHOOSE(CONTROL!$C$42, 10.0889, 10.0889) * CHOOSE(CONTROL!$C$21, $C$9, 100%, $E$9)</f>
        <v>10.088900000000001</v>
      </c>
      <c r="S311" s="10">
        <f>CHOOSE(CONTROL!$C$42, 8.6564, 8.6564) * CHOOSE(CONTROL!$C$21, $C$9, 100%, $E$9)</f>
        <v>8.6563999999999997</v>
      </c>
      <c r="T31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11" s="38">
        <f>(1000*CHOOSE(CONTROL!$C$42, 695, 695)*CHOOSE(CONTROL!$C$42, 0.5599, 0.5599)*CHOOSE(CONTROL!$C$42, 30, 30))/1000000</f>
        <v>11.673914999999997</v>
      </c>
      <c r="V311" s="38">
        <f>(1000*CHOOSE(CONTROL!$C$42, 500, 500)*CHOOSE(CONTROL!$C$42, 0.275, 0.275)*CHOOSE(CONTROL!$C$42, 30, 30))/1000000</f>
        <v>4.125</v>
      </c>
      <c r="W311" s="38">
        <f>(1000*CHOOSE(CONTROL!$C$42, 0.1146, 0.1146)*CHOOSE(CONTROL!$C$42, 121.5, 121.5)*CHOOSE(CONTROL!$C$42, 30, 30))/1000000</f>
        <v>0.417717</v>
      </c>
      <c r="X311" s="38">
        <f>(30*0.1790888*100000/1000000)+(30*0.2374*100000/1000000)</f>
        <v>1.2494664</v>
      </c>
      <c r="Y311" s="38">
        <f>(1000*600*CHOOSE(CONTROL!$C$42, 1.6372, 1.6372)*CHOOSE(CONTROL!$C$42, 30, 30))/1000000</f>
        <v>29.4696</v>
      </c>
      <c r="Z311" s="38"/>
      <c r="AA311" s="10"/>
      <c r="AB311" s="39"/>
      <c r="AC311" s="33">
        <f>(B311*122.58+C311*297.941+D311*89.177+E311*40.302+F311*40+G311*160+H311*0+I311*100+J311*300)/(122.58+297.941+89.177+40.302+0+40+160+100+300)</f>
        <v>8.9162784181739134</v>
      </c>
      <c r="AD311" s="27">
        <f>(M311*'RAP TEMPLATE-GAS AVAILABILITY'!O310+N311*'RAP TEMPLATE-GAS AVAILABILITY'!P310+O311*'RAP TEMPLATE-GAS AVAILABILITY'!Q310+P311*'RAP TEMPLATE-GAS AVAILABILITY'!R310)/('RAP TEMPLATE-GAS AVAILABILITY'!O310+'RAP TEMPLATE-GAS AVAILABILITY'!P310+'RAP TEMPLATE-GAS AVAILABILITY'!Q310+'RAP TEMPLATE-GAS AVAILABILITY'!R310)</f>
        <v>8.8421201438848929</v>
      </c>
    </row>
    <row r="312" spans="1:30" ht="15.75">
      <c r="A312" s="14">
        <v>50770</v>
      </c>
      <c r="B312" s="10">
        <f>CHOOSE(CONTROL!$C$42, 9.532, 9.532) * CHOOSE(CONTROL!$C$21, $C$9, 100%, $E$9)</f>
        <v>9.532</v>
      </c>
      <c r="C312" s="10">
        <f>CHOOSE(CONTROL!$C$42, 9.5371, 9.5371) * CHOOSE(CONTROL!$C$21, $C$9, 100%, $E$9)</f>
        <v>9.5371000000000006</v>
      </c>
      <c r="D312" s="10">
        <f>CHOOSE(CONTROL!$C$42, 9.5618, 9.5618) * CHOOSE(CONTROL!$C$21, $C$9, 100%, $E$9)</f>
        <v>9.5617999999999999</v>
      </c>
      <c r="E312" s="10">
        <f>CHOOSE(CONTROL!$C$42, 9.5956, 9.5956) * CHOOSE(CONTROL!$C$21, $C$9, 100%, $E$9)</f>
        <v>9.5955999999999992</v>
      </c>
      <c r="F312" s="10">
        <f>CHOOSE(CONTROL!$C$42, 9.5023, 9.5023)*CHOOSE(CONTROL!$C$21, $C$9, 100%, $E$9)</f>
        <v>9.5023</v>
      </c>
      <c r="G312" s="10">
        <f>CHOOSE(CONTROL!$C$42, 9.5188, 9.5188)*CHOOSE(CONTROL!$C$21, $C$9, 100%, $E$9)</f>
        <v>9.5188000000000006</v>
      </c>
      <c r="H312" s="10">
        <f>CHOOSE(CONTROL!$C$42, 9.5845, 9.5845) * CHOOSE(CONTROL!$C$21, $C$9, 100%, $E$9)</f>
        <v>9.5845000000000002</v>
      </c>
      <c r="I312" s="10">
        <f>CHOOSE(CONTROL!$C$42, 9.547, 9.547)* CHOOSE(CONTROL!$C$21, $C$9, 100%, $E$9)</f>
        <v>9.5470000000000006</v>
      </c>
      <c r="J312" s="10">
        <f>CHOOSE(CONTROL!$C$42, 9.4949, 9.4949)* CHOOSE(CONTROL!$C$21, $C$9, 100%, $E$9)</f>
        <v>9.4948999999999995</v>
      </c>
      <c r="K312" s="10">
        <f>CHOOSE(CONTROL!$C$42, 9.4157, 9.4157) * CHOOSE(CONTROL!$C$21, $C$9, 100%, $E$9)</f>
        <v>9.4156999999999993</v>
      </c>
      <c r="L312" s="10">
        <f>CHOOSE(CONTROL!$C$42, 10.1715, 10.1715) * CHOOSE(CONTROL!$C$21, $C$9, 100%, $E$9)</f>
        <v>10.1715</v>
      </c>
      <c r="M312" s="10">
        <f>CHOOSE(CONTROL!$C$42, 9.3955, 9.3955) * CHOOSE(CONTROL!$C$21, $C$9, 100%, $E$9)</f>
        <v>9.3955000000000002</v>
      </c>
      <c r="N312" s="10">
        <f>CHOOSE(CONTROL!$C$42, 9.4117, 9.4117) * CHOOSE(CONTROL!$C$21, $C$9, 100%, $E$9)</f>
        <v>9.4116999999999997</v>
      </c>
      <c r="O312" s="10">
        <f>CHOOSE(CONTROL!$C$42, 9.4838, 9.4838) * CHOOSE(CONTROL!$C$21, $C$9, 100%, $E$9)</f>
        <v>9.4838000000000005</v>
      </c>
      <c r="P312" s="10">
        <f>CHOOSE(CONTROL!$C$42, 9.4469, 9.4469) * CHOOSE(CONTROL!$C$21, $C$9, 100%, $E$9)</f>
        <v>9.4468999999999994</v>
      </c>
      <c r="Q312" s="10">
        <f>CHOOSE(CONTROL!$C$42, 10.0791, 10.0791) * CHOOSE(CONTROL!$C$21, $C$9, 100%, $E$9)</f>
        <v>10.0791</v>
      </c>
      <c r="R312" s="10">
        <f>CHOOSE(CONTROL!$C$42, 10.6913, 10.6913) * CHOOSE(CONTROL!$C$21, $C$9, 100%, $E$9)</f>
        <v>10.6913</v>
      </c>
      <c r="S312" s="10">
        <f>CHOOSE(CONTROL!$C$42, 9.2465, 9.2465) * CHOOSE(CONTROL!$C$21, $C$9, 100%, $E$9)</f>
        <v>9.2464999999999993</v>
      </c>
      <c r="T31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12" s="38">
        <f>(1000*CHOOSE(CONTROL!$C$42, 695, 695)*CHOOSE(CONTROL!$C$42, 0.5599, 0.5599)*CHOOSE(CONTROL!$C$42, 31, 31))/1000000</f>
        <v>12.063045499999998</v>
      </c>
      <c r="V312" s="38">
        <f>(1000*CHOOSE(CONTROL!$C$42, 500, 500)*CHOOSE(CONTROL!$C$42, 0.275, 0.275)*CHOOSE(CONTROL!$C$42, 31, 31))/1000000</f>
        <v>4.2625000000000002</v>
      </c>
      <c r="W312" s="38">
        <f>(1000*CHOOSE(CONTROL!$C$42, 0.1146, 0.1146)*CHOOSE(CONTROL!$C$42, 121.5, 121.5)*CHOOSE(CONTROL!$C$42, 31, 31))/1000000</f>
        <v>0.43164089999999994</v>
      </c>
      <c r="X312" s="38">
        <f>(31*0.1790888*100000/1000000)+(31*0.2374*100000/1000000)</f>
        <v>1.2911152800000001</v>
      </c>
      <c r="Y312" s="38">
        <f>(1000*600*CHOOSE(CONTROL!$C$42, 1.6372, 1.6372)*CHOOSE(CONTROL!$C$42, 31, 31))/1000000</f>
        <v>30.451920000000001</v>
      </c>
      <c r="Z312" s="38"/>
      <c r="AA312" s="10"/>
      <c r="AB312" s="39"/>
      <c r="AC312" s="33">
        <f>(B312*122.58+C312*297.941+D312*89.177+E312*40.302+F312*40+G312*160+H312*0+I312*100+J312*300)/(122.58+297.941+89.177+40.302+0+40+160+100+300)</f>
        <v>9.5266175486086944</v>
      </c>
      <c r="AD312" s="27">
        <f>(M312*'RAP TEMPLATE-GAS AVAILABILITY'!O311+N312*'RAP TEMPLATE-GAS AVAILABILITY'!P311+O312*'RAP TEMPLATE-GAS AVAILABILITY'!Q311+P312*'RAP TEMPLATE-GAS AVAILABILITY'!R311)/('RAP TEMPLATE-GAS AVAILABILITY'!O311+'RAP TEMPLATE-GAS AVAILABILITY'!P311+'RAP TEMPLATE-GAS AVAILABILITY'!Q311+'RAP TEMPLATE-GAS AVAILABILITY'!R311)</f>
        <v>9.4438489208633083</v>
      </c>
    </row>
    <row r="313" spans="1:30" ht="15.75">
      <c r="A313" s="14">
        <v>50801</v>
      </c>
      <c r="B313" s="10">
        <f>CHOOSE(CONTROL!$C$42, 10.1765, 10.1765) * CHOOSE(CONTROL!$C$21, $C$9, 100%, $E$9)</f>
        <v>10.176500000000001</v>
      </c>
      <c r="C313" s="10">
        <f>CHOOSE(CONTROL!$C$42, 10.1816, 10.1816) * CHOOSE(CONTROL!$C$21, $C$9, 100%, $E$9)</f>
        <v>10.1816</v>
      </c>
      <c r="D313" s="10">
        <f>CHOOSE(CONTROL!$C$42, 10.214, 10.214) * CHOOSE(CONTROL!$C$21, $C$9, 100%, $E$9)</f>
        <v>10.214</v>
      </c>
      <c r="E313" s="10">
        <f>CHOOSE(CONTROL!$C$42, 10.2478, 10.2478) * CHOOSE(CONTROL!$C$21, $C$9, 100%, $E$9)</f>
        <v>10.2478</v>
      </c>
      <c r="F313" s="10">
        <f>CHOOSE(CONTROL!$C$42, 10.1607, 10.1607)*CHOOSE(CONTROL!$C$21, $C$9, 100%, $E$9)</f>
        <v>10.1607</v>
      </c>
      <c r="G313" s="10">
        <f>CHOOSE(CONTROL!$C$42, 10.1787, 10.1787)*CHOOSE(CONTROL!$C$21, $C$9, 100%, $E$9)</f>
        <v>10.178699999999999</v>
      </c>
      <c r="H313" s="10">
        <f>CHOOSE(CONTROL!$C$42, 10.2367, 10.2367) * CHOOSE(CONTROL!$C$21, $C$9, 100%, $E$9)</f>
        <v>10.236700000000001</v>
      </c>
      <c r="I313" s="10">
        <f>CHOOSE(CONTROL!$C$42, 10.1899, 10.1899)* CHOOSE(CONTROL!$C$21, $C$9, 100%, $E$9)</f>
        <v>10.1899</v>
      </c>
      <c r="J313" s="10">
        <f>CHOOSE(CONTROL!$C$42, 10.1533, 10.1533)* CHOOSE(CONTROL!$C$21, $C$9, 100%, $E$9)</f>
        <v>10.1533</v>
      </c>
      <c r="K313" s="10">
        <f>CHOOSE(CONTROL!$C$42, 10.0525, 10.0525) * CHOOSE(CONTROL!$C$21, $C$9, 100%, $E$9)</f>
        <v>10.0525</v>
      </c>
      <c r="L313" s="10">
        <f>CHOOSE(CONTROL!$C$42, 10.8237, 10.8237) * CHOOSE(CONTROL!$C$21, $C$9, 100%, $E$9)</f>
        <v>10.823700000000001</v>
      </c>
      <c r="M313" s="10">
        <f>CHOOSE(CONTROL!$C$42, 10.0447, 10.0447) * CHOOSE(CONTROL!$C$21, $C$9, 100%, $E$9)</f>
        <v>10.044700000000001</v>
      </c>
      <c r="N313" s="10">
        <f>CHOOSE(CONTROL!$C$42, 10.0624, 10.0624) * CHOOSE(CONTROL!$C$21, $C$9, 100%, $E$9)</f>
        <v>10.0624</v>
      </c>
      <c r="O313" s="10">
        <f>CHOOSE(CONTROL!$C$42, 10.1269, 10.1269) * CHOOSE(CONTROL!$C$21, $C$9, 100%, $E$9)</f>
        <v>10.126899999999999</v>
      </c>
      <c r="P313" s="10">
        <f>CHOOSE(CONTROL!$C$42, 10.0808, 10.0808) * CHOOSE(CONTROL!$C$21, $C$9, 100%, $E$9)</f>
        <v>10.0808</v>
      </c>
      <c r="Q313" s="10">
        <f>CHOOSE(CONTROL!$C$42, 10.7222, 10.7222) * CHOOSE(CONTROL!$C$21, $C$9, 100%, $E$9)</f>
        <v>10.722200000000001</v>
      </c>
      <c r="R313" s="10">
        <f>CHOOSE(CONTROL!$C$42, 11.336, 11.336) * CHOOSE(CONTROL!$C$21, $C$9, 100%, $E$9)</f>
        <v>11.336</v>
      </c>
      <c r="S313" s="10">
        <f>CHOOSE(CONTROL!$C$42, 9.8706, 9.8706) * CHOOSE(CONTROL!$C$21, $C$9, 100%, $E$9)</f>
        <v>9.8705999999999996</v>
      </c>
      <c r="T31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13" s="38">
        <f>(1000*CHOOSE(CONTROL!$C$42, 695, 695)*CHOOSE(CONTROL!$C$42, 0.5599, 0.5599)*CHOOSE(CONTROL!$C$42, 31, 31))/1000000</f>
        <v>12.063045499999998</v>
      </c>
      <c r="V313" s="38">
        <f>(1000*CHOOSE(CONTROL!$C$42, 500, 500)*CHOOSE(CONTROL!$C$42, 0.275, 0.275)*CHOOSE(CONTROL!$C$42, 31, 31))/1000000</f>
        <v>4.2625000000000002</v>
      </c>
      <c r="W313" s="38">
        <f>(1000*CHOOSE(CONTROL!$C$42, 0.1146, 0.1146)*CHOOSE(CONTROL!$C$42, 121.5, 121.5)*CHOOSE(CONTROL!$C$42, 31, 31))/1000000</f>
        <v>0.43164089999999994</v>
      </c>
      <c r="X313" s="38">
        <f>(31*0.1790888*100000/1000000)+(31*0.2374*100000/1000000)</f>
        <v>1.2911152800000001</v>
      </c>
      <c r="Y313" s="38">
        <f>(1000*600*CHOOSE(CONTROL!$C$42, 1.6337, 1.6337)*CHOOSE(CONTROL!$C$42, 31, 31))/1000000</f>
        <v>30.38682</v>
      </c>
      <c r="Z313" s="38"/>
      <c r="AA313" s="10"/>
      <c r="AB313" s="39"/>
      <c r="AC313" s="33">
        <f>(B313*122.58+C313*297.941+D313*89.177+E313*40.302+F313*40+G313*160+H313*0+I313*100+J313*300)/(122.58+297.941+89.177+40.302+0+40+160+100+300)</f>
        <v>10.178097538434782</v>
      </c>
      <c r="AD313" s="27">
        <f>(M313*'RAP TEMPLATE-GAS AVAILABILITY'!O312+N313*'RAP TEMPLATE-GAS AVAILABILITY'!P312+O313*'RAP TEMPLATE-GAS AVAILABILITY'!Q312+P313*'RAP TEMPLATE-GAS AVAILABILITY'!R312)/('RAP TEMPLATE-GAS AVAILABILITY'!O312+'RAP TEMPLATE-GAS AVAILABILITY'!P312+'RAP TEMPLATE-GAS AVAILABILITY'!Q312+'RAP TEMPLATE-GAS AVAILABILITY'!R312)</f>
        <v>10.088169064748202</v>
      </c>
    </row>
    <row r="314" spans="1:30" ht="15.75">
      <c r="A314" s="14">
        <v>50829</v>
      </c>
      <c r="B314" s="10">
        <f>CHOOSE(CONTROL!$C$42, 10.3579, 10.3579) * CHOOSE(CONTROL!$C$21, $C$9, 100%, $E$9)</f>
        <v>10.357900000000001</v>
      </c>
      <c r="C314" s="10">
        <f>CHOOSE(CONTROL!$C$42, 10.363, 10.363) * CHOOSE(CONTROL!$C$21, $C$9, 100%, $E$9)</f>
        <v>10.363</v>
      </c>
      <c r="D314" s="10">
        <f>CHOOSE(CONTROL!$C$42, 10.3955, 10.3955) * CHOOSE(CONTROL!$C$21, $C$9, 100%, $E$9)</f>
        <v>10.3955</v>
      </c>
      <c r="E314" s="10">
        <f>CHOOSE(CONTROL!$C$42, 10.4293, 10.4293) * CHOOSE(CONTROL!$C$21, $C$9, 100%, $E$9)</f>
        <v>10.4293</v>
      </c>
      <c r="F314" s="10">
        <f>CHOOSE(CONTROL!$C$42, 10.3417, 10.3417)*CHOOSE(CONTROL!$C$21, $C$9, 100%, $E$9)</f>
        <v>10.341699999999999</v>
      </c>
      <c r="G314" s="10">
        <f>CHOOSE(CONTROL!$C$42, 10.3596, 10.3596)*CHOOSE(CONTROL!$C$21, $C$9, 100%, $E$9)</f>
        <v>10.3596</v>
      </c>
      <c r="H314" s="10">
        <f>CHOOSE(CONTROL!$C$42, 10.4181, 10.4181) * CHOOSE(CONTROL!$C$21, $C$9, 100%, $E$9)</f>
        <v>10.418100000000001</v>
      </c>
      <c r="I314" s="10">
        <f>CHOOSE(CONTROL!$C$42, 10.3714, 10.3714)* CHOOSE(CONTROL!$C$21, $C$9, 100%, $E$9)</f>
        <v>10.3714</v>
      </c>
      <c r="J314" s="10">
        <f>CHOOSE(CONTROL!$C$42, 10.3343, 10.3343)* CHOOSE(CONTROL!$C$21, $C$9, 100%, $E$9)</f>
        <v>10.334300000000001</v>
      </c>
      <c r="K314" s="10">
        <f>CHOOSE(CONTROL!$C$42, 10.2273, 10.2273) * CHOOSE(CONTROL!$C$21, $C$9, 100%, $E$9)</f>
        <v>10.2273</v>
      </c>
      <c r="L314" s="10">
        <f>CHOOSE(CONTROL!$C$42, 11.0051, 11.0051) * CHOOSE(CONTROL!$C$21, $C$9, 100%, $E$9)</f>
        <v>11.005100000000001</v>
      </c>
      <c r="M314" s="10">
        <f>CHOOSE(CONTROL!$C$42, 10.2231, 10.2231) * CHOOSE(CONTROL!$C$21, $C$9, 100%, $E$9)</f>
        <v>10.223100000000001</v>
      </c>
      <c r="N314" s="10">
        <f>CHOOSE(CONTROL!$C$42, 10.2408, 10.2408) * CHOOSE(CONTROL!$C$21, $C$9, 100%, $E$9)</f>
        <v>10.2408</v>
      </c>
      <c r="O314" s="10">
        <f>CHOOSE(CONTROL!$C$42, 10.3058, 10.3058) * CHOOSE(CONTROL!$C$21, $C$9, 100%, $E$9)</f>
        <v>10.3058</v>
      </c>
      <c r="P314" s="10">
        <f>CHOOSE(CONTROL!$C$42, 10.2598, 10.2598) * CHOOSE(CONTROL!$C$21, $C$9, 100%, $E$9)</f>
        <v>10.2598</v>
      </c>
      <c r="Q314" s="10">
        <f>CHOOSE(CONTROL!$C$42, 10.9011, 10.9011) * CHOOSE(CONTROL!$C$21, $C$9, 100%, $E$9)</f>
        <v>10.9011</v>
      </c>
      <c r="R314" s="10">
        <f>CHOOSE(CONTROL!$C$42, 11.5154, 11.5154) * CHOOSE(CONTROL!$C$21, $C$9, 100%, $E$9)</f>
        <v>11.5154</v>
      </c>
      <c r="S314" s="10">
        <f>CHOOSE(CONTROL!$C$42, 10.0462, 10.0462) * CHOOSE(CONTROL!$C$21, $C$9, 100%, $E$9)</f>
        <v>10.046200000000001</v>
      </c>
      <c r="T31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14" s="38">
        <f>(1000*CHOOSE(CONTROL!$C$42, 695, 695)*CHOOSE(CONTROL!$C$42, 0.5599, 0.5599)*CHOOSE(CONTROL!$C$42, 28, 28))/1000000</f>
        <v>10.895653999999999</v>
      </c>
      <c r="V314" s="38">
        <f>(1000*CHOOSE(CONTROL!$C$42, 500, 500)*CHOOSE(CONTROL!$C$42, 0.275, 0.275)*CHOOSE(CONTROL!$C$42, 28, 28))/1000000</f>
        <v>3.85</v>
      </c>
      <c r="W314" s="38">
        <f>(1000*CHOOSE(CONTROL!$C$42, 0.1146, 0.1146)*CHOOSE(CONTROL!$C$42, 121.5, 121.5)*CHOOSE(CONTROL!$C$42, 28, 28))/1000000</f>
        <v>0.38986920000000003</v>
      </c>
      <c r="X314" s="38">
        <f>(28*0.1790888*100000/1000000)+(28*0.2374*100000/1000000)</f>
        <v>1.16616864</v>
      </c>
      <c r="Y314" s="38">
        <f>(1000*600*CHOOSE(CONTROL!$C$42, 1.6337, 1.6337)*CHOOSE(CONTROL!$C$42, 28, 28))/1000000</f>
        <v>27.446159999999999</v>
      </c>
      <c r="Z314" s="38"/>
      <c r="AA314" s="10"/>
      <c r="AB314" s="39"/>
      <c r="AC314" s="33">
        <f>(B314*122.58+C314*297.941+D314*89.177+E314*40.302+F314*40+G314*160+H314*0+I314*100+J314*300)/(122.58+297.941+89.177+40.302+0+40+160+100+300)</f>
        <v>10.359329667043477</v>
      </c>
      <c r="AD314" s="27">
        <f>(M314*'RAP TEMPLATE-GAS AVAILABILITY'!O313+N314*'RAP TEMPLATE-GAS AVAILABILITY'!P313+O314*'RAP TEMPLATE-GAS AVAILABILITY'!Q313+P314*'RAP TEMPLATE-GAS AVAILABILITY'!R313)/('RAP TEMPLATE-GAS AVAILABILITY'!O313+'RAP TEMPLATE-GAS AVAILABILITY'!P313+'RAP TEMPLATE-GAS AVAILABILITY'!Q313+'RAP TEMPLATE-GAS AVAILABILITY'!R313)</f>
        <v>10.266882014388489</v>
      </c>
    </row>
    <row r="315" spans="1:30" ht="15.75">
      <c r="A315" s="14">
        <v>50860</v>
      </c>
      <c r="B315" s="10">
        <f>CHOOSE(CONTROL!$C$42, 10.0634, 10.0634) * CHOOSE(CONTROL!$C$21, $C$9, 100%, $E$9)</f>
        <v>10.0634</v>
      </c>
      <c r="C315" s="10">
        <f>CHOOSE(CONTROL!$C$42, 10.0685, 10.0685) * CHOOSE(CONTROL!$C$21, $C$9, 100%, $E$9)</f>
        <v>10.0685</v>
      </c>
      <c r="D315" s="10">
        <f>CHOOSE(CONTROL!$C$42, 10.1009, 10.1009) * CHOOSE(CONTROL!$C$21, $C$9, 100%, $E$9)</f>
        <v>10.100899999999999</v>
      </c>
      <c r="E315" s="10">
        <f>CHOOSE(CONTROL!$C$42, 10.1347, 10.1347) * CHOOSE(CONTROL!$C$21, $C$9, 100%, $E$9)</f>
        <v>10.1347</v>
      </c>
      <c r="F315" s="10">
        <f>CHOOSE(CONTROL!$C$42, 10.0457, 10.0457)*CHOOSE(CONTROL!$C$21, $C$9, 100%, $E$9)</f>
        <v>10.0457</v>
      </c>
      <c r="G315" s="10">
        <f>CHOOSE(CONTROL!$C$42, 10.0632, 10.0632)*CHOOSE(CONTROL!$C$21, $C$9, 100%, $E$9)</f>
        <v>10.0632</v>
      </c>
      <c r="H315" s="10">
        <f>CHOOSE(CONTROL!$C$42, 10.1236, 10.1236) * CHOOSE(CONTROL!$C$21, $C$9, 100%, $E$9)</f>
        <v>10.1236</v>
      </c>
      <c r="I315" s="10">
        <f>CHOOSE(CONTROL!$C$42, 10.0768, 10.0768)* CHOOSE(CONTROL!$C$21, $C$9, 100%, $E$9)</f>
        <v>10.0768</v>
      </c>
      <c r="J315" s="10">
        <f>CHOOSE(CONTROL!$C$42, 10.0383, 10.0383)* CHOOSE(CONTROL!$C$21, $C$9, 100%, $E$9)</f>
        <v>10.0383</v>
      </c>
      <c r="K315" s="10">
        <f>CHOOSE(CONTROL!$C$42, 9.9388, 9.9388) * CHOOSE(CONTROL!$C$21, $C$9, 100%, $E$9)</f>
        <v>9.9388000000000005</v>
      </c>
      <c r="L315" s="10">
        <f>CHOOSE(CONTROL!$C$42, 10.7106, 10.7106) * CHOOSE(CONTROL!$C$21, $C$9, 100%, $E$9)</f>
        <v>10.710599999999999</v>
      </c>
      <c r="M315" s="10">
        <f>CHOOSE(CONTROL!$C$42, 9.9312, 9.9312) * CHOOSE(CONTROL!$C$21, $C$9, 100%, $E$9)</f>
        <v>9.9312000000000005</v>
      </c>
      <c r="N315" s="10">
        <f>CHOOSE(CONTROL!$C$42, 9.9486, 9.9486) * CHOOSE(CONTROL!$C$21, $C$9, 100%, $E$9)</f>
        <v>9.9486000000000008</v>
      </c>
      <c r="O315" s="10">
        <f>CHOOSE(CONTROL!$C$42, 10.0154, 10.0154) * CHOOSE(CONTROL!$C$21, $C$9, 100%, $E$9)</f>
        <v>10.0154</v>
      </c>
      <c r="P315" s="10">
        <f>CHOOSE(CONTROL!$C$42, 9.9693, 9.9693) * CHOOSE(CONTROL!$C$21, $C$9, 100%, $E$9)</f>
        <v>9.9693000000000005</v>
      </c>
      <c r="Q315" s="10">
        <f>CHOOSE(CONTROL!$C$42, 10.6107, 10.6107) * CHOOSE(CONTROL!$C$21, $C$9, 100%, $E$9)</f>
        <v>10.6107</v>
      </c>
      <c r="R315" s="10">
        <f>CHOOSE(CONTROL!$C$42, 11.2242, 11.2242) * CHOOSE(CONTROL!$C$21, $C$9, 100%, $E$9)</f>
        <v>11.2242</v>
      </c>
      <c r="S315" s="10">
        <f>CHOOSE(CONTROL!$C$42, 9.7611, 9.7611) * CHOOSE(CONTROL!$C$21, $C$9, 100%, $E$9)</f>
        <v>9.7611000000000008</v>
      </c>
      <c r="T31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15" s="38">
        <f>(1000*CHOOSE(CONTROL!$C$42, 695, 695)*CHOOSE(CONTROL!$C$42, 0.5599, 0.5599)*CHOOSE(CONTROL!$C$42, 31, 31))/1000000</f>
        <v>12.063045499999998</v>
      </c>
      <c r="V315" s="38">
        <f>(1000*CHOOSE(CONTROL!$C$42, 500, 500)*CHOOSE(CONTROL!$C$42, 0.275, 0.275)*CHOOSE(CONTROL!$C$42, 31, 31))/1000000</f>
        <v>4.2625000000000002</v>
      </c>
      <c r="W315" s="38">
        <f>(1000*CHOOSE(CONTROL!$C$42, 0.1146, 0.1146)*CHOOSE(CONTROL!$C$42, 121.5, 121.5)*CHOOSE(CONTROL!$C$42, 31, 31))/1000000</f>
        <v>0.43164089999999994</v>
      </c>
      <c r="X315" s="38">
        <f>(31*0.1790888*100000/1000000)+(31*0.2374*100000/1000000)</f>
        <v>1.2911152800000001</v>
      </c>
      <c r="Y315" s="38">
        <f>(1000*600*CHOOSE(CONTROL!$C$42, 1.6337, 1.6337)*CHOOSE(CONTROL!$C$42, 31, 31))/1000000</f>
        <v>30.38682</v>
      </c>
      <c r="Z315" s="38"/>
      <c r="AA315" s="10"/>
      <c r="AB315" s="39"/>
      <c r="AC315" s="33">
        <f>(B315*122.58+C315*297.941+D315*89.177+E315*40.302+F315*40+G315*160+H315*0+I315*100+J315*300)/(122.58+297.941+89.177+40.302+0+40+160+100+300)</f>
        <v>10.064101886260868</v>
      </c>
      <c r="AD315" s="27">
        <f>(M315*'RAP TEMPLATE-GAS AVAILABILITY'!O314+N315*'RAP TEMPLATE-GAS AVAILABILITY'!P314+O315*'RAP TEMPLATE-GAS AVAILABILITY'!Q314+P315*'RAP TEMPLATE-GAS AVAILABILITY'!R314)/('RAP TEMPLATE-GAS AVAILABILITY'!O314+'RAP TEMPLATE-GAS AVAILABILITY'!P314+'RAP TEMPLATE-GAS AVAILABILITY'!Q314+'RAP TEMPLATE-GAS AVAILABILITY'!R314)</f>
        <v>9.9758460431654665</v>
      </c>
    </row>
    <row r="316" spans="1:30" ht="15.75">
      <c r="A316" s="14">
        <v>50890</v>
      </c>
      <c r="B316" s="10">
        <f>CHOOSE(CONTROL!$C$42, 10.034, 10.034) * CHOOSE(CONTROL!$C$21, $C$9, 100%, $E$9)</f>
        <v>10.034000000000001</v>
      </c>
      <c r="C316" s="10">
        <f>CHOOSE(CONTROL!$C$42, 10.0385, 10.0385) * CHOOSE(CONTROL!$C$21, $C$9, 100%, $E$9)</f>
        <v>10.038500000000001</v>
      </c>
      <c r="D316" s="10">
        <f>CHOOSE(CONTROL!$C$42, 10.1986, 10.1986) * CHOOSE(CONTROL!$C$21, $C$9, 100%, $E$9)</f>
        <v>10.198600000000001</v>
      </c>
      <c r="E316" s="10">
        <f>CHOOSE(CONTROL!$C$42, 10.2305, 10.2305) * CHOOSE(CONTROL!$C$21, $C$9, 100%, $E$9)</f>
        <v>10.230499999999999</v>
      </c>
      <c r="F316" s="10">
        <f>CHOOSE(CONTROL!$C$42, 9.9801, 9.9801)*CHOOSE(CONTROL!$C$21, $C$9, 100%, $E$9)</f>
        <v>9.9801000000000002</v>
      </c>
      <c r="G316" s="10">
        <f>CHOOSE(CONTROL!$C$42, 9.9959, 9.9959)*CHOOSE(CONTROL!$C$21, $C$9, 100%, $E$9)</f>
        <v>9.9959000000000007</v>
      </c>
      <c r="H316" s="10">
        <f>CHOOSE(CONTROL!$C$42, 10.2199, 10.2199) * CHOOSE(CONTROL!$C$21, $C$9, 100%, $E$9)</f>
        <v>10.219900000000001</v>
      </c>
      <c r="I316" s="10">
        <f>CHOOSE(CONTROL!$C$42, 10.0141, 10.0141)* CHOOSE(CONTROL!$C$21, $C$9, 100%, $E$9)</f>
        <v>10.014099999999999</v>
      </c>
      <c r="J316" s="10">
        <f>CHOOSE(CONTROL!$C$42, 9.9727, 9.9727)* CHOOSE(CONTROL!$C$21, $C$9, 100%, $E$9)</f>
        <v>9.9726999999999997</v>
      </c>
      <c r="K316" s="10">
        <f>CHOOSE(CONTROL!$C$42, 9.862, 9.862) * CHOOSE(CONTROL!$C$21, $C$9, 100%, $E$9)</f>
        <v>9.8620000000000001</v>
      </c>
      <c r="L316" s="10">
        <f>CHOOSE(CONTROL!$C$42, 10.8069, 10.8069) * CHOOSE(CONTROL!$C$21, $C$9, 100%, $E$9)</f>
        <v>10.806900000000001</v>
      </c>
      <c r="M316" s="10">
        <f>CHOOSE(CONTROL!$C$42, 9.8666, 9.8666) * CHOOSE(CONTROL!$C$21, $C$9, 100%, $E$9)</f>
        <v>9.8666</v>
      </c>
      <c r="N316" s="10">
        <f>CHOOSE(CONTROL!$C$42, 9.8822, 9.8822) * CHOOSE(CONTROL!$C$21, $C$9, 100%, $E$9)</f>
        <v>9.8821999999999992</v>
      </c>
      <c r="O316" s="10">
        <f>CHOOSE(CONTROL!$C$42, 10.1104, 10.1104) * CHOOSE(CONTROL!$C$21, $C$9, 100%, $E$9)</f>
        <v>10.1104</v>
      </c>
      <c r="P316" s="10">
        <f>CHOOSE(CONTROL!$C$42, 9.9075, 9.9075) * CHOOSE(CONTROL!$C$21, $C$9, 100%, $E$9)</f>
        <v>9.9075000000000006</v>
      </c>
      <c r="Q316" s="10">
        <f>CHOOSE(CONTROL!$C$42, 10.7057, 10.7057) * CHOOSE(CONTROL!$C$21, $C$9, 100%, $E$9)</f>
        <v>10.7057</v>
      </c>
      <c r="R316" s="10">
        <f>CHOOSE(CONTROL!$C$42, 11.3195, 11.3195) * CHOOSE(CONTROL!$C$21, $C$9, 100%, $E$9)</f>
        <v>11.3195</v>
      </c>
      <c r="S316" s="10">
        <f>CHOOSE(CONTROL!$C$42, 9.7318, 9.7318) * CHOOSE(CONTROL!$C$21, $C$9, 100%, $E$9)</f>
        <v>9.7317999999999998</v>
      </c>
      <c r="T31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16" s="38">
        <f>(1000*CHOOSE(CONTROL!$C$42, 695, 695)*CHOOSE(CONTROL!$C$42, 0.5599, 0.5599)*CHOOSE(CONTROL!$C$42, 30, 30))/1000000</f>
        <v>11.673914999999997</v>
      </c>
      <c r="V316" s="38">
        <f>(1000*CHOOSE(CONTROL!$C$42, 500, 500)*CHOOSE(CONTROL!$C$42, 0.275, 0.275)*CHOOSE(CONTROL!$C$42, 30, 30))/1000000</f>
        <v>4.125</v>
      </c>
      <c r="W316" s="38">
        <f>(1000*CHOOSE(CONTROL!$C$42, 0.1146, 0.1146)*CHOOSE(CONTROL!$C$42, 121.5, 121.5)*CHOOSE(CONTROL!$C$42, 30, 30))/1000000</f>
        <v>0.417717</v>
      </c>
      <c r="X316" s="38">
        <f>(30*0.1790888*245000/1000000)+(30*0.2374*100000/1000000)</f>
        <v>2.0285026799999999</v>
      </c>
      <c r="Y316" s="38">
        <f>(1000*600*CHOOSE(CONTROL!$C$42, 1.6337, 1.6337)*CHOOSE(CONTROL!$C$42, 30, 30))/1000000</f>
        <v>29.406600000000001</v>
      </c>
      <c r="Z316" s="38"/>
      <c r="AA316" s="10"/>
      <c r="AB316" s="39"/>
      <c r="AC316" s="33">
        <f>(B316*141.293+C316*267.993+D316*115.016+E316*89.698+F316*40+G316*185+H316*0+I316*100+J316*300)/(141.293+267.993+115.016+89.698+0+40+185+100+300)</f>
        <v>10.04060109693301</v>
      </c>
      <c r="AD316" s="27">
        <f>(M316*'RAP TEMPLATE-GAS AVAILABILITY'!O315+N316*'RAP TEMPLATE-GAS AVAILABILITY'!P315+O316*'RAP TEMPLATE-GAS AVAILABILITY'!Q315+P316*'RAP TEMPLATE-GAS AVAILABILITY'!R315)/('RAP TEMPLATE-GAS AVAILABILITY'!O315+'RAP TEMPLATE-GAS AVAILABILITY'!P315+'RAP TEMPLATE-GAS AVAILABILITY'!Q315+'RAP TEMPLATE-GAS AVAILABILITY'!R315)</f>
        <v>9.9444805755395684</v>
      </c>
    </row>
    <row r="317" spans="1:30" ht="15.75">
      <c r="A317" s="14">
        <v>50921</v>
      </c>
      <c r="B317" s="10">
        <f>CHOOSE(CONTROL!$C$42, 10.1245, 10.1245) * CHOOSE(CONTROL!$C$21, $C$9, 100%, $E$9)</f>
        <v>10.124499999999999</v>
      </c>
      <c r="C317" s="10">
        <f>CHOOSE(CONTROL!$C$42, 10.1325, 10.1325) * CHOOSE(CONTROL!$C$21, $C$9, 100%, $E$9)</f>
        <v>10.1325</v>
      </c>
      <c r="D317" s="10">
        <f>CHOOSE(CONTROL!$C$42, 10.2896, 10.2896) * CHOOSE(CONTROL!$C$21, $C$9, 100%, $E$9)</f>
        <v>10.2896</v>
      </c>
      <c r="E317" s="10">
        <f>CHOOSE(CONTROL!$C$42, 10.3208, 10.3208) * CHOOSE(CONTROL!$C$21, $C$9, 100%, $E$9)</f>
        <v>10.3208</v>
      </c>
      <c r="F317" s="10">
        <f>CHOOSE(CONTROL!$C$42, 10.0686, 10.0686)*CHOOSE(CONTROL!$C$21, $C$9, 100%, $E$9)</f>
        <v>10.0686</v>
      </c>
      <c r="G317" s="10">
        <f>CHOOSE(CONTROL!$C$42, 10.0848, 10.0848)*CHOOSE(CONTROL!$C$21, $C$9, 100%, $E$9)</f>
        <v>10.0848</v>
      </c>
      <c r="H317" s="10">
        <f>CHOOSE(CONTROL!$C$42, 10.3091, 10.3091) * CHOOSE(CONTROL!$C$21, $C$9, 100%, $E$9)</f>
        <v>10.309100000000001</v>
      </c>
      <c r="I317" s="10">
        <f>CHOOSE(CONTROL!$C$42, 10.1033, 10.1033)* CHOOSE(CONTROL!$C$21, $C$9, 100%, $E$9)</f>
        <v>10.103300000000001</v>
      </c>
      <c r="J317" s="10">
        <f>CHOOSE(CONTROL!$C$42, 10.0612, 10.0612)* CHOOSE(CONTROL!$C$21, $C$9, 100%, $E$9)</f>
        <v>10.061199999999999</v>
      </c>
      <c r="K317" s="10">
        <f>CHOOSE(CONTROL!$C$42, 9.9471, 9.9471) * CHOOSE(CONTROL!$C$21, $C$9, 100%, $E$9)</f>
        <v>9.9471000000000007</v>
      </c>
      <c r="L317" s="10">
        <f>CHOOSE(CONTROL!$C$42, 10.8961, 10.8961) * CHOOSE(CONTROL!$C$21, $C$9, 100%, $E$9)</f>
        <v>10.896100000000001</v>
      </c>
      <c r="M317" s="10">
        <f>CHOOSE(CONTROL!$C$42, 9.9539, 9.9539) * CHOOSE(CONTROL!$C$21, $C$9, 100%, $E$9)</f>
        <v>9.9539000000000009</v>
      </c>
      <c r="N317" s="10">
        <f>CHOOSE(CONTROL!$C$42, 9.9698, 9.9698) * CHOOSE(CONTROL!$C$21, $C$9, 100%, $E$9)</f>
        <v>9.9697999999999993</v>
      </c>
      <c r="O317" s="10">
        <f>CHOOSE(CONTROL!$C$42, 10.1983, 10.1983) * CHOOSE(CONTROL!$C$21, $C$9, 100%, $E$9)</f>
        <v>10.1983</v>
      </c>
      <c r="P317" s="10">
        <f>CHOOSE(CONTROL!$C$42, 9.9954, 9.9954) * CHOOSE(CONTROL!$C$21, $C$9, 100%, $E$9)</f>
        <v>9.9954000000000001</v>
      </c>
      <c r="Q317" s="10">
        <f>CHOOSE(CONTROL!$C$42, 10.7936, 10.7936) * CHOOSE(CONTROL!$C$21, $C$9, 100%, $E$9)</f>
        <v>10.7936</v>
      </c>
      <c r="R317" s="10">
        <f>CHOOSE(CONTROL!$C$42, 11.4076, 11.4076) * CHOOSE(CONTROL!$C$21, $C$9, 100%, $E$9)</f>
        <v>11.4076</v>
      </c>
      <c r="S317" s="10">
        <f>CHOOSE(CONTROL!$C$42, 9.8182, 9.8182) * CHOOSE(CONTROL!$C$21, $C$9, 100%, $E$9)</f>
        <v>9.8181999999999992</v>
      </c>
      <c r="T31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17" s="38">
        <f>(1000*CHOOSE(CONTROL!$C$42, 695, 695)*CHOOSE(CONTROL!$C$42, 0.5599, 0.5599)*CHOOSE(CONTROL!$C$42, 31, 31))/1000000</f>
        <v>12.063045499999998</v>
      </c>
      <c r="V317" s="38">
        <f>(1000*CHOOSE(CONTROL!$C$42, 500, 500)*CHOOSE(CONTROL!$C$42, 0.275, 0.275)*CHOOSE(CONTROL!$C$42, 31, 31))/1000000</f>
        <v>4.2625000000000002</v>
      </c>
      <c r="W317" s="38">
        <f>(1000*CHOOSE(CONTROL!$C$42, 0.1146, 0.1146)*CHOOSE(CONTROL!$C$42, 121.5, 121.5)*CHOOSE(CONTROL!$C$42, 31, 31))/1000000</f>
        <v>0.43164089999999994</v>
      </c>
      <c r="X317" s="38">
        <f>(31*0.1790888*245000/1000000)+(31*0.2374*100000/1000000)</f>
        <v>2.0961194359999999</v>
      </c>
      <c r="Y317" s="38">
        <f>(1000*600*CHOOSE(CONTROL!$C$42, 1.6337, 1.6337)*CHOOSE(CONTROL!$C$42, 31, 31))/1000000</f>
        <v>30.38682</v>
      </c>
      <c r="Z317" s="38"/>
      <c r="AA317" s="10"/>
      <c r="AB317" s="39"/>
      <c r="AC317" s="33">
        <f>(B317*194.205+C317*267.466+D317*133.845+E317*53.484+F317*40+G317*185+H317*0+I317*100+J317*300)/(194.205+267.466+133.845+53.484+0+40+185+100+300)</f>
        <v>10.127675782339091</v>
      </c>
      <c r="AD317" s="27">
        <f>(M317*'RAP TEMPLATE-GAS AVAILABILITY'!O316+N317*'RAP TEMPLATE-GAS AVAILABILITY'!P316+O317*'RAP TEMPLATE-GAS AVAILABILITY'!Q316+P317*'RAP TEMPLATE-GAS AVAILABILITY'!R316)/('RAP TEMPLATE-GAS AVAILABILITY'!O316+'RAP TEMPLATE-GAS AVAILABILITY'!P316+'RAP TEMPLATE-GAS AVAILABILITY'!Q316+'RAP TEMPLATE-GAS AVAILABILITY'!R316)</f>
        <v>10.032104316546762</v>
      </c>
    </row>
    <row r="318" spans="1:30" ht="15.75">
      <c r="A318" s="14">
        <v>50951</v>
      </c>
      <c r="B318" s="10">
        <f>CHOOSE(CONTROL!$C$42, 10.4121, 10.4121) * CHOOSE(CONTROL!$C$21, $C$9, 100%, $E$9)</f>
        <v>10.412100000000001</v>
      </c>
      <c r="C318" s="10">
        <f>CHOOSE(CONTROL!$C$42, 10.4201, 10.4201) * CHOOSE(CONTROL!$C$21, $C$9, 100%, $E$9)</f>
        <v>10.4201</v>
      </c>
      <c r="D318" s="10">
        <f>CHOOSE(CONTROL!$C$42, 10.5771, 10.5771) * CHOOSE(CONTROL!$C$21, $C$9, 100%, $E$9)</f>
        <v>10.5771</v>
      </c>
      <c r="E318" s="10">
        <f>CHOOSE(CONTROL!$C$42, 10.6084, 10.6084) * CHOOSE(CONTROL!$C$21, $C$9, 100%, $E$9)</f>
        <v>10.6084</v>
      </c>
      <c r="F318" s="10">
        <f>CHOOSE(CONTROL!$C$42, 10.3564, 10.3564)*CHOOSE(CONTROL!$C$21, $C$9, 100%, $E$9)</f>
        <v>10.356400000000001</v>
      </c>
      <c r="G318" s="10">
        <f>CHOOSE(CONTROL!$C$42, 10.3726, 10.3726)*CHOOSE(CONTROL!$C$21, $C$9, 100%, $E$9)</f>
        <v>10.3726</v>
      </c>
      <c r="H318" s="10">
        <f>CHOOSE(CONTROL!$C$42, 10.5967, 10.5967) * CHOOSE(CONTROL!$C$21, $C$9, 100%, $E$9)</f>
        <v>10.5967</v>
      </c>
      <c r="I318" s="10">
        <f>CHOOSE(CONTROL!$C$42, 10.3909, 10.3909)* CHOOSE(CONTROL!$C$21, $C$9, 100%, $E$9)</f>
        <v>10.3909</v>
      </c>
      <c r="J318" s="10">
        <f>CHOOSE(CONTROL!$C$42, 10.349, 10.349)* CHOOSE(CONTROL!$C$21, $C$9, 100%, $E$9)</f>
        <v>10.349</v>
      </c>
      <c r="K318" s="10">
        <f>CHOOSE(CONTROL!$C$42, 10.2261, 10.2261) * CHOOSE(CONTROL!$C$21, $C$9, 100%, $E$9)</f>
        <v>10.226100000000001</v>
      </c>
      <c r="L318" s="10">
        <f>CHOOSE(CONTROL!$C$42, 11.1837, 11.1837) * CHOOSE(CONTROL!$C$21, $C$9, 100%, $E$9)</f>
        <v>11.1837</v>
      </c>
      <c r="M318" s="10">
        <f>CHOOSE(CONTROL!$C$42, 10.2377, 10.2377) * CHOOSE(CONTROL!$C$21, $C$9, 100%, $E$9)</f>
        <v>10.2377</v>
      </c>
      <c r="N318" s="10">
        <f>CHOOSE(CONTROL!$C$42, 10.2536, 10.2536) * CHOOSE(CONTROL!$C$21, $C$9, 100%, $E$9)</f>
        <v>10.2536</v>
      </c>
      <c r="O318" s="10">
        <f>CHOOSE(CONTROL!$C$42, 10.4819, 10.4819) * CHOOSE(CONTROL!$C$21, $C$9, 100%, $E$9)</f>
        <v>10.4819</v>
      </c>
      <c r="P318" s="10">
        <f>CHOOSE(CONTROL!$C$42, 10.279, 10.279) * CHOOSE(CONTROL!$C$21, $C$9, 100%, $E$9)</f>
        <v>10.279</v>
      </c>
      <c r="Q318" s="10">
        <f>CHOOSE(CONTROL!$C$42, 11.0772, 11.0772) * CHOOSE(CONTROL!$C$21, $C$9, 100%, $E$9)</f>
        <v>11.077199999999999</v>
      </c>
      <c r="R318" s="10">
        <f>CHOOSE(CONTROL!$C$42, 11.6919, 11.6919) * CHOOSE(CONTROL!$C$21, $C$9, 100%, $E$9)</f>
        <v>11.6919</v>
      </c>
      <c r="S318" s="10">
        <f>CHOOSE(CONTROL!$C$42, 10.0966, 10.0966) * CHOOSE(CONTROL!$C$21, $C$9, 100%, $E$9)</f>
        <v>10.0966</v>
      </c>
      <c r="T31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18" s="38">
        <f>(1000*CHOOSE(CONTROL!$C$42, 695, 695)*CHOOSE(CONTROL!$C$42, 0.5599, 0.5599)*CHOOSE(CONTROL!$C$42, 30, 30))/1000000</f>
        <v>11.673914999999997</v>
      </c>
      <c r="V318" s="38">
        <f>(1000*CHOOSE(CONTROL!$C$42, 500, 500)*CHOOSE(CONTROL!$C$42, 0.275, 0.275)*CHOOSE(CONTROL!$C$42, 30, 30))/1000000</f>
        <v>4.125</v>
      </c>
      <c r="W318" s="38">
        <f>(1000*CHOOSE(CONTROL!$C$42, 0.1146, 0.1146)*CHOOSE(CONTROL!$C$42, 121.5, 121.5)*CHOOSE(CONTROL!$C$42, 30, 30))/1000000</f>
        <v>0.417717</v>
      </c>
      <c r="X318" s="38">
        <f>(30*0.1790888*245000/1000000)+(30*0.2374*100000/1000000)</f>
        <v>2.0285026799999999</v>
      </c>
      <c r="Y318" s="38">
        <f>(1000*600*CHOOSE(CONTROL!$C$42, 1.6337, 1.6337)*CHOOSE(CONTROL!$C$42, 30, 30))/1000000</f>
        <v>29.406600000000001</v>
      </c>
      <c r="Z318" s="38"/>
      <c r="AA318" s="10"/>
      <c r="AB318" s="39"/>
      <c r="AC318" s="33">
        <f>(B318*194.205+C318*267.466+D318*133.845+E318*53.484+F318*40+G318*185+H318*0+I318*100+J318*300)/(194.205+267.466+133.845+53.484+0+40+185+100+300)</f>
        <v>10.415347694034539</v>
      </c>
      <c r="AD318" s="27">
        <f>(M318*'RAP TEMPLATE-GAS AVAILABILITY'!O317+N318*'RAP TEMPLATE-GAS AVAILABILITY'!P317+O318*'RAP TEMPLATE-GAS AVAILABILITY'!Q317+P318*'RAP TEMPLATE-GAS AVAILABILITY'!R317)/('RAP TEMPLATE-GAS AVAILABILITY'!O317+'RAP TEMPLATE-GAS AVAILABILITY'!P317+'RAP TEMPLATE-GAS AVAILABILITY'!Q317+'RAP TEMPLATE-GAS AVAILABILITY'!R317)</f>
        <v>10.315819424460431</v>
      </c>
    </row>
    <row r="319" spans="1:30" ht="15.75">
      <c r="A319" s="14">
        <v>50982</v>
      </c>
      <c r="B319" s="10">
        <f>CHOOSE(CONTROL!$C$42, 10.2121, 10.2121) * CHOOSE(CONTROL!$C$21, $C$9, 100%, $E$9)</f>
        <v>10.2121</v>
      </c>
      <c r="C319" s="10">
        <f>CHOOSE(CONTROL!$C$42, 10.2201, 10.2201) * CHOOSE(CONTROL!$C$21, $C$9, 100%, $E$9)</f>
        <v>10.2201</v>
      </c>
      <c r="D319" s="10">
        <f>CHOOSE(CONTROL!$C$42, 10.3771, 10.3771) * CHOOSE(CONTROL!$C$21, $C$9, 100%, $E$9)</f>
        <v>10.3771</v>
      </c>
      <c r="E319" s="10">
        <f>CHOOSE(CONTROL!$C$42, 10.4083, 10.4083) * CHOOSE(CONTROL!$C$21, $C$9, 100%, $E$9)</f>
        <v>10.408300000000001</v>
      </c>
      <c r="F319" s="10">
        <f>CHOOSE(CONTROL!$C$42, 10.1567, 10.1567)*CHOOSE(CONTROL!$C$21, $C$9, 100%, $E$9)</f>
        <v>10.156700000000001</v>
      </c>
      <c r="G319" s="10">
        <f>CHOOSE(CONTROL!$C$42, 10.173, 10.173)*CHOOSE(CONTROL!$C$21, $C$9, 100%, $E$9)</f>
        <v>10.173</v>
      </c>
      <c r="H319" s="10">
        <f>CHOOSE(CONTROL!$C$42, 10.3967, 10.3967) * CHOOSE(CONTROL!$C$21, $C$9, 100%, $E$9)</f>
        <v>10.396699999999999</v>
      </c>
      <c r="I319" s="10">
        <f>CHOOSE(CONTROL!$C$42, 10.1909, 10.1909)* CHOOSE(CONTROL!$C$21, $C$9, 100%, $E$9)</f>
        <v>10.190899999999999</v>
      </c>
      <c r="J319" s="10">
        <f>CHOOSE(CONTROL!$C$42, 10.1493, 10.1493)* CHOOSE(CONTROL!$C$21, $C$9, 100%, $E$9)</f>
        <v>10.1493</v>
      </c>
      <c r="K319" s="10">
        <f>CHOOSE(CONTROL!$C$42, 10.033, 10.033) * CHOOSE(CONTROL!$C$21, $C$9, 100%, $E$9)</f>
        <v>10.032999999999999</v>
      </c>
      <c r="L319" s="10">
        <f>CHOOSE(CONTROL!$C$42, 10.9837, 10.9837) * CHOOSE(CONTROL!$C$21, $C$9, 100%, $E$9)</f>
        <v>10.983700000000001</v>
      </c>
      <c r="M319" s="10">
        <f>CHOOSE(CONTROL!$C$42, 10.0408, 10.0408) * CHOOSE(CONTROL!$C$21, $C$9, 100%, $E$9)</f>
        <v>10.040800000000001</v>
      </c>
      <c r="N319" s="10">
        <f>CHOOSE(CONTROL!$C$42, 10.0568, 10.0568) * CHOOSE(CONTROL!$C$21, $C$9, 100%, $E$9)</f>
        <v>10.056800000000001</v>
      </c>
      <c r="O319" s="10">
        <f>CHOOSE(CONTROL!$C$42, 10.2847, 10.2847) * CHOOSE(CONTROL!$C$21, $C$9, 100%, $E$9)</f>
        <v>10.284700000000001</v>
      </c>
      <c r="P319" s="10">
        <f>CHOOSE(CONTROL!$C$42, 10.0818, 10.0818) * CHOOSE(CONTROL!$C$21, $C$9, 100%, $E$9)</f>
        <v>10.081799999999999</v>
      </c>
      <c r="Q319" s="10">
        <f>CHOOSE(CONTROL!$C$42, 10.88, 10.88) * CHOOSE(CONTROL!$C$21, $C$9, 100%, $E$9)</f>
        <v>10.88</v>
      </c>
      <c r="R319" s="10">
        <f>CHOOSE(CONTROL!$C$42, 11.4942, 11.4942) * CHOOSE(CONTROL!$C$21, $C$9, 100%, $E$9)</f>
        <v>11.494199999999999</v>
      </c>
      <c r="S319" s="10">
        <f>CHOOSE(CONTROL!$C$42, 9.9029, 9.9029) * CHOOSE(CONTROL!$C$21, $C$9, 100%, $E$9)</f>
        <v>9.9029000000000007</v>
      </c>
      <c r="T31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19" s="38">
        <f>(1000*CHOOSE(CONTROL!$C$42, 695, 695)*CHOOSE(CONTROL!$C$42, 0.5599, 0.5599)*CHOOSE(CONTROL!$C$42, 31, 31))/1000000</f>
        <v>12.063045499999998</v>
      </c>
      <c r="V319" s="38">
        <f>(1000*CHOOSE(CONTROL!$C$42, 500, 500)*CHOOSE(CONTROL!$C$42, 0.275, 0.275)*CHOOSE(CONTROL!$C$42, 31, 31))/1000000</f>
        <v>4.2625000000000002</v>
      </c>
      <c r="W319" s="38">
        <f>(1000*CHOOSE(CONTROL!$C$42, 0.1146, 0.1146)*CHOOSE(CONTROL!$C$42, 121.5, 121.5)*CHOOSE(CONTROL!$C$42, 31, 31))/1000000</f>
        <v>0.43164089999999994</v>
      </c>
      <c r="X319" s="38">
        <f>(31*0.1790888*245000/1000000)+(31*0.2374*100000/1000000)</f>
        <v>2.0961194359999999</v>
      </c>
      <c r="Y319" s="38">
        <f>(1000*600*CHOOSE(CONTROL!$C$42, 1.6337, 1.6337)*CHOOSE(CONTROL!$C$42, 31, 31))/1000000</f>
        <v>30.38682</v>
      </c>
      <c r="Z319" s="38"/>
      <c r="AA319" s="10"/>
      <c r="AB319" s="39"/>
      <c r="AC319" s="33">
        <f>(B319*194.205+C319*267.466+D319*133.845+E319*53.484+F319*40+G319*185+H319*0+I319*100+J319*300)/(194.205+267.466+133.845+53.484+0+40+185+100+300)</f>
        <v>10.215481643485086</v>
      </c>
      <c r="AD319" s="27">
        <f>(M319*'RAP TEMPLATE-GAS AVAILABILITY'!O318+N319*'RAP TEMPLATE-GAS AVAILABILITY'!P318+O319*'RAP TEMPLATE-GAS AVAILABILITY'!Q318+P319*'RAP TEMPLATE-GAS AVAILABILITY'!R318)/('RAP TEMPLATE-GAS AVAILABILITY'!O318+'RAP TEMPLATE-GAS AVAILABILITY'!P318+'RAP TEMPLATE-GAS AVAILABILITY'!Q318+'RAP TEMPLATE-GAS AVAILABILITY'!R318)</f>
        <v>10.118815107913671</v>
      </c>
    </row>
    <row r="320" spans="1:30" ht="15.75">
      <c r="A320" s="14">
        <v>51013</v>
      </c>
      <c r="B320" s="10">
        <f>CHOOSE(CONTROL!$C$42, 9.707, 9.707) * CHOOSE(CONTROL!$C$21, $C$9, 100%, $E$9)</f>
        <v>9.7070000000000007</v>
      </c>
      <c r="C320" s="10">
        <f>CHOOSE(CONTROL!$C$42, 9.715, 9.715) * CHOOSE(CONTROL!$C$21, $C$9, 100%, $E$9)</f>
        <v>9.7149999999999999</v>
      </c>
      <c r="D320" s="10">
        <f>CHOOSE(CONTROL!$C$42, 9.872, 9.872) * CHOOSE(CONTROL!$C$21, $C$9, 100%, $E$9)</f>
        <v>9.8719999999999999</v>
      </c>
      <c r="E320" s="10">
        <f>CHOOSE(CONTROL!$C$42, 9.9032, 9.9032) * CHOOSE(CONTROL!$C$21, $C$9, 100%, $E$9)</f>
        <v>9.9032</v>
      </c>
      <c r="F320" s="10">
        <f>CHOOSE(CONTROL!$C$42, 9.6516, 9.6516)*CHOOSE(CONTROL!$C$21, $C$9, 100%, $E$9)</f>
        <v>9.6516000000000002</v>
      </c>
      <c r="G320" s="10">
        <f>CHOOSE(CONTROL!$C$42, 9.6678, 9.6678)*CHOOSE(CONTROL!$C$21, $C$9, 100%, $E$9)</f>
        <v>9.6677999999999997</v>
      </c>
      <c r="H320" s="10">
        <f>CHOOSE(CONTROL!$C$42, 9.8916, 9.8916) * CHOOSE(CONTROL!$C$21, $C$9, 100%, $E$9)</f>
        <v>9.8916000000000004</v>
      </c>
      <c r="I320" s="10">
        <f>CHOOSE(CONTROL!$C$42, 9.6858, 9.6858)* CHOOSE(CONTROL!$C$21, $C$9, 100%, $E$9)</f>
        <v>9.6858000000000004</v>
      </c>
      <c r="J320" s="10">
        <f>CHOOSE(CONTROL!$C$42, 9.6442, 9.6442)* CHOOSE(CONTROL!$C$21, $C$9, 100%, $E$9)</f>
        <v>9.6441999999999997</v>
      </c>
      <c r="K320" s="10">
        <f>CHOOSE(CONTROL!$C$42, 9.5436, 9.5436) * CHOOSE(CONTROL!$C$21, $C$9, 100%, $E$9)</f>
        <v>9.5435999999999996</v>
      </c>
      <c r="L320" s="10">
        <f>CHOOSE(CONTROL!$C$42, 10.4786, 10.4786) * CHOOSE(CONTROL!$C$21, $C$9, 100%, $E$9)</f>
        <v>10.4786</v>
      </c>
      <c r="M320" s="10">
        <f>CHOOSE(CONTROL!$C$42, 9.5426, 9.5426) * CHOOSE(CONTROL!$C$21, $C$9, 100%, $E$9)</f>
        <v>9.5426000000000002</v>
      </c>
      <c r="N320" s="10">
        <f>CHOOSE(CONTROL!$C$42, 9.5586, 9.5586) * CHOOSE(CONTROL!$C$21, $C$9, 100%, $E$9)</f>
        <v>9.5586000000000002</v>
      </c>
      <c r="O320" s="10">
        <f>CHOOSE(CONTROL!$C$42, 9.7866, 9.7866) * CHOOSE(CONTROL!$C$21, $C$9, 100%, $E$9)</f>
        <v>9.7866</v>
      </c>
      <c r="P320" s="10">
        <f>CHOOSE(CONTROL!$C$42, 9.5837, 9.5837) * CHOOSE(CONTROL!$C$21, $C$9, 100%, $E$9)</f>
        <v>9.5837000000000003</v>
      </c>
      <c r="Q320" s="10">
        <f>CHOOSE(CONTROL!$C$42, 10.3819, 10.3819) * CHOOSE(CONTROL!$C$21, $C$9, 100%, $E$9)</f>
        <v>10.3819</v>
      </c>
      <c r="R320" s="10">
        <f>CHOOSE(CONTROL!$C$42, 10.9949, 10.9949) * CHOOSE(CONTROL!$C$21, $C$9, 100%, $E$9)</f>
        <v>10.994899999999999</v>
      </c>
      <c r="S320" s="10">
        <f>CHOOSE(CONTROL!$C$42, 9.4139, 9.4139) * CHOOSE(CONTROL!$C$21, $C$9, 100%, $E$9)</f>
        <v>9.4138999999999999</v>
      </c>
      <c r="T32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20" s="38">
        <f>(1000*CHOOSE(CONTROL!$C$42, 695, 695)*CHOOSE(CONTROL!$C$42, 0.5599, 0.5599)*CHOOSE(CONTROL!$C$42, 31, 31))/1000000</f>
        <v>12.063045499999998</v>
      </c>
      <c r="V320" s="38">
        <f>(1000*CHOOSE(CONTROL!$C$42, 500, 500)*CHOOSE(CONTROL!$C$42, 0.275, 0.275)*CHOOSE(CONTROL!$C$42, 31, 31))/1000000</f>
        <v>4.2625000000000002</v>
      </c>
      <c r="W320" s="38">
        <f>(1000*CHOOSE(CONTROL!$C$42, 0.1146, 0.1146)*CHOOSE(CONTROL!$C$42, 121.5, 121.5)*CHOOSE(CONTROL!$C$42, 31, 31))/1000000</f>
        <v>0.43164089999999994</v>
      </c>
      <c r="X320" s="38">
        <f>(31*0.1790888*245000/1000000)+(31*0.2374*100000/1000000)</f>
        <v>2.0961194359999999</v>
      </c>
      <c r="Y320" s="38">
        <f>(1000*600*CHOOSE(CONTROL!$C$42, 1.6337, 1.6337)*CHOOSE(CONTROL!$C$42, 31, 31))/1000000</f>
        <v>30.38682</v>
      </c>
      <c r="Z320" s="38"/>
      <c r="AA320" s="10"/>
      <c r="AB320" s="39"/>
      <c r="AC320" s="33">
        <f>(B320*194.205+C320*267.466+D320*133.845+E320*53.484+F320*40+G320*185+H320*0+I320*100+J320*300)/(194.205+267.466+133.845+53.484+0+40+185+100+300)</f>
        <v>9.7103671222919949</v>
      </c>
      <c r="AD320" s="27">
        <f>(M320*'RAP TEMPLATE-GAS AVAILABILITY'!O319+N320*'RAP TEMPLATE-GAS AVAILABILITY'!P319+O320*'RAP TEMPLATE-GAS AVAILABILITY'!Q319+P320*'RAP TEMPLATE-GAS AVAILABILITY'!R319)/('RAP TEMPLATE-GAS AVAILABILITY'!O319+'RAP TEMPLATE-GAS AVAILABILITY'!P319+'RAP TEMPLATE-GAS AVAILABILITY'!Q319+'RAP TEMPLATE-GAS AVAILABILITY'!R319)</f>
        <v>9.6206575539568338</v>
      </c>
    </row>
    <row r="321" spans="1:30" ht="15.75">
      <c r="A321" s="14">
        <v>51043</v>
      </c>
      <c r="B321" s="10">
        <f>CHOOSE(CONTROL!$C$42, 9.0898, 9.0898) * CHOOSE(CONTROL!$C$21, $C$9, 100%, $E$9)</f>
        <v>9.0898000000000003</v>
      </c>
      <c r="C321" s="10">
        <f>CHOOSE(CONTROL!$C$42, 9.0978, 9.0978) * CHOOSE(CONTROL!$C$21, $C$9, 100%, $E$9)</f>
        <v>9.0977999999999994</v>
      </c>
      <c r="D321" s="10">
        <f>CHOOSE(CONTROL!$C$42, 9.2549, 9.2549) * CHOOSE(CONTROL!$C$21, $C$9, 100%, $E$9)</f>
        <v>9.2548999999999992</v>
      </c>
      <c r="E321" s="10">
        <f>CHOOSE(CONTROL!$C$42, 9.2861, 9.2861) * CHOOSE(CONTROL!$C$21, $C$9, 100%, $E$9)</f>
        <v>9.2860999999999994</v>
      </c>
      <c r="F321" s="10">
        <f>CHOOSE(CONTROL!$C$42, 9.0342, 9.0342)*CHOOSE(CONTROL!$C$21, $C$9, 100%, $E$9)</f>
        <v>9.0342000000000002</v>
      </c>
      <c r="G321" s="10">
        <f>CHOOSE(CONTROL!$C$42, 9.0504, 9.0504)*CHOOSE(CONTROL!$C$21, $C$9, 100%, $E$9)</f>
        <v>9.0503999999999998</v>
      </c>
      <c r="H321" s="10">
        <f>CHOOSE(CONTROL!$C$42, 9.2744, 9.2744) * CHOOSE(CONTROL!$C$21, $C$9, 100%, $E$9)</f>
        <v>9.2744</v>
      </c>
      <c r="I321" s="10">
        <f>CHOOSE(CONTROL!$C$42, 9.0686, 9.0686)* CHOOSE(CONTROL!$C$21, $C$9, 100%, $E$9)</f>
        <v>9.0686</v>
      </c>
      <c r="J321" s="10">
        <f>CHOOSE(CONTROL!$C$42, 9.0268, 9.0268)* CHOOSE(CONTROL!$C$21, $C$9, 100%, $E$9)</f>
        <v>9.0267999999999997</v>
      </c>
      <c r="K321" s="10">
        <f>CHOOSE(CONTROL!$C$42, 8.9453, 8.9453) * CHOOSE(CONTROL!$C$21, $C$9, 100%, $E$9)</f>
        <v>8.9452999999999996</v>
      </c>
      <c r="L321" s="10">
        <f>CHOOSE(CONTROL!$C$42, 9.8614, 9.8614) * CHOOSE(CONTROL!$C$21, $C$9, 100%, $E$9)</f>
        <v>9.8613999999999997</v>
      </c>
      <c r="M321" s="10">
        <f>CHOOSE(CONTROL!$C$42, 8.9339, 8.9339) * CHOOSE(CONTROL!$C$21, $C$9, 100%, $E$9)</f>
        <v>8.9338999999999995</v>
      </c>
      <c r="N321" s="10">
        <f>CHOOSE(CONTROL!$C$42, 8.9499, 8.9499) * CHOOSE(CONTROL!$C$21, $C$9, 100%, $E$9)</f>
        <v>8.9498999999999995</v>
      </c>
      <c r="O321" s="10">
        <f>CHOOSE(CONTROL!$C$42, 9.1781, 9.1781) * CHOOSE(CONTROL!$C$21, $C$9, 100%, $E$9)</f>
        <v>9.1781000000000006</v>
      </c>
      <c r="P321" s="10">
        <f>CHOOSE(CONTROL!$C$42, 8.9752, 8.9752) * CHOOSE(CONTROL!$C$21, $C$9, 100%, $E$9)</f>
        <v>8.9751999999999992</v>
      </c>
      <c r="Q321" s="10">
        <f>CHOOSE(CONTROL!$C$42, 9.7734, 9.7734) * CHOOSE(CONTROL!$C$21, $C$9, 100%, $E$9)</f>
        <v>9.7734000000000005</v>
      </c>
      <c r="R321" s="10">
        <f>CHOOSE(CONTROL!$C$42, 10.3848, 10.3848) * CHOOSE(CONTROL!$C$21, $C$9, 100%, $E$9)</f>
        <v>10.3848</v>
      </c>
      <c r="S321" s="10">
        <f>CHOOSE(CONTROL!$C$42, 8.8163, 8.8163) * CHOOSE(CONTROL!$C$21, $C$9, 100%, $E$9)</f>
        <v>8.8163</v>
      </c>
      <c r="T32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21" s="38">
        <f>(1000*CHOOSE(CONTROL!$C$42, 695, 695)*CHOOSE(CONTROL!$C$42, 0.5599, 0.5599)*CHOOSE(CONTROL!$C$42, 30, 30))/1000000</f>
        <v>11.673914999999997</v>
      </c>
      <c r="V321" s="38">
        <f>(1000*CHOOSE(CONTROL!$C$42, 500, 500)*CHOOSE(CONTROL!$C$42, 0.275, 0.275)*CHOOSE(CONTROL!$C$42, 30, 30))/1000000</f>
        <v>4.125</v>
      </c>
      <c r="W321" s="38">
        <f>(1000*CHOOSE(CONTROL!$C$42, 0.1146, 0.1146)*CHOOSE(CONTROL!$C$42, 121.5, 121.5)*CHOOSE(CONTROL!$C$42, 30, 30))/1000000</f>
        <v>0.417717</v>
      </c>
      <c r="X321" s="38">
        <f>(30*0.1790888*245000/1000000)+(30*0.2374*100000/1000000)</f>
        <v>2.0285026799999999</v>
      </c>
      <c r="Y321" s="38">
        <f>(1000*600*CHOOSE(CONTROL!$C$42, 1.6337, 1.6337)*CHOOSE(CONTROL!$C$42, 30, 30))/1000000</f>
        <v>29.406600000000001</v>
      </c>
      <c r="Z321" s="38"/>
      <c r="AA321" s="10"/>
      <c r="AB321" s="39"/>
      <c r="AC321" s="33">
        <f>(B321*194.205+C321*267.466+D321*133.845+E321*53.484+F321*40+G321*185+H321*0+I321*100+J321*300)/(194.205+267.466+133.845+53.484+0+40+185+100+300)</f>
        <v>9.0930994087127175</v>
      </c>
      <c r="AD321" s="27">
        <f>(M321*'RAP TEMPLATE-GAS AVAILABILITY'!O320+N321*'RAP TEMPLATE-GAS AVAILABILITY'!P320+O321*'RAP TEMPLATE-GAS AVAILABILITY'!Q320+P321*'RAP TEMPLATE-GAS AVAILABILITY'!R320)/('RAP TEMPLATE-GAS AVAILABILITY'!O320+'RAP TEMPLATE-GAS AVAILABILITY'!P320+'RAP TEMPLATE-GAS AVAILABILITY'!Q320+'RAP TEMPLATE-GAS AVAILABILITY'!R320)</f>
        <v>9.0120424460431643</v>
      </c>
    </row>
    <row r="322" spans="1:30" ht="15.75">
      <c r="A322" s="14">
        <v>51074</v>
      </c>
      <c r="B322" s="10">
        <f>CHOOSE(CONTROL!$C$42, 8.9028, 8.9028) * CHOOSE(CONTROL!$C$21, $C$9, 100%, $E$9)</f>
        <v>8.9027999999999992</v>
      </c>
      <c r="C322" s="10">
        <f>CHOOSE(CONTROL!$C$42, 8.9082, 8.9082) * CHOOSE(CONTROL!$C$21, $C$9, 100%, $E$9)</f>
        <v>8.9082000000000008</v>
      </c>
      <c r="D322" s="10">
        <f>CHOOSE(CONTROL!$C$42, 9.0701, 9.0701) * CHOOSE(CONTROL!$C$21, $C$9, 100%, $E$9)</f>
        <v>9.0701000000000001</v>
      </c>
      <c r="E322" s="10">
        <f>CHOOSE(CONTROL!$C$42, 9.099, 9.099) * CHOOSE(CONTROL!$C$21, $C$9, 100%, $E$9)</f>
        <v>9.0990000000000002</v>
      </c>
      <c r="F322" s="10">
        <f>CHOOSE(CONTROL!$C$42, 8.8492, 8.8492)*CHOOSE(CONTROL!$C$21, $C$9, 100%, $E$9)</f>
        <v>8.8491999999999997</v>
      </c>
      <c r="G322" s="10">
        <f>CHOOSE(CONTROL!$C$42, 8.865, 8.865)*CHOOSE(CONTROL!$C$21, $C$9, 100%, $E$9)</f>
        <v>8.8650000000000002</v>
      </c>
      <c r="H322" s="10">
        <f>CHOOSE(CONTROL!$C$42, 9.0891, 9.0891) * CHOOSE(CONTROL!$C$21, $C$9, 100%, $E$9)</f>
        <v>9.0891000000000002</v>
      </c>
      <c r="I322" s="10">
        <f>CHOOSE(CONTROL!$C$42, 8.8833, 8.8833)* CHOOSE(CONTROL!$C$21, $C$9, 100%, $E$9)</f>
        <v>8.8833000000000002</v>
      </c>
      <c r="J322" s="10">
        <f>CHOOSE(CONTROL!$C$42, 8.8418, 8.8418)* CHOOSE(CONTROL!$C$21, $C$9, 100%, $E$9)</f>
        <v>8.8417999999999992</v>
      </c>
      <c r="K322" s="10">
        <f>CHOOSE(CONTROL!$C$42, 8.7664, 8.7664) * CHOOSE(CONTROL!$C$21, $C$9, 100%, $E$9)</f>
        <v>8.7664000000000009</v>
      </c>
      <c r="L322" s="10">
        <f>CHOOSE(CONTROL!$C$42, 9.6761, 9.6761) * CHOOSE(CONTROL!$C$21, $C$9, 100%, $E$9)</f>
        <v>9.6760999999999999</v>
      </c>
      <c r="M322" s="10">
        <f>CHOOSE(CONTROL!$C$42, 8.7515, 8.7515) * CHOOSE(CONTROL!$C$21, $C$9, 100%, $E$9)</f>
        <v>8.7515000000000001</v>
      </c>
      <c r="N322" s="10">
        <f>CHOOSE(CONTROL!$C$42, 8.7671, 8.7671) * CHOOSE(CONTROL!$C$21, $C$9, 100%, $E$9)</f>
        <v>8.7670999999999992</v>
      </c>
      <c r="O322" s="10">
        <f>CHOOSE(CONTROL!$C$42, 8.9954, 8.9954) * CHOOSE(CONTROL!$C$21, $C$9, 100%, $E$9)</f>
        <v>8.9954000000000001</v>
      </c>
      <c r="P322" s="10">
        <f>CHOOSE(CONTROL!$C$42, 8.7925, 8.7925) * CHOOSE(CONTROL!$C$21, $C$9, 100%, $E$9)</f>
        <v>8.7925000000000004</v>
      </c>
      <c r="Q322" s="10">
        <f>CHOOSE(CONTROL!$C$42, 9.5907, 9.5907) * CHOOSE(CONTROL!$C$21, $C$9, 100%, $E$9)</f>
        <v>9.5907</v>
      </c>
      <c r="R322" s="10">
        <f>CHOOSE(CONTROL!$C$42, 10.2016, 10.2016) * CHOOSE(CONTROL!$C$21, $C$9, 100%, $E$9)</f>
        <v>10.201599999999999</v>
      </c>
      <c r="S322" s="10">
        <f>CHOOSE(CONTROL!$C$42, 8.6369, 8.6369) * CHOOSE(CONTROL!$C$21, $C$9, 100%, $E$9)</f>
        <v>8.6369000000000007</v>
      </c>
      <c r="T32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22" s="38">
        <f>(1000*CHOOSE(CONTROL!$C$42, 695, 695)*CHOOSE(CONTROL!$C$42, 0.5599, 0.5599)*CHOOSE(CONTROL!$C$42, 31, 31))/1000000</f>
        <v>12.063045499999998</v>
      </c>
      <c r="V322" s="38">
        <f>(1000*CHOOSE(CONTROL!$C$42, 500, 500)*CHOOSE(CONTROL!$C$42, 0.275, 0.275)*CHOOSE(CONTROL!$C$42, 31, 31))/1000000</f>
        <v>4.2625000000000002</v>
      </c>
      <c r="W322" s="38">
        <f>(1000*CHOOSE(CONTROL!$C$42, 0.1146, 0.1146)*CHOOSE(CONTROL!$C$42, 121.5, 121.5)*CHOOSE(CONTROL!$C$42, 31, 31))/1000000</f>
        <v>0.43164089999999994</v>
      </c>
      <c r="X322" s="38">
        <f>(31*0.1790888*245000/1000000)+(31*0.2374*100000/1000000)</f>
        <v>2.0961194359999999</v>
      </c>
      <c r="Y322" s="38">
        <f>(1000*600*CHOOSE(CONTROL!$C$42, 1.6337, 1.6337)*CHOOSE(CONTROL!$C$42, 31, 31))/1000000</f>
        <v>30.38682</v>
      </c>
      <c r="Z322" s="38"/>
      <c r="AA322" s="10"/>
      <c r="AB322" s="39"/>
      <c r="AC322" s="33">
        <f>(B322*131.881+C322*277.167+D322*79.08+E322*125.872+F322*40+G322*185+H322*0+I322*100+J322*300)/(131.881+277.167+79.08+125.872+0+40+185+100+300)</f>
        <v>8.9108999775625506</v>
      </c>
      <c r="AD322" s="27">
        <f>(M322*'RAP TEMPLATE-GAS AVAILABILITY'!O321+N322*'RAP TEMPLATE-GAS AVAILABILITY'!P321+O322*'RAP TEMPLATE-GAS AVAILABILITY'!Q321+P322*'RAP TEMPLATE-GAS AVAILABILITY'!R321)/('RAP TEMPLATE-GAS AVAILABILITY'!O321+'RAP TEMPLATE-GAS AVAILABILITY'!P321+'RAP TEMPLATE-GAS AVAILABILITY'!Q321+'RAP TEMPLATE-GAS AVAILABILITY'!R321)</f>
        <v>8.8294230215827341</v>
      </c>
    </row>
    <row r="323" spans="1:30" ht="15.75">
      <c r="A323" s="14">
        <v>51104</v>
      </c>
      <c r="B323" s="10">
        <f>CHOOSE(CONTROL!$C$42, 9.1374, 9.1374) * CHOOSE(CONTROL!$C$21, $C$9, 100%, $E$9)</f>
        <v>9.1373999999999995</v>
      </c>
      <c r="C323" s="10">
        <f>CHOOSE(CONTROL!$C$42, 9.1425, 9.1425) * CHOOSE(CONTROL!$C$21, $C$9, 100%, $E$9)</f>
        <v>9.1425000000000001</v>
      </c>
      <c r="D323" s="10">
        <f>CHOOSE(CONTROL!$C$42, 9.1672, 9.1672) * CHOOSE(CONTROL!$C$21, $C$9, 100%, $E$9)</f>
        <v>9.1671999999999993</v>
      </c>
      <c r="E323" s="10">
        <f>CHOOSE(CONTROL!$C$42, 9.201, 9.201) * CHOOSE(CONTROL!$C$21, $C$9, 100%, $E$9)</f>
        <v>9.2010000000000005</v>
      </c>
      <c r="F323" s="10">
        <f>CHOOSE(CONTROL!$C$42, 9.1057, 9.1057)*CHOOSE(CONTROL!$C$21, $C$9, 100%, $E$9)</f>
        <v>9.1057000000000006</v>
      </c>
      <c r="G323" s="10">
        <f>CHOOSE(CONTROL!$C$42, 9.1217, 9.1217)*CHOOSE(CONTROL!$C$21, $C$9, 100%, $E$9)</f>
        <v>9.1217000000000006</v>
      </c>
      <c r="H323" s="10">
        <f>CHOOSE(CONTROL!$C$42, 9.1898, 9.1898) * CHOOSE(CONTROL!$C$21, $C$9, 100%, $E$9)</f>
        <v>9.1898</v>
      </c>
      <c r="I323" s="10">
        <f>CHOOSE(CONTROL!$C$42, 9.1524, 9.1524)* CHOOSE(CONTROL!$C$21, $C$9, 100%, $E$9)</f>
        <v>9.1524000000000001</v>
      </c>
      <c r="J323" s="10">
        <f>CHOOSE(CONTROL!$C$42, 9.0983, 9.0983)* CHOOSE(CONTROL!$C$21, $C$9, 100%, $E$9)</f>
        <v>9.0983000000000001</v>
      </c>
      <c r="K323" s="10">
        <f>CHOOSE(CONTROL!$C$42, 9.0292, 9.0292) * CHOOSE(CONTROL!$C$21, $C$9, 100%, $E$9)</f>
        <v>9.0291999999999994</v>
      </c>
      <c r="L323" s="10">
        <f>CHOOSE(CONTROL!$C$42, 9.7768, 9.7768) * CHOOSE(CONTROL!$C$21, $C$9, 100%, $E$9)</f>
        <v>9.7767999999999997</v>
      </c>
      <c r="M323" s="10">
        <f>CHOOSE(CONTROL!$C$42, 9.0044, 9.0044) * CHOOSE(CONTROL!$C$21, $C$9, 100%, $E$9)</f>
        <v>9.0044000000000004</v>
      </c>
      <c r="N323" s="10">
        <f>CHOOSE(CONTROL!$C$42, 9.0202, 9.0202) * CHOOSE(CONTROL!$C$21, $C$9, 100%, $E$9)</f>
        <v>9.0202000000000009</v>
      </c>
      <c r="O323" s="10">
        <f>CHOOSE(CONTROL!$C$42, 9.0947, 9.0947) * CHOOSE(CONTROL!$C$21, $C$9, 100%, $E$9)</f>
        <v>9.0946999999999996</v>
      </c>
      <c r="P323" s="10">
        <f>CHOOSE(CONTROL!$C$42, 9.0578, 9.0578) * CHOOSE(CONTROL!$C$21, $C$9, 100%, $E$9)</f>
        <v>9.0578000000000003</v>
      </c>
      <c r="Q323" s="10">
        <f>CHOOSE(CONTROL!$C$42, 9.69, 9.69) * CHOOSE(CONTROL!$C$21, $C$9, 100%, $E$9)</f>
        <v>9.69</v>
      </c>
      <c r="R323" s="10">
        <f>CHOOSE(CONTROL!$C$42, 10.3012, 10.3012) * CHOOSE(CONTROL!$C$21, $C$9, 100%, $E$9)</f>
        <v>10.3012</v>
      </c>
      <c r="S323" s="10">
        <f>CHOOSE(CONTROL!$C$42, 8.8644, 8.8644) * CHOOSE(CONTROL!$C$21, $C$9, 100%, $E$9)</f>
        <v>8.8643999999999998</v>
      </c>
      <c r="T32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23" s="38">
        <f>(1000*CHOOSE(CONTROL!$C$42, 695, 695)*CHOOSE(CONTROL!$C$42, 0.5599, 0.5599)*CHOOSE(CONTROL!$C$42, 30, 30))/1000000</f>
        <v>11.673914999999997</v>
      </c>
      <c r="V323" s="38">
        <f>(1000*CHOOSE(CONTROL!$C$42, 500, 500)*CHOOSE(CONTROL!$C$42, 0.275, 0.275)*CHOOSE(CONTROL!$C$42, 30, 30))/1000000</f>
        <v>4.125</v>
      </c>
      <c r="W323" s="38">
        <f>(1000*CHOOSE(CONTROL!$C$42, 0.1146, 0.1146)*CHOOSE(CONTROL!$C$42, 121.5, 121.5)*CHOOSE(CONTROL!$C$42, 30, 30))/1000000</f>
        <v>0.417717</v>
      </c>
      <c r="X323" s="38">
        <f>(30*0.1790888*100000/1000000)+(30*0.2374*100000/1000000)</f>
        <v>1.2494664</v>
      </c>
      <c r="Y323" s="38">
        <f>(1000*600*CHOOSE(CONTROL!$C$42, 1.6337, 1.6337)*CHOOSE(CONTROL!$C$42, 30, 30))/1000000</f>
        <v>29.406600000000001</v>
      </c>
      <c r="Z323" s="38"/>
      <c r="AA323" s="10"/>
      <c r="AB323" s="39"/>
      <c r="AC323" s="33">
        <f>(B323*122.58+C323*297.941+D323*89.177+E323*40.302+F323*40+G323*160+H323*0+I323*100+J323*300)/(122.58+297.941+89.177+40.302+0+40+160+100+300)</f>
        <v>9.1310784181739137</v>
      </c>
      <c r="AD323" s="27">
        <f>(M323*'RAP TEMPLATE-GAS AVAILABILITY'!O322+N323*'RAP TEMPLATE-GAS AVAILABILITY'!P322+O323*'RAP TEMPLATE-GAS AVAILABILITY'!Q322+P323*'RAP TEMPLATE-GAS AVAILABILITY'!R322)/('RAP TEMPLATE-GAS AVAILABILITY'!O322+'RAP TEMPLATE-GAS AVAILABILITY'!P322+'RAP TEMPLATE-GAS AVAILABILITY'!Q322+'RAP TEMPLATE-GAS AVAILABILITY'!R322)</f>
        <v>9.0539201438848913</v>
      </c>
    </row>
    <row r="324" spans="1:30" ht="15.75">
      <c r="A324" s="14">
        <v>51135</v>
      </c>
      <c r="B324" s="10">
        <f>CHOOSE(CONTROL!$C$42, 9.7615, 9.7615) * CHOOSE(CONTROL!$C$21, $C$9, 100%, $E$9)</f>
        <v>9.7614999999999998</v>
      </c>
      <c r="C324" s="10">
        <f>CHOOSE(CONTROL!$C$42, 9.7666, 9.7666) * CHOOSE(CONTROL!$C$21, $C$9, 100%, $E$9)</f>
        <v>9.7666000000000004</v>
      </c>
      <c r="D324" s="10">
        <f>CHOOSE(CONTROL!$C$42, 9.7912, 9.7912) * CHOOSE(CONTROL!$C$21, $C$9, 100%, $E$9)</f>
        <v>9.7911999999999999</v>
      </c>
      <c r="E324" s="10">
        <f>CHOOSE(CONTROL!$C$42, 9.825, 9.825) * CHOOSE(CONTROL!$C$21, $C$9, 100%, $E$9)</f>
        <v>9.8249999999999993</v>
      </c>
      <c r="F324" s="10">
        <f>CHOOSE(CONTROL!$C$42, 9.7317, 9.7317)*CHOOSE(CONTROL!$C$21, $C$9, 100%, $E$9)</f>
        <v>9.7317</v>
      </c>
      <c r="G324" s="10">
        <f>CHOOSE(CONTROL!$C$42, 9.7482, 9.7482)*CHOOSE(CONTROL!$C$21, $C$9, 100%, $E$9)</f>
        <v>9.7482000000000006</v>
      </c>
      <c r="H324" s="10">
        <f>CHOOSE(CONTROL!$C$42, 9.8139, 9.8139) * CHOOSE(CONTROL!$C$21, $C$9, 100%, $E$9)</f>
        <v>9.8139000000000003</v>
      </c>
      <c r="I324" s="10">
        <f>CHOOSE(CONTROL!$C$42, 9.7764, 9.7764)* CHOOSE(CONTROL!$C$21, $C$9, 100%, $E$9)</f>
        <v>9.7764000000000006</v>
      </c>
      <c r="J324" s="10">
        <f>CHOOSE(CONTROL!$C$42, 9.7243, 9.7243)* CHOOSE(CONTROL!$C$21, $C$9, 100%, $E$9)</f>
        <v>9.7242999999999995</v>
      </c>
      <c r="K324" s="10">
        <f>CHOOSE(CONTROL!$C$42, 9.638, 9.638) * CHOOSE(CONTROL!$C$21, $C$9, 100%, $E$9)</f>
        <v>9.6379999999999999</v>
      </c>
      <c r="L324" s="10">
        <f>CHOOSE(CONTROL!$C$42, 10.4009, 10.4009) * CHOOSE(CONTROL!$C$21, $C$9, 100%, $E$9)</f>
        <v>10.4009</v>
      </c>
      <c r="M324" s="10">
        <f>CHOOSE(CONTROL!$C$42, 9.6217, 9.6217) * CHOOSE(CONTROL!$C$21, $C$9, 100%, $E$9)</f>
        <v>9.6217000000000006</v>
      </c>
      <c r="N324" s="10">
        <f>CHOOSE(CONTROL!$C$42, 9.6379, 9.6379) * CHOOSE(CONTROL!$C$21, $C$9, 100%, $E$9)</f>
        <v>9.6379000000000001</v>
      </c>
      <c r="O324" s="10">
        <f>CHOOSE(CONTROL!$C$42, 9.71, 9.71) * CHOOSE(CONTROL!$C$21, $C$9, 100%, $E$9)</f>
        <v>9.7100000000000009</v>
      </c>
      <c r="P324" s="10">
        <f>CHOOSE(CONTROL!$C$42, 9.6731, 9.6731) * CHOOSE(CONTROL!$C$21, $C$9, 100%, $E$9)</f>
        <v>9.6730999999999998</v>
      </c>
      <c r="Q324" s="10">
        <f>CHOOSE(CONTROL!$C$42, 10.3053, 10.3053) * CHOOSE(CONTROL!$C$21, $C$9, 100%, $E$9)</f>
        <v>10.305300000000001</v>
      </c>
      <c r="R324" s="10">
        <f>CHOOSE(CONTROL!$C$42, 10.9181, 10.9181) * CHOOSE(CONTROL!$C$21, $C$9, 100%, $E$9)</f>
        <v>10.918100000000001</v>
      </c>
      <c r="S324" s="10">
        <f>CHOOSE(CONTROL!$C$42, 9.4687, 9.4687) * CHOOSE(CONTROL!$C$21, $C$9, 100%, $E$9)</f>
        <v>9.4687000000000001</v>
      </c>
      <c r="T32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24" s="38">
        <f>(1000*CHOOSE(CONTROL!$C$42, 695, 695)*CHOOSE(CONTROL!$C$42, 0.5599, 0.5599)*CHOOSE(CONTROL!$C$42, 31, 31))/1000000</f>
        <v>12.063045499999998</v>
      </c>
      <c r="V324" s="38">
        <f>(1000*CHOOSE(CONTROL!$C$42, 500, 500)*CHOOSE(CONTROL!$C$42, 0.275, 0.275)*CHOOSE(CONTROL!$C$42, 31, 31))/1000000</f>
        <v>4.2625000000000002</v>
      </c>
      <c r="W324" s="38">
        <f>(1000*CHOOSE(CONTROL!$C$42, 0.1146, 0.1146)*CHOOSE(CONTROL!$C$42, 121.5, 121.5)*CHOOSE(CONTROL!$C$42, 31, 31))/1000000</f>
        <v>0.43164089999999994</v>
      </c>
      <c r="X324" s="38">
        <f>(31*0.1790888*100000/1000000)+(31*0.2374*100000/1000000)</f>
        <v>1.2911152800000001</v>
      </c>
      <c r="Y324" s="38">
        <f>(1000*600*CHOOSE(CONTROL!$C$42, 1.6337, 1.6337)*CHOOSE(CONTROL!$C$42, 31, 31))/1000000</f>
        <v>30.38682</v>
      </c>
      <c r="Z324" s="38"/>
      <c r="AA324" s="10"/>
      <c r="AB324" s="39"/>
      <c r="AC324" s="33">
        <f>(B324*122.58+C324*297.941+D324*89.177+E324*40.302+F324*40+G324*160+H324*0+I324*100+J324*300)/(122.58+297.941+89.177+40.302+0+40+160+100+300)</f>
        <v>9.756054115652173</v>
      </c>
      <c r="AD324" s="27">
        <f>(M324*'RAP TEMPLATE-GAS AVAILABILITY'!O323+N324*'RAP TEMPLATE-GAS AVAILABILITY'!P323+O324*'RAP TEMPLATE-GAS AVAILABILITY'!Q323+P324*'RAP TEMPLATE-GAS AVAILABILITY'!R323)/('RAP TEMPLATE-GAS AVAILABILITY'!O323+'RAP TEMPLATE-GAS AVAILABILITY'!P323+'RAP TEMPLATE-GAS AVAILABILITY'!Q323+'RAP TEMPLATE-GAS AVAILABILITY'!R323)</f>
        <v>9.6700489208633087</v>
      </c>
    </row>
    <row r="325" spans="1:30" ht="15.75">
      <c r="A325" s="14">
        <v>51166</v>
      </c>
      <c r="B325" s="10">
        <f>CHOOSE(CONTROL!$C$42, 10.4214, 10.4214) * CHOOSE(CONTROL!$C$21, $C$9, 100%, $E$9)</f>
        <v>10.4214</v>
      </c>
      <c r="C325" s="10">
        <f>CHOOSE(CONTROL!$C$42, 10.4265, 10.4265) * CHOOSE(CONTROL!$C$21, $C$9, 100%, $E$9)</f>
        <v>10.426500000000001</v>
      </c>
      <c r="D325" s="10">
        <f>CHOOSE(CONTROL!$C$42, 10.4589, 10.4589) * CHOOSE(CONTROL!$C$21, $C$9, 100%, $E$9)</f>
        <v>10.4589</v>
      </c>
      <c r="E325" s="10">
        <f>CHOOSE(CONTROL!$C$42, 10.4927, 10.4927) * CHOOSE(CONTROL!$C$21, $C$9, 100%, $E$9)</f>
        <v>10.492699999999999</v>
      </c>
      <c r="F325" s="10">
        <f>CHOOSE(CONTROL!$C$42, 10.4056, 10.4056)*CHOOSE(CONTROL!$C$21, $C$9, 100%, $E$9)</f>
        <v>10.4056</v>
      </c>
      <c r="G325" s="10">
        <f>CHOOSE(CONTROL!$C$42, 10.4236, 10.4236)*CHOOSE(CONTROL!$C$21, $C$9, 100%, $E$9)</f>
        <v>10.4236</v>
      </c>
      <c r="H325" s="10">
        <f>CHOOSE(CONTROL!$C$42, 10.4816, 10.4816) * CHOOSE(CONTROL!$C$21, $C$9, 100%, $E$9)</f>
        <v>10.4816</v>
      </c>
      <c r="I325" s="10">
        <f>CHOOSE(CONTROL!$C$42, 10.4348, 10.4348)* CHOOSE(CONTROL!$C$21, $C$9, 100%, $E$9)</f>
        <v>10.434799999999999</v>
      </c>
      <c r="J325" s="10">
        <f>CHOOSE(CONTROL!$C$42, 10.3982, 10.3982)* CHOOSE(CONTROL!$C$21, $C$9, 100%, $E$9)</f>
        <v>10.398199999999999</v>
      </c>
      <c r="K325" s="10">
        <f>CHOOSE(CONTROL!$C$42, 10.2897, 10.2897) * CHOOSE(CONTROL!$C$21, $C$9, 100%, $E$9)</f>
        <v>10.2897</v>
      </c>
      <c r="L325" s="10">
        <f>CHOOSE(CONTROL!$C$42, 11.0686, 11.0686) * CHOOSE(CONTROL!$C$21, $C$9, 100%, $E$9)</f>
        <v>11.0686</v>
      </c>
      <c r="M325" s="10">
        <f>CHOOSE(CONTROL!$C$42, 10.2861, 10.2861) * CHOOSE(CONTROL!$C$21, $C$9, 100%, $E$9)</f>
        <v>10.286099999999999</v>
      </c>
      <c r="N325" s="10">
        <f>CHOOSE(CONTROL!$C$42, 10.3039, 10.3039) * CHOOSE(CONTROL!$C$21, $C$9, 100%, $E$9)</f>
        <v>10.303900000000001</v>
      </c>
      <c r="O325" s="10">
        <f>CHOOSE(CONTROL!$C$42, 10.3684, 10.3684) * CHOOSE(CONTROL!$C$21, $C$9, 100%, $E$9)</f>
        <v>10.368399999999999</v>
      </c>
      <c r="P325" s="10">
        <f>CHOOSE(CONTROL!$C$42, 10.3223, 10.3223) * CHOOSE(CONTROL!$C$21, $C$9, 100%, $E$9)</f>
        <v>10.3223</v>
      </c>
      <c r="Q325" s="10">
        <f>CHOOSE(CONTROL!$C$42, 10.9637, 10.9637) * CHOOSE(CONTROL!$C$21, $C$9, 100%, $E$9)</f>
        <v>10.963699999999999</v>
      </c>
      <c r="R325" s="10">
        <f>CHOOSE(CONTROL!$C$42, 11.5781, 11.5781) * CHOOSE(CONTROL!$C$21, $C$9, 100%, $E$9)</f>
        <v>11.578099999999999</v>
      </c>
      <c r="S325" s="10">
        <f>CHOOSE(CONTROL!$C$42, 10.1077, 10.1077) * CHOOSE(CONTROL!$C$21, $C$9, 100%, $E$9)</f>
        <v>10.107699999999999</v>
      </c>
      <c r="T32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25" s="38">
        <f>(1000*CHOOSE(CONTROL!$C$42, 695, 695)*CHOOSE(CONTROL!$C$42, 0.5599, 0.5599)*CHOOSE(CONTROL!$C$42, 31, 31))/1000000</f>
        <v>12.063045499999998</v>
      </c>
      <c r="V325" s="38">
        <f>(1000*CHOOSE(CONTROL!$C$42, 500, 500)*CHOOSE(CONTROL!$C$42, 0.275, 0.275)*CHOOSE(CONTROL!$C$42, 31, 31))/1000000</f>
        <v>4.2625000000000002</v>
      </c>
      <c r="W325" s="38">
        <f>(1000*CHOOSE(CONTROL!$C$42, 0.1146, 0.1146)*CHOOSE(CONTROL!$C$42, 121.5, 121.5)*CHOOSE(CONTROL!$C$42, 31, 31))/1000000</f>
        <v>0.43164089999999994</v>
      </c>
      <c r="X325" s="38">
        <f>(31*0.1790888*100000/1000000)+(31*0.2374*100000/1000000)</f>
        <v>1.2911152800000001</v>
      </c>
      <c r="Y325" s="38">
        <f>(1000*600*CHOOSE(CONTROL!$C$42, 1.6302, 1.6302)*CHOOSE(CONTROL!$C$42, 31, 31))/1000000</f>
        <v>30.321719999999999</v>
      </c>
      <c r="Z325" s="38"/>
      <c r="AA325" s="10"/>
      <c r="AB325" s="39"/>
      <c r="AC325" s="33">
        <f>(B325*122.58+C325*297.941+D325*89.177+E325*40.302+F325*40+G325*160+H325*0+I325*100+J325*300)/(122.58+297.941+89.177+40.302+0+40+160+100+300)</f>
        <v>10.422997538434782</v>
      </c>
      <c r="AD325" s="27">
        <f>(M325*'RAP TEMPLATE-GAS AVAILABILITY'!O324+N325*'RAP TEMPLATE-GAS AVAILABILITY'!P324+O325*'RAP TEMPLATE-GAS AVAILABILITY'!Q324+P325*'RAP TEMPLATE-GAS AVAILABILITY'!R324)/('RAP TEMPLATE-GAS AVAILABILITY'!O324+'RAP TEMPLATE-GAS AVAILABILITY'!P324+'RAP TEMPLATE-GAS AVAILABILITY'!Q324+'RAP TEMPLATE-GAS AVAILABILITY'!R324)</f>
        <v>10.329634532374101</v>
      </c>
    </row>
    <row r="326" spans="1:30" ht="15.75">
      <c r="A326" s="14">
        <v>51194</v>
      </c>
      <c r="B326" s="10">
        <f>CHOOSE(CONTROL!$C$42, 10.6072, 10.6072) * CHOOSE(CONTROL!$C$21, $C$9, 100%, $E$9)</f>
        <v>10.607200000000001</v>
      </c>
      <c r="C326" s="10">
        <f>CHOOSE(CONTROL!$C$42, 10.6123, 10.6123) * CHOOSE(CONTROL!$C$21, $C$9, 100%, $E$9)</f>
        <v>10.612299999999999</v>
      </c>
      <c r="D326" s="10">
        <f>CHOOSE(CONTROL!$C$42, 10.6447, 10.6447) * CHOOSE(CONTROL!$C$21, $C$9, 100%, $E$9)</f>
        <v>10.6447</v>
      </c>
      <c r="E326" s="10">
        <f>CHOOSE(CONTROL!$C$42, 10.6785, 10.6785) * CHOOSE(CONTROL!$C$21, $C$9, 100%, $E$9)</f>
        <v>10.6785</v>
      </c>
      <c r="F326" s="10">
        <f>CHOOSE(CONTROL!$C$42, 10.5909, 10.5909)*CHOOSE(CONTROL!$C$21, $C$9, 100%, $E$9)</f>
        <v>10.5909</v>
      </c>
      <c r="G326" s="10">
        <f>CHOOSE(CONTROL!$C$42, 10.6089, 10.6089)*CHOOSE(CONTROL!$C$21, $C$9, 100%, $E$9)</f>
        <v>10.6089</v>
      </c>
      <c r="H326" s="10">
        <f>CHOOSE(CONTROL!$C$42, 10.6674, 10.6674) * CHOOSE(CONTROL!$C$21, $C$9, 100%, $E$9)</f>
        <v>10.667400000000001</v>
      </c>
      <c r="I326" s="10">
        <f>CHOOSE(CONTROL!$C$42, 10.6206, 10.6206)* CHOOSE(CONTROL!$C$21, $C$9, 100%, $E$9)</f>
        <v>10.6206</v>
      </c>
      <c r="J326" s="10">
        <f>CHOOSE(CONTROL!$C$42, 10.5835, 10.5835)* CHOOSE(CONTROL!$C$21, $C$9, 100%, $E$9)</f>
        <v>10.583500000000001</v>
      </c>
      <c r="K326" s="10">
        <f>CHOOSE(CONTROL!$C$42, 10.4688, 10.4688) * CHOOSE(CONTROL!$C$21, $C$9, 100%, $E$9)</f>
        <v>10.4688</v>
      </c>
      <c r="L326" s="10">
        <f>CHOOSE(CONTROL!$C$42, 11.2544, 11.2544) * CHOOSE(CONTROL!$C$21, $C$9, 100%, $E$9)</f>
        <v>11.2544</v>
      </c>
      <c r="M326" s="10">
        <f>CHOOSE(CONTROL!$C$42, 10.4689, 10.4689) * CHOOSE(CONTROL!$C$21, $C$9, 100%, $E$9)</f>
        <v>10.4689</v>
      </c>
      <c r="N326" s="10">
        <f>CHOOSE(CONTROL!$C$42, 10.4866, 10.4866) * CHOOSE(CONTROL!$C$21, $C$9, 100%, $E$9)</f>
        <v>10.486599999999999</v>
      </c>
      <c r="O326" s="10">
        <f>CHOOSE(CONTROL!$C$42, 10.5516, 10.5516) * CHOOSE(CONTROL!$C$21, $C$9, 100%, $E$9)</f>
        <v>10.551600000000001</v>
      </c>
      <c r="P326" s="10">
        <f>CHOOSE(CONTROL!$C$42, 10.5055, 10.5055) * CHOOSE(CONTROL!$C$21, $C$9, 100%, $E$9)</f>
        <v>10.5055</v>
      </c>
      <c r="Q326" s="10">
        <f>CHOOSE(CONTROL!$C$42, 11.1469, 11.1469) * CHOOSE(CONTROL!$C$21, $C$9, 100%, $E$9)</f>
        <v>11.1469</v>
      </c>
      <c r="R326" s="10">
        <f>CHOOSE(CONTROL!$C$42, 11.7618, 11.7618) * CHOOSE(CONTROL!$C$21, $C$9, 100%, $E$9)</f>
        <v>11.761799999999999</v>
      </c>
      <c r="S326" s="10">
        <f>CHOOSE(CONTROL!$C$42, 10.2876, 10.2876) * CHOOSE(CONTROL!$C$21, $C$9, 100%, $E$9)</f>
        <v>10.287599999999999</v>
      </c>
      <c r="T326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326" s="38">
        <f>(1000*CHOOSE(CONTROL!$C$42, 695, 695)*CHOOSE(CONTROL!$C$42, 0.5599, 0.5599)*CHOOSE(CONTROL!$C$42, 29, 29))/1000000</f>
        <v>11.284784499999999</v>
      </c>
      <c r="V326" s="38">
        <f>(1000*CHOOSE(CONTROL!$C$42, 500, 500)*CHOOSE(CONTROL!$C$42, 0.275, 0.275)*CHOOSE(CONTROL!$C$42, 29, 29))/1000000</f>
        <v>3.9874999999999998</v>
      </c>
      <c r="W326" s="38">
        <f>(1000*CHOOSE(CONTROL!$C$42, 0.1146, 0.1146)*CHOOSE(CONTROL!$C$42, 121.5, 121.5)*CHOOSE(CONTROL!$C$42, 29, 29))/1000000</f>
        <v>0.40379309999999996</v>
      </c>
      <c r="X326" s="38">
        <f>(29*0.1790888*100000/1000000)+(29*0.2374*100000/1000000)</f>
        <v>1.2078175199999999</v>
      </c>
      <c r="Y326" s="38">
        <f>(1000*600*CHOOSE(CONTROL!$C$42, 1.6302, 1.6302)*CHOOSE(CONTROL!$C$42, 29, 29))/1000000</f>
        <v>28.365480000000002</v>
      </c>
      <c r="Z326" s="38"/>
      <c r="AA326" s="10"/>
      <c r="AB326" s="39"/>
      <c r="AC326" s="33">
        <f>(B326*122.58+C326*297.941+D326*89.177+E326*40.302+F326*40+G326*160+H326*0+I326*100+J326*300)/(122.58+297.941+89.177+40.302+0+40+160+100+300)</f>
        <v>10.608580147130434</v>
      </c>
      <c r="AD326" s="27">
        <f>(M326*'RAP TEMPLATE-GAS AVAILABILITY'!O325+N326*'RAP TEMPLATE-GAS AVAILABILITY'!P325+O326*'RAP TEMPLATE-GAS AVAILABILITY'!Q325+P326*'RAP TEMPLATE-GAS AVAILABILITY'!R325)/('RAP TEMPLATE-GAS AVAILABILITY'!O325+'RAP TEMPLATE-GAS AVAILABILITY'!P325+'RAP TEMPLATE-GAS AVAILABILITY'!Q325+'RAP TEMPLATE-GAS AVAILABILITY'!R325)</f>
        <v>10.512667625899281</v>
      </c>
    </row>
    <row r="327" spans="1:30" ht="15.75">
      <c r="A327" s="14">
        <v>51226</v>
      </c>
      <c r="B327" s="10">
        <f>CHOOSE(CONTROL!$C$42, 10.3056, 10.3056) * CHOOSE(CONTROL!$C$21, $C$9, 100%, $E$9)</f>
        <v>10.3056</v>
      </c>
      <c r="C327" s="10">
        <f>CHOOSE(CONTROL!$C$42, 10.3107, 10.3107) * CHOOSE(CONTROL!$C$21, $C$9, 100%, $E$9)</f>
        <v>10.310700000000001</v>
      </c>
      <c r="D327" s="10">
        <f>CHOOSE(CONTROL!$C$42, 10.3431, 10.3431) * CHOOSE(CONTROL!$C$21, $C$9, 100%, $E$9)</f>
        <v>10.3431</v>
      </c>
      <c r="E327" s="10">
        <f>CHOOSE(CONTROL!$C$42, 10.3769, 10.3769) * CHOOSE(CONTROL!$C$21, $C$9, 100%, $E$9)</f>
        <v>10.376899999999999</v>
      </c>
      <c r="F327" s="10">
        <f>CHOOSE(CONTROL!$C$42, 10.2878, 10.2878)*CHOOSE(CONTROL!$C$21, $C$9, 100%, $E$9)</f>
        <v>10.287800000000001</v>
      </c>
      <c r="G327" s="10">
        <f>CHOOSE(CONTROL!$C$42, 10.3054, 10.3054)*CHOOSE(CONTROL!$C$21, $C$9, 100%, $E$9)</f>
        <v>10.305400000000001</v>
      </c>
      <c r="H327" s="10">
        <f>CHOOSE(CONTROL!$C$42, 10.3658, 10.3658) * CHOOSE(CONTROL!$C$21, $C$9, 100%, $E$9)</f>
        <v>10.3658</v>
      </c>
      <c r="I327" s="10">
        <f>CHOOSE(CONTROL!$C$42, 10.319, 10.319)* CHOOSE(CONTROL!$C$21, $C$9, 100%, $E$9)</f>
        <v>10.319000000000001</v>
      </c>
      <c r="J327" s="10">
        <f>CHOOSE(CONTROL!$C$42, 10.2804, 10.2804)* CHOOSE(CONTROL!$C$21, $C$9, 100%, $E$9)</f>
        <v>10.2804</v>
      </c>
      <c r="K327" s="10">
        <f>CHOOSE(CONTROL!$C$42, 10.1734, 10.1734) * CHOOSE(CONTROL!$C$21, $C$9, 100%, $E$9)</f>
        <v>10.173400000000001</v>
      </c>
      <c r="L327" s="10">
        <f>CHOOSE(CONTROL!$C$42, 10.9528, 10.9528) * CHOOSE(CONTROL!$C$21, $C$9, 100%, $E$9)</f>
        <v>10.9528</v>
      </c>
      <c r="M327" s="10">
        <f>CHOOSE(CONTROL!$C$42, 10.17, 10.17) * CHOOSE(CONTROL!$C$21, $C$9, 100%, $E$9)</f>
        <v>10.17</v>
      </c>
      <c r="N327" s="10">
        <f>CHOOSE(CONTROL!$C$42, 10.1874, 10.1874) * CHOOSE(CONTROL!$C$21, $C$9, 100%, $E$9)</f>
        <v>10.1874</v>
      </c>
      <c r="O327" s="10">
        <f>CHOOSE(CONTROL!$C$42, 10.2542, 10.2542) * CHOOSE(CONTROL!$C$21, $C$9, 100%, $E$9)</f>
        <v>10.254200000000001</v>
      </c>
      <c r="P327" s="10">
        <f>CHOOSE(CONTROL!$C$42, 10.2082, 10.2082) * CHOOSE(CONTROL!$C$21, $C$9, 100%, $E$9)</f>
        <v>10.2082</v>
      </c>
      <c r="Q327" s="10">
        <f>CHOOSE(CONTROL!$C$42, 10.8495, 10.8495) * CHOOSE(CONTROL!$C$21, $C$9, 100%, $E$9)</f>
        <v>10.849500000000001</v>
      </c>
      <c r="R327" s="10">
        <f>CHOOSE(CONTROL!$C$42, 11.4636, 11.4636) * CHOOSE(CONTROL!$C$21, $C$9, 100%, $E$9)</f>
        <v>11.4636</v>
      </c>
      <c r="S327" s="10">
        <f>CHOOSE(CONTROL!$C$42, 9.9956, 9.9956) * CHOOSE(CONTROL!$C$21, $C$9, 100%, $E$9)</f>
        <v>9.9955999999999996</v>
      </c>
      <c r="T32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27" s="38">
        <f>(1000*CHOOSE(CONTROL!$C$42, 695, 695)*CHOOSE(CONTROL!$C$42, 0.5599, 0.5599)*CHOOSE(CONTROL!$C$42, 31, 31))/1000000</f>
        <v>12.063045499999998</v>
      </c>
      <c r="V327" s="38">
        <f>(1000*CHOOSE(CONTROL!$C$42, 500, 500)*CHOOSE(CONTROL!$C$42, 0.275, 0.275)*CHOOSE(CONTROL!$C$42, 31, 31))/1000000</f>
        <v>4.2625000000000002</v>
      </c>
      <c r="W327" s="38">
        <f>(1000*CHOOSE(CONTROL!$C$42, 0.1146, 0.1146)*CHOOSE(CONTROL!$C$42, 121.5, 121.5)*CHOOSE(CONTROL!$C$42, 31, 31))/1000000</f>
        <v>0.43164089999999994</v>
      </c>
      <c r="X327" s="38">
        <f>(31*0.1790888*100000/1000000)+(31*0.2374*100000/1000000)</f>
        <v>1.2911152800000001</v>
      </c>
      <c r="Y327" s="38">
        <f>(1000*600*CHOOSE(CONTROL!$C$42, 1.6302, 1.6302)*CHOOSE(CONTROL!$C$42, 31, 31))/1000000</f>
        <v>30.321719999999999</v>
      </c>
      <c r="Z327" s="38"/>
      <c r="AA327" s="10"/>
      <c r="AB327" s="39"/>
      <c r="AC327" s="33">
        <f>(B327*122.58+C327*297.941+D327*89.177+E327*40.302+F327*40+G327*160+H327*0+I327*100+J327*300)/(122.58+297.941+89.177+40.302+0+40+160+100+300)</f>
        <v>10.306272321043478</v>
      </c>
      <c r="AD327" s="27">
        <f>(M327*'RAP TEMPLATE-GAS AVAILABILITY'!O326+N327*'RAP TEMPLATE-GAS AVAILABILITY'!P326+O327*'RAP TEMPLATE-GAS AVAILABILITY'!Q326+P327*'RAP TEMPLATE-GAS AVAILABILITY'!R326)/('RAP TEMPLATE-GAS AVAILABILITY'!O326+'RAP TEMPLATE-GAS AVAILABILITY'!P326+'RAP TEMPLATE-GAS AVAILABILITY'!Q326+'RAP TEMPLATE-GAS AVAILABILITY'!R326)</f>
        <v>10.214660431654677</v>
      </c>
    </row>
    <row r="328" spans="1:30" ht="15.75">
      <c r="A328" s="14">
        <v>51256</v>
      </c>
      <c r="B328" s="10">
        <f>CHOOSE(CONTROL!$C$42, 10.2755, 10.2755) * CHOOSE(CONTROL!$C$21, $C$9, 100%, $E$9)</f>
        <v>10.275499999999999</v>
      </c>
      <c r="C328" s="10">
        <f>CHOOSE(CONTROL!$C$42, 10.28, 10.28) * CHOOSE(CONTROL!$C$21, $C$9, 100%, $E$9)</f>
        <v>10.28</v>
      </c>
      <c r="D328" s="10">
        <f>CHOOSE(CONTROL!$C$42, 10.4401, 10.4401) * CHOOSE(CONTROL!$C$21, $C$9, 100%, $E$9)</f>
        <v>10.440099999999999</v>
      </c>
      <c r="E328" s="10">
        <f>CHOOSE(CONTROL!$C$42, 10.472, 10.472) * CHOOSE(CONTROL!$C$21, $C$9, 100%, $E$9)</f>
        <v>10.472</v>
      </c>
      <c r="F328" s="10">
        <f>CHOOSE(CONTROL!$C$42, 10.2216, 10.2216)*CHOOSE(CONTROL!$C$21, $C$9, 100%, $E$9)</f>
        <v>10.2216</v>
      </c>
      <c r="G328" s="10">
        <f>CHOOSE(CONTROL!$C$42, 10.2374, 10.2374)*CHOOSE(CONTROL!$C$21, $C$9, 100%, $E$9)</f>
        <v>10.237399999999999</v>
      </c>
      <c r="H328" s="10">
        <f>CHOOSE(CONTROL!$C$42, 10.4614, 10.4614) * CHOOSE(CONTROL!$C$21, $C$9, 100%, $E$9)</f>
        <v>10.461399999999999</v>
      </c>
      <c r="I328" s="10">
        <f>CHOOSE(CONTROL!$C$42, 10.2556, 10.2556)* CHOOSE(CONTROL!$C$21, $C$9, 100%, $E$9)</f>
        <v>10.255599999999999</v>
      </c>
      <c r="J328" s="10">
        <f>CHOOSE(CONTROL!$C$42, 10.2142, 10.2142)* CHOOSE(CONTROL!$C$21, $C$9, 100%, $E$9)</f>
        <v>10.2142</v>
      </c>
      <c r="K328" s="10">
        <f>CHOOSE(CONTROL!$C$42, 10.096, 10.096) * CHOOSE(CONTROL!$C$21, $C$9, 100%, $E$9)</f>
        <v>10.096</v>
      </c>
      <c r="L328" s="10">
        <f>CHOOSE(CONTROL!$C$42, 11.0484, 11.0484) * CHOOSE(CONTROL!$C$21, $C$9, 100%, $E$9)</f>
        <v>11.048400000000001</v>
      </c>
      <c r="M328" s="10">
        <f>CHOOSE(CONTROL!$C$42, 10.1047, 10.1047) * CHOOSE(CONTROL!$C$21, $C$9, 100%, $E$9)</f>
        <v>10.104699999999999</v>
      </c>
      <c r="N328" s="10">
        <f>CHOOSE(CONTROL!$C$42, 10.1203, 10.1203) * CHOOSE(CONTROL!$C$21, $C$9, 100%, $E$9)</f>
        <v>10.1203</v>
      </c>
      <c r="O328" s="10">
        <f>CHOOSE(CONTROL!$C$42, 10.3485, 10.3485) * CHOOSE(CONTROL!$C$21, $C$9, 100%, $E$9)</f>
        <v>10.3485</v>
      </c>
      <c r="P328" s="10">
        <f>CHOOSE(CONTROL!$C$42, 10.1456, 10.1456) * CHOOSE(CONTROL!$C$21, $C$9, 100%, $E$9)</f>
        <v>10.1456</v>
      </c>
      <c r="Q328" s="10">
        <f>CHOOSE(CONTROL!$C$42, 10.9438, 10.9438) * CHOOSE(CONTROL!$C$21, $C$9, 100%, $E$9)</f>
        <v>10.9438</v>
      </c>
      <c r="R328" s="10">
        <f>CHOOSE(CONTROL!$C$42, 11.5581, 11.5581) * CHOOSE(CONTROL!$C$21, $C$9, 100%, $E$9)</f>
        <v>11.5581</v>
      </c>
      <c r="S328" s="10">
        <f>CHOOSE(CONTROL!$C$42, 9.9656, 9.9656) * CHOOSE(CONTROL!$C$21, $C$9, 100%, $E$9)</f>
        <v>9.9656000000000002</v>
      </c>
      <c r="T32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28" s="38">
        <f>(1000*CHOOSE(CONTROL!$C$42, 695, 695)*CHOOSE(CONTROL!$C$42, 0.5599, 0.5599)*CHOOSE(CONTROL!$C$42, 30, 30))/1000000</f>
        <v>11.673914999999997</v>
      </c>
      <c r="V328" s="38">
        <f>(1000*CHOOSE(CONTROL!$C$42, 500, 500)*CHOOSE(CONTROL!$C$42, 0.275, 0.275)*CHOOSE(CONTROL!$C$42, 30, 30))/1000000</f>
        <v>4.125</v>
      </c>
      <c r="W328" s="38">
        <f>(1000*CHOOSE(CONTROL!$C$42, 0.1146, 0.1146)*CHOOSE(CONTROL!$C$42, 121.5, 121.5)*CHOOSE(CONTROL!$C$42, 30, 30))/1000000</f>
        <v>0.417717</v>
      </c>
      <c r="X328" s="38">
        <f>(30*0.1790888*245000/1000000)+(30*0.2374*100000/1000000)</f>
        <v>2.0285026799999999</v>
      </c>
      <c r="Y328" s="38">
        <f>(1000*600*CHOOSE(CONTROL!$C$42, 1.6302, 1.6302)*CHOOSE(CONTROL!$C$42, 30, 30))/1000000</f>
        <v>29.343599999999999</v>
      </c>
      <c r="Z328" s="38"/>
      <c r="AA328" s="10"/>
      <c r="AB328" s="39"/>
      <c r="AC328" s="33">
        <f>(B328*141.293+C328*267.993+D328*115.016+E328*89.698+F328*40+G328*185+H328*0+I328*100+J328*300)/(141.293+267.993+115.016+89.698+0+40+185+100+300)</f>
        <v>10.28210109693301</v>
      </c>
      <c r="AD328" s="27">
        <f>(M328*'RAP TEMPLATE-GAS AVAILABILITY'!O327+N328*'RAP TEMPLATE-GAS AVAILABILITY'!P327+O328*'RAP TEMPLATE-GAS AVAILABILITY'!Q327+P328*'RAP TEMPLATE-GAS AVAILABILITY'!R327)/('RAP TEMPLATE-GAS AVAILABILITY'!O327+'RAP TEMPLATE-GAS AVAILABILITY'!P327+'RAP TEMPLATE-GAS AVAILABILITY'!Q327+'RAP TEMPLATE-GAS AVAILABILITY'!R327)</f>
        <v>10.182580575539568</v>
      </c>
    </row>
    <row r="329" spans="1:30" ht="15.75">
      <c r="A329" s="14">
        <v>51287</v>
      </c>
      <c r="B329" s="10">
        <f>CHOOSE(CONTROL!$C$42, 10.3681, 10.3681) * CHOOSE(CONTROL!$C$21, $C$9, 100%, $E$9)</f>
        <v>10.3681</v>
      </c>
      <c r="C329" s="10">
        <f>CHOOSE(CONTROL!$C$42, 10.3761, 10.3761) * CHOOSE(CONTROL!$C$21, $C$9, 100%, $E$9)</f>
        <v>10.376099999999999</v>
      </c>
      <c r="D329" s="10">
        <f>CHOOSE(CONTROL!$C$42, 10.5331, 10.5331) * CHOOSE(CONTROL!$C$21, $C$9, 100%, $E$9)</f>
        <v>10.533099999999999</v>
      </c>
      <c r="E329" s="10">
        <f>CHOOSE(CONTROL!$C$42, 10.5644, 10.5644) * CHOOSE(CONTROL!$C$21, $C$9, 100%, $E$9)</f>
        <v>10.564399999999999</v>
      </c>
      <c r="F329" s="10">
        <f>CHOOSE(CONTROL!$C$42, 10.3122, 10.3122)*CHOOSE(CONTROL!$C$21, $C$9, 100%, $E$9)</f>
        <v>10.312200000000001</v>
      </c>
      <c r="G329" s="10">
        <f>CHOOSE(CONTROL!$C$42, 10.3284, 10.3284)*CHOOSE(CONTROL!$C$21, $C$9, 100%, $E$9)</f>
        <v>10.3284</v>
      </c>
      <c r="H329" s="10">
        <f>CHOOSE(CONTROL!$C$42, 10.5527, 10.5527) * CHOOSE(CONTROL!$C$21, $C$9, 100%, $E$9)</f>
        <v>10.5527</v>
      </c>
      <c r="I329" s="10">
        <f>CHOOSE(CONTROL!$C$42, 10.3469, 10.3469)* CHOOSE(CONTROL!$C$21, $C$9, 100%, $E$9)</f>
        <v>10.3469</v>
      </c>
      <c r="J329" s="10">
        <f>CHOOSE(CONTROL!$C$42, 10.3048, 10.3048)* CHOOSE(CONTROL!$C$21, $C$9, 100%, $E$9)</f>
        <v>10.3048</v>
      </c>
      <c r="K329" s="10">
        <f>CHOOSE(CONTROL!$C$42, 10.1831, 10.1831) * CHOOSE(CONTROL!$C$21, $C$9, 100%, $E$9)</f>
        <v>10.1831</v>
      </c>
      <c r="L329" s="10">
        <f>CHOOSE(CONTROL!$C$42, 11.1397, 11.1397) * CHOOSE(CONTROL!$C$21, $C$9, 100%, $E$9)</f>
        <v>11.139699999999999</v>
      </c>
      <c r="M329" s="10">
        <f>CHOOSE(CONTROL!$C$42, 10.1941, 10.1941) * CHOOSE(CONTROL!$C$21, $C$9, 100%, $E$9)</f>
        <v>10.194100000000001</v>
      </c>
      <c r="N329" s="10">
        <f>CHOOSE(CONTROL!$C$42, 10.21, 10.21) * CHOOSE(CONTROL!$C$21, $C$9, 100%, $E$9)</f>
        <v>10.210000000000001</v>
      </c>
      <c r="O329" s="10">
        <f>CHOOSE(CONTROL!$C$42, 10.4385, 10.4385) * CHOOSE(CONTROL!$C$21, $C$9, 100%, $E$9)</f>
        <v>10.438499999999999</v>
      </c>
      <c r="P329" s="10">
        <f>CHOOSE(CONTROL!$C$42, 10.2356, 10.2356) * CHOOSE(CONTROL!$C$21, $C$9, 100%, $E$9)</f>
        <v>10.2356</v>
      </c>
      <c r="Q329" s="10">
        <f>CHOOSE(CONTROL!$C$42, 11.0338, 11.0338) * CHOOSE(CONTROL!$C$21, $C$9, 100%, $E$9)</f>
        <v>11.033799999999999</v>
      </c>
      <c r="R329" s="10">
        <f>CHOOSE(CONTROL!$C$42, 11.6484, 11.6484) * CHOOSE(CONTROL!$C$21, $C$9, 100%, $E$9)</f>
        <v>11.648400000000001</v>
      </c>
      <c r="S329" s="10">
        <f>CHOOSE(CONTROL!$C$42, 10.054, 10.054) * CHOOSE(CONTROL!$C$21, $C$9, 100%, $E$9)</f>
        <v>10.054</v>
      </c>
      <c r="T32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29" s="38">
        <f>(1000*CHOOSE(CONTROL!$C$42, 695, 695)*CHOOSE(CONTROL!$C$42, 0.5599, 0.5599)*CHOOSE(CONTROL!$C$42, 31, 31))/1000000</f>
        <v>12.063045499999998</v>
      </c>
      <c r="V329" s="38">
        <f>(1000*CHOOSE(CONTROL!$C$42, 500, 500)*CHOOSE(CONTROL!$C$42, 0.275, 0.275)*CHOOSE(CONTROL!$C$42, 31, 31))/1000000</f>
        <v>4.2625000000000002</v>
      </c>
      <c r="W329" s="38">
        <f>(1000*CHOOSE(CONTROL!$C$42, 0.1146, 0.1146)*CHOOSE(CONTROL!$C$42, 121.5, 121.5)*CHOOSE(CONTROL!$C$42, 31, 31))/1000000</f>
        <v>0.43164089999999994</v>
      </c>
      <c r="X329" s="38">
        <f>(31*0.1790888*245000/1000000)+(31*0.2374*100000/1000000)</f>
        <v>2.0961194359999999</v>
      </c>
      <c r="Y329" s="38">
        <f>(1000*600*CHOOSE(CONTROL!$C$42, 1.6302, 1.6302)*CHOOSE(CONTROL!$C$42, 31, 31))/1000000</f>
        <v>30.321719999999999</v>
      </c>
      <c r="Z329" s="38"/>
      <c r="AA329" s="10"/>
      <c r="AB329" s="39"/>
      <c r="AC329" s="33">
        <f>(B329*194.205+C329*267.466+D329*133.845+E329*53.484+F329*40+G329*185+H329*0+I329*100+J329*300)/(194.205+267.466+133.845+53.484+0+40+185+100+300)</f>
        <v>10.371265276452121</v>
      </c>
      <c r="AD329" s="27">
        <f>(M329*'RAP TEMPLATE-GAS AVAILABILITY'!O328+N329*'RAP TEMPLATE-GAS AVAILABILITY'!P328+O329*'RAP TEMPLATE-GAS AVAILABILITY'!Q328+P329*'RAP TEMPLATE-GAS AVAILABILITY'!R328)/('RAP TEMPLATE-GAS AVAILABILITY'!O328+'RAP TEMPLATE-GAS AVAILABILITY'!P328+'RAP TEMPLATE-GAS AVAILABILITY'!Q328+'RAP TEMPLATE-GAS AVAILABILITY'!R328)</f>
        <v>10.272304316546762</v>
      </c>
    </row>
    <row r="330" spans="1:30" ht="15.75">
      <c r="A330" s="14">
        <v>51317</v>
      </c>
      <c r="B330" s="10">
        <f>CHOOSE(CONTROL!$C$42, 10.6626, 10.6626) * CHOOSE(CONTROL!$C$21, $C$9, 100%, $E$9)</f>
        <v>10.662599999999999</v>
      </c>
      <c r="C330" s="10">
        <f>CHOOSE(CONTROL!$C$42, 10.6706, 10.6706) * CHOOSE(CONTROL!$C$21, $C$9, 100%, $E$9)</f>
        <v>10.6706</v>
      </c>
      <c r="D330" s="10">
        <f>CHOOSE(CONTROL!$C$42, 10.8276, 10.8276) * CHOOSE(CONTROL!$C$21, $C$9, 100%, $E$9)</f>
        <v>10.8276</v>
      </c>
      <c r="E330" s="10">
        <f>CHOOSE(CONTROL!$C$42, 10.8589, 10.8589) * CHOOSE(CONTROL!$C$21, $C$9, 100%, $E$9)</f>
        <v>10.8589</v>
      </c>
      <c r="F330" s="10">
        <f>CHOOSE(CONTROL!$C$42, 10.6069, 10.6069)*CHOOSE(CONTROL!$C$21, $C$9, 100%, $E$9)</f>
        <v>10.6069</v>
      </c>
      <c r="G330" s="10">
        <f>CHOOSE(CONTROL!$C$42, 10.6231, 10.6231)*CHOOSE(CONTROL!$C$21, $C$9, 100%, $E$9)</f>
        <v>10.623100000000001</v>
      </c>
      <c r="H330" s="10">
        <f>CHOOSE(CONTROL!$C$42, 10.8472, 10.8472) * CHOOSE(CONTROL!$C$21, $C$9, 100%, $E$9)</f>
        <v>10.847200000000001</v>
      </c>
      <c r="I330" s="10">
        <f>CHOOSE(CONTROL!$C$42, 10.6414, 10.6414)* CHOOSE(CONTROL!$C$21, $C$9, 100%, $E$9)</f>
        <v>10.641400000000001</v>
      </c>
      <c r="J330" s="10">
        <f>CHOOSE(CONTROL!$C$42, 10.5995, 10.5995)* CHOOSE(CONTROL!$C$21, $C$9, 100%, $E$9)</f>
        <v>10.599500000000001</v>
      </c>
      <c r="K330" s="10">
        <f>CHOOSE(CONTROL!$C$42, 10.4688, 10.4688) * CHOOSE(CONTROL!$C$21, $C$9, 100%, $E$9)</f>
        <v>10.4688</v>
      </c>
      <c r="L330" s="10">
        <f>CHOOSE(CONTROL!$C$42, 11.4342, 11.4342) * CHOOSE(CONTROL!$C$21, $C$9, 100%, $E$9)</f>
        <v>11.434200000000001</v>
      </c>
      <c r="M330" s="10">
        <f>CHOOSE(CONTROL!$C$42, 10.4847, 10.4847) * CHOOSE(CONTROL!$C$21, $C$9, 100%, $E$9)</f>
        <v>10.4847</v>
      </c>
      <c r="N330" s="10">
        <f>CHOOSE(CONTROL!$C$42, 10.5006, 10.5006) * CHOOSE(CONTROL!$C$21, $C$9, 100%, $E$9)</f>
        <v>10.5006</v>
      </c>
      <c r="O330" s="10">
        <f>CHOOSE(CONTROL!$C$42, 10.7289, 10.7289) * CHOOSE(CONTROL!$C$21, $C$9, 100%, $E$9)</f>
        <v>10.728899999999999</v>
      </c>
      <c r="P330" s="10">
        <f>CHOOSE(CONTROL!$C$42, 10.526, 10.526) * CHOOSE(CONTROL!$C$21, $C$9, 100%, $E$9)</f>
        <v>10.526</v>
      </c>
      <c r="Q330" s="10">
        <f>CHOOSE(CONTROL!$C$42, 11.3242, 11.3242) * CHOOSE(CONTROL!$C$21, $C$9, 100%, $E$9)</f>
        <v>11.324199999999999</v>
      </c>
      <c r="R330" s="10">
        <f>CHOOSE(CONTROL!$C$42, 11.9395, 11.9395) * CHOOSE(CONTROL!$C$21, $C$9, 100%, $E$9)</f>
        <v>11.939500000000001</v>
      </c>
      <c r="S330" s="10">
        <f>CHOOSE(CONTROL!$C$42, 10.3392, 10.3392) * CHOOSE(CONTROL!$C$21, $C$9, 100%, $E$9)</f>
        <v>10.3392</v>
      </c>
      <c r="T33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30" s="38">
        <f>(1000*CHOOSE(CONTROL!$C$42, 695, 695)*CHOOSE(CONTROL!$C$42, 0.5599, 0.5599)*CHOOSE(CONTROL!$C$42, 30, 30))/1000000</f>
        <v>11.673914999999997</v>
      </c>
      <c r="V330" s="38">
        <f>(1000*CHOOSE(CONTROL!$C$42, 500, 500)*CHOOSE(CONTROL!$C$42, 0.275, 0.275)*CHOOSE(CONTROL!$C$42, 30, 30))/1000000</f>
        <v>4.125</v>
      </c>
      <c r="W330" s="38">
        <f>(1000*CHOOSE(CONTROL!$C$42, 0.1146, 0.1146)*CHOOSE(CONTROL!$C$42, 121.5, 121.5)*CHOOSE(CONTROL!$C$42, 30, 30))/1000000</f>
        <v>0.417717</v>
      </c>
      <c r="X330" s="38">
        <f>(30*0.1790888*245000/1000000)+(30*0.2374*100000/1000000)</f>
        <v>2.0285026799999999</v>
      </c>
      <c r="Y330" s="38">
        <f>(1000*600*CHOOSE(CONTROL!$C$42, 1.6302, 1.6302)*CHOOSE(CONTROL!$C$42, 30, 30))/1000000</f>
        <v>29.343599999999999</v>
      </c>
      <c r="Z330" s="38"/>
      <c r="AA330" s="10"/>
      <c r="AB330" s="39"/>
      <c r="AC330" s="33">
        <f>(B330*194.205+C330*267.466+D330*133.845+E330*53.484+F330*40+G330*185+H330*0+I330*100+J330*300)/(194.205+267.466+133.845+53.484+0+40+185+100+300)</f>
        <v>10.665847694034536</v>
      </c>
      <c r="AD330" s="27">
        <f>(M330*'RAP TEMPLATE-GAS AVAILABILITY'!O329+N330*'RAP TEMPLATE-GAS AVAILABILITY'!P329+O330*'RAP TEMPLATE-GAS AVAILABILITY'!Q329+P330*'RAP TEMPLATE-GAS AVAILABILITY'!R329)/('RAP TEMPLATE-GAS AVAILABILITY'!O329+'RAP TEMPLATE-GAS AVAILABILITY'!P329+'RAP TEMPLATE-GAS AVAILABILITY'!Q329+'RAP TEMPLATE-GAS AVAILABILITY'!R329)</f>
        <v>10.562819424460431</v>
      </c>
    </row>
    <row r="331" spans="1:30" ht="15.75">
      <c r="A331" s="14">
        <v>51348</v>
      </c>
      <c r="B331" s="10">
        <f>CHOOSE(CONTROL!$C$42, 10.4578, 10.4578) * CHOOSE(CONTROL!$C$21, $C$9, 100%, $E$9)</f>
        <v>10.457800000000001</v>
      </c>
      <c r="C331" s="10">
        <f>CHOOSE(CONTROL!$C$42, 10.4658, 10.4658) * CHOOSE(CONTROL!$C$21, $C$9, 100%, $E$9)</f>
        <v>10.4658</v>
      </c>
      <c r="D331" s="10">
        <f>CHOOSE(CONTROL!$C$42, 10.6228, 10.6228) * CHOOSE(CONTROL!$C$21, $C$9, 100%, $E$9)</f>
        <v>10.6228</v>
      </c>
      <c r="E331" s="10">
        <f>CHOOSE(CONTROL!$C$42, 10.654, 10.654) * CHOOSE(CONTROL!$C$21, $C$9, 100%, $E$9)</f>
        <v>10.654</v>
      </c>
      <c r="F331" s="10">
        <f>CHOOSE(CONTROL!$C$42, 10.4024, 10.4024)*CHOOSE(CONTROL!$C$21, $C$9, 100%, $E$9)</f>
        <v>10.4024</v>
      </c>
      <c r="G331" s="10">
        <f>CHOOSE(CONTROL!$C$42, 10.4187, 10.4187)*CHOOSE(CONTROL!$C$21, $C$9, 100%, $E$9)</f>
        <v>10.418699999999999</v>
      </c>
      <c r="H331" s="10">
        <f>CHOOSE(CONTROL!$C$42, 10.6424, 10.6424) * CHOOSE(CONTROL!$C$21, $C$9, 100%, $E$9)</f>
        <v>10.6424</v>
      </c>
      <c r="I331" s="10">
        <f>CHOOSE(CONTROL!$C$42, 10.4366, 10.4366)* CHOOSE(CONTROL!$C$21, $C$9, 100%, $E$9)</f>
        <v>10.4366</v>
      </c>
      <c r="J331" s="10">
        <f>CHOOSE(CONTROL!$C$42, 10.395, 10.395)* CHOOSE(CONTROL!$C$21, $C$9, 100%, $E$9)</f>
        <v>10.395</v>
      </c>
      <c r="K331" s="10">
        <f>CHOOSE(CONTROL!$C$42, 10.2711, 10.2711) * CHOOSE(CONTROL!$C$21, $C$9, 100%, $E$9)</f>
        <v>10.271100000000001</v>
      </c>
      <c r="L331" s="10">
        <f>CHOOSE(CONTROL!$C$42, 11.2294, 11.2294) * CHOOSE(CONTROL!$C$21, $C$9, 100%, $E$9)</f>
        <v>11.2294</v>
      </c>
      <c r="M331" s="10">
        <f>CHOOSE(CONTROL!$C$42, 10.283, 10.283) * CHOOSE(CONTROL!$C$21, $C$9, 100%, $E$9)</f>
        <v>10.282999999999999</v>
      </c>
      <c r="N331" s="10">
        <f>CHOOSE(CONTROL!$C$42, 10.299, 10.299) * CHOOSE(CONTROL!$C$21, $C$9, 100%, $E$9)</f>
        <v>10.298999999999999</v>
      </c>
      <c r="O331" s="10">
        <f>CHOOSE(CONTROL!$C$42, 10.5269, 10.5269) * CHOOSE(CONTROL!$C$21, $C$9, 100%, $E$9)</f>
        <v>10.526899999999999</v>
      </c>
      <c r="P331" s="10">
        <f>CHOOSE(CONTROL!$C$42, 10.324, 10.324) * CHOOSE(CONTROL!$C$21, $C$9, 100%, $E$9)</f>
        <v>10.324</v>
      </c>
      <c r="Q331" s="10">
        <f>CHOOSE(CONTROL!$C$42, 11.1222, 11.1222) * CHOOSE(CONTROL!$C$21, $C$9, 100%, $E$9)</f>
        <v>11.122199999999999</v>
      </c>
      <c r="R331" s="10">
        <f>CHOOSE(CONTROL!$C$42, 11.737, 11.737) * CHOOSE(CONTROL!$C$21, $C$9, 100%, $E$9)</f>
        <v>11.737</v>
      </c>
      <c r="S331" s="10">
        <f>CHOOSE(CONTROL!$C$42, 10.1409, 10.1409) * CHOOSE(CONTROL!$C$21, $C$9, 100%, $E$9)</f>
        <v>10.1409</v>
      </c>
      <c r="T33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31" s="38">
        <f>(1000*CHOOSE(CONTROL!$C$42, 695, 695)*CHOOSE(CONTROL!$C$42, 0.5599, 0.5599)*CHOOSE(CONTROL!$C$42, 31, 31))/1000000</f>
        <v>12.063045499999998</v>
      </c>
      <c r="V331" s="38">
        <f>(1000*CHOOSE(CONTROL!$C$42, 500, 500)*CHOOSE(CONTROL!$C$42, 0.275, 0.275)*CHOOSE(CONTROL!$C$42, 31, 31))/1000000</f>
        <v>4.2625000000000002</v>
      </c>
      <c r="W331" s="38">
        <f>(1000*CHOOSE(CONTROL!$C$42, 0.1146, 0.1146)*CHOOSE(CONTROL!$C$42, 121.5, 121.5)*CHOOSE(CONTROL!$C$42, 31, 31))/1000000</f>
        <v>0.43164089999999994</v>
      </c>
      <c r="X331" s="38">
        <f>(31*0.1790888*245000/1000000)+(31*0.2374*100000/1000000)</f>
        <v>2.0961194359999999</v>
      </c>
      <c r="Y331" s="38">
        <f>(1000*600*CHOOSE(CONTROL!$C$42, 1.6302, 1.6302)*CHOOSE(CONTROL!$C$42, 31, 31))/1000000</f>
        <v>30.321719999999999</v>
      </c>
      <c r="Z331" s="38"/>
      <c r="AA331" s="10"/>
      <c r="AB331" s="39"/>
      <c r="AC331" s="33">
        <f>(B331*194.205+C331*267.466+D331*133.845+E331*53.484+F331*40+G331*185+H331*0+I331*100+J331*300)/(194.205+267.466+133.845+53.484+0+40+185+100+300)</f>
        <v>10.461181643485086</v>
      </c>
      <c r="AD331" s="27">
        <f>(M331*'RAP TEMPLATE-GAS AVAILABILITY'!O330+N331*'RAP TEMPLATE-GAS AVAILABILITY'!P330+O331*'RAP TEMPLATE-GAS AVAILABILITY'!Q330+P331*'RAP TEMPLATE-GAS AVAILABILITY'!R330)/('RAP TEMPLATE-GAS AVAILABILITY'!O330+'RAP TEMPLATE-GAS AVAILABILITY'!P330+'RAP TEMPLATE-GAS AVAILABILITY'!Q330+'RAP TEMPLATE-GAS AVAILABILITY'!R330)</f>
        <v>10.361015107913671</v>
      </c>
    </row>
    <row r="332" spans="1:30" ht="15.75">
      <c r="A332" s="14">
        <v>51379</v>
      </c>
      <c r="B332" s="10">
        <f>CHOOSE(CONTROL!$C$42, 9.9405, 9.9405) * CHOOSE(CONTROL!$C$21, $C$9, 100%, $E$9)</f>
        <v>9.9405000000000001</v>
      </c>
      <c r="C332" s="10">
        <f>CHOOSE(CONTROL!$C$42, 9.9485, 9.9485) * CHOOSE(CONTROL!$C$21, $C$9, 100%, $E$9)</f>
        <v>9.9484999999999992</v>
      </c>
      <c r="D332" s="10">
        <f>CHOOSE(CONTROL!$C$42, 10.1056, 10.1056) * CHOOSE(CONTROL!$C$21, $C$9, 100%, $E$9)</f>
        <v>10.105600000000001</v>
      </c>
      <c r="E332" s="10">
        <f>CHOOSE(CONTROL!$C$42, 10.1368, 10.1368) * CHOOSE(CONTROL!$C$21, $C$9, 100%, $E$9)</f>
        <v>10.136799999999999</v>
      </c>
      <c r="F332" s="10">
        <f>CHOOSE(CONTROL!$C$42, 9.8851, 9.8851)*CHOOSE(CONTROL!$C$21, $C$9, 100%, $E$9)</f>
        <v>9.8850999999999996</v>
      </c>
      <c r="G332" s="10">
        <f>CHOOSE(CONTROL!$C$42, 9.9013, 9.9013)*CHOOSE(CONTROL!$C$21, $C$9, 100%, $E$9)</f>
        <v>9.9013000000000009</v>
      </c>
      <c r="H332" s="10">
        <f>CHOOSE(CONTROL!$C$42, 10.1251, 10.1251) * CHOOSE(CONTROL!$C$21, $C$9, 100%, $E$9)</f>
        <v>10.1251</v>
      </c>
      <c r="I332" s="10">
        <f>CHOOSE(CONTROL!$C$42, 9.9193, 9.9193)* CHOOSE(CONTROL!$C$21, $C$9, 100%, $E$9)</f>
        <v>9.9192999999999998</v>
      </c>
      <c r="J332" s="10">
        <f>CHOOSE(CONTROL!$C$42, 9.8777, 9.8777)* CHOOSE(CONTROL!$C$21, $C$9, 100%, $E$9)</f>
        <v>9.8777000000000008</v>
      </c>
      <c r="K332" s="10">
        <f>CHOOSE(CONTROL!$C$42, 9.7698, 9.7698) * CHOOSE(CONTROL!$C$21, $C$9, 100%, $E$9)</f>
        <v>9.7698</v>
      </c>
      <c r="L332" s="10">
        <f>CHOOSE(CONTROL!$C$42, 10.7121, 10.7121) * CHOOSE(CONTROL!$C$21, $C$9, 100%, $E$9)</f>
        <v>10.7121</v>
      </c>
      <c r="M332" s="10">
        <f>CHOOSE(CONTROL!$C$42, 9.7729, 9.7729) * CHOOSE(CONTROL!$C$21, $C$9, 100%, $E$9)</f>
        <v>9.7728999999999999</v>
      </c>
      <c r="N332" s="10">
        <f>CHOOSE(CONTROL!$C$42, 9.7889, 9.7889) * CHOOSE(CONTROL!$C$21, $C$9, 100%, $E$9)</f>
        <v>9.7888999999999999</v>
      </c>
      <c r="O332" s="10">
        <f>CHOOSE(CONTROL!$C$42, 10.0169, 10.0169) * CHOOSE(CONTROL!$C$21, $C$9, 100%, $E$9)</f>
        <v>10.0169</v>
      </c>
      <c r="P332" s="10">
        <f>CHOOSE(CONTROL!$C$42, 9.814, 9.814) * CHOOSE(CONTROL!$C$21, $C$9, 100%, $E$9)</f>
        <v>9.8140000000000001</v>
      </c>
      <c r="Q332" s="10">
        <f>CHOOSE(CONTROL!$C$42, 10.6122, 10.6122) * CHOOSE(CONTROL!$C$21, $C$9, 100%, $E$9)</f>
        <v>10.6122</v>
      </c>
      <c r="R332" s="10">
        <f>CHOOSE(CONTROL!$C$42, 11.2257, 11.2257) * CHOOSE(CONTROL!$C$21, $C$9, 100%, $E$9)</f>
        <v>11.2257</v>
      </c>
      <c r="S332" s="10">
        <f>CHOOSE(CONTROL!$C$42, 9.64, 9.64) * CHOOSE(CONTROL!$C$21, $C$9, 100%, $E$9)</f>
        <v>9.64</v>
      </c>
      <c r="T33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32" s="38">
        <f>(1000*CHOOSE(CONTROL!$C$42, 695, 695)*CHOOSE(CONTROL!$C$42, 0.5599, 0.5599)*CHOOSE(CONTROL!$C$42, 31, 31))/1000000</f>
        <v>12.063045499999998</v>
      </c>
      <c r="V332" s="38">
        <f>(1000*CHOOSE(CONTROL!$C$42, 500, 500)*CHOOSE(CONTROL!$C$42, 0.275, 0.275)*CHOOSE(CONTROL!$C$42, 31, 31))/1000000</f>
        <v>4.2625000000000002</v>
      </c>
      <c r="W332" s="38">
        <f>(1000*CHOOSE(CONTROL!$C$42, 0.1146, 0.1146)*CHOOSE(CONTROL!$C$42, 121.5, 121.5)*CHOOSE(CONTROL!$C$42, 31, 31))/1000000</f>
        <v>0.43164089999999994</v>
      </c>
      <c r="X332" s="38">
        <f>(31*0.1790888*245000/1000000)+(31*0.2374*100000/1000000)</f>
        <v>2.0961194359999999</v>
      </c>
      <c r="Y332" s="38">
        <f>(1000*600*CHOOSE(CONTROL!$C$42, 1.6302, 1.6302)*CHOOSE(CONTROL!$C$42, 31, 31))/1000000</f>
        <v>30.321719999999999</v>
      </c>
      <c r="Z332" s="38"/>
      <c r="AA332" s="10"/>
      <c r="AB332" s="39"/>
      <c r="AC332" s="33">
        <f>(B332*194.205+C332*267.466+D332*133.845+E332*53.484+F332*40+G332*185+H332*0+I332*100+J332*300)/(194.205+267.466+133.845+53.484+0+40+185+100+300)</f>
        <v>9.9438818262951347</v>
      </c>
      <c r="AD332" s="27">
        <f>(M332*'RAP TEMPLATE-GAS AVAILABILITY'!O331+N332*'RAP TEMPLATE-GAS AVAILABILITY'!P331+O332*'RAP TEMPLATE-GAS AVAILABILITY'!Q331+P332*'RAP TEMPLATE-GAS AVAILABILITY'!R331)/('RAP TEMPLATE-GAS AVAILABILITY'!O331+'RAP TEMPLATE-GAS AVAILABILITY'!P331+'RAP TEMPLATE-GAS AVAILABILITY'!Q331+'RAP TEMPLATE-GAS AVAILABILITY'!R331)</f>
        <v>9.8509575539568353</v>
      </c>
    </row>
    <row r="333" spans="1:30" ht="15.75">
      <c r="A333" s="14">
        <v>51409</v>
      </c>
      <c r="B333" s="10">
        <f>CHOOSE(CONTROL!$C$42, 9.3086, 9.3086) * CHOOSE(CONTROL!$C$21, $C$9, 100%, $E$9)</f>
        <v>9.3086000000000002</v>
      </c>
      <c r="C333" s="10">
        <f>CHOOSE(CONTROL!$C$42, 9.3166, 9.3166) * CHOOSE(CONTROL!$C$21, $C$9, 100%, $E$9)</f>
        <v>9.3165999999999993</v>
      </c>
      <c r="D333" s="10">
        <f>CHOOSE(CONTROL!$C$42, 9.4736, 9.4736) * CHOOSE(CONTROL!$C$21, $C$9, 100%, $E$9)</f>
        <v>9.4735999999999994</v>
      </c>
      <c r="E333" s="10">
        <f>CHOOSE(CONTROL!$C$42, 9.5048, 9.5048) * CHOOSE(CONTROL!$C$21, $C$9, 100%, $E$9)</f>
        <v>9.5047999999999995</v>
      </c>
      <c r="F333" s="10">
        <f>CHOOSE(CONTROL!$C$42, 9.2529, 9.2529)*CHOOSE(CONTROL!$C$21, $C$9, 100%, $E$9)</f>
        <v>9.2529000000000003</v>
      </c>
      <c r="G333" s="10">
        <f>CHOOSE(CONTROL!$C$42, 9.2691, 9.2691)*CHOOSE(CONTROL!$C$21, $C$9, 100%, $E$9)</f>
        <v>9.2690999999999999</v>
      </c>
      <c r="H333" s="10">
        <f>CHOOSE(CONTROL!$C$42, 9.4932, 9.4932) * CHOOSE(CONTROL!$C$21, $C$9, 100%, $E$9)</f>
        <v>9.4931999999999999</v>
      </c>
      <c r="I333" s="10">
        <f>CHOOSE(CONTROL!$C$42, 9.2873, 9.2873)* CHOOSE(CONTROL!$C$21, $C$9, 100%, $E$9)</f>
        <v>9.2873000000000001</v>
      </c>
      <c r="J333" s="10">
        <f>CHOOSE(CONTROL!$C$42, 9.2455, 9.2455)* CHOOSE(CONTROL!$C$21, $C$9, 100%, $E$9)</f>
        <v>9.2454999999999998</v>
      </c>
      <c r="K333" s="10">
        <f>CHOOSE(CONTROL!$C$42, 9.1572, 9.1572) * CHOOSE(CONTROL!$C$21, $C$9, 100%, $E$9)</f>
        <v>9.1571999999999996</v>
      </c>
      <c r="L333" s="10">
        <f>CHOOSE(CONTROL!$C$42, 10.0802, 10.0802) * CHOOSE(CONTROL!$C$21, $C$9, 100%, $E$9)</f>
        <v>10.0802</v>
      </c>
      <c r="M333" s="10">
        <f>CHOOSE(CONTROL!$C$42, 9.1496, 9.1496) * CHOOSE(CONTROL!$C$21, $C$9, 100%, $E$9)</f>
        <v>9.1495999999999995</v>
      </c>
      <c r="N333" s="10">
        <f>CHOOSE(CONTROL!$C$42, 9.1655, 9.1655) * CHOOSE(CONTROL!$C$21, $C$9, 100%, $E$9)</f>
        <v>9.1654999999999998</v>
      </c>
      <c r="O333" s="10">
        <f>CHOOSE(CONTROL!$C$42, 9.3937, 9.3937) * CHOOSE(CONTROL!$C$21, $C$9, 100%, $E$9)</f>
        <v>9.3937000000000008</v>
      </c>
      <c r="P333" s="10">
        <f>CHOOSE(CONTROL!$C$42, 9.1909, 9.1909) * CHOOSE(CONTROL!$C$21, $C$9, 100%, $E$9)</f>
        <v>9.1908999999999992</v>
      </c>
      <c r="Q333" s="10">
        <f>CHOOSE(CONTROL!$C$42, 9.989, 9.989) * CHOOSE(CONTROL!$C$21, $C$9, 100%, $E$9)</f>
        <v>9.9890000000000008</v>
      </c>
      <c r="R333" s="10">
        <f>CHOOSE(CONTROL!$C$42, 10.601, 10.601) * CHOOSE(CONTROL!$C$21, $C$9, 100%, $E$9)</f>
        <v>10.601000000000001</v>
      </c>
      <c r="S333" s="10">
        <f>CHOOSE(CONTROL!$C$42, 9.0281, 9.0281) * CHOOSE(CONTROL!$C$21, $C$9, 100%, $E$9)</f>
        <v>9.0281000000000002</v>
      </c>
      <c r="T33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33" s="38">
        <f>(1000*CHOOSE(CONTROL!$C$42, 695, 695)*CHOOSE(CONTROL!$C$42, 0.5599, 0.5599)*CHOOSE(CONTROL!$C$42, 30, 30))/1000000</f>
        <v>11.673914999999997</v>
      </c>
      <c r="V333" s="38">
        <f>(1000*CHOOSE(CONTROL!$C$42, 500, 500)*CHOOSE(CONTROL!$C$42, 0.275, 0.275)*CHOOSE(CONTROL!$C$42, 30, 30))/1000000</f>
        <v>4.125</v>
      </c>
      <c r="W333" s="38">
        <f>(1000*CHOOSE(CONTROL!$C$42, 0.1146, 0.1146)*CHOOSE(CONTROL!$C$42, 121.5, 121.5)*CHOOSE(CONTROL!$C$42, 30, 30))/1000000</f>
        <v>0.417717</v>
      </c>
      <c r="X333" s="38">
        <f>(30*0.1790888*245000/1000000)+(30*0.2374*100000/1000000)</f>
        <v>2.0285026799999999</v>
      </c>
      <c r="Y333" s="38">
        <f>(1000*600*CHOOSE(CONTROL!$C$42, 1.6302, 1.6302)*CHOOSE(CONTROL!$C$42, 30, 30))/1000000</f>
        <v>29.343599999999999</v>
      </c>
      <c r="Z333" s="38"/>
      <c r="AA333" s="10"/>
      <c r="AB333" s="39"/>
      <c r="AC333" s="33">
        <f>(B333*194.205+C333*267.466+D333*133.845+E333*53.484+F333*40+G333*185+H333*0+I333*100+J333*300)/(194.205+267.466+133.845+53.484+0+40+185+100+300)</f>
        <v>9.3118356466248038</v>
      </c>
      <c r="AD333" s="27">
        <f>(M333*'RAP TEMPLATE-GAS AVAILABILITY'!O332+N333*'RAP TEMPLATE-GAS AVAILABILITY'!P332+O333*'RAP TEMPLATE-GAS AVAILABILITY'!Q332+P333*'RAP TEMPLATE-GAS AVAILABILITY'!R332)/('RAP TEMPLATE-GAS AVAILABILITY'!O332+'RAP TEMPLATE-GAS AVAILABILITY'!P332+'RAP TEMPLATE-GAS AVAILABILITY'!Q332+'RAP TEMPLATE-GAS AVAILABILITY'!R332)</f>
        <v>9.2276913669064751</v>
      </c>
    </row>
    <row r="334" spans="1:30" ht="15.75">
      <c r="A334" s="14">
        <v>51440</v>
      </c>
      <c r="B334" s="10">
        <f>CHOOSE(CONTROL!$C$42, 9.1171, 9.1171) * CHOOSE(CONTROL!$C$21, $C$9, 100%, $E$9)</f>
        <v>9.1171000000000006</v>
      </c>
      <c r="C334" s="10">
        <f>CHOOSE(CONTROL!$C$42, 9.1225, 9.1225) * CHOOSE(CONTROL!$C$21, $C$9, 100%, $E$9)</f>
        <v>9.1225000000000005</v>
      </c>
      <c r="D334" s="10">
        <f>CHOOSE(CONTROL!$C$42, 9.2844, 9.2844) * CHOOSE(CONTROL!$C$21, $C$9, 100%, $E$9)</f>
        <v>9.2843999999999998</v>
      </c>
      <c r="E334" s="10">
        <f>CHOOSE(CONTROL!$C$42, 9.3133, 9.3133) * CHOOSE(CONTROL!$C$21, $C$9, 100%, $E$9)</f>
        <v>9.3132999999999999</v>
      </c>
      <c r="F334" s="10">
        <f>CHOOSE(CONTROL!$C$42, 9.0635, 9.0635)*CHOOSE(CONTROL!$C$21, $C$9, 100%, $E$9)</f>
        <v>9.0634999999999994</v>
      </c>
      <c r="G334" s="10">
        <f>CHOOSE(CONTROL!$C$42, 9.0793, 9.0793)*CHOOSE(CONTROL!$C$21, $C$9, 100%, $E$9)</f>
        <v>9.0792999999999999</v>
      </c>
      <c r="H334" s="10">
        <f>CHOOSE(CONTROL!$C$42, 9.3034, 9.3034) * CHOOSE(CONTROL!$C$21, $C$9, 100%, $E$9)</f>
        <v>9.3033999999999999</v>
      </c>
      <c r="I334" s="10">
        <f>CHOOSE(CONTROL!$C$42, 9.0976, 9.0976)* CHOOSE(CONTROL!$C$21, $C$9, 100%, $E$9)</f>
        <v>9.0975999999999999</v>
      </c>
      <c r="J334" s="10">
        <f>CHOOSE(CONTROL!$C$42, 9.0561, 9.0561)* CHOOSE(CONTROL!$C$21, $C$9, 100%, $E$9)</f>
        <v>9.0561000000000007</v>
      </c>
      <c r="K334" s="10">
        <f>CHOOSE(CONTROL!$C$42, 8.974, 8.974) * CHOOSE(CONTROL!$C$21, $C$9, 100%, $E$9)</f>
        <v>8.9740000000000002</v>
      </c>
      <c r="L334" s="10">
        <f>CHOOSE(CONTROL!$C$42, 9.8904, 9.8904) * CHOOSE(CONTROL!$C$21, $C$9, 100%, $E$9)</f>
        <v>9.8903999999999996</v>
      </c>
      <c r="M334" s="10">
        <f>CHOOSE(CONTROL!$C$42, 8.9628, 8.9628) * CHOOSE(CONTROL!$C$21, $C$9, 100%, $E$9)</f>
        <v>8.9627999999999997</v>
      </c>
      <c r="N334" s="10">
        <f>CHOOSE(CONTROL!$C$42, 8.9784, 8.9784) * CHOOSE(CONTROL!$C$21, $C$9, 100%, $E$9)</f>
        <v>8.9784000000000006</v>
      </c>
      <c r="O334" s="10">
        <f>CHOOSE(CONTROL!$C$42, 9.2067, 9.2067) * CHOOSE(CONTROL!$C$21, $C$9, 100%, $E$9)</f>
        <v>9.2066999999999997</v>
      </c>
      <c r="P334" s="10">
        <f>CHOOSE(CONTROL!$C$42, 9.0038, 9.0038) * CHOOSE(CONTROL!$C$21, $C$9, 100%, $E$9)</f>
        <v>9.0038</v>
      </c>
      <c r="Q334" s="10">
        <f>CHOOSE(CONTROL!$C$42, 9.802, 9.802) * CHOOSE(CONTROL!$C$21, $C$9, 100%, $E$9)</f>
        <v>9.8019999999999996</v>
      </c>
      <c r="R334" s="10">
        <f>CHOOSE(CONTROL!$C$42, 10.4135, 10.4135) * CHOOSE(CONTROL!$C$21, $C$9, 100%, $E$9)</f>
        <v>10.413500000000001</v>
      </c>
      <c r="S334" s="10">
        <f>CHOOSE(CONTROL!$C$42, 8.8444, 8.8444) * CHOOSE(CONTROL!$C$21, $C$9, 100%, $E$9)</f>
        <v>8.8444000000000003</v>
      </c>
      <c r="T33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34" s="38">
        <f>(1000*CHOOSE(CONTROL!$C$42, 695, 695)*CHOOSE(CONTROL!$C$42, 0.5599, 0.5599)*CHOOSE(CONTROL!$C$42, 31, 31))/1000000</f>
        <v>12.063045499999998</v>
      </c>
      <c r="V334" s="38">
        <f>(1000*CHOOSE(CONTROL!$C$42, 500, 500)*CHOOSE(CONTROL!$C$42, 0.275, 0.275)*CHOOSE(CONTROL!$C$42, 31, 31))/1000000</f>
        <v>4.2625000000000002</v>
      </c>
      <c r="W334" s="38">
        <f>(1000*CHOOSE(CONTROL!$C$42, 0.1146, 0.1146)*CHOOSE(CONTROL!$C$42, 121.5, 121.5)*CHOOSE(CONTROL!$C$42, 31, 31))/1000000</f>
        <v>0.43164089999999994</v>
      </c>
      <c r="X334" s="38">
        <f>(31*0.1790888*245000/1000000)+(31*0.2374*100000/1000000)</f>
        <v>2.0961194359999999</v>
      </c>
      <c r="Y334" s="38">
        <f>(1000*600*CHOOSE(CONTROL!$C$42, 1.6302, 1.6302)*CHOOSE(CONTROL!$C$42, 31, 31))/1000000</f>
        <v>30.321719999999999</v>
      </c>
      <c r="Z334" s="38"/>
      <c r="AA334" s="10"/>
      <c r="AB334" s="39"/>
      <c r="AC334" s="33">
        <f>(B334*131.881+C334*277.167+D334*79.08+E334*125.872+F334*40+G334*185+H334*0+I334*100+J334*300)/(131.881+277.167+79.08+125.872+0+40+185+100+300)</f>
        <v>9.1251999775625503</v>
      </c>
      <c r="AD334" s="27">
        <f>(M334*'RAP TEMPLATE-GAS AVAILABILITY'!O333+N334*'RAP TEMPLATE-GAS AVAILABILITY'!P333+O334*'RAP TEMPLATE-GAS AVAILABILITY'!Q333+P334*'RAP TEMPLATE-GAS AVAILABILITY'!R333)/('RAP TEMPLATE-GAS AVAILABILITY'!O333+'RAP TEMPLATE-GAS AVAILABILITY'!P333+'RAP TEMPLATE-GAS AVAILABILITY'!Q333+'RAP TEMPLATE-GAS AVAILABILITY'!R333)</f>
        <v>9.0407230215827337</v>
      </c>
    </row>
    <row r="335" spans="1:30" ht="15.75">
      <c r="A335" s="14">
        <v>51470</v>
      </c>
      <c r="B335" s="10">
        <f>CHOOSE(CONTROL!$C$42, 9.3573, 9.3573) * CHOOSE(CONTROL!$C$21, $C$9, 100%, $E$9)</f>
        <v>9.3573000000000004</v>
      </c>
      <c r="C335" s="10">
        <f>CHOOSE(CONTROL!$C$42, 9.3624, 9.3624) * CHOOSE(CONTROL!$C$21, $C$9, 100%, $E$9)</f>
        <v>9.3623999999999992</v>
      </c>
      <c r="D335" s="10">
        <f>CHOOSE(CONTROL!$C$42, 9.3871, 9.3871) * CHOOSE(CONTROL!$C$21, $C$9, 100%, $E$9)</f>
        <v>9.3871000000000002</v>
      </c>
      <c r="E335" s="10">
        <f>CHOOSE(CONTROL!$C$42, 9.4209, 9.4209) * CHOOSE(CONTROL!$C$21, $C$9, 100%, $E$9)</f>
        <v>9.4208999999999996</v>
      </c>
      <c r="F335" s="10">
        <f>CHOOSE(CONTROL!$C$42, 9.3256, 9.3256)*CHOOSE(CONTROL!$C$21, $C$9, 100%, $E$9)</f>
        <v>9.3255999999999997</v>
      </c>
      <c r="G335" s="10">
        <f>CHOOSE(CONTROL!$C$42, 9.3416, 9.3416)*CHOOSE(CONTROL!$C$21, $C$9, 100%, $E$9)</f>
        <v>9.3415999999999997</v>
      </c>
      <c r="H335" s="10">
        <f>CHOOSE(CONTROL!$C$42, 9.4098, 9.4098) * CHOOSE(CONTROL!$C$21, $C$9, 100%, $E$9)</f>
        <v>9.4098000000000006</v>
      </c>
      <c r="I335" s="10">
        <f>CHOOSE(CONTROL!$C$42, 9.3723, 9.3723)* CHOOSE(CONTROL!$C$21, $C$9, 100%, $E$9)</f>
        <v>9.3722999999999992</v>
      </c>
      <c r="J335" s="10">
        <f>CHOOSE(CONTROL!$C$42, 9.3182, 9.3182)* CHOOSE(CONTROL!$C$21, $C$9, 100%, $E$9)</f>
        <v>9.3181999999999992</v>
      </c>
      <c r="K335" s="10">
        <f>CHOOSE(CONTROL!$C$42, 9.2423, 9.2423) * CHOOSE(CONTROL!$C$21, $C$9, 100%, $E$9)</f>
        <v>9.2423000000000002</v>
      </c>
      <c r="L335" s="10">
        <f>CHOOSE(CONTROL!$C$42, 9.9968, 9.9968) * CHOOSE(CONTROL!$C$21, $C$9, 100%, $E$9)</f>
        <v>9.9968000000000004</v>
      </c>
      <c r="M335" s="10">
        <f>CHOOSE(CONTROL!$C$42, 9.2213, 9.2213) * CHOOSE(CONTROL!$C$21, $C$9, 100%, $E$9)</f>
        <v>9.2212999999999994</v>
      </c>
      <c r="N335" s="10">
        <f>CHOOSE(CONTROL!$C$42, 9.237, 9.237) * CHOOSE(CONTROL!$C$21, $C$9, 100%, $E$9)</f>
        <v>9.2370000000000001</v>
      </c>
      <c r="O335" s="10">
        <f>CHOOSE(CONTROL!$C$42, 9.3115, 9.3115) * CHOOSE(CONTROL!$C$21, $C$9, 100%, $E$9)</f>
        <v>9.3115000000000006</v>
      </c>
      <c r="P335" s="10">
        <f>CHOOSE(CONTROL!$C$42, 9.2746, 9.2746) * CHOOSE(CONTROL!$C$21, $C$9, 100%, $E$9)</f>
        <v>9.2745999999999995</v>
      </c>
      <c r="Q335" s="10">
        <f>CHOOSE(CONTROL!$C$42, 9.9068, 9.9068) * CHOOSE(CONTROL!$C$21, $C$9, 100%, $E$9)</f>
        <v>9.9068000000000005</v>
      </c>
      <c r="R335" s="10">
        <f>CHOOSE(CONTROL!$C$42, 10.5186, 10.5186) * CHOOSE(CONTROL!$C$21, $C$9, 100%, $E$9)</f>
        <v>10.518599999999999</v>
      </c>
      <c r="S335" s="10">
        <f>CHOOSE(CONTROL!$C$42, 9.0773, 9.0773) * CHOOSE(CONTROL!$C$21, $C$9, 100%, $E$9)</f>
        <v>9.0772999999999993</v>
      </c>
      <c r="T33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35" s="38">
        <f>(1000*CHOOSE(CONTROL!$C$42, 695, 695)*CHOOSE(CONTROL!$C$42, 0.5599, 0.5599)*CHOOSE(CONTROL!$C$42, 30, 30))/1000000</f>
        <v>11.673914999999997</v>
      </c>
      <c r="V335" s="38">
        <f>(1000*CHOOSE(CONTROL!$C$42, 500, 500)*CHOOSE(CONTROL!$C$42, 0.275, 0.275)*CHOOSE(CONTROL!$C$42, 30, 30))/1000000</f>
        <v>4.125</v>
      </c>
      <c r="W335" s="38">
        <f>(1000*CHOOSE(CONTROL!$C$42, 0.1146, 0.1146)*CHOOSE(CONTROL!$C$42, 121.5, 121.5)*CHOOSE(CONTROL!$C$42, 30, 30))/1000000</f>
        <v>0.417717</v>
      </c>
      <c r="X335" s="38">
        <f>(30*0.1790888*100000/1000000)+(30*0.2374*100000/1000000)</f>
        <v>1.2494664</v>
      </c>
      <c r="Y335" s="38">
        <f>(1000*600*CHOOSE(CONTROL!$C$42, 1.6302, 1.6302)*CHOOSE(CONTROL!$C$42, 30, 30))/1000000</f>
        <v>29.343599999999999</v>
      </c>
      <c r="Z335" s="38"/>
      <c r="AA335" s="10"/>
      <c r="AB335" s="39"/>
      <c r="AC335" s="33">
        <f>(B335*122.58+C335*297.941+D335*89.177+E335*40.302+F335*40+G335*160+H335*0+I335*100+J335*300)/(122.58+297.941+89.177+40.302+0+40+160+100+300)</f>
        <v>9.3509784181739111</v>
      </c>
      <c r="AD335" s="27">
        <f>(M335*'RAP TEMPLATE-GAS AVAILABILITY'!O334+N335*'RAP TEMPLATE-GAS AVAILABILITY'!P334+O335*'RAP TEMPLATE-GAS AVAILABILITY'!Q334+P335*'RAP TEMPLATE-GAS AVAILABILITY'!R334)/('RAP TEMPLATE-GAS AVAILABILITY'!O334+'RAP TEMPLATE-GAS AVAILABILITY'!P334+'RAP TEMPLATE-GAS AVAILABILITY'!Q334+'RAP TEMPLATE-GAS AVAILABILITY'!R334)</f>
        <v>9.2707546762589921</v>
      </c>
    </row>
    <row r="336" spans="1:30" ht="15.75">
      <c r="A336" s="14">
        <v>51501</v>
      </c>
      <c r="B336" s="10">
        <f>CHOOSE(CONTROL!$C$42, 9.9964, 9.9964) * CHOOSE(CONTROL!$C$21, $C$9, 100%, $E$9)</f>
        <v>9.9963999999999995</v>
      </c>
      <c r="C336" s="10">
        <f>CHOOSE(CONTROL!$C$42, 10.0015, 10.0015) * CHOOSE(CONTROL!$C$21, $C$9, 100%, $E$9)</f>
        <v>10.0015</v>
      </c>
      <c r="D336" s="10">
        <f>CHOOSE(CONTROL!$C$42, 10.0262, 10.0262) * CHOOSE(CONTROL!$C$21, $C$9, 100%, $E$9)</f>
        <v>10.026199999999999</v>
      </c>
      <c r="E336" s="10">
        <f>CHOOSE(CONTROL!$C$42, 10.06, 10.06) * CHOOSE(CONTROL!$C$21, $C$9, 100%, $E$9)</f>
        <v>10.06</v>
      </c>
      <c r="F336" s="10">
        <f>CHOOSE(CONTROL!$C$42, 9.9667, 9.9667)*CHOOSE(CONTROL!$C$21, $C$9, 100%, $E$9)</f>
        <v>9.9666999999999994</v>
      </c>
      <c r="G336" s="10">
        <f>CHOOSE(CONTROL!$C$42, 9.9831, 9.9831)*CHOOSE(CONTROL!$C$21, $C$9, 100%, $E$9)</f>
        <v>9.9831000000000003</v>
      </c>
      <c r="H336" s="10">
        <f>CHOOSE(CONTROL!$C$42, 10.0489, 10.0489) * CHOOSE(CONTROL!$C$21, $C$9, 100%, $E$9)</f>
        <v>10.0489</v>
      </c>
      <c r="I336" s="10">
        <f>CHOOSE(CONTROL!$C$42, 10.0114, 10.0114)* CHOOSE(CONTROL!$C$21, $C$9, 100%, $E$9)</f>
        <v>10.0114</v>
      </c>
      <c r="J336" s="10">
        <f>CHOOSE(CONTROL!$C$42, 9.9593, 9.9593)* CHOOSE(CONTROL!$C$21, $C$9, 100%, $E$9)</f>
        <v>9.9593000000000007</v>
      </c>
      <c r="K336" s="10">
        <f>CHOOSE(CONTROL!$C$42, 9.8656, 9.8656) * CHOOSE(CONTROL!$C$21, $C$9, 100%, $E$9)</f>
        <v>9.8656000000000006</v>
      </c>
      <c r="L336" s="10">
        <f>CHOOSE(CONTROL!$C$42, 10.6359, 10.6359) * CHOOSE(CONTROL!$C$21, $C$9, 100%, $E$9)</f>
        <v>10.635899999999999</v>
      </c>
      <c r="M336" s="10">
        <f>CHOOSE(CONTROL!$C$42, 9.8533, 9.8533) * CHOOSE(CONTROL!$C$21, $C$9, 100%, $E$9)</f>
        <v>9.8533000000000008</v>
      </c>
      <c r="N336" s="10">
        <f>CHOOSE(CONTROL!$C$42, 9.8696, 9.8696) * CHOOSE(CONTROL!$C$21, $C$9, 100%, $E$9)</f>
        <v>9.8696000000000002</v>
      </c>
      <c r="O336" s="10">
        <f>CHOOSE(CONTROL!$C$42, 9.9417, 9.9417) * CHOOSE(CONTROL!$C$21, $C$9, 100%, $E$9)</f>
        <v>9.9417000000000009</v>
      </c>
      <c r="P336" s="10">
        <f>CHOOSE(CONTROL!$C$42, 9.9048, 9.9048) * CHOOSE(CONTROL!$C$21, $C$9, 100%, $E$9)</f>
        <v>9.9047999999999998</v>
      </c>
      <c r="Q336" s="10">
        <f>CHOOSE(CONTROL!$C$42, 10.537, 10.537) * CHOOSE(CONTROL!$C$21, $C$9, 100%, $E$9)</f>
        <v>10.537000000000001</v>
      </c>
      <c r="R336" s="10">
        <f>CHOOSE(CONTROL!$C$42, 11.1503, 11.1503) * CHOOSE(CONTROL!$C$21, $C$9, 100%, $E$9)</f>
        <v>11.1503</v>
      </c>
      <c r="S336" s="10">
        <f>CHOOSE(CONTROL!$C$42, 9.6962, 9.6962) * CHOOSE(CONTROL!$C$21, $C$9, 100%, $E$9)</f>
        <v>9.6961999999999993</v>
      </c>
      <c r="T33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36" s="38">
        <f>(1000*CHOOSE(CONTROL!$C$42, 695, 695)*CHOOSE(CONTROL!$C$42, 0.5599, 0.5599)*CHOOSE(CONTROL!$C$42, 31, 31))/1000000</f>
        <v>12.063045499999998</v>
      </c>
      <c r="V336" s="38">
        <f>(1000*CHOOSE(CONTROL!$C$42, 500, 500)*CHOOSE(CONTROL!$C$42, 0.275, 0.275)*CHOOSE(CONTROL!$C$42, 31, 31))/1000000</f>
        <v>4.2625000000000002</v>
      </c>
      <c r="W336" s="38">
        <f>(1000*CHOOSE(CONTROL!$C$42, 0.1146, 0.1146)*CHOOSE(CONTROL!$C$42, 121.5, 121.5)*CHOOSE(CONTROL!$C$42, 31, 31))/1000000</f>
        <v>0.43164089999999994</v>
      </c>
      <c r="X336" s="38">
        <f>(31*0.1790888*100000/1000000)+(31*0.2374*100000/1000000)</f>
        <v>1.2911152800000001</v>
      </c>
      <c r="Y336" s="38">
        <f>(1000*600*CHOOSE(CONTROL!$C$42, 1.6302, 1.6302)*CHOOSE(CONTROL!$C$42, 31, 31))/1000000</f>
        <v>30.321719999999999</v>
      </c>
      <c r="Z336" s="38"/>
      <c r="AA336" s="10"/>
      <c r="AB336" s="39"/>
      <c r="AC336" s="33">
        <f>(B336*122.58+C336*297.941+D336*89.177+E336*40.302+F336*40+G336*160+H336*0+I336*100+J336*300)/(122.58+297.941+89.177+40.302+0+40+160+100+300)</f>
        <v>9.9910036355652174</v>
      </c>
      <c r="AD336" s="27">
        <f>(M336*'RAP TEMPLATE-GAS AVAILABILITY'!O335+N336*'RAP TEMPLATE-GAS AVAILABILITY'!P335+O336*'RAP TEMPLATE-GAS AVAILABILITY'!Q335+P336*'RAP TEMPLATE-GAS AVAILABILITY'!R335)/('RAP TEMPLATE-GAS AVAILABILITY'!O335+'RAP TEMPLATE-GAS AVAILABILITY'!P335+'RAP TEMPLATE-GAS AVAILABILITY'!Q335+'RAP TEMPLATE-GAS AVAILABILITY'!R335)</f>
        <v>9.9017143884892089</v>
      </c>
    </row>
    <row r="337" spans="1:30" ht="15.75">
      <c r="A337" s="14">
        <v>51532</v>
      </c>
      <c r="B337" s="10">
        <f>CHOOSE(CONTROL!$C$42, 10.6722, 10.6722) * CHOOSE(CONTROL!$C$21, $C$9, 100%, $E$9)</f>
        <v>10.6722</v>
      </c>
      <c r="C337" s="10">
        <f>CHOOSE(CONTROL!$C$42, 10.6773, 10.6773) * CHOOSE(CONTROL!$C$21, $C$9, 100%, $E$9)</f>
        <v>10.677300000000001</v>
      </c>
      <c r="D337" s="10">
        <f>CHOOSE(CONTROL!$C$42, 10.7097, 10.7097) * CHOOSE(CONTROL!$C$21, $C$9, 100%, $E$9)</f>
        <v>10.7097</v>
      </c>
      <c r="E337" s="10">
        <f>CHOOSE(CONTROL!$C$42, 10.7435, 10.7435) * CHOOSE(CONTROL!$C$21, $C$9, 100%, $E$9)</f>
        <v>10.743499999999999</v>
      </c>
      <c r="F337" s="10">
        <f>CHOOSE(CONTROL!$C$42, 10.6564, 10.6564)*CHOOSE(CONTROL!$C$21, $C$9, 100%, $E$9)</f>
        <v>10.6564</v>
      </c>
      <c r="G337" s="10">
        <f>CHOOSE(CONTROL!$C$42, 10.6744, 10.6744)*CHOOSE(CONTROL!$C$21, $C$9, 100%, $E$9)</f>
        <v>10.6744</v>
      </c>
      <c r="H337" s="10">
        <f>CHOOSE(CONTROL!$C$42, 10.7324, 10.7324) * CHOOSE(CONTROL!$C$21, $C$9, 100%, $E$9)</f>
        <v>10.7324</v>
      </c>
      <c r="I337" s="10">
        <f>CHOOSE(CONTROL!$C$42, 10.6856, 10.6856)* CHOOSE(CONTROL!$C$21, $C$9, 100%, $E$9)</f>
        <v>10.685600000000001</v>
      </c>
      <c r="J337" s="10">
        <f>CHOOSE(CONTROL!$C$42, 10.649, 10.649)* CHOOSE(CONTROL!$C$21, $C$9, 100%, $E$9)</f>
        <v>10.648999999999999</v>
      </c>
      <c r="K337" s="10">
        <f>CHOOSE(CONTROL!$C$42, 10.5327, 10.5327) * CHOOSE(CONTROL!$C$21, $C$9, 100%, $E$9)</f>
        <v>10.5327</v>
      </c>
      <c r="L337" s="10">
        <f>CHOOSE(CONTROL!$C$42, 11.3194, 11.3194) * CHOOSE(CONTROL!$C$21, $C$9, 100%, $E$9)</f>
        <v>11.3194</v>
      </c>
      <c r="M337" s="10">
        <f>CHOOSE(CONTROL!$C$42, 10.5334, 10.5334) * CHOOSE(CONTROL!$C$21, $C$9, 100%, $E$9)</f>
        <v>10.5334</v>
      </c>
      <c r="N337" s="10">
        <f>CHOOSE(CONTROL!$C$42, 10.5512, 10.5512) * CHOOSE(CONTROL!$C$21, $C$9, 100%, $E$9)</f>
        <v>10.5512</v>
      </c>
      <c r="O337" s="10">
        <f>CHOOSE(CONTROL!$C$42, 10.6157, 10.6157) * CHOOSE(CONTROL!$C$21, $C$9, 100%, $E$9)</f>
        <v>10.6157</v>
      </c>
      <c r="P337" s="10">
        <f>CHOOSE(CONTROL!$C$42, 10.5696, 10.5696) * CHOOSE(CONTROL!$C$21, $C$9, 100%, $E$9)</f>
        <v>10.569599999999999</v>
      </c>
      <c r="Q337" s="10">
        <f>CHOOSE(CONTROL!$C$42, 11.211, 11.211) * CHOOSE(CONTROL!$C$21, $C$9, 100%, $E$9)</f>
        <v>11.211</v>
      </c>
      <c r="R337" s="10">
        <f>CHOOSE(CONTROL!$C$42, 11.826, 11.826) * CHOOSE(CONTROL!$C$21, $C$9, 100%, $E$9)</f>
        <v>11.826000000000001</v>
      </c>
      <c r="S337" s="10">
        <f>CHOOSE(CONTROL!$C$42, 10.3505, 10.3505) * CHOOSE(CONTROL!$C$21, $C$9, 100%, $E$9)</f>
        <v>10.3505</v>
      </c>
      <c r="T33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37" s="38">
        <f>(1000*CHOOSE(CONTROL!$C$42, 695, 695)*CHOOSE(CONTROL!$C$42, 0.5599, 0.5599)*CHOOSE(CONTROL!$C$42, 31, 31))/1000000</f>
        <v>12.063045499999998</v>
      </c>
      <c r="V337" s="38">
        <f>(1000*CHOOSE(CONTROL!$C$42, 500, 500)*CHOOSE(CONTROL!$C$42, 0.275, 0.275)*CHOOSE(CONTROL!$C$42, 31, 31))/1000000</f>
        <v>4.2625000000000002</v>
      </c>
      <c r="W337" s="38">
        <f>(1000*CHOOSE(CONTROL!$C$42, 0.1146, 0.1146)*CHOOSE(CONTROL!$C$42, 121.5, 121.5)*CHOOSE(CONTROL!$C$42, 31, 31))/1000000</f>
        <v>0.43164089999999994</v>
      </c>
      <c r="X337" s="38">
        <f>(31*0.1790888*100000/1000000)+(31*0.2374*100000/1000000)</f>
        <v>1.2911152800000001</v>
      </c>
      <c r="Y337" s="38">
        <f>(1000*600*CHOOSE(CONTROL!$C$42, 1.6268, 1.6268)*CHOOSE(CONTROL!$C$42, 31, 31))/1000000</f>
        <v>30.258479999999999</v>
      </c>
      <c r="Z337" s="38"/>
      <c r="AA337" s="10"/>
      <c r="AB337" s="39"/>
      <c r="AC337" s="33">
        <f>(B337*122.58+C337*297.941+D337*89.177+E337*40.302+F337*40+G337*160+H337*0+I337*100+J337*300)/(122.58+297.941+89.177+40.302+0+40+160+100+300)</f>
        <v>10.673797538434782</v>
      </c>
      <c r="AD337" s="27">
        <f>(M337*'RAP TEMPLATE-GAS AVAILABILITY'!O336+N337*'RAP TEMPLATE-GAS AVAILABILITY'!P336+O337*'RAP TEMPLATE-GAS AVAILABILITY'!Q336+P337*'RAP TEMPLATE-GAS AVAILABILITY'!R336)/('RAP TEMPLATE-GAS AVAILABILITY'!O336+'RAP TEMPLATE-GAS AVAILABILITY'!P336+'RAP TEMPLATE-GAS AVAILABILITY'!Q336+'RAP TEMPLATE-GAS AVAILABILITY'!R336)</f>
        <v>10.576934532374102</v>
      </c>
    </row>
    <row r="338" spans="1:30" ht="15.75">
      <c r="A338" s="14">
        <v>51560</v>
      </c>
      <c r="B338" s="10">
        <f>CHOOSE(CONTROL!$C$42, 10.8625, 10.8625) * CHOOSE(CONTROL!$C$21, $C$9, 100%, $E$9)</f>
        <v>10.862500000000001</v>
      </c>
      <c r="C338" s="10">
        <f>CHOOSE(CONTROL!$C$42, 10.8676, 10.8676) * CHOOSE(CONTROL!$C$21, $C$9, 100%, $E$9)</f>
        <v>10.867599999999999</v>
      </c>
      <c r="D338" s="10">
        <f>CHOOSE(CONTROL!$C$42, 10.9, 10.9) * CHOOSE(CONTROL!$C$21, $C$9, 100%, $E$9)</f>
        <v>10.9</v>
      </c>
      <c r="E338" s="10">
        <f>CHOOSE(CONTROL!$C$42, 10.9338, 10.9338) * CHOOSE(CONTROL!$C$21, $C$9, 100%, $E$9)</f>
        <v>10.9338</v>
      </c>
      <c r="F338" s="10">
        <f>CHOOSE(CONTROL!$C$42, 10.8462, 10.8462)*CHOOSE(CONTROL!$C$21, $C$9, 100%, $E$9)</f>
        <v>10.8462</v>
      </c>
      <c r="G338" s="10">
        <f>CHOOSE(CONTROL!$C$42, 10.8641, 10.8641)*CHOOSE(CONTROL!$C$21, $C$9, 100%, $E$9)</f>
        <v>10.864100000000001</v>
      </c>
      <c r="H338" s="10">
        <f>CHOOSE(CONTROL!$C$42, 10.9227, 10.9227) * CHOOSE(CONTROL!$C$21, $C$9, 100%, $E$9)</f>
        <v>10.922700000000001</v>
      </c>
      <c r="I338" s="10">
        <f>CHOOSE(CONTROL!$C$42, 10.8759, 10.8759)* CHOOSE(CONTROL!$C$21, $C$9, 100%, $E$9)</f>
        <v>10.8759</v>
      </c>
      <c r="J338" s="10">
        <f>CHOOSE(CONTROL!$C$42, 10.8388, 10.8388)* CHOOSE(CONTROL!$C$21, $C$9, 100%, $E$9)</f>
        <v>10.838800000000001</v>
      </c>
      <c r="K338" s="10">
        <f>CHOOSE(CONTROL!$C$42, 10.716, 10.716) * CHOOSE(CONTROL!$C$21, $C$9, 100%, $E$9)</f>
        <v>10.715999999999999</v>
      </c>
      <c r="L338" s="10">
        <f>CHOOSE(CONTROL!$C$42, 11.5097, 11.5097) * CHOOSE(CONTROL!$C$21, $C$9, 100%, $E$9)</f>
        <v>11.5097</v>
      </c>
      <c r="M338" s="10">
        <f>CHOOSE(CONTROL!$C$42, 10.7206, 10.7206) * CHOOSE(CONTROL!$C$21, $C$9, 100%, $E$9)</f>
        <v>10.720599999999999</v>
      </c>
      <c r="N338" s="10">
        <f>CHOOSE(CONTROL!$C$42, 10.7383, 10.7383) * CHOOSE(CONTROL!$C$21, $C$9, 100%, $E$9)</f>
        <v>10.738300000000001</v>
      </c>
      <c r="O338" s="10">
        <f>CHOOSE(CONTROL!$C$42, 10.8033, 10.8033) * CHOOSE(CONTROL!$C$21, $C$9, 100%, $E$9)</f>
        <v>10.8033</v>
      </c>
      <c r="P338" s="10">
        <f>CHOOSE(CONTROL!$C$42, 10.7572, 10.7572) * CHOOSE(CONTROL!$C$21, $C$9, 100%, $E$9)</f>
        <v>10.757199999999999</v>
      </c>
      <c r="Q338" s="10">
        <f>CHOOSE(CONTROL!$C$42, 11.3986, 11.3986) * CHOOSE(CONTROL!$C$21, $C$9, 100%, $E$9)</f>
        <v>11.3986</v>
      </c>
      <c r="R338" s="10">
        <f>CHOOSE(CONTROL!$C$42, 12.0141, 12.0141) * CHOOSE(CONTROL!$C$21, $C$9, 100%, $E$9)</f>
        <v>12.014099999999999</v>
      </c>
      <c r="S338" s="10">
        <f>CHOOSE(CONTROL!$C$42, 10.5348, 10.5348) * CHOOSE(CONTROL!$C$21, $C$9, 100%, $E$9)</f>
        <v>10.534800000000001</v>
      </c>
      <c r="T33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38" s="38">
        <f>(1000*CHOOSE(CONTROL!$C$42, 695, 695)*CHOOSE(CONTROL!$C$42, 0.5599, 0.5599)*CHOOSE(CONTROL!$C$42, 28, 28))/1000000</f>
        <v>10.895653999999999</v>
      </c>
      <c r="V338" s="38">
        <f>(1000*CHOOSE(CONTROL!$C$42, 500, 500)*CHOOSE(CONTROL!$C$42, 0.275, 0.275)*CHOOSE(CONTROL!$C$42, 28, 28))/1000000</f>
        <v>3.85</v>
      </c>
      <c r="W338" s="38">
        <f>(1000*CHOOSE(CONTROL!$C$42, 0.1146, 0.1146)*CHOOSE(CONTROL!$C$42, 121.5, 121.5)*CHOOSE(CONTROL!$C$42, 28, 28))/1000000</f>
        <v>0.38986920000000003</v>
      </c>
      <c r="X338" s="38">
        <f>(28*0.1790888*100000/1000000)+(28*0.2374*100000/1000000)</f>
        <v>1.16616864</v>
      </c>
      <c r="Y338" s="38">
        <f>(1000*600*CHOOSE(CONTROL!$C$42, 1.6268, 1.6268)*CHOOSE(CONTROL!$C$42, 28, 28))/1000000</f>
        <v>27.33024</v>
      </c>
      <c r="Z338" s="38"/>
      <c r="AA338" s="10"/>
      <c r="AB338" s="39"/>
      <c r="AC338" s="33">
        <f>(B338*122.58+C338*297.941+D338*89.177+E338*40.302+F338*40+G338*160+H338*0+I338*100+J338*300)/(122.58+297.941+89.177+40.302+0+40+160+100+300)</f>
        <v>10.863866234086958</v>
      </c>
      <c r="AD338" s="27">
        <f>(M338*'RAP TEMPLATE-GAS AVAILABILITY'!O337+N338*'RAP TEMPLATE-GAS AVAILABILITY'!P337+O338*'RAP TEMPLATE-GAS AVAILABILITY'!Q337+P338*'RAP TEMPLATE-GAS AVAILABILITY'!R337)/('RAP TEMPLATE-GAS AVAILABILITY'!O337+'RAP TEMPLATE-GAS AVAILABILITY'!P337+'RAP TEMPLATE-GAS AVAILABILITY'!Q337+'RAP TEMPLATE-GAS AVAILABILITY'!R337)</f>
        <v>10.764367625899281</v>
      </c>
    </row>
    <row r="339" spans="1:30" ht="15.75">
      <c r="A339" s="14">
        <v>51591</v>
      </c>
      <c r="B339" s="10">
        <f>CHOOSE(CONTROL!$C$42, 10.5536, 10.5536) * CHOOSE(CONTROL!$C$21, $C$9, 100%, $E$9)</f>
        <v>10.553599999999999</v>
      </c>
      <c r="C339" s="10">
        <f>CHOOSE(CONTROL!$C$42, 10.5587, 10.5587) * CHOOSE(CONTROL!$C$21, $C$9, 100%, $E$9)</f>
        <v>10.5587</v>
      </c>
      <c r="D339" s="10">
        <f>CHOOSE(CONTROL!$C$42, 10.5911, 10.5911) * CHOOSE(CONTROL!$C$21, $C$9, 100%, $E$9)</f>
        <v>10.591100000000001</v>
      </c>
      <c r="E339" s="10">
        <f>CHOOSE(CONTROL!$C$42, 10.6249, 10.6249) * CHOOSE(CONTROL!$C$21, $C$9, 100%, $E$9)</f>
        <v>10.6249</v>
      </c>
      <c r="F339" s="10">
        <f>CHOOSE(CONTROL!$C$42, 10.5358, 10.5358)*CHOOSE(CONTROL!$C$21, $C$9, 100%, $E$9)</f>
        <v>10.5358</v>
      </c>
      <c r="G339" s="10">
        <f>CHOOSE(CONTROL!$C$42, 10.5534, 10.5534)*CHOOSE(CONTROL!$C$21, $C$9, 100%, $E$9)</f>
        <v>10.5534</v>
      </c>
      <c r="H339" s="10">
        <f>CHOOSE(CONTROL!$C$42, 10.6138, 10.6138) * CHOOSE(CONTROL!$C$21, $C$9, 100%, $E$9)</f>
        <v>10.613799999999999</v>
      </c>
      <c r="I339" s="10">
        <f>CHOOSE(CONTROL!$C$42, 10.567, 10.567)* CHOOSE(CONTROL!$C$21, $C$9, 100%, $E$9)</f>
        <v>10.567</v>
      </c>
      <c r="J339" s="10">
        <f>CHOOSE(CONTROL!$C$42, 10.5284, 10.5284)* CHOOSE(CONTROL!$C$21, $C$9, 100%, $E$9)</f>
        <v>10.5284</v>
      </c>
      <c r="K339" s="10">
        <f>CHOOSE(CONTROL!$C$42, 10.4137, 10.4137) * CHOOSE(CONTROL!$C$21, $C$9, 100%, $E$9)</f>
        <v>10.4137</v>
      </c>
      <c r="L339" s="10">
        <f>CHOOSE(CONTROL!$C$42, 11.2008, 11.2008) * CHOOSE(CONTROL!$C$21, $C$9, 100%, $E$9)</f>
        <v>11.200799999999999</v>
      </c>
      <c r="M339" s="10">
        <f>CHOOSE(CONTROL!$C$42, 10.4146, 10.4146) * CHOOSE(CONTROL!$C$21, $C$9, 100%, $E$9)</f>
        <v>10.4146</v>
      </c>
      <c r="N339" s="10">
        <f>CHOOSE(CONTROL!$C$42, 10.4319, 10.4319) * CHOOSE(CONTROL!$C$21, $C$9, 100%, $E$9)</f>
        <v>10.431900000000001</v>
      </c>
      <c r="O339" s="10">
        <f>CHOOSE(CONTROL!$C$42, 10.4988, 10.4988) * CHOOSE(CONTROL!$C$21, $C$9, 100%, $E$9)</f>
        <v>10.498799999999999</v>
      </c>
      <c r="P339" s="10">
        <f>CHOOSE(CONTROL!$C$42, 10.4527, 10.4527) * CHOOSE(CONTROL!$C$21, $C$9, 100%, $E$9)</f>
        <v>10.4527</v>
      </c>
      <c r="Q339" s="10">
        <f>CHOOSE(CONTROL!$C$42, 11.0941, 11.0941) * CHOOSE(CONTROL!$C$21, $C$9, 100%, $E$9)</f>
        <v>11.094099999999999</v>
      </c>
      <c r="R339" s="10">
        <f>CHOOSE(CONTROL!$C$42, 11.7088, 11.7088) * CHOOSE(CONTROL!$C$21, $C$9, 100%, $E$9)</f>
        <v>11.7088</v>
      </c>
      <c r="S339" s="10">
        <f>CHOOSE(CONTROL!$C$42, 10.2357, 10.2357) * CHOOSE(CONTROL!$C$21, $C$9, 100%, $E$9)</f>
        <v>10.2357</v>
      </c>
      <c r="T33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39" s="38">
        <f>(1000*CHOOSE(CONTROL!$C$42, 695, 695)*CHOOSE(CONTROL!$C$42, 0.5599, 0.5599)*CHOOSE(CONTROL!$C$42, 31, 31))/1000000</f>
        <v>12.063045499999998</v>
      </c>
      <c r="V339" s="38">
        <f>(1000*CHOOSE(CONTROL!$C$42, 500, 500)*CHOOSE(CONTROL!$C$42, 0.275, 0.275)*CHOOSE(CONTROL!$C$42, 31, 31))/1000000</f>
        <v>4.2625000000000002</v>
      </c>
      <c r="W339" s="38">
        <f>(1000*CHOOSE(CONTROL!$C$42, 0.1146, 0.1146)*CHOOSE(CONTROL!$C$42, 121.5, 121.5)*CHOOSE(CONTROL!$C$42, 31, 31))/1000000</f>
        <v>0.43164089999999994</v>
      </c>
      <c r="X339" s="38">
        <f>(31*0.1790888*100000/1000000)+(31*0.2374*100000/1000000)</f>
        <v>1.2911152800000001</v>
      </c>
      <c r="Y339" s="38">
        <f>(1000*600*CHOOSE(CONTROL!$C$42, 1.6268, 1.6268)*CHOOSE(CONTROL!$C$42, 31, 31))/1000000</f>
        <v>30.258479999999999</v>
      </c>
      <c r="Z339" s="38"/>
      <c r="AA339" s="10"/>
      <c r="AB339" s="39"/>
      <c r="AC339" s="33">
        <f>(B339*122.58+C339*297.941+D339*89.177+E339*40.302+F339*40+G339*160+H339*0+I339*100+J339*300)/(122.58+297.941+89.177+40.302+0+40+160+100+300)</f>
        <v>10.554272321043477</v>
      </c>
      <c r="AD339" s="27">
        <f>(M339*'RAP TEMPLATE-GAS AVAILABILITY'!O338+N339*'RAP TEMPLATE-GAS AVAILABILITY'!P338+O339*'RAP TEMPLATE-GAS AVAILABILITY'!Q338+P339*'RAP TEMPLATE-GAS AVAILABILITY'!R338)/('RAP TEMPLATE-GAS AVAILABILITY'!O338+'RAP TEMPLATE-GAS AVAILABILITY'!P338+'RAP TEMPLATE-GAS AVAILABILITY'!Q338+'RAP TEMPLATE-GAS AVAILABILITY'!R338)</f>
        <v>10.459240287769784</v>
      </c>
    </row>
    <row r="340" spans="1:30" ht="15.75">
      <c r="A340" s="14">
        <v>51621</v>
      </c>
      <c r="B340" s="10">
        <f>CHOOSE(CONTROL!$C$42, 10.5227, 10.5227) * CHOOSE(CONTROL!$C$21, $C$9, 100%, $E$9)</f>
        <v>10.5227</v>
      </c>
      <c r="C340" s="10">
        <f>CHOOSE(CONTROL!$C$42, 10.5272, 10.5272) * CHOOSE(CONTROL!$C$21, $C$9, 100%, $E$9)</f>
        <v>10.527200000000001</v>
      </c>
      <c r="D340" s="10">
        <f>CHOOSE(CONTROL!$C$42, 10.6874, 10.6874) * CHOOSE(CONTROL!$C$21, $C$9, 100%, $E$9)</f>
        <v>10.6874</v>
      </c>
      <c r="E340" s="10">
        <f>CHOOSE(CONTROL!$C$42, 10.7192, 10.7192) * CHOOSE(CONTROL!$C$21, $C$9, 100%, $E$9)</f>
        <v>10.719200000000001</v>
      </c>
      <c r="F340" s="10">
        <f>CHOOSE(CONTROL!$C$42, 10.4688, 10.4688)*CHOOSE(CONTROL!$C$21, $C$9, 100%, $E$9)</f>
        <v>10.4688</v>
      </c>
      <c r="G340" s="10">
        <f>CHOOSE(CONTROL!$C$42, 10.4846, 10.4846)*CHOOSE(CONTROL!$C$21, $C$9, 100%, $E$9)</f>
        <v>10.4846</v>
      </c>
      <c r="H340" s="10">
        <f>CHOOSE(CONTROL!$C$42, 10.7087, 10.7087) * CHOOSE(CONTROL!$C$21, $C$9, 100%, $E$9)</f>
        <v>10.7087</v>
      </c>
      <c r="I340" s="10">
        <f>CHOOSE(CONTROL!$C$42, 10.5029, 10.5029)* CHOOSE(CONTROL!$C$21, $C$9, 100%, $E$9)</f>
        <v>10.5029</v>
      </c>
      <c r="J340" s="10">
        <f>CHOOSE(CONTROL!$C$42, 10.4614, 10.4614)* CHOOSE(CONTROL!$C$21, $C$9, 100%, $E$9)</f>
        <v>10.461399999999999</v>
      </c>
      <c r="K340" s="10">
        <f>CHOOSE(CONTROL!$C$42, 10.3355, 10.3355) * CHOOSE(CONTROL!$C$21, $C$9, 100%, $E$9)</f>
        <v>10.3355</v>
      </c>
      <c r="L340" s="10">
        <f>CHOOSE(CONTROL!$C$42, 11.2957, 11.2957) * CHOOSE(CONTROL!$C$21, $C$9, 100%, $E$9)</f>
        <v>11.2957</v>
      </c>
      <c r="M340" s="10">
        <f>CHOOSE(CONTROL!$C$42, 10.3485, 10.3485) * CHOOSE(CONTROL!$C$21, $C$9, 100%, $E$9)</f>
        <v>10.3485</v>
      </c>
      <c r="N340" s="10">
        <f>CHOOSE(CONTROL!$C$42, 10.3641, 10.3641) * CHOOSE(CONTROL!$C$21, $C$9, 100%, $E$9)</f>
        <v>10.364100000000001</v>
      </c>
      <c r="O340" s="10">
        <f>CHOOSE(CONTROL!$C$42, 10.5923, 10.5923) * CHOOSE(CONTROL!$C$21, $C$9, 100%, $E$9)</f>
        <v>10.5923</v>
      </c>
      <c r="P340" s="10">
        <f>CHOOSE(CONTROL!$C$42, 10.3894, 10.3894) * CHOOSE(CONTROL!$C$21, $C$9, 100%, $E$9)</f>
        <v>10.3894</v>
      </c>
      <c r="Q340" s="10">
        <f>CHOOSE(CONTROL!$C$42, 11.1876, 11.1876) * CHOOSE(CONTROL!$C$21, $C$9, 100%, $E$9)</f>
        <v>11.1876</v>
      </c>
      <c r="R340" s="10">
        <f>CHOOSE(CONTROL!$C$42, 11.8026, 11.8026) * CHOOSE(CONTROL!$C$21, $C$9, 100%, $E$9)</f>
        <v>11.8026</v>
      </c>
      <c r="S340" s="10">
        <f>CHOOSE(CONTROL!$C$42, 10.2051, 10.2051) * CHOOSE(CONTROL!$C$21, $C$9, 100%, $E$9)</f>
        <v>10.2051</v>
      </c>
      <c r="T34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40" s="38">
        <f>(1000*CHOOSE(CONTROL!$C$42, 695, 695)*CHOOSE(CONTROL!$C$42, 0.5599, 0.5599)*CHOOSE(CONTROL!$C$42, 30, 30))/1000000</f>
        <v>11.673914999999997</v>
      </c>
      <c r="V340" s="38">
        <f>(1000*CHOOSE(CONTROL!$C$42, 500, 500)*CHOOSE(CONTROL!$C$42, 0.275, 0.275)*CHOOSE(CONTROL!$C$42, 30, 30))/1000000</f>
        <v>4.125</v>
      </c>
      <c r="W340" s="38">
        <f>(1000*CHOOSE(CONTROL!$C$42, 0.1146, 0.1146)*CHOOSE(CONTROL!$C$42, 121.5, 121.5)*CHOOSE(CONTROL!$C$42, 30, 30))/1000000</f>
        <v>0.417717</v>
      </c>
      <c r="X340" s="38">
        <f>(30*0.1790888*245000/1000000)+(30*0.2374*100000/1000000)</f>
        <v>2.0285026799999999</v>
      </c>
      <c r="Y340" s="38">
        <f>(1000*600*CHOOSE(CONTROL!$C$42, 1.6268, 1.6268)*CHOOSE(CONTROL!$C$42, 30, 30))/1000000</f>
        <v>29.282399999999999</v>
      </c>
      <c r="Z340" s="38"/>
      <c r="AA340" s="10"/>
      <c r="AB340" s="39"/>
      <c r="AC340" s="33">
        <f>(B340*141.293+C340*267.993+D340*115.016+E340*89.698+F340*40+G340*185+H340*0+I340*100+J340*300)/(141.293+267.993+115.016+89.698+0+40+185+100+300)</f>
        <v>10.529318450928169</v>
      </c>
      <c r="AD340" s="27">
        <f>(M340*'RAP TEMPLATE-GAS AVAILABILITY'!O339+N340*'RAP TEMPLATE-GAS AVAILABILITY'!P339+O340*'RAP TEMPLATE-GAS AVAILABILITY'!Q339+P340*'RAP TEMPLATE-GAS AVAILABILITY'!R339)/('RAP TEMPLATE-GAS AVAILABILITY'!O339+'RAP TEMPLATE-GAS AVAILABILITY'!P339+'RAP TEMPLATE-GAS AVAILABILITY'!Q339+'RAP TEMPLATE-GAS AVAILABILITY'!R339)</f>
        <v>10.42638057553957</v>
      </c>
    </row>
    <row r="341" spans="1:30" ht="15.75">
      <c r="A341" s="14">
        <v>51652</v>
      </c>
      <c r="B341" s="10">
        <f>CHOOSE(CONTROL!$C$42, 10.6175, 10.6175) * CHOOSE(CONTROL!$C$21, $C$9, 100%, $E$9)</f>
        <v>10.6175</v>
      </c>
      <c r="C341" s="10">
        <f>CHOOSE(CONTROL!$C$42, 10.6255, 10.6255) * CHOOSE(CONTROL!$C$21, $C$9, 100%, $E$9)</f>
        <v>10.625500000000001</v>
      </c>
      <c r="D341" s="10">
        <f>CHOOSE(CONTROL!$C$42, 10.7826, 10.7826) * CHOOSE(CONTROL!$C$21, $C$9, 100%, $E$9)</f>
        <v>10.7826</v>
      </c>
      <c r="E341" s="10">
        <f>CHOOSE(CONTROL!$C$42, 10.8138, 10.8138) * CHOOSE(CONTROL!$C$21, $C$9, 100%, $E$9)</f>
        <v>10.813800000000001</v>
      </c>
      <c r="F341" s="10">
        <f>CHOOSE(CONTROL!$C$42, 10.5617, 10.5617)*CHOOSE(CONTROL!$C$21, $C$9, 100%, $E$9)</f>
        <v>10.5617</v>
      </c>
      <c r="G341" s="10">
        <f>CHOOSE(CONTROL!$C$42, 10.5778, 10.5778)*CHOOSE(CONTROL!$C$21, $C$9, 100%, $E$9)</f>
        <v>10.5778</v>
      </c>
      <c r="H341" s="10">
        <f>CHOOSE(CONTROL!$C$42, 10.8021, 10.8021) * CHOOSE(CONTROL!$C$21, $C$9, 100%, $E$9)</f>
        <v>10.802099999999999</v>
      </c>
      <c r="I341" s="10">
        <f>CHOOSE(CONTROL!$C$42, 10.5963, 10.5963)* CHOOSE(CONTROL!$C$21, $C$9, 100%, $E$9)</f>
        <v>10.596299999999999</v>
      </c>
      <c r="J341" s="10">
        <f>CHOOSE(CONTROL!$C$42, 10.5543, 10.5543)* CHOOSE(CONTROL!$C$21, $C$9, 100%, $E$9)</f>
        <v>10.5543</v>
      </c>
      <c r="K341" s="10">
        <f>CHOOSE(CONTROL!$C$42, 10.4248, 10.4248) * CHOOSE(CONTROL!$C$21, $C$9, 100%, $E$9)</f>
        <v>10.424799999999999</v>
      </c>
      <c r="L341" s="10">
        <f>CHOOSE(CONTROL!$C$42, 11.3891, 11.3891) * CHOOSE(CONTROL!$C$21, $C$9, 100%, $E$9)</f>
        <v>11.389099999999999</v>
      </c>
      <c r="M341" s="10">
        <f>CHOOSE(CONTROL!$C$42, 10.4401, 10.4401) * CHOOSE(CONTROL!$C$21, $C$9, 100%, $E$9)</f>
        <v>10.440099999999999</v>
      </c>
      <c r="N341" s="10">
        <f>CHOOSE(CONTROL!$C$42, 10.456, 10.456) * CHOOSE(CONTROL!$C$21, $C$9, 100%, $E$9)</f>
        <v>10.456</v>
      </c>
      <c r="O341" s="10">
        <f>CHOOSE(CONTROL!$C$42, 10.6845, 10.6845) * CHOOSE(CONTROL!$C$21, $C$9, 100%, $E$9)</f>
        <v>10.6845</v>
      </c>
      <c r="P341" s="10">
        <f>CHOOSE(CONTROL!$C$42, 10.4816, 10.4816) * CHOOSE(CONTROL!$C$21, $C$9, 100%, $E$9)</f>
        <v>10.4816</v>
      </c>
      <c r="Q341" s="10">
        <f>CHOOSE(CONTROL!$C$42, 11.2798, 11.2798) * CHOOSE(CONTROL!$C$21, $C$9, 100%, $E$9)</f>
        <v>11.2798</v>
      </c>
      <c r="R341" s="10">
        <f>CHOOSE(CONTROL!$C$42, 11.895, 11.895) * CHOOSE(CONTROL!$C$21, $C$9, 100%, $E$9)</f>
        <v>11.895</v>
      </c>
      <c r="S341" s="10">
        <f>CHOOSE(CONTROL!$C$42, 10.2956, 10.2956) * CHOOSE(CONTROL!$C$21, $C$9, 100%, $E$9)</f>
        <v>10.2956</v>
      </c>
      <c r="T34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41" s="38">
        <f>(1000*CHOOSE(CONTROL!$C$42, 695, 695)*CHOOSE(CONTROL!$C$42, 0.5599, 0.5599)*CHOOSE(CONTROL!$C$42, 31, 31))/1000000</f>
        <v>12.063045499999998</v>
      </c>
      <c r="V341" s="38">
        <f>(1000*CHOOSE(CONTROL!$C$42, 500, 500)*CHOOSE(CONTROL!$C$42, 0.275, 0.275)*CHOOSE(CONTROL!$C$42, 31, 31))/1000000</f>
        <v>4.2625000000000002</v>
      </c>
      <c r="W341" s="38">
        <f>(1000*CHOOSE(CONTROL!$C$42, 0.1146, 0.1146)*CHOOSE(CONTROL!$C$42, 121.5, 121.5)*CHOOSE(CONTROL!$C$42, 31, 31))/1000000</f>
        <v>0.43164089999999994</v>
      </c>
      <c r="X341" s="38">
        <f>(31*0.1790888*245000/1000000)+(31*0.2374*100000/1000000)</f>
        <v>2.0961194359999999</v>
      </c>
      <c r="Y341" s="38">
        <f>(1000*600*CHOOSE(CONTROL!$C$42, 1.6268, 1.6268)*CHOOSE(CONTROL!$C$42, 31, 31))/1000000</f>
        <v>30.258479999999999</v>
      </c>
      <c r="Z341" s="38"/>
      <c r="AA341" s="10"/>
      <c r="AB341" s="39"/>
      <c r="AC341" s="33">
        <f>(B341*194.205+C341*267.466+D341*133.845+E341*53.484+F341*40+G341*185+H341*0+I341*100+J341*300)/(194.205+267.466+133.845+53.484+0+40+185+100+300)</f>
        <v>10.620702469937205</v>
      </c>
      <c r="AD341" s="27">
        <f>(M341*'RAP TEMPLATE-GAS AVAILABILITY'!O340+N341*'RAP TEMPLATE-GAS AVAILABILITY'!P340+O341*'RAP TEMPLATE-GAS AVAILABILITY'!Q340+P341*'RAP TEMPLATE-GAS AVAILABILITY'!R340)/('RAP TEMPLATE-GAS AVAILABILITY'!O340+'RAP TEMPLATE-GAS AVAILABILITY'!P340+'RAP TEMPLATE-GAS AVAILABILITY'!Q340+'RAP TEMPLATE-GAS AVAILABILITY'!R340)</f>
        <v>10.518304316546763</v>
      </c>
    </row>
    <row r="342" spans="1:30" ht="15.75">
      <c r="A342" s="14">
        <v>51682</v>
      </c>
      <c r="B342" s="10">
        <f>CHOOSE(CONTROL!$C$42, 10.9191, 10.9191) * CHOOSE(CONTROL!$C$21, $C$9, 100%, $E$9)</f>
        <v>10.9191</v>
      </c>
      <c r="C342" s="10">
        <f>CHOOSE(CONTROL!$C$42, 10.9271, 10.9271) * CHOOSE(CONTROL!$C$21, $C$9, 100%, $E$9)</f>
        <v>10.927099999999999</v>
      </c>
      <c r="D342" s="10">
        <f>CHOOSE(CONTROL!$C$42, 11.0842, 11.0842) * CHOOSE(CONTROL!$C$21, $C$9, 100%, $E$9)</f>
        <v>11.084199999999999</v>
      </c>
      <c r="E342" s="10">
        <f>CHOOSE(CONTROL!$C$42, 11.1154, 11.1154) * CHOOSE(CONTROL!$C$21, $C$9, 100%, $E$9)</f>
        <v>11.115399999999999</v>
      </c>
      <c r="F342" s="10">
        <f>CHOOSE(CONTROL!$C$42, 10.8634, 10.8634)*CHOOSE(CONTROL!$C$21, $C$9, 100%, $E$9)</f>
        <v>10.8634</v>
      </c>
      <c r="G342" s="10">
        <f>CHOOSE(CONTROL!$C$42, 10.8796, 10.8796)*CHOOSE(CONTROL!$C$21, $C$9, 100%, $E$9)</f>
        <v>10.8796</v>
      </c>
      <c r="H342" s="10">
        <f>CHOOSE(CONTROL!$C$42, 11.1037, 11.1037) * CHOOSE(CONTROL!$C$21, $C$9, 100%, $E$9)</f>
        <v>11.1037</v>
      </c>
      <c r="I342" s="10">
        <f>CHOOSE(CONTROL!$C$42, 10.8979, 10.8979)* CHOOSE(CONTROL!$C$21, $C$9, 100%, $E$9)</f>
        <v>10.8979</v>
      </c>
      <c r="J342" s="10">
        <f>CHOOSE(CONTROL!$C$42, 10.856, 10.856)* CHOOSE(CONTROL!$C$21, $C$9, 100%, $E$9)</f>
        <v>10.856</v>
      </c>
      <c r="K342" s="10">
        <f>CHOOSE(CONTROL!$C$42, 10.7173, 10.7173) * CHOOSE(CONTROL!$C$21, $C$9, 100%, $E$9)</f>
        <v>10.7173</v>
      </c>
      <c r="L342" s="10">
        <f>CHOOSE(CONTROL!$C$42, 11.6907, 11.6907) * CHOOSE(CONTROL!$C$21, $C$9, 100%, $E$9)</f>
        <v>11.6907</v>
      </c>
      <c r="M342" s="10">
        <f>CHOOSE(CONTROL!$C$42, 10.7376, 10.7376) * CHOOSE(CONTROL!$C$21, $C$9, 100%, $E$9)</f>
        <v>10.7376</v>
      </c>
      <c r="N342" s="10">
        <f>CHOOSE(CONTROL!$C$42, 10.7536, 10.7536) * CHOOSE(CONTROL!$C$21, $C$9, 100%, $E$9)</f>
        <v>10.7536</v>
      </c>
      <c r="O342" s="10">
        <f>CHOOSE(CONTROL!$C$42, 10.9818, 10.9818) * CHOOSE(CONTROL!$C$21, $C$9, 100%, $E$9)</f>
        <v>10.9818</v>
      </c>
      <c r="P342" s="10">
        <f>CHOOSE(CONTROL!$C$42, 10.7789, 10.7789) * CHOOSE(CONTROL!$C$21, $C$9, 100%, $E$9)</f>
        <v>10.7789</v>
      </c>
      <c r="Q342" s="10">
        <f>CHOOSE(CONTROL!$C$42, 11.5771, 11.5771) * CHOOSE(CONTROL!$C$21, $C$9, 100%, $E$9)</f>
        <v>11.5771</v>
      </c>
      <c r="R342" s="10">
        <f>CHOOSE(CONTROL!$C$42, 12.1931, 12.1931) * CHOOSE(CONTROL!$C$21, $C$9, 100%, $E$9)</f>
        <v>12.193099999999999</v>
      </c>
      <c r="S342" s="10">
        <f>CHOOSE(CONTROL!$C$42, 10.5876, 10.5876) * CHOOSE(CONTROL!$C$21, $C$9, 100%, $E$9)</f>
        <v>10.5876</v>
      </c>
      <c r="T34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42" s="38">
        <f>(1000*CHOOSE(CONTROL!$C$42, 695, 695)*CHOOSE(CONTROL!$C$42, 0.5599, 0.5599)*CHOOSE(CONTROL!$C$42, 30, 30))/1000000</f>
        <v>11.673914999999997</v>
      </c>
      <c r="V342" s="38">
        <f>(1000*CHOOSE(CONTROL!$C$42, 500, 500)*CHOOSE(CONTROL!$C$42, 0.275, 0.275)*CHOOSE(CONTROL!$C$42, 30, 30))/1000000</f>
        <v>4.125</v>
      </c>
      <c r="W342" s="38">
        <f>(1000*CHOOSE(CONTROL!$C$42, 0.1146, 0.1146)*CHOOSE(CONTROL!$C$42, 121.5, 121.5)*CHOOSE(CONTROL!$C$42, 30, 30))/1000000</f>
        <v>0.417717</v>
      </c>
      <c r="X342" s="38">
        <f>(30*0.1790888*245000/1000000)+(30*0.2374*100000/1000000)</f>
        <v>2.0285026799999999</v>
      </c>
      <c r="Y342" s="38">
        <f>(1000*600*CHOOSE(CONTROL!$C$42, 1.6268, 1.6268)*CHOOSE(CONTROL!$C$42, 30, 30))/1000000</f>
        <v>29.282399999999999</v>
      </c>
      <c r="Z342" s="38"/>
      <c r="AA342" s="10"/>
      <c r="AB342" s="39"/>
      <c r="AC342" s="33">
        <f>(B342*194.205+C342*267.466+D342*133.845+E342*53.484+F342*40+G342*185+H342*0+I342*100+J342*300)/(194.205+267.466+133.845+53.484+0+40+185+100+300)</f>
        <v>10.922358199921506</v>
      </c>
      <c r="AD342" s="27">
        <f>(M342*'RAP TEMPLATE-GAS AVAILABILITY'!O341+N342*'RAP TEMPLATE-GAS AVAILABILITY'!P341+O342*'RAP TEMPLATE-GAS AVAILABILITY'!Q341+P342*'RAP TEMPLATE-GAS AVAILABILITY'!R341)/('RAP TEMPLATE-GAS AVAILABILITY'!O341+'RAP TEMPLATE-GAS AVAILABILITY'!P341+'RAP TEMPLATE-GAS AVAILABILITY'!Q341+'RAP TEMPLATE-GAS AVAILABILITY'!R341)</f>
        <v>10.815742446043167</v>
      </c>
    </row>
    <row r="343" spans="1:30" ht="15.75">
      <c r="A343" s="14">
        <v>51713</v>
      </c>
      <c r="B343" s="10">
        <f>CHOOSE(CONTROL!$C$42, 10.7094, 10.7094) * CHOOSE(CONTROL!$C$21, $C$9, 100%, $E$9)</f>
        <v>10.7094</v>
      </c>
      <c r="C343" s="10">
        <f>CHOOSE(CONTROL!$C$42, 10.7174, 10.7174) * CHOOSE(CONTROL!$C$21, $C$9, 100%, $E$9)</f>
        <v>10.7174</v>
      </c>
      <c r="D343" s="10">
        <f>CHOOSE(CONTROL!$C$42, 10.8744, 10.8744) * CHOOSE(CONTROL!$C$21, $C$9, 100%, $E$9)</f>
        <v>10.8744</v>
      </c>
      <c r="E343" s="10">
        <f>CHOOSE(CONTROL!$C$42, 10.9056, 10.9056) * CHOOSE(CONTROL!$C$21, $C$9, 100%, $E$9)</f>
        <v>10.9056</v>
      </c>
      <c r="F343" s="10">
        <f>CHOOSE(CONTROL!$C$42, 10.654, 10.654)*CHOOSE(CONTROL!$C$21, $C$9, 100%, $E$9)</f>
        <v>10.654</v>
      </c>
      <c r="G343" s="10">
        <f>CHOOSE(CONTROL!$C$42, 10.6703, 10.6703)*CHOOSE(CONTROL!$C$21, $C$9, 100%, $E$9)</f>
        <v>10.670299999999999</v>
      </c>
      <c r="H343" s="10">
        <f>CHOOSE(CONTROL!$C$42, 10.894, 10.894) * CHOOSE(CONTROL!$C$21, $C$9, 100%, $E$9)</f>
        <v>10.894</v>
      </c>
      <c r="I343" s="10">
        <f>CHOOSE(CONTROL!$C$42, 10.6882, 10.6882)* CHOOSE(CONTROL!$C$21, $C$9, 100%, $E$9)</f>
        <v>10.6882</v>
      </c>
      <c r="J343" s="10">
        <f>CHOOSE(CONTROL!$C$42, 10.6466, 10.6466)* CHOOSE(CONTROL!$C$21, $C$9, 100%, $E$9)</f>
        <v>10.646599999999999</v>
      </c>
      <c r="K343" s="10">
        <f>CHOOSE(CONTROL!$C$42, 10.5148, 10.5148) * CHOOSE(CONTROL!$C$21, $C$9, 100%, $E$9)</f>
        <v>10.514799999999999</v>
      </c>
      <c r="L343" s="10">
        <f>CHOOSE(CONTROL!$C$42, 11.481, 11.481) * CHOOSE(CONTROL!$C$21, $C$9, 100%, $E$9)</f>
        <v>11.481</v>
      </c>
      <c r="M343" s="10">
        <f>CHOOSE(CONTROL!$C$42, 10.5311, 10.5311) * CHOOSE(CONTROL!$C$21, $C$9, 100%, $E$9)</f>
        <v>10.5311</v>
      </c>
      <c r="N343" s="10">
        <f>CHOOSE(CONTROL!$C$42, 10.5471, 10.5471) * CHOOSE(CONTROL!$C$21, $C$9, 100%, $E$9)</f>
        <v>10.5471</v>
      </c>
      <c r="O343" s="10">
        <f>CHOOSE(CONTROL!$C$42, 10.775, 10.775) * CHOOSE(CONTROL!$C$21, $C$9, 100%, $E$9)</f>
        <v>10.775</v>
      </c>
      <c r="P343" s="10">
        <f>CHOOSE(CONTROL!$C$42, 10.5721, 10.5721) * CHOOSE(CONTROL!$C$21, $C$9, 100%, $E$9)</f>
        <v>10.572100000000001</v>
      </c>
      <c r="Q343" s="10">
        <f>CHOOSE(CONTROL!$C$42, 11.3703, 11.3703) * CHOOSE(CONTROL!$C$21, $C$9, 100%, $E$9)</f>
        <v>11.3703</v>
      </c>
      <c r="R343" s="10">
        <f>CHOOSE(CONTROL!$C$42, 11.9857, 11.9857) * CHOOSE(CONTROL!$C$21, $C$9, 100%, $E$9)</f>
        <v>11.9857</v>
      </c>
      <c r="S343" s="10">
        <f>CHOOSE(CONTROL!$C$42, 10.3845, 10.3845) * CHOOSE(CONTROL!$C$21, $C$9, 100%, $E$9)</f>
        <v>10.384499999999999</v>
      </c>
      <c r="T34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43" s="38">
        <f>(1000*CHOOSE(CONTROL!$C$42, 695, 695)*CHOOSE(CONTROL!$C$42, 0.5599, 0.5599)*CHOOSE(CONTROL!$C$42, 31, 31))/1000000</f>
        <v>12.063045499999998</v>
      </c>
      <c r="V343" s="38">
        <f>(1000*CHOOSE(CONTROL!$C$42, 500, 500)*CHOOSE(CONTROL!$C$42, 0.275, 0.275)*CHOOSE(CONTROL!$C$42, 31, 31))/1000000</f>
        <v>4.2625000000000002</v>
      </c>
      <c r="W343" s="38">
        <f>(1000*CHOOSE(CONTROL!$C$42, 0.1146, 0.1146)*CHOOSE(CONTROL!$C$42, 121.5, 121.5)*CHOOSE(CONTROL!$C$42, 31, 31))/1000000</f>
        <v>0.43164089999999994</v>
      </c>
      <c r="X343" s="38">
        <f>(31*0.1790888*245000/1000000)+(31*0.2374*100000/1000000)</f>
        <v>2.0961194359999999</v>
      </c>
      <c r="Y343" s="38">
        <f>(1000*600*CHOOSE(CONTROL!$C$42, 1.6268, 1.6268)*CHOOSE(CONTROL!$C$42, 31, 31))/1000000</f>
        <v>30.258479999999999</v>
      </c>
      <c r="Z343" s="38"/>
      <c r="AA343" s="10"/>
      <c r="AB343" s="39"/>
      <c r="AC343" s="33">
        <f>(B343*194.205+C343*267.466+D343*133.845+E343*53.484+F343*40+G343*185+H343*0+I343*100+J343*300)/(194.205+267.466+133.845+53.484+0+40+185+100+300)</f>
        <v>10.712781643485085</v>
      </c>
      <c r="AD343" s="27">
        <f>(M343*'RAP TEMPLATE-GAS AVAILABILITY'!O342+N343*'RAP TEMPLATE-GAS AVAILABILITY'!P342+O343*'RAP TEMPLATE-GAS AVAILABILITY'!Q342+P343*'RAP TEMPLATE-GAS AVAILABILITY'!R342)/('RAP TEMPLATE-GAS AVAILABILITY'!O342+'RAP TEMPLATE-GAS AVAILABILITY'!P342+'RAP TEMPLATE-GAS AVAILABILITY'!Q342+'RAP TEMPLATE-GAS AVAILABILITY'!R342)</f>
        <v>10.609115107913668</v>
      </c>
    </row>
    <row r="344" spans="1:30" ht="15.75">
      <c r="A344" s="14">
        <v>51744</v>
      </c>
      <c r="B344" s="10">
        <f>CHOOSE(CONTROL!$C$42, 10.1797, 10.1797) * CHOOSE(CONTROL!$C$21, $C$9, 100%, $E$9)</f>
        <v>10.1797</v>
      </c>
      <c r="C344" s="10">
        <f>CHOOSE(CONTROL!$C$42, 10.1877, 10.1877) * CHOOSE(CONTROL!$C$21, $C$9, 100%, $E$9)</f>
        <v>10.1877</v>
      </c>
      <c r="D344" s="10">
        <f>CHOOSE(CONTROL!$C$42, 10.3448, 10.3448) * CHOOSE(CONTROL!$C$21, $C$9, 100%, $E$9)</f>
        <v>10.344799999999999</v>
      </c>
      <c r="E344" s="10">
        <f>CHOOSE(CONTROL!$C$42, 10.376, 10.376) * CHOOSE(CONTROL!$C$21, $C$9, 100%, $E$9)</f>
        <v>10.375999999999999</v>
      </c>
      <c r="F344" s="10">
        <f>CHOOSE(CONTROL!$C$42, 10.1243, 10.1243)*CHOOSE(CONTROL!$C$21, $C$9, 100%, $E$9)</f>
        <v>10.1243</v>
      </c>
      <c r="G344" s="10">
        <f>CHOOSE(CONTROL!$C$42, 10.1405, 10.1405)*CHOOSE(CONTROL!$C$21, $C$9, 100%, $E$9)</f>
        <v>10.140499999999999</v>
      </c>
      <c r="H344" s="10">
        <f>CHOOSE(CONTROL!$C$42, 10.3643, 10.3643) * CHOOSE(CONTROL!$C$21, $C$9, 100%, $E$9)</f>
        <v>10.3643</v>
      </c>
      <c r="I344" s="10">
        <f>CHOOSE(CONTROL!$C$42, 10.1585, 10.1585)* CHOOSE(CONTROL!$C$21, $C$9, 100%, $E$9)</f>
        <v>10.1585</v>
      </c>
      <c r="J344" s="10">
        <f>CHOOSE(CONTROL!$C$42, 10.1169, 10.1169)* CHOOSE(CONTROL!$C$21, $C$9, 100%, $E$9)</f>
        <v>10.116899999999999</v>
      </c>
      <c r="K344" s="10">
        <f>CHOOSE(CONTROL!$C$42, 10.0015, 10.0015) * CHOOSE(CONTROL!$C$21, $C$9, 100%, $E$9)</f>
        <v>10.0015</v>
      </c>
      <c r="L344" s="10">
        <f>CHOOSE(CONTROL!$C$42, 10.9513, 10.9513) * CHOOSE(CONTROL!$C$21, $C$9, 100%, $E$9)</f>
        <v>10.9513</v>
      </c>
      <c r="M344" s="10">
        <f>CHOOSE(CONTROL!$C$42, 10.0088, 10.0088) * CHOOSE(CONTROL!$C$21, $C$9, 100%, $E$9)</f>
        <v>10.008800000000001</v>
      </c>
      <c r="N344" s="10">
        <f>CHOOSE(CONTROL!$C$42, 10.0248, 10.0248) * CHOOSE(CONTROL!$C$21, $C$9, 100%, $E$9)</f>
        <v>10.024800000000001</v>
      </c>
      <c r="O344" s="10">
        <f>CHOOSE(CONTROL!$C$42, 10.2527, 10.2527) * CHOOSE(CONTROL!$C$21, $C$9, 100%, $E$9)</f>
        <v>10.252700000000001</v>
      </c>
      <c r="P344" s="10">
        <f>CHOOSE(CONTROL!$C$42, 10.0498, 10.0498) * CHOOSE(CONTROL!$C$21, $C$9, 100%, $E$9)</f>
        <v>10.049799999999999</v>
      </c>
      <c r="Q344" s="10">
        <f>CHOOSE(CONTROL!$C$42, 10.848, 10.848) * CHOOSE(CONTROL!$C$21, $C$9, 100%, $E$9)</f>
        <v>10.848000000000001</v>
      </c>
      <c r="R344" s="10">
        <f>CHOOSE(CONTROL!$C$42, 11.4622, 11.4622) * CHOOSE(CONTROL!$C$21, $C$9, 100%, $E$9)</f>
        <v>11.462199999999999</v>
      </c>
      <c r="S344" s="10">
        <f>CHOOSE(CONTROL!$C$42, 9.8716, 9.8716) * CHOOSE(CONTROL!$C$21, $C$9, 100%, $E$9)</f>
        <v>9.8716000000000008</v>
      </c>
      <c r="T34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44" s="38">
        <f>(1000*CHOOSE(CONTROL!$C$42, 695, 695)*CHOOSE(CONTROL!$C$42, 0.5599, 0.5599)*CHOOSE(CONTROL!$C$42, 31, 31))/1000000</f>
        <v>12.063045499999998</v>
      </c>
      <c r="V344" s="38">
        <f>(1000*CHOOSE(CONTROL!$C$42, 500, 500)*CHOOSE(CONTROL!$C$42, 0.275, 0.275)*CHOOSE(CONTROL!$C$42, 31, 31))/1000000</f>
        <v>4.2625000000000002</v>
      </c>
      <c r="W344" s="38">
        <f>(1000*CHOOSE(CONTROL!$C$42, 0.1146, 0.1146)*CHOOSE(CONTROL!$C$42, 121.5, 121.5)*CHOOSE(CONTROL!$C$42, 31, 31))/1000000</f>
        <v>0.43164089999999994</v>
      </c>
      <c r="X344" s="38">
        <f>(31*0.1790888*245000/1000000)+(31*0.2374*100000/1000000)</f>
        <v>2.0961194359999999</v>
      </c>
      <c r="Y344" s="38">
        <f>(1000*600*CHOOSE(CONTROL!$C$42, 1.6268, 1.6268)*CHOOSE(CONTROL!$C$42, 31, 31))/1000000</f>
        <v>30.258479999999999</v>
      </c>
      <c r="Z344" s="38"/>
      <c r="AA344" s="10"/>
      <c r="AB344" s="39"/>
      <c r="AC344" s="33">
        <f>(B344*194.205+C344*267.466+D344*133.845+E344*53.484+F344*40+G344*185+H344*0+I344*100+J344*300)/(194.205+267.466+133.845+53.484+0+40+185+100+300)</f>
        <v>10.183081826295133</v>
      </c>
      <c r="AD344" s="27">
        <f>(M344*'RAP TEMPLATE-GAS AVAILABILITY'!O343+N344*'RAP TEMPLATE-GAS AVAILABILITY'!P343+O344*'RAP TEMPLATE-GAS AVAILABILITY'!Q343+P344*'RAP TEMPLATE-GAS AVAILABILITY'!R343)/('RAP TEMPLATE-GAS AVAILABILITY'!O343+'RAP TEMPLATE-GAS AVAILABILITY'!P343+'RAP TEMPLATE-GAS AVAILABILITY'!Q343+'RAP TEMPLATE-GAS AVAILABILITY'!R343)</f>
        <v>10.086815107913669</v>
      </c>
    </row>
    <row r="345" spans="1:30" ht="15.75">
      <c r="A345" s="14">
        <v>51774</v>
      </c>
      <c r="B345" s="10">
        <f>CHOOSE(CONTROL!$C$42, 9.5326, 9.5326) * CHOOSE(CONTROL!$C$21, $C$9, 100%, $E$9)</f>
        <v>9.5326000000000004</v>
      </c>
      <c r="C345" s="10">
        <f>CHOOSE(CONTROL!$C$42, 9.5406, 9.5406) * CHOOSE(CONTROL!$C$21, $C$9, 100%, $E$9)</f>
        <v>9.5405999999999995</v>
      </c>
      <c r="D345" s="10">
        <f>CHOOSE(CONTROL!$C$42, 9.6976, 9.6976) * CHOOSE(CONTROL!$C$21, $C$9, 100%, $E$9)</f>
        <v>9.6975999999999996</v>
      </c>
      <c r="E345" s="10">
        <f>CHOOSE(CONTROL!$C$42, 9.7288, 9.7288) * CHOOSE(CONTROL!$C$21, $C$9, 100%, $E$9)</f>
        <v>9.7287999999999997</v>
      </c>
      <c r="F345" s="10">
        <f>CHOOSE(CONTROL!$C$42, 9.4769, 9.4769)*CHOOSE(CONTROL!$C$21, $C$9, 100%, $E$9)</f>
        <v>9.4769000000000005</v>
      </c>
      <c r="G345" s="10">
        <f>CHOOSE(CONTROL!$C$42, 9.4931, 9.4931)*CHOOSE(CONTROL!$C$21, $C$9, 100%, $E$9)</f>
        <v>9.4931000000000001</v>
      </c>
      <c r="H345" s="10">
        <f>CHOOSE(CONTROL!$C$42, 9.7171, 9.7171) * CHOOSE(CONTROL!$C$21, $C$9, 100%, $E$9)</f>
        <v>9.7171000000000003</v>
      </c>
      <c r="I345" s="10">
        <f>CHOOSE(CONTROL!$C$42, 9.5113, 9.5113)* CHOOSE(CONTROL!$C$21, $C$9, 100%, $E$9)</f>
        <v>9.5113000000000003</v>
      </c>
      <c r="J345" s="10">
        <f>CHOOSE(CONTROL!$C$42, 9.4695, 9.4695)* CHOOSE(CONTROL!$C$21, $C$9, 100%, $E$9)</f>
        <v>9.4695</v>
      </c>
      <c r="K345" s="10">
        <f>CHOOSE(CONTROL!$C$42, 9.3742, 9.3742) * CHOOSE(CONTROL!$C$21, $C$9, 100%, $E$9)</f>
        <v>9.3742000000000001</v>
      </c>
      <c r="L345" s="10">
        <f>CHOOSE(CONTROL!$C$42, 10.3041, 10.3041) * CHOOSE(CONTROL!$C$21, $C$9, 100%, $E$9)</f>
        <v>10.3041</v>
      </c>
      <c r="M345" s="10">
        <f>CHOOSE(CONTROL!$C$42, 9.3704, 9.3704) * CHOOSE(CONTROL!$C$21, $C$9, 100%, $E$9)</f>
        <v>9.3704000000000001</v>
      </c>
      <c r="N345" s="10">
        <f>CHOOSE(CONTROL!$C$42, 9.3864, 9.3864) * CHOOSE(CONTROL!$C$21, $C$9, 100%, $E$9)</f>
        <v>9.3864000000000001</v>
      </c>
      <c r="O345" s="10">
        <f>CHOOSE(CONTROL!$C$42, 9.6146, 9.6146) * CHOOSE(CONTROL!$C$21, $C$9, 100%, $E$9)</f>
        <v>9.6145999999999994</v>
      </c>
      <c r="P345" s="10">
        <f>CHOOSE(CONTROL!$C$42, 9.4117, 9.4117) * CHOOSE(CONTROL!$C$21, $C$9, 100%, $E$9)</f>
        <v>9.4116999999999997</v>
      </c>
      <c r="Q345" s="10">
        <f>CHOOSE(CONTROL!$C$42, 10.2099, 10.2099) * CHOOSE(CONTROL!$C$21, $C$9, 100%, $E$9)</f>
        <v>10.209899999999999</v>
      </c>
      <c r="R345" s="10">
        <f>CHOOSE(CONTROL!$C$42, 10.8224, 10.8224) * CHOOSE(CONTROL!$C$21, $C$9, 100%, $E$9)</f>
        <v>10.8224</v>
      </c>
      <c r="S345" s="10">
        <f>CHOOSE(CONTROL!$C$42, 9.245, 9.245) * CHOOSE(CONTROL!$C$21, $C$9, 100%, $E$9)</f>
        <v>9.2449999999999992</v>
      </c>
      <c r="T34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45" s="38">
        <f>(1000*CHOOSE(CONTROL!$C$42, 695, 695)*CHOOSE(CONTROL!$C$42, 0.5599, 0.5599)*CHOOSE(CONTROL!$C$42, 30, 30))/1000000</f>
        <v>11.673914999999997</v>
      </c>
      <c r="V345" s="38">
        <f>(1000*CHOOSE(CONTROL!$C$42, 500, 500)*CHOOSE(CONTROL!$C$42, 0.275, 0.275)*CHOOSE(CONTROL!$C$42, 30, 30))/1000000</f>
        <v>4.125</v>
      </c>
      <c r="W345" s="38">
        <f>(1000*CHOOSE(CONTROL!$C$42, 0.1146, 0.1146)*CHOOSE(CONTROL!$C$42, 121.5, 121.5)*CHOOSE(CONTROL!$C$42, 30, 30))/1000000</f>
        <v>0.417717</v>
      </c>
      <c r="X345" s="38">
        <f>(30*0.1790888*245000/1000000)+(30*0.2374*100000/1000000)</f>
        <v>2.0285026799999999</v>
      </c>
      <c r="Y345" s="38">
        <f>(1000*600*CHOOSE(CONTROL!$C$42, 1.6268, 1.6268)*CHOOSE(CONTROL!$C$42, 30, 30))/1000000</f>
        <v>29.282399999999999</v>
      </c>
      <c r="Z345" s="38"/>
      <c r="AA345" s="10"/>
      <c r="AB345" s="39"/>
      <c r="AC345" s="33">
        <f>(B345*194.205+C345*267.466+D345*133.845+E345*53.484+F345*40+G345*185+H345*0+I345*100+J345*300)/(194.205+267.466+133.845+53.484+0+40+185+100+300)</f>
        <v>9.535835646624804</v>
      </c>
      <c r="AD345" s="27">
        <f>(M345*'RAP TEMPLATE-GAS AVAILABILITY'!O344+N345*'RAP TEMPLATE-GAS AVAILABILITY'!P344+O345*'RAP TEMPLATE-GAS AVAILABILITY'!Q344+P345*'RAP TEMPLATE-GAS AVAILABILITY'!R344)/('RAP TEMPLATE-GAS AVAILABILITY'!O344+'RAP TEMPLATE-GAS AVAILABILITY'!P344+'RAP TEMPLATE-GAS AVAILABILITY'!Q344+'RAP TEMPLATE-GAS AVAILABILITY'!R344)</f>
        <v>9.4485424460431648</v>
      </c>
    </row>
    <row r="346" spans="1:30" ht="15.75">
      <c r="A346" s="14">
        <v>51805</v>
      </c>
      <c r="B346" s="10">
        <f>CHOOSE(CONTROL!$C$42, 9.3365, 9.3365) * CHOOSE(CONTROL!$C$21, $C$9, 100%, $E$9)</f>
        <v>9.3364999999999991</v>
      </c>
      <c r="C346" s="10">
        <f>CHOOSE(CONTROL!$C$42, 9.3419, 9.3419) * CHOOSE(CONTROL!$C$21, $C$9, 100%, $E$9)</f>
        <v>9.3419000000000008</v>
      </c>
      <c r="D346" s="10">
        <f>CHOOSE(CONTROL!$C$42, 9.5038, 9.5038) * CHOOSE(CONTROL!$C$21, $C$9, 100%, $E$9)</f>
        <v>9.5038</v>
      </c>
      <c r="E346" s="10">
        <f>CHOOSE(CONTROL!$C$42, 9.5327, 9.5327) * CHOOSE(CONTROL!$C$21, $C$9, 100%, $E$9)</f>
        <v>9.5327000000000002</v>
      </c>
      <c r="F346" s="10">
        <f>CHOOSE(CONTROL!$C$42, 9.2829, 9.2829)*CHOOSE(CONTROL!$C$21, $C$9, 100%, $E$9)</f>
        <v>9.2828999999999997</v>
      </c>
      <c r="G346" s="10">
        <f>CHOOSE(CONTROL!$C$42, 9.2987, 9.2987)*CHOOSE(CONTROL!$C$21, $C$9, 100%, $E$9)</f>
        <v>9.2987000000000002</v>
      </c>
      <c r="H346" s="10">
        <f>CHOOSE(CONTROL!$C$42, 9.5229, 9.5229) * CHOOSE(CONTROL!$C$21, $C$9, 100%, $E$9)</f>
        <v>9.5228999999999999</v>
      </c>
      <c r="I346" s="10">
        <f>CHOOSE(CONTROL!$C$42, 9.317, 9.317)* CHOOSE(CONTROL!$C$21, $C$9, 100%, $E$9)</f>
        <v>9.3170000000000002</v>
      </c>
      <c r="J346" s="10">
        <f>CHOOSE(CONTROL!$C$42, 9.2755, 9.2755)* CHOOSE(CONTROL!$C$21, $C$9, 100%, $E$9)</f>
        <v>9.2754999999999992</v>
      </c>
      <c r="K346" s="10">
        <f>CHOOSE(CONTROL!$C$42, 9.1866, 9.1866) * CHOOSE(CONTROL!$C$21, $C$9, 100%, $E$9)</f>
        <v>9.1866000000000003</v>
      </c>
      <c r="L346" s="10">
        <f>CHOOSE(CONTROL!$C$42, 10.1099, 10.1099) * CHOOSE(CONTROL!$C$21, $C$9, 100%, $E$9)</f>
        <v>10.1099</v>
      </c>
      <c r="M346" s="10">
        <f>CHOOSE(CONTROL!$C$42, 9.1792, 9.1792) * CHOOSE(CONTROL!$C$21, $C$9, 100%, $E$9)</f>
        <v>9.1791999999999998</v>
      </c>
      <c r="N346" s="10">
        <f>CHOOSE(CONTROL!$C$42, 9.1947, 9.1947) * CHOOSE(CONTROL!$C$21, $C$9, 100%, $E$9)</f>
        <v>9.1946999999999992</v>
      </c>
      <c r="O346" s="10">
        <f>CHOOSE(CONTROL!$C$42, 9.423, 9.423) * CHOOSE(CONTROL!$C$21, $C$9, 100%, $E$9)</f>
        <v>9.423</v>
      </c>
      <c r="P346" s="10">
        <f>CHOOSE(CONTROL!$C$42, 9.2201, 9.2201) * CHOOSE(CONTROL!$C$21, $C$9, 100%, $E$9)</f>
        <v>9.2201000000000004</v>
      </c>
      <c r="Q346" s="10">
        <f>CHOOSE(CONTROL!$C$42, 10.0183, 10.0183) * CHOOSE(CONTROL!$C$21, $C$9, 100%, $E$9)</f>
        <v>10.0183</v>
      </c>
      <c r="R346" s="10">
        <f>CHOOSE(CONTROL!$C$42, 10.6304, 10.6304) * CHOOSE(CONTROL!$C$21, $C$9, 100%, $E$9)</f>
        <v>10.6304</v>
      </c>
      <c r="S346" s="10">
        <f>CHOOSE(CONTROL!$C$42, 9.0568, 9.0568) * CHOOSE(CONTROL!$C$21, $C$9, 100%, $E$9)</f>
        <v>9.0568000000000008</v>
      </c>
      <c r="T34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46" s="38">
        <f>(1000*CHOOSE(CONTROL!$C$42, 695, 695)*CHOOSE(CONTROL!$C$42, 0.5599, 0.5599)*CHOOSE(CONTROL!$C$42, 31, 31))/1000000</f>
        <v>12.063045499999998</v>
      </c>
      <c r="V346" s="38">
        <f>(1000*CHOOSE(CONTROL!$C$42, 500, 500)*CHOOSE(CONTROL!$C$42, 0.275, 0.275)*CHOOSE(CONTROL!$C$42, 31, 31))/1000000</f>
        <v>4.2625000000000002</v>
      </c>
      <c r="W346" s="38">
        <f>(1000*CHOOSE(CONTROL!$C$42, 0.1146, 0.1146)*CHOOSE(CONTROL!$C$42, 121.5, 121.5)*CHOOSE(CONTROL!$C$42, 31, 31))/1000000</f>
        <v>0.43164089999999994</v>
      </c>
      <c r="X346" s="38">
        <f>(31*0.1790888*245000/1000000)+(31*0.2374*100000/1000000)</f>
        <v>2.0961194359999999</v>
      </c>
      <c r="Y346" s="38">
        <f>(1000*600*CHOOSE(CONTROL!$C$42, 1.6268, 1.6268)*CHOOSE(CONTROL!$C$42, 31, 31))/1000000</f>
        <v>30.258479999999999</v>
      </c>
      <c r="Z346" s="38"/>
      <c r="AA346" s="10"/>
      <c r="AB346" s="39"/>
      <c r="AC346" s="33">
        <f>(B346*131.881+C346*277.167+D346*79.08+E346*125.872+F346*40+G346*185+H346*0+I346*100+J346*300)/(131.881+277.167+79.08+125.872+0+40+185+100+300)</f>
        <v>9.3445999775625506</v>
      </c>
      <c r="AD346" s="27">
        <f>(M346*'RAP TEMPLATE-GAS AVAILABILITY'!O345+N346*'RAP TEMPLATE-GAS AVAILABILITY'!P345+O346*'RAP TEMPLATE-GAS AVAILABILITY'!Q345+P346*'RAP TEMPLATE-GAS AVAILABILITY'!R345)/('RAP TEMPLATE-GAS AVAILABILITY'!O345+'RAP TEMPLATE-GAS AVAILABILITY'!P345+'RAP TEMPLATE-GAS AVAILABILITY'!Q345+'RAP TEMPLATE-GAS AVAILABILITY'!R345)</f>
        <v>9.2570575539568338</v>
      </c>
    </row>
    <row r="347" spans="1:30" ht="15.75">
      <c r="A347" s="14">
        <v>51835</v>
      </c>
      <c r="B347" s="10">
        <f>CHOOSE(CONTROL!$C$42, 9.5825, 9.5825) * CHOOSE(CONTROL!$C$21, $C$9, 100%, $E$9)</f>
        <v>9.5824999999999996</v>
      </c>
      <c r="C347" s="10">
        <f>CHOOSE(CONTROL!$C$42, 9.5876, 9.5876) * CHOOSE(CONTROL!$C$21, $C$9, 100%, $E$9)</f>
        <v>9.5876000000000001</v>
      </c>
      <c r="D347" s="10">
        <f>CHOOSE(CONTROL!$C$42, 9.6123, 9.6123) * CHOOSE(CONTROL!$C$21, $C$9, 100%, $E$9)</f>
        <v>9.6122999999999994</v>
      </c>
      <c r="E347" s="10">
        <f>CHOOSE(CONTROL!$C$42, 9.6461, 9.6461) * CHOOSE(CONTROL!$C$21, $C$9, 100%, $E$9)</f>
        <v>9.6461000000000006</v>
      </c>
      <c r="F347" s="10">
        <f>CHOOSE(CONTROL!$C$42, 9.5509, 9.5509)*CHOOSE(CONTROL!$C$21, $C$9, 100%, $E$9)</f>
        <v>9.5509000000000004</v>
      </c>
      <c r="G347" s="10">
        <f>CHOOSE(CONTROL!$C$42, 9.5669, 9.5669)*CHOOSE(CONTROL!$C$21, $C$9, 100%, $E$9)</f>
        <v>9.5669000000000004</v>
      </c>
      <c r="H347" s="10">
        <f>CHOOSE(CONTROL!$C$42, 9.635, 9.635) * CHOOSE(CONTROL!$C$21, $C$9, 100%, $E$9)</f>
        <v>9.6349999999999998</v>
      </c>
      <c r="I347" s="10">
        <f>CHOOSE(CONTROL!$C$42, 9.5975, 9.5975)* CHOOSE(CONTROL!$C$21, $C$9, 100%, $E$9)</f>
        <v>9.5975000000000001</v>
      </c>
      <c r="J347" s="10">
        <f>CHOOSE(CONTROL!$C$42, 9.5435, 9.5435)* CHOOSE(CONTROL!$C$21, $C$9, 100%, $E$9)</f>
        <v>9.5434999999999999</v>
      </c>
      <c r="K347" s="10">
        <f>CHOOSE(CONTROL!$C$42, 9.4605, 9.4605) * CHOOSE(CONTROL!$C$21, $C$9, 100%, $E$9)</f>
        <v>9.4604999999999997</v>
      </c>
      <c r="L347" s="10">
        <f>CHOOSE(CONTROL!$C$42, 10.222, 10.222) * CHOOSE(CONTROL!$C$21, $C$9, 100%, $E$9)</f>
        <v>10.222</v>
      </c>
      <c r="M347" s="10">
        <f>CHOOSE(CONTROL!$C$42, 9.4433, 9.4433) * CHOOSE(CONTROL!$C$21, $C$9, 100%, $E$9)</f>
        <v>9.4433000000000007</v>
      </c>
      <c r="N347" s="10">
        <f>CHOOSE(CONTROL!$C$42, 9.4591, 9.4591) * CHOOSE(CONTROL!$C$21, $C$9, 100%, $E$9)</f>
        <v>9.4590999999999994</v>
      </c>
      <c r="O347" s="10">
        <f>CHOOSE(CONTROL!$C$42, 9.5336, 9.5336) * CHOOSE(CONTROL!$C$21, $C$9, 100%, $E$9)</f>
        <v>9.5335999999999999</v>
      </c>
      <c r="P347" s="10">
        <f>CHOOSE(CONTROL!$C$42, 9.4967, 9.4967) * CHOOSE(CONTROL!$C$21, $C$9, 100%, $E$9)</f>
        <v>9.4967000000000006</v>
      </c>
      <c r="Q347" s="10">
        <f>CHOOSE(CONTROL!$C$42, 10.1289, 10.1289) * CHOOSE(CONTROL!$C$21, $C$9, 100%, $E$9)</f>
        <v>10.1289</v>
      </c>
      <c r="R347" s="10">
        <f>CHOOSE(CONTROL!$C$42, 10.7412, 10.7412) * CHOOSE(CONTROL!$C$21, $C$9, 100%, $E$9)</f>
        <v>10.741199999999999</v>
      </c>
      <c r="S347" s="10">
        <f>CHOOSE(CONTROL!$C$42, 9.2954, 9.2954) * CHOOSE(CONTROL!$C$21, $C$9, 100%, $E$9)</f>
        <v>9.2954000000000008</v>
      </c>
      <c r="T34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47" s="38">
        <f>(1000*CHOOSE(CONTROL!$C$42, 695, 695)*CHOOSE(CONTROL!$C$42, 0.5599, 0.5599)*CHOOSE(CONTROL!$C$42, 30, 30))/1000000</f>
        <v>11.673914999999997</v>
      </c>
      <c r="V347" s="38">
        <f>(1000*CHOOSE(CONTROL!$C$42, 500, 500)*CHOOSE(CONTROL!$C$42, 0.275, 0.275)*CHOOSE(CONTROL!$C$42, 30, 30))/1000000</f>
        <v>4.125</v>
      </c>
      <c r="W347" s="38">
        <f>(1000*CHOOSE(CONTROL!$C$42, 0.1146, 0.1146)*CHOOSE(CONTROL!$C$42, 121.5, 121.5)*CHOOSE(CONTROL!$C$42, 30, 30))/1000000</f>
        <v>0.417717</v>
      </c>
      <c r="X347" s="38">
        <f>(30*0.1790888*100000/1000000)+(30*0.2374*100000/1000000)</f>
        <v>1.2494664</v>
      </c>
      <c r="Y347" s="38">
        <f>(1000*600*CHOOSE(CONTROL!$C$42, 1.6268, 1.6268)*CHOOSE(CONTROL!$C$42, 30, 30))/1000000</f>
        <v>29.282399999999999</v>
      </c>
      <c r="Z347" s="38"/>
      <c r="AA347" s="10"/>
      <c r="AB347" s="39"/>
      <c r="AC347" s="33">
        <f>(B347*122.58+C347*297.941+D347*89.177+E347*40.302+F347*40+G347*160+H347*0+I347*100+J347*300)/(122.58+297.941+89.177+40.302+0+40+160+100+300)</f>
        <v>9.5762218964347827</v>
      </c>
      <c r="AD347" s="27">
        <f>(M347*'RAP TEMPLATE-GAS AVAILABILITY'!O346+N347*'RAP TEMPLATE-GAS AVAILABILITY'!P346+O347*'RAP TEMPLATE-GAS AVAILABILITY'!Q346+P347*'RAP TEMPLATE-GAS AVAILABILITY'!R346)/('RAP TEMPLATE-GAS AVAILABILITY'!O346+'RAP TEMPLATE-GAS AVAILABILITY'!P346+'RAP TEMPLATE-GAS AVAILABILITY'!Q346+'RAP TEMPLATE-GAS AVAILABILITY'!R346)</f>
        <v>9.4928201438848916</v>
      </c>
    </row>
    <row r="348" spans="1:30" ht="15.75">
      <c r="A348" s="14">
        <v>51866</v>
      </c>
      <c r="B348" s="10">
        <f>CHOOSE(CONTROL!$C$42, 10.237, 10.237) * CHOOSE(CONTROL!$C$21, $C$9, 100%, $E$9)</f>
        <v>10.237</v>
      </c>
      <c r="C348" s="10">
        <f>CHOOSE(CONTROL!$C$42, 10.2421, 10.2421) * CHOOSE(CONTROL!$C$21, $C$9, 100%, $E$9)</f>
        <v>10.242100000000001</v>
      </c>
      <c r="D348" s="10">
        <f>CHOOSE(CONTROL!$C$42, 10.2668, 10.2668) * CHOOSE(CONTROL!$C$21, $C$9, 100%, $E$9)</f>
        <v>10.2668</v>
      </c>
      <c r="E348" s="10">
        <f>CHOOSE(CONTROL!$C$42, 10.3006, 10.3006) * CHOOSE(CONTROL!$C$21, $C$9, 100%, $E$9)</f>
        <v>10.300599999999999</v>
      </c>
      <c r="F348" s="10">
        <f>CHOOSE(CONTROL!$C$42, 10.2072, 10.2072)*CHOOSE(CONTROL!$C$21, $C$9, 100%, $E$9)</f>
        <v>10.2072</v>
      </c>
      <c r="G348" s="10">
        <f>CHOOSE(CONTROL!$C$42, 10.2237, 10.2237)*CHOOSE(CONTROL!$C$21, $C$9, 100%, $E$9)</f>
        <v>10.223699999999999</v>
      </c>
      <c r="H348" s="10">
        <f>CHOOSE(CONTROL!$C$42, 10.2894, 10.2894) * CHOOSE(CONTROL!$C$21, $C$9, 100%, $E$9)</f>
        <v>10.289400000000001</v>
      </c>
      <c r="I348" s="10">
        <f>CHOOSE(CONTROL!$C$42, 10.252, 10.252)* CHOOSE(CONTROL!$C$21, $C$9, 100%, $E$9)</f>
        <v>10.252000000000001</v>
      </c>
      <c r="J348" s="10">
        <f>CHOOSE(CONTROL!$C$42, 10.1998, 10.1998)* CHOOSE(CONTROL!$C$21, $C$9, 100%, $E$9)</f>
        <v>10.1998</v>
      </c>
      <c r="K348" s="10">
        <f>CHOOSE(CONTROL!$C$42, 10.0986, 10.0986) * CHOOSE(CONTROL!$C$21, $C$9, 100%, $E$9)</f>
        <v>10.098599999999999</v>
      </c>
      <c r="L348" s="10">
        <f>CHOOSE(CONTROL!$C$42, 10.8764, 10.8764) * CHOOSE(CONTROL!$C$21, $C$9, 100%, $E$9)</f>
        <v>10.8764</v>
      </c>
      <c r="M348" s="10">
        <f>CHOOSE(CONTROL!$C$42, 10.0906, 10.0906) * CHOOSE(CONTROL!$C$21, $C$9, 100%, $E$9)</f>
        <v>10.0906</v>
      </c>
      <c r="N348" s="10">
        <f>CHOOSE(CONTROL!$C$42, 10.1068, 10.1068) * CHOOSE(CONTROL!$C$21, $C$9, 100%, $E$9)</f>
        <v>10.1068</v>
      </c>
      <c r="O348" s="10">
        <f>CHOOSE(CONTROL!$C$42, 10.1789, 10.1789) * CHOOSE(CONTROL!$C$21, $C$9, 100%, $E$9)</f>
        <v>10.178900000000001</v>
      </c>
      <c r="P348" s="10">
        <f>CHOOSE(CONTROL!$C$42, 10.142, 10.142) * CHOOSE(CONTROL!$C$21, $C$9, 100%, $E$9)</f>
        <v>10.141999999999999</v>
      </c>
      <c r="Q348" s="10">
        <f>CHOOSE(CONTROL!$C$42, 10.7742, 10.7742) * CHOOSE(CONTROL!$C$21, $C$9, 100%, $E$9)</f>
        <v>10.7742</v>
      </c>
      <c r="R348" s="10">
        <f>CHOOSE(CONTROL!$C$42, 11.3881, 11.3881) * CHOOSE(CONTROL!$C$21, $C$9, 100%, $E$9)</f>
        <v>11.3881</v>
      </c>
      <c r="S348" s="10">
        <f>CHOOSE(CONTROL!$C$42, 9.9291, 9.9291) * CHOOSE(CONTROL!$C$21, $C$9, 100%, $E$9)</f>
        <v>9.9291</v>
      </c>
      <c r="T34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48" s="38">
        <f>(1000*CHOOSE(CONTROL!$C$42, 695, 695)*CHOOSE(CONTROL!$C$42, 0.5599, 0.5599)*CHOOSE(CONTROL!$C$42, 31, 31))/1000000</f>
        <v>12.063045499999998</v>
      </c>
      <c r="V348" s="38">
        <f>(1000*CHOOSE(CONTROL!$C$42, 500, 500)*CHOOSE(CONTROL!$C$42, 0.275, 0.275)*CHOOSE(CONTROL!$C$42, 31, 31))/1000000</f>
        <v>4.2625000000000002</v>
      </c>
      <c r="W348" s="38">
        <f>(1000*CHOOSE(CONTROL!$C$42, 0.1146, 0.1146)*CHOOSE(CONTROL!$C$42, 121.5, 121.5)*CHOOSE(CONTROL!$C$42, 31, 31))/1000000</f>
        <v>0.43164089999999994</v>
      </c>
      <c r="X348" s="38">
        <f>(31*0.1790888*100000/1000000)+(31*0.2374*100000/1000000)</f>
        <v>1.2911152800000001</v>
      </c>
      <c r="Y348" s="38">
        <f>(1000*600*CHOOSE(CONTROL!$C$42, 1.6268, 1.6268)*CHOOSE(CONTROL!$C$42, 31, 31))/1000000</f>
        <v>30.258479999999999</v>
      </c>
      <c r="Z348" s="38"/>
      <c r="AA348" s="10"/>
      <c r="AB348" s="39"/>
      <c r="AC348" s="33">
        <f>(B348*122.58+C348*297.941+D348*89.177+E348*40.302+F348*40+G348*160+H348*0+I348*100+J348*300)/(122.58+297.941+89.177+40.302+0+40+160+100+300)</f>
        <v>10.231574070347827</v>
      </c>
      <c r="AD348" s="27">
        <f>(M348*'RAP TEMPLATE-GAS AVAILABILITY'!O347+N348*'RAP TEMPLATE-GAS AVAILABILITY'!P347+O348*'RAP TEMPLATE-GAS AVAILABILITY'!Q347+P348*'RAP TEMPLATE-GAS AVAILABILITY'!R347)/('RAP TEMPLATE-GAS AVAILABILITY'!O347+'RAP TEMPLATE-GAS AVAILABILITY'!P347+'RAP TEMPLATE-GAS AVAILABILITY'!Q347+'RAP TEMPLATE-GAS AVAILABILITY'!R347)</f>
        <v>10.13894892086331</v>
      </c>
    </row>
    <row r="349" spans="1:30" ht="15.75">
      <c r="A349" s="14">
        <v>51897</v>
      </c>
      <c r="B349" s="10">
        <f>CHOOSE(CONTROL!$C$42, 10.929, 10.929) * CHOOSE(CONTROL!$C$21, $C$9, 100%, $E$9)</f>
        <v>10.929</v>
      </c>
      <c r="C349" s="10">
        <f>CHOOSE(CONTROL!$C$42, 10.9341, 10.9341) * CHOOSE(CONTROL!$C$21, $C$9, 100%, $E$9)</f>
        <v>10.934100000000001</v>
      </c>
      <c r="D349" s="10">
        <f>CHOOSE(CONTROL!$C$42, 10.9665, 10.9665) * CHOOSE(CONTROL!$C$21, $C$9, 100%, $E$9)</f>
        <v>10.9665</v>
      </c>
      <c r="E349" s="10">
        <f>CHOOSE(CONTROL!$C$42, 11.0003, 11.0003) * CHOOSE(CONTROL!$C$21, $C$9, 100%, $E$9)</f>
        <v>11.000299999999999</v>
      </c>
      <c r="F349" s="10">
        <f>CHOOSE(CONTROL!$C$42, 10.9132, 10.9132)*CHOOSE(CONTROL!$C$21, $C$9, 100%, $E$9)</f>
        <v>10.9132</v>
      </c>
      <c r="G349" s="10">
        <f>CHOOSE(CONTROL!$C$42, 10.9312, 10.9312)*CHOOSE(CONTROL!$C$21, $C$9, 100%, $E$9)</f>
        <v>10.9312</v>
      </c>
      <c r="H349" s="10">
        <f>CHOOSE(CONTROL!$C$42, 10.9892, 10.9892) * CHOOSE(CONTROL!$C$21, $C$9, 100%, $E$9)</f>
        <v>10.9892</v>
      </c>
      <c r="I349" s="10">
        <f>CHOOSE(CONTROL!$C$42, 10.9424, 10.9424)* CHOOSE(CONTROL!$C$21, $C$9, 100%, $E$9)</f>
        <v>10.942399999999999</v>
      </c>
      <c r="J349" s="10">
        <f>CHOOSE(CONTROL!$C$42, 10.9058, 10.9058)* CHOOSE(CONTROL!$C$21, $C$9, 100%, $E$9)</f>
        <v>10.905799999999999</v>
      </c>
      <c r="K349" s="10">
        <f>CHOOSE(CONTROL!$C$42, 10.7815, 10.7815) * CHOOSE(CONTROL!$C$21, $C$9, 100%, $E$9)</f>
        <v>10.781499999999999</v>
      </c>
      <c r="L349" s="10">
        <f>CHOOSE(CONTROL!$C$42, 11.5762, 11.5762) * CHOOSE(CONTROL!$C$21, $C$9, 100%, $E$9)</f>
        <v>11.5762</v>
      </c>
      <c r="M349" s="10">
        <f>CHOOSE(CONTROL!$C$42, 10.7867, 10.7867) * CHOOSE(CONTROL!$C$21, $C$9, 100%, $E$9)</f>
        <v>10.7867</v>
      </c>
      <c r="N349" s="10">
        <f>CHOOSE(CONTROL!$C$42, 10.8045, 10.8045) * CHOOSE(CONTROL!$C$21, $C$9, 100%, $E$9)</f>
        <v>10.804500000000001</v>
      </c>
      <c r="O349" s="10">
        <f>CHOOSE(CONTROL!$C$42, 10.8689, 10.8689) * CHOOSE(CONTROL!$C$21, $C$9, 100%, $E$9)</f>
        <v>10.8689</v>
      </c>
      <c r="P349" s="10">
        <f>CHOOSE(CONTROL!$C$42, 10.8229, 10.8229) * CHOOSE(CONTROL!$C$21, $C$9, 100%, $E$9)</f>
        <v>10.822900000000001</v>
      </c>
      <c r="Q349" s="10">
        <f>CHOOSE(CONTROL!$C$42, 11.4642, 11.4642) * CHOOSE(CONTROL!$C$21, $C$9, 100%, $E$9)</f>
        <v>11.4642</v>
      </c>
      <c r="R349" s="10">
        <f>CHOOSE(CONTROL!$C$42, 12.0799, 12.0799) * CHOOSE(CONTROL!$C$21, $C$9, 100%, $E$9)</f>
        <v>12.0799</v>
      </c>
      <c r="S349" s="10">
        <f>CHOOSE(CONTROL!$C$42, 10.5992, 10.5992) * CHOOSE(CONTROL!$C$21, $C$9, 100%, $E$9)</f>
        <v>10.5992</v>
      </c>
      <c r="T34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49" s="38">
        <f>(1000*CHOOSE(CONTROL!$C$42, 695, 695)*CHOOSE(CONTROL!$C$42, 0.5599, 0.5599)*CHOOSE(CONTROL!$C$42, 31, 31))/1000000</f>
        <v>12.063045499999998</v>
      </c>
      <c r="V349" s="38">
        <f>(1000*CHOOSE(CONTROL!$C$42, 500, 500)*CHOOSE(CONTROL!$C$42, 0.275, 0.275)*CHOOSE(CONTROL!$C$42, 31, 31))/1000000</f>
        <v>4.2625000000000002</v>
      </c>
      <c r="W349" s="38">
        <f>(1000*CHOOSE(CONTROL!$C$42, 0.1146, 0.1146)*CHOOSE(CONTROL!$C$42, 121.5, 121.5)*CHOOSE(CONTROL!$C$42, 31, 31))/1000000</f>
        <v>0.43164089999999994</v>
      </c>
      <c r="X349" s="38">
        <f>(31*0.1790888*100000/1000000)+(31*0.2374*100000/1000000)</f>
        <v>1.2911152800000001</v>
      </c>
      <c r="Y349" s="38">
        <f>(1000*600*CHOOSE(CONTROL!$C$42, 1.1072, 1.1072)*CHOOSE(CONTROL!$C$42, 31, 31))/1000000</f>
        <v>20.593920000000001</v>
      </c>
      <c r="Z349" s="38"/>
      <c r="AA349" s="10"/>
      <c r="AB349" s="39"/>
      <c r="AC349" s="33">
        <f>(B349*122.58+C349*297.941+D349*89.177+E349*40.302+F349*40+G349*160+H349*0+I349*100+J349*300)/(122.58+297.941+89.177+40.302+0+40+160+100+300)</f>
        <v>10.930597538434784</v>
      </c>
      <c r="AD349" s="27">
        <f>(M349*'RAP TEMPLATE-GAS AVAILABILITY'!O348+N349*'RAP TEMPLATE-GAS AVAILABILITY'!P348+O349*'RAP TEMPLATE-GAS AVAILABILITY'!Q348+P349*'RAP TEMPLATE-GAS AVAILABILITY'!R348)/('RAP TEMPLATE-GAS AVAILABILITY'!O348+'RAP TEMPLATE-GAS AVAILABILITY'!P348+'RAP TEMPLATE-GAS AVAILABILITY'!Q348+'RAP TEMPLATE-GAS AVAILABILITY'!R348)</f>
        <v>10.830189208633096</v>
      </c>
    </row>
    <row r="350" spans="1:30" ht="15.75">
      <c r="A350" s="14">
        <v>51925</v>
      </c>
      <c r="B350" s="10">
        <f>CHOOSE(CONTROL!$C$42, 11.1238, 11.1238) * CHOOSE(CONTROL!$C$21, $C$9, 100%, $E$9)</f>
        <v>11.123799999999999</v>
      </c>
      <c r="C350" s="10">
        <f>CHOOSE(CONTROL!$C$42, 11.1289, 11.1289) * CHOOSE(CONTROL!$C$21, $C$9, 100%, $E$9)</f>
        <v>11.1289</v>
      </c>
      <c r="D350" s="10">
        <f>CHOOSE(CONTROL!$C$42, 11.1614, 11.1614) * CHOOSE(CONTROL!$C$21, $C$9, 100%, $E$9)</f>
        <v>11.1614</v>
      </c>
      <c r="E350" s="10">
        <f>CHOOSE(CONTROL!$C$42, 11.1952, 11.1952) * CHOOSE(CONTROL!$C$21, $C$9, 100%, $E$9)</f>
        <v>11.1952</v>
      </c>
      <c r="F350" s="10">
        <f>CHOOSE(CONTROL!$C$42, 11.1076, 11.1076)*CHOOSE(CONTROL!$C$21, $C$9, 100%, $E$9)</f>
        <v>11.1076</v>
      </c>
      <c r="G350" s="10">
        <f>CHOOSE(CONTROL!$C$42, 11.1255, 11.1255)*CHOOSE(CONTROL!$C$21, $C$9, 100%, $E$9)</f>
        <v>11.125500000000001</v>
      </c>
      <c r="H350" s="10">
        <f>CHOOSE(CONTROL!$C$42, 11.1841, 11.1841) * CHOOSE(CONTROL!$C$21, $C$9, 100%, $E$9)</f>
        <v>11.184100000000001</v>
      </c>
      <c r="I350" s="10">
        <f>CHOOSE(CONTROL!$C$42, 11.1373, 11.1373)* CHOOSE(CONTROL!$C$21, $C$9, 100%, $E$9)</f>
        <v>11.1373</v>
      </c>
      <c r="J350" s="10">
        <f>CHOOSE(CONTROL!$C$42, 11.1002, 11.1002)* CHOOSE(CONTROL!$C$21, $C$9, 100%, $E$9)</f>
        <v>11.100199999999999</v>
      </c>
      <c r="K350" s="10">
        <f>CHOOSE(CONTROL!$C$42, 10.9693, 10.9693) * CHOOSE(CONTROL!$C$21, $C$9, 100%, $E$9)</f>
        <v>10.9693</v>
      </c>
      <c r="L350" s="10">
        <f>CHOOSE(CONTROL!$C$42, 11.7711, 11.7711) * CHOOSE(CONTROL!$C$21, $C$9, 100%, $E$9)</f>
        <v>11.771100000000001</v>
      </c>
      <c r="M350" s="10">
        <f>CHOOSE(CONTROL!$C$42, 10.9783, 10.9783) * CHOOSE(CONTROL!$C$21, $C$9, 100%, $E$9)</f>
        <v>10.978300000000001</v>
      </c>
      <c r="N350" s="10">
        <f>CHOOSE(CONTROL!$C$42, 10.996, 10.996) * CHOOSE(CONTROL!$C$21, $C$9, 100%, $E$9)</f>
        <v>10.996</v>
      </c>
      <c r="O350" s="10">
        <f>CHOOSE(CONTROL!$C$42, 11.061, 11.061) * CHOOSE(CONTROL!$C$21, $C$9, 100%, $E$9)</f>
        <v>11.061</v>
      </c>
      <c r="P350" s="10">
        <f>CHOOSE(CONTROL!$C$42, 11.015, 11.015) * CHOOSE(CONTROL!$C$21, $C$9, 100%, $E$9)</f>
        <v>11.015000000000001</v>
      </c>
      <c r="Q350" s="10">
        <f>CHOOSE(CONTROL!$C$42, 11.6563, 11.6563) * CHOOSE(CONTROL!$C$21, $C$9, 100%, $E$9)</f>
        <v>11.6563</v>
      </c>
      <c r="R350" s="10">
        <f>CHOOSE(CONTROL!$C$42, 12.2725, 12.2725) * CHOOSE(CONTROL!$C$21, $C$9, 100%, $E$9)</f>
        <v>12.272500000000001</v>
      </c>
      <c r="S350" s="10">
        <f>CHOOSE(CONTROL!$C$42, 10.7879, 10.7879) * CHOOSE(CONTROL!$C$21, $C$9, 100%, $E$9)</f>
        <v>10.7879</v>
      </c>
      <c r="T35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50" s="38">
        <f>(1000*CHOOSE(CONTROL!$C$42, 695, 695)*CHOOSE(CONTROL!$C$42, 0.5599, 0.5599)*CHOOSE(CONTROL!$C$42, 28, 28))/1000000</f>
        <v>10.895653999999999</v>
      </c>
      <c r="V350" s="38">
        <f>(1000*CHOOSE(CONTROL!$C$42, 500, 500)*CHOOSE(CONTROL!$C$42, 0.275, 0.275)*CHOOSE(CONTROL!$C$42, 28, 28))/1000000</f>
        <v>3.85</v>
      </c>
      <c r="W350" s="38">
        <f>(1000*CHOOSE(CONTROL!$C$42, 0.1146, 0.1146)*CHOOSE(CONTROL!$C$42, 121.5, 121.5)*CHOOSE(CONTROL!$C$42, 28, 28))/1000000</f>
        <v>0.38986920000000003</v>
      </c>
      <c r="X350" s="38">
        <f>(28*0.1790888*100000/1000000)+(28*0.2374*100000/1000000)</f>
        <v>1.16616864</v>
      </c>
      <c r="Y350" s="38">
        <f>(1000*600*CHOOSE(CONTROL!$C$42, 1.1072, 1.1072)*CHOOSE(CONTROL!$C$42, 28, 28))/1000000</f>
        <v>18.600960000000001</v>
      </c>
      <c r="Z350" s="38"/>
      <c r="AA350" s="10"/>
      <c r="AB350" s="39"/>
      <c r="AC350" s="33">
        <f>(B350*122.58+C350*297.941+D350*89.177+E350*40.302+F350*40+G350*160+H350*0+I350*100+J350*300)/(122.58+297.941+89.177+40.302+0+40+160+100+300)</f>
        <v>11.125229667043477</v>
      </c>
      <c r="AD350" s="27">
        <f>(M350*'RAP TEMPLATE-GAS AVAILABILITY'!O349+N350*'RAP TEMPLATE-GAS AVAILABILITY'!P349+O350*'RAP TEMPLATE-GAS AVAILABILITY'!Q349+P350*'RAP TEMPLATE-GAS AVAILABILITY'!R349)/('RAP TEMPLATE-GAS AVAILABILITY'!O349+'RAP TEMPLATE-GAS AVAILABILITY'!P349+'RAP TEMPLATE-GAS AVAILABILITY'!Q349+'RAP TEMPLATE-GAS AVAILABILITY'!R349)</f>
        <v>11.02208201438849</v>
      </c>
    </row>
    <row r="351" spans="1:30" ht="15.75">
      <c r="A351" s="14">
        <v>51956</v>
      </c>
      <c r="B351" s="10">
        <f>CHOOSE(CONTROL!$C$42, 10.8076, 10.8076) * CHOOSE(CONTROL!$C$21, $C$9, 100%, $E$9)</f>
        <v>10.807600000000001</v>
      </c>
      <c r="C351" s="10">
        <f>CHOOSE(CONTROL!$C$42, 10.8127, 10.8127) * CHOOSE(CONTROL!$C$21, $C$9, 100%, $E$9)</f>
        <v>10.8127</v>
      </c>
      <c r="D351" s="10">
        <f>CHOOSE(CONTROL!$C$42, 10.8451, 10.8451) * CHOOSE(CONTROL!$C$21, $C$9, 100%, $E$9)</f>
        <v>10.8451</v>
      </c>
      <c r="E351" s="10">
        <f>CHOOSE(CONTROL!$C$42, 10.8789, 10.8789) * CHOOSE(CONTROL!$C$21, $C$9, 100%, $E$9)</f>
        <v>10.8789</v>
      </c>
      <c r="F351" s="10">
        <f>CHOOSE(CONTROL!$C$42, 10.7898, 10.7898)*CHOOSE(CONTROL!$C$21, $C$9, 100%, $E$9)</f>
        <v>10.7898</v>
      </c>
      <c r="G351" s="10">
        <f>CHOOSE(CONTROL!$C$42, 10.8074, 10.8074)*CHOOSE(CONTROL!$C$21, $C$9, 100%, $E$9)</f>
        <v>10.807399999999999</v>
      </c>
      <c r="H351" s="10">
        <f>CHOOSE(CONTROL!$C$42, 10.8678, 10.8678) * CHOOSE(CONTROL!$C$21, $C$9, 100%, $E$9)</f>
        <v>10.867800000000001</v>
      </c>
      <c r="I351" s="10">
        <f>CHOOSE(CONTROL!$C$42, 10.821, 10.821)* CHOOSE(CONTROL!$C$21, $C$9, 100%, $E$9)</f>
        <v>10.821</v>
      </c>
      <c r="J351" s="10">
        <f>CHOOSE(CONTROL!$C$42, 10.7824, 10.7824)* CHOOSE(CONTROL!$C$21, $C$9, 100%, $E$9)</f>
        <v>10.782400000000001</v>
      </c>
      <c r="K351" s="10">
        <f>CHOOSE(CONTROL!$C$42, 10.6597, 10.6597) * CHOOSE(CONTROL!$C$21, $C$9, 100%, $E$9)</f>
        <v>10.659700000000001</v>
      </c>
      <c r="L351" s="10">
        <f>CHOOSE(CONTROL!$C$42, 11.4548, 11.4548) * CHOOSE(CONTROL!$C$21, $C$9, 100%, $E$9)</f>
        <v>11.454800000000001</v>
      </c>
      <c r="M351" s="10">
        <f>CHOOSE(CONTROL!$C$42, 10.665, 10.665) * CHOOSE(CONTROL!$C$21, $C$9, 100%, $E$9)</f>
        <v>10.664999999999999</v>
      </c>
      <c r="N351" s="10">
        <f>CHOOSE(CONTROL!$C$42, 10.6823, 10.6823) * CHOOSE(CONTROL!$C$21, $C$9, 100%, $E$9)</f>
        <v>10.6823</v>
      </c>
      <c r="O351" s="10">
        <f>CHOOSE(CONTROL!$C$42, 10.7492, 10.7492) * CHOOSE(CONTROL!$C$21, $C$9, 100%, $E$9)</f>
        <v>10.7492</v>
      </c>
      <c r="P351" s="10">
        <f>CHOOSE(CONTROL!$C$42, 10.7031, 10.7031) * CHOOSE(CONTROL!$C$21, $C$9, 100%, $E$9)</f>
        <v>10.703099999999999</v>
      </c>
      <c r="Q351" s="10">
        <f>CHOOSE(CONTROL!$C$42, 11.3445, 11.3445) * CHOOSE(CONTROL!$C$21, $C$9, 100%, $E$9)</f>
        <v>11.3445</v>
      </c>
      <c r="R351" s="10">
        <f>CHOOSE(CONTROL!$C$42, 11.9598, 11.9598) * CHOOSE(CONTROL!$C$21, $C$9, 100%, $E$9)</f>
        <v>11.9598</v>
      </c>
      <c r="S351" s="10">
        <f>CHOOSE(CONTROL!$C$42, 10.4816, 10.4816) * CHOOSE(CONTROL!$C$21, $C$9, 100%, $E$9)</f>
        <v>10.4816</v>
      </c>
      <c r="T35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51" s="38">
        <f>(1000*CHOOSE(CONTROL!$C$42, 695, 695)*CHOOSE(CONTROL!$C$42, 0.5599, 0.5599)*CHOOSE(CONTROL!$C$42, 31, 31))/1000000</f>
        <v>12.063045499999998</v>
      </c>
      <c r="V351" s="38">
        <f>(1000*CHOOSE(CONTROL!$C$42, 500, 500)*CHOOSE(CONTROL!$C$42, 0.275, 0.275)*CHOOSE(CONTROL!$C$42, 31, 31))/1000000</f>
        <v>4.2625000000000002</v>
      </c>
      <c r="W351" s="38">
        <f>(1000*CHOOSE(CONTROL!$C$42, 0.1146, 0.1146)*CHOOSE(CONTROL!$C$42, 121.5, 121.5)*CHOOSE(CONTROL!$C$42, 31, 31))/1000000</f>
        <v>0.43164089999999994</v>
      </c>
      <c r="X351" s="38">
        <f>(31*0.1790888*100000/1000000)+(31*0.2374*100000/1000000)</f>
        <v>1.2911152800000001</v>
      </c>
      <c r="Y351" s="38">
        <f>(1000*600*CHOOSE(CONTROL!$C$42, 1.1072, 1.1072)*CHOOSE(CONTROL!$C$42, 31, 31))/1000000</f>
        <v>20.593920000000001</v>
      </c>
      <c r="Z351" s="38"/>
      <c r="AA351" s="10"/>
      <c r="AB351" s="39"/>
      <c r="AC351" s="33">
        <f>(B351*122.58+C351*297.941+D351*89.177+E351*40.302+F351*40+G351*160+H351*0+I351*100+J351*300)/(122.58+297.941+89.177+40.302+0+40+160+100+300)</f>
        <v>10.808272321043479</v>
      </c>
      <c r="AD351" s="27">
        <f>(M351*'RAP TEMPLATE-GAS AVAILABILITY'!O350+N351*'RAP TEMPLATE-GAS AVAILABILITY'!P350+O351*'RAP TEMPLATE-GAS AVAILABILITY'!Q350+P351*'RAP TEMPLATE-GAS AVAILABILITY'!R350)/('RAP TEMPLATE-GAS AVAILABILITY'!O350+'RAP TEMPLATE-GAS AVAILABILITY'!P350+'RAP TEMPLATE-GAS AVAILABILITY'!Q350+'RAP TEMPLATE-GAS AVAILABILITY'!R350)</f>
        <v>10.709640287769783</v>
      </c>
    </row>
    <row r="352" spans="1:30" ht="15.75">
      <c r="A352" s="14">
        <v>51986</v>
      </c>
      <c r="B352" s="10">
        <f>CHOOSE(CONTROL!$C$42, 10.7759, 10.7759) * CHOOSE(CONTROL!$C$21, $C$9, 100%, $E$9)</f>
        <v>10.7759</v>
      </c>
      <c r="C352" s="10">
        <f>CHOOSE(CONTROL!$C$42, 10.7804, 10.7804) * CHOOSE(CONTROL!$C$21, $C$9, 100%, $E$9)</f>
        <v>10.7804</v>
      </c>
      <c r="D352" s="10">
        <f>CHOOSE(CONTROL!$C$42, 10.9406, 10.9406) * CHOOSE(CONTROL!$C$21, $C$9, 100%, $E$9)</f>
        <v>10.9406</v>
      </c>
      <c r="E352" s="10">
        <f>CHOOSE(CONTROL!$C$42, 10.9724, 10.9724) * CHOOSE(CONTROL!$C$21, $C$9, 100%, $E$9)</f>
        <v>10.9724</v>
      </c>
      <c r="F352" s="10">
        <f>CHOOSE(CONTROL!$C$42, 10.722, 10.722)*CHOOSE(CONTROL!$C$21, $C$9, 100%, $E$9)</f>
        <v>10.722</v>
      </c>
      <c r="G352" s="10">
        <f>CHOOSE(CONTROL!$C$42, 10.7378, 10.7378)*CHOOSE(CONTROL!$C$21, $C$9, 100%, $E$9)</f>
        <v>10.7378</v>
      </c>
      <c r="H352" s="10">
        <f>CHOOSE(CONTROL!$C$42, 10.9619, 10.9619) * CHOOSE(CONTROL!$C$21, $C$9, 100%, $E$9)</f>
        <v>10.9619</v>
      </c>
      <c r="I352" s="10">
        <f>CHOOSE(CONTROL!$C$42, 10.7561, 10.7561)* CHOOSE(CONTROL!$C$21, $C$9, 100%, $E$9)</f>
        <v>10.7561</v>
      </c>
      <c r="J352" s="10">
        <f>CHOOSE(CONTROL!$C$42, 10.7146, 10.7146)* CHOOSE(CONTROL!$C$21, $C$9, 100%, $E$9)</f>
        <v>10.714600000000001</v>
      </c>
      <c r="K352" s="10">
        <f>CHOOSE(CONTROL!$C$42, 10.5808, 10.5808) * CHOOSE(CONTROL!$C$21, $C$9, 100%, $E$9)</f>
        <v>10.5808</v>
      </c>
      <c r="L352" s="10">
        <f>CHOOSE(CONTROL!$C$42, 11.5489, 11.5489) * CHOOSE(CONTROL!$C$21, $C$9, 100%, $E$9)</f>
        <v>11.5489</v>
      </c>
      <c r="M352" s="10">
        <f>CHOOSE(CONTROL!$C$42, 10.5982, 10.5982) * CHOOSE(CONTROL!$C$21, $C$9, 100%, $E$9)</f>
        <v>10.5982</v>
      </c>
      <c r="N352" s="10">
        <f>CHOOSE(CONTROL!$C$42, 10.6138, 10.6138) * CHOOSE(CONTROL!$C$21, $C$9, 100%, $E$9)</f>
        <v>10.613799999999999</v>
      </c>
      <c r="O352" s="10">
        <f>CHOOSE(CONTROL!$C$42, 10.842, 10.842) * CHOOSE(CONTROL!$C$21, $C$9, 100%, $E$9)</f>
        <v>10.842000000000001</v>
      </c>
      <c r="P352" s="10">
        <f>CHOOSE(CONTROL!$C$42, 10.6391, 10.6391) * CHOOSE(CONTROL!$C$21, $C$9, 100%, $E$9)</f>
        <v>10.639099999999999</v>
      </c>
      <c r="Q352" s="10">
        <f>CHOOSE(CONTROL!$C$42, 11.4373, 11.4373) * CHOOSE(CONTROL!$C$21, $C$9, 100%, $E$9)</f>
        <v>11.4373</v>
      </c>
      <c r="R352" s="10">
        <f>CHOOSE(CONTROL!$C$42, 12.0529, 12.0529) * CHOOSE(CONTROL!$C$21, $C$9, 100%, $E$9)</f>
        <v>12.052899999999999</v>
      </c>
      <c r="S352" s="10">
        <f>CHOOSE(CONTROL!$C$42, 10.4502, 10.4502) * CHOOSE(CONTROL!$C$21, $C$9, 100%, $E$9)</f>
        <v>10.450200000000001</v>
      </c>
      <c r="T35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52" s="38">
        <f>(1000*CHOOSE(CONTROL!$C$42, 695, 695)*CHOOSE(CONTROL!$C$42, 0.5599, 0.5599)*CHOOSE(CONTROL!$C$42, 30, 30))/1000000</f>
        <v>11.673914999999997</v>
      </c>
      <c r="V352" s="38">
        <f>(1000*CHOOSE(CONTROL!$C$42, 500, 500)*CHOOSE(CONTROL!$C$42, 0.275, 0.275)*CHOOSE(CONTROL!$C$42, 30, 30))/1000000</f>
        <v>4.125</v>
      </c>
      <c r="W352" s="38">
        <f>(1000*CHOOSE(CONTROL!$C$42, 0.1146, 0.1146)*CHOOSE(CONTROL!$C$42, 121.5, 121.5)*CHOOSE(CONTROL!$C$42, 30, 30))/1000000</f>
        <v>0.417717</v>
      </c>
      <c r="X352" s="38">
        <f>(30*0.1790888*245000/1000000)+(30*0.2374*100000/1000000)</f>
        <v>2.0285026799999999</v>
      </c>
      <c r="Y352" s="38">
        <f>(1000*600*CHOOSE(CONTROL!$C$42, 1.1072, 1.1072)*CHOOSE(CONTROL!$C$42, 30, 30))/1000000</f>
        <v>19.929600000000001</v>
      </c>
      <c r="Z352" s="38"/>
      <c r="AA352" s="10"/>
      <c r="AB352" s="39"/>
      <c r="AC352" s="33">
        <f>(B352*141.293+C352*267.993+D352*115.016+E352*89.698+F352*40+G352*185+H352*0+I352*100+J352*300)/(141.293+267.993+115.016+89.698+0+40+185+100+300)</f>
        <v>10.782518450928169</v>
      </c>
      <c r="AD352" s="27">
        <f>(M352*'RAP TEMPLATE-GAS AVAILABILITY'!O351+N352*'RAP TEMPLATE-GAS AVAILABILITY'!P351+O352*'RAP TEMPLATE-GAS AVAILABILITY'!Q351+P352*'RAP TEMPLATE-GAS AVAILABILITY'!R351)/('RAP TEMPLATE-GAS AVAILABILITY'!O351+'RAP TEMPLATE-GAS AVAILABILITY'!P351+'RAP TEMPLATE-GAS AVAILABILITY'!Q351+'RAP TEMPLATE-GAS AVAILABILITY'!R351)</f>
        <v>10.676080575539569</v>
      </c>
    </row>
    <row r="353" spans="1:30" ht="15.75">
      <c r="A353" s="14">
        <v>52017</v>
      </c>
      <c r="B353" s="10">
        <f>CHOOSE(CONTROL!$C$42, 10.873, 10.873) * CHOOSE(CONTROL!$C$21, $C$9, 100%, $E$9)</f>
        <v>10.872999999999999</v>
      </c>
      <c r="C353" s="10">
        <f>CHOOSE(CONTROL!$C$42, 10.881, 10.881) * CHOOSE(CONTROL!$C$21, $C$9, 100%, $E$9)</f>
        <v>10.881</v>
      </c>
      <c r="D353" s="10">
        <f>CHOOSE(CONTROL!$C$42, 11.038, 11.038) * CHOOSE(CONTROL!$C$21, $C$9, 100%, $E$9)</f>
        <v>11.038</v>
      </c>
      <c r="E353" s="10">
        <f>CHOOSE(CONTROL!$C$42, 11.0693, 11.0693) * CHOOSE(CONTROL!$C$21, $C$9, 100%, $E$9)</f>
        <v>11.0693</v>
      </c>
      <c r="F353" s="10">
        <f>CHOOSE(CONTROL!$C$42, 10.8171, 10.8171)*CHOOSE(CONTROL!$C$21, $C$9, 100%, $E$9)</f>
        <v>10.8171</v>
      </c>
      <c r="G353" s="10">
        <f>CHOOSE(CONTROL!$C$42, 10.8332, 10.8332)*CHOOSE(CONTROL!$C$21, $C$9, 100%, $E$9)</f>
        <v>10.8332</v>
      </c>
      <c r="H353" s="10">
        <f>CHOOSE(CONTROL!$C$42, 11.0576, 11.0576) * CHOOSE(CONTROL!$C$21, $C$9, 100%, $E$9)</f>
        <v>11.057600000000001</v>
      </c>
      <c r="I353" s="10">
        <f>CHOOSE(CONTROL!$C$42, 10.8518, 10.8518)* CHOOSE(CONTROL!$C$21, $C$9, 100%, $E$9)</f>
        <v>10.851800000000001</v>
      </c>
      <c r="J353" s="10">
        <f>CHOOSE(CONTROL!$C$42, 10.8097, 10.8097)* CHOOSE(CONTROL!$C$21, $C$9, 100%, $E$9)</f>
        <v>10.809699999999999</v>
      </c>
      <c r="K353" s="10">
        <f>CHOOSE(CONTROL!$C$42, 10.6722, 10.6722) * CHOOSE(CONTROL!$C$21, $C$9, 100%, $E$9)</f>
        <v>10.6722</v>
      </c>
      <c r="L353" s="10">
        <f>CHOOSE(CONTROL!$C$42, 11.6446, 11.6446) * CHOOSE(CONTROL!$C$21, $C$9, 100%, $E$9)</f>
        <v>11.644600000000001</v>
      </c>
      <c r="M353" s="10">
        <f>CHOOSE(CONTROL!$C$42, 10.6919, 10.6919) * CHOOSE(CONTROL!$C$21, $C$9, 100%, $E$9)</f>
        <v>10.6919</v>
      </c>
      <c r="N353" s="10">
        <f>CHOOSE(CONTROL!$C$42, 10.7078, 10.7078) * CHOOSE(CONTROL!$C$21, $C$9, 100%, $E$9)</f>
        <v>10.707800000000001</v>
      </c>
      <c r="O353" s="10">
        <f>CHOOSE(CONTROL!$C$42, 10.9363, 10.9363) * CHOOSE(CONTROL!$C$21, $C$9, 100%, $E$9)</f>
        <v>10.936299999999999</v>
      </c>
      <c r="P353" s="10">
        <f>CHOOSE(CONTROL!$C$42, 10.7335, 10.7335) * CHOOSE(CONTROL!$C$21, $C$9, 100%, $E$9)</f>
        <v>10.733499999999999</v>
      </c>
      <c r="Q353" s="10">
        <f>CHOOSE(CONTROL!$C$42, 11.5316, 11.5316) * CHOOSE(CONTROL!$C$21, $C$9, 100%, $E$9)</f>
        <v>11.531599999999999</v>
      </c>
      <c r="R353" s="10">
        <f>CHOOSE(CONTROL!$C$42, 12.1475, 12.1475) * CHOOSE(CONTROL!$C$21, $C$9, 100%, $E$9)</f>
        <v>12.147500000000001</v>
      </c>
      <c r="S353" s="10">
        <f>CHOOSE(CONTROL!$C$42, 10.5429, 10.5429) * CHOOSE(CONTROL!$C$21, $C$9, 100%, $E$9)</f>
        <v>10.542899999999999</v>
      </c>
      <c r="T35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53" s="38">
        <f>(1000*CHOOSE(CONTROL!$C$42, 695, 695)*CHOOSE(CONTROL!$C$42, 0.5599, 0.5599)*CHOOSE(CONTROL!$C$42, 31, 31))/1000000</f>
        <v>12.063045499999998</v>
      </c>
      <c r="V353" s="38">
        <f>(1000*CHOOSE(CONTROL!$C$42, 500, 500)*CHOOSE(CONTROL!$C$42, 0.275, 0.275)*CHOOSE(CONTROL!$C$42, 31, 31))/1000000</f>
        <v>4.2625000000000002</v>
      </c>
      <c r="W353" s="38">
        <f>(1000*CHOOSE(CONTROL!$C$42, 0.1146, 0.1146)*CHOOSE(CONTROL!$C$42, 121.5, 121.5)*CHOOSE(CONTROL!$C$42, 31, 31))/1000000</f>
        <v>0.43164089999999994</v>
      </c>
      <c r="X353" s="38">
        <f>(31*0.1790888*245000/1000000)+(31*0.2374*100000/1000000)</f>
        <v>2.0961194359999999</v>
      </c>
      <c r="Y353" s="38">
        <f>(1000*600*CHOOSE(CONTROL!$C$42, 1.1072, 1.1072)*CHOOSE(CONTROL!$C$42, 31, 31))/1000000</f>
        <v>20.593920000000001</v>
      </c>
      <c r="Z353" s="38"/>
      <c r="AA353" s="10"/>
      <c r="AB353" s="39"/>
      <c r="AC353" s="33">
        <f>(B353*194.205+C353*267.466+D353*133.845+E353*53.484+F353*40+G353*185+H353*0+I353*100+J353*300)/(194.205+267.466+133.845+53.484+0+40+185+100+300)</f>
        <v>10.876150755259028</v>
      </c>
      <c r="AD353" s="27">
        <f>(M353*'RAP TEMPLATE-GAS AVAILABILITY'!O352+N353*'RAP TEMPLATE-GAS AVAILABILITY'!P352+O353*'RAP TEMPLATE-GAS AVAILABILITY'!Q352+P353*'RAP TEMPLATE-GAS AVAILABILITY'!R352)/('RAP TEMPLATE-GAS AVAILABILITY'!O352+'RAP TEMPLATE-GAS AVAILABILITY'!P352+'RAP TEMPLATE-GAS AVAILABILITY'!Q352+'RAP TEMPLATE-GAS AVAILABILITY'!R352)</f>
        <v>10.770118705035971</v>
      </c>
    </row>
    <row r="354" spans="1:30" ht="15.75">
      <c r="A354" s="14">
        <v>52047</v>
      </c>
      <c r="B354" s="10">
        <f>CHOOSE(CONTROL!$C$42, 11.1818, 11.1818) * CHOOSE(CONTROL!$C$21, $C$9, 100%, $E$9)</f>
        <v>11.181800000000001</v>
      </c>
      <c r="C354" s="10">
        <f>CHOOSE(CONTROL!$C$42, 11.1898, 11.1898) * CHOOSE(CONTROL!$C$21, $C$9, 100%, $E$9)</f>
        <v>11.1898</v>
      </c>
      <c r="D354" s="10">
        <f>CHOOSE(CONTROL!$C$42, 11.3469, 11.3469) * CHOOSE(CONTROL!$C$21, $C$9, 100%, $E$9)</f>
        <v>11.3469</v>
      </c>
      <c r="E354" s="10">
        <f>CHOOSE(CONTROL!$C$42, 11.3781, 11.3781) * CHOOSE(CONTROL!$C$21, $C$9, 100%, $E$9)</f>
        <v>11.3781</v>
      </c>
      <c r="F354" s="10">
        <f>CHOOSE(CONTROL!$C$42, 11.1261, 11.1261)*CHOOSE(CONTROL!$C$21, $C$9, 100%, $E$9)</f>
        <v>11.126099999999999</v>
      </c>
      <c r="G354" s="10">
        <f>CHOOSE(CONTROL!$C$42, 11.1423, 11.1423)*CHOOSE(CONTROL!$C$21, $C$9, 100%, $E$9)</f>
        <v>11.142300000000001</v>
      </c>
      <c r="H354" s="10">
        <f>CHOOSE(CONTROL!$C$42, 11.3664, 11.3664) * CHOOSE(CONTROL!$C$21, $C$9, 100%, $E$9)</f>
        <v>11.366400000000001</v>
      </c>
      <c r="I354" s="10">
        <f>CHOOSE(CONTROL!$C$42, 11.1606, 11.1606)* CHOOSE(CONTROL!$C$21, $C$9, 100%, $E$9)</f>
        <v>11.160600000000001</v>
      </c>
      <c r="J354" s="10">
        <f>CHOOSE(CONTROL!$C$42, 11.1187, 11.1187)* CHOOSE(CONTROL!$C$21, $C$9, 100%, $E$9)</f>
        <v>11.1187</v>
      </c>
      <c r="K354" s="10">
        <f>CHOOSE(CONTROL!$C$42, 10.9718, 10.9718) * CHOOSE(CONTROL!$C$21, $C$9, 100%, $E$9)</f>
        <v>10.9718</v>
      </c>
      <c r="L354" s="10">
        <f>CHOOSE(CONTROL!$C$42, 11.9534, 11.9534) * CHOOSE(CONTROL!$C$21, $C$9, 100%, $E$9)</f>
        <v>11.9534</v>
      </c>
      <c r="M354" s="10">
        <f>CHOOSE(CONTROL!$C$42, 10.9966, 10.9966) * CHOOSE(CONTROL!$C$21, $C$9, 100%, $E$9)</f>
        <v>10.996600000000001</v>
      </c>
      <c r="N354" s="10">
        <f>CHOOSE(CONTROL!$C$42, 11.0126, 11.0126) * CHOOSE(CONTROL!$C$21, $C$9, 100%, $E$9)</f>
        <v>11.012600000000001</v>
      </c>
      <c r="O354" s="10">
        <f>CHOOSE(CONTROL!$C$42, 11.2409, 11.2409) * CHOOSE(CONTROL!$C$21, $C$9, 100%, $E$9)</f>
        <v>11.2409</v>
      </c>
      <c r="P354" s="10">
        <f>CHOOSE(CONTROL!$C$42, 11.038, 11.038) * CHOOSE(CONTROL!$C$21, $C$9, 100%, $E$9)</f>
        <v>11.038</v>
      </c>
      <c r="Q354" s="10">
        <f>CHOOSE(CONTROL!$C$42, 11.8362, 11.8362) * CHOOSE(CONTROL!$C$21, $C$9, 100%, $E$9)</f>
        <v>11.8362</v>
      </c>
      <c r="R354" s="10">
        <f>CHOOSE(CONTROL!$C$42, 12.4527, 12.4527) * CHOOSE(CONTROL!$C$21, $C$9, 100%, $E$9)</f>
        <v>12.4527</v>
      </c>
      <c r="S354" s="10">
        <f>CHOOSE(CONTROL!$C$42, 10.8419, 10.8419) * CHOOSE(CONTROL!$C$21, $C$9, 100%, $E$9)</f>
        <v>10.841900000000001</v>
      </c>
      <c r="T35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54" s="38">
        <f>(1000*CHOOSE(CONTROL!$C$42, 695, 695)*CHOOSE(CONTROL!$C$42, 0.5599, 0.5599)*CHOOSE(CONTROL!$C$42, 30, 30))/1000000</f>
        <v>11.673914999999997</v>
      </c>
      <c r="V354" s="38">
        <f>(1000*CHOOSE(CONTROL!$C$42, 500, 500)*CHOOSE(CONTROL!$C$42, 0.275, 0.275)*CHOOSE(CONTROL!$C$42, 30, 30))/1000000</f>
        <v>4.125</v>
      </c>
      <c r="W354" s="38">
        <f>(1000*CHOOSE(CONTROL!$C$42, 0.1146, 0.1146)*CHOOSE(CONTROL!$C$42, 121.5, 121.5)*CHOOSE(CONTROL!$C$42, 30, 30))/1000000</f>
        <v>0.417717</v>
      </c>
      <c r="X354" s="38">
        <f>(30*0.1790888*245000/1000000)+(30*0.2374*100000/1000000)</f>
        <v>2.0285026799999999</v>
      </c>
      <c r="Y354" s="38">
        <f>(1000*600*CHOOSE(CONTROL!$C$42, 1.1072, 1.1072)*CHOOSE(CONTROL!$C$42, 30, 30))/1000000</f>
        <v>19.929600000000001</v>
      </c>
      <c r="Z354" s="38"/>
      <c r="AA354" s="10"/>
      <c r="AB354" s="39"/>
      <c r="AC354" s="33">
        <f>(B354*194.205+C354*267.466+D354*133.845+E354*53.484+F354*40+G354*185+H354*0+I354*100+J354*300)/(194.205+267.466+133.845+53.484+0+40+185+100+300)</f>
        <v>11.185058199921507</v>
      </c>
      <c r="AD354" s="27">
        <f>(M354*'RAP TEMPLATE-GAS AVAILABILITY'!O353+N354*'RAP TEMPLATE-GAS AVAILABILITY'!P353+O354*'RAP TEMPLATE-GAS AVAILABILITY'!Q353+P354*'RAP TEMPLATE-GAS AVAILABILITY'!R353)/('RAP TEMPLATE-GAS AVAILABILITY'!O353+'RAP TEMPLATE-GAS AVAILABILITY'!P353+'RAP TEMPLATE-GAS AVAILABILITY'!Q353+'RAP TEMPLATE-GAS AVAILABILITY'!R353)</f>
        <v>11.074784892086333</v>
      </c>
    </row>
    <row r="355" spans="1:30" ht="15.75">
      <c r="A355" s="14">
        <v>52078</v>
      </c>
      <c r="B355" s="10">
        <f>CHOOSE(CONTROL!$C$42, 10.967, 10.967) * CHOOSE(CONTROL!$C$21, $C$9, 100%, $E$9)</f>
        <v>10.967000000000001</v>
      </c>
      <c r="C355" s="10">
        <f>CHOOSE(CONTROL!$C$42, 10.975, 10.975) * CHOOSE(CONTROL!$C$21, $C$9, 100%, $E$9)</f>
        <v>10.975</v>
      </c>
      <c r="D355" s="10">
        <f>CHOOSE(CONTROL!$C$42, 11.1321, 11.1321) * CHOOSE(CONTROL!$C$21, $C$9, 100%, $E$9)</f>
        <v>11.132099999999999</v>
      </c>
      <c r="E355" s="10">
        <f>CHOOSE(CONTROL!$C$42, 11.1633, 11.1633) * CHOOSE(CONTROL!$C$21, $C$9, 100%, $E$9)</f>
        <v>11.1633</v>
      </c>
      <c r="F355" s="10">
        <f>CHOOSE(CONTROL!$C$42, 10.9117, 10.9117)*CHOOSE(CONTROL!$C$21, $C$9, 100%, $E$9)</f>
        <v>10.9117</v>
      </c>
      <c r="G355" s="10">
        <f>CHOOSE(CONTROL!$C$42, 10.9279, 10.9279)*CHOOSE(CONTROL!$C$21, $C$9, 100%, $E$9)</f>
        <v>10.927899999999999</v>
      </c>
      <c r="H355" s="10">
        <f>CHOOSE(CONTROL!$C$42, 11.1516, 11.1516) * CHOOSE(CONTROL!$C$21, $C$9, 100%, $E$9)</f>
        <v>11.1516</v>
      </c>
      <c r="I355" s="10">
        <f>CHOOSE(CONTROL!$C$42, 10.9458, 10.9458)* CHOOSE(CONTROL!$C$21, $C$9, 100%, $E$9)</f>
        <v>10.9458</v>
      </c>
      <c r="J355" s="10">
        <f>CHOOSE(CONTROL!$C$42, 10.9043, 10.9043)* CHOOSE(CONTROL!$C$21, $C$9, 100%, $E$9)</f>
        <v>10.904299999999999</v>
      </c>
      <c r="K355" s="10">
        <f>CHOOSE(CONTROL!$C$42, 10.7644, 10.7644) * CHOOSE(CONTROL!$C$21, $C$9, 100%, $E$9)</f>
        <v>10.7644</v>
      </c>
      <c r="L355" s="10">
        <f>CHOOSE(CONTROL!$C$42, 11.7386, 11.7386) * CHOOSE(CONTROL!$C$21, $C$9, 100%, $E$9)</f>
        <v>11.7386</v>
      </c>
      <c r="M355" s="10">
        <f>CHOOSE(CONTROL!$C$42, 10.7852, 10.7852) * CHOOSE(CONTROL!$C$21, $C$9, 100%, $E$9)</f>
        <v>10.7852</v>
      </c>
      <c r="N355" s="10">
        <f>CHOOSE(CONTROL!$C$42, 10.8012, 10.8012) * CHOOSE(CONTROL!$C$21, $C$9, 100%, $E$9)</f>
        <v>10.8012</v>
      </c>
      <c r="O355" s="10">
        <f>CHOOSE(CONTROL!$C$42, 11.0291, 11.0291) * CHOOSE(CONTROL!$C$21, $C$9, 100%, $E$9)</f>
        <v>11.0291</v>
      </c>
      <c r="P355" s="10">
        <f>CHOOSE(CONTROL!$C$42, 10.8262, 10.8262) * CHOOSE(CONTROL!$C$21, $C$9, 100%, $E$9)</f>
        <v>10.8262</v>
      </c>
      <c r="Q355" s="10">
        <f>CHOOSE(CONTROL!$C$42, 11.6244, 11.6244) * CHOOSE(CONTROL!$C$21, $C$9, 100%, $E$9)</f>
        <v>11.6244</v>
      </c>
      <c r="R355" s="10">
        <f>CHOOSE(CONTROL!$C$42, 12.2404, 12.2404) * CHOOSE(CONTROL!$C$21, $C$9, 100%, $E$9)</f>
        <v>12.240399999999999</v>
      </c>
      <c r="S355" s="10">
        <f>CHOOSE(CONTROL!$C$42, 10.634, 10.634) * CHOOSE(CONTROL!$C$21, $C$9, 100%, $E$9)</f>
        <v>10.634</v>
      </c>
      <c r="T35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55" s="38">
        <f>(1000*CHOOSE(CONTROL!$C$42, 695, 695)*CHOOSE(CONTROL!$C$42, 0.5599, 0.5599)*CHOOSE(CONTROL!$C$42, 31, 31))/1000000</f>
        <v>12.063045499999998</v>
      </c>
      <c r="V355" s="38">
        <f>(1000*CHOOSE(CONTROL!$C$42, 500, 500)*CHOOSE(CONTROL!$C$42, 0.275, 0.275)*CHOOSE(CONTROL!$C$42, 31, 31))/1000000</f>
        <v>4.2625000000000002</v>
      </c>
      <c r="W355" s="38">
        <f>(1000*CHOOSE(CONTROL!$C$42, 0.1146, 0.1146)*CHOOSE(CONTROL!$C$42, 121.5, 121.5)*CHOOSE(CONTROL!$C$42, 31, 31))/1000000</f>
        <v>0.43164089999999994</v>
      </c>
      <c r="X355" s="38">
        <f>(31*0.1790888*245000/1000000)+(31*0.2374*100000/1000000)</f>
        <v>2.0961194359999999</v>
      </c>
      <c r="Y355" s="38">
        <f>(1000*600*CHOOSE(CONTROL!$C$42, 1.1072, 1.1072)*CHOOSE(CONTROL!$C$42, 31, 31))/1000000</f>
        <v>20.593920000000001</v>
      </c>
      <c r="Z355" s="38"/>
      <c r="AA355" s="10"/>
      <c r="AB355" s="39"/>
      <c r="AC355" s="33">
        <f>(B355*194.205+C355*267.466+D355*133.845+E355*53.484+F355*40+G355*185+H355*0+I355*100+J355*300)/(194.205+267.466+133.845+53.484+0+40+185+100+300)</f>
        <v>10.970423035086343</v>
      </c>
      <c r="AD355" s="27">
        <f>(M355*'RAP TEMPLATE-GAS AVAILABILITY'!O354+N355*'RAP TEMPLATE-GAS AVAILABILITY'!P354+O355*'RAP TEMPLATE-GAS AVAILABILITY'!Q354+P355*'RAP TEMPLATE-GAS AVAILABILITY'!R354)/('RAP TEMPLATE-GAS AVAILABILITY'!O354+'RAP TEMPLATE-GAS AVAILABILITY'!P354+'RAP TEMPLATE-GAS AVAILABILITY'!Q354+'RAP TEMPLATE-GAS AVAILABILITY'!R354)</f>
        <v>10.863215107913668</v>
      </c>
    </row>
    <row r="356" spans="1:30" ht="15.75">
      <c r="A356" s="14">
        <v>52109</v>
      </c>
      <c r="B356" s="10">
        <f>CHOOSE(CONTROL!$C$42, 10.4246, 10.4246) * CHOOSE(CONTROL!$C$21, $C$9, 100%, $E$9)</f>
        <v>10.4246</v>
      </c>
      <c r="C356" s="10">
        <f>CHOOSE(CONTROL!$C$42, 10.4326, 10.4326) * CHOOSE(CONTROL!$C$21, $C$9, 100%, $E$9)</f>
        <v>10.432600000000001</v>
      </c>
      <c r="D356" s="10">
        <f>CHOOSE(CONTROL!$C$42, 10.5897, 10.5897) * CHOOSE(CONTROL!$C$21, $C$9, 100%, $E$9)</f>
        <v>10.589700000000001</v>
      </c>
      <c r="E356" s="10">
        <f>CHOOSE(CONTROL!$C$42, 10.6209, 10.6209) * CHOOSE(CONTROL!$C$21, $C$9, 100%, $E$9)</f>
        <v>10.620900000000001</v>
      </c>
      <c r="F356" s="10">
        <f>CHOOSE(CONTROL!$C$42, 10.3692, 10.3692)*CHOOSE(CONTROL!$C$21, $C$9, 100%, $E$9)</f>
        <v>10.369199999999999</v>
      </c>
      <c r="G356" s="10">
        <f>CHOOSE(CONTROL!$C$42, 10.3854, 10.3854)*CHOOSE(CONTROL!$C$21, $C$9, 100%, $E$9)</f>
        <v>10.385400000000001</v>
      </c>
      <c r="H356" s="10">
        <f>CHOOSE(CONTROL!$C$42, 10.6092, 10.6092) * CHOOSE(CONTROL!$C$21, $C$9, 100%, $E$9)</f>
        <v>10.6092</v>
      </c>
      <c r="I356" s="10">
        <f>CHOOSE(CONTROL!$C$42, 10.4034, 10.4034)* CHOOSE(CONTROL!$C$21, $C$9, 100%, $E$9)</f>
        <v>10.4034</v>
      </c>
      <c r="J356" s="10">
        <f>CHOOSE(CONTROL!$C$42, 10.3618, 10.3618)* CHOOSE(CONTROL!$C$21, $C$9, 100%, $E$9)</f>
        <v>10.361800000000001</v>
      </c>
      <c r="K356" s="10">
        <f>CHOOSE(CONTROL!$C$42, 10.2388, 10.2388) * CHOOSE(CONTROL!$C$21, $C$9, 100%, $E$9)</f>
        <v>10.238799999999999</v>
      </c>
      <c r="L356" s="10">
        <f>CHOOSE(CONTROL!$C$42, 11.1962, 11.1962) * CHOOSE(CONTROL!$C$21, $C$9, 100%, $E$9)</f>
        <v>11.196199999999999</v>
      </c>
      <c r="M356" s="10">
        <f>CHOOSE(CONTROL!$C$42, 10.2503, 10.2503) * CHOOSE(CONTROL!$C$21, $C$9, 100%, $E$9)</f>
        <v>10.250299999999999</v>
      </c>
      <c r="N356" s="10">
        <f>CHOOSE(CONTROL!$C$42, 10.2663, 10.2663) * CHOOSE(CONTROL!$C$21, $C$9, 100%, $E$9)</f>
        <v>10.266299999999999</v>
      </c>
      <c r="O356" s="10">
        <f>CHOOSE(CONTROL!$C$42, 10.4942, 10.4942) * CHOOSE(CONTROL!$C$21, $C$9, 100%, $E$9)</f>
        <v>10.494199999999999</v>
      </c>
      <c r="P356" s="10">
        <f>CHOOSE(CONTROL!$C$42, 10.2913, 10.2913) * CHOOSE(CONTROL!$C$21, $C$9, 100%, $E$9)</f>
        <v>10.2913</v>
      </c>
      <c r="Q356" s="10">
        <f>CHOOSE(CONTROL!$C$42, 11.0895, 11.0895) * CHOOSE(CONTROL!$C$21, $C$9, 100%, $E$9)</f>
        <v>11.089499999999999</v>
      </c>
      <c r="R356" s="10">
        <f>CHOOSE(CONTROL!$C$42, 11.7043, 11.7043) * CHOOSE(CONTROL!$C$21, $C$9, 100%, $E$9)</f>
        <v>11.7043</v>
      </c>
      <c r="S356" s="10">
        <f>CHOOSE(CONTROL!$C$42, 10.1088, 10.1088) * CHOOSE(CONTROL!$C$21, $C$9, 100%, $E$9)</f>
        <v>10.1088</v>
      </c>
      <c r="T35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56" s="38">
        <f>(1000*CHOOSE(CONTROL!$C$42, 695, 695)*CHOOSE(CONTROL!$C$42, 0.5599, 0.5599)*CHOOSE(CONTROL!$C$42, 31, 31))/1000000</f>
        <v>12.063045499999998</v>
      </c>
      <c r="V356" s="38">
        <f>(1000*CHOOSE(CONTROL!$C$42, 500, 500)*CHOOSE(CONTROL!$C$42, 0.275, 0.275)*CHOOSE(CONTROL!$C$42, 31, 31))/1000000</f>
        <v>4.2625000000000002</v>
      </c>
      <c r="W356" s="38">
        <f>(1000*CHOOSE(CONTROL!$C$42, 0.1146, 0.1146)*CHOOSE(CONTROL!$C$42, 121.5, 121.5)*CHOOSE(CONTROL!$C$42, 31, 31))/1000000</f>
        <v>0.43164089999999994</v>
      </c>
      <c r="X356" s="38">
        <f>(31*0.1790888*245000/1000000)+(31*0.2374*100000/1000000)</f>
        <v>2.0961194359999999</v>
      </c>
      <c r="Y356" s="38">
        <f>(1000*600*CHOOSE(CONTROL!$C$42, 1.1072, 1.1072)*CHOOSE(CONTROL!$C$42, 31, 31))/1000000</f>
        <v>20.593920000000001</v>
      </c>
      <c r="Z356" s="38"/>
      <c r="AA356" s="10"/>
      <c r="AB356" s="39"/>
      <c r="AC356" s="33">
        <f>(B356*194.205+C356*267.466+D356*133.845+E356*53.484+F356*40+G356*185+H356*0+I356*100+J356*300)/(194.205+267.466+133.845+53.484+0+40+185+100+300)</f>
        <v>10.427981826295134</v>
      </c>
      <c r="AD356" s="27">
        <f>(M356*'RAP TEMPLATE-GAS AVAILABILITY'!O355+N356*'RAP TEMPLATE-GAS AVAILABILITY'!P355+O356*'RAP TEMPLATE-GAS AVAILABILITY'!Q355+P356*'RAP TEMPLATE-GAS AVAILABILITY'!R355)/('RAP TEMPLATE-GAS AVAILABILITY'!O355+'RAP TEMPLATE-GAS AVAILABILITY'!P355+'RAP TEMPLATE-GAS AVAILABILITY'!Q355+'RAP TEMPLATE-GAS AVAILABILITY'!R355)</f>
        <v>10.328315107913667</v>
      </c>
    </row>
    <row r="357" spans="1:30" ht="15.75">
      <c r="A357" s="14">
        <v>52139</v>
      </c>
      <c r="B357" s="10">
        <f>CHOOSE(CONTROL!$C$42, 9.7619, 9.7619) * CHOOSE(CONTROL!$C$21, $C$9, 100%, $E$9)</f>
        <v>9.7619000000000007</v>
      </c>
      <c r="C357" s="10">
        <f>CHOOSE(CONTROL!$C$42, 9.7699, 9.7699) * CHOOSE(CONTROL!$C$21, $C$9, 100%, $E$9)</f>
        <v>9.7698999999999998</v>
      </c>
      <c r="D357" s="10">
        <f>CHOOSE(CONTROL!$C$42, 9.927, 9.927) * CHOOSE(CONTROL!$C$21, $C$9, 100%, $E$9)</f>
        <v>9.9269999999999996</v>
      </c>
      <c r="E357" s="10">
        <f>CHOOSE(CONTROL!$C$42, 9.9582, 9.9582) * CHOOSE(CONTROL!$C$21, $C$9, 100%, $E$9)</f>
        <v>9.9581999999999997</v>
      </c>
      <c r="F357" s="10">
        <f>CHOOSE(CONTROL!$C$42, 9.7063, 9.7063)*CHOOSE(CONTROL!$C$21, $C$9, 100%, $E$9)</f>
        <v>9.7063000000000006</v>
      </c>
      <c r="G357" s="10">
        <f>CHOOSE(CONTROL!$C$42, 9.7225, 9.7225)*CHOOSE(CONTROL!$C$21, $C$9, 100%, $E$9)</f>
        <v>9.7225000000000001</v>
      </c>
      <c r="H357" s="10">
        <f>CHOOSE(CONTROL!$C$42, 9.9465, 9.9465) * CHOOSE(CONTROL!$C$21, $C$9, 100%, $E$9)</f>
        <v>9.9465000000000003</v>
      </c>
      <c r="I357" s="10">
        <f>CHOOSE(CONTROL!$C$42, 9.7407, 9.7407)* CHOOSE(CONTROL!$C$21, $C$9, 100%, $E$9)</f>
        <v>9.7407000000000004</v>
      </c>
      <c r="J357" s="10">
        <f>CHOOSE(CONTROL!$C$42, 9.6989, 9.6989)* CHOOSE(CONTROL!$C$21, $C$9, 100%, $E$9)</f>
        <v>9.6989000000000001</v>
      </c>
      <c r="K357" s="10">
        <f>CHOOSE(CONTROL!$C$42, 9.5964, 9.5964) * CHOOSE(CONTROL!$C$21, $C$9, 100%, $E$9)</f>
        <v>9.5963999999999992</v>
      </c>
      <c r="L357" s="10">
        <f>CHOOSE(CONTROL!$C$42, 10.5335, 10.5335) * CHOOSE(CONTROL!$C$21, $C$9, 100%, $E$9)</f>
        <v>10.5335</v>
      </c>
      <c r="M357" s="10">
        <f>CHOOSE(CONTROL!$C$42, 9.5966, 9.5966) * CHOOSE(CONTROL!$C$21, $C$9, 100%, $E$9)</f>
        <v>9.5966000000000005</v>
      </c>
      <c r="N357" s="10">
        <f>CHOOSE(CONTROL!$C$42, 9.6126, 9.6126) * CHOOSE(CONTROL!$C$21, $C$9, 100%, $E$9)</f>
        <v>9.6126000000000005</v>
      </c>
      <c r="O357" s="10">
        <f>CHOOSE(CONTROL!$C$42, 9.8408, 9.8408) * CHOOSE(CONTROL!$C$21, $C$9, 100%, $E$9)</f>
        <v>9.8407999999999998</v>
      </c>
      <c r="P357" s="10">
        <f>CHOOSE(CONTROL!$C$42, 9.6379, 9.6379) * CHOOSE(CONTROL!$C$21, $C$9, 100%, $E$9)</f>
        <v>9.6379000000000001</v>
      </c>
      <c r="Q357" s="10">
        <f>CHOOSE(CONTROL!$C$42, 10.4361, 10.4361) * CHOOSE(CONTROL!$C$21, $C$9, 100%, $E$9)</f>
        <v>10.4361</v>
      </c>
      <c r="R357" s="10">
        <f>CHOOSE(CONTROL!$C$42, 11.0492, 11.0492) * CHOOSE(CONTROL!$C$21, $C$9, 100%, $E$9)</f>
        <v>11.049200000000001</v>
      </c>
      <c r="S357" s="10">
        <f>CHOOSE(CONTROL!$C$42, 9.4671, 9.4671) * CHOOSE(CONTROL!$C$21, $C$9, 100%, $E$9)</f>
        <v>9.4671000000000003</v>
      </c>
      <c r="T35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57" s="38">
        <f>(1000*CHOOSE(CONTROL!$C$42, 695, 695)*CHOOSE(CONTROL!$C$42, 0.5599, 0.5599)*CHOOSE(CONTROL!$C$42, 30, 30))/1000000</f>
        <v>11.673914999999997</v>
      </c>
      <c r="V357" s="38">
        <f>(1000*CHOOSE(CONTROL!$C$42, 500, 500)*CHOOSE(CONTROL!$C$42, 0.275, 0.275)*CHOOSE(CONTROL!$C$42, 30, 30))/1000000</f>
        <v>4.125</v>
      </c>
      <c r="W357" s="38">
        <f>(1000*CHOOSE(CONTROL!$C$42, 0.1146, 0.1146)*CHOOSE(CONTROL!$C$42, 121.5, 121.5)*CHOOSE(CONTROL!$C$42, 30, 30))/1000000</f>
        <v>0.417717</v>
      </c>
      <c r="X357" s="38">
        <f>(30*0.1790888*245000/1000000)+(30*0.2374*100000/1000000)</f>
        <v>2.0285026799999999</v>
      </c>
      <c r="Y357" s="38">
        <f>(1000*600*CHOOSE(CONTROL!$C$42, 1.1072, 1.1072)*CHOOSE(CONTROL!$C$42, 30, 30))/1000000</f>
        <v>19.929600000000001</v>
      </c>
      <c r="Z357" s="38"/>
      <c r="AA357" s="10"/>
      <c r="AB357" s="39"/>
      <c r="AC357" s="33">
        <f>(B357*194.205+C357*267.466+D357*133.845+E357*53.484+F357*40+G357*185+H357*0+I357*100+J357*300)/(194.205+267.466+133.845+53.484+0+40+185+100+300)</f>
        <v>9.7651994087127161</v>
      </c>
      <c r="AD357" s="27">
        <f>(M357*'RAP TEMPLATE-GAS AVAILABILITY'!O356+N357*'RAP TEMPLATE-GAS AVAILABILITY'!P356+O357*'RAP TEMPLATE-GAS AVAILABILITY'!Q356+P357*'RAP TEMPLATE-GAS AVAILABILITY'!R356)/('RAP TEMPLATE-GAS AVAILABILITY'!O356+'RAP TEMPLATE-GAS AVAILABILITY'!P356+'RAP TEMPLATE-GAS AVAILABILITY'!Q356+'RAP TEMPLATE-GAS AVAILABILITY'!R356)</f>
        <v>9.6747424460431652</v>
      </c>
    </row>
    <row r="358" spans="1:30" ht="15.75">
      <c r="A358" s="14">
        <v>52170</v>
      </c>
      <c r="B358" s="10">
        <f>CHOOSE(CONTROL!$C$42, 9.5613, 9.5613) * CHOOSE(CONTROL!$C$21, $C$9, 100%, $E$9)</f>
        <v>9.5612999999999992</v>
      </c>
      <c r="C358" s="10">
        <f>CHOOSE(CONTROL!$C$42, 9.5666, 9.5666) * CHOOSE(CONTROL!$C$21, $C$9, 100%, $E$9)</f>
        <v>9.5665999999999993</v>
      </c>
      <c r="D358" s="10">
        <f>CHOOSE(CONTROL!$C$42, 9.7285, 9.7285) * CHOOSE(CONTROL!$C$21, $C$9, 100%, $E$9)</f>
        <v>9.7285000000000004</v>
      </c>
      <c r="E358" s="10">
        <f>CHOOSE(CONTROL!$C$42, 9.7575, 9.7575) * CHOOSE(CONTROL!$C$21, $C$9, 100%, $E$9)</f>
        <v>9.7575000000000003</v>
      </c>
      <c r="F358" s="10">
        <f>CHOOSE(CONTROL!$C$42, 9.5077, 9.5077)*CHOOSE(CONTROL!$C$21, $C$9, 100%, $E$9)</f>
        <v>9.5076999999999998</v>
      </c>
      <c r="G358" s="10">
        <f>CHOOSE(CONTROL!$C$42, 9.5235, 9.5235)*CHOOSE(CONTROL!$C$21, $C$9, 100%, $E$9)</f>
        <v>9.5235000000000003</v>
      </c>
      <c r="H358" s="10">
        <f>CHOOSE(CONTROL!$C$42, 9.7476, 9.7476) * CHOOSE(CONTROL!$C$21, $C$9, 100%, $E$9)</f>
        <v>9.7476000000000003</v>
      </c>
      <c r="I358" s="10">
        <f>CHOOSE(CONTROL!$C$42, 9.5418, 9.5418)* CHOOSE(CONTROL!$C$21, $C$9, 100%, $E$9)</f>
        <v>9.5418000000000003</v>
      </c>
      <c r="J358" s="10">
        <f>CHOOSE(CONTROL!$C$42, 9.5003, 9.5003)* CHOOSE(CONTROL!$C$21, $C$9, 100%, $E$9)</f>
        <v>9.5002999999999993</v>
      </c>
      <c r="K358" s="10">
        <f>CHOOSE(CONTROL!$C$42, 9.4043, 9.4043) * CHOOSE(CONTROL!$C$21, $C$9, 100%, $E$9)</f>
        <v>9.4042999999999992</v>
      </c>
      <c r="L358" s="10">
        <f>CHOOSE(CONTROL!$C$42, 10.3346, 10.3346) * CHOOSE(CONTROL!$C$21, $C$9, 100%, $E$9)</f>
        <v>10.3346</v>
      </c>
      <c r="M358" s="10">
        <f>CHOOSE(CONTROL!$C$42, 9.4007, 9.4007) * CHOOSE(CONTROL!$C$21, $C$9, 100%, $E$9)</f>
        <v>9.4007000000000005</v>
      </c>
      <c r="N358" s="10">
        <f>CHOOSE(CONTROL!$C$42, 9.4163, 9.4163) * CHOOSE(CONTROL!$C$21, $C$9, 100%, $E$9)</f>
        <v>9.4162999999999997</v>
      </c>
      <c r="O358" s="10">
        <f>CHOOSE(CONTROL!$C$42, 9.6446, 9.6446) * CHOOSE(CONTROL!$C$21, $C$9, 100%, $E$9)</f>
        <v>9.6446000000000005</v>
      </c>
      <c r="P358" s="10">
        <f>CHOOSE(CONTROL!$C$42, 9.4417, 9.4417) * CHOOSE(CONTROL!$C$21, $C$9, 100%, $E$9)</f>
        <v>9.4417000000000009</v>
      </c>
      <c r="Q358" s="10">
        <f>CHOOSE(CONTROL!$C$42, 10.2399, 10.2399) * CHOOSE(CONTROL!$C$21, $C$9, 100%, $E$9)</f>
        <v>10.2399</v>
      </c>
      <c r="R358" s="10">
        <f>CHOOSE(CONTROL!$C$42, 10.8525, 10.8525) * CHOOSE(CONTROL!$C$21, $C$9, 100%, $E$9)</f>
        <v>10.852499999999999</v>
      </c>
      <c r="S358" s="10">
        <f>CHOOSE(CONTROL!$C$42, 9.2744, 9.2744) * CHOOSE(CONTROL!$C$21, $C$9, 100%, $E$9)</f>
        <v>9.2744</v>
      </c>
      <c r="T35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58" s="38">
        <f>(1000*CHOOSE(CONTROL!$C$42, 695, 695)*CHOOSE(CONTROL!$C$42, 0.5599, 0.5599)*CHOOSE(CONTROL!$C$42, 31, 31))/1000000</f>
        <v>12.063045499999998</v>
      </c>
      <c r="V358" s="38">
        <f>(1000*CHOOSE(CONTROL!$C$42, 500, 500)*CHOOSE(CONTROL!$C$42, 0.275, 0.275)*CHOOSE(CONTROL!$C$42, 31, 31))/1000000</f>
        <v>4.2625000000000002</v>
      </c>
      <c r="W358" s="38">
        <f>(1000*CHOOSE(CONTROL!$C$42, 0.1146, 0.1146)*CHOOSE(CONTROL!$C$42, 121.5, 121.5)*CHOOSE(CONTROL!$C$42, 31, 31))/1000000</f>
        <v>0.43164089999999994</v>
      </c>
      <c r="X358" s="38">
        <f>(31*0.1790888*245000/1000000)+(31*0.2374*100000/1000000)</f>
        <v>2.0961194359999999</v>
      </c>
      <c r="Y358" s="38">
        <f>(1000*600*CHOOSE(CONTROL!$C$42, 1.1072, 1.1072)*CHOOSE(CONTROL!$C$42, 31, 31))/1000000</f>
        <v>20.593920000000001</v>
      </c>
      <c r="Z358" s="38"/>
      <c r="AA358" s="10"/>
      <c r="AB358" s="39"/>
      <c r="AC358" s="33">
        <f>(B358*131.881+C358*277.167+D358*79.08+E358*125.872+F358*40+G358*185+H358*0+I358*100+J358*300)/(131.881+277.167+79.08+125.872+0+40+185+100+300)</f>
        <v>9.5693712247780471</v>
      </c>
      <c r="AD358" s="27">
        <f>(M358*'RAP TEMPLATE-GAS AVAILABILITY'!O357+N358*'RAP TEMPLATE-GAS AVAILABILITY'!P357+O358*'RAP TEMPLATE-GAS AVAILABILITY'!Q357+P358*'RAP TEMPLATE-GAS AVAILABILITY'!R357)/('RAP TEMPLATE-GAS AVAILABILITY'!O357+'RAP TEMPLATE-GAS AVAILABILITY'!P357+'RAP TEMPLATE-GAS AVAILABILITY'!Q357+'RAP TEMPLATE-GAS AVAILABILITY'!R357)</f>
        <v>9.4786230215827345</v>
      </c>
    </row>
    <row r="359" spans="1:30" ht="15.75">
      <c r="A359" s="14">
        <v>52200</v>
      </c>
      <c r="B359" s="10">
        <f>CHOOSE(CONTROL!$C$42, 9.8132, 9.8132) * CHOOSE(CONTROL!$C$21, $C$9, 100%, $E$9)</f>
        <v>9.8132000000000001</v>
      </c>
      <c r="C359" s="10">
        <f>CHOOSE(CONTROL!$C$42, 9.8183, 9.8183) * CHOOSE(CONTROL!$C$21, $C$9, 100%, $E$9)</f>
        <v>9.8183000000000007</v>
      </c>
      <c r="D359" s="10">
        <f>CHOOSE(CONTROL!$C$42, 9.8429, 9.8429) * CHOOSE(CONTROL!$C$21, $C$9, 100%, $E$9)</f>
        <v>9.8429000000000002</v>
      </c>
      <c r="E359" s="10">
        <f>CHOOSE(CONTROL!$C$42, 9.8768, 9.8768) * CHOOSE(CONTROL!$C$21, $C$9, 100%, $E$9)</f>
        <v>9.8767999999999994</v>
      </c>
      <c r="F359" s="10">
        <f>CHOOSE(CONTROL!$C$42, 9.7815, 9.7815)*CHOOSE(CONTROL!$C$21, $C$9, 100%, $E$9)</f>
        <v>9.7814999999999994</v>
      </c>
      <c r="G359" s="10">
        <f>CHOOSE(CONTROL!$C$42, 9.7975, 9.7975)*CHOOSE(CONTROL!$C$21, $C$9, 100%, $E$9)</f>
        <v>9.7974999999999994</v>
      </c>
      <c r="H359" s="10">
        <f>CHOOSE(CONTROL!$C$42, 9.8656, 9.8656) * CHOOSE(CONTROL!$C$21, $C$9, 100%, $E$9)</f>
        <v>9.8656000000000006</v>
      </c>
      <c r="I359" s="10">
        <f>CHOOSE(CONTROL!$C$42, 9.8281, 9.8281)* CHOOSE(CONTROL!$C$21, $C$9, 100%, $E$9)</f>
        <v>9.8280999999999992</v>
      </c>
      <c r="J359" s="10">
        <f>CHOOSE(CONTROL!$C$42, 9.7741, 9.7741)* CHOOSE(CONTROL!$C$21, $C$9, 100%, $E$9)</f>
        <v>9.7741000000000007</v>
      </c>
      <c r="K359" s="10">
        <f>CHOOSE(CONTROL!$C$42, 9.6839, 9.6839) * CHOOSE(CONTROL!$C$21, $C$9, 100%, $E$9)</f>
        <v>9.6838999999999995</v>
      </c>
      <c r="L359" s="10">
        <f>CHOOSE(CONTROL!$C$42, 10.4526, 10.4526) * CHOOSE(CONTROL!$C$21, $C$9, 100%, $E$9)</f>
        <v>10.4526</v>
      </c>
      <c r="M359" s="10">
        <f>CHOOSE(CONTROL!$C$42, 9.6708, 9.6708) * CHOOSE(CONTROL!$C$21, $C$9, 100%, $E$9)</f>
        <v>9.6707999999999998</v>
      </c>
      <c r="N359" s="10">
        <f>CHOOSE(CONTROL!$C$42, 9.6865, 9.6865) * CHOOSE(CONTROL!$C$21, $C$9, 100%, $E$9)</f>
        <v>9.6865000000000006</v>
      </c>
      <c r="O359" s="10">
        <f>CHOOSE(CONTROL!$C$42, 9.761, 9.761) * CHOOSE(CONTROL!$C$21, $C$9, 100%, $E$9)</f>
        <v>9.7609999999999992</v>
      </c>
      <c r="P359" s="10">
        <f>CHOOSE(CONTROL!$C$42, 9.7241, 9.7241) * CHOOSE(CONTROL!$C$21, $C$9, 100%, $E$9)</f>
        <v>9.7241</v>
      </c>
      <c r="Q359" s="10">
        <f>CHOOSE(CONTROL!$C$42, 10.3563, 10.3563) * CHOOSE(CONTROL!$C$21, $C$9, 100%, $E$9)</f>
        <v>10.356299999999999</v>
      </c>
      <c r="R359" s="10">
        <f>CHOOSE(CONTROL!$C$42, 10.9692, 10.9692) * CHOOSE(CONTROL!$C$21, $C$9, 100%, $E$9)</f>
        <v>10.969200000000001</v>
      </c>
      <c r="S359" s="10">
        <f>CHOOSE(CONTROL!$C$42, 9.5187, 9.5187) * CHOOSE(CONTROL!$C$21, $C$9, 100%, $E$9)</f>
        <v>9.5187000000000008</v>
      </c>
      <c r="T35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59" s="38">
        <f>(1000*CHOOSE(CONTROL!$C$42, 695, 695)*CHOOSE(CONTROL!$C$42, 0.5599, 0.5599)*CHOOSE(CONTROL!$C$42, 30, 30))/1000000</f>
        <v>11.673914999999997</v>
      </c>
      <c r="V359" s="38">
        <f>(1000*CHOOSE(CONTROL!$C$42, 500, 500)*CHOOSE(CONTROL!$C$42, 0.275, 0.275)*CHOOSE(CONTROL!$C$42, 30, 30))/1000000</f>
        <v>4.125</v>
      </c>
      <c r="W359" s="38">
        <f>(1000*CHOOSE(CONTROL!$C$42, 0.1146, 0.1146)*CHOOSE(CONTROL!$C$42, 121.5, 121.5)*CHOOSE(CONTROL!$C$42, 30, 30))/1000000</f>
        <v>0.417717</v>
      </c>
      <c r="X359" s="38">
        <f>(30*0.1790888*100000/1000000)+(30*0.2374*100000/1000000)</f>
        <v>1.2494664</v>
      </c>
      <c r="Y359" s="38">
        <f>(1000*600*CHOOSE(CONTROL!$C$42, 1.1072, 1.1072)*CHOOSE(CONTROL!$C$42, 30, 30))/1000000</f>
        <v>19.929600000000001</v>
      </c>
      <c r="Z359" s="38"/>
      <c r="AA359" s="10"/>
      <c r="AB359" s="39"/>
      <c r="AC359" s="33">
        <f>(B359*122.58+C359*297.941+D359*89.177+E359*40.302+F359*40+G359*160+H359*0+I359*100+J359*300)/(122.58+297.941+89.177+40.302+0+40+160+100+300)</f>
        <v>9.8068619679999998</v>
      </c>
      <c r="AD359" s="27">
        <f>(M359*'RAP TEMPLATE-GAS AVAILABILITY'!O358+N359*'RAP TEMPLATE-GAS AVAILABILITY'!P358+O359*'RAP TEMPLATE-GAS AVAILABILITY'!Q358+P359*'RAP TEMPLATE-GAS AVAILABILITY'!R358)/('RAP TEMPLATE-GAS AVAILABILITY'!O358+'RAP TEMPLATE-GAS AVAILABILITY'!P358+'RAP TEMPLATE-GAS AVAILABILITY'!Q358+'RAP TEMPLATE-GAS AVAILABILITY'!R358)</f>
        <v>9.7202546762589925</v>
      </c>
    </row>
    <row r="360" spans="1:30" ht="15.75">
      <c r="A360" s="14">
        <v>52231</v>
      </c>
      <c r="B360" s="10">
        <f>CHOOSE(CONTROL!$C$42, 10.4833, 10.4833) * CHOOSE(CONTROL!$C$21, $C$9, 100%, $E$9)</f>
        <v>10.4833</v>
      </c>
      <c r="C360" s="10">
        <f>CHOOSE(CONTROL!$C$42, 10.4884, 10.4884) * CHOOSE(CONTROL!$C$21, $C$9, 100%, $E$9)</f>
        <v>10.4884</v>
      </c>
      <c r="D360" s="10">
        <f>CHOOSE(CONTROL!$C$42, 10.5131, 10.5131) * CHOOSE(CONTROL!$C$21, $C$9, 100%, $E$9)</f>
        <v>10.5131</v>
      </c>
      <c r="E360" s="10">
        <f>CHOOSE(CONTROL!$C$42, 10.5469, 10.5469) * CHOOSE(CONTROL!$C$21, $C$9, 100%, $E$9)</f>
        <v>10.546900000000001</v>
      </c>
      <c r="F360" s="10">
        <f>CHOOSE(CONTROL!$C$42, 10.4536, 10.4536)*CHOOSE(CONTROL!$C$21, $C$9, 100%, $E$9)</f>
        <v>10.4536</v>
      </c>
      <c r="G360" s="10">
        <f>CHOOSE(CONTROL!$C$42, 10.4701, 10.4701)*CHOOSE(CONTROL!$C$21, $C$9, 100%, $E$9)</f>
        <v>10.4701</v>
      </c>
      <c r="H360" s="10">
        <f>CHOOSE(CONTROL!$C$42, 10.5358, 10.5358) * CHOOSE(CONTROL!$C$21, $C$9, 100%, $E$9)</f>
        <v>10.5358</v>
      </c>
      <c r="I360" s="10">
        <f>CHOOSE(CONTROL!$C$42, 10.4983, 10.4983)* CHOOSE(CONTROL!$C$21, $C$9, 100%, $E$9)</f>
        <v>10.4983</v>
      </c>
      <c r="J360" s="10">
        <f>CHOOSE(CONTROL!$C$42, 10.4462, 10.4462)* CHOOSE(CONTROL!$C$21, $C$9, 100%, $E$9)</f>
        <v>10.446199999999999</v>
      </c>
      <c r="K360" s="10">
        <f>CHOOSE(CONTROL!$C$42, 10.3373, 10.3373) * CHOOSE(CONTROL!$C$21, $C$9, 100%, $E$9)</f>
        <v>10.337300000000001</v>
      </c>
      <c r="L360" s="10">
        <f>CHOOSE(CONTROL!$C$42, 11.1228, 11.1228) * CHOOSE(CONTROL!$C$21, $C$9, 100%, $E$9)</f>
        <v>11.1228</v>
      </c>
      <c r="M360" s="10">
        <f>CHOOSE(CONTROL!$C$42, 10.3335, 10.3335) * CHOOSE(CONTROL!$C$21, $C$9, 100%, $E$9)</f>
        <v>10.333500000000001</v>
      </c>
      <c r="N360" s="10">
        <f>CHOOSE(CONTROL!$C$42, 10.3497, 10.3497) * CHOOSE(CONTROL!$C$21, $C$9, 100%, $E$9)</f>
        <v>10.3497</v>
      </c>
      <c r="O360" s="10">
        <f>CHOOSE(CONTROL!$C$42, 10.4218, 10.4218) * CHOOSE(CONTROL!$C$21, $C$9, 100%, $E$9)</f>
        <v>10.421799999999999</v>
      </c>
      <c r="P360" s="10">
        <f>CHOOSE(CONTROL!$C$42, 10.3849, 10.3849) * CHOOSE(CONTROL!$C$21, $C$9, 100%, $E$9)</f>
        <v>10.3849</v>
      </c>
      <c r="Q360" s="10">
        <f>CHOOSE(CONTROL!$C$42, 11.0171, 11.0171) * CHOOSE(CONTROL!$C$21, $C$9, 100%, $E$9)</f>
        <v>11.017099999999999</v>
      </c>
      <c r="R360" s="10">
        <f>CHOOSE(CONTROL!$C$42, 11.6317, 11.6317) * CHOOSE(CONTROL!$C$21, $C$9, 100%, $E$9)</f>
        <v>11.6317</v>
      </c>
      <c r="S360" s="10">
        <f>CHOOSE(CONTROL!$C$42, 10.1677, 10.1677) * CHOOSE(CONTROL!$C$21, $C$9, 100%, $E$9)</f>
        <v>10.1677</v>
      </c>
      <c r="T36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60" s="38">
        <f>(1000*CHOOSE(CONTROL!$C$42, 695, 695)*CHOOSE(CONTROL!$C$42, 0.5599, 0.5599)*CHOOSE(CONTROL!$C$42, 31, 31))/1000000</f>
        <v>12.063045499999998</v>
      </c>
      <c r="V360" s="38">
        <f>(1000*CHOOSE(CONTROL!$C$42, 500, 500)*CHOOSE(CONTROL!$C$42, 0.275, 0.275)*CHOOSE(CONTROL!$C$42, 31, 31))/1000000</f>
        <v>4.2625000000000002</v>
      </c>
      <c r="W360" s="38">
        <f>(1000*CHOOSE(CONTROL!$C$42, 0.1146, 0.1146)*CHOOSE(CONTROL!$C$42, 121.5, 121.5)*CHOOSE(CONTROL!$C$42, 31, 31))/1000000</f>
        <v>0.43164089999999994</v>
      </c>
      <c r="X360" s="38">
        <f>(31*0.1790888*100000/1000000)+(31*0.2374*100000/1000000)</f>
        <v>1.2911152800000001</v>
      </c>
      <c r="Y360" s="38">
        <f>(1000*600*CHOOSE(CONTROL!$C$42, 1.1072, 1.1072)*CHOOSE(CONTROL!$C$42, 31, 31))/1000000</f>
        <v>20.593920000000001</v>
      </c>
      <c r="Z360" s="38"/>
      <c r="AA360" s="10"/>
      <c r="AB360" s="39"/>
      <c r="AC360" s="33">
        <f>(B360*122.58+C360*297.941+D360*89.177+E360*40.302+F360*40+G360*160+H360*0+I360*100+J360*300)/(122.58+297.941+89.177+40.302+0+40+160+100+300)</f>
        <v>10.477917548608698</v>
      </c>
      <c r="AD360" s="27">
        <f>(M360*'RAP TEMPLATE-GAS AVAILABILITY'!O359+N360*'RAP TEMPLATE-GAS AVAILABILITY'!P359+O360*'RAP TEMPLATE-GAS AVAILABILITY'!Q359+P360*'RAP TEMPLATE-GAS AVAILABILITY'!R359)/('RAP TEMPLATE-GAS AVAILABILITY'!O359+'RAP TEMPLATE-GAS AVAILABILITY'!P359+'RAP TEMPLATE-GAS AVAILABILITY'!Q359+'RAP TEMPLATE-GAS AVAILABILITY'!R359)</f>
        <v>10.381848920863309</v>
      </c>
    </row>
    <row r="361" spans="1:30" ht="15.75">
      <c r="A361" s="14">
        <v>52262</v>
      </c>
      <c r="B361" s="10">
        <f>CHOOSE(CONTROL!$C$42, 11.192, 11.192) * CHOOSE(CONTROL!$C$21, $C$9, 100%, $E$9)</f>
        <v>11.192</v>
      </c>
      <c r="C361" s="10">
        <f>CHOOSE(CONTROL!$C$42, 11.1971, 11.1971) * CHOOSE(CONTROL!$C$21, $C$9, 100%, $E$9)</f>
        <v>11.197100000000001</v>
      </c>
      <c r="D361" s="10">
        <f>CHOOSE(CONTROL!$C$42, 11.2295, 11.2295) * CHOOSE(CONTROL!$C$21, $C$9, 100%, $E$9)</f>
        <v>11.2295</v>
      </c>
      <c r="E361" s="10">
        <f>CHOOSE(CONTROL!$C$42, 11.2633, 11.2633) * CHOOSE(CONTROL!$C$21, $C$9, 100%, $E$9)</f>
        <v>11.263299999999999</v>
      </c>
      <c r="F361" s="10">
        <f>CHOOSE(CONTROL!$C$42, 11.1762, 11.1762)*CHOOSE(CONTROL!$C$21, $C$9, 100%, $E$9)</f>
        <v>11.1762</v>
      </c>
      <c r="G361" s="10">
        <f>CHOOSE(CONTROL!$C$42, 11.1942, 11.1942)*CHOOSE(CONTROL!$C$21, $C$9, 100%, $E$9)</f>
        <v>11.1942</v>
      </c>
      <c r="H361" s="10">
        <f>CHOOSE(CONTROL!$C$42, 11.2522, 11.2522) * CHOOSE(CONTROL!$C$21, $C$9, 100%, $E$9)</f>
        <v>11.2522</v>
      </c>
      <c r="I361" s="10">
        <f>CHOOSE(CONTROL!$C$42, 11.2054, 11.2054)* CHOOSE(CONTROL!$C$21, $C$9, 100%, $E$9)</f>
        <v>11.205399999999999</v>
      </c>
      <c r="J361" s="10">
        <f>CHOOSE(CONTROL!$C$42, 11.1688, 11.1688)* CHOOSE(CONTROL!$C$21, $C$9, 100%, $E$9)</f>
        <v>11.168799999999999</v>
      </c>
      <c r="K361" s="10">
        <f>CHOOSE(CONTROL!$C$42, 11.0363, 11.0363) * CHOOSE(CONTROL!$C$21, $C$9, 100%, $E$9)</f>
        <v>11.036300000000001</v>
      </c>
      <c r="L361" s="10">
        <f>CHOOSE(CONTROL!$C$42, 11.8392, 11.8392) * CHOOSE(CONTROL!$C$21, $C$9, 100%, $E$9)</f>
        <v>11.8392</v>
      </c>
      <c r="M361" s="10">
        <f>CHOOSE(CONTROL!$C$42, 11.046, 11.046) * CHOOSE(CONTROL!$C$21, $C$9, 100%, $E$9)</f>
        <v>11.045999999999999</v>
      </c>
      <c r="N361" s="10">
        <f>CHOOSE(CONTROL!$C$42, 11.0638, 11.0638) * CHOOSE(CONTROL!$C$21, $C$9, 100%, $E$9)</f>
        <v>11.063800000000001</v>
      </c>
      <c r="O361" s="10">
        <f>CHOOSE(CONTROL!$C$42, 11.1282, 11.1282) * CHOOSE(CONTROL!$C$21, $C$9, 100%, $E$9)</f>
        <v>11.1282</v>
      </c>
      <c r="P361" s="10">
        <f>CHOOSE(CONTROL!$C$42, 11.0822, 11.0822) * CHOOSE(CONTROL!$C$21, $C$9, 100%, $E$9)</f>
        <v>11.0822</v>
      </c>
      <c r="Q361" s="10">
        <f>CHOOSE(CONTROL!$C$42, 11.7235, 11.7235) * CHOOSE(CONTROL!$C$21, $C$9, 100%, $E$9)</f>
        <v>11.7235</v>
      </c>
      <c r="R361" s="10">
        <f>CHOOSE(CONTROL!$C$42, 12.3399, 12.3399) * CHOOSE(CONTROL!$C$21, $C$9, 100%, $E$9)</f>
        <v>12.3399</v>
      </c>
      <c r="S361" s="10">
        <f>CHOOSE(CONTROL!$C$42, 10.8539, 10.8539) * CHOOSE(CONTROL!$C$21, $C$9, 100%, $E$9)</f>
        <v>10.853899999999999</v>
      </c>
      <c r="T36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61" s="38">
        <f>(1000*CHOOSE(CONTROL!$C$42, 695, 695)*CHOOSE(CONTROL!$C$42, 0.5599, 0.5599)*CHOOSE(CONTROL!$C$42, 31, 31))/1000000</f>
        <v>12.063045499999998</v>
      </c>
      <c r="V361" s="38">
        <f>(1000*CHOOSE(CONTROL!$C$42, 500, 500)*CHOOSE(CONTROL!$C$42, 0.275, 0.275)*CHOOSE(CONTROL!$C$42, 31, 31))/1000000</f>
        <v>4.2625000000000002</v>
      </c>
      <c r="W361" s="38">
        <f>(1000*CHOOSE(CONTROL!$C$42, 0.1146, 0.1146)*CHOOSE(CONTROL!$C$42, 121.5, 121.5)*CHOOSE(CONTROL!$C$42, 31, 31))/1000000</f>
        <v>0.43164089999999994</v>
      </c>
      <c r="X361" s="38">
        <f>(31*0.1790888*100000/1000000)+(31*0.2374*100000/1000000)</f>
        <v>1.2911152800000001</v>
      </c>
      <c r="Y361" s="38">
        <f>(1000*600*CHOOSE(CONTROL!$C$42, 1.1037, 1.1037)*CHOOSE(CONTROL!$C$42, 31, 31))/1000000</f>
        <v>20.52882</v>
      </c>
      <c r="Z361" s="38"/>
      <c r="AA361" s="10"/>
      <c r="AB361" s="39"/>
      <c r="AC361" s="33">
        <f>(B361*122.58+C361*297.941+D361*89.177+E361*40.302+F361*40+G361*160+H361*0+I361*100+J361*300)/(122.58+297.941+89.177+40.302+0+40+160+100+300)</f>
        <v>11.193597538434782</v>
      </c>
      <c r="AD361" s="27">
        <f>(M361*'RAP TEMPLATE-GAS AVAILABILITY'!O360+N361*'RAP TEMPLATE-GAS AVAILABILITY'!P360+O361*'RAP TEMPLATE-GAS AVAILABILITY'!Q360+P361*'RAP TEMPLATE-GAS AVAILABILITY'!R360)/('RAP TEMPLATE-GAS AVAILABILITY'!O360+'RAP TEMPLATE-GAS AVAILABILITY'!P360+'RAP TEMPLATE-GAS AVAILABILITY'!Q360+'RAP TEMPLATE-GAS AVAILABILITY'!R360)</f>
        <v>11.089489208633095</v>
      </c>
    </row>
    <row r="362" spans="1:30" ht="15.75">
      <c r="A362" s="14">
        <v>52290</v>
      </c>
      <c r="B362" s="10">
        <f>CHOOSE(CONTROL!$C$42, 11.3915, 11.3915) * CHOOSE(CONTROL!$C$21, $C$9, 100%, $E$9)</f>
        <v>11.391500000000001</v>
      </c>
      <c r="C362" s="10">
        <f>CHOOSE(CONTROL!$C$42, 11.3966, 11.3966) * CHOOSE(CONTROL!$C$21, $C$9, 100%, $E$9)</f>
        <v>11.396599999999999</v>
      </c>
      <c r="D362" s="10">
        <f>CHOOSE(CONTROL!$C$42, 11.429, 11.429) * CHOOSE(CONTROL!$C$21, $C$9, 100%, $E$9)</f>
        <v>11.429</v>
      </c>
      <c r="E362" s="10">
        <f>CHOOSE(CONTROL!$C$42, 11.4628, 11.4628) * CHOOSE(CONTROL!$C$21, $C$9, 100%, $E$9)</f>
        <v>11.4628</v>
      </c>
      <c r="F362" s="10">
        <f>CHOOSE(CONTROL!$C$42, 11.3752, 11.3752)*CHOOSE(CONTROL!$C$21, $C$9, 100%, $E$9)</f>
        <v>11.3752</v>
      </c>
      <c r="G362" s="10">
        <f>CHOOSE(CONTROL!$C$42, 11.3932, 11.3932)*CHOOSE(CONTROL!$C$21, $C$9, 100%, $E$9)</f>
        <v>11.3932</v>
      </c>
      <c r="H362" s="10">
        <f>CHOOSE(CONTROL!$C$42, 11.4517, 11.4517) * CHOOSE(CONTROL!$C$21, $C$9, 100%, $E$9)</f>
        <v>11.451700000000001</v>
      </c>
      <c r="I362" s="10">
        <f>CHOOSE(CONTROL!$C$42, 11.4049, 11.4049)* CHOOSE(CONTROL!$C$21, $C$9, 100%, $E$9)</f>
        <v>11.4049</v>
      </c>
      <c r="J362" s="10">
        <f>CHOOSE(CONTROL!$C$42, 11.3678, 11.3678)* CHOOSE(CONTROL!$C$21, $C$9, 100%, $E$9)</f>
        <v>11.367800000000001</v>
      </c>
      <c r="K362" s="10">
        <f>CHOOSE(CONTROL!$C$42, 11.2286, 11.2286) * CHOOSE(CONTROL!$C$21, $C$9, 100%, $E$9)</f>
        <v>11.2286</v>
      </c>
      <c r="L362" s="10">
        <f>CHOOSE(CONTROL!$C$42, 12.0387, 12.0387) * CHOOSE(CONTROL!$C$21, $C$9, 100%, $E$9)</f>
        <v>12.0387</v>
      </c>
      <c r="M362" s="10">
        <f>CHOOSE(CONTROL!$C$42, 11.2423, 11.2423) * CHOOSE(CONTROL!$C$21, $C$9, 100%, $E$9)</f>
        <v>11.2423</v>
      </c>
      <c r="N362" s="10">
        <f>CHOOSE(CONTROL!$C$42, 11.2599, 11.2599) * CHOOSE(CONTROL!$C$21, $C$9, 100%, $E$9)</f>
        <v>11.2599</v>
      </c>
      <c r="O362" s="10">
        <f>CHOOSE(CONTROL!$C$42, 11.325, 11.325) * CHOOSE(CONTROL!$C$21, $C$9, 100%, $E$9)</f>
        <v>11.324999999999999</v>
      </c>
      <c r="P362" s="10">
        <f>CHOOSE(CONTROL!$C$42, 11.2789, 11.2789) * CHOOSE(CONTROL!$C$21, $C$9, 100%, $E$9)</f>
        <v>11.2789</v>
      </c>
      <c r="Q362" s="10">
        <f>CHOOSE(CONTROL!$C$42, 11.9203, 11.9203) * CHOOSE(CONTROL!$C$21, $C$9, 100%, $E$9)</f>
        <v>11.920299999999999</v>
      </c>
      <c r="R362" s="10">
        <f>CHOOSE(CONTROL!$C$42, 12.5371, 12.5371) * CHOOSE(CONTROL!$C$21, $C$9, 100%, $E$9)</f>
        <v>12.537100000000001</v>
      </c>
      <c r="S362" s="10">
        <f>CHOOSE(CONTROL!$C$42, 11.0471, 11.0471) * CHOOSE(CONTROL!$C$21, $C$9, 100%, $E$9)</f>
        <v>11.0471</v>
      </c>
      <c r="T36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62" s="38">
        <f>(1000*CHOOSE(CONTROL!$C$42, 695, 695)*CHOOSE(CONTROL!$C$42, 0.5599, 0.5599)*CHOOSE(CONTROL!$C$42, 28, 28))/1000000</f>
        <v>10.895653999999999</v>
      </c>
      <c r="V362" s="38">
        <f>(1000*CHOOSE(CONTROL!$C$42, 500, 500)*CHOOSE(CONTROL!$C$42, 0.275, 0.275)*CHOOSE(CONTROL!$C$42, 28, 28))/1000000</f>
        <v>3.85</v>
      </c>
      <c r="W362" s="38">
        <f>(1000*CHOOSE(CONTROL!$C$42, 0.1146, 0.1146)*CHOOSE(CONTROL!$C$42, 121.5, 121.5)*CHOOSE(CONTROL!$C$42, 28, 28))/1000000</f>
        <v>0.38986920000000003</v>
      </c>
      <c r="X362" s="38">
        <f>(28*0.1790888*100000/1000000)+(28*0.2374*100000/1000000)</f>
        <v>1.16616864</v>
      </c>
      <c r="Y362" s="38">
        <f>(1000*600*CHOOSE(CONTROL!$C$42, 1.1037, 1.1037)*CHOOSE(CONTROL!$C$42, 28, 28))/1000000</f>
        <v>18.542159999999999</v>
      </c>
      <c r="Z362" s="38"/>
      <c r="AA362" s="10"/>
      <c r="AB362" s="39"/>
      <c r="AC362" s="33">
        <f>(B362*122.58+C362*297.941+D362*89.177+E362*40.302+F362*40+G362*160+H362*0+I362*100+J362*300)/(122.58+297.941+89.177+40.302+0+40+160+100+300)</f>
        <v>11.392880147130434</v>
      </c>
      <c r="AD362" s="27">
        <f>(M362*'RAP TEMPLATE-GAS AVAILABILITY'!O361+N362*'RAP TEMPLATE-GAS AVAILABILITY'!P361+O362*'RAP TEMPLATE-GAS AVAILABILITY'!Q361+P362*'RAP TEMPLATE-GAS AVAILABILITY'!R361)/('RAP TEMPLATE-GAS AVAILABILITY'!O361+'RAP TEMPLATE-GAS AVAILABILITY'!P361+'RAP TEMPLATE-GAS AVAILABILITY'!Q361+'RAP TEMPLATE-GAS AVAILABILITY'!R361)</f>
        <v>11.286061870503598</v>
      </c>
    </row>
    <row r="363" spans="1:30" ht="15.75">
      <c r="A363" s="14">
        <v>52321</v>
      </c>
      <c r="B363" s="10">
        <f>CHOOSE(CONTROL!$C$42, 11.0676, 11.0676) * CHOOSE(CONTROL!$C$21, $C$9, 100%, $E$9)</f>
        <v>11.067600000000001</v>
      </c>
      <c r="C363" s="10">
        <f>CHOOSE(CONTROL!$C$42, 11.0727, 11.0727) * CHOOSE(CONTROL!$C$21, $C$9, 100%, $E$9)</f>
        <v>11.072699999999999</v>
      </c>
      <c r="D363" s="10">
        <f>CHOOSE(CONTROL!$C$42, 11.1052, 11.1052) * CHOOSE(CONTROL!$C$21, $C$9, 100%, $E$9)</f>
        <v>11.1052</v>
      </c>
      <c r="E363" s="10">
        <f>CHOOSE(CONTROL!$C$42, 11.139, 11.139) * CHOOSE(CONTROL!$C$21, $C$9, 100%, $E$9)</f>
        <v>11.138999999999999</v>
      </c>
      <c r="F363" s="10">
        <f>CHOOSE(CONTROL!$C$42, 11.0499, 11.0499)*CHOOSE(CONTROL!$C$21, $C$9, 100%, $E$9)</f>
        <v>11.049899999999999</v>
      </c>
      <c r="G363" s="10">
        <f>CHOOSE(CONTROL!$C$42, 11.0675, 11.0675)*CHOOSE(CONTROL!$C$21, $C$9, 100%, $E$9)</f>
        <v>11.067500000000001</v>
      </c>
      <c r="H363" s="10">
        <f>CHOOSE(CONTROL!$C$42, 11.1278, 11.1278) * CHOOSE(CONTROL!$C$21, $C$9, 100%, $E$9)</f>
        <v>11.127800000000001</v>
      </c>
      <c r="I363" s="10">
        <f>CHOOSE(CONTROL!$C$42, 11.0811, 11.0811)* CHOOSE(CONTROL!$C$21, $C$9, 100%, $E$9)</f>
        <v>11.081099999999999</v>
      </c>
      <c r="J363" s="10">
        <f>CHOOSE(CONTROL!$C$42, 11.0425, 11.0425)* CHOOSE(CONTROL!$C$21, $C$9, 100%, $E$9)</f>
        <v>11.0425</v>
      </c>
      <c r="K363" s="10">
        <f>CHOOSE(CONTROL!$C$42, 10.9117, 10.9117) * CHOOSE(CONTROL!$C$21, $C$9, 100%, $E$9)</f>
        <v>10.9117</v>
      </c>
      <c r="L363" s="10">
        <f>CHOOSE(CONTROL!$C$42, 11.7148, 11.7148) * CHOOSE(CONTROL!$C$21, $C$9, 100%, $E$9)</f>
        <v>11.7148</v>
      </c>
      <c r="M363" s="10">
        <f>CHOOSE(CONTROL!$C$42, 10.9215, 10.9215) * CHOOSE(CONTROL!$C$21, $C$9, 100%, $E$9)</f>
        <v>10.9215</v>
      </c>
      <c r="N363" s="10">
        <f>CHOOSE(CONTROL!$C$42, 10.9388, 10.9388) * CHOOSE(CONTROL!$C$21, $C$9, 100%, $E$9)</f>
        <v>10.938800000000001</v>
      </c>
      <c r="O363" s="10">
        <f>CHOOSE(CONTROL!$C$42, 11.0056, 11.0056) * CHOOSE(CONTROL!$C$21, $C$9, 100%, $E$9)</f>
        <v>11.005599999999999</v>
      </c>
      <c r="P363" s="10">
        <f>CHOOSE(CONTROL!$C$42, 10.9596, 10.9596) * CHOOSE(CONTROL!$C$21, $C$9, 100%, $E$9)</f>
        <v>10.9596</v>
      </c>
      <c r="Q363" s="10">
        <f>CHOOSE(CONTROL!$C$42, 11.6009, 11.6009) * CHOOSE(CONTROL!$C$21, $C$9, 100%, $E$9)</f>
        <v>11.600899999999999</v>
      </c>
      <c r="R363" s="10">
        <f>CHOOSE(CONTROL!$C$42, 12.2169, 12.2169) * CHOOSE(CONTROL!$C$21, $C$9, 100%, $E$9)</f>
        <v>12.216900000000001</v>
      </c>
      <c r="S363" s="10">
        <f>CHOOSE(CONTROL!$C$42, 10.7334, 10.7334) * CHOOSE(CONTROL!$C$21, $C$9, 100%, $E$9)</f>
        <v>10.7334</v>
      </c>
      <c r="T36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63" s="38">
        <f>(1000*CHOOSE(CONTROL!$C$42, 695, 695)*CHOOSE(CONTROL!$C$42, 0.5599, 0.5599)*CHOOSE(CONTROL!$C$42, 31, 31))/1000000</f>
        <v>12.063045499999998</v>
      </c>
      <c r="V363" s="38">
        <f>(1000*CHOOSE(CONTROL!$C$42, 500, 500)*CHOOSE(CONTROL!$C$42, 0.275, 0.275)*CHOOSE(CONTROL!$C$42, 31, 31))/1000000</f>
        <v>4.2625000000000002</v>
      </c>
      <c r="W363" s="38">
        <f>(1000*CHOOSE(CONTROL!$C$42, 0.1146, 0.1146)*CHOOSE(CONTROL!$C$42, 121.5, 121.5)*CHOOSE(CONTROL!$C$42, 31, 31))/1000000</f>
        <v>0.43164089999999994</v>
      </c>
      <c r="X363" s="38">
        <f>(31*0.1790888*100000/1000000)+(31*0.2374*100000/1000000)</f>
        <v>1.2911152800000001</v>
      </c>
      <c r="Y363" s="38">
        <f>(1000*600*CHOOSE(CONTROL!$C$42, 1.1037, 1.1037)*CHOOSE(CONTROL!$C$42, 31, 31))/1000000</f>
        <v>20.52882</v>
      </c>
      <c r="Z363" s="38"/>
      <c r="AA363" s="10"/>
      <c r="AB363" s="39"/>
      <c r="AC363" s="33">
        <f>(B363*122.58+C363*297.941+D363*89.177+E363*40.302+F363*40+G363*160+H363*0+I363*100+J363*300)/(122.58+297.941+89.177+40.302+0+40+160+100+300)</f>
        <v>11.068335754</v>
      </c>
      <c r="AD363" s="27">
        <f>(M363*'RAP TEMPLATE-GAS AVAILABILITY'!O362+N363*'RAP TEMPLATE-GAS AVAILABILITY'!P362+O363*'RAP TEMPLATE-GAS AVAILABILITY'!Q362+P363*'RAP TEMPLATE-GAS AVAILABILITY'!R362)/('RAP TEMPLATE-GAS AVAILABILITY'!O362+'RAP TEMPLATE-GAS AVAILABILITY'!P362+'RAP TEMPLATE-GAS AVAILABILITY'!Q362+'RAP TEMPLATE-GAS AVAILABILITY'!R362)</f>
        <v>10.966094964028777</v>
      </c>
    </row>
    <row r="364" spans="1:30" ht="15.75">
      <c r="A364" s="14">
        <v>52351</v>
      </c>
      <c r="B364" s="10">
        <f>CHOOSE(CONTROL!$C$42, 11.0352, 11.0352) * CHOOSE(CONTROL!$C$21, $C$9, 100%, $E$9)</f>
        <v>11.0352</v>
      </c>
      <c r="C364" s="10">
        <f>CHOOSE(CONTROL!$C$42, 11.0397, 11.0397) * CHOOSE(CONTROL!$C$21, $C$9, 100%, $E$9)</f>
        <v>11.0397</v>
      </c>
      <c r="D364" s="10">
        <f>CHOOSE(CONTROL!$C$42, 11.1999, 11.1999) * CHOOSE(CONTROL!$C$21, $C$9, 100%, $E$9)</f>
        <v>11.1999</v>
      </c>
      <c r="E364" s="10">
        <f>CHOOSE(CONTROL!$C$42, 11.2317, 11.2317) * CHOOSE(CONTROL!$C$21, $C$9, 100%, $E$9)</f>
        <v>11.2317</v>
      </c>
      <c r="F364" s="10">
        <f>CHOOSE(CONTROL!$C$42, 10.9813, 10.9813)*CHOOSE(CONTROL!$C$21, $C$9, 100%, $E$9)</f>
        <v>10.981299999999999</v>
      </c>
      <c r="G364" s="10">
        <f>CHOOSE(CONTROL!$C$42, 10.9971, 10.9971)*CHOOSE(CONTROL!$C$21, $C$9, 100%, $E$9)</f>
        <v>10.9971</v>
      </c>
      <c r="H364" s="10">
        <f>CHOOSE(CONTROL!$C$42, 11.2212, 11.2212) * CHOOSE(CONTROL!$C$21, $C$9, 100%, $E$9)</f>
        <v>11.2212</v>
      </c>
      <c r="I364" s="10">
        <f>CHOOSE(CONTROL!$C$42, 11.0154, 11.0154)* CHOOSE(CONTROL!$C$21, $C$9, 100%, $E$9)</f>
        <v>11.0154</v>
      </c>
      <c r="J364" s="10">
        <f>CHOOSE(CONTROL!$C$42, 10.9739, 10.9739)* CHOOSE(CONTROL!$C$21, $C$9, 100%, $E$9)</f>
        <v>10.9739</v>
      </c>
      <c r="K364" s="10">
        <f>CHOOSE(CONTROL!$C$42, 10.832, 10.832) * CHOOSE(CONTROL!$C$21, $C$9, 100%, $E$9)</f>
        <v>10.832000000000001</v>
      </c>
      <c r="L364" s="10">
        <f>CHOOSE(CONTROL!$C$42, 11.8082, 11.8082) * CHOOSE(CONTROL!$C$21, $C$9, 100%, $E$9)</f>
        <v>11.808199999999999</v>
      </c>
      <c r="M364" s="10">
        <f>CHOOSE(CONTROL!$C$42, 10.8538, 10.8538) * CHOOSE(CONTROL!$C$21, $C$9, 100%, $E$9)</f>
        <v>10.8538</v>
      </c>
      <c r="N364" s="10">
        <f>CHOOSE(CONTROL!$C$42, 10.8694, 10.8694) * CHOOSE(CONTROL!$C$21, $C$9, 100%, $E$9)</f>
        <v>10.869400000000001</v>
      </c>
      <c r="O364" s="10">
        <f>CHOOSE(CONTROL!$C$42, 11.0976, 11.0976) * CHOOSE(CONTROL!$C$21, $C$9, 100%, $E$9)</f>
        <v>11.0976</v>
      </c>
      <c r="P364" s="10">
        <f>CHOOSE(CONTROL!$C$42, 10.8948, 10.8948) * CHOOSE(CONTROL!$C$21, $C$9, 100%, $E$9)</f>
        <v>10.8948</v>
      </c>
      <c r="Q364" s="10">
        <f>CHOOSE(CONTROL!$C$42, 11.6929, 11.6929) * CHOOSE(CONTROL!$C$21, $C$9, 100%, $E$9)</f>
        <v>11.6929</v>
      </c>
      <c r="R364" s="10">
        <f>CHOOSE(CONTROL!$C$42, 12.3092, 12.3092) * CHOOSE(CONTROL!$C$21, $C$9, 100%, $E$9)</f>
        <v>12.309200000000001</v>
      </c>
      <c r="S364" s="10">
        <f>CHOOSE(CONTROL!$C$42, 10.7013, 10.7013) * CHOOSE(CONTROL!$C$21, $C$9, 100%, $E$9)</f>
        <v>10.7013</v>
      </c>
      <c r="T36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64" s="38">
        <f>(1000*CHOOSE(CONTROL!$C$42, 695, 695)*CHOOSE(CONTROL!$C$42, 0.5599, 0.5599)*CHOOSE(CONTROL!$C$42, 30, 30))/1000000</f>
        <v>11.673914999999997</v>
      </c>
      <c r="V364" s="38">
        <f>(1000*CHOOSE(CONTROL!$C$42, 500, 500)*CHOOSE(CONTROL!$C$42, 0.275, 0.275)*CHOOSE(CONTROL!$C$42, 30, 30))/1000000</f>
        <v>4.125</v>
      </c>
      <c r="W364" s="38">
        <f>(1000*CHOOSE(CONTROL!$C$42, 0.1146, 0.1146)*CHOOSE(CONTROL!$C$42, 121.5, 121.5)*CHOOSE(CONTROL!$C$42, 30, 30))/1000000</f>
        <v>0.417717</v>
      </c>
      <c r="X364" s="38">
        <f>(30*0.1790888*245000/1000000)+(30*0.2374*100000/1000000)</f>
        <v>2.0285026799999999</v>
      </c>
      <c r="Y364" s="38">
        <f>(1000*600*CHOOSE(CONTROL!$C$42, 1.1037, 1.1037)*CHOOSE(CONTROL!$C$42, 30, 30))/1000000</f>
        <v>19.866599999999998</v>
      </c>
      <c r="Z364" s="38"/>
      <c r="AA364" s="10"/>
      <c r="AB364" s="39"/>
      <c r="AC364" s="33">
        <f>(B364*141.293+C364*267.993+D364*115.016+E364*89.698+F364*40+G364*185+H364*0+I364*100+J364*300)/(141.293+267.993+115.016+89.698+0+40+185+100+300)</f>
        <v>11.041818450928169</v>
      </c>
      <c r="AD364" s="27">
        <f>(M364*'RAP TEMPLATE-GAS AVAILABILITY'!O363+N364*'RAP TEMPLATE-GAS AVAILABILITY'!P363+O364*'RAP TEMPLATE-GAS AVAILABILITY'!Q363+P364*'RAP TEMPLATE-GAS AVAILABILITY'!R363)/('RAP TEMPLATE-GAS AVAILABILITY'!O363+'RAP TEMPLATE-GAS AVAILABILITY'!P363+'RAP TEMPLATE-GAS AVAILABILITY'!Q363+'RAP TEMPLATE-GAS AVAILABILITY'!R363)</f>
        <v>10.931694964028777</v>
      </c>
    </row>
    <row r="365" spans="1:30" ht="15.75">
      <c r="A365" s="14">
        <v>52382</v>
      </c>
      <c r="B365" s="10">
        <f>CHOOSE(CONTROL!$C$42, 11.1346, 11.1346) * CHOOSE(CONTROL!$C$21, $C$9, 100%, $E$9)</f>
        <v>11.134600000000001</v>
      </c>
      <c r="C365" s="10">
        <f>CHOOSE(CONTROL!$C$42, 11.1426, 11.1426) * CHOOSE(CONTROL!$C$21, $C$9, 100%, $E$9)</f>
        <v>11.1426</v>
      </c>
      <c r="D365" s="10">
        <f>CHOOSE(CONTROL!$C$42, 11.2996, 11.2996) * CHOOSE(CONTROL!$C$21, $C$9, 100%, $E$9)</f>
        <v>11.2996</v>
      </c>
      <c r="E365" s="10">
        <f>CHOOSE(CONTROL!$C$42, 11.3308, 11.3308) * CHOOSE(CONTROL!$C$21, $C$9, 100%, $E$9)</f>
        <v>11.3308</v>
      </c>
      <c r="F365" s="10">
        <f>CHOOSE(CONTROL!$C$42, 11.0787, 11.0787)*CHOOSE(CONTROL!$C$21, $C$9, 100%, $E$9)</f>
        <v>11.0787</v>
      </c>
      <c r="G365" s="10">
        <f>CHOOSE(CONTROL!$C$42, 11.0948, 11.0948)*CHOOSE(CONTROL!$C$21, $C$9, 100%, $E$9)</f>
        <v>11.094799999999999</v>
      </c>
      <c r="H365" s="10">
        <f>CHOOSE(CONTROL!$C$42, 11.3192, 11.3192) * CHOOSE(CONTROL!$C$21, $C$9, 100%, $E$9)</f>
        <v>11.3192</v>
      </c>
      <c r="I365" s="10">
        <f>CHOOSE(CONTROL!$C$42, 11.1133, 11.1133)* CHOOSE(CONTROL!$C$21, $C$9, 100%, $E$9)</f>
        <v>11.113300000000001</v>
      </c>
      <c r="J365" s="10">
        <f>CHOOSE(CONTROL!$C$42, 11.0713, 11.0713)* CHOOSE(CONTROL!$C$21, $C$9, 100%, $E$9)</f>
        <v>11.071300000000001</v>
      </c>
      <c r="K365" s="10">
        <f>CHOOSE(CONTROL!$C$42, 10.9256, 10.9256) * CHOOSE(CONTROL!$C$21, $C$9, 100%, $E$9)</f>
        <v>10.925599999999999</v>
      </c>
      <c r="L365" s="10">
        <f>CHOOSE(CONTROL!$C$42, 11.9062, 11.9062) * CHOOSE(CONTROL!$C$21, $C$9, 100%, $E$9)</f>
        <v>11.9062</v>
      </c>
      <c r="M365" s="10">
        <f>CHOOSE(CONTROL!$C$42, 10.9499, 10.9499) * CHOOSE(CONTROL!$C$21, $C$9, 100%, $E$9)</f>
        <v>10.9499</v>
      </c>
      <c r="N365" s="10">
        <f>CHOOSE(CONTROL!$C$42, 10.9658, 10.9658) * CHOOSE(CONTROL!$C$21, $C$9, 100%, $E$9)</f>
        <v>10.9658</v>
      </c>
      <c r="O365" s="10">
        <f>CHOOSE(CONTROL!$C$42, 11.1943, 11.1943) * CHOOSE(CONTROL!$C$21, $C$9, 100%, $E$9)</f>
        <v>11.1943</v>
      </c>
      <c r="P365" s="10">
        <f>CHOOSE(CONTROL!$C$42, 10.9914, 10.9914) * CHOOSE(CONTROL!$C$21, $C$9, 100%, $E$9)</f>
        <v>10.991400000000001</v>
      </c>
      <c r="Q365" s="10">
        <f>CHOOSE(CONTROL!$C$42, 11.7896, 11.7896) * CHOOSE(CONTROL!$C$21, $C$9, 100%, $E$9)</f>
        <v>11.7896</v>
      </c>
      <c r="R365" s="10">
        <f>CHOOSE(CONTROL!$C$42, 12.406, 12.406) * CHOOSE(CONTROL!$C$21, $C$9, 100%, $E$9)</f>
        <v>12.406000000000001</v>
      </c>
      <c r="S365" s="10">
        <f>CHOOSE(CONTROL!$C$42, 10.7962, 10.7962) * CHOOSE(CONTROL!$C$21, $C$9, 100%, $E$9)</f>
        <v>10.796200000000001</v>
      </c>
      <c r="T36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65" s="38">
        <f>(1000*CHOOSE(CONTROL!$C$42, 695, 695)*CHOOSE(CONTROL!$C$42, 0.5599, 0.5599)*CHOOSE(CONTROL!$C$42, 31, 31))/1000000</f>
        <v>12.063045499999998</v>
      </c>
      <c r="V365" s="38">
        <f>(1000*CHOOSE(CONTROL!$C$42, 500, 500)*CHOOSE(CONTROL!$C$42, 0.275, 0.275)*CHOOSE(CONTROL!$C$42, 31, 31))/1000000</f>
        <v>4.2625000000000002</v>
      </c>
      <c r="W365" s="38">
        <f>(1000*CHOOSE(CONTROL!$C$42, 0.1146, 0.1146)*CHOOSE(CONTROL!$C$42, 121.5, 121.5)*CHOOSE(CONTROL!$C$42, 31, 31))/1000000</f>
        <v>0.43164089999999994</v>
      </c>
      <c r="X365" s="38">
        <f>(31*0.1790888*245000/1000000)+(31*0.2374*100000/1000000)</f>
        <v>2.0961194359999999</v>
      </c>
      <c r="Y365" s="38">
        <f>(1000*600*CHOOSE(CONTROL!$C$42, 1.1037, 1.1037)*CHOOSE(CONTROL!$C$42, 31, 31))/1000000</f>
        <v>20.52882</v>
      </c>
      <c r="Z365" s="38"/>
      <c r="AA365" s="10"/>
      <c r="AB365" s="39"/>
      <c r="AC365" s="33">
        <f>(B365*194.205+C365*267.466+D365*133.845+E365*53.484+F365*40+G365*185+H365*0+I365*100+J365*300)/(194.205+267.466+133.845+53.484+0+40+185+100+300)</f>
        <v>11.137738707849294</v>
      </c>
      <c r="AD365" s="27">
        <f>(M365*'RAP TEMPLATE-GAS AVAILABILITY'!O364+N365*'RAP TEMPLATE-GAS AVAILABILITY'!P364+O365*'RAP TEMPLATE-GAS AVAILABILITY'!Q364+P365*'RAP TEMPLATE-GAS AVAILABILITY'!R364)/('RAP TEMPLATE-GAS AVAILABILITY'!O364+'RAP TEMPLATE-GAS AVAILABILITY'!P364+'RAP TEMPLATE-GAS AVAILABILITY'!Q364+'RAP TEMPLATE-GAS AVAILABILITY'!R364)</f>
        <v>11.028104316546763</v>
      </c>
    </row>
    <row r="366" spans="1:30" ht="15.75">
      <c r="A366" s="14">
        <v>52412</v>
      </c>
      <c r="B366" s="10">
        <f>CHOOSE(CONTROL!$C$42, 11.4508, 11.4508) * CHOOSE(CONTROL!$C$21, $C$9, 100%, $E$9)</f>
        <v>11.450799999999999</v>
      </c>
      <c r="C366" s="10">
        <f>CHOOSE(CONTROL!$C$42, 11.4588, 11.4588) * CHOOSE(CONTROL!$C$21, $C$9, 100%, $E$9)</f>
        <v>11.4588</v>
      </c>
      <c r="D366" s="10">
        <f>CHOOSE(CONTROL!$C$42, 11.6158, 11.6158) * CHOOSE(CONTROL!$C$21, $C$9, 100%, $E$9)</f>
        <v>11.6158</v>
      </c>
      <c r="E366" s="10">
        <f>CHOOSE(CONTROL!$C$42, 11.6471, 11.6471) * CHOOSE(CONTROL!$C$21, $C$9, 100%, $E$9)</f>
        <v>11.6471</v>
      </c>
      <c r="F366" s="10">
        <f>CHOOSE(CONTROL!$C$42, 11.3951, 11.3951)*CHOOSE(CONTROL!$C$21, $C$9, 100%, $E$9)</f>
        <v>11.395099999999999</v>
      </c>
      <c r="G366" s="10">
        <f>CHOOSE(CONTROL!$C$42, 11.4113, 11.4113)*CHOOSE(CONTROL!$C$21, $C$9, 100%, $E$9)</f>
        <v>11.411300000000001</v>
      </c>
      <c r="H366" s="10">
        <f>CHOOSE(CONTROL!$C$42, 11.6354, 11.6354) * CHOOSE(CONTROL!$C$21, $C$9, 100%, $E$9)</f>
        <v>11.635400000000001</v>
      </c>
      <c r="I366" s="10">
        <f>CHOOSE(CONTROL!$C$42, 11.4296, 11.4296)* CHOOSE(CONTROL!$C$21, $C$9, 100%, $E$9)</f>
        <v>11.429600000000001</v>
      </c>
      <c r="J366" s="10">
        <f>CHOOSE(CONTROL!$C$42, 11.3877, 11.3877)* CHOOSE(CONTROL!$C$21, $C$9, 100%, $E$9)</f>
        <v>11.387700000000001</v>
      </c>
      <c r="K366" s="10">
        <f>CHOOSE(CONTROL!$C$42, 11.2324, 11.2324) * CHOOSE(CONTROL!$C$21, $C$9, 100%, $E$9)</f>
        <v>11.2324</v>
      </c>
      <c r="L366" s="10">
        <f>CHOOSE(CONTROL!$C$42, 12.2224, 12.2224) * CHOOSE(CONTROL!$C$21, $C$9, 100%, $E$9)</f>
        <v>12.2224</v>
      </c>
      <c r="M366" s="10">
        <f>CHOOSE(CONTROL!$C$42, 11.2619, 11.2619) * CHOOSE(CONTROL!$C$21, $C$9, 100%, $E$9)</f>
        <v>11.261900000000001</v>
      </c>
      <c r="N366" s="10">
        <f>CHOOSE(CONTROL!$C$42, 11.2778, 11.2778) * CHOOSE(CONTROL!$C$21, $C$9, 100%, $E$9)</f>
        <v>11.277799999999999</v>
      </c>
      <c r="O366" s="10">
        <f>CHOOSE(CONTROL!$C$42, 11.5061, 11.5061) * CHOOSE(CONTROL!$C$21, $C$9, 100%, $E$9)</f>
        <v>11.5061</v>
      </c>
      <c r="P366" s="10">
        <f>CHOOSE(CONTROL!$C$42, 11.3032, 11.3032) * CHOOSE(CONTROL!$C$21, $C$9, 100%, $E$9)</f>
        <v>11.3032</v>
      </c>
      <c r="Q366" s="10">
        <f>CHOOSE(CONTROL!$C$42, 12.1014, 12.1014) * CHOOSE(CONTROL!$C$21, $C$9, 100%, $E$9)</f>
        <v>12.1014</v>
      </c>
      <c r="R366" s="10">
        <f>CHOOSE(CONTROL!$C$42, 12.7186, 12.7186) * CHOOSE(CONTROL!$C$21, $C$9, 100%, $E$9)</f>
        <v>12.7186</v>
      </c>
      <c r="S366" s="10">
        <f>CHOOSE(CONTROL!$C$42, 11.1024, 11.1024) * CHOOSE(CONTROL!$C$21, $C$9, 100%, $E$9)</f>
        <v>11.102399999999999</v>
      </c>
      <c r="T36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66" s="38">
        <f>(1000*CHOOSE(CONTROL!$C$42, 695, 695)*CHOOSE(CONTROL!$C$42, 0.5599, 0.5599)*CHOOSE(CONTROL!$C$42, 30, 30))/1000000</f>
        <v>11.673914999999997</v>
      </c>
      <c r="V366" s="38">
        <f>(1000*CHOOSE(CONTROL!$C$42, 500, 500)*CHOOSE(CONTROL!$C$42, 0.275, 0.275)*CHOOSE(CONTROL!$C$42, 30, 30))/1000000</f>
        <v>4.125</v>
      </c>
      <c r="W366" s="38">
        <f>(1000*CHOOSE(CONTROL!$C$42, 0.1146, 0.1146)*CHOOSE(CONTROL!$C$42, 121.5, 121.5)*CHOOSE(CONTROL!$C$42, 30, 30))/1000000</f>
        <v>0.417717</v>
      </c>
      <c r="X366" s="38">
        <f>(30*0.1790888*245000/1000000)+(30*0.2374*100000/1000000)</f>
        <v>2.0285026799999999</v>
      </c>
      <c r="Y366" s="38">
        <f>(1000*600*CHOOSE(CONTROL!$C$42, 1.1037, 1.1037)*CHOOSE(CONTROL!$C$42, 30, 30))/1000000</f>
        <v>19.866599999999998</v>
      </c>
      <c r="Z366" s="38"/>
      <c r="AA366" s="10"/>
      <c r="AB366" s="39"/>
      <c r="AC366" s="33">
        <f>(B366*194.205+C366*267.466+D366*133.845+E366*53.484+F366*40+G366*185+H366*0+I366*100+J366*300)/(194.205+267.466+133.845+53.484+0+40+185+100+300)</f>
        <v>11.454047694034536</v>
      </c>
      <c r="AD366" s="27">
        <f>(M366*'RAP TEMPLATE-GAS AVAILABILITY'!O365+N366*'RAP TEMPLATE-GAS AVAILABILITY'!P365+O366*'RAP TEMPLATE-GAS AVAILABILITY'!Q365+P366*'RAP TEMPLATE-GAS AVAILABILITY'!R365)/('RAP TEMPLATE-GAS AVAILABILITY'!O365+'RAP TEMPLATE-GAS AVAILABILITY'!P365+'RAP TEMPLATE-GAS AVAILABILITY'!Q365+'RAP TEMPLATE-GAS AVAILABILITY'!R365)</f>
        <v>11.340019424460431</v>
      </c>
    </row>
    <row r="367" spans="1:30" ht="15.75">
      <c r="A367" s="14">
        <v>52443</v>
      </c>
      <c r="B367" s="10">
        <f>CHOOSE(CONTROL!$C$42, 11.2309, 11.2309) * CHOOSE(CONTROL!$C$21, $C$9, 100%, $E$9)</f>
        <v>11.2309</v>
      </c>
      <c r="C367" s="10">
        <f>CHOOSE(CONTROL!$C$42, 11.2389, 11.2389) * CHOOSE(CONTROL!$C$21, $C$9, 100%, $E$9)</f>
        <v>11.238899999999999</v>
      </c>
      <c r="D367" s="10">
        <f>CHOOSE(CONTROL!$C$42, 11.3959, 11.3959) * CHOOSE(CONTROL!$C$21, $C$9, 100%, $E$9)</f>
        <v>11.395899999999999</v>
      </c>
      <c r="E367" s="10">
        <f>CHOOSE(CONTROL!$C$42, 11.4271, 11.4271) * CHOOSE(CONTROL!$C$21, $C$9, 100%, $E$9)</f>
        <v>11.427099999999999</v>
      </c>
      <c r="F367" s="10">
        <f>CHOOSE(CONTROL!$C$42, 11.1755, 11.1755)*CHOOSE(CONTROL!$C$21, $C$9, 100%, $E$9)</f>
        <v>11.1755</v>
      </c>
      <c r="G367" s="10">
        <f>CHOOSE(CONTROL!$C$42, 11.1918, 11.1918)*CHOOSE(CONTROL!$C$21, $C$9, 100%, $E$9)</f>
        <v>11.191800000000001</v>
      </c>
      <c r="H367" s="10">
        <f>CHOOSE(CONTROL!$C$42, 11.4155, 11.4155) * CHOOSE(CONTROL!$C$21, $C$9, 100%, $E$9)</f>
        <v>11.4155</v>
      </c>
      <c r="I367" s="10">
        <f>CHOOSE(CONTROL!$C$42, 11.2096, 11.2096)* CHOOSE(CONTROL!$C$21, $C$9, 100%, $E$9)</f>
        <v>11.2096</v>
      </c>
      <c r="J367" s="10">
        <f>CHOOSE(CONTROL!$C$42, 11.1681, 11.1681)* CHOOSE(CONTROL!$C$21, $C$9, 100%, $E$9)</f>
        <v>11.168100000000001</v>
      </c>
      <c r="K367" s="10">
        <f>CHOOSE(CONTROL!$C$42, 11.02, 11.02) * CHOOSE(CONTROL!$C$21, $C$9, 100%, $E$9)</f>
        <v>11.02</v>
      </c>
      <c r="L367" s="10">
        <f>CHOOSE(CONTROL!$C$42, 12.0025, 12.0025) * CHOOSE(CONTROL!$C$21, $C$9, 100%, $E$9)</f>
        <v>12.0025</v>
      </c>
      <c r="M367" s="10">
        <f>CHOOSE(CONTROL!$C$42, 11.0453, 11.0453) * CHOOSE(CONTROL!$C$21, $C$9, 100%, $E$9)</f>
        <v>11.045299999999999</v>
      </c>
      <c r="N367" s="10">
        <f>CHOOSE(CONTROL!$C$42, 11.0613, 11.0613) * CHOOSE(CONTROL!$C$21, $C$9, 100%, $E$9)</f>
        <v>11.061299999999999</v>
      </c>
      <c r="O367" s="10">
        <f>CHOOSE(CONTROL!$C$42, 11.2892, 11.2892) * CHOOSE(CONTROL!$C$21, $C$9, 100%, $E$9)</f>
        <v>11.289199999999999</v>
      </c>
      <c r="P367" s="10">
        <f>CHOOSE(CONTROL!$C$42, 11.0863, 11.0863) * CHOOSE(CONTROL!$C$21, $C$9, 100%, $E$9)</f>
        <v>11.0863</v>
      </c>
      <c r="Q367" s="10">
        <f>CHOOSE(CONTROL!$C$42, 11.8845, 11.8845) * CHOOSE(CONTROL!$C$21, $C$9, 100%, $E$9)</f>
        <v>11.884499999999999</v>
      </c>
      <c r="R367" s="10">
        <f>CHOOSE(CONTROL!$C$42, 12.5012, 12.5012) * CHOOSE(CONTROL!$C$21, $C$9, 100%, $E$9)</f>
        <v>12.501200000000001</v>
      </c>
      <c r="S367" s="10">
        <f>CHOOSE(CONTROL!$C$42, 10.8894, 10.8894) * CHOOSE(CONTROL!$C$21, $C$9, 100%, $E$9)</f>
        <v>10.8894</v>
      </c>
      <c r="T36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67" s="38">
        <f>(1000*CHOOSE(CONTROL!$C$42, 695, 695)*CHOOSE(CONTROL!$C$42, 0.5599, 0.5599)*CHOOSE(CONTROL!$C$42, 31, 31))/1000000</f>
        <v>12.063045499999998</v>
      </c>
      <c r="V367" s="38">
        <f>(1000*CHOOSE(CONTROL!$C$42, 500, 500)*CHOOSE(CONTROL!$C$42, 0.275, 0.275)*CHOOSE(CONTROL!$C$42, 31, 31))/1000000</f>
        <v>4.2625000000000002</v>
      </c>
      <c r="W367" s="38">
        <f>(1000*CHOOSE(CONTROL!$C$42, 0.1146, 0.1146)*CHOOSE(CONTROL!$C$42, 121.5, 121.5)*CHOOSE(CONTROL!$C$42, 31, 31))/1000000</f>
        <v>0.43164089999999994</v>
      </c>
      <c r="X367" s="38">
        <f>(31*0.1790888*245000/1000000)+(31*0.2374*100000/1000000)</f>
        <v>2.0961194359999999</v>
      </c>
      <c r="Y367" s="38">
        <f>(1000*600*CHOOSE(CONTROL!$C$42, 1.1037, 1.1037)*CHOOSE(CONTROL!$C$42, 31, 31))/1000000</f>
        <v>20.52882</v>
      </c>
      <c r="Z367" s="38"/>
      <c r="AA367" s="10"/>
      <c r="AB367" s="39"/>
      <c r="AC367" s="33">
        <f>(B367*194.205+C367*267.466+D367*133.845+E367*53.484+F367*40+G367*185+H367*0+I367*100+J367*300)/(194.205+267.466+133.845+53.484+0+40+185+100+300)</f>
        <v>11.234273794191523</v>
      </c>
      <c r="AD367" s="27">
        <f>(M367*'RAP TEMPLATE-GAS AVAILABILITY'!O366+N367*'RAP TEMPLATE-GAS AVAILABILITY'!P366+O367*'RAP TEMPLATE-GAS AVAILABILITY'!Q366+P367*'RAP TEMPLATE-GAS AVAILABILITY'!R366)/('RAP TEMPLATE-GAS AVAILABILITY'!O366+'RAP TEMPLATE-GAS AVAILABILITY'!P366+'RAP TEMPLATE-GAS AVAILABILITY'!Q366+'RAP TEMPLATE-GAS AVAILABILITY'!R366)</f>
        <v>11.123315107913671</v>
      </c>
    </row>
    <row r="368" spans="1:30" ht="15.75">
      <c r="A368" s="14">
        <v>52474</v>
      </c>
      <c r="B368" s="10">
        <f>CHOOSE(CONTROL!$C$42, 10.6754, 10.6754) * CHOOSE(CONTROL!$C$21, $C$9, 100%, $E$9)</f>
        <v>10.6754</v>
      </c>
      <c r="C368" s="10">
        <f>CHOOSE(CONTROL!$C$42, 10.6834, 10.6834) * CHOOSE(CONTROL!$C$21, $C$9, 100%, $E$9)</f>
        <v>10.683400000000001</v>
      </c>
      <c r="D368" s="10">
        <f>CHOOSE(CONTROL!$C$42, 10.8405, 10.8405) * CHOOSE(CONTROL!$C$21, $C$9, 100%, $E$9)</f>
        <v>10.8405</v>
      </c>
      <c r="E368" s="10">
        <f>CHOOSE(CONTROL!$C$42, 10.8717, 10.8717) * CHOOSE(CONTROL!$C$21, $C$9, 100%, $E$9)</f>
        <v>10.871700000000001</v>
      </c>
      <c r="F368" s="10">
        <f>CHOOSE(CONTROL!$C$42, 10.62, 10.62)*CHOOSE(CONTROL!$C$21, $C$9, 100%, $E$9)</f>
        <v>10.62</v>
      </c>
      <c r="G368" s="10">
        <f>CHOOSE(CONTROL!$C$42, 10.6362, 10.6362)*CHOOSE(CONTROL!$C$21, $C$9, 100%, $E$9)</f>
        <v>10.636200000000001</v>
      </c>
      <c r="H368" s="10">
        <f>CHOOSE(CONTROL!$C$42, 10.86, 10.86) * CHOOSE(CONTROL!$C$21, $C$9, 100%, $E$9)</f>
        <v>10.86</v>
      </c>
      <c r="I368" s="10">
        <f>CHOOSE(CONTROL!$C$42, 10.6542, 10.6542)* CHOOSE(CONTROL!$C$21, $C$9, 100%, $E$9)</f>
        <v>10.654199999999999</v>
      </c>
      <c r="J368" s="10">
        <f>CHOOSE(CONTROL!$C$42, 10.6126, 10.6126)* CHOOSE(CONTROL!$C$21, $C$9, 100%, $E$9)</f>
        <v>10.6126</v>
      </c>
      <c r="K368" s="10">
        <f>CHOOSE(CONTROL!$C$42, 10.4818, 10.4818) * CHOOSE(CONTROL!$C$21, $C$9, 100%, $E$9)</f>
        <v>10.4818</v>
      </c>
      <c r="L368" s="10">
        <f>CHOOSE(CONTROL!$C$42, 11.447, 11.447) * CHOOSE(CONTROL!$C$21, $C$9, 100%, $E$9)</f>
        <v>11.446999999999999</v>
      </c>
      <c r="M368" s="10">
        <f>CHOOSE(CONTROL!$C$42, 10.4976, 10.4976) * CHOOSE(CONTROL!$C$21, $C$9, 100%, $E$9)</f>
        <v>10.4976</v>
      </c>
      <c r="N368" s="10">
        <f>CHOOSE(CONTROL!$C$42, 10.5136, 10.5136) * CHOOSE(CONTROL!$C$21, $C$9, 100%, $E$9)</f>
        <v>10.5136</v>
      </c>
      <c r="O368" s="10">
        <f>CHOOSE(CONTROL!$C$42, 10.7415, 10.7415) * CHOOSE(CONTROL!$C$21, $C$9, 100%, $E$9)</f>
        <v>10.7415</v>
      </c>
      <c r="P368" s="10">
        <f>CHOOSE(CONTROL!$C$42, 10.5387, 10.5387) * CHOOSE(CONTROL!$C$21, $C$9, 100%, $E$9)</f>
        <v>10.5387</v>
      </c>
      <c r="Q368" s="10">
        <f>CHOOSE(CONTROL!$C$42, 11.3368, 11.3368) * CHOOSE(CONTROL!$C$21, $C$9, 100%, $E$9)</f>
        <v>11.3368</v>
      </c>
      <c r="R368" s="10">
        <f>CHOOSE(CONTROL!$C$42, 11.9522, 11.9522) * CHOOSE(CONTROL!$C$21, $C$9, 100%, $E$9)</f>
        <v>11.952199999999999</v>
      </c>
      <c r="S368" s="10">
        <f>CHOOSE(CONTROL!$C$42, 10.3516, 10.3516) * CHOOSE(CONTROL!$C$21, $C$9, 100%, $E$9)</f>
        <v>10.351599999999999</v>
      </c>
      <c r="T36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68" s="38">
        <f>(1000*CHOOSE(CONTROL!$C$42, 695, 695)*CHOOSE(CONTROL!$C$42, 0.5599, 0.5599)*CHOOSE(CONTROL!$C$42, 31, 31))/1000000</f>
        <v>12.063045499999998</v>
      </c>
      <c r="V368" s="38">
        <f>(1000*CHOOSE(CONTROL!$C$42, 500, 500)*CHOOSE(CONTROL!$C$42, 0.275, 0.275)*CHOOSE(CONTROL!$C$42, 31, 31))/1000000</f>
        <v>4.2625000000000002</v>
      </c>
      <c r="W368" s="38">
        <f>(1000*CHOOSE(CONTROL!$C$42, 0.1146, 0.1146)*CHOOSE(CONTROL!$C$42, 121.5, 121.5)*CHOOSE(CONTROL!$C$42, 31, 31))/1000000</f>
        <v>0.43164089999999994</v>
      </c>
      <c r="X368" s="38">
        <f>(31*0.1790888*245000/1000000)+(31*0.2374*100000/1000000)</f>
        <v>2.0961194359999999</v>
      </c>
      <c r="Y368" s="38">
        <f>(1000*600*CHOOSE(CONTROL!$C$42, 1.1037, 1.1037)*CHOOSE(CONTROL!$C$42, 31, 31))/1000000</f>
        <v>20.52882</v>
      </c>
      <c r="Z368" s="38"/>
      <c r="AA368" s="10"/>
      <c r="AB368" s="39"/>
      <c r="AC368" s="33">
        <f>(B368*194.205+C368*267.466+D368*133.845+E368*53.484+F368*40+G368*185+H368*0+I368*100+J368*300)/(194.205+267.466+133.845+53.484+0+40+185+100+300)</f>
        <v>10.678781826295136</v>
      </c>
      <c r="AD368" s="27">
        <f>(M368*'RAP TEMPLATE-GAS AVAILABILITY'!O367+N368*'RAP TEMPLATE-GAS AVAILABILITY'!P367+O368*'RAP TEMPLATE-GAS AVAILABILITY'!Q367+P368*'RAP TEMPLATE-GAS AVAILABILITY'!R367)/('RAP TEMPLATE-GAS AVAILABILITY'!O367+'RAP TEMPLATE-GAS AVAILABILITY'!P367+'RAP TEMPLATE-GAS AVAILABILITY'!Q367+'RAP TEMPLATE-GAS AVAILABILITY'!R367)</f>
        <v>10.575629496402879</v>
      </c>
    </row>
    <row r="369" spans="1:30" ht="15.75">
      <c r="A369" s="14">
        <v>52504</v>
      </c>
      <c r="B369" s="10">
        <f>CHOOSE(CONTROL!$C$42, 9.9968, 9.9968) * CHOOSE(CONTROL!$C$21, $C$9, 100%, $E$9)</f>
        <v>9.9968000000000004</v>
      </c>
      <c r="C369" s="10">
        <f>CHOOSE(CONTROL!$C$42, 10.0048, 10.0048) * CHOOSE(CONTROL!$C$21, $C$9, 100%, $E$9)</f>
        <v>10.004799999999999</v>
      </c>
      <c r="D369" s="10">
        <f>CHOOSE(CONTROL!$C$42, 10.1619, 10.1619) * CHOOSE(CONTROL!$C$21, $C$9, 100%, $E$9)</f>
        <v>10.161899999999999</v>
      </c>
      <c r="E369" s="10">
        <f>CHOOSE(CONTROL!$C$42, 10.1931, 10.1931) * CHOOSE(CONTROL!$C$21, $C$9, 100%, $E$9)</f>
        <v>10.193099999999999</v>
      </c>
      <c r="F369" s="10">
        <f>CHOOSE(CONTROL!$C$42, 9.9412, 9.9412)*CHOOSE(CONTROL!$C$21, $C$9, 100%, $E$9)</f>
        <v>9.9412000000000003</v>
      </c>
      <c r="G369" s="10">
        <f>CHOOSE(CONTROL!$C$42, 9.9574, 9.9574)*CHOOSE(CONTROL!$C$21, $C$9, 100%, $E$9)</f>
        <v>9.9573999999999998</v>
      </c>
      <c r="H369" s="10">
        <f>CHOOSE(CONTROL!$C$42, 10.1814, 10.1814) * CHOOSE(CONTROL!$C$21, $C$9, 100%, $E$9)</f>
        <v>10.1814</v>
      </c>
      <c r="I369" s="10">
        <f>CHOOSE(CONTROL!$C$42, 9.9756, 9.9756)* CHOOSE(CONTROL!$C$21, $C$9, 100%, $E$9)</f>
        <v>9.9756</v>
      </c>
      <c r="J369" s="10">
        <f>CHOOSE(CONTROL!$C$42, 9.9338, 9.9338)* CHOOSE(CONTROL!$C$21, $C$9, 100%, $E$9)</f>
        <v>9.9337999999999997</v>
      </c>
      <c r="K369" s="10">
        <f>CHOOSE(CONTROL!$C$42, 9.8239, 9.8239) * CHOOSE(CONTROL!$C$21, $C$9, 100%, $E$9)</f>
        <v>9.8239000000000001</v>
      </c>
      <c r="L369" s="10">
        <f>CHOOSE(CONTROL!$C$42, 10.7684, 10.7684) * CHOOSE(CONTROL!$C$21, $C$9, 100%, $E$9)</f>
        <v>10.7684</v>
      </c>
      <c r="M369" s="10">
        <f>CHOOSE(CONTROL!$C$42, 9.8282, 9.8282) * CHOOSE(CONTROL!$C$21, $C$9, 100%, $E$9)</f>
        <v>9.8282000000000007</v>
      </c>
      <c r="N369" s="10">
        <f>CHOOSE(CONTROL!$C$42, 9.8442, 9.8442) * CHOOSE(CONTROL!$C$21, $C$9, 100%, $E$9)</f>
        <v>9.8442000000000007</v>
      </c>
      <c r="O369" s="10">
        <f>CHOOSE(CONTROL!$C$42, 10.0724, 10.0724) * CHOOSE(CONTROL!$C$21, $C$9, 100%, $E$9)</f>
        <v>10.0724</v>
      </c>
      <c r="P369" s="10">
        <f>CHOOSE(CONTROL!$C$42, 9.8695, 9.8695) * CHOOSE(CONTROL!$C$21, $C$9, 100%, $E$9)</f>
        <v>9.8695000000000004</v>
      </c>
      <c r="Q369" s="10">
        <f>CHOOSE(CONTROL!$C$42, 10.6677, 10.6677) * CHOOSE(CONTROL!$C$21, $C$9, 100%, $E$9)</f>
        <v>10.6677</v>
      </c>
      <c r="R369" s="10">
        <f>CHOOSE(CONTROL!$C$42, 11.2814, 11.2814) * CHOOSE(CONTROL!$C$21, $C$9, 100%, $E$9)</f>
        <v>11.2814</v>
      </c>
      <c r="S369" s="10">
        <f>CHOOSE(CONTROL!$C$42, 9.6945, 9.6945) * CHOOSE(CONTROL!$C$21, $C$9, 100%, $E$9)</f>
        <v>9.6944999999999997</v>
      </c>
      <c r="T36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69" s="38">
        <f>(1000*CHOOSE(CONTROL!$C$42, 695, 695)*CHOOSE(CONTROL!$C$42, 0.5599, 0.5599)*CHOOSE(CONTROL!$C$42, 30, 30))/1000000</f>
        <v>11.673914999999997</v>
      </c>
      <c r="V369" s="38">
        <f>(1000*CHOOSE(CONTROL!$C$42, 500, 500)*CHOOSE(CONTROL!$C$42, 0.275, 0.275)*CHOOSE(CONTROL!$C$42, 30, 30))/1000000</f>
        <v>4.125</v>
      </c>
      <c r="W369" s="38">
        <f>(1000*CHOOSE(CONTROL!$C$42, 0.1146, 0.1146)*CHOOSE(CONTROL!$C$42, 121.5, 121.5)*CHOOSE(CONTROL!$C$42, 30, 30))/1000000</f>
        <v>0.417717</v>
      </c>
      <c r="X369" s="38">
        <f>(30*0.1790888*245000/1000000)+(30*0.2374*100000/1000000)</f>
        <v>2.0285026799999999</v>
      </c>
      <c r="Y369" s="38">
        <f>(1000*600*CHOOSE(CONTROL!$C$42, 1.1037, 1.1037)*CHOOSE(CONTROL!$C$42, 30, 30))/1000000</f>
        <v>19.866599999999998</v>
      </c>
      <c r="Z369" s="38"/>
      <c r="AA369" s="10"/>
      <c r="AB369" s="39"/>
      <c r="AC369" s="33">
        <f>(B369*194.205+C369*267.466+D369*133.845+E369*53.484+F369*40+G369*185+H369*0+I369*100+J369*300)/(194.205+267.466+133.845+53.484+0+40+185+100+300)</f>
        <v>10.000099408712714</v>
      </c>
      <c r="AD369" s="27">
        <f>(M369*'RAP TEMPLATE-GAS AVAILABILITY'!O368+N369*'RAP TEMPLATE-GAS AVAILABILITY'!P368+O369*'RAP TEMPLATE-GAS AVAILABILITY'!Q368+P369*'RAP TEMPLATE-GAS AVAILABILITY'!R368)/('RAP TEMPLATE-GAS AVAILABILITY'!O368+'RAP TEMPLATE-GAS AVAILABILITY'!P368+'RAP TEMPLATE-GAS AVAILABILITY'!Q368+'RAP TEMPLATE-GAS AVAILABILITY'!R368)</f>
        <v>9.9063424460431655</v>
      </c>
    </row>
    <row r="370" spans="1:30" ht="15.75">
      <c r="A370" s="14">
        <v>52535</v>
      </c>
      <c r="B370" s="10">
        <f>CHOOSE(CONTROL!$C$42, 9.7914, 9.7914) * CHOOSE(CONTROL!$C$21, $C$9, 100%, $E$9)</f>
        <v>9.7913999999999994</v>
      </c>
      <c r="C370" s="10">
        <f>CHOOSE(CONTROL!$C$42, 9.7967, 9.7967) * CHOOSE(CONTROL!$C$21, $C$9, 100%, $E$9)</f>
        <v>9.7966999999999995</v>
      </c>
      <c r="D370" s="10">
        <f>CHOOSE(CONTROL!$C$42, 9.9586, 9.9586) * CHOOSE(CONTROL!$C$21, $C$9, 100%, $E$9)</f>
        <v>9.9586000000000006</v>
      </c>
      <c r="E370" s="10">
        <f>CHOOSE(CONTROL!$C$42, 9.9876, 9.9876) * CHOOSE(CONTROL!$C$21, $C$9, 100%, $E$9)</f>
        <v>9.9876000000000005</v>
      </c>
      <c r="F370" s="10">
        <f>CHOOSE(CONTROL!$C$42, 9.7378, 9.7378)*CHOOSE(CONTROL!$C$21, $C$9, 100%, $E$9)</f>
        <v>9.7378</v>
      </c>
      <c r="G370" s="10">
        <f>CHOOSE(CONTROL!$C$42, 9.7536, 9.7536)*CHOOSE(CONTROL!$C$21, $C$9, 100%, $E$9)</f>
        <v>9.7536000000000005</v>
      </c>
      <c r="H370" s="10">
        <f>CHOOSE(CONTROL!$C$42, 9.9777, 9.9777) * CHOOSE(CONTROL!$C$21, $C$9, 100%, $E$9)</f>
        <v>9.9777000000000005</v>
      </c>
      <c r="I370" s="10">
        <f>CHOOSE(CONTROL!$C$42, 9.7719, 9.7719)* CHOOSE(CONTROL!$C$21, $C$9, 100%, $E$9)</f>
        <v>9.7719000000000005</v>
      </c>
      <c r="J370" s="10">
        <f>CHOOSE(CONTROL!$C$42, 9.7304, 9.7304)* CHOOSE(CONTROL!$C$21, $C$9, 100%, $E$9)</f>
        <v>9.7303999999999995</v>
      </c>
      <c r="K370" s="10">
        <f>CHOOSE(CONTROL!$C$42, 9.6272, 9.6272) * CHOOSE(CONTROL!$C$21, $C$9, 100%, $E$9)</f>
        <v>9.6272000000000002</v>
      </c>
      <c r="L370" s="10">
        <f>CHOOSE(CONTROL!$C$42, 10.5647, 10.5647) * CHOOSE(CONTROL!$C$21, $C$9, 100%, $E$9)</f>
        <v>10.5647</v>
      </c>
      <c r="M370" s="10">
        <f>CHOOSE(CONTROL!$C$42, 9.6276, 9.6276) * CHOOSE(CONTROL!$C$21, $C$9, 100%, $E$9)</f>
        <v>9.6275999999999993</v>
      </c>
      <c r="N370" s="10">
        <f>CHOOSE(CONTROL!$C$42, 9.6432, 9.6432) * CHOOSE(CONTROL!$C$21, $C$9, 100%, $E$9)</f>
        <v>9.6432000000000002</v>
      </c>
      <c r="O370" s="10">
        <f>CHOOSE(CONTROL!$C$42, 9.8715, 9.8715) * CHOOSE(CONTROL!$C$21, $C$9, 100%, $E$9)</f>
        <v>9.8714999999999993</v>
      </c>
      <c r="P370" s="10">
        <f>CHOOSE(CONTROL!$C$42, 9.6686, 9.6686) * CHOOSE(CONTROL!$C$21, $C$9, 100%, $E$9)</f>
        <v>9.6685999999999996</v>
      </c>
      <c r="Q370" s="10">
        <f>CHOOSE(CONTROL!$C$42, 10.4668, 10.4668) * CHOOSE(CONTROL!$C$21, $C$9, 100%, $E$9)</f>
        <v>10.466799999999999</v>
      </c>
      <c r="R370" s="10">
        <f>CHOOSE(CONTROL!$C$42, 11.08, 11.08) * CHOOSE(CONTROL!$C$21, $C$9, 100%, $E$9)</f>
        <v>11.08</v>
      </c>
      <c r="S370" s="10">
        <f>CHOOSE(CONTROL!$C$42, 9.4973, 9.4973) * CHOOSE(CONTROL!$C$21, $C$9, 100%, $E$9)</f>
        <v>9.4972999999999992</v>
      </c>
      <c r="T37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70" s="38">
        <f>(1000*CHOOSE(CONTROL!$C$42, 695, 695)*CHOOSE(CONTROL!$C$42, 0.5599, 0.5599)*CHOOSE(CONTROL!$C$42, 31, 31))/1000000</f>
        <v>12.063045499999998</v>
      </c>
      <c r="V370" s="38">
        <f>(1000*CHOOSE(CONTROL!$C$42, 500, 500)*CHOOSE(CONTROL!$C$42, 0.275, 0.275)*CHOOSE(CONTROL!$C$42, 31, 31))/1000000</f>
        <v>4.2625000000000002</v>
      </c>
      <c r="W370" s="38">
        <f>(1000*CHOOSE(CONTROL!$C$42, 0.1146, 0.1146)*CHOOSE(CONTROL!$C$42, 121.5, 121.5)*CHOOSE(CONTROL!$C$42, 31, 31))/1000000</f>
        <v>0.43164089999999994</v>
      </c>
      <c r="X370" s="38">
        <f>(31*0.1790888*245000/1000000)+(31*0.2374*100000/1000000)</f>
        <v>2.0961194359999999</v>
      </c>
      <c r="Y370" s="38">
        <f>(1000*600*CHOOSE(CONTROL!$C$42, 1.1037, 1.1037)*CHOOSE(CONTROL!$C$42, 31, 31))/1000000</f>
        <v>20.52882</v>
      </c>
      <c r="Z370" s="38"/>
      <c r="AA370" s="10"/>
      <c r="AB370" s="39"/>
      <c r="AC370" s="33">
        <f>(B370*131.881+C370*277.167+D370*79.08+E370*125.872+F370*40+G370*185+H370*0+I370*100+J370*300)/(131.881+277.167+79.08+125.872+0+40+185+100+300)</f>
        <v>9.7994712247780473</v>
      </c>
      <c r="AD370" s="27">
        <f>(M370*'RAP TEMPLATE-GAS AVAILABILITY'!O369+N370*'RAP TEMPLATE-GAS AVAILABILITY'!P369+O370*'RAP TEMPLATE-GAS AVAILABILITY'!Q369+P370*'RAP TEMPLATE-GAS AVAILABILITY'!R369)/('RAP TEMPLATE-GAS AVAILABILITY'!O369+'RAP TEMPLATE-GAS AVAILABILITY'!P369+'RAP TEMPLATE-GAS AVAILABILITY'!Q369+'RAP TEMPLATE-GAS AVAILABILITY'!R369)</f>
        <v>9.7055230215827333</v>
      </c>
    </row>
    <row r="371" spans="1:30" ht="15.75">
      <c r="A371" s="14">
        <v>52565</v>
      </c>
      <c r="B371" s="10">
        <f>CHOOSE(CONTROL!$C$42, 10.0493, 10.0493) * CHOOSE(CONTROL!$C$21, $C$9, 100%, $E$9)</f>
        <v>10.049300000000001</v>
      </c>
      <c r="C371" s="10">
        <f>CHOOSE(CONTROL!$C$42, 10.0544, 10.0544) * CHOOSE(CONTROL!$C$21, $C$9, 100%, $E$9)</f>
        <v>10.054399999999999</v>
      </c>
      <c r="D371" s="10">
        <f>CHOOSE(CONTROL!$C$42, 10.0791, 10.0791) * CHOOSE(CONTROL!$C$21, $C$9, 100%, $E$9)</f>
        <v>10.0791</v>
      </c>
      <c r="E371" s="10">
        <f>CHOOSE(CONTROL!$C$42, 10.1129, 10.1129) * CHOOSE(CONTROL!$C$21, $C$9, 100%, $E$9)</f>
        <v>10.1129</v>
      </c>
      <c r="F371" s="10">
        <f>CHOOSE(CONTROL!$C$42, 10.0177, 10.0177)*CHOOSE(CONTROL!$C$21, $C$9, 100%, $E$9)</f>
        <v>10.0177</v>
      </c>
      <c r="G371" s="10">
        <f>CHOOSE(CONTROL!$C$42, 10.0337, 10.0337)*CHOOSE(CONTROL!$C$21, $C$9, 100%, $E$9)</f>
        <v>10.0337</v>
      </c>
      <c r="H371" s="10">
        <f>CHOOSE(CONTROL!$C$42, 10.1018, 10.1018) * CHOOSE(CONTROL!$C$21, $C$9, 100%, $E$9)</f>
        <v>10.101800000000001</v>
      </c>
      <c r="I371" s="10">
        <f>CHOOSE(CONTROL!$C$42, 10.0643, 10.0643)* CHOOSE(CONTROL!$C$21, $C$9, 100%, $E$9)</f>
        <v>10.064299999999999</v>
      </c>
      <c r="J371" s="10">
        <f>CHOOSE(CONTROL!$C$42, 10.0103, 10.0103)* CHOOSE(CONTROL!$C$21, $C$9, 100%, $E$9)</f>
        <v>10.010300000000001</v>
      </c>
      <c r="K371" s="10">
        <f>CHOOSE(CONTROL!$C$42, 9.9127, 9.9127) * CHOOSE(CONTROL!$C$21, $C$9, 100%, $E$9)</f>
        <v>9.9126999999999992</v>
      </c>
      <c r="L371" s="10">
        <f>CHOOSE(CONTROL!$C$42, 10.6888, 10.6888) * CHOOSE(CONTROL!$C$21, $C$9, 100%, $E$9)</f>
        <v>10.688800000000001</v>
      </c>
      <c r="M371" s="10">
        <f>CHOOSE(CONTROL!$C$42, 9.9036, 9.9036) * CHOOSE(CONTROL!$C$21, $C$9, 100%, $E$9)</f>
        <v>9.9036000000000008</v>
      </c>
      <c r="N371" s="10">
        <f>CHOOSE(CONTROL!$C$42, 9.9194, 9.9194) * CHOOSE(CONTROL!$C$21, $C$9, 100%, $E$9)</f>
        <v>9.9193999999999996</v>
      </c>
      <c r="O371" s="10">
        <f>CHOOSE(CONTROL!$C$42, 9.9939, 9.9939) * CHOOSE(CONTROL!$C$21, $C$9, 100%, $E$9)</f>
        <v>9.9939</v>
      </c>
      <c r="P371" s="10">
        <f>CHOOSE(CONTROL!$C$42, 9.957, 9.957) * CHOOSE(CONTROL!$C$21, $C$9, 100%, $E$9)</f>
        <v>9.9570000000000007</v>
      </c>
      <c r="Q371" s="10">
        <f>CHOOSE(CONTROL!$C$42, 10.5892, 10.5892) * CHOOSE(CONTROL!$C$21, $C$9, 100%, $E$9)</f>
        <v>10.5892</v>
      </c>
      <c r="R371" s="10">
        <f>CHOOSE(CONTROL!$C$42, 11.2027, 11.2027) * CHOOSE(CONTROL!$C$21, $C$9, 100%, $E$9)</f>
        <v>11.2027</v>
      </c>
      <c r="S371" s="10">
        <f>CHOOSE(CONTROL!$C$42, 9.7474, 9.7474) * CHOOSE(CONTROL!$C$21, $C$9, 100%, $E$9)</f>
        <v>9.7474000000000007</v>
      </c>
      <c r="T37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71" s="38">
        <f>(1000*CHOOSE(CONTROL!$C$42, 695, 695)*CHOOSE(CONTROL!$C$42, 0.5599, 0.5599)*CHOOSE(CONTROL!$C$42, 30, 30))/1000000</f>
        <v>11.673914999999997</v>
      </c>
      <c r="V371" s="38">
        <f>(1000*CHOOSE(CONTROL!$C$42, 500, 500)*CHOOSE(CONTROL!$C$42, 0.275, 0.275)*CHOOSE(CONTROL!$C$42, 30, 30))/1000000</f>
        <v>4.125</v>
      </c>
      <c r="W371" s="38">
        <f>(1000*CHOOSE(CONTROL!$C$42, 0.1146, 0.1146)*CHOOSE(CONTROL!$C$42, 121.5, 121.5)*CHOOSE(CONTROL!$C$42, 30, 30))/1000000</f>
        <v>0.417717</v>
      </c>
      <c r="X371" s="38">
        <f>(30*0.1790888*100000/1000000)+(30*0.2374*100000/1000000)</f>
        <v>1.2494664</v>
      </c>
      <c r="Y371" s="38">
        <f>(1000*600*CHOOSE(CONTROL!$C$42, 1.1037, 1.1037)*CHOOSE(CONTROL!$C$42, 30, 30))/1000000</f>
        <v>19.866599999999998</v>
      </c>
      <c r="Z371" s="38"/>
      <c r="AA371" s="10"/>
      <c r="AB371" s="39"/>
      <c r="AC371" s="33">
        <f>(B371*122.58+C371*297.941+D371*89.177+E371*40.302+F371*40+G371*160+H371*0+I371*100+J371*300)/(122.58+297.941+89.177+40.302+0+40+160+100+300)</f>
        <v>10.043021896434782</v>
      </c>
      <c r="AD371" s="27">
        <f>(M371*'RAP TEMPLATE-GAS AVAILABILITY'!O370+N371*'RAP TEMPLATE-GAS AVAILABILITY'!P370+O371*'RAP TEMPLATE-GAS AVAILABILITY'!Q370+P371*'RAP TEMPLATE-GAS AVAILABILITY'!R370)/('RAP TEMPLATE-GAS AVAILABILITY'!O370+'RAP TEMPLATE-GAS AVAILABILITY'!P370+'RAP TEMPLATE-GAS AVAILABILITY'!Q370+'RAP TEMPLATE-GAS AVAILABILITY'!R370)</f>
        <v>9.9531201438848917</v>
      </c>
    </row>
    <row r="372" spans="1:30" ht="15.75">
      <c r="A372" s="14">
        <v>52596</v>
      </c>
      <c r="B372" s="10">
        <f>CHOOSE(CONTROL!$C$42, 10.7356, 10.7356) * CHOOSE(CONTROL!$C$21, $C$9, 100%, $E$9)</f>
        <v>10.7356</v>
      </c>
      <c r="C372" s="10">
        <f>CHOOSE(CONTROL!$C$42, 10.7407, 10.7407) * CHOOSE(CONTROL!$C$21, $C$9, 100%, $E$9)</f>
        <v>10.7407</v>
      </c>
      <c r="D372" s="10">
        <f>CHOOSE(CONTROL!$C$42, 10.7654, 10.7654) * CHOOSE(CONTROL!$C$21, $C$9, 100%, $E$9)</f>
        <v>10.7654</v>
      </c>
      <c r="E372" s="10">
        <f>CHOOSE(CONTROL!$C$42, 10.7992, 10.7992) * CHOOSE(CONTROL!$C$21, $C$9, 100%, $E$9)</f>
        <v>10.799200000000001</v>
      </c>
      <c r="F372" s="10">
        <f>CHOOSE(CONTROL!$C$42, 10.7059, 10.7059)*CHOOSE(CONTROL!$C$21, $C$9, 100%, $E$9)</f>
        <v>10.7059</v>
      </c>
      <c r="G372" s="10">
        <f>CHOOSE(CONTROL!$C$42, 10.7223, 10.7223)*CHOOSE(CONTROL!$C$21, $C$9, 100%, $E$9)</f>
        <v>10.722300000000001</v>
      </c>
      <c r="H372" s="10">
        <f>CHOOSE(CONTROL!$C$42, 10.7881, 10.7881) * CHOOSE(CONTROL!$C$21, $C$9, 100%, $E$9)</f>
        <v>10.7881</v>
      </c>
      <c r="I372" s="10">
        <f>CHOOSE(CONTROL!$C$42, 10.7506, 10.7506)* CHOOSE(CONTROL!$C$21, $C$9, 100%, $E$9)</f>
        <v>10.7506</v>
      </c>
      <c r="J372" s="10">
        <f>CHOOSE(CONTROL!$C$42, 10.6985, 10.6985)* CHOOSE(CONTROL!$C$21, $C$9, 100%, $E$9)</f>
        <v>10.698499999999999</v>
      </c>
      <c r="K372" s="10">
        <f>CHOOSE(CONTROL!$C$42, 10.5817, 10.5817) * CHOOSE(CONTROL!$C$21, $C$9, 100%, $E$9)</f>
        <v>10.5817</v>
      </c>
      <c r="L372" s="10">
        <f>CHOOSE(CONTROL!$C$42, 11.3751, 11.3751) * CHOOSE(CONTROL!$C$21, $C$9, 100%, $E$9)</f>
        <v>11.3751</v>
      </c>
      <c r="M372" s="10">
        <f>CHOOSE(CONTROL!$C$42, 10.5822, 10.5822) * CHOOSE(CONTROL!$C$21, $C$9, 100%, $E$9)</f>
        <v>10.5822</v>
      </c>
      <c r="N372" s="10">
        <f>CHOOSE(CONTROL!$C$42, 10.5985, 10.5985) * CHOOSE(CONTROL!$C$21, $C$9, 100%, $E$9)</f>
        <v>10.5985</v>
      </c>
      <c r="O372" s="10">
        <f>CHOOSE(CONTROL!$C$42, 10.6706, 10.6706) * CHOOSE(CONTROL!$C$21, $C$9, 100%, $E$9)</f>
        <v>10.6706</v>
      </c>
      <c r="P372" s="10">
        <f>CHOOSE(CONTROL!$C$42, 10.6337, 10.6337) * CHOOSE(CONTROL!$C$21, $C$9, 100%, $E$9)</f>
        <v>10.633699999999999</v>
      </c>
      <c r="Q372" s="10">
        <f>CHOOSE(CONTROL!$C$42, 11.2659, 11.2659) * CHOOSE(CONTROL!$C$21, $C$9, 100%, $E$9)</f>
        <v>11.2659</v>
      </c>
      <c r="R372" s="10">
        <f>CHOOSE(CONTROL!$C$42, 11.8811, 11.8811) * CHOOSE(CONTROL!$C$21, $C$9, 100%, $E$9)</f>
        <v>11.8811</v>
      </c>
      <c r="S372" s="10">
        <f>CHOOSE(CONTROL!$C$42, 10.4119, 10.4119) * CHOOSE(CONTROL!$C$21, $C$9, 100%, $E$9)</f>
        <v>10.411899999999999</v>
      </c>
      <c r="T37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72" s="38">
        <f>(1000*CHOOSE(CONTROL!$C$42, 695, 695)*CHOOSE(CONTROL!$C$42, 0.5599, 0.5599)*CHOOSE(CONTROL!$C$42, 31, 31))/1000000</f>
        <v>12.063045499999998</v>
      </c>
      <c r="V372" s="38">
        <f>(1000*CHOOSE(CONTROL!$C$42, 500, 500)*CHOOSE(CONTROL!$C$42, 0.275, 0.275)*CHOOSE(CONTROL!$C$42, 31, 31))/1000000</f>
        <v>4.2625000000000002</v>
      </c>
      <c r="W372" s="38">
        <f>(1000*CHOOSE(CONTROL!$C$42, 0.1146, 0.1146)*CHOOSE(CONTROL!$C$42, 121.5, 121.5)*CHOOSE(CONTROL!$C$42, 31, 31))/1000000</f>
        <v>0.43164089999999994</v>
      </c>
      <c r="X372" s="38">
        <f>(31*0.1790888*100000/1000000)+(31*0.2374*100000/1000000)</f>
        <v>1.2911152800000001</v>
      </c>
      <c r="Y372" s="38">
        <f>(1000*600*CHOOSE(CONTROL!$C$42, 1.1037, 1.1037)*CHOOSE(CONTROL!$C$42, 31, 31))/1000000</f>
        <v>20.52882</v>
      </c>
      <c r="Z372" s="38"/>
      <c r="AA372" s="10"/>
      <c r="AB372" s="39"/>
      <c r="AC372" s="33">
        <f>(B372*122.58+C372*297.941+D372*89.177+E372*40.302+F372*40+G372*160+H372*0+I372*100+J372*300)/(122.58+297.941+89.177+40.302+0+40+160+100+300)</f>
        <v>10.730203635565216</v>
      </c>
      <c r="AD372" s="27">
        <f>(M372*'RAP TEMPLATE-GAS AVAILABILITY'!O371+N372*'RAP TEMPLATE-GAS AVAILABILITY'!P371+O372*'RAP TEMPLATE-GAS AVAILABILITY'!Q371+P372*'RAP TEMPLATE-GAS AVAILABILITY'!R371)/('RAP TEMPLATE-GAS AVAILABILITY'!O371+'RAP TEMPLATE-GAS AVAILABILITY'!P371+'RAP TEMPLATE-GAS AVAILABILITY'!Q371+'RAP TEMPLATE-GAS AVAILABILITY'!R371)</f>
        <v>10.630614388489208</v>
      </c>
    </row>
    <row r="373" spans="1:30" ht="15.75">
      <c r="A373" s="14">
        <v>52627</v>
      </c>
      <c r="B373" s="10">
        <f>CHOOSE(CONTROL!$C$42, 11.4613, 11.4613) * CHOOSE(CONTROL!$C$21, $C$9, 100%, $E$9)</f>
        <v>11.4613</v>
      </c>
      <c r="C373" s="10">
        <f>CHOOSE(CONTROL!$C$42, 11.4664, 11.4664) * CHOOSE(CONTROL!$C$21, $C$9, 100%, $E$9)</f>
        <v>11.4664</v>
      </c>
      <c r="D373" s="10">
        <f>CHOOSE(CONTROL!$C$42, 11.4988, 11.4988) * CHOOSE(CONTROL!$C$21, $C$9, 100%, $E$9)</f>
        <v>11.498799999999999</v>
      </c>
      <c r="E373" s="10">
        <f>CHOOSE(CONTROL!$C$42, 11.5326, 11.5326) * CHOOSE(CONTROL!$C$21, $C$9, 100%, $E$9)</f>
        <v>11.5326</v>
      </c>
      <c r="F373" s="10">
        <f>CHOOSE(CONTROL!$C$42, 11.4455, 11.4455)*CHOOSE(CONTROL!$C$21, $C$9, 100%, $E$9)</f>
        <v>11.445499999999999</v>
      </c>
      <c r="G373" s="10">
        <f>CHOOSE(CONTROL!$C$42, 11.4635, 11.4635)*CHOOSE(CONTROL!$C$21, $C$9, 100%, $E$9)</f>
        <v>11.4635</v>
      </c>
      <c r="H373" s="10">
        <f>CHOOSE(CONTROL!$C$42, 11.5215, 11.5215) * CHOOSE(CONTROL!$C$21, $C$9, 100%, $E$9)</f>
        <v>11.5215</v>
      </c>
      <c r="I373" s="10">
        <f>CHOOSE(CONTROL!$C$42, 11.4747, 11.4747)* CHOOSE(CONTROL!$C$21, $C$9, 100%, $E$9)</f>
        <v>11.4747</v>
      </c>
      <c r="J373" s="10">
        <f>CHOOSE(CONTROL!$C$42, 11.4381, 11.4381)* CHOOSE(CONTROL!$C$21, $C$9, 100%, $E$9)</f>
        <v>11.4381</v>
      </c>
      <c r="K373" s="10">
        <f>CHOOSE(CONTROL!$C$42, 11.2972, 11.2972) * CHOOSE(CONTROL!$C$21, $C$9, 100%, $E$9)</f>
        <v>11.2972</v>
      </c>
      <c r="L373" s="10">
        <f>CHOOSE(CONTROL!$C$42, 12.1085, 12.1085) * CHOOSE(CONTROL!$C$21, $C$9, 100%, $E$9)</f>
        <v>12.108499999999999</v>
      </c>
      <c r="M373" s="10">
        <f>CHOOSE(CONTROL!$C$42, 11.3115, 11.3115) * CHOOSE(CONTROL!$C$21, $C$9, 100%, $E$9)</f>
        <v>11.311500000000001</v>
      </c>
      <c r="N373" s="10">
        <f>CHOOSE(CONTROL!$C$42, 11.3293, 11.3293) * CHOOSE(CONTROL!$C$21, $C$9, 100%, $E$9)</f>
        <v>11.3293</v>
      </c>
      <c r="O373" s="10">
        <f>CHOOSE(CONTROL!$C$42, 11.3938, 11.3938) * CHOOSE(CONTROL!$C$21, $C$9, 100%, $E$9)</f>
        <v>11.393800000000001</v>
      </c>
      <c r="P373" s="10">
        <f>CHOOSE(CONTROL!$C$42, 11.3477, 11.3477) * CHOOSE(CONTROL!$C$21, $C$9, 100%, $E$9)</f>
        <v>11.3477</v>
      </c>
      <c r="Q373" s="10">
        <f>CHOOSE(CONTROL!$C$42, 11.9891, 11.9891) * CHOOSE(CONTROL!$C$21, $C$9, 100%, $E$9)</f>
        <v>11.989100000000001</v>
      </c>
      <c r="R373" s="10">
        <f>CHOOSE(CONTROL!$C$42, 12.6061, 12.6061) * CHOOSE(CONTROL!$C$21, $C$9, 100%, $E$9)</f>
        <v>12.6061</v>
      </c>
      <c r="S373" s="10">
        <f>CHOOSE(CONTROL!$C$42, 11.1146, 11.1146) * CHOOSE(CONTROL!$C$21, $C$9, 100%, $E$9)</f>
        <v>11.114599999999999</v>
      </c>
      <c r="T37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73" s="38">
        <f>(1000*CHOOSE(CONTROL!$C$42, 695, 695)*CHOOSE(CONTROL!$C$42, 0.5599, 0.5599)*CHOOSE(CONTROL!$C$42, 31, 31))/1000000</f>
        <v>12.063045499999998</v>
      </c>
      <c r="V373" s="38">
        <f>(1000*CHOOSE(CONTROL!$C$42, 500, 500)*CHOOSE(CONTROL!$C$42, 0.275, 0.275)*CHOOSE(CONTROL!$C$42, 31, 31))/1000000</f>
        <v>4.2625000000000002</v>
      </c>
      <c r="W373" s="38">
        <f>(1000*CHOOSE(CONTROL!$C$42, 0.1146, 0.1146)*CHOOSE(CONTROL!$C$42, 121.5, 121.5)*CHOOSE(CONTROL!$C$42, 31, 31))/1000000</f>
        <v>0.43164089999999994</v>
      </c>
      <c r="X373" s="38">
        <f>(31*0.1790888*100000/1000000)+(31*0.2374*100000/1000000)</f>
        <v>1.2911152800000001</v>
      </c>
      <c r="Y373" s="38">
        <f>(1000*600*CHOOSE(CONTROL!$C$42, 1.1001, 1.1001)*CHOOSE(CONTROL!$C$42, 31, 31))/1000000</f>
        <v>20.461860000000001</v>
      </c>
      <c r="Z373" s="38"/>
      <c r="AA373" s="10"/>
      <c r="AB373" s="39"/>
      <c r="AC373" s="33">
        <f>(B373*122.58+C373*297.941+D373*89.177+E373*40.302+F373*40+G373*160+H373*0+I373*100+J373*300)/(122.58+297.941+89.177+40.302+0+40+160+100+300)</f>
        <v>11.462897538434781</v>
      </c>
      <c r="AD373" s="27">
        <f>(M373*'RAP TEMPLATE-GAS AVAILABILITY'!O372+N373*'RAP TEMPLATE-GAS AVAILABILITY'!P372+O373*'RAP TEMPLATE-GAS AVAILABILITY'!Q372+P373*'RAP TEMPLATE-GAS AVAILABILITY'!R372)/('RAP TEMPLATE-GAS AVAILABILITY'!O372+'RAP TEMPLATE-GAS AVAILABILITY'!P372+'RAP TEMPLATE-GAS AVAILABILITY'!Q372+'RAP TEMPLATE-GAS AVAILABILITY'!R372)</f>
        <v>11.3550345323741</v>
      </c>
    </row>
    <row r="374" spans="1:30" ht="15.75">
      <c r="A374" s="14">
        <v>52655</v>
      </c>
      <c r="B374" s="10">
        <f>CHOOSE(CONTROL!$C$42, 11.6656, 11.6656) * CHOOSE(CONTROL!$C$21, $C$9, 100%, $E$9)</f>
        <v>11.6656</v>
      </c>
      <c r="C374" s="10">
        <f>CHOOSE(CONTROL!$C$42, 11.6707, 11.6707) * CHOOSE(CONTROL!$C$21, $C$9, 100%, $E$9)</f>
        <v>11.6707</v>
      </c>
      <c r="D374" s="10">
        <f>CHOOSE(CONTROL!$C$42, 11.7031, 11.7031) * CHOOSE(CONTROL!$C$21, $C$9, 100%, $E$9)</f>
        <v>11.703099999999999</v>
      </c>
      <c r="E374" s="10">
        <f>CHOOSE(CONTROL!$C$42, 11.7369, 11.7369) * CHOOSE(CONTROL!$C$21, $C$9, 100%, $E$9)</f>
        <v>11.7369</v>
      </c>
      <c r="F374" s="10">
        <f>CHOOSE(CONTROL!$C$42, 11.6493, 11.6493)*CHOOSE(CONTROL!$C$21, $C$9, 100%, $E$9)</f>
        <v>11.6493</v>
      </c>
      <c r="G374" s="10">
        <f>CHOOSE(CONTROL!$C$42, 11.6673, 11.6673)*CHOOSE(CONTROL!$C$21, $C$9, 100%, $E$9)</f>
        <v>11.667299999999999</v>
      </c>
      <c r="H374" s="10">
        <f>CHOOSE(CONTROL!$C$42, 11.7258, 11.7258) * CHOOSE(CONTROL!$C$21, $C$9, 100%, $E$9)</f>
        <v>11.7258</v>
      </c>
      <c r="I374" s="10">
        <f>CHOOSE(CONTROL!$C$42, 11.679, 11.679)* CHOOSE(CONTROL!$C$21, $C$9, 100%, $E$9)</f>
        <v>11.679</v>
      </c>
      <c r="J374" s="10">
        <f>CHOOSE(CONTROL!$C$42, 11.6419, 11.6419)* CHOOSE(CONTROL!$C$21, $C$9, 100%, $E$9)</f>
        <v>11.6419</v>
      </c>
      <c r="K374" s="10">
        <f>CHOOSE(CONTROL!$C$42, 11.4941, 11.4941) * CHOOSE(CONTROL!$C$21, $C$9, 100%, $E$9)</f>
        <v>11.4941</v>
      </c>
      <c r="L374" s="10">
        <f>CHOOSE(CONTROL!$C$42, 12.3128, 12.3128) * CHOOSE(CONTROL!$C$21, $C$9, 100%, $E$9)</f>
        <v>12.312799999999999</v>
      </c>
      <c r="M374" s="10">
        <f>CHOOSE(CONTROL!$C$42, 11.5125, 11.5125) * CHOOSE(CONTROL!$C$21, $C$9, 100%, $E$9)</f>
        <v>11.512499999999999</v>
      </c>
      <c r="N374" s="10">
        <f>CHOOSE(CONTROL!$C$42, 11.5302, 11.5302) * CHOOSE(CONTROL!$C$21, $C$9, 100%, $E$9)</f>
        <v>11.530200000000001</v>
      </c>
      <c r="O374" s="10">
        <f>CHOOSE(CONTROL!$C$42, 11.5953, 11.5953) * CHOOSE(CONTROL!$C$21, $C$9, 100%, $E$9)</f>
        <v>11.5953</v>
      </c>
      <c r="P374" s="10">
        <f>CHOOSE(CONTROL!$C$42, 11.5492, 11.5492) * CHOOSE(CONTROL!$C$21, $C$9, 100%, $E$9)</f>
        <v>11.549200000000001</v>
      </c>
      <c r="Q374" s="10">
        <f>CHOOSE(CONTROL!$C$42, 12.1906, 12.1906) * CHOOSE(CONTROL!$C$21, $C$9, 100%, $E$9)</f>
        <v>12.1906</v>
      </c>
      <c r="R374" s="10">
        <f>CHOOSE(CONTROL!$C$42, 12.808, 12.808) * CHOOSE(CONTROL!$C$21, $C$9, 100%, $E$9)</f>
        <v>12.808</v>
      </c>
      <c r="S374" s="10">
        <f>CHOOSE(CONTROL!$C$42, 11.3125, 11.3125) * CHOOSE(CONTROL!$C$21, $C$9, 100%, $E$9)</f>
        <v>11.3125</v>
      </c>
      <c r="T374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374" s="38">
        <f>(1000*CHOOSE(CONTROL!$C$42, 695, 695)*CHOOSE(CONTROL!$C$42, 0.5599, 0.5599)*CHOOSE(CONTROL!$C$42, 29, 29))/1000000</f>
        <v>11.284784499999999</v>
      </c>
      <c r="V374" s="38">
        <f>(1000*CHOOSE(CONTROL!$C$42, 500, 500)*CHOOSE(CONTROL!$C$42, 0.275, 0.275)*CHOOSE(CONTROL!$C$42, 29, 29))/1000000</f>
        <v>3.9874999999999998</v>
      </c>
      <c r="W374" s="38">
        <f>(1000*CHOOSE(CONTROL!$C$42, 0.1146, 0.1146)*CHOOSE(CONTROL!$C$42, 121.5, 121.5)*CHOOSE(CONTROL!$C$42, 29, 29))/1000000</f>
        <v>0.40379309999999996</v>
      </c>
      <c r="X374" s="38">
        <f>(29*0.1790888*100000/1000000)+(29*0.2374*100000/1000000)</f>
        <v>1.2078175199999999</v>
      </c>
      <c r="Y374" s="38">
        <f>(1000*600*CHOOSE(CONTROL!$C$42, 1.1001, 1.1001)*CHOOSE(CONTROL!$C$42, 29, 29))/1000000</f>
        <v>19.141739999999999</v>
      </c>
      <c r="Z374" s="38"/>
      <c r="AA374" s="10"/>
      <c r="AB374" s="39"/>
      <c r="AC374" s="33">
        <f>(B374*122.58+C374*297.941+D374*89.177+E374*40.302+F374*40+G374*160+H374*0+I374*100+J374*300)/(122.58+297.941+89.177+40.302+0+40+160+100+300)</f>
        <v>11.666980147130433</v>
      </c>
      <c r="AD374" s="27">
        <f>(M374*'RAP TEMPLATE-GAS AVAILABILITY'!O373+N374*'RAP TEMPLATE-GAS AVAILABILITY'!P373+O374*'RAP TEMPLATE-GAS AVAILABILITY'!Q373+P374*'RAP TEMPLATE-GAS AVAILABILITY'!R373)/('RAP TEMPLATE-GAS AVAILABILITY'!O373+'RAP TEMPLATE-GAS AVAILABILITY'!P373+'RAP TEMPLATE-GAS AVAILABILITY'!Q373+'RAP TEMPLATE-GAS AVAILABILITY'!R373)</f>
        <v>11.556327338129497</v>
      </c>
    </row>
    <row r="375" spans="1:30" ht="15.75">
      <c r="A375" s="14">
        <v>52687</v>
      </c>
      <c r="B375" s="10">
        <f>CHOOSE(CONTROL!$C$42, 11.3339, 11.3339) * CHOOSE(CONTROL!$C$21, $C$9, 100%, $E$9)</f>
        <v>11.3339</v>
      </c>
      <c r="C375" s="10">
        <f>CHOOSE(CONTROL!$C$42, 11.339, 11.339) * CHOOSE(CONTROL!$C$21, $C$9, 100%, $E$9)</f>
        <v>11.339</v>
      </c>
      <c r="D375" s="10">
        <f>CHOOSE(CONTROL!$C$42, 11.3715, 11.3715) * CHOOSE(CONTROL!$C$21, $C$9, 100%, $E$9)</f>
        <v>11.371499999999999</v>
      </c>
      <c r="E375" s="10">
        <f>CHOOSE(CONTROL!$C$42, 11.4053, 11.4053) * CHOOSE(CONTROL!$C$21, $C$9, 100%, $E$9)</f>
        <v>11.4053</v>
      </c>
      <c r="F375" s="10">
        <f>CHOOSE(CONTROL!$C$42, 11.3162, 11.3162)*CHOOSE(CONTROL!$C$21, $C$9, 100%, $E$9)</f>
        <v>11.3162</v>
      </c>
      <c r="G375" s="10">
        <f>CHOOSE(CONTROL!$C$42, 11.3338, 11.3338)*CHOOSE(CONTROL!$C$21, $C$9, 100%, $E$9)</f>
        <v>11.3338</v>
      </c>
      <c r="H375" s="10">
        <f>CHOOSE(CONTROL!$C$42, 11.3942, 11.3942) * CHOOSE(CONTROL!$C$21, $C$9, 100%, $E$9)</f>
        <v>11.3942</v>
      </c>
      <c r="I375" s="10">
        <f>CHOOSE(CONTROL!$C$42, 11.3474, 11.3474)* CHOOSE(CONTROL!$C$21, $C$9, 100%, $E$9)</f>
        <v>11.3474</v>
      </c>
      <c r="J375" s="10">
        <f>CHOOSE(CONTROL!$C$42, 11.3088, 11.3088)* CHOOSE(CONTROL!$C$21, $C$9, 100%, $E$9)</f>
        <v>11.3088</v>
      </c>
      <c r="K375" s="10">
        <f>CHOOSE(CONTROL!$C$42, 11.1697, 11.1697) * CHOOSE(CONTROL!$C$21, $C$9, 100%, $E$9)</f>
        <v>11.169700000000001</v>
      </c>
      <c r="L375" s="10">
        <f>CHOOSE(CONTROL!$C$42, 11.9812, 11.9812) * CHOOSE(CONTROL!$C$21, $C$9, 100%, $E$9)</f>
        <v>11.981199999999999</v>
      </c>
      <c r="M375" s="10">
        <f>CHOOSE(CONTROL!$C$42, 11.1841, 11.1841) * CHOOSE(CONTROL!$C$21, $C$9, 100%, $E$9)</f>
        <v>11.184100000000001</v>
      </c>
      <c r="N375" s="10">
        <f>CHOOSE(CONTROL!$C$42, 11.2014, 11.2014) * CHOOSE(CONTROL!$C$21, $C$9, 100%, $E$9)</f>
        <v>11.2014</v>
      </c>
      <c r="O375" s="10">
        <f>CHOOSE(CONTROL!$C$42, 11.2682, 11.2682) * CHOOSE(CONTROL!$C$21, $C$9, 100%, $E$9)</f>
        <v>11.2682</v>
      </c>
      <c r="P375" s="10">
        <f>CHOOSE(CONTROL!$C$42, 11.2222, 11.2222) * CHOOSE(CONTROL!$C$21, $C$9, 100%, $E$9)</f>
        <v>11.222200000000001</v>
      </c>
      <c r="Q375" s="10">
        <f>CHOOSE(CONTROL!$C$42, 11.8635, 11.8635) * CHOOSE(CONTROL!$C$21, $C$9, 100%, $E$9)</f>
        <v>11.8635</v>
      </c>
      <c r="R375" s="10">
        <f>CHOOSE(CONTROL!$C$42, 12.4802, 12.4802) * CHOOSE(CONTROL!$C$21, $C$9, 100%, $E$9)</f>
        <v>12.4802</v>
      </c>
      <c r="S375" s="10">
        <f>CHOOSE(CONTROL!$C$42, 10.9913, 10.9913) * CHOOSE(CONTROL!$C$21, $C$9, 100%, $E$9)</f>
        <v>10.991300000000001</v>
      </c>
      <c r="T37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75" s="38">
        <f>(1000*CHOOSE(CONTROL!$C$42, 695, 695)*CHOOSE(CONTROL!$C$42, 0.5599, 0.5599)*CHOOSE(CONTROL!$C$42, 31, 31))/1000000</f>
        <v>12.063045499999998</v>
      </c>
      <c r="V375" s="38">
        <f>(1000*CHOOSE(CONTROL!$C$42, 500, 500)*CHOOSE(CONTROL!$C$42, 0.275, 0.275)*CHOOSE(CONTROL!$C$42, 31, 31))/1000000</f>
        <v>4.2625000000000002</v>
      </c>
      <c r="W375" s="38">
        <f>(1000*CHOOSE(CONTROL!$C$42, 0.1146, 0.1146)*CHOOSE(CONTROL!$C$42, 121.5, 121.5)*CHOOSE(CONTROL!$C$42, 31, 31))/1000000</f>
        <v>0.43164089999999994</v>
      </c>
      <c r="X375" s="38">
        <f>(31*0.1790888*100000/1000000)+(31*0.2374*100000/1000000)</f>
        <v>1.2911152800000001</v>
      </c>
      <c r="Y375" s="38">
        <f>(1000*600*CHOOSE(CONTROL!$C$42, 1.1001, 1.1001)*CHOOSE(CONTROL!$C$42, 31, 31))/1000000</f>
        <v>20.461860000000001</v>
      </c>
      <c r="Z375" s="38"/>
      <c r="AA375" s="10"/>
      <c r="AB375" s="39"/>
      <c r="AC375" s="33">
        <f>(B375*122.58+C375*297.941+D375*89.177+E375*40.302+F375*40+G375*160+H375*0+I375*100+J375*300)/(122.58+297.941+89.177+40.302+0+40+160+100+300)</f>
        <v>11.334635753999999</v>
      </c>
      <c r="AD375" s="27">
        <f>(M375*'RAP TEMPLATE-GAS AVAILABILITY'!O374+N375*'RAP TEMPLATE-GAS AVAILABILITY'!P374+O375*'RAP TEMPLATE-GAS AVAILABILITY'!Q374+P375*'RAP TEMPLATE-GAS AVAILABILITY'!R374)/('RAP TEMPLATE-GAS AVAILABILITY'!O374+'RAP TEMPLATE-GAS AVAILABILITY'!P374+'RAP TEMPLATE-GAS AVAILABILITY'!Q374+'RAP TEMPLATE-GAS AVAILABILITY'!R374)</f>
        <v>11.228694964028778</v>
      </c>
    </row>
    <row r="376" spans="1:30" ht="15.75">
      <c r="A376" s="14">
        <v>52717</v>
      </c>
      <c r="B376" s="10">
        <f>CHOOSE(CONTROL!$C$42, 11.3007, 11.3007) * CHOOSE(CONTROL!$C$21, $C$9, 100%, $E$9)</f>
        <v>11.300700000000001</v>
      </c>
      <c r="C376" s="10">
        <f>CHOOSE(CONTROL!$C$42, 11.3053, 11.3053) * CHOOSE(CONTROL!$C$21, $C$9, 100%, $E$9)</f>
        <v>11.305300000000001</v>
      </c>
      <c r="D376" s="10">
        <f>CHOOSE(CONTROL!$C$42, 11.4654, 11.4654) * CHOOSE(CONTROL!$C$21, $C$9, 100%, $E$9)</f>
        <v>11.465400000000001</v>
      </c>
      <c r="E376" s="10">
        <f>CHOOSE(CONTROL!$C$42, 11.4972, 11.4972) * CHOOSE(CONTROL!$C$21, $C$9, 100%, $E$9)</f>
        <v>11.497199999999999</v>
      </c>
      <c r="F376" s="10">
        <f>CHOOSE(CONTROL!$C$42, 11.2468, 11.2468)*CHOOSE(CONTROL!$C$21, $C$9, 100%, $E$9)</f>
        <v>11.2468</v>
      </c>
      <c r="G376" s="10">
        <f>CHOOSE(CONTROL!$C$42, 11.2627, 11.2627)*CHOOSE(CONTROL!$C$21, $C$9, 100%, $E$9)</f>
        <v>11.262700000000001</v>
      </c>
      <c r="H376" s="10">
        <f>CHOOSE(CONTROL!$C$42, 11.4867, 11.4867) * CHOOSE(CONTROL!$C$21, $C$9, 100%, $E$9)</f>
        <v>11.486700000000001</v>
      </c>
      <c r="I376" s="10">
        <f>CHOOSE(CONTROL!$C$42, 11.2809, 11.2809)* CHOOSE(CONTROL!$C$21, $C$9, 100%, $E$9)</f>
        <v>11.280900000000001</v>
      </c>
      <c r="J376" s="10">
        <f>CHOOSE(CONTROL!$C$42, 11.2394, 11.2394)* CHOOSE(CONTROL!$C$21, $C$9, 100%, $E$9)</f>
        <v>11.2394</v>
      </c>
      <c r="K376" s="10">
        <f>CHOOSE(CONTROL!$C$42, 11.0892, 11.0892) * CHOOSE(CONTROL!$C$21, $C$9, 100%, $E$9)</f>
        <v>11.0892</v>
      </c>
      <c r="L376" s="10">
        <f>CHOOSE(CONTROL!$C$42, 12.0737, 12.0737) * CHOOSE(CONTROL!$C$21, $C$9, 100%, $E$9)</f>
        <v>12.073700000000001</v>
      </c>
      <c r="M376" s="10">
        <f>CHOOSE(CONTROL!$C$42, 11.1157, 11.1157) * CHOOSE(CONTROL!$C$21, $C$9, 100%, $E$9)</f>
        <v>11.1157</v>
      </c>
      <c r="N376" s="10">
        <f>CHOOSE(CONTROL!$C$42, 11.1313, 11.1313) * CHOOSE(CONTROL!$C$21, $C$9, 100%, $E$9)</f>
        <v>11.1313</v>
      </c>
      <c r="O376" s="10">
        <f>CHOOSE(CONTROL!$C$42, 11.3595, 11.3595) * CHOOSE(CONTROL!$C$21, $C$9, 100%, $E$9)</f>
        <v>11.359500000000001</v>
      </c>
      <c r="P376" s="10">
        <f>CHOOSE(CONTROL!$C$42, 11.1566, 11.1566) * CHOOSE(CONTROL!$C$21, $C$9, 100%, $E$9)</f>
        <v>11.156599999999999</v>
      </c>
      <c r="Q376" s="10">
        <f>CHOOSE(CONTROL!$C$42, 11.9548, 11.9548) * CHOOSE(CONTROL!$C$21, $C$9, 100%, $E$9)</f>
        <v>11.954800000000001</v>
      </c>
      <c r="R376" s="10">
        <f>CHOOSE(CONTROL!$C$42, 12.5717, 12.5717) * CHOOSE(CONTROL!$C$21, $C$9, 100%, $E$9)</f>
        <v>12.5717</v>
      </c>
      <c r="S376" s="10">
        <f>CHOOSE(CONTROL!$C$42, 10.9584, 10.9584) * CHOOSE(CONTROL!$C$21, $C$9, 100%, $E$9)</f>
        <v>10.958399999999999</v>
      </c>
      <c r="T37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76" s="38">
        <f>(1000*CHOOSE(CONTROL!$C$42, 695, 695)*CHOOSE(CONTROL!$C$42, 0.5599, 0.5599)*CHOOSE(CONTROL!$C$42, 30, 30))/1000000</f>
        <v>11.673914999999997</v>
      </c>
      <c r="V376" s="38">
        <f>(1000*CHOOSE(CONTROL!$C$42, 500, 500)*CHOOSE(CONTROL!$C$42, 0.275, 0.275)*CHOOSE(CONTROL!$C$42, 30, 30))/1000000</f>
        <v>4.125</v>
      </c>
      <c r="W376" s="38">
        <f>(1000*CHOOSE(CONTROL!$C$42, 0.1146, 0.1146)*CHOOSE(CONTROL!$C$42, 121.5, 121.5)*CHOOSE(CONTROL!$C$42, 30, 30))/1000000</f>
        <v>0.417717</v>
      </c>
      <c r="X376" s="38">
        <f>(30*0.1790888*245000/1000000)+(30*0.2374*100000/1000000)</f>
        <v>2.0285026799999999</v>
      </c>
      <c r="Y376" s="38">
        <f>(1000*600*CHOOSE(CONTROL!$C$42, 1.1001, 1.1001)*CHOOSE(CONTROL!$C$42, 30, 30))/1000000</f>
        <v>19.8018</v>
      </c>
      <c r="Z376" s="38"/>
      <c r="AA376" s="10"/>
      <c r="AB376" s="39"/>
      <c r="AC376" s="33">
        <f>(B376*141.293+C376*267.993+D376*115.016+E376*89.698+F376*40+G376*185+H376*0+I376*100+J376*300)/(141.293+267.993+115.016+89.698+0+40+185+100+300)</f>
        <v>11.307355012106539</v>
      </c>
      <c r="AD376" s="27">
        <f>(M376*'RAP TEMPLATE-GAS AVAILABILITY'!O375+N376*'RAP TEMPLATE-GAS AVAILABILITY'!P375+O376*'RAP TEMPLATE-GAS AVAILABILITY'!Q375+P376*'RAP TEMPLATE-GAS AVAILABILITY'!R375)/('RAP TEMPLATE-GAS AVAILABILITY'!O375+'RAP TEMPLATE-GAS AVAILABILITY'!P375+'RAP TEMPLATE-GAS AVAILABILITY'!Q375+'RAP TEMPLATE-GAS AVAILABILITY'!R375)</f>
        <v>11.193580575539567</v>
      </c>
    </row>
    <row r="377" spans="1:30" ht="15.75">
      <c r="A377" s="14">
        <v>52748</v>
      </c>
      <c r="B377" s="10">
        <f>CHOOSE(CONTROL!$C$42, 11.4024, 11.4024) * CHOOSE(CONTROL!$C$21, $C$9, 100%, $E$9)</f>
        <v>11.4024</v>
      </c>
      <c r="C377" s="10">
        <f>CHOOSE(CONTROL!$C$42, 11.4104, 11.4104) * CHOOSE(CONTROL!$C$21, $C$9, 100%, $E$9)</f>
        <v>11.410399999999999</v>
      </c>
      <c r="D377" s="10">
        <f>CHOOSE(CONTROL!$C$42, 11.5675, 11.5675) * CHOOSE(CONTROL!$C$21, $C$9, 100%, $E$9)</f>
        <v>11.567500000000001</v>
      </c>
      <c r="E377" s="10">
        <f>CHOOSE(CONTROL!$C$42, 11.5987, 11.5987) * CHOOSE(CONTROL!$C$21, $C$9, 100%, $E$9)</f>
        <v>11.598699999999999</v>
      </c>
      <c r="F377" s="10">
        <f>CHOOSE(CONTROL!$C$42, 11.3466, 11.3466)*CHOOSE(CONTROL!$C$21, $C$9, 100%, $E$9)</f>
        <v>11.3466</v>
      </c>
      <c r="G377" s="10">
        <f>CHOOSE(CONTROL!$C$42, 11.3627, 11.3627)*CHOOSE(CONTROL!$C$21, $C$9, 100%, $E$9)</f>
        <v>11.3627</v>
      </c>
      <c r="H377" s="10">
        <f>CHOOSE(CONTROL!$C$42, 11.587, 11.587) * CHOOSE(CONTROL!$C$21, $C$9, 100%, $E$9)</f>
        <v>11.587</v>
      </c>
      <c r="I377" s="10">
        <f>CHOOSE(CONTROL!$C$42, 11.3812, 11.3812)* CHOOSE(CONTROL!$C$21, $C$9, 100%, $E$9)</f>
        <v>11.3812</v>
      </c>
      <c r="J377" s="10">
        <f>CHOOSE(CONTROL!$C$42, 11.3392, 11.3392)* CHOOSE(CONTROL!$C$21, $C$9, 100%, $E$9)</f>
        <v>11.3392</v>
      </c>
      <c r="K377" s="10">
        <f>CHOOSE(CONTROL!$C$42, 11.1851, 11.1851) * CHOOSE(CONTROL!$C$21, $C$9, 100%, $E$9)</f>
        <v>11.1851</v>
      </c>
      <c r="L377" s="10">
        <f>CHOOSE(CONTROL!$C$42, 12.174, 12.174) * CHOOSE(CONTROL!$C$21, $C$9, 100%, $E$9)</f>
        <v>12.173999999999999</v>
      </c>
      <c r="M377" s="10">
        <f>CHOOSE(CONTROL!$C$42, 11.214, 11.214) * CHOOSE(CONTROL!$C$21, $C$9, 100%, $E$9)</f>
        <v>11.214</v>
      </c>
      <c r="N377" s="10">
        <f>CHOOSE(CONTROL!$C$42, 11.2299, 11.2299) * CHOOSE(CONTROL!$C$21, $C$9, 100%, $E$9)</f>
        <v>11.229900000000001</v>
      </c>
      <c r="O377" s="10">
        <f>CHOOSE(CONTROL!$C$42, 11.4584, 11.4584) * CHOOSE(CONTROL!$C$21, $C$9, 100%, $E$9)</f>
        <v>11.458399999999999</v>
      </c>
      <c r="P377" s="10">
        <f>CHOOSE(CONTROL!$C$42, 11.2555, 11.2555) * CHOOSE(CONTROL!$C$21, $C$9, 100%, $E$9)</f>
        <v>11.2555</v>
      </c>
      <c r="Q377" s="10">
        <f>CHOOSE(CONTROL!$C$42, 12.0537, 12.0537) * CHOOSE(CONTROL!$C$21, $C$9, 100%, $E$9)</f>
        <v>12.053699999999999</v>
      </c>
      <c r="R377" s="10">
        <f>CHOOSE(CONTROL!$C$42, 12.6708, 12.6708) * CHOOSE(CONTROL!$C$21, $C$9, 100%, $E$9)</f>
        <v>12.6708</v>
      </c>
      <c r="S377" s="10">
        <f>CHOOSE(CONTROL!$C$42, 11.0556, 11.0556) * CHOOSE(CONTROL!$C$21, $C$9, 100%, $E$9)</f>
        <v>11.0556</v>
      </c>
      <c r="T37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77" s="38">
        <f>(1000*CHOOSE(CONTROL!$C$42, 695, 695)*CHOOSE(CONTROL!$C$42, 0.5599, 0.5599)*CHOOSE(CONTROL!$C$42, 31, 31))/1000000</f>
        <v>12.063045499999998</v>
      </c>
      <c r="V377" s="38">
        <f>(1000*CHOOSE(CONTROL!$C$42, 500, 500)*CHOOSE(CONTROL!$C$42, 0.275, 0.275)*CHOOSE(CONTROL!$C$42, 31, 31))/1000000</f>
        <v>4.2625000000000002</v>
      </c>
      <c r="W377" s="38">
        <f>(1000*CHOOSE(CONTROL!$C$42, 0.1146, 0.1146)*CHOOSE(CONTROL!$C$42, 121.5, 121.5)*CHOOSE(CONTROL!$C$42, 31, 31))/1000000</f>
        <v>0.43164089999999994</v>
      </c>
      <c r="X377" s="38">
        <f>(31*0.1790888*245000/1000000)+(31*0.2374*100000/1000000)</f>
        <v>2.0961194359999999</v>
      </c>
      <c r="Y377" s="38">
        <f>(1000*600*CHOOSE(CONTROL!$C$42, 1.1001, 1.1001)*CHOOSE(CONTROL!$C$42, 31, 31))/1000000</f>
        <v>20.461860000000001</v>
      </c>
      <c r="Z377" s="38"/>
      <c r="AA377" s="10"/>
      <c r="AB377" s="39"/>
      <c r="AC377" s="33">
        <f>(B377*194.205+C377*267.466+D377*133.845+E377*53.484+F377*40+G377*185+H377*0+I377*100+J377*300)/(194.205+267.466+133.845+53.484+0+40+185+100+300)</f>
        <v>11.405602469937206</v>
      </c>
      <c r="AD377" s="27">
        <f>(M377*'RAP TEMPLATE-GAS AVAILABILITY'!O376+N377*'RAP TEMPLATE-GAS AVAILABILITY'!P376+O377*'RAP TEMPLATE-GAS AVAILABILITY'!Q376+P377*'RAP TEMPLATE-GAS AVAILABILITY'!R376)/('RAP TEMPLATE-GAS AVAILABILITY'!O376+'RAP TEMPLATE-GAS AVAILABILITY'!P376+'RAP TEMPLATE-GAS AVAILABILITY'!Q376+'RAP TEMPLATE-GAS AVAILABILITY'!R376)</f>
        <v>11.292204316546764</v>
      </c>
    </row>
    <row r="378" spans="1:30" ht="15.75">
      <c r="A378" s="14">
        <v>52778</v>
      </c>
      <c r="B378" s="10">
        <f>CHOOSE(CONTROL!$C$42, 11.7263, 11.7263) * CHOOSE(CONTROL!$C$21, $C$9, 100%, $E$9)</f>
        <v>11.7263</v>
      </c>
      <c r="C378" s="10">
        <f>CHOOSE(CONTROL!$C$42, 11.7343, 11.7343) * CHOOSE(CONTROL!$C$21, $C$9, 100%, $E$9)</f>
        <v>11.734299999999999</v>
      </c>
      <c r="D378" s="10">
        <f>CHOOSE(CONTROL!$C$42, 11.8913, 11.8913) * CHOOSE(CONTROL!$C$21, $C$9, 100%, $E$9)</f>
        <v>11.891299999999999</v>
      </c>
      <c r="E378" s="10">
        <f>CHOOSE(CONTROL!$C$42, 11.9225, 11.9225) * CHOOSE(CONTROL!$C$21, $C$9, 100%, $E$9)</f>
        <v>11.922499999999999</v>
      </c>
      <c r="F378" s="10">
        <f>CHOOSE(CONTROL!$C$42, 11.6706, 11.6706)*CHOOSE(CONTROL!$C$21, $C$9, 100%, $E$9)</f>
        <v>11.6706</v>
      </c>
      <c r="G378" s="10">
        <f>CHOOSE(CONTROL!$C$42, 11.6868, 11.6868)*CHOOSE(CONTROL!$C$21, $C$9, 100%, $E$9)</f>
        <v>11.6868</v>
      </c>
      <c r="H378" s="10">
        <f>CHOOSE(CONTROL!$C$42, 11.9109, 11.9109) * CHOOSE(CONTROL!$C$21, $C$9, 100%, $E$9)</f>
        <v>11.9109</v>
      </c>
      <c r="I378" s="10">
        <f>CHOOSE(CONTROL!$C$42, 11.705, 11.705)* CHOOSE(CONTROL!$C$21, $C$9, 100%, $E$9)</f>
        <v>11.705</v>
      </c>
      <c r="J378" s="10">
        <f>CHOOSE(CONTROL!$C$42, 11.6632, 11.6632)* CHOOSE(CONTROL!$C$21, $C$9, 100%, $E$9)</f>
        <v>11.6632</v>
      </c>
      <c r="K378" s="10">
        <f>CHOOSE(CONTROL!$C$42, 11.4993, 11.4993) * CHOOSE(CONTROL!$C$21, $C$9, 100%, $E$9)</f>
        <v>11.4993</v>
      </c>
      <c r="L378" s="10">
        <f>CHOOSE(CONTROL!$C$42, 12.4979, 12.4979) * CHOOSE(CONTROL!$C$21, $C$9, 100%, $E$9)</f>
        <v>12.4979</v>
      </c>
      <c r="M378" s="10">
        <f>CHOOSE(CONTROL!$C$42, 11.5335, 11.5335) * CHOOSE(CONTROL!$C$21, $C$9, 100%, $E$9)</f>
        <v>11.5335</v>
      </c>
      <c r="N378" s="10">
        <f>CHOOSE(CONTROL!$C$42, 11.5494, 11.5494) * CHOOSE(CONTROL!$C$21, $C$9, 100%, $E$9)</f>
        <v>11.5494</v>
      </c>
      <c r="O378" s="10">
        <f>CHOOSE(CONTROL!$C$42, 11.7777, 11.7777) * CHOOSE(CONTROL!$C$21, $C$9, 100%, $E$9)</f>
        <v>11.777699999999999</v>
      </c>
      <c r="P378" s="10">
        <f>CHOOSE(CONTROL!$C$42, 11.5748, 11.5748) * CHOOSE(CONTROL!$C$21, $C$9, 100%, $E$9)</f>
        <v>11.5748</v>
      </c>
      <c r="Q378" s="10">
        <f>CHOOSE(CONTROL!$C$42, 12.373, 12.373) * CHOOSE(CONTROL!$C$21, $C$9, 100%, $E$9)</f>
        <v>12.372999999999999</v>
      </c>
      <c r="R378" s="10">
        <f>CHOOSE(CONTROL!$C$42, 12.9909, 12.9909) * CHOOSE(CONTROL!$C$21, $C$9, 100%, $E$9)</f>
        <v>12.9909</v>
      </c>
      <c r="S378" s="10">
        <f>CHOOSE(CONTROL!$C$42, 11.3691, 11.3691) * CHOOSE(CONTROL!$C$21, $C$9, 100%, $E$9)</f>
        <v>11.3691</v>
      </c>
      <c r="T37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78" s="38">
        <f>(1000*CHOOSE(CONTROL!$C$42, 695, 695)*CHOOSE(CONTROL!$C$42, 0.5599, 0.5599)*CHOOSE(CONTROL!$C$42, 30, 30))/1000000</f>
        <v>11.673914999999997</v>
      </c>
      <c r="V378" s="38">
        <f>(1000*CHOOSE(CONTROL!$C$42, 500, 500)*CHOOSE(CONTROL!$C$42, 0.275, 0.275)*CHOOSE(CONTROL!$C$42, 30, 30))/1000000</f>
        <v>4.125</v>
      </c>
      <c r="W378" s="38">
        <f>(1000*CHOOSE(CONTROL!$C$42, 0.1146, 0.1146)*CHOOSE(CONTROL!$C$42, 121.5, 121.5)*CHOOSE(CONTROL!$C$42, 30, 30))/1000000</f>
        <v>0.417717</v>
      </c>
      <c r="X378" s="38">
        <f>(30*0.1790888*245000/1000000)+(30*0.2374*100000/1000000)</f>
        <v>2.0285026799999999</v>
      </c>
      <c r="Y378" s="38">
        <f>(1000*600*CHOOSE(CONTROL!$C$42, 1.1001, 1.1001)*CHOOSE(CONTROL!$C$42, 30, 30))/1000000</f>
        <v>19.8018</v>
      </c>
      <c r="Z378" s="38"/>
      <c r="AA378" s="10"/>
      <c r="AB378" s="39"/>
      <c r="AC378" s="33">
        <f>(B378*194.205+C378*267.466+D378*133.845+E378*53.484+F378*40+G378*185+H378*0+I378*100+J378*300)/(194.205+267.466+133.845+53.484+0+40+185+100+300)</f>
        <v>11.729535646624804</v>
      </c>
      <c r="AD378" s="27">
        <f>(M378*'RAP TEMPLATE-GAS AVAILABILITY'!O377+N378*'RAP TEMPLATE-GAS AVAILABILITY'!P377+O378*'RAP TEMPLATE-GAS AVAILABILITY'!Q377+P378*'RAP TEMPLATE-GAS AVAILABILITY'!R377)/('RAP TEMPLATE-GAS AVAILABILITY'!O377+'RAP TEMPLATE-GAS AVAILABILITY'!P377+'RAP TEMPLATE-GAS AVAILABILITY'!Q377+'RAP TEMPLATE-GAS AVAILABILITY'!R377)</f>
        <v>11.61161942446043</v>
      </c>
    </row>
    <row r="379" spans="1:30" ht="15.75">
      <c r="A379" s="14">
        <v>52809</v>
      </c>
      <c r="B379" s="10">
        <f>CHOOSE(CONTROL!$C$42, 11.501, 11.501) * CHOOSE(CONTROL!$C$21, $C$9, 100%, $E$9)</f>
        <v>11.500999999999999</v>
      </c>
      <c r="C379" s="10">
        <f>CHOOSE(CONTROL!$C$42, 11.509, 11.509) * CHOOSE(CONTROL!$C$21, $C$9, 100%, $E$9)</f>
        <v>11.509</v>
      </c>
      <c r="D379" s="10">
        <f>CHOOSE(CONTROL!$C$42, 11.6661, 11.6661) * CHOOSE(CONTROL!$C$21, $C$9, 100%, $E$9)</f>
        <v>11.6661</v>
      </c>
      <c r="E379" s="10">
        <f>CHOOSE(CONTROL!$C$42, 11.6973, 11.6973) * CHOOSE(CONTROL!$C$21, $C$9, 100%, $E$9)</f>
        <v>11.6973</v>
      </c>
      <c r="F379" s="10">
        <f>CHOOSE(CONTROL!$C$42, 11.4457, 11.4457)*CHOOSE(CONTROL!$C$21, $C$9, 100%, $E$9)</f>
        <v>11.4457</v>
      </c>
      <c r="G379" s="10">
        <f>CHOOSE(CONTROL!$C$42, 11.4619, 11.4619)*CHOOSE(CONTROL!$C$21, $C$9, 100%, $E$9)</f>
        <v>11.4619</v>
      </c>
      <c r="H379" s="10">
        <f>CHOOSE(CONTROL!$C$42, 11.6856, 11.6856) * CHOOSE(CONTROL!$C$21, $C$9, 100%, $E$9)</f>
        <v>11.685600000000001</v>
      </c>
      <c r="I379" s="10">
        <f>CHOOSE(CONTROL!$C$42, 11.4798, 11.4798)* CHOOSE(CONTROL!$C$21, $C$9, 100%, $E$9)</f>
        <v>11.479799999999999</v>
      </c>
      <c r="J379" s="10">
        <f>CHOOSE(CONTROL!$C$42, 11.4383, 11.4383)* CHOOSE(CONTROL!$C$21, $C$9, 100%, $E$9)</f>
        <v>11.4383</v>
      </c>
      <c r="K379" s="10">
        <f>CHOOSE(CONTROL!$C$42, 11.2818, 11.2818) * CHOOSE(CONTROL!$C$21, $C$9, 100%, $E$9)</f>
        <v>11.2818</v>
      </c>
      <c r="L379" s="10">
        <f>CHOOSE(CONTROL!$C$42, 12.2726, 12.2726) * CHOOSE(CONTROL!$C$21, $C$9, 100%, $E$9)</f>
        <v>12.272600000000001</v>
      </c>
      <c r="M379" s="10">
        <f>CHOOSE(CONTROL!$C$42, 11.3117, 11.3117) * CHOOSE(CONTROL!$C$21, $C$9, 100%, $E$9)</f>
        <v>11.3117</v>
      </c>
      <c r="N379" s="10">
        <f>CHOOSE(CONTROL!$C$42, 11.3278, 11.3278) * CHOOSE(CONTROL!$C$21, $C$9, 100%, $E$9)</f>
        <v>11.3278</v>
      </c>
      <c r="O379" s="10">
        <f>CHOOSE(CONTROL!$C$42, 11.5556, 11.5556) * CHOOSE(CONTROL!$C$21, $C$9, 100%, $E$9)</f>
        <v>11.5556</v>
      </c>
      <c r="P379" s="10">
        <f>CHOOSE(CONTROL!$C$42, 11.3527, 11.3527) * CHOOSE(CONTROL!$C$21, $C$9, 100%, $E$9)</f>
        <v>11.3527</v>
      </c>
      <c r="Q379" s="10">
        <f>CHOOSE(CONTROL!$C$42, 12.1509, 12.1509) * CHOOSE(CONTROL!$C$21, $C$9, 100%, $E$9)</f>
        <v>12.1509</v>
      </c>
      <c r="R379" s="10">
        <f>CHOOSE(CONTROL!$C$42, 12.7683, 12.7683) * CHOOSE(CONTROL!$C$21, $C$9, 100%, $E$9)</f>
        <v>12.7683</v>
      </c>
      <c r="S379" s="10">
        <f>CHOOSE(CONTROL!$C$42, 11.151, 11.151) * CHOOSE(CONTROL!$C$21, $C$9, 100%, $E$9)</f>
        <v>11.151</v>
      </c>
      <c r="T37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79" s="38">
        <f>(1000*CHOOSE(CONTROL!$C$42, 695, 695)*CHOOSE(CONTROL!$C$42, 0.5599, 0.5599)*CHOOSE(CONTROL!$C$42, 31, 31))/1000000</f>
        <v>12.063045499999998</v>
      </c>
      <c r="V379" s="38">
        <f>(1000*CHOOSE(CONTROL!$C$42, 500, 500)*CHOOSE(CONTROL!$C$42, 0.275, 0.275)*CHOOSE(CONTROL!$C$42, 31, 31))/1000000</f>
        <v>4.2625000000000002</v>
      </c>
      <c r="W379" s="38">
        <f>(1000*CHOOSE(CONTROL!$C$42, 0.1146, 0.1146)*CHOOSE(CONTROL!$C$42, 121.5, 121.5)*CHOOSE(CONTROL!$C$42, 31, 31))/1000000</f>
        <v>0.43164089999999994</v>
      </c>
      <c r="X379" s="38">
        <f>(31*0.1790888*245000/1000000)+(31*0.2374*100000/1000000)</f>
        <v>2.0961194359999999</v>
      </c>
      <c r="Y379" s="38">
        <f>(1000*600*CHOOSE(CONTROL!$C$42, 1.1001, 1.1001)*CHOOSE(CONTROL!$C$42, 31, 31))/1000000</f>
        <v>20.461860000000001</v>
      </c>
      <c r="Z379" s="38"/>
      <c r="AA379" s="10"/>
      <c r="AB379" s="39"/>
      <c r="AC379" s="33">
        <f>(B379*194.205+C379*267.466+D379*133.845+E379*53.484+F379*40+G379*185+H379*0+I379*100+J379*300)/(194.205+267.466+133.845+53.484+0+40+185+100+300)</f>
        <v>11.504423035086342</v>
      </c>
      <c r="AD379" s="27">
        <f>(M379*'RAP TEMPLATE-GAS AVAILABILITY'!O378+N379*'RAP TEMPLATE-GAS AVAILABILITY'!P378+O379*'RAP TEMPLATE-GAS AVAILABILITY'!Q378+P379*'RAP TEMPLATE-GAS AVAILABILITY'!R378)/('RAP TEMPLATE-GAS AVAILABILITY'!O378+'RAP TEMPLATE-GAS AVAILABILITY'!P378+'RAP TEMPLATE-GAS AVAILABILITY'!Q378+'RAP TEMPLATE-GAS AVAILABILITY'!R378)</f>
        <v>11.389738129496404</v>
      </c>
    </row>
    <row r="380" spans="1:30" ht="15.75">
      <c r="A380" s="14">
        <v>52840</v>
      </c>
      <c r="B380" s="10">
        <f>CHOOSE(CONTROL!$C$42, 10.9323, 10.9323) * CHOOSE(CONTROL!$C$21, $C$9, 100%, $E$9)</f>
        <v>10.9323</v>
      </c>
      <c r="C380" s="10">
        <f>CHOOSE(CONTROL!$C$42, 10.9403, 10.9403) * CHOOSE(CONTROL!$C$21, $C$9, 100%, $E$9)</f>
        <v>10.940300000000001</v>
      </c>
      <c r="D380" s="10">
        <f>CHOOSE(CONTROL!$C$42, 11.0973, 11.0973) * CHOOSE(CONTROL!$C$21, $C$9, 100%, $E$9)</f>
        <v>11.097300000000001</v>
      </c>
      <c r="E380" s="10">
        <f>CHOOSE(CONTROL!$C$42, 11.1285, 11.1285) * CHOOSE(CONTROL!$C$21, $C$9, 100%, $E$9)</f>
        <v>11.128500000000001</v>
      </c>
      <c r="F380" s="10">
        <f>CHOOSE(CONTROL!$C$42, 10.8768, 10.8768)*CHOOSE(CONTROL!$C$21, $C$9, 100%, $E$9)</f>
        <v>10.876799999999999</v>
      </c>
      <c r="G380" s="10">
        <f>CHOOSE(CONTROL!$C$42, 10.8931, 10.8931)*CHOOSE(CONTROL!$C$21, $C$9, 100%, $E$9)</f>
        <v>10.8931</v>
      </c>
      <c r="H380" s="10">
        <f>CHOOSE(CONTROL!$C$42, 11.1169, 11.1169) * CHOOSE(CONTROL!$C$21, $C$9, 100%, $E$9)</f>
        <v>11.116899999999999</v>
      </c>
      <c r="I380" s="10">
        <f>CHOOSE(CONTROL!$C$42, 10.911, 10.911)* CHOOSE(CONTROL!$C$21, $C$9, 100%, $E$9)</f>
        <v>10.911</v>
      </c>
      <c r="J380" s="10">
        <f>CHOOSE(CONTROL!$C$42, 10.8694, 10.8694)* CHOOSE(CONTROL!$C$21, $C$9, 100%, $E$9)</f>
        <v>10.869400000000001</v>
      </c>
      <c r="K380" s="10">
        <f>CHOOSE(CONTROL!$C$42, 10.7306, 10.7306) * CHOOSE(CONTROL!$C$21, $C$9, 100%, $E$9)</f>
        <v>10.730600000000001</v>
      </c>
      <c r="L380" s="10">
        <f>CHOOSE(CONTROL!$C$42, 11.7039, 11.7039) * CHOOSE(CONTROL!$C$21, $C$9, 100%, $E$9)</f>
        <v>11.703900000000001</v>
      </c>
      <c r="M380" s="10">
        <f>CHOOSE(CONTROL!$C$42, 10.7508, 10.7508) * CHOOSE(CONTROL!$C$21, $C$9, 100%, $E$9)</f>
        <v>10.7508</v>
      </c>
      <c r="N380" s="10">
        <f>CHOOSE(CONTROL!$C$42, 10.7668, 10.7668) * CHOOSE(CONTROL!$C$21, $C$9, 100%, $E$9)</f>
        <v>10.7668</v>
      </c>
      <c r="O380" s="10">
        <f>CHOOSE(CONTROL!$C$42, 10.9948, 10.9948) * CHOOSE(CONTROL!$C$21, $C$9, 100%, $E$9)</f>
        <v>10.9948</v>
      </c>
      <c r="P380" s="10">
        <f>CHOOSE(CONTROL!$C$42, 10.7919, 10.7919) * CHOOSE(CONTROL!$C$21, $C$9, 100%, $E$9)</f>
        <v>10.7919</v>
      </c>
      <c r="Q380" s="10">
        <f>CHOOSE(CONTROL!$C$42, 11.5901, 11.5901) * CHOOSE(CONTROL!$C$21, $C$9, 100%, $E$9)</f>
        <v>11.5901</v>
      </c>
      <c r="R380" s="10">
        <f>CHOOSE(CONTROL!$C$42, 12.2061, 12.2061) * CHOOSE(CONTROL!$C$21, $C$9, 100%, $E$9)</f>
        <v>12.206099999999999</v>
      </c>
      <c r="S380" s="10">
        <f>CHOOSE(CONTROL!$C$42, 10.6003, 10.6003) * CHOOSE(CONTROL!$C$21, $C$9, 100%, $E$9)</f>
        <v>10.600300000000001</v>
      </c>
      <c r="T38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80" s="38">
        <f>(1000*CHOOSE(CONTROL!$C$42, 695, 695)*CHOOSE(CONTROL!$C$42, 0.5599, 0.5599)*CHOOSE(CONTROL!$C$42, 31, 31))/1000000</f>
        <v>12.063045499999998</v>
      </c>
      <c r="V380" s="38">
        <f>(1000*CHOOSE(CONTROL!$C$42, 500, 500)*CHOOSE(CONTROL!$C$42, 0.275, 0.275)*CHOOSE(CONTROL!$C$42, 31, 31))/1000000</f>
        <v>4.2625000000000002</v>
      </c>
      <c r="W380" s="38">
        <f>(1000*CHOOSE(CONTROL!$C$42, 0.1146, 0.1146)*CHOOSE(CONTROL!$C$42, 121.5, 121.5)*CHOOSE(CONTROL!$C$42, 31, 31))/1000000</f>
        <v>0.43164089999999994</v>
      </c>
      <c r="X380" s="38">
        <f>(31*0.1790888*245000/1000000)+(31*0.2374*100000/1000000)</f>
        <v>2.0961194359999999</v>
      </c>
      <c r="Y380" s="38">
        <f>(1000*600*CHOOSE(CONTROL!$C$42, 1.1001, 1.1001)*CHOOSE(CONTROL!$C$42, 31, 31))/1000000</f>
        <v>20.461860000000001</v>
      </c>
      <c r="Z380" s="38"/>
      <c r="AA380" s="10"/>
      <c r="AB380" s="39"/>
      <c r="AC380" s="33">
        <f>(B380*194.205+C380*267.466+D380*133.845+E380*53.484+F380*40+G380*185+H380*0+I380*100+J380*300)/(194.205+267.466+133.845+53.484+0+40+185+100+300)</f>
        <v>10.935632585400315</v>
      </c>
      <c r="AD380" s="27">
        <f>(M380*'RAP TEMPLATE-GAS AVAILABILITY'!O379+N380*'RAP TEMPLATE-GAS AVAILABILITY'!P379+O380*'RAP TEMPLATE-GAS AVAILABILITY'!Q379+P380*'RAP TEMPLATE-GAS AVAILABILITY'!R379)/('RAP TEMPLATE-GAS AVAILABILITY'!O379+'RAP TEMPLATE-GAS AVAILABILITY'!P379+'RAP TEMPLATE-GAS AVAILABILITY'!Q379+'RAP TEMPLATE-GAS AVAILABILITY'!R379)</f>
        <v>10.828857553956835</v>
      </c>
    </row>
    <row r="381" spans="1:30" ht="15.75">
      <c r="A381" s="14">
        <v>52870</v>
      </c>
      <c r="B381" s="10">
        <f>CHOOSE(CONTROL!$C$42, 10.2373, 10.2373) * CHOOSE(CONTROL!$C$21, $C$9, 100%, $E$9)</f>
        <v>10.237299999999999</v>
      </c>
      <c r="C381" s="10">
        <f>CHOOSE(CONTROL!$C$42, 10.2453, 10.2453) * CHOOSE(CONTROL!$C$21, $C$9, 100%, $E$9)</f>
        <v>10.2453</v>
      </c>
      <c r="D381" s="10">
        <f>CHOOSE(CONTROL!$C$42, 10.4024, 10.4024) * CHOOSE(CONTROL!$C$21, $C$9, 100%, $E$9)</f>
        <v>10.4024</v>
      </c>
      <c r="E381" s="10">
        <f>CHOOSE(CONTROL!$C$42, 10.4336, 10.4336) * CHOOSE(CONTROL!$C$21, $C$9, 100%, $E$9)</f>
        <v>10.4336</v>
      </c>
      <c r="F381" s="10">
        <f>CHOOSE(CONTROL!$C$42, 10.1817, 10.1817)*CHOOSE(CONTROL!$C$21, $C$9, 100%, $E$9)</f>
        <v>10.181699999999999</v>
      </c>
      <c r="G381" s="10">
        <f>CHOOSE(CONTROL!$C$42, 10.1979, 10.1979)*CHOOSE(CONTROL!$C$21, $C$9, 100%, $E$9)</f>
        <v>10.197900000000001</v>
      </c>
      <c r="H381" s="10">
        <f>CHOOSE(CONTROL!$C$42, 10.4219, 10.4219) * CHOOSE(CONTROL!$C$21, $C$9, 100%, $E$9)</f>
        <v>10.421900000000001</v>
      </c>
      <c r="I381" s="10">
        <f>CHOOSE(CONTROL!$C$42, 10.2161, 10.2161)* CHOOSE(CONTROL!$C$21, $C$9, 100%, $E$9)</f>
        <v>10.216100000000001</v>
      </c>
      <c r="J381" s="10">
        <f>CHOOSE(CONTROL!$C$42, 10.1743, 10.1743)* CHOOSE(CONTROL!$C$21, $C$9, 100%, $E$9)</f>
        <v>10.174300000000001</v>
      </c>
      <c r="K381" s="10">
        <f>CHOOSE(CONTROL!$C$42, 10.0569, 10.0569) * CHOOSE(CONTROL!$C$21, $C$9, 100%, $E$9)</f>
        <v>10.056900000000001</v>
      </c>
      <c r="L381" s="10">
        <f>CHOOSE(CONTROL!$C$42, 11.0089, 11.0089) * CHOOSE(CONTROL!$C$21, $C$9, 100%, $E$9)</f>
        <v>11.008900000000001</v>
      </c>
      <c r="M381" s="10">
        <f>CHOOSE(CONTROL!$C$42, 10.0654, 10.0654) * CHOOSE(CONTROL!$C$21, $C$9, 100%, $E$9)</f>
        <v>10.0654</v>
      </c>
      <c r="N381" s="10">
        <f>CHOOSE(CONTROL!$C$42, 10.0814, 10.0814) * CHOOSE(CONTROL!$C$21, $C$9, 100%, $E$9)</f>
        <v>10.0814</v>
      </c>
      <c r="O381" s="10">
        <f>CHOOSE(CONTROL!$C$42, 10.3096, 10.3096) * CHOOSE(CONTROL!$C$21, $C$9, 100%, $E$9)</f>
        <v>10.3096</v>
      </c>
      <c r="P381" s="10">
        <f>CHOOSE(CONTROL!$C$42, 10.1067, 10.1067) * CHOOSE(CONTROL!$C$21, $C$9, 100%, $E$9)</f>
        <v>10.1067</v>
      </c>
      <c r="Q381" s="10">
        <f>CHOOSE(CONTROL!$C$42, 10.9049, 10.9049) * CHOOSE(CONTROL!$C$21, $C$9, 100%, $E$9)</f>
        <v>10.9049</v>
      </c>
      <c r="R381" s="10">
        <f>CHOOSE(CONTROL!$C$42, 11.5191, 11.5191) * CHOOSE(CONTROL!$C$21, $C$9, 100%, $E$9)</f>
        <v>11.5191</v>
      </c>
      <c r="S381" s="10">
        <f>CHOOSE(CONTROL!$C$42, 9.9274, 9.9274) * CHOOSE(CONTROL!$C$21, $C$9, 100%, $E$9)</f>
        <v>9.9274000000000004</v>
      </c>
      <c r="T38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81" s="38">
        <f>(1000*CHOOSE(CONTROL!$C$42, 695, 695)*CHOOSE(CONTROL!$C$42, 0.5599, 0.5599)*CHOOSE(CONTROL!$C$42, 30, 30))/1000000</f>
        <v>11.673914999999997</v>
      </c>
      <c r="V381" s="38">
        <f>(1000*CHOOSE(CONTROL!$C$42, 500, 500)*CHOOSE(CONTROL!$C$42, 0.275, 0.275)*CHOOSE(CONTROL!$C$42, 30, 30))/1000000</f>
        <v>4.125</v>
      </c>
      <c r="W381" s="38">
        <f>(1000*CHOOSE(CONTROL!$C$42, 0.1146, 0.1146)*CHOOSE(CONTROL!$C$42, 121.5, 121.5)*CHOOSE(CONTROL!$C$42, 30, 30))/1000000</f>
        <v>0.417717</v>
      </c>
      <c r="X381" s="38">
        <f>(30*0.1790888*245000/1000000)+(30*0.2374*100000/1000000)</f>
        <v>2.0285026799999999</v>
      </c>
      <c r="Y381" s="38">
        <f>(1000*600*CHOOSE(CONTROL!$C$42, 1.1001, 1.1001)*CHOOSE(CONTROL!$C$42, 30, 30))/1000000</f>
        <v>19.8018</v>
      </c>
      <c r="Z381" s="38"/>
      <c r="AA381" s="10"/>
      <c r="AB381" s="39"/>
      <c r="AC381" s="33">
        <f>(B381*194.205+C381*267.466+D381*133.845+E381*53.484+F381*40+G381*185+H381*0+I381*100+J381*300)/(194.205+267.466+133.845+53.484+0+40+185+100+300)</f>
        <v>10.240599408712718</v>
      </c>
      <c r="AD381" s="27">
        <f>(M381*'RAP TEMPLATE-GAS AVAILABILITY'!O380+N381*'RAP TEMPLATE-GAS AVAILABILITY'!P380+O381*'RAP TEMPLATE-GAS AVAILABILITY'!Q380+P381*'RAP TEMPLATE-GAS AVAILABILITY'!R380)/('RAP TEMPLATE-GAS AVAILABILITY'!O380+'RAP TEMPLATE-GAS AVAILABILITY'!P380+'RAP TEMPLATE-GAS AVAILABILITY'!Q380+'RAP TEMPLATE-GAS AVAILABILITY'!R380)</f>
        <v>10.143542446043167</v>
      </c>
    </row>
    <row r="382" spans="1:30" ht="15.75">
      <c r="A382" s="14">
        <v>52901</v>
      </c>
      <c r="B382" s="10">
        <f>CHOOSE(CONTROL!$C$42, 10.027, 10.027) * CHOOSE(CONTROL!$C$21, $C$9, 100%, $E$9)</f>
        <v>10.026999999999999</v>
      </c>
      <c r="C382" s="10">
        <f>CHOOSE(CONTROL!$C$42, 10.0324, 10.0324) * CHOOSE(CONTROL!$C$21, $C$9, 100%, $E$9)</f>
        <v>10.032400000000001</v>
      </c>
      <c r="D382" s="10">
        <f>CHOOSE(CONTROL!$C$42, 10.1943, 10.1943) * CHOOSE(CONTROL!$C$21, $C$9, 100%, $E$9)</f>
        <v>10.1943</v>
      </c>
      <c r="E382" s="10">
        <f>CHOOSE(CONTROL!$C$42, 10.2232, 10.2232) * CHOOSE(CONTROL!$C$21, $C$9, 100%, $E$9)</f>
        <v>10.2232</v>
      </c>
      <c r="F382" s="10">
        <f>CHOOSE(CONTROL!$C$42, 9.9734, 9.9734)*CHOOSE(CONTROL!$C$21, $C$9, 100%, $E$9)</f>
        <v>9.9733999999999998</v>
      </c>
      <c r="G382" s="10">
        <f>CHOOSE(CONTROL!$C$42, 9.9892, 9.9892)*CHOOSE(CONTROL!$C$21, $C$9, 100%, $E$9)</f>
        <v>9.9892000000000003</v>
      </c>
      <c r="H382" s="10">
        <f>CHOOSE(CONTROL!$C$42, 10.2133, 10.2133) * CHOOSE(CONTROL!$C$21, $C$9, 100%, $E$9)</f>
        <v>10.2133</v>
      </c>
      <c r="I382" s="10">
        <f>CHOOSE(CONTROL!$C$42, 10.0075, 10.0075)* CHOOSE(CONTROL!$C$21, $C$9, 100%, $E$9)</f>
        <v>10.0075</v>
      </c>
      <c r="J382" s="10">
        <f>CHOOSE(CONTROL!$C$42, 9.966, 9.966)* CHOOSE(CONTROL!$C$21, $C$9, 100%, $E$9)</f>
        <v>9.9659999999999993</v>
      </c>
      <c r="K382" s="10">
        <f>CHOOSE(CONTROL!$C$42, 9.8555, 9.8555) * CHOOSE(CONTROL!$C$21, $C$9, 100%, $E$9)</f>
        <v>9.8554999999999993</v>
      </c>
      <c r="L382" s="10">
        <f>CHOOSE(CONTROL!$C$42, 10.8003, 10.8003) * CHOOSE(CONTROL!$C$21, $C$9, 100%, $E$9)</f>
        <v>10.8003</v>
      </c>
      <c r="M382" s="10">
        <f>CHOOSE(CONTROL!$C$42, 9.86, 9.86) * CHOOSE(CONTROL!$C$21, $C$9, 100%, $E$9)</f>
        <v>9.86</v>
      </c>
      <c r="N382" s="10">
        <f>CHOOSE(CONTROL!$C$42, 9.8756, 9.8756) * CHOOSE(CONTROL!$C$21, $C$9, 100%, $E$9)</f>
        <v>9.8756000000000004</v>
      </c>
      <c r="O382" s="10">
        <f>CHOOSE(CONTROL!$C$42, 10.1039, 10.1039) * CHOOSE(CONTROL!$C$21, $C$9, 100%, $E$9)</f>
        <v>10.103899999999999</v>
      </c>
      <c r="P382" s="10">
        <f>CHOOSE(CONTROL!$C$42, 9.901, 9.901) * CHOOSE(CONTROL!$C$21, $C$9, 100%, $E$9)</f>
        <v>9.9009999999999998</v>
      </c>
      <c r="Q382" s="10">
        <f>CHOOSE(CONTROL!$C$42, 10.6992, 10.6992) * CHOOSE(CONTROL!$C$21, $C$9, 100%, $E$9)</f>
        <v>10.699199999999999</v>
      </c>
      <c r="R382" s="10">
        <f>CHOOSE(CONTROL!$C$42, 11.3129, 11.3129) * CHOOSE(CONTROL!$C$21, $C$9, 100%, $E$9)</f>
        <v>11.312900000000001</v>
      </c>
      <c r="S382" s="10">
        <f>CHOOSE(CONTROL!$C$42, 9.7254, 9.7254) * CHOOSE(CONTROL!$C$21, $C$9, 100%, $E$9)</f>
        <v>9.7254000000000005</v>
      </c>
      <c r="T38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82" s="38">
        <f>(1000*CHOOSE(CONTROL!$C$42, 695, 695)*CHOOSE(CONTROL!$C$42, 0.5599, 0.5599)*CHOOSE(CONTROL!$C$42, 31, 31))/1000000</f>
        <v>12.063045499999998</v>
      </c>
      <c r="V382" s="38">
        <f>(1000*CHOOSE(CONTROL!$C$42, 500, 500)*CHOOSE(CONTROL!$C$42, 0.275, 0.275)*CHOOSE(CONTROL!$C$42, 31, 31))/1000000</f>
        <v>4.2625000000000002</v>
      </c>
      <c r="W382" s="38">
        <f>(1000*CHOOSE(CONTROL!$C$42, 0.1146, 0.1146)*CHOOSE(CONTROL!$C$42, 121.5, 121.5)*CHOOSE(CONTROL!$C$42, 31, 31))/1000000</f>
        <v>0.43164089999999994</v>
      </c>
      <c r="X382" s="38">
        <f>(31*0.1790888*245000/1000000)+(31*0.2374*100000/1000000)</f>
        <v>2.0961194359999999</v>
      </c>
      <c r="Y382" s="38">
        <f>(1000*600*CHOOSE(CONTROL!$C$42, 1.1001, 1.1001)*CHOOSE(CONTROL!$C$42, 31, 31))/1000000</f>
        <v>20.461860000000001</v>
      </c>
      <c r="Z382" s="38"/>
      <c r="AA382" s="10"/>
      <c r="AB382" s="39"/>
      <c r="AC382" s="33">
        <f>(B382*131.881+C382*277.167+D382*79.08+E382*125.872+F382*40+G382*185+H382*0+I382*100+J382*300)/(131.881+277.167+79.08+125.872+0+40+185+100+300)</f>
        <v>10.035099977562551</v>
      </c>
      <c r="AD382" s="27">
        <f>(M382*'RAP TEMPLATE-GAS AVAILABILITY'!O381+N382*'RAP TEMPLATE-GAS AVAILABILITY'!P381+O382*'RAP TEMPLATE-GAS AVAILABILITY'!Q381+P382*'RAP TEMPLATE-GAS AVAILABILITY'!R381)/('RAP TEMPLATE-GAS AVAILABILITY'!O381+'RAP TEMPLATE-GAS AVAILABILITY'!P381+'RAP TEMPLATE-GAS AVAILABILITY'!Q381+'RAP TEMPLATE-GAS AVAILABILITY'!R381)</f>
        <v>9.9379230215827334</v>
      </c>
    </row>
    <row r="383" spans="1:30" ht="15.75">
      <c r="A383" s="14">
        <v>52931</v>
      </c>
      <c r="B383" s="10">
        <f>CHOOSE(CONTROL!$C$42, 10.2912, 10.2912) * CHOOSE(CONTROL!$C$21, $C$9, 100%, $E$9)</f>
        <v>10.2912</v>
      </c>
      <c r="C383" s="10">
        <f>CHOOSE(CONTROL!$C$42, 10.2963, 10.2963) * CHOOSE(CONTROL!$C$21, $C$9, 100%, $E$9)</f>
        <v>10.2963</v>
      </c>
      <c r="D383" s="10">
        <f>CHOOSE(CONTROL!$C$42, 10.321, 10.321) * CHOOSE(CONTROL!$C$21, $C$9, 100%, $E$9)</f>
        <v>10.321</v>
      </c>
      <c r="E383" s="10">
        <f>CHOOSE(CONTROL!$C$42, 10.3548, 10.3548) * CHOOSE(CONTROL!$C$21, $C$9, 100%, $E$9)</f>
        <v>10.354799999999999</v>
      </c>
      <c r="F383" s="10">
        <f>CHOOSE(CONTROL!$C$42, 10.2595, 10.2595)*CHOOSE(CONTROL!$C$21, $C$9, 100%, $E$9)</f>
        <v>10.259499999999999</v>
      </c>
      <c r="G383" s="10">
        <f>CHOOSE(CONTROL!$C$42, 10.2755, 10.2755)*CHOOSE(CONTROL!$C$21, $C$9, 100%, $E$9)</f>
        <v>10.275499999999999</v>
      </c>
      <c r="H383" s="10">
        <f>CHOOSE(CONTROL!$C$42, 10.3437, 10.3437) * CHOOSE(CONTROL!$C$21, $C$9, 100%, $E$9)</f>
        <v>10.3437</v>
      </c>
      <c r="I383" s="10">
        <f>CHOOSE(CONTROL!$C$42, 10.3062, 10.3062)* CHOOSE(CONTROL!$C$21, $C$9, 100%, $E$9)</f>
        <v>10.3062</v>
      </c>
      <c r="J383" s="10">
        <f>CHOOSE(CONTROL!$C$42, 10.2521, 10.2521)* CHOOSE(CONTROL!$C$21, $C$9, 100%, $E$9)</f>
        <v>10.2521</v>
      </c>
      <c r="K383" s="10">
        <f>CHOOSE(CONTROL!$C$42, 10.147, 10.147) * CHOOSE(CONTROL!$C$21, $C$9, 100%, $E$9)</f>
        <v>10.147</v>
      </c>
      <c r="L383" s="10">
        <f>CHOOSE(CONTROL!$C$42, 10.9307, 10.9307) * CHOOSE(CONTROL!$C$21, $C$9, 100%, $E$9)</f>
        <v>10.9307</v>
      </c>
      <c r="M383" s="10">
        <f>CHOOSE(CONTROL!$C$42, 10.1421, 10.1421) * CHOOSE(CONTROL!$C$21, $C$9, 100%, $E$9)</f>
        <v>10.142099999999999</v>
      </c>
      <c r="N383" s="10">
        <f>CHOOSE(CONTROL!$C$42, 10.1579, 10.1579) * CHOOSE(CONTROL!$C$21, $C$9, 100%, $E$9)</f>
        <v>10.1579</v>
      </c>
      <c r="O383" s="10">
        <f>CHOOSE(CONTROL!$C$42, 10.2324, 10.2324) * CHOOSE(CONTROL!$C$21, $C$9, 100%, $E$9)</f>
        <v>10.2324</v>
      </c>
      <c r="P383" s="10">
        <f>CHOOSE(CONTROL!$C$42, 10.1955, 10.1955) * CHOOSE(CONTROL!$C$21, $C$9, 100%, $E$9)</f>
        <v>10.195499999999999</v>
      </c>
      <c r="Q383" s="10">
        <f>CHOOSE(CONTROL!$C$42, 10.8277, 10.8277) * CHOOSE(CONTROL!$C$21, $C$9, 100%, $E$9)</f>
        <v>10.8277</v>
      </c>
      <c r="R383" s="10">
        <f>CHOOSE(CONTROL!$C$42, 11.4417, 11.4417) * CHOOSE(CONTROL!$C$21, $C$9, 100%, $E$9)</f>
        <v>11.441700000000001</v>
      </c>
      <c r="S383" s="10">
        <f>CHOOSE(CONTROL!$C$42, 9.9816, 9.9816) * CHOOSE(CONTROL!$C$21, $C$9, 100%, $E$9)</f>
        <v>9.9816000000000003</v>
      </c>
      <c r="T38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83" s="38">
        <f>(1000*CHOOSE(CONTROL!$C$42, 695, 695)*CHOOSE(CONTROL!$C$42, 0.5599, 0.5599)*CHOOSE(CONTROL!$C$42, 30, 30))/1000000</f>
        <v>11.673914999999997</v>
      </c>
      <c r="V383" s="38">
        <f>(1000*CHOOSE(CONTROL!$C$42, 500, 500)*CHOOSE(CONTROL!$C$42, 0.275, 0.275)*CHOOSE(CONTROL!$C$42, 30, 30))/1000000</f>
        <v>4.125</v>
      </c>
      <c r="W383" s="38">
        <f>(1000*CHOOSE(CONTROL!$C$42, 0.1146, 0.1146)*CHOOSE(CONTROL!$C$42, 121.5, 121.5)*CHOOSE(CONTROL!$C$42, 30, 30))/1000000</f>
        <v>0.417717</v>
      </c>
      <c r="X383" s="38">
        <f>(30*0.1790888*100000/1000000)+(30*0.2374*100000/1000000)</f>
        <v>1.2494664</v>
      </c>
      <c r="Y383" s="38">
        <f>(1000*600*CHOOSE(CONTROL!$C$42, 1.1001, 1.1001)*CHOOSE(CONTROL!$C$42, 30, 30))/1000000</f>
        <v>19.8018</v>
      </c>
      <c r="Z383" s="38"/>
      <c r="AA383" s="10"/>
      <c r="AB383" s="39"/>
      <c r="AC383" s="33">
        <f>(B383*122.58+C383*297.941+D383*89.177+E383*40.302+F383*40+G383*160+H383*0+I383*100+J383*300)/(122.58+297.941+89.177+40.302+0+40+160+100+300)</f>
        <v>10.284878418173912</v>
      </c>
      <c r="AD383" s="27">
        <f>(M383*'RAP TEMPLATE-GAS AVAILABILITY'!O382+N383*'RAP TEMPLATE-GAS AVAILABILITY'!P382+O383*'RAP TEMPLATE-GAS AVAILABILITY'!Q382+P383*'RAP TEMPLATE-GAS AVAILABILITY'!R382)/('RAP TEMPLATE-GAS AVAILABILITY'!O382+'RAP TEMPLATE-GAS AVAILABILITY'!P382+'RAP TEMPLATE-GAS AVAILABILITY'!Q382+'RAP TEMPLATE-GAS AVAILABILITY'!R382)</f>
        <v>10.191620143884892</v>
      </c>
    </row>
    <row r="384" spans="1:30" ht="15.75">
      <c r="A384" s="14">
        <v>52962</v>
      </c>
      <c r="B384" s="10">
        <f>CHOOSE(CONTROL!$C$42, 10.9939, 10.9939) * CHOOSE(CONTROL!$C$21, $C$9, 100%, $E$9)</f>
        <v>10.9939</v>
      </c>
      <c r="C384" s="10">
        <f>CHOOSE(CONTROL!$C$42, 10.999, 10.999) * CHOOSE(CONTROL!$C$21, $C$9, 100%, $E$9)</f>
        <v>10.999000000000001</v>
      </c>
      <c r="D384" s="10">
        <f>CHOOSE(CONTROL!$C$42, 11.0237, 11.0237) * CHOOSE(CONTROL!$C$21, $C$9, 100%, $E$9)</f>
        <v>11.0237</v>
      </c>
      <c r="E384" s="10">
        <f>CHOOSE(CONTROL!$C$42, 11.0575, 11.0575) * CHOOSE(CONTROL!$C$21, $C$9, 100%, $E$9)</f>
        <v>11.057499999999999</v>
      </c>
      <c r="F384" s="10">
        <f>CHOOSE(CONTROL!$C$42, 10.9642, 10.9642)*CHOOSE(CONTROL!$C$21, $C$9, 100%, $E$9)</f>
        <v>10.9642</v>
      </c>
      <c r="G384" s="10">
        <f>CHOOSE(CONTROL!$C$42, 10.9807, 10.9807)*CHOOSE(CONTROL!$C$21, $C$9, 100%, $E$9)</f>
        <v>10.980700000000001</v>
      </c>
      <c r="H384" s="10">
        <f>CHOOSE(CONTROL!$C$42, 11.0464, 11.0464) * CHOOSE(CONTROL!$C$21, $C$9, 100%, $E$9)</f>
        <v>11.0464</v>
      </c>
      <c r="I384" s="10">
        <f>CHOOSE(CONTROL!$C$42, 11.0089, 11.0089)* CHOOSE(CONTROL!$C$21, $C$9, 100%, $E$9)</f>
        <v>11.008900000000001</v>
      </c>
      <c r="J384" s="10">
        <f>CHOOSE(CONTROL!$C$42, 10.9568, 10.9568)* CHOOSE(CONTROL!$C$21, $C$9, 100%, $E$9)</f>
        <v>10.956799999999999</v>
      </c>
      <c r="K384" s="10">
        <f>CHOOSE(CONTROL!$C$42, 10.832, 10.832) * CHOOSE(CONTROL!$C$21, $C$9, 100%, $E$9)</f>
        <v>10.832000000000001</v>
      </c>
      <c r="L384" s="10">
        <f>CHOOSE(CONTROL!$C$42, 11.6334, 11.6334) * CHOOSE(CONTROL!$C$21, $C$9, 100%, $E$9)</f>
        <v>11.6334</v>
      </c>
      <c r="M384" s="10">
        <f>CHOOSE(CONTROL!$C$42, 10.837, 10.837) * CHOOSE(CONTROL!$C$21, $C$9, 100%, $E$9)</f>
        <v>10.837</v>
      </c>
      <c r="N384" s="10">
        <f>CHOOSE(CONTROL!$C$42, 10.8532, 10.8532) * CHOOSE(CONTROL!$C$21, $C$9, 100%, $E$9)</f>
        <v>10.853199999999999</v>
      </c>
      <c r="O384" s="10">
        <f>CHOOSE(CONTROL!$C$42, 10.9253, 10.9253) * CHOOSE(CONTROL!$C$21, $C$9, 100%, $E$9)</f>
        <v>10.9253</v>
      </c>
      <c r="P384" s="10">
        <f>CHOOSE(CONTROL!$C$42, 10.8884, 10.8884) * CHOOSE(CONTROL!$C$21, $C$9, 100%, $E$9)</f>
        <v>10.888400000000001</v>
      </c>
      <c r="Q384" s="10">
        <f>CHOOSE(CONTROL!$C$42, 11.5206, 11.5206) * CHOOSE(CONTROL!$C$21, $C$9, 100%, $E$9)</f>
        <v>11.5206</v>
      </c>
      <c r="R384" s="10">
        <f>CHOOSE(CONTROL!$C$42, 12.1364, 12.1364) * CHOOSE(CONTROL!$C$21, $C$9, 100%, $E$9)</f>
        <v>12.1364</v>
      </c>
      <c r="S384" s="10">
        <f>CHOOSE(CONTROL!$C$42, 10.6621, 10.6621) * CHOOSE(CONTROL!$C$21, $C$9, 100%, $E$9)</f>
        <v>10.662100000000001</v>
      </c>
      <c r="T38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84" s="38">
        <f>(1000*CHOOSE(CONTROL!$C$42, 695, 695)*CHOOSE(CONTROL!$C$42, 0.5599, 0.5599)*CHOOSE(CONTROL!$C$42, 31, 31))/1000000</f>
        <v>12.063045499999998</v>
      </c>
      <c r="V384" s="38">
        <f>(1000*CHOOSE(CONTROL!$C$42, 500, 500)*CHOOSE(CONTROL!$C$42, 0.275, 0.275)*CHOOSE(CONTROL!$C$42, 31, 31))/1000000</f>
        <v>4.2625000000000002</v>
      </c>
      <c r="W384" s="38">
        <f>(1000*CHOOSE(CONTROL!$C$42, 0.1146, 0.1146)*CHOOSE(CONTROL!$C$42, 121.5, 121.5)*CHOOSE(CONTROL!$C$42, 31, 31))/1000000</f>
        <v>0.43164089999999994</v>
      </c>
      <c r="X384" s="38">
        <f>(31*0.1790888*100000/1000000)+(31*0.2374*100000/1000000)</f>
        <v>1.2911152800000001</v>
      </c>
      <c r="Y384" s="38">
        <f>(1000*600*CHOOSE(CONTROL!$C$42, 1.1001, 1.1001)*CHOOSE(CONTROL!$C$42, 31, 31))/1000000</f>
        <v>20.461860000000001</v>
      </c>
      <c r="Z384" s="38"/>
      <c r="AA384" s="10"/>
      <c r="AB384" s="39"/>
      <c r="AC384" s="33">
        <f>(B384*122.58+C384*297.941+D384*89.177+E384*40.302+F384*40+G384*160+H384*0+I384*100+J384*300)/(122.58+297.941+89.177+40.302+0+40+160+100+300)</f>
        <v>10.988517548608696</v>
      </c>
      <c r="AD384" s="27">
        <f>(M384*'RAP TEMPLATE-GAS AVAILABILITY'!O383+N384*'RAP TEMPLATE-GAS AVAILABILITY'!P383+O384*'RAP TEMPLATE-GAS AVAILABILITY'!Q383+P384*'RAP TEMPLATE-GAS AVAILABILITY'!R383)/('RAP TEMPLATE-GAS AVAILABILITY'!O383+'RAP TEMPLATE-GAS AVAILABILITY'!P383+'RAP TEMPLATE-GAS AVAILABILITY'!Q383+'RAP TEMPLATE-GAS AVAILABILITY'!R383)</f>
        <v>10.885348920863311</v>
      </c>
    </row>
    <row r="385" spans="1:30" ht="15.75">
      <c r="A385" s="14">
        <v>52993</v>
      </c>
      <c r="B385" s="10">
        <f>CHOOSE(CONTROL!$C$42, 11.7371, 11.7371) * CHOOSE(CONTROL!$C$21, $C$9, 100%, $E$9)</f>
        <v>11.7371</v>
      </c>
      <c r="C385" s="10">
        <f>CHOOSE(CONTROL!$C$42, 11.7422, 11.7422) * CHOOSE(CONTROL!$C$21, $C$9, 100%, $E$9)</f>
        <v>11.7422</v>
      </c>
      <c r="D385" s="10">
        <f>CHOOSE(CONTROL!$C$42, 11.7746, 11.7746) * CHOOSE(CONTROL!$C$21, $C$9, 100%, $E$9)</f>
        <v>11.7746</v>
      </c>
      <c r="E385" s="10">
        <f>CHOOSE(CONTROL!$C$42, 11.8084, 11.8084) * CHOOSE(CONTROL!$C$21, $C$9, 100%, $E$9)</f>
        <v>11.808400000000001</v>
      </c>
      <c r="F385" s="10">
        <f>CHOOSE(CONTROL!$C$42, 11.7213, 11.7213)*CHOOSE(CONTROL!$C$21, $C$9, 100%, $E$9)</f>
        <v>11.721299999999999</v>
      </c>
      <c r="G385" s="10">
        <f>CHOOSE(CONTROL!$C$42, 11.7393, 11.7393)*CHOOSE(CONTROL!$C$21, $C$9, 100%, $E$9)</f>
        <v>11.7393</v>
      </c>
      <c r="H385" s="10">
        <f>CHOOSE(CONTROL!$C$42, 11.7973, 11.7973) * CHOOSE(CONTROL!$C$21, $C$9, 100%, $E$9)</f>
        <v>11.7973</v>
      </c>
      <c r="I385" s="10">
        <f>CHOOSE(CONTROL!$C$42, 11.7505, 11.7505)* CHOOSE(CONTROL!$C$21, $C$9, 100%, $E$9)</f>
        <v>11.750500000000001</v>
      </c>
      <c r="J385" s="10">
        <f>CHOOSE(CONTROL!$C$42, 11.7139, 11.7139)* CHOOSE(CONTROL!$C$21, $C$9, 100%, $E$9)</f>
        <v>11.713900000000001</v>
      </c>
      <c r="K385" s="10">
        <f>CHOOSE(CONTROL!$C$42, 11.5643, 11.5643) * CHOOSE(CONTROL!$C$21, $C$9, 100%, $E$9)</f>
        <v>11.564299999999999</v>
      </c>
      <c r="L385" s="10">
        <f>CHOOSE(CONTROL!$C$42, 12.3843, 12.3843) * CHOOSE(CONTROL!$C$21, $C$9, 100%, $E$9)</f>
        <v>12.3843</v>
      </c>
      <c r="M385" s="10">
        <f>CHOOSE(CONTROL!$C$42, 11.5835, 11.5835) * CHOOSE(CONTROL!$C$21, $C$9, 100%, $E$9)</f>
        <v>11.583500000000001</v>
      </c>
      <c r="N385" s="10">
        <f>CHOOSE(CONTROL!$C$42, 11.6012, 11.6012) * CHOOSE(CONTROL!$C$21, $C$9, 100%, $E$9)</f>
        <v>11.6012</v>
      </c>
      <c r="O385" s="10">
        <f>CHOOSE(CONTROL!$C$42, 11.6657, 11.6657) * CHOOSE(CONTROL!$C$21, $C$9, 100%, $E$9)</f>
        <v>11.665699999999999</v>
      </c>
      <c r="P385" s="10">
        <f>CHOOSE(CONTROL!$C$42, 11.6197, 11.6197) * CHOOSE(CONTROL!$C$21, $C$9, 100%, $E$9)</f>
        <v>11.6197</v>
      </c>
      <c r="Q385" s="10">
        <f>CHOOSE(CONTROL!$C$42, 12.261, 12.261) * CHOOSE(CONTROL!$C$21, $C$9, 100%, $E$9)</f>
        <v>12.260999999999999</v>
      </c>
      <c r="R385" s="10">
        <f>CHOOSE(CONTROL!$C$42, 12.8787, 12.8787) * CHOOSE(CONTROL!$C$21, $C$9, 100%, $E$9)</f>
        <v>12.8787</v>
      </c>
      <c r="S385" s="10">
        <f>CHOOSE(CONTROL!$C$42, 11.3817, 11.3817) * CHOOSE(CONTROL!$C$21, $C$9, 100%, $E$9)</f>
        <v>11.3817</v>
      </c>
      <c r="T38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85" s="38">
        <f>(1000*CHOOSE(CONTROL!$C$42, 695, 695)*CHOOSE(CONTROL!$C$42, 0.5599, 0.5599)*CHOOSE(CONTROL!$C$42, 31, 31))/1000000</f>
        <v>12.063045499999998</v>
      </c>
      <c r="V385" s="38">
        <f>(1000*CHOOSE(CONTROL!$C$42, 500, 500)*CHOOSE(CONTROL!$C$42, 0.275, 0.275)*CHOOSE(CONTROL!$C$42, 31, 31))/1000000</f>
        <v>4.2625000000000002</v>
      </c>
      <c r="W385" s="38">
        <f>(1000*CHOOSE(CONTROL!$C$42, 0.1146, 0.1146)*CHOOSE(CONTROL!$C$42, 121.5, 121.5)*CHOOSE(CONTROL!$C$42, 31, 31))/1000000</f>
        <v>0.43164089999999994</v>
      </c>
      <c r="X385" s="38">
        <f>(31*0.1790888*100000/1000000)+(31*0.2374*100000/1000000)</f>
        <v>1.2911152800000001</v>
      </c>
      <c r="Y385" s="38">
        <f>(1000*600*CHOOSE(CONTROL!$C$42, 1.0966, 1.0966)*CHOOSE(CONTROL!$C$42, 31, 31))/1000000</f>
        <v>20.39676</v>
      </c>
      <c r="Z385" s="38"/>
      <c r="AA385" s="10"/>
      <c r="AB385" s="39"/>
      <c r="AC385" s="33">
        <f>(B385*122.58+C385*297.941+D385*89.177+E385*40.302+F385*40+G385*160+H385*0+I385*100+J385*300)/(122.58+297.941+89.177+40.302+0+40+160+100+300)</f>
        <v>11.738697538434781</v>
      </c>
      <c r="AD385" s="27">
        <f>(M385*'RAP TEMPLATE-GAS AVAILABILITY'!O384+N385*'RAP TEMPLATE-GAS AVAILABILITY'!P384+O385*'RAP TEMPLATE-GAS AVAILABILITY'!Q384+P385*'RAP TEMPLATE-GAS AVAILABILITY'!R384)/('RAP TEMPLATE-GAS AVAILABILITY'!O384+'RAP TEMPLATE-GAS AVAILABILITY'!P384+'RAP TEMPLATE-GAS AVAILABILITY'!Q384+'RAP TEMPLATE-GAS AVAILABILITY'!R384)</f>
        <v>11.626983453237409</v>
      </c>
    </row>
    <row r="386" spans="1:30" ht="15.75">
      <c r="A386" s="14">
        <v>53021</v>
      </c>
      <c r="B386" s="10">
        <f>CHOOSE(CONTROL!$C$42, 11.9463, 11.9463) * CHOOSE(CONTROL!$C$21, $C$9, 100%, $E$9)</f>
        <v>11.946300000000001</v>
      </c>
      <c r="C386" s="10">
        <f>CHOOSE(CONTROL!$C$42, 11.9514, 11.9514) * CHOOSE(CONTROL!$C$21, $C$9, 100%, $E$9)</f>
        <v>11.9514</v>
      </c>
      <c r="D386" s="10">
        <f>CHOOSE(CONTROL!$C$42, 11.9838, 11.9838) * CHOOSE(CONTROL!$C$21, $C$9, 100%, $E$9)</f>
        <v>11.9838</v>
      </c>
      <c r="E386" s="10">
        <f>CHOOSE(CONTROL!$C$42, 12.0176, 12.0176) * CHOOSE(CONTROL!$C$21, $C$9, 100%, $E$9)</f>
        <v>12.0176</v>
      </c>
      <c r="F386" s="10">
        <f>CHOOSE(CONTROL!$C$42, 11.93, 11.93)*CHOOSE(CONTROL!$C$21, $C$9, 100%, $E$9)</f>
        <v>11.93</v>
      </c>
      <c r="G386" s="10">
        <f>CHOOSE(CONTROL!$C$42, 11.9479, 11.9479)*CHOOSE(CONTROL!$C$21, $C$9, 100%, $E$9)</f>
        <v>11.947900000000001</v>
      </c>
      <c r="H386" s="10">
        <f>CHOOSE(CONTROL!$C$42, 12.0065, 12.0065) * CHOOSE(CONTROL!$C$21, $C$9, 100%, $E$9)</f>
        <v>12.006500000000001</v>
      </c>
      <c r="I386" s="10">
        <f>CHOOSE(CONTROL!$C$42, 11.9597, 11.9597)* CHOOSE(CONTROL!$C$21, $C$9, 100%, $E$9)</f>
        <v>11.9597</v>
      </c>
      <c r="J386" s="10">
        <f>CHOOSE(CONTROL!$C$42, 11.9226, 11.9226)* CHOOSE(CONTROL!$C$21, $C$9, 100%, $E$9)</f>
        <v>11.922599999999999</v>
      </c>
      <c r="K386" s="10">
        <f>CHOOSE(CONTROL!$C$42, 11.7661, 11.7661) * CHOOSE(CONTROL!$C$21, $C$9, 100%, $E$9)</f>
        <v>11.7661</v>
      </c>
      <c r="L386" s="10">
        <f>CHOOSE(CONTROL!$C$42, 12.5935, 12.5935) * CHOOSE(CONTROL!$C$21, $C$9, 100%, $E$9)</f>
        <v>12.593500000000001</v>
      </c>
      <c r="M386" s="10">
        <f>CHOOSE(CONTROL!$C$42, 11.7893, 11.7893) * CHOOSE(CONTROL!$C$21, $C$9, 100%, $E$9)</f>
        <v>11.789300000000001</v>
      </c>
      <c r="N386" s="10">
        <f>CHOOSE(CONTROL!$C$42, 11.807, 11.807) * CHOOSE(CONTROL!$C$21, $C$9, 100%, $E$9)</f>
        <v>11.807</v>
      </c>
      <c r="O386" s="10">
        <f>CHOOSE(CONTROL!$C$42, 11.872, 11.872) * CHOOSE(CONTROL!$C$21, $C$9, 100%, $E$9)</f>
        <v>11.872</v>
      </c>
      <c r="P386" s="10">
        <f>CHOOSE(CONTROL!$C$42, 11.826, 11.826) * CHOOSE(CONTROL!$C$21, $C$9, 100%, $E$9)</f>
        <v>11.826000000000001</v>
      </c>
      <c r="Q386" s="10">
        <f>CHOOSE(CONTROL!$C$42, 12.4673, 12.4673) * CHOOSE(CONTROL!$C$21, $C$9, 100%, $E$9)</f>
        <v>12.4673</v>
      </c>
      <c r="R386" s="10">
        <f>CHOOSE(CONTROL!$C$42, 13.0855, 13.0855) * CHOOSE(CONTROL!$C$21, $C$9, 100%, $E$9)</f>
        <v>13.0855</v>
      </c>
      <c r="S386" s="10">
        <f>CHOOSE(CONTROL!$C$42, 11.5842, 11.5842) * CHOOSE(CONTROL!$C$21, $C$9, 100%, $E$9)</f>
        <v>11.584199999999999</v>
      </c>
      <c r="T38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86" s="38">
        <f>(1000*CHOOSE(CONTROL!$C$42, 695, 695)*CHOOSE(CONTROL!$C$42, 0.5599, 0.5599)*CHOOSE(CONTROL!$C$42, 28, 28))/1000000</f>
        <v>10.895653999999999</v>
      </c>
      <c r="V386" s="38">
        <f>(1000*CHOOSE(CONTROL!$C$42, 500, 500)*CHOOSE(CONTROL!$C$42, 0.275, 0.275)*CHOOSE(CONTROL!$C$42, 28, 28))/1000000</f>
        <v>3.85</v>
      </c>
      <c r="W386" s="38">
        <f>(1000*CHOOSE(CONTROL!$C$42, 0.1146, 0.1146)*CHOOSE(CONTROL!$C$42, 121.5, 121.5)*CHOOSE(CONTROL!$C$42, 28, 28))/1000000</f>
        <v>0.38986920000000003</v>
      </c>
      <c r="X386" s="38">
        <f>(28*0.1790888*100000/1000000)+(28*0.2374*100000/1000000)</f>
        <v>1.16616864</v>
      </c>
      <c r="Y386" s="38">
        <f>(1000*600*CHOOSE(CONTROL!$C$42, 1.0966, 1.0966)*CHOOSE(CONTROL!$C$42, 28, 28))/1000000</f>
        <v>18.422879999999999</v>
      </c>
      <c r="Z386" s="38"/>
      <c r="AA386" s="10"/>
      <c r="AB386" s="39"/>
      <c r="AC386" s="33">
        <f>(B386*122.58+C386*297.941+D386*89.177+E386*40.302+F386*40+G386*160+H386*0+I386*100+J386*300)/(122.58+297.941+89.177+40.302+0+40+160+100+300)</f>
        <v>11.947666234086956</v>
      </c>
      <c r="AD386" s="27">
        <f>(M386*'RAP TEMPLATE-GAS AVAILABILITY'!O385+N386*'RAP TEMPLATE-GAS AVAILABILITY'!P385+O386*'RAP TEMPLATE-GAS AVAILABILITY'!Q385+P386*'RAP TEMPLATE-GAS AVAILABILITY'!R385)/('RAP TEMPLATE-GAS AVAILABILITY'!O385+'RAP TEMPLATE-GAS AVAILABILITY'!P385+'RAP TEMPLATE-GAS AVAILABILITY'!Q385+'RAP TEMPLATE-GAS AVAILABILITY'!R385)</f>
        <v>11.83308201438849</v>
      </c>
    </row>
    <row r="387" spans="1:30" ht="15.75">
      <c r="A387" s="14">
        <v>53052</v>
      </c>
      <c r="B387" s="10">
        <f>CHOOSE(CONTROL!$C$42, 11.6067, 11.6067) * CHOOSE(CONTROL!$C$21, $C$9, 100%, $E$9)</f>
        <v>11.6067</v>
      </c>
      <c r="C387" s="10">
        <f>CHOOSE(CONTROL!$C$42, 11.6118, 11.6118) * CHOOSE(CONTROL!$C$21, $C$9, 100%, $E$9)</f>
        <v>11.611800000000001</v>
      </c>
      <c r="D387" s="10">
        <f>CHOOSE(CONTROL!$C$42, 11.6442, 11.6442) * CHOOSE(CONTROL!$C$21, $C$9, 100%, $E$9)</f>
        <v>11.6442</v>
      </c>
      <c r="E387" s="10">
        <f>CHOOSE(CONTROL!$C$42, 11.678, 11.678) * CHOOSE(CONTROL!$C$21, $C$9, 100%, $E$9)</f>
        <v>11.678000000000001</v>
      </c>
      <c r="F387" s="10">
        <f>CHOOSE(CONTROL!$C$42, 11.5889, 11.5889)*CHOOSE(CONTROL!$C$21, $C$9, 100%, $E$9)</f>
        <v>11.588900000000001</v>
      </c>
      <c r="G387" s="10">
        <f>CHOOSE(CONTROL!$C$42, 11.6065, 11.6065)*CHOOSE(CONTROL!$C$21, $C$9, 100%, $E$9)</f>
        <v>11.6065</v>
      </c>
      <c r="H387" s="10">
        <f>CHOOSE(CONTROL!$C$42, 11.6669, 11.6669) * CHOOSE(CONTROL!$C$21, $C$9, 100%, $E$9)</f>
        <v>11.6669</v>
      </c>
      <c r="I387" s="10">
        <f>CHOOSE(CONTROL!$C$42, 11.6201, 11.6201)* CHOOSE(CONTROL!$C$21, $C$9, 100%, $E$9)</f>
        <v>11.620100000000001</v>
      </c>
      <c r="J387" s="10">
        <f>CHOOSE(CONTROL!$C$42, 11.5815, 11.5815)* CHOOSE(CONTROL!$C$21, $C$9, 100%, $E$9)</f>
        <v>11.5815</v>
      </c>
      <c r="K387" s="10">
        <f>CHOOSE(CONTROL!$C$42, 11.4339, 11.4339) * CHOOSE(CONTROL!$C$21, $C$9, 100%, $E$9)</f>
        <v>11.4339</v>
      </c>
      <c r="L387" s="10">
        <f>CHOOSE(CONTROL!$C$42, 12.2539, 12.2539) * CHOOSE(CONTROL!$C$21, $C$9, 100%, $E$9)</f>
        <v>12.2539</v>
      </c>
      <c r="M387" s="10">
        <f>CHOOSE(CONTROL!$C$42, 11.453, 11.453) * CHOOSE(CONTROL!$C$21, $C$9, 100%, $E$9)</f>
        <v>11.452999999999999</v>
      </c>
      <c r="N387" s="10">
        <f>CHOOSE(CONTROL!$C$42, 11.4703, 11.4703) * CHOOSE(CONTROL!$C$21, $C$9, 100%, $E$9)</f>
        <v>11.4703</v>
      </c>
      <c r="O387" s="10">
        <f>CHOOSE(CONTROL!$C$42, 11.5371, 11.5371) * CHOOSE(CONTROL!$C$21, $C$9, 100%, $E$9)</f>
        <v>11.537100000000001</v>
      </c>
      <c r="P387" s="10">
        <f>CHOOSE(CONTROL!$C$42, 11.4911, 11.4911) * CHOOSE(CONTROL!$C$21, $C$9, 100%, $E$9)</f>
        <v>11.491099999999999</v>
      </c>
      <c r="Q387" s="10">
        <f>CHOOSE(CONTROL!$C$42, 12.1324, 12.1324) * CHOOSE(CONTROL!$C$21, $C$9, 100%, $E$9)</f>
        <v>12.132400000000001</v>
      </c>
      <c r="R387" s="10">
        <f>CHOOSE(CONTROL!$C$42, 12.7498, 12.7498) * CHOOSE(CONTROL!$C$21, $C$9, 100%, $E$9)</f>
        <v>12.7498</v>
      </c>
      <c r="S387" s="10">
        <f>CHOOSE(CONTROL!$C$42, 11.2554, 11.2554) * CHOOSE(CONTROL!$C$21, $C$9, 100%, $E$9)</f>
        <v>11.2554</v>
      </c>
      <c r="T38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87" s="38">
        <f>(1000*CHOOSE(CONTROL!$C$42, 695, 695)*CHOOSE(CONTROL!$C$42, 0.5599, 0.5599)*CHOOSE(CONTROL!$C$42, 31, 31))/1000000</f>
        <v>12.063045499999998</v>
      </c>
      <c r="V387" s="38">
        <f>(1000*CHOOSE(CONTROL!$C$42, 500, 500)*CHOOSE(CONTROL!$C$42, 0.275, 0.275)*CHOOSE(CONTROL!$C$42, 31, 31))/1000000</f>
        <v>4.2625000000000002</v>
      </c>
      <c r="W387" s="38">
        <f>(1000*CHOOSE(CONTROL!$C$42, 0.1146, 0.1146)*CHOOSE(CONTROL!$C$42, 121.5, 121.5)*CHOOSE(CONTROL!$C$42, 31, 31))/1000000</f>
        <v>0.43164089999999994</v>
      </c>
      <c r="X387" s="38">
        <f>(31*0.1790888*100000/1000000)+(31*0.2374*100000/1000000)</f>
        <v>1.2911152800000001</v>
      </c>
      <c r="Y387" s="38">
        <f>(1000*600*CHOOSE(CONTROL!$C$42, 1.0966, 1.0966)*CHOOSE(CONTROL!$C$42, 31, 31))/1000000</f>
        <v>20.39676</v>
      </c>
      <c r="Z387" s="38"/>
      <c r="AA387" s="10"/>
      <c r="AB387" s="39"/>
      <c r="AC387" s="33">
        <f>(B387*122.58+C387*297.941+D387*89.177+E387*40.302+F387*40+G387*160+H387*0+I387*100+J387*300)/(122.58+297.941+89.177+40.302+0+40+160+100+300)</f>
        <v>11.607372321043478</v>
      </c>
      <c r="AD387" s="27">
        <f>(M387*'RAP TEMPLATE-GAS AVAILABILITY'!O386+N387*'RAP TEMPLATE-GAS AVAILABILITY'!P386+O387*'RAP TEMPLATE-GAS AVAILABILITY'!Q386+P387*'RAP TEMPLATE-GAS AVAILABILITY'!R386)/('RAP TEMPLATE-GAS AVAILABILITY'!O386+'RAP TEMPLATE-GAS AVAILABILITY'!P386+'RAP TEMPLATE-GAS AVAILABILITY'!Q386+'RAP TEMPLATE-GAS AVAILABILITY'!R386)</f>
        <v>11.497594964028776</v>
      </c>
    </row>
    <row r="388" spans="1:30" ht="15.75">
      <c r="A388" s="14">
        <v>53082</v>
      </c>
      <c r="B388" s="10">
        <f>CHOOSE(CONTROL!$C$42, 11.5726, 11.5726) * CHOOSE(CONTROL!$C$21, $C$9, 100%, $E$9)</f>
        <v>11.5726</v>
      </c>
      <c r="C388" s="10">
        <f>CHOOSE(CONTROL!$C$42, 11.5772, 11.5772) * CHOOSE(CONTROL!$C$21, $C$9, 100%, $E$9)</f>
        <v>11.577199999999999</v>
      </c>
      <c r="D388" s="10">
        <f>CHOOSE(CONTROL!$C$42, 11.7373, 11.7373) * CHOOSE(CONTROL!$C$21, $C$9, 100%, $E$9)</f>
        <v>11.737299999999999</v>
      </c>
      <c r="E388" s="10">
        <f>CHOOSE(CONTROL!$C$42, 11.7691, 11.7691) * CHOOSE(CONTROL!$C$21, $C$9, 100%, $E$9)</f>
        <v>11.7691</v>
      </c>
      <c r="F388" s="10">
        <f>CHOOSE(CONTROL!$C$42, 11.5187, 11.5187)*CHOOSE(CONTROL!$C$21, $C$9, 100%, $E$9)</f>
        <v>11.518700000000001</v>
      </c>
      <c r="G388" s="10">
        <f>CHOOSE(CONTROL!$C$42, 11.5346, 11.5346)*CHOOSE(CONTROL!$C$21, $C$9, 100%, $E$9)</f>
        <v>11.534599999999999</v>
      </c>
      <c r="H388" s="10">
        <f>CHOOSE(CONTROL!$C$42, 11.7586, 11.7586) * CHOOSE(CONTROL!$C$21, $C$9, 100%, $E$9)</f>
        <v>11.758599999999999</v>
      </c>
      <c r="I388" s="10">
        <f>CHOOSE(CONTROL!$C$42, 11.5528, 11.5528)* CHOOSE(CONTROL!$C$21, $C$9, 100%, $E$9)</f>
        <v>11.5528</v>
      </c>
      <c r="J388" s="10">
        <f>CHOOSE(CONTROL!$C$42, 11.5113, 11.5113)* CHOOSE(CONTROL!$C$21, $C$9, 100%, $E$9)</f>
        <v>11.5113</v>
      </c>
      <c r="K388" s="10">
        <f>CHOOSE(CONTROL!$C$42, 11.3526, 11.3526) * CHOOSE(CONTROL!$C$21, $C$9, 100%, $E$9)</f>
        <v>11.352600000000001</v>
      </c>
      <c r="L388" s="10">
        <f>CHOOSE(CONTROL!$C$42, 12.3456, 12.3456) * CHOOSE(CONTROL!$C$21, $C$9, 100%, $E$9)</f>
        <v>12.345599999999999</v>
      </c>
      <c r="M388" s="10">
        <f>CHOOSE(CONTROL!$C$42, 11.3838, 11.3838) * CHOOSE(CONTROL!$C$21, $C$9, 100%, $E$9)</f>
        <v>11.383800000000001</v>
      </c>
      <c r="N388" s="10">
        <f>CHOOSE(CONTROL!$C$42, 11.3994, 11.3994) * CHOOSE(CONTROL!$C$21, $C$9, 100%, $E$9)</f>
        <v>11.3994</v>
      </c>
      <c r="O388" s="10">
        <f>CHOOSE(CONTROL!$C$42, 11.6276, 11.6276) * CHOOSE(CONTROL!$C$21, $C$9, 100%, $E$9)</f>
        <v>11.627599999999999</v>
      </c>
      <c r="P388" s="10">
        <f>CHOOSE(CONTROL!$C$42, 11.4247, 11.4247) * CHOOSE(CONTROL!$C$21, $C$9, 100%, $E$9)</f>
        <v>11.4247</v>
      </c>
      <c r="Q388" s="10">
        <f>CHOOSE(CONTROL!$C$42, 12.2229, 12.2229) * CHOOSE(CONTROL!$C$21, $C$9, 100%, $E$9)</f>
        <v>12.222899999999999</v>
      </c>
      <c r="R388" s="10">
        <f>CHOOSE(CONTROL!$C$42, 12.8404, 12.8404) * CHOOSE(CONTROL!$C$21, $C$9, 100%, $E$9)</f>
        <v>12.840400000000001</v>
      </c>
      <c r="S388" s="10">
        <f>CHOOSE(CONTROL!$C$42, 11.2217, 11.2217) * CHOOSE(CONTROL!$C$21, $C$9, 100%, $E$9)</f>
        <v>11.2217</v>
      </c>
      <c r="T38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388" s="38">
        <f>(1000*CHOOSE(CONTROL!$C$42, 695, 695)*CHOOSE(CONTROL!$C$42, 0.5599, 0.5599)*CHOOSE(CONTROL!$C$42, 30, 30))/1000000</f>
        <v>11.673914999999997</v>
      </c>
      <c r="V388" s="38">
        <f>(1000*CHOOSE(CONTROL!$C$42, 500, 500)*CHOOSE(CONTROL!$C$42, 0.275, 0.275)*CHOOSE(CONTROL!$C$42, 30, 30))/1000000</f>
        <v>4.125</v>
      </c>
      <c r="W388" s="38">
        <f>(1000*CHOOSE(CONTROL!$C$42, 0.1146, 0.1146)*CHOOSE(CONTROL!$C$42, 121.5, 121.5)*CHOOSE(CONTROL!$C$42, 30, 30))/1000000</f>
        <v>0.417717</v>
      </c>
      <c r="X388" s="38">
        <f>(30*0.1790888*245000/1000000)+(30*0.2374*100000/1000000)</f>
        <v>2.0285026799999999</v>
      </c>
      <c r="Y388" s="38">
        <f>(1000*600*CHOOSE(CONTROL!$C$42, 1.0966, 1.0966)*CHOOSE(CONTROL!$C$42, 30, 30))/1000000</f>
        <v>19.738800000000001</v>
      </c>
      <c r="Z388" s="38"/>
      <c r="AA388" s="10"/>
      <c r="AB388" s="39"/>
      <c r="AC388" s="33">
        <f>(B388*141.293+C388*267.993+D388*115.016+E388*89.698+F388*40+G388*185+H388*0+I388*100+J388*300)/(141.293+267.993+115.016+89.698+0+40+185+100+300)</f>
        <v>11.579255012106538</v>
      </c>
      <c r="AD388" s="27">
        <f>(M388*'RAP TEMPLATE-GAS AVAILABILITY'!O387+N388*'RAP TEMPLATE-GAS AVAILABILITY'!P387+O388*'RAP TEMPLATE-GAS AVAILABILITY'!Q387+P388*'RAP TEMPLATE-GAS AVAILABILITY'!R387)/('RAP TEMPLATE-GAS AVAILABILITY'!O387+'RAP TEMPLATE-GAS AVAILABILITY'!P387+'RAP TEMPLATE-GAS AVAILABILITY'!Q387+'RAP TEMPLATE-GAS AVAILABILITY'!R387)</f>
        <v>11.461680575539567</v>
      </c>
    </row>
    <row r="389" spans="1:30" ht="15.75">
      <c r="A389" s="14">
        <v>53113</v>
      </c>
      <c r="B389" s="10">
        <f>CHOOSE(CONTROL!$C$42, 11.6767, 11.6767) * CHOOSE(CONTROL!$C$21, $C$9, 100%, $E$9)</f>
        <v>11.6767</v>
      </c>
      <c r="C389" s="10">
        <f>CHOOSE(CONTROL!$C$42, 11.6847, 11.6847) * CHOOSE(CONTROL!$C$21, $C$9, 100%, $E$9)</f>
        <v>11.684699999999999</v>
      </c>
      <c r="D389" s="10">
        <f>CHOOSE(CONTROL!$C$42, 11.8418, 11.8418) * CHOOSE(CONTROL!$C$21, $C$9, 100%, $E$9)</f>
        <v>11.841799999999999</v>
      </c>
      <c r="E389" s="10">
        <f>CHOOSE(CONTROL!$C$42, 11.873, 11.873) * CHOOSE(CONTROL!$C$21, $C$9, 100%, $E$9)</f>
        <v>11.872999999999999</v>
      </c>
      <c r="F389" s="10">
        <f>CHOOSE(CONTROL!$C$42, 11.6209, 11.6209)*CHOOSE(CONTROL!$C$21, $C$9, 100%, $E$9)</f>
        <v>11.620900000000001</v>
      </c>
      <c r="G389" s="10">
        <f>CHOOSE(CONTROL!$C$42, 11.637, 11.637)*CHOOSE(CONTROL!$C$21, $C$9, 100%, $E$9)</f>
        <v>11.637</v>
      </c>
      <c r="H389" s="10">
        <f>CHOOSE(CONTROL!$C$42, 11.8613, 11.8613) * CHOOSE(CONTROL!$C$21, $C$9, 100%, $E$9)</f>
        <v>11.8613</v>
      </c>
      <c r="I389" s="10">
        <f>CHOOSE(CONTROL!$C$42, 11.6555, 11.6555)* CHOOSE(CONTROL!$C$21, $C$9, 100%, $E$9)</f>
        <v>11.6555</v>
      </c>
      <c r="J389" s="10">
        <f>CHOOSE(CONTROL!$C$42, 11.6135, 11.6135)* CHOOSE(CONTROL!$C$21, $C$9, 100%, $E$9)</f>
        <v>11.6135</v>
      </c>
      <c r="K389" s="10">
        <f>CHOOSE(CONTROL!$C$42, 11.4509, 11.4509) * CHOOSE(CONTROL!$C$21, $C$9, 100%, $E$9)</f>
        <v>11.450900000000001</v>
      </c>
      <c r="L389" s="10">
        <f>CHOOSE(CONTROL!$C$42, 12.4483, 12.4483) * CHOOSE(CONTROL!$C$21, $C$9, 100%, $E$9)</f>
        <v>12.4483</v>
      </c>
      <c r="M389" s="10">
        <f>CHOOSE(CONTROL!$C$42, 11.4845, 11.4845) * CHOOSE(CONTROL!$C$21, $C$9, 100%, $E$9)</f>
        <v>11.484500000000001</v>
      </c>
      <c r="N389" s="10">
        <f>CHOOSE(CONTROL!$C$42, 11.5004, 11.5004) * CHOOSE(CONTROL!$C$21, $C$9, 100%, $E$9)</f>
        <v>11.500400000000001</v>
      </c>
      <c r="O389" s="10">
        <f>CHOOSE(CONTROL!$C$42, 11.7289, 11.7289) * CHOOSE(CONTROL!$C$21, $C$9, 100%, $E$9)</f>
        <v>11.728899999999999</v>
      </c>
      <c r="P389" s="10">
        <f>CHOOSE(CONTROL!$C$42, 11.526, 11.526) * CHOOSE(CONTROL!$C$21, $C$9, 100%, $E$9)</f>
        <v>11.526</v>
      </c>
      <c r="Q389" s="10">
        <f>CHOOSE(CONTROL!$C$42, 12.3242, 12.3242) * CHOOSE(CONTROL!$C$21, $C$9, 100%, $E$9)</f>
        <v>12.324199999999999</v>
      </c>
      <c r="R389" s="10">
        <f>CHOOSE(CONTROL!$C$42, 12.942, 12.942) * CHOOSE(CONTROL!$C$21, $C$9, 100%, $E$9)</f>
        <v>12.942</v>
      </c>
      <c r="S389" s="10">
        <f>CHOOSE(CONTROL!$C$42, 11.3212, 11.3212) * CHOOSE(CONTROL!$C$21, $C$9, 100%, $E$9)</f>
        <v>11.321199999999999</v>
      </c>
      <c r="T38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389" s="38">
        <f>(1000*CHOOSE(CONTROL!$C$42, 695, 695)*CHOOSE(CONTROL!$C$42, 0.5599, 0.5599)*CHOOSE(CONTROL!$C$42, 31, 31))/1000000</f>
        <v>12.063045499999998</v>
      </c>
      <c r="V389" s="38">
        <f>(1000*CHOOSE(CONTROL!$C$42, 500, 500)*CHOOSE(CONTROL!$C$42, 0.275, 0.275)*CHOOSE(CONTROL!$C$42, 31, 31))/1000000</f>
        <v>4.2625000000000002</v>
      </c>
      <c r="W389" s="38">
        <f>(1000*CHOOSE(CONTROL!$C$42, 0.1146, 0.1146)*CHOOSE(CONTROL!$C$42, 121.5, 121.5)*CHOOSE(CONTROL!$C$42, 31, 31))/1000000</f>
        <v>0.43164089999999994</v>
      </c>
      <c r="X389" s="38">
        <f>(31*0.1790888*245000/1000000)+(31*0.2374*100000/1000000)</f>
        <v>2.0961194359999999</v>
      </c>
      <c r="Y389" s="38">
        <f>(1000*600*CHOOSE(CONTROL!$C$42, 1.0966, 1.0966)*CHOOSE(CONTROL!$C$42, 31, 31))/1000000</f>
        <v>20.39676</v>
      </c>
      <c r="Z389" s="38"/>
      <c r="AA389" s="10"/>
      <c r="AB389" s="39"/>
      <c r="AC389" s="33">
        <f>(B389*194.205+C389*267.466+D389*133.845+E389*53.484+F389*40+G389*185+H389*0+I389*100+J389*300)/(194.205+267.466+133.845+53.484+0+40+185+100+300)</f>
        <v>11.679902469937206</v>
      </c>
      <c r="AD389" s="27">
        <f>(M389*'RAP TEMPLATE-GAS AVAILABILITY'!O388+N389*'RAP TEMPLATE-GAS AVAILABILITY'!P388+O389*'RAP TEMPLATE-GAS AVAILABILITY'!Q388+P389*'RAP TEMPLATE-GAS AVAILABILITY'!R388)/('RAP TEMPLATE-GAS AVAILABILITY'!O388+'RAP TEMPLATE-GAS AVAILABILITY'!P388+'RAP TEMPLATE-GAS AVAILABILITY'!Q388+'RAP TEMPLATE-GAS AVAILABILITY'!R388)</f>
        <v>11.562704316546762</v>
      </c>
    </row>
    <row r="390" spans="1:30" ht="15.75">
      <c r="A390" s="14">
        <v>53143</v>
      </c>
      <c r="B390" s="10">
        <f>CHOOSE(CONTROL!$C$42, 12.0083, 12.0083) * CHOOSE(CONTROL!$C$21, $C$9, 100%, $E$9)</f>
        <v>12.0083</v>
      </c>
      <c r="C390" s="10">
        <f>CHOOSE(CONTROL!$C$42, 12.0163, 12.0163) * CHOOSE(CONTROL!$C$21, $C$9, 100%, $E$9)</f>
        <v>12.016299999999999</v>
      </c>
      <c r="D390" s="10">
        <f>CHOOSE(CONTROL!$C$42, 12.1734, 12.1734) * CHOOSE(CONTROL!$C$21, $C$9, 100%, $E$9)</f>
        <v>12.173400000000001</v>
      </c>
      <c r="E390" s="10">
        <f>CHOOSE(CONTROL!$C$42, 12.2046, 12.2046) * CHOOSE(CONTROL!$C$21, $C$9, 100%, $E$9)</f>
        <v>12.204599999999999</v>
      </c>
      <c r="F390" s="10">
        <f>CHOOSE(CONTROL!$C$42, 11.9527, 11.9527)*CHOOSE(CONTROL!$C$21, $C$9, 100%, $E$9)</f>
        <v>11.9527</v>
      </c>
      <c r="G390" s="10">
        <f>CHOOSE(CONTROL!$C$42, 11.9688, 11.9688)*CHOOSE(CONTROL!$C$21, $C$9, 100%, $E$9)</f>
        <v>11.9688</v>
      </c>
      <c r="H390" s="10">
        <f>CHOOSE(CONTROL!$C$42, 12.1929, 12.1929) * CHOOSE(CONTROL!$C$21, $C$9, 100%, $E$9)</f>
        <v>12.1929</v>
      </c>
      <c r="I390" s="10">
        <f>CHOOSE(CONTROL!$C$42, 11.9871, 11.9871)* CHOOSE(CONTROL!$C$21, $C$9, 100%, $E$9)</f>
        <v>11.9871</v>
      </c>
      <c r="J390" s="10">
        <f>CHOOSE(CONTROL!$C$42, 11.9453, 11.9453)* CHOOSE(CONTROL!$C$21, $C$9, 100%, $E$9)</f>
        <v>11.9453</v>
      </c>
      <c r="K390" s="10">
        <f>CHOOSE(CONTROL!$C$42, 11.7725, 11.7725) * CHOOSE(CONTROL!$C$21, $C$9, 100%, $E$9)</f>
        <v>11.772500000000001</v>
      </c>
      <c r="L390" s="10">
        <f>CHOOSE(CONTROL!$C$42, 12.7799, 12.7799) * CHOOSE(CONTROL!$C$21, $C$9, 100%, $E$9)</f>
        <v>12.7799</v>
      </c>
      <c r="M390" s="10">
        <f>CHOOSE(CONTROL!$C$42, 11.8116, 11.8116) * CHOOSE(CONTROL!$C$21, $C$9, 100%, $E$9)</f>
        <v>11.8116</v>
      </c>
      <c r="N390" s="10">
        <f>CHOOSE(CONTROL!$C$42, 11.8276, 11.8276) * CHOOSE(CONTROL!$C$21, $C$9, 100%, $E$9)</f>
        <v>11.8276</v>
      </c>
      <c r="O390" s="10">
        <f>CHOOSE(CONTROL!$C$42, 12.0559, 12.0559) * CHOOSE(CONTROL!$C$21, $C$9, 100%, $E$9)</f>
        <v>12.055899999999999</v>
      </c>
      <c r="P390" s="10">
        <f>CHOOSE(CONTROL!$C$42, 11.853, 11.853) * CHOOSE(CONTROL!$C$21, $C$9, 100%, $E$9)</f>
        <v>11.853</v>
      </c>
      <c r="Q390" s="10">
        <f>CHOOSE(CONTROL!$C$42, 12.6512, 12.6512) * CHOOSE(CONTROL!$C$21, $C$9, 100%, $E$9)</f>
        <v>12.651199999999999</v>
      </c>
      <c r="R390" s="10">
        <f>CHOOSE(CONTROL!$C$42, 13.2698, 13.2698) * CHOOSE(CONTROL!$C$21, $C$9, 100%, $E$9)</f>
        <v>13.2698</v>
      </c>
      <c r="S390" s="10">
        <f>CHOOSE(CONTROL!$C$42, 11.6423, 11.6423) * CHOOSE(CONTROL!$C$21, $C$9, 100%, $E$9)</f>
        <v>11.642300000000001</v>
      </c>
      <c r="T39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390" s="38">
        <f>(1000*CHOOSE(CONTROL!$C$42, 695, 695)*CHOOSE(CONTROL!$C$42, 0.5599, 0.5599)*CHOOSE(CONTROL!$C$42, 30, 30))/1000000</f>
        <v>11.673914999999997</v>
      </c>
      <c r="V390" s="38">
        <f>(1000*CHOOSE(CONTROL!$C$42, 500, 500)*CHOOSE(CONTROL!$C$42, 0.275, 0.275)*CHOOSE(CONTROL!$C$42, 30, 30))/1000000</f>
        <v>4.125</v>
      </c>
      <c r="W390" s="38">
        <f>(1000*CHOOSE(CONTROL!$C$42, 0.1146, 0.1146)*CHOOSE(CONTROL!$C$42, 121.5, 121.5)*CHOOSE(CONTROL!$C$42, 30, 30))/1000000</f>
        <v>0.417717</v>
      </c>
      <c r="X390" s="38">
        <f>(30*0.1790888*245000/1000000)+(30*0.2374*100000/1000000)</f>
        <v>2.0285026799999999</v>
      </c>
      <c r="Y390" s="38">
        <f>(1000*600*CHOOSE(CONTROL!$C$42, 1.0966, 1.0966)*CHOOSE(CONTROL!$C$42, 30, 30))/1000000</f>
        <v>19.738800000000001</v>
      </c>
      <c r="Z390" s="38"/>
      <c r="AA390" s="10"/>
      <c r="AB390" s="39"/>
      <c r="AC390" s="33">
        <f>(B390*194.205+C390*267.466+D390*133.845+E390*53.484+F390*40+G390*185+H390*0+I390*100+J390*300)/(194.205+267.466+133.845+53.484+0+40+185+100+300)</f>
        <v>12.011584887519621</v>
      </c>
      <c r="AD390" s="27">
        <f>(M390*'RAP TEMPLATE-GAS AVAILABILITY'!O389+N390*'RAP TEMPLATE-GAS AVAILABILITY'!P389+O390*'RAP TEMPLATE-GAS AVAILABILITY'!Q389+P390*'RAP TEMPLATE-GAS AVAILABILITY'!R389)/('RAP TEMPLATE-GAS AVAILABILITY'!O389+'RAP TEMPLATE-GAS AVAILABILITY'!P389+'RAP TEMPLATE-GAS AVAILABILITY'!Q389+'RAP TEMPLATE-GAS AVAILABILITY'!R389)</f>
        <v>11.889784892086331</v>
      </c>
    </row>
    <row r="391" spans="1:30" ht="15.75">
      <c r="A391" s="14">
        <v>53174</v>
      </c>
      <c r="B391" s="10">
        <f>CHOOSE(CONTROL!$C$42, 11.7777, 11.7777) * CHOOSE(CONTROL!$C$21, $C$9, 100%, $E$9)</f>
        <v>11.777699999999999</v>
      </c>
      <c r="C391" s="10">
        <f>CHOOSE(CONTROL!$C$42, 11.7857, 11.7857) * CHOOSE(CONTROL!$C$21, $C$9, 100%, $E$9)</f>
        <v>11.7857</v>
      </c>
      <c r="D391" s="10">
        <f>CHOOSE(CONTROL!$C$42, 11.9427, 11.9427) * CHOOSE(CONTROL!$C$21, $C$9, 100%, $E$9)</f>
        <v>11.9427</v>
      </c>
      <c r="E391" s="10">
        <f>CHOOSE(CONTROL!$C$42, 11.974, 11.974) * CHOOSE(CONTROL!$C$21, $C$9, 100%, $E$9)</f>
        <v>11.974</v>
      </c>
      <c r="F391" s="10">
        <f>CHOOSE(CONTROL!$C$42, 11.7223, 11.7223)*CHOOSE(CONTROL!$C$21, $C$9, 100%, $E$9)</f>
        <v>11.722300000000001</v>
      </c>
      <c r="G391" s="10">
        <f>CHOOSE(CONTROL!$C$42, 11.7386, 11.7386)*CHOOSE(CONTROL!$C$21, $C$9, 100%, $E$9)</f>
        <v>11.7386</v>
      </c>
      <c r="H391" s="10">
        <f>CHOOSE(CONTROL!$C$42, 11.9623, 11.9623) * CHOOSE(CONTROL!$C$21, $C$9, 100%, $E$9)</f>
        <v>11.962300000000001</v>
      </c>
      <c r="I391" s="10">
        <f>CHOOSE(CONTROL!$C$42, 11.7565, 11.7565)* CHOOSE(CONTROL!$C$21, $C$9, 100%, $E$9)</f>
        <v>11.756500000000001</v>
      </c>
      <c r="J391" s="10">
        <f>CHOOSE(CONTROL!$C$42, 11.7149, 11.7149)* CHOOSE(CONTROL!$C$21, $C$9, 100%, $E$9)</f>
        <v>11.7149</v>
      </c>
      <c r="K391" s="10">
        <f>CHOOSE(CONTROL!$C$42, 11.5498, 11.5498) * CHOOSE(CONTROL!$C$21, $C$9, 100%, $E$9)</f>
        <v>11.549799999999999</v>
      </c>
      <c r="L391" s="10">
        <f>CHOOSE(CONTROL!$C$42, 12.5493, 12.5493) * CHOOSE(CONTROL!$C$21, $C$9, 100%, $E$9)</f>
        <v>12.549300000000001</v>
      </c>
      <c r="M391" s="10">
        <f>CHOOSE(CONTROL!$C$42, 11.5845, 11.5845) * CHOOSE(CONTROL!$C$21, $C$9, 100%, $E$9)</f>
        <v>11.5845</v>
      </c>
      <c r="N391" s="10">
        <f>CHOOSE(CONTROL!$C$42, 11.6006, 11.6006) * CHOOSE(CONTROL!$C$21, $C$9, 100%, $E$9)</f>
        <v>11.6006</v>
      </c>
      <c r="O391" s="10">
        <f>CHOOSE(CONTROL!$C$42, 11.8284, 11.8284) * CHOOSE(CONTROL!$C$21, $C$9, 100%, $E$9)</f>
        <v>11.8284</v>
      </c>
      <c r="P391" s="10">
        <f>CHOOSE(CONTROL!$C$42, 11.6255, 11.6255) * CHOOSE(CONTROL!$C$21, $C$9, 100%, $E$9)</f>
        <v>11.625500000000001</v>
      </c>
      <c r="Q391" s="10">
        <f>CHOOSE(CONTROL!$C$42, 12.4237, 12.4237) * CHOOSE(CONTROL!$C$21, $C$9, 100%, $E$9)</f>
        <v>12.4237</v>
      </c>
      <c r="R391" s="10">
        <f>CHOOSE(CONTROL!$C$42, 13.0418, 13.0418) * CHOOSE(CONTROL!$C$21, $C$9, 100%, $E$9)</f>
        <v>13.0418</v>
      </c>
      <c r="S391" s="10">
        <f>CHOOSE(CONTROL!$C$42, 11.4189, 11.4189) * CHOOSE(CONTROL!$C$21, $C$9, 100%, $E$9)</f>
        <v>11.418900000000001</v>
      </c>
      <c r="T39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391" s="38">
        <f>(1000*CHOOSE(CONTROL!$C$42, 695, 695)*CHOOSE(CONTROL!$C$42, 0.5599, 0.5599)*CHOOSE(CONTROL!$C$42, 31, 31))/1000000</f>
        <v>12.063045499999998</v>
      </c>
      <c r="V391" s="38">
        <f>(1000*CHOOSE(CONTROL!$C$42, 500, 500)*CHOOSE(CONTROL!$C$42, 0.275, 0.275)*CHOOSE(CONTROL!$C$42, 31, 31))/1000000</f>
        <v>4.2625000000000002</v>
      </c>
      <c r="W391" s="38">
        <f>(1000*CHOOSE(CONTROL!$C$42, 0.1146, 0.1146)*CHOOSE(CONTROL!$C$42, 121.5, 121.5)*CHOOSE(CONTROL!$C$42, 31, 31))/1000000</f>
        <v>0.43164089999999994</v>
      </c>
      <c r="X391" s="38">
        <f>(31*0.1790888*245000/1000000)+(31*0.2374*100000/1000000)</f>
        <v>2.0961194359999999</v>
      </c>
      <c r="Y391" s="38">
        <f>(1000*600*CHOOSE(CONTROL!$C$42, 1.0966, 1.0966)*CHOOSE(CONTROL!$C$42, 31, 31))/1000000</f>
        <v>20.39676</v>
      </c>
      <c r="Z391" s="38"/>
      <c r="AA391" s="10"/>
      <c r="AB391" s="39"/>
      <c r="AC391" s="33">
        <f>(B391*194.205+C391*267.466+D391*133.845+E391*53.484+F391*40+G391*185+H391*0+I391*100+J391*300)/(194.205+267.466+133.845+53.484+0+40+185+100+300)</f>
        <v>11.781085841601255</v>
      </c>
      <c r="AD391" s="27">
        <f>(M391*'RAP TEMPLATE-GAS AVAILABILITY'!O390+N391*'RAP TEMPLATE-GAS AVAILABILITY'!P390+O391*'RAP TEMPLATE-GAS AVAILABILITY'!Q390+P391*'RAP TEMPLATE-GAS AVAILABILITY'!R390)/('RAP TEMPLATE-GAS AVAILABILITY'!O390+'RAP TEMPLATE-GAS AVAILABILITY'!P390+'RAP TEMPLATE-GAS AVAILABILITY'!Q390+'RAP TEMPLATE-GAS AVAILABILITY'!R390)</f>
        <v>11.662538129496404</v>
      </c>
    </row>
    <row r="392" spans="1:30" ht="15.75">
      <c r="A392" s="14">
        <v>53205</v>
      </c>
      <c r="B392" s="10">
        <f>CHOOSE(CONTROL!$C$42, 11.1953, 11.1953) * CHOOSE(CONTROL!$C$21, $C$9, 100%, $E$9)</f>
        <v>11.1953</v>
      </c>
      <c r="C392" s="10">
        <f>CHOOSE(CONTROL!$C$42, 11.2033, 11.2033) * CHOOSE(CONTROL!$C$21, $C$9, 100%, $E$9)</f>
        <v>11.2033</v>
      </c>
      <c r="D392" s="10">
        <f>CHOOSE(CONTROL!$C$42, 11.3603, 11.3603) * CHOOSE(CONTROL!$C$21, $C$9, 100%, $E$9)</f>
        <v>11.360300000000001</v>
      </c>
      <c r="E392" s="10">
        <f>CHOOSE(CONTROL!$C$42, 11.3915, 11.3915) * CHOOSE(CONTROL!$C$21, $C$9, 100%, $E$9)</f>
        <v>11.391500000000001</v>
      </c>
      <c r="F392" s="10">
        <f>CHOOSE(CONTROL!$C$42, 11.1398, 11.1398)*CHOOSE(CONTROL!$C$21, $C$9, 100%, $E$9)</f>
        <v>11.139799999999999</v>
      </c>
      <c r="G392" s="10">
        <f>CHOOSE(CONTROL!$C$42, 11.1561, 11.1561)*CHOOSE(CONTROL!$C$21, $C$9, 100%, $E$9)</f>
        <v>11.1561</v>
      </c>
      <c r="H392" s="10">
        <f>CHOOSE(CONTROL!$C$42, 11.3799, 11.3799) * CHOOSE(CONTROL!$C$21, $C$9, 100%, $E$9)</f>
        <v>11.379899999999999</v>
      </c>
      <c r="I392" s="10">
        <f>CHOOSE(CONTROL!$C$42, 11.174, 11.174)* CHOOSE(CONTROL!$C$21, $C$9, 100%, $E$9)</f>
        <v>11.173999999999999</v>
      </c>
      <c r="J392" s="10">
        <f>CHOOSE(CONTROL!$C$42, 11.1324, 11.1324)* CHOOSE(CONTROL!$C$21, $C$9, 100%, $E$9)</f>
        <v>11.132400000000001</v>
      </c>
      <c r="K392" s="10">
        <f>CHOOSE(CONTROL!$C$42, 10.9854, 10.9854) * CHOOSE(CONTROL!$C$21, $C$9, 100%, $E$9)</f>
        <v>10.9854</v>
      </c>
      <c r="L392" s="10">
        <f>CHOOSE(CONTROL!$C$42, 11.9669, 11.9669) * CHOOSE(CONTROL!$C$21, $C$9, 100%, $E$9)</f>
        <v>11.966900000000001</v>
      </c>
      <c r="M392" s="10">
        <f>CHOOSE(CONTROL!$C$42, 11.0102, 11.0102) * CHOOSE(CONTROL!$C$21, $C$9, 100%, $E$9)</f>
        <v>11.010199999999999</v>
      </c>
      <c r="N392" s="10">
        <f>CHOOSE(CONTROL!$C$42, 11.0262, 11.0262) * CHOOSE(CONTROL!$C$21, $C$9, 100%, $E$9)</f>
        <v>11.026199999999999</v>
      </c>
      <c r="O392" s="10">
        <f>CHOOSE(CONTROL!$C$42, 11.2541, 11.2541) * CHOOSE(CONTROL!$C$21, $C$9, 100%, $E$9)</f>
        <v>11.254099999999999</v>
      </c>
      <c r="P392" s="10">
        <f>CHOOSE(CONTROL!$C$42, 11.0512, 11.0512) * CHOOSE(CONTROL!$C$21, $C$9, 100%, $E$9)</f>
        <v>11.0512</v>
      </c>
      <c r="Q392" s="10">
        <f>CHOOSE(CONTROL!$C$42, 11.8494, 11.8494) * CHOOSE(CONTROL!$C$21, $C$9, 100%, $E$9)</f>
        <v>11.849399999999999</v>
      </c>
      <c r="R392" s="10">
        <f>CHOOSE(CONTROL!$C$42, 12.466, 12.466) * CHOOSE(CONTROL!$C$21, $C$9, 100%, $E$9)</f>
        <v>12.465999999999999</v>
      </c>
      <c r="S392" s="10">
        <f>CHOOSE(CONTROL!$C$42, 10.855, 10.855) * CHOOSE(CONTROL!$C$21, $C$9, 100%, $E$9)</f>
        <v>10.855</v>
      </c>
      <c r="T39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392" s="38">
        <f>(1000*CHOOSE(CONTROL!$C$42, 695, 695)*CHOOSE(CONTROL!$C$42, 0.5599, 0.5599)*CHOOSE(CONTROL!$C$42, 31, 31))/1000000</f>
        <v>12.063045499999998</v>
      </c>
      <c r="V392" s="38">
        <f>(1000*CHOOSE(CONTROL!$C$42, 500, 500)*CHOOSE(CONTROL!$C$42, 0.275, 0.275)*CHOOSE(CONTROL!$C$42, 31, 31))/1000000</f>
        <v>4.2625000000000002</v>
      </c>
      <c r="W392" s="38">
        <f>(1000*CHOOSE(CONTROL!$C$42, 0.1146, 0.1146)*CHOOSE(CONTROL!$C$42, 121.5, 121.5)*CHOOSE(CONTROL!$C$42, 31, 31))/1000000</f>
        <v>0.43164089999999994</v>
      </c>
      <c r="X392" s="38">
        <f>(31*0.1790888*245000/1000000)+(31*0.2374*100000/1000000)</f>
        <v>2.0961194359999999</v>
      </c>
      <c r="Y392" s="38">
        <f>(1000*600*CHOOSE(CONTROL!$C$42, 1.0966, 1.0966)*CHOOSE(CONTROL!$C$42, 31, 31))/1000000</f>
        <v>20.39676</v>
      </c>
      <c r="Z392" s="38"/>
      <c r="AA392" s="10"/>
      <c r="AB392" s="39"/>
      <c r="AC392" s="33">
        <f>(B392*194.205+C392*267.466+D392*133.845+E392*53.484+F392*40+G392*185+H392*0+I392*100+J392*300)/(194.205+267.466+133.845+53.484+0+40+185+100+300)</f>
        <v>11.198632585400313</v>
      </c>
      <c r="AD392" s="27">
        <f>(M392*'RAP TEMPLATE-GAS AVAILABILITY'!O391+N392*'RAP TEMPLATE-GAS AVAILABILITY'!P391+O392*'RAP TEMPLATE-GAS AVAILABILITY'!Q391+P392*'RAP TEMPLATE-GAS AVAILABILITY'!R391)/('RAP TEMPLATE-GAS AVAILABILITY'!O391+'RAP TEMPLATE-GAS AVAILABILITY'!P391+'RAP TEMPLATE-GAS AVAILABILITY'!Q391+'RAP TEMPLATE-GAS AVAILABILITY'!R391)</f>
        <v>11.088215107913669</v>
      </c>
    </row>
    <row r="393" spans="1:30" ht="15.75">
      <c r="A393" s="14">
        <v>53235</v>
      </c>
      <c r="B393" s="10">
        <f>CHOOSE(CONTROL!$C$42, 10.4836, 10.4836) * CHOOSE(CONTROL!$C$21, $C$9, 100%, $E$9)</f>
        <v>10.483599999999999</v>
      </c>
      <c r="C393" s="10">
        <f>CHOOSE(CONTROL!$C$42, 10.4916, 10.4916) * CHOOSE(CONTROL!$C$21, $C$9, 100%, $E$9)</f>
        <v>10.4916</v>
      </c>
      <c r="D393" s="10">
        <f>CHOOSE(CONTROL!$C$42, 10.6487, 10.6487) * CHOOSE(CONTROL!$C$21, $C$9, 100%, $E$9)</f>
        <v>10.6487</v>
      </c>
      <c r="E393" s="10">
        <f>CHOOSE(CONTROL!$C$42, 10.6799, 10.6799) * CHOOSE(CONTROL!$C$21, $C$9, 100%, $E$9)</f>
        <v>10.6799</v>
      </c>
      <c r="F393" s="10">
        <f>CHOOSE(CONTROL!$C$42, 10.428, 10.428)*CHOOSE(CONTROL!$C$21, $C$9, 100%, $E$9)</f>
        <v>10.428000000000001</v>
      </c>
      <c r="G393" s="10">
        <f>CHOOSE(CONTROL!$C$42, 10.4442, 10.4442)*CHOOSE(CONTROL!$C$21, $C$9, 100%, $E$9)</f>
        <v>10.4442</v>
      </c>
      <c r="H393" s="10">
        <f>CHOOSE(CONTROL!$C$42, 10.6682, 10.6682) * CHOOSE(CONTROL!$C$21, $C$9, 100%, $E$9)</f>
        <v>10.668200000000001</v>
      </c>
      <c r="I393" s="10">
        <f>CHOOSE(CONTROL!$C$42, 10.4624, 10.4624)* CHOOSE(CONTROL!$C$21, $C$9, 100%, $E$9)</f>
        <v>10.462400000000001</v>
      </c>
      <c r="J393" s="10">
        <f>CHOOSE(CONTROL!$C$42, 10.4206, 10.4206)* CHOOSE(CONTROL!$C$21, $C$9, 100%, $E$9)</f>
        <v>10.4206</v>
      </c>
      <c r="K393" s="10">
        <f>CHOOSE(CONTROL!$C$42, 10.2955, 10.2955) * CHOOSE(CONTROL!$C$21, $C$9, 100%, $E$9)</f>
        <v>10.295500000000001</v>
      </c>
      <c r="L393" s="10">
        <f>CHOOSE(CONTROL!$C$42, 11.2552, 11.2552) * CHOOSE(CONTROL!$C$21, $C$9, 100%, $E$9)</f>
        <v>11.2552</v>
      </c>
      <c r="M393" s="10">
        <f>CHOOSE(CONTROL!$C$42, 10.3083, 10.3083) * CHOOSE(CONTROL!$C$21, $C$9, 100%, $E$9)</f>
        <v>10.308299999999999</v>
      </c>
      <c r="N393" s="10">
        <f>CHOOSE(CONTROL!$C$42, 10.3242, 10.3242) * CHOOSE(CONTROL!$C$21, $C$9, 100%, $E$9)</f>
        <v>10.324199999999999</v>
      </c>
      <c r="O393" s="10">
        <f>CHOOSE(CONTROL!$C$42, 10.5524, 10.5524) * CHOOSE(CONTROL!$C$21, $C$9, 100%, $E$9)</f>
        <v>10.5524</v>
      </c>
      <c r="P393" s="10">
        <f>CHOOSE(CONTROL!$C$42, 10.3495, 10.3495) * CHOOSE(CONTROL!$C$21, $C$9, 100%, $E$9)</f>
        <v>10.349500000000001</v>
      </c>
      <c r="Q393" s="10">
        <f>CHOOSE(CONTROL!$C$42, 11.1477, 11.1477) * CHOOSE(CONTROL!$C$21, $C$9, 100%, $E$9)</f>
        <v>11.1477</v>
      </c>
      <c r="R393" s="10">
        <f>CHOOSE(CONTROL!$C$42, 11.7626, 11.7626) * CHOOSE(CONTROL!$C$21, $C$9, 100%, $E$9)</f>
        <v>11.762600000000001</v>
      </c>
      <c r="S393" s="10">
        <f>CHOOSE(CONTROL!$C$42, 10.1659, 10.1659) * CHOOSE(CONTROL!$C$21, $C$9, 100%, $E$9)</f>
        <v>10.165900000000001</v>
      </c>
      <c r="T39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393" s="38">
        <f>(1000*CHOOSE(CONTROL!$C$42, 695, 695)*CHOOSE(CONTROL!$C$42, 0.5599, 0.5599)*CHOOSE(CONTROL!$C$42, 30, 30))/1000000</f>
        <v>11.673914999999997</v>
      </c>
      <c r="V393" s="38">
        <f>(1000*CHOOSE(CONTROL!$C$42, 500, 500)*CHOOSE(CONTROL!$C$42, 0.275, 0.275)*CHOOSE(CONTROL!$C$42, 30, 30))/1000000</f>
        <v>4.125</v>
      </c>
      <c r="W393" s="38">
        <f>(1000*CHOOSE(CONTROL!$C$42, 0.1146, 0.1146)*CHOOSE(CONTROL!$C$42, 121.5, 121.5)*CHOOSE(CONTROL!$C$42, 30, 30))/1000000</f>
        <v>0.417717</v>
      </c>
      <c r="X393" s="38">
        <f>(30*0.1790888*245000/1000000)+(30*0.2374*100000/1000000)</f>
        <v>2.0285026799999999</v>
      </c>
      <c r="Y393" s="38">
        <f>(1000*600*CHOOSE(CONTROL!$C$42, 1.0966, 1.0966)*CHOOSE(CONTROL!$C$42, 30, 30))/1000000</f>
        <v>19.738800000000001</v>
      </c>
      <c r="Z393" s="38"/>
      <c r="AA393" s="10"/>
      <c r="AB393" s="39"/>
      <c r="AC393" s="33">
        <f>(B393*194.205+C393*267.466+D393*133.845+E393*53.484+F393*40+G393*185+H393*0+I393*100+J393*300)/(194.205+267.466+133.845+53.484+0+40+185+100+300)</f>
        <v>10.486899408712718</v>
      </c>
      <c r="AD393" s="27">
        <f>(M393*'RAP TEMPLATE-GAS AVAILABILITY'!O392+N393*'RAP TEMPLATE-GAS AVAILABILITY'!P392+O393*'RAP TEMPLATE-GAS AVAILABILITY'!Q392+P393*'RAP TEMPLATE-GAS AVAILABILITY'!R392)/('RAP TEMPLATE-GAS AVAILABILITY'!O392+'RAP TEMPLATE-GAS AVAILABILITY'!P392+'RAP TEMPLATE-GAS AVAILABILITY'!Q392+'RAP TEMPLATE-GAS AVAILABILITY'!R392)</f>
        <v>10.386376978417266</v>
      </c>
    </row>
    <row r="394" spans="1:30" ht="15.75">
      <c r="A394" s="14">
        <v>53266</v>
      </c>
      <c r="B394" s="10">
        <f>CHOOSE(CONTROL!$C$42, 10.2683, 10.2683) * CHOOSE(CONTROL!$C$21, $C$9, 100%, $E$9)</f>
        <v>10.2683</v>
      </c>
      <c r="C394" s="10">
        <f>CHOOSE(CONTROL!$C$42, 10.2737, 10.2737) * CHOOSE(CONTROL!$C$21, $C$9, 100%, $E$9)</f>
        <v>10.2737</v>
      </c>
      <c r="D394" s="10">
        <f>CHOOSE(CONTROL!$C$42, 10.4356, 10.4356) * CHOOSE(CONTROL!$C$21, $C$9, 100%, $E$9)</f>
        <v>10.435600000000001</v>
      </c>
      <c r="E394" s="10">
        <f>CHOOSE(CONTROL!$C$42, 10.4645, 10.4645) * CHOOSE(CONTROL!$C$21, $C$9, 100%, $E$9)</f>
        <v>10.464499999999999</v>
      </c>
      <c r="F394" s="10">
        <f>CHOOSE(CONTROL!$C$42, 10.2147, 10.2147)*CHOOSE(CONTROL!$C$21, $C$9, 100%, $E$9)</f>
        <v>10.214700000000001</v>
      </c>
      <c r="G394" s="10">
        <f>CHOOSE(CONTROL!$C$42, 10.2305, 10.2305)*CHOOSE(CONTROL!$C$21, $C$9, 100%, $E$9)</f>
        <v>10.230499999999999</v>
      </c>
      <c r="H394" s="10">
        <f>CHOOSE(CONTROL!$C$42, 10.4546, 10.4546) * CHOOSE(CONTROL!$C$21, $C$9, 100%, $E$9)</f>
        <v>10.454599999999999</v>
      </c>
      <c r="I394" s="10">
        <f>CHOOSE(CONTROL!$C$42, 10.2488, 10.2488)* CHOOSE(CONTROL!$C$21, $C$9, 100%, $E$9)</f>
        <v>10.248799999999999</v>
      </c>
      <c r="J394" s="10">
        <f>CHOOSE(CONTROL!$C$42, 10.2073, 10.2073)* CHOOSE(CONTROL!$C$21, $C$9, 100%, $E$9)</f>
        <v>10.2073</v>
      </c>
      <c r="K394" s="10">
        <f>CHOOSE(CONTROL!$C$42, 10.0893, 10.0893) * CHOOSE(CONTROL!$C$21, $C$9, 100%, $E$9)</f>
        <v>10.0893</v>
      </c>
      <c r="L394" s="10">
        <f>CHOOSE(CONTROL!$C$42, 11.0416, 11.0416) * CHOOSE(CONTROL!$C$21, $C$9, 100%, $E$9)</f>
        <v>11.041600000000001</v>
      </c>
      <c r="M394" s="10">
        <f>CHOOSE(CONTROL!$C$42, 10.0979, 10.0979) * CHOOSE(CONTROL!$C$21, $C$9, 100%, $E$9)</f>
        <v>10.097899999999999</v>
      </c>
      <c r="N394" s="10">
        <f>CHOOSE(CONTROL!$C$42, 10.1135, 10.1135) * CHOOSE(CONTROL!$C$21, $C$9, 100%, $E$9)</f>
        <v>10.1135</v>
      </c>
      <c r="O394" s="10">
        <f>CHOOSE(CONTROL!$C$42, 10.3418, 10.3418) * CHOOSE(CONTROL!$C$21, $C$9, 100%, $E$9)</f>
        <v>10.341799999999999</v>
      </c>
      <c r="P394" s="10">
        <f>CHOOSE(CONTROL!$C$42, 10.1389, 10.1389) * CHOOSE(CONTROL!$C$21, $C$9, 100%, $E$9)</f>
        <v>10.1389</v>
      </c>
      <c r="Q394" s="10">
        <f>CHOOSE(CONTROL!$C$42, 10.9371, 10.9371) * CHOOSE(CONTROL!$C$21, $C$9, 100%, $E$9)</f>
        <v>10.937099999999999</v>
      </c>
      <c r="R394" s="10">
        <f>CHOOSE(CONTROL!$C$42, 11.5515, 11.5515) * CHOOSE(CONTROL!$C$21, $C$9, 100%, $E$9)</f>
        <v>11.551500000000001</v>
      </c>
      <c r="S394" s="10">
        <f>CHOOSE(CONTROL!$C$42, 9.9591, 9.9591) * CHOOSE(CONTROL!$C$21, $C$9, 100%, $E$9)</f>
        <v>9.9590999999999994</v>
      </c>
      <c r="T39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394" s="38">
        <f>(1000*CHOOSE(CONTROL!$C$42, 695, 695)*CHOOSE(CONTROL!$C$42, 0.5599, 0.5599)*CHOOSE(CONTROL!$C$42, 31, 31))/1000000</f>
        <v>12.063045499999998</v>
      </c>
      <c r="V394" s="38">
        <f>(1000*CHOOSE(CONTROL!$C$42, 500, 500)*CHOOSE(CONTROL!$C$42, 0.275, 0.275)*CHOOSE(CONTROL!$C$42, 31, 31))/1000000</f>
        <v>4.2625000000000002</v>
      </c>
      <c r="W394" s="38">
        <f>(1000*CHOOSE(CONTROL!$C$42, 0.1146, 0.1146)*CHOOSE(CONTROL!$C$42, 121.5, 121.5)*CHOOSE(CONTROL!$C$42, 31, 31))/1000000</f>
        <v>0.43164089999999994</v>
      </c>
      <c r="X394" s="38">
        <f>(31*0.1790888*245000/1000000)+(31*0.2374*100000/1000000)</f>
        <v>2.0961194359999999</v>
      </c>
      <c r="Y394" s="38">
        <f>(1000*600*CHOOSE(CONTROL!$C$42, 1.0966, 1.0966)*CHOOSE(CONTROL!$C$42, 31, 31))/1000000</f>
        <v>20.39676</v>
      </c>
      <c r="Z394" s="38"/>
      <c r="AA394" s="10"/>
      <c r="AB394" s="39"/>
      <c r="AC394" s="33">
        <f>(B394*131.881+C394*277.167+D394*79.08+E394*125.872+F394*40+G394*185+H394*0+I394*100+J394*300)/(131.881+277.167+79.08+125.872+0+40+185+100+300)</f>
        <v>10.27639997756255</v>
      </c>
      <c r="AD394" s="27">
        <f>(M394*'RAP TEMPLATE-GAS AVAILABILITY'!O393+N394*'RAP TEMPLATE-GAS AVAILABILITY'!P393+O394*'RAP TEMPLATE-GAS AVAILABILITY'!Q393+P394*'RAP TEMPLATE-GAS AVAILABILITY'!R393)/('RAP TEMPLATE-GAS AVAILABILITY'!O393+'RAP TEMPLATE-GAS AVAILABILITY'!P393+'RAP TEMPLATE-GAS AVAILABILITY'!Q393+'RAP TEMPLATE-GAS AVAILABILITY'!R393)</f>
        <v>10.175823021582733</v>
      </c>
    </row>
    <row r="395" spans="1:30" ht="15.75">
      <c r="A395" s="14">
        <v>53296</v>
      </c>
      <c r="B395" s="10">
        <f>CHOOSE(CONTROL!$C$42, 10.5388, 10.5388) * CHOOSE(CONTROL!$C$21, $C$9, 100%, $E$9)</f>
        <v>10.5388</v>
      </c>
      <c r="C395" s="10">
        <f>CHOOSE(CONTROL!$C$42, 10.5439, 10.5439) * CHOOSE(CONTROL!$C$21, $C$9, 100%, $E$9)</f>
        <v>10.543900000000001</v>
      </c>
      <c r="D395" s="10">
        <f>CHOOSE(CONTROL!$C$42, 10.5686, 10.5686) * CHOOSE(CONTROL!$C$21, $C$9, 100%, $E$9)</f>
        <v>10.5686</v>
      </c>
      <c r="E395" s="10">
        <f>CHOOSE(CONTROL!$C$42, 10.6024, 10.6024) * CHOOSE(CONTROL!$C$21, $C$9, 100%, $E$9)</f>
        <v>10.602399999999999</v>
      </c>
      <c r="F395" s="10">
        <f>CHOOSE(CONTROL!$C$42, 10.5072, 10.5072)*CHOOSE(CONTROL!$C$21, $C$9, 100%, $E$9)</f>
        <v>10.507199999999999</v>
      </c>
      <c r="G395" s="10">
        <f>CHOOSE(CONTROL!$C$42, 10.5232, 10.5232)*CHOOSE(CONTROL!$C$21, $C$9, 100%, $E$9)</f>
        <v>10.523199999999999</v>
      </c>
      <c r="H395" s="10">
        <f>CHOOSE(CONTROL!$C$42, 10.5913, 10.5913) * CHOOSE(CONTROL!$C$21, $C$9, 100%, $E$9)</f>
        <v>10.5913</v>
      </c>
      <c r="I395" s="10">
        <f>CHOOSE(CONTROL!$C$42, 10.5538, 10.5538)* CHOOSE(CONTROL!$C$21, $C$9, 100%, $E$9)</f>
        <v>10.553800000000001</v>
      </c>
      <c r="J395" s="10">
        <f>CHOOSE(CONTROL!$C$42, 10.4998, 10.4998)* CHOOSE(CONTROL!$C$21, $C$9, 100%, $E$9)</f>
        <v>10.4998</v>
      </c>
      <c r="K395" s="10">
        <f>CHOOSE(CONTROL!$C$42, 10.387, 10.387) * CHOOSE(CONTROL!$C$21, $C$9, 100%, $E$9)</f>
        <v>10.387</v>
      </c>
      <c r="L395" s="10">
        <f>CHOOSE(CONTROL!$C$42, 11.1783, 11.1783) * CHOOSE(CONTROL!$C$21, $C$9, 100%, $E$9)</f>
        <v>11.1783</v>
      </c>
      <c r="M395" s="10">
        <f>CHOOSE(CONTROL!$C$42, 10.3863, 10.3863) * CHOOSE(CONTROL!$C$21, $C$9, 100%, $E$9)</f>
        <v>10.3863</v>
      </c>
      <c r="N395" s="10">
        <f>CHOOSE(CONTROL!$C$42, 10.4021, 10.4021) * CHOOSE(CONTROL!$C$21, $C$9, 100%, $E$9)</f>
        <v>10.402100000000001</v>
      </c>
      <c r="O395" s="10">
        <f>CHOOSE(CONTROL!$C$42, 10.4766, 10.4766) * CHOOSE(CONTROL!$C$21, $C$9, 100%, $E$9)</f>
        <v>10.476599999999999</v>
      </c>
      <c r="P395" s="10">
        <f>CHOOSE(CONTROL!$C$42, 10.4397, 10.4397) * CHOOSE(CONTROL!$C$21, $C$9, 100%, $E$9)</f>
        <v>10.4397</v>
      </c>
      <c r="Q395" s="10">
        <f>CHOOSE(CONTROL!$C$42, 11.0719, 11.0719) * CHOOSE(CONTROL!$C$21, $C$9, 100%, $E$9)</f>
        <v>11.071899999999999</v>
      </c>
      <c r="R395" s="10">
        <f>CHOOSE(CONTROL!$C$42, 11.6866, 11.6866) * CHOOSE(CONTROL!$C$21, $C$9, 100%, $E$9)</f>
        <v>11.6866</v>
      </c>
      <c r="S395" s="10">
        <f>CHOOSE(CONTROL!$C$42, 10.2214, 10.2214) * CHOOSE(CONTROL!$C$21, $C$9, 100%, $E$9)</f>
        <v>10.221399999999999</v>
      </c>
      <c r="T39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395" s="38">
        <f>(1000*CHOOSE(CONTROL!$C$42, 695, 695)*CHOOSE(CONTROL!$C$42, 0.5599, 0.5599)*CHOOSE(CONTROL!$C$42, 30, 30))/1000000</f>
        <v>11.673914999999997</v>
      </c>
      <c r="V395" s="38">
        <f>(1000*CHOOSE(CONTROL!$C$42, 500, 500)*CHOOSE(CONTROL!$C$42, 0.275, 0.275)*CHOOSE(CONTROL!$C$42, 30, 30))/1000000</f>
        <v>4.125</v>
      </c>
      <c r="W395" s="38">
        <f>(1000*CHOOSE(CONTROL!$C$42, 0.1146, 0.1146)*CHOOSE(CONTROL!$C$42, 121.5, 121.5)*CHOOSE(CONTROL!$C$42, 30, 30))/1000000</f>
        <v>0.417717</v>
      </c>
      <c r="X395" s="38">
        <f>(30*0.1790888*100000/1000000)+(30*0.2374*100000/1000000)</f>
        <v>1.2494664</v>
      </c>
      <c r="Y395" s="38">
        <f>(1000*600*CHOOSE(CONTROL!$C$42, 1.0966, 1.0966)*CHOOSE(CONTROL!$C$42, 30, 30))/1000000</f>
        <v>19.738800000000001</v>
      </c>
      <c r="Z395" s="38"/>
      <c r="AA395" s="10"/>
      <c r="AB395" s="39"/>
      <c r="AC395" s="33">
        <f>(B395*122.58+C395*297.941+D395*89.177+E395*40.302+F395*40+G395*160+H395*0+I395*100+J395*300)/(122.58+297.941+89.177+40.302+0+40+160+100+300)</f>
        <v>10.532521896434785</v>
      </c>
      <c r="AD395" s="27">
        <f>(M395*'RAP TEMPLATE-GAS AVAILABILITY'!O394+N395*'RAP TEMPLATE-GAS AVAILABILITY'!P394+O395*'RAP TEMPLATE-GAS AVAILABILITY'!Q394+P395*'RAP TEMPLATE-GAS AVAILABILITY'!R394)/('RAP TEMPLATE-GAS AVAILABILITY'!O394+'RAP TEMPLATE-GAS AVAILABILITY'!P394+'RAP TEMPLATE-GAS AVAILABILITY'!Q394+'RAP TEMPLATE-GAS AVAILABILITY'!R394)</f>
        <v>10.435820143884893</v>
      </c>
    </row>
    <row r="396" spans="1:30" ht="15.75">
      <c r="A396" s="14">
        <v>53327</v>
      </c>
      <c r="B396" s="10">
        <f>CHOOSE(CONTROL!$C$42, 11.2585, 11.2585) * CHOOSE(CONTROL!$C$21, $C$9, 100%, $E$9)</f>
        <v>11.2585</v>
      </c>
      <c r="C396" s="10">
        <f>CHOOSE(CONTROL!$C$42, 11.2636, 11.2636) * CHOOSE(CONTROL!$C$21, $C$9, 100%, $E$9)</f>
        <v>11.2636</v>
      </c>
      <c r="D396" s="10">
        <f>CHOOSE(CONTROL!$C$42, 11.2883, 11.2883) * CHOOSE(CONTROL!$C$21, $C$9, 100%, $E$9)</f>
        <v>11.2883</v>
      </c>
      <c r="E396" s="10">
        <f>CHOOSE(CONTROL!$C$42, 11.3221, 11.3221) * CHOOSE(CONTROL!$C$21, $C$9, 100%, $E$9)</f>
        <v>11.322100000000001</v>
      </c>
      <c r="F396" s="10">
        <f>CHOOSE(CONTROL!$C$42, 11.2288, 11.2288)*CHOOSE(CONTROL!$C$21, $C$9, 100%, $E$9)</f>
        <v>11.2288</v>
      </c>
      <c r="G396" s="10">
        <f>CHOOSE(CONTROL!$C$42, 11.2452, 11.2452)*CHOOSE(CONTROL!$C$21, $C$9, 100%, $E$9)</f>
        <v>11.245200000000001</v>
      </c>
      <c r="H396" s="10">
        <f>CHOOSE(CONTROL!$C$42, 11.311, 11.311) * CHOOSE(CONTROL!$C$21, $C$9, 100%, $E$9)</f>
        <v>11.311</v>
      </c>
      <c r="I396" s="10">
        <f>CHOOSE(CONTROL!$C$42, 11.2735, 11.2735)* CHOOSE(CONTROL!$C$21, $C$9, 100%, $E$9)</f>
        <v>11.2735</v>
      </c>
      <c r="J396" s="10">
        <f>CHOOSE(CONTROL!$C$42, 11.2214, 11.2214)* CHOOSE(CONTROL!$C$21, $C$9, 100%, $E$9)</f>
        <v>11.221399999999999</v>
      </c>
      <c r="K396" s="10">
        <f>CHOOSE(CONTROL!$C$42, 11.0883, 11.0883) * CHOOSE(CONTROL!$C$21, $C$9, 100%, $E$9)</f>
        <v>11.0883</v>
      </c>
      <c r="L396" s="10">
        <f>CHOOSE(CONTROL!$C$42, 11.898, 11.898) * CHOOSE(CONTROL!$C$21, $C$9, 100%, $E$9)</f>
        <v>11.898</v>
      </c>
      <c r="M396" s="10">
        <f>CHOOSE(CONTROL!$C$42, 11.0978, 11.0978) * CHOOSE(CONTROL!$C$21, $C$9, 100%, $E$9)</f>
        <v>11.097799999999999</v>
      </c>
      <c r="N396" s="10">
        <f>CHOOSE(CONTROL!$C$42, 11.1141, 11.1141) * CHOOSE(CONTROL!$C$21, $C$9, 100%, $E$9)</f>
        <v>11.114100000000001</v>
      </c>
      <c r="O396" s="10">
        <f>CHOOSE(CONTROL!$C$42, 11.1862, 11.1862) * CHOOSE(CONTROL!$C$21, $C$9, 100%, $E$9)</f>
        <v>11.186199999999999</v>
      </c>
      <c r="P396" s="10">
        <f>CHOOSE(CONTROL!$C$42, 11.1493, 11.1493) * CHOOSE(CONTROL!$C$21, $C$9, 100%, $E$9)</f>
        <v>11.1493</v>
      </c>
      <c r="Q396" s="10">
        <f>CHOOSE(CONTROL!$C$42, 11.7815, 11.7815) * CHOOSE(CONTROL!$C$21, $C$9, 100%, $E$9)</f>
        <v>11.781499999999999</v>
      </c>
      <c r="R396" s="10">
        <f>CHOOSE(CONTROL!$C$42, 12.3979, 12.3979) * CHOOSE(CONTROL!$C$21, $C$9, 100%, $E$9)</f>
        <v>12.3979</v>
      </c>
      <c r="S396" s="10">
        <f>CHOOSE(CONTROL!$C$42, 10.9182, 10.9182) * CHOOSE(CONTROL!$C$21, $C$9, 100%, $E$9)</f>
        <v>10.918200000000001</v>
      </c>
      <c r="T39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396" s="38">
        <f>(1000*CHOOSE(CONTROL!$C$42, 695, 695)*CHOOSE(CONTROL!$C$42, 0.5599, 0.5599)*CHOOSE(CONTROL!$C$42, 31, 31))/1000000</f>
        <v>12.063045499999998</v>
      </c>
      <c r="V396" s="38">
        <f>(1000*CHOOSE(CONTROL!$C$42, 500, 500)*CHOOSE(CONTROL!$C$42, 0.275, 0.275)*CHOOSE(CONTROL!$C$42, 31, 31))/1000000</f>
        <v>4.2625000000000002</v>
      </c>
      <c r="W396" s="38">
        <f>(1000*CHOOSE(CONTROL!$C$42, 0.1146, 0.1146)*CHOOSE(CONTROL!$C$42, 121.5, 121.5)*CHOOSE(CONTROL!$C$42, 31, 31))/1000000</f>
        <v>0.43164089999999994</v>
      </c>
      <c r="X396" s="38">
        <f>(31*0.1790888*100000/1000000)+(31*0.2374*100000/1000000)</f>
        <v>1.2911152800000001</v>
      </c>
      <c r="Y396" s="38">
        <f>(1000*600*CHOOSE(CONTROL!$C$42, 1.0966, 1.0966)*CHOOSE(CONTROL!$C$42, 31, 31))/1000000</f>
        <v>20.39676</v>
      </c>
      <c r="Z396" s="38"/>
      <c r="AA396" s="10"/>
      <c r="AB396" s="39"/>
      <c r="AC396" s="33">
        <f>(B396*122.58+C396*297.941+D396*89.177+E396*40.302+F396*40+G396*160+H396*0+I396*100+J396*300)/(122.58+297.941+89.177+40.302+0+40+160+100+300)</f>
        <v>11.253103635565218</v>
      </c>
      <c r="AD396" s="27">
        <f>(M396*'RAP TEMPLATE-GAS AVAILABILITY'!O395+N396*'RAP TEMPLATE-GAS AVAILABILITY'!P395+O396*'RAP TEMPLATE-GAS AVAILABILITY'!Q395+P396*'RAP TEMPLATE-GAS AVAILABILITY'!R395)/('RAP TEMPLATE-GAS AVAILABILITY'!O395+'RAP TEMPLATE-GAS AVAILABILITY'!P395+'RAP TEMPLATE-GAS AVAILABILITY'!Q395+'RAP TEMPLATE-GAS AVAILABILITY'!R395)</f>
        <v>11.146214388489208</v>
      </c>
    </row>
    <row r="397" spans="1:30" ht="15.75">
      <c r="A397" s="14">
        <v>53358</v>
      </c>
      <c r="B397" s="10">
        <f>CHOOSE(CONTROL!$C$42, 12.0195, 12.0195) * CHOOSE(CONTROL!$C$21, $C$9, 100%, $E$9)</f>
        <v>12.019500000000001</v>
      </c>
      <c r="C397" s="10">
        <f>CHOOSE(CONTROL!$C$42, 12.0246, 12.0246) * CHOOSE(CONTROL!$C$21, $C$9, 100%, $E$9)</f>
        <v>12.0246</v>
      </c>
      <c r="D397" s="10">
        <f>CHOOSE(CONTROL!$C$42, 12.057, 12.057) * CHOOSE(CONTROL!$C$21, $C$9, 100%, $E$9)</f>
        <v>12.057</v>
      </c>
      <c r="E397" s="10">
        <f>CHOOSE(CONTROL!$C$42, 12.0908, 12.0908) * CHOOSE(CONTROL!$C$21, $C$9, 100%, $E$9)</f>
        <v>12.0908</v>
      </c>
      <c r="F397" s="10">
        <f>CHOOSE(CONTROL!$C$42, 12.0037, 12.0037)*CHOOSE(CONTROL!$C$21, $C$9, 100%, $E$9)</f>
        <v>12.0037</v>
      </c>
      <c r="G397" s="10">
        <f>CHOOSE(CONTROL!$C$42, 12.0217, 12.0217)*CHOOSE(CONTROL!$C$21, $C$9, 100%, $E$9)</f>
        <v>12.021699999999999</v>
      </c>
      <c r="H397" s="10">
        <f>CHOOSE(CONTROL!$C$42, 12.0797, 12.0797) * CHOOSE(CONTROL!$C$21, $C$9, 100%, $E$9)</f>
        <v>12.079700000000001</v>
      </c>
      <c r="I397" s="10">
        <f>CHOOSE(CONTROL!$C$42, 12.0329, 12.0329)* CHOOSE(CONTROL!$C$21, $C$9, 100%, $E$9)</f>
        <v>12.0329</v>
      </c>
      <c r="J397" s="10">
        <f>CHOOSE(CONTROL!$C$42, 11.9963, 11.9963)* CHOOSE(CONTROL!$C$21, $C$9, 100%, $E$9)</f>
        <v>11.9963</v>
      </c>
      <c r="K397" s="10">
        <f>CHOOSE(CONTROL!$C$42, 11.8379, 11.8379) * CHOOSE(CONTROL!$C$21, $C$9, 100%, $E$9)</f>
        <v>11.837899999999999</v>
      </c>
      <c r="L397" s="10">
        <f>CHOOSE(CONTROL!$C$42, 12.6667, 12.6667) * CHOOSE(CONTROL!$C$21, $C$9, 100%, $E$9)</f>
        <v>12.666700000000001</v>
      </c>
      <c r="M397" s="10">
        <f>CHOOSE(CONTROL!$C$42, 11.8619, 11.8619) * CHOOSE(CONTROL!$C$21, $C$9, 100%, $E$9)</f>
        <v>11.8619</v>
      </c>
      <c r="N397" s="10">
        <f>CHOOSE(CONTROL!$C$42, 11.8797, 11.8797) * CHOOSE(CONTROL!$C$21, $C$9, 100%, $E$9)</f>
        <v>11.8797</v>
      </c>
      <c r="O397" s="10">
        <f>CHOOSE(CONTROL!$C$42, 11.9442, 11.9442) * CHOOSE(CONTROL!$C$21, $C$9, 100%, $E$9)</f>
        <v>11.9442</v>
      </c>
      <c r="P397" s="10">
        <f>CHOOSE(CONTROL!$C$42, 11.8981, 11.8981) * CHOOSE(CONTROL!$C$21, $C$9, 100%, $E$9)</f>
        <v>11.898099999999999</v>
      </c>
      <c r="Q397" s="10">
        <f>CHOOSE(CONTROL!$C$42, 12.5395, 12.5395) * CHOOSE(CONTROL!$C$21, $C$9, 100%, $E$9)</f>
        <v>12.5395</v>
      </c>
      <c r="R397" s="10">
        <f>CHOOSE(CONTROL!$C$42, 13.1578, 13.1578) * CHOOSE(CONTROL!$C$21, $C$9, 100%, $E$9)</f>
        <v>13.1578</v>
      </c>
      <c r="S397" s="10">
        <f>CHOOSE(CONTROL!$C$42, 11.6551, 11.6551) * CHOOSE(CONTROL!$C$21, $C$9, 100%, $E$9)</f>
        <v>11.655099999999999</v>
      </c>
      <c r="T39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397" s="38">
        <f>(1000*CHOOSE(CONTROL!$C$42, 695, 695)*CHOOSE(CONTROL!$C$42, 0.5599, 0.5599)*CHOOSE(CONTROL!$C$42, 31, 31))/1000000</f>
        <v>12.063045499999998</v>
      </c>
      <c r="V397" s="38">
        <f>(1000*CHOOSE(CONTROL!$C$42, 500, 500)*CHOOSE(CONTROL!$C$42, 0.275, 0.275)*CHOOSE(CONTROL!$C$42, 31, 31))/1000000</f>
        <v>4.2625000000000002</v>
      </c>
      <c r="W397" s="38">
        <f>(1000*CHOOSE(CONTROL!$C$42, 0.1146, 0.1146)*CHOOSE(CONTROL!$C$42, 121.5, 121.5)*CHOOSE(CONTROL!$C$42, 31, 31))/1000000</f>
        <v>0.43164089999999994</v>
      </c>
      <c r="X397" s="38">
        <f>(31*0.1790888*100000/1000000)+(31*0.2374*100000/1000000)</f>
        <v>1.2911152800000001</v>
      </c>
      <c r="Y397" s="38">
        <f>(1000*600*CHOOSE(CONTROL!$C$42, 1.0931, 1.0931)*CHOOSE(CONTROL!$C$42, 31, 31))/1000000</f>
        <v>20.331659999999999</v>
      </c>
      <c r="Z397" s="38"/>
      <c r="AA397" s="10"/>
      <c r="AB397" s="39"/>
      <c r="AC397" s="33">
        <f>(B397*122.58+C397*297.941+D397*89.177+E397*40.302+F397*40+G397*160+H397*0+I397*100+J397*300)/(122.58+297.941+89.177+40.302+0+40+160+100+300)</f>
        <v>12.021097538434782</v>
      </c>
      <c r="AD397" s="27">
        <f>(M397*'RAP TEMPLATE-GAS AVAILABILITY'!O396+N397*'RAP TEMPLATE-GAS AVAILABILITY'!P396+O397*'RAP TEMPLATE-GAS AVAILABILITY'!Q396+P397*'RAP TEMPLATE-GAS AVAILABILITY'!R396)/('RAP TEMPLATE-GAS AVAILABILITY'!O396+'RAP TEMPLATE-GAS AVAILABILITY'!P396+'RAP TEMPLATE-GAS AVAILABILITY'!Q396+'RAP TEMPLATE-GAS AVAILABILITY'!R396)</f>
        <v>11.9054345323741</v>
      </c>
    </row>
    <row r="398" spans="1:30" ht="15.75">
      <c r="A398" s="14">
        <v>53386</v>
      </c>
      <c r="B398" s="10">
        <f>CHOOSE(CONTROL!$C$42, 12.2337, 12.2337) * CHOOSE(CONTROL!$C$21, $C$9, 100%, $E$9)</f>
        <v>12.233700000000001</v>
      </c>
      <c r="C398" s="10">
        <f>CHOOSE(CONTROL!$C$42, 12.2388, 12.2388) * CHOOSE(CONTROL!$C$21, $C$9, 100%, $E$9)</f>
        <v>12.238799999999999</v>
      </c>
      <c r="D398" s="10">
        <f>CHOOSE(CONTROL!$C$42, 12.2712, 12.2712) * CHOOSE(CONTROL!$C$21, $C$9, 100%, $E$9)</f>
        <v>12.2712</v>
      </c>
      <c r="E398" s="10">
        <f>CHOOSE(CONTROL!$C$42, 12.3051, 12.3051) * CHOOSE(CONTROL!$C$21, $C$9, 100%, $E$9)</f>
        <v>12.305099999999999</v>
      </c>
      <c r="F398" s="10">
        <f>CHOOSE(CONTROL!$C$42, 12.2174, 12.2174)*CHOOSE(CONTROL!$C$21, $C$9, 100%, $E$9)</f>
        <v>12.2174</v>
      </c>
      <c r="G398" s="10">
        <f>CHOOSE(CONTROL!$C$42, 12.2354, 12.2354)*CHOOSE(CONTROL!$C$21, $C$9, 100%, $E$9)</f>
        <v>12.2354</v>
      </c>
      <c r="H398" s="10">
        <f>CHOOSE(CONTROL!$C$42, 12.2939, 12.2939) * CHOOSE(CONTROL!$C$21, $C$9, 100%, $E$9)</f>
        <v>12.293900000000001</v>
      </c>
      <c r="I398" s="10">
        <f>CHOOSE(CONTROL!$C$42, 12.2472, 12.2472)* CHOOSE(CONTROL!$C$21, $C$9, 100%, $E$9)</f>
        <v>12.247199999999999</v>
      </c>
      <c r="J398" s="10">
        <f>CHOOSE(CONTROL!$C$42, 12.21, 12.21)* CHOOSE(CONTROL!$C$21, $C$9, 100%, $E$9)</f>
        <v>12.21</v>
      </c>
      <c r="K398" s="10">
        <f>CHOOSE(CONTROL!$C$42, 12.0445, 12.0445) * CHOOSE(CONTROL!$C$21, $C$9, 100%, $E$9)</f>
        <v>12.044499999999999</v>
      </c>
      <c r="L398" s="10">
        <f>CHOOSE(CONTROL!$C$42, 12.8809, 12.8809) * CHOOSE(CONTROL!$C$21, $C$9, 100%, $E$9)</f>
        <v>12.8809</v>
      </c>
      <c r="M398" s="10">
        <f>CHOOSE(CONTROL!$C$42, 12.0727, 12.0727) * CHOOSE(CONTROL!$C$21, $C$9, 100%, $E$9)</f>
        <v>12.072699999999999</v>
      </c>
      <c r="N398" s="10">
        <f>CHOOSE(CONTROL!$C$42, 12.0904, 12.0904) * CHOOSE(CONTROL!$C$21, $C$9, 100%, $E$9)</f>
        <v>12.090400000000001</v>
      </c>
      <c r="O398" s="10">
        <f>CHOOSE(CONTROL!$C$42, 12.1554, 12.1554) * CHOOSE(CONTROL!$C$21, $C$9, 100%, $E$9)</f>
        <v>12.1554</v>
      </c>
      <c r="P398" s="10">
        <f>CHOOSE(CONTROL!$C$42, 12.1094, 12.1094) * CHOOSE(CONTROL!$C$21, $C$9, 100%, $E$9)</f>
        <v>12.109400000000001</v>
      </c>
      <c r="Q398" s="10">
        <f>CHOOSE(CONTROL!$C$42, 12.7507, 12.7507) * CHOOSE(CONTROL!$C$21, $C$9, 100%, $E$9)</f>
        <v>12.7507</v>
      </c>
      <c r="R398" s="10">
        <f>CHOOSE(CONTROL!$C$42, 13.3696, 13.3696) * CHOOSE(CONTROL!$C$21, $C$9, 100%, $E$9)</f>
        <v>13.3696</v>
      </c>
      <c r="S398" s="10">
        <f>CHOOSE(CONTROL!$C$42, 11.8626, 11.8626) * CHOOSE(CONTROL!$C$21, $C$9, 100%, $E$9)</f>
        <v>11.8626</v>
      </c>
      <c r="T39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398" s="38">
        <f>(1000*CHOOSE(CONTROL!$C$42, 695, 695)*CHOOSE(CONTROL!$C$42, 0.5599, 0.5599)*CHOOSE(CONTROL!$C$42, 28, 28))/1000000</f>
        <v>10.895653999999999</v>
      </c>
      <c r="V398" s="38">
        <f>(1000*CHOOSE(CONTROL!$C$42, 500, 500)*CHOOSE(CONTROL!$C$42, 0.275, 0.275)*CHOOSE(CONTROL!$C$42, 28, 28))/1000000</f>
        <v>3.85</v>
      </c>
      <c r="W398" s="38">
        <f>(1000*CHOOSE(CONTROL!$C$42, 0.1146, 0.1146)*CHOOSE(CONTROL!$C$42, 121.5, 121.5)*CHOOSE(CONTROL!$C$42, 28, 28))/1000000</f>
        <v>0.38986920000000003</v>
      </c>
      <c r="X398" s="38">
        <f>(28*0.1790888*100000/1000000)+(28*0.2374*100000/1000000)</f>
        <v>1.16616864</v>
      </c>
      <c r="Y398" s="38">
        <f>(1000*600*CHOOSE(CONTROL!$C$42, 1.0931, 1.0931)*CHOOSE(CONTROL!$C$42, 28, 28))/1000000</f>
        <v>18.364080000000001</v>
      </c>
      <c r="Z398" s="38"/>
      <c r="AA398" s="10"/>
      <c r="AB398" s="39"/>
      <c r="AC398" s="33">
        <f>(B398*122.58+C398*297.941+D398*89.177+E398*40.302+F398*40+G398*160+H398*0+I398*100+J398*300)/(122.58+297.941+89.177+40.302+0+40+160+100+300)</f>
        <v>12.235092347304347</v>
      </c>
      <c r="AD398" s="27">
        <f>(M398*'RAP TEMPLATE-GAS AVAILABILITY'!O397+N398*'RAP TEMPLATE-GAS AVAILABILITY'!P397+O398*'RAP TEMPLATE-GAS AVAILABILITY'!Q397+P398*'RAP TEMPLATE-GAS AVAILABILITY'!R397)/('RAP TEMPLATE-GAS AVAILABILITY'!O397+'RAP TEMPLATE-GAS AVAILABILITY'!P397+'RAP TEMPLATE-GAS AVAILABILITY'!Q397+'RAP TEMPLATE-GAS AVAILABILITY'!R397)</f>
        <v>12.11648201438849</v>
      </c>
    </row>
    <row r="399" spans="1:30" ht="15.75">
      <c r="A399" s="14">
        <v>53417</v>
      </c>
      <c r="B399" s="10">
        <f>CHOOSE(CONTROL!$C$42, 11.8859, 11.8859) * CHOOSE(CONTROL!$C$21, $C$9, 100%, $E$9)</f>
        <v>11.885899999999999</v>
      </c>
      <c r="C399" s="10">
        <f>CHOOSE(CONTROL!$C$42, 11.891, 11.891) * CHOOSE(CONTROL!$C$21, $C$9, 100%, $E$9)</f>
        <v>11.891</v>
      </c>
      <c r="D399" s="10">
        <f>CHOOSE(CONTROL!$C$42, 11.9235, 11.9235) * CHOOSE(CONTROL!$C$21, $C$9, 100%, $E$9)</f>
        <v>11.923500000000001</v>
      </c>
      <c r="E399" s="10">
        <f>CHOOSE(CONTROL!$C$42, 11.9573, 11.9573) * CHOOSE(CONTROL!$C$21, $C$9, 100%, $E$9)</f>
        <v>11.9573</v>
      </c>
      <c r="F399" s="10">
        <f>CHOOSE(CONTROL!$C$42, 11.8682, 11.8682)*CHOOSE(CONTROL!$C$21, $C$9, 100%, $E$9)</f>
        <v>11.8682</v>
      </c>
      <c r="G399" s="10">
        <f>CHOOSE(CONTROL!$C$42, 11.8858, 11.8858)*CHOOSE(CONTROL!$C$21, $C$9, 100%, $E$9)</f>
        <v>11.8858</v>
      </c>
      <c r="H399" s="10">
        <f>CHOOSE(CONTROL!$C$42, 11.9461, 11.9461) * CHOOSE(CONTROL!$C$21, $C$9, 100%, $E$9)</f>
        <v>11.946099999999999</v>
      </c>
      <c r="I399" s="10">
        <f>CHOOSE(CONTROL!$C$42, 11.8994, 11.8994)* CHOOSE(CONTROL!$C$21, $C$9, 100%, $E$9)</f>
        <v>11.8994</v>
      </c>
      <c r="J399" s="10">
        <f>CHOOSE(CONTROL!$C$42, 11.8608, 11.8608)* CHOOSE(CONTROL!$C$21, $C$9, 100%, $E$9)</f>
        <v>11.860799999999999</v>
      </c>
      <c r="K399" s="10">
        <f>CHOOSE(CONTROL!$C$42, 11.7044, 11.7044) * CHOOSE(CONTROL!$C$21, $C$9, 100%, $E$9)</f>
        <v>11.7044</v>
      </c>
      <c r="L399" s="10">
        <f>CHOOSE(CONTROL!$C$42, 12.5331, 12.5331) * CHOOSE(CONTROL!$C$21, $C$9, 100%, $E$9)</f>
        <v>12.533099999999999</v>
      </c>
      <c r="M399" s="10">
        <f>CHOOSE(CONTROL!$C$42, 11.7283, 11.7283) * CHOOSE(CONTROL!$C$21, $C$9, 100%, $E$9)</f>
        <v>11.728300000000001</v>
      </c>
      <c r="N399" s="10">
        <f>CHOOSE(CONTROL!$C$42, 11.7457, 11.7457) * CHOOSE(CONTROL!$C$21, $C$9, 100%, $E$9)</f>
        <v>11.745699999999999</v>
      </c>
      <c r="O399" s="10">
        <f>CHOOSE(CONTROL!$C$42, 11.8125, 11.8125) * CHOOSE(CONTROL!$C$21, $C$9, 100%, $E$9)</f>
        <v>11.8125</v>
      </c>
      <c r="P399" s="10">
        <f>CHOOSE(CONTROL!$C$42, 11.7664, 11.7664) * CHOOSE(CONTROL!$C$21, $C$9, 100%, $E$9)</f>
        <v>11.766400000000001</v>
      </c>
      <c r="Q399" s="10">
        <f>CHOOSE(CONTROL!$C$42, 12.4078, 12.4078) * CHOOSE(CONTROL!$C$21, $C$9, 100%, $E$9)</f>
        <v>12.4078</v>
      </c>
      <c r="R399" s="10">
        <f>CHOOSE(CONTROL!$C$42, 13.0258, 13.0258) * CHOOSE(CONTROL!$C$21, $C$9, 100%, $E$9)</f>
        <v>13.0258</v>
      </c>
      <c r="S399" s="10">
        <f>CHOOSE(CONTROL!$C$42, 11.5258, 11.5258) * CHOOSE(CONTROL!$C$21, $C$9, 100%, $E$9)</f>
        <v>11.5258</v>
      </c>
      <c r="T39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399" s="38">
        <f>(1000*CHOOSE(CONTROL!$C$42, 695, 695)*CHOOSE(CONTROL!$C$42, 0.5599, 0.5599)*CHOOSE(CONTROL!$C$42, 31, 31))/1000000</f>
        <v>12.063045499999998</v>
      </c>
      <c r="V399" s="38">
        <f>(1000*CHOOSE(CONTROL!$C$42, 500, 500)*CHOOSE(CONTROL!$C$42, 0.275, 0.275)*CHOOSE(CONTROL!$C$42, 31, 31))/1000000</f>
        <v>4.2625000000000002</v>
      </c>
      <c r="W399" s="38">
        <f>(1000*CHOOSE(CONTROL!$C$42, 0.1146, 0.1146)*CHOOSE(CONTROL!$C$42, 121.5, 121.5)*CHOOSE(CONTROL!$C$42, 31, 31))/1000000</f>
        <v>0.43164089999999994</v>
      </c>
      <c r="X399" s="38">
        <f>(31*0.1790888*100000/1000000)+(31*0.2374*100000/1000000)</f>
        <v>1.2911152800000001</v>
      </c>
      <c r="Y399" s="38">
        <f>(1000*600*CHOOSE(CONTROL!$C$42, 1.0931, 1.0931)*CHOOSE(CONTROL!$C$42, 31, 31))/1000000</f>
        <v>20.331659999999999</v>
      </c>
      <c r="Z399" s="38"/>
      <c r="AA399" s="10"/>
      <c r="AB399" s="39"/>
      <c r="AC399" s="33">
        <f>(B399*122.58+C399*297.941+D399*89.177+E399*40.302+F399*40+G399*160+H399*0+I399*100+J399*300)/(122.58+297.941+89.177+40.302+0+40+160+100+300)</f>
        <v>11.886635754</v>
      </c>
      <c r="AD399" s="27">
        <f>(M399*'RAP TEMPLATE-GAS AVAILABILITY'!O398+N399*'RAP TEMPLATE-GAS AVAILABILITY'!P398+O399*'RAP TEMPLATE-GAS AVAILABILITY'!Q398+P399*'RAP TEMPLATE-GAS AVAILABILITY'!R398)/('RAP TEMPLATE-GAS AVAILABILITY'!O398+'RAP TEMPLATE-GAS AVAILABILITY'!P398+'RAP TEMPLATE-GAS AVAILABILITY'!Q398+'RAP TEMPLATE-GAS AVAILABILITY'!R398)</f>
        <v>11.772946043165469</v>
      </c>
    </row>
    <row r="400" spans="1:30" ht="15.75">
      <c r="A400" s="14">
        <v>53447</v>
      </c>
      <c r="B400" s="10">
        <f>CHOOSE(CONTROL!$C$42, 11.8511, 11.8511) * CHOOSE(CONTROL!$C$21, $C$9, 100%, $E$9)</f>
        <v>11.851100000000001</v>
      </c>
      <c r="C400" s="10">
        <f>CHOOSE(CONTROL!$C$42, 11.8556, 11.8556) * CHOOSE(CONTROL!$C$21, $C$9, 100%, $E$9)</f>
        <v>11.855600000000001</v>
      </c>
      <c r="D400" s="10">
        <f>CHOOSE(CONTROL!$C$42, 12.0157, 12.0157) * CHOOSE(CONTROL!$C$21, $C$9, 100%, $E$9)</f>
        <v>12.015700000000001</v>
      </c>
      <c r="E400" s="10">
        <f>CHOOSE(CONTROL!$C$42, 12.0476, 12.0476) * CHOOSE(CONTROL!$C$21, $C$9, 100%, $E$9)</f>
        <v>12.047599999999999</v>
      </c>
      <c r="F400" s="10">
        <f>CHOOSE(CONTROL!$C$42, 11.7972, 11.7972)*CHOOSE(CONTROL!$C$21, $C$9, 100%, $E$9)</f>
        <v>11.7972</v>
      </c>
      <c r="G400" s="10">
        <f>CHOOSE(CONTROL!$C$42, 11.813, 11.813)*CHOOSE(CONTROL!$C$21, $C$9, 100%, $E$9)</f>
        <v>11.813000000000001</v>
      </c>
      <c r="H400" s="10">
        <f>CHOOSE(CONTROL!$C$42, 12.037, 12.037) * CHOOSE(CONTROL!$C$21, $C$9, 100%, $E$9)</f>
        <v>12.037000000000001</v>
      </c>
      <c r="I400" s="10">
        <f>CHOOSE(CONTROL!$C$42, 11.8312, 11.8312)* CHOOSE(CONTROL!$C$21, $C$9, 100%, $E$9)</f>
        <v>11.831200000000001</v>
      </c>
      <c r="J400" s="10">
        <f>CHOOSE(CONTROL!$C$42, 11.7898, 11.7898)* CHOOSE(CONTROL!$C$21, $C$9, 100%, $E$9)</f>
        <v>11.7898</v>
      </c>
      <c r="K400" s="10">
        <f>CHOOSE(CONTROL!$C$42, 11.6224, 11.6224) * CHOOSE(CONTROL!$C$21, $C$9, 100%, $E$9)</f>
        <v>11.622400000000001</v>
      </c>
      <c r="L400" s="10">
        <f>CHOOSE(CONTROL!$C$42, 12.624, 12.624) * CHOOSE(CONTROL!$C$21, $C$9, 100%, $E$9)</f>
        <v>12.624000000000001</v>
      </c>
      <c r="M400" s="10">
        <f>CHOOSE(CONTROL!$C$42, 11.6583, 11.6583) * CHOOSE(CONTROL!$C$21, $C$9, 100%, $E$9)</f>
        <v>11.658300000000001</v>
      </c>
      <c r="N400" s="10">
        <f>CHOOSE(CONTROL!$C$42, 11.6739, 11.6739) * CHOOSE(CONTROL!$C$21, $C$9, 100%, $E$9)</f>
        <v>11.6739</v>
      </c>
      <c r="O400" s="10">
        <f>CHOOSE(CONTROL!$C$42, 11.9021, 11.9021) * CHOOSE(CONTROL!$C$21, $C$9, 100%, $E$9)</f>
        <v>11.902100000000001</v>
      </c>
      <c r="P400" s="10">
        <f>CHOOSE(CONTROL!$C$42, 11.6992, 11.6992) * CHOOSE(CONTROL!$C$21, $C$9, 100%, $E$9)</f>
        <v>11.699199999999999</v>
      </c>
      <c r="Q400" s="10">
        <f>CHOOSE(CONTROL!$C$42, 12.4974, 12.4974) * CHOOSE(CONTROL!$C$21, $C$9, 100%, $E$9)</f>
        <v>12.497400000000001</v>
      </c>
      <c r="R400" s="10">
        <f>CHOOSE(CONTROL!$C$42, 13.1157, 13.1157) * CHOOSE(CONTROL!$C$21, $C$9, 100%, $E$9)</f>
        <v>13.1157</v>
      </c>
      <c r="S400" s="10">
        <f>CHOOSE(CONTROL!$C$42, 11.4913, 11.4913) * CHOOSE(CONTROL!$C$21, $C$9, 100%, $E$9)</f>
        <v>11.491300000000001</v>
      </c>
      <c r="T40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00" s="38">
        <f>(1000*CHOOSE(CONTROL!$C$42, 695, 695)*CHOOSE(CONTROL!$C$42, 0.5599, 0.5599)*CHOOSE(CONTROL!$C$42, 30, 30))/1000000</f>
        <v>11.673914999999997</v>
      </c>
      <c r="V400" s="38">
        <f>(1000*CHOOSE(CONTROL!$C$42, 500, 500)*CHOOSE(CONTROL!$C$42, 0.275, 0.275)*CHOOSE(CONTROL!$C$42, 30, 30))/1000000</f>
        <v>4.125</v>
      </c>
      <c r="W400" s="38">
        <f>(1000*CHOOSE(CONTROL!$C$42, 0.1146, 0.1146)*CHOOSE(CONTROL!$C$42, 121.5, 121.5)*CHOOSE(CONTROL!$C$42, 30, 30))/1000000</f>
        <v>0.417717</v>
      </c>
      <c r="X400" s="38">
        <f>(30*0.1790888*245000/1000000)+(30*0.2374*100000/1000000)</f>
        <v>2.0285026799999999</v>
      </c>
      <c r="Y400" s="38">
        <f>(1000*600*CHOOSE(CONTROL!$C$42, 1.0931, 1.0931)*CHOOSE(CONTROL!$C$42, 30, 30))/1000000</f>
        <v>19.675799999999999</v>
      </c>
      <c r="Z400" s="38"/>
      <c r="AA400" s="10"/>
      <c r="AB400" s="39"/>
      <c r="AC400" s="33">
        <f>(B400*141.293+C400*267.993+D400*115.016+E400*89.698+F400*40+G400*185+H400*0+I400*100+J400*300)/(141.293+267.993+115.016+89.698+0+40+185+100+300)</f>
        <v>11.857701096933011</v>
      </c>
      <c r="AD400" s="27">
        <f>(M400*'RAP TEMPLATE-GAS AVAILABILITY'!O399+N400*'RAP TEMPLATE-GAS AVAILABILITY'!P399+O400*'RAP TEMPLATE-GAS AVAILABILITY'!Q399+P400*'RAP TEMPLATE-GAS AVAILABILITY'!R399)/('RAP TEMPLATE-GAS AVAILABILITY'!O399+'RAP TEMPLATE-GAS AVAILABILITY'!P399+'RAP TEMPLATE-GAS AVAILABILITY'!Q399+'RAP TEMPLATE-GAS AVAILABILITY'!R399)</f>
        <v>11.736180575539569</v>
      </c>
    </row>
    <row r="401" spans="1:30" ht="15.75">
      <c r="A401" s="14">
        <v>53478</v>
      </c>
      <c r="B401" s="10">
        <f>CHOOSE(CONTROL!$C$42, 11.9576, 11.9576) * CHOOSE(CONTROL!$C$21, $C$9, 100%, $E$9)</f>
        <v>11.957599999999999</v>
      </c>
      <c r="C401" s="10">
        <f>CHOOSE(CONTROL!$C$42, 11.9656, 11.9656) * CHOOSE(CONTROL!$C$21, $C$9, 100%, $E$9)</f>
        <v>11.9656</v>
      </c>
      <c r="D401" s="10">
        <f>CHOOSE(CONTROL!$C$42, 12.1227, 12.1227) * CHOOSE(CONTROL!$C$21, $C$9, 100%, $E$9)</f>
        <v>12.1227</v>
      </c>
      <c r="E401" s="10">
        <f>CHOOSE(CONTROL!$C$42, 12.1539, 12.1539) * CHOOSE(CONTROL!$C$21, $C$9, 100%, $E$9)</f>
        <v>12.1539</v>
      </c>
      <c r="F401" s="10">
        <f>CHOOSE(CONTROL!$C$42, 11.9017, 11.9017)*CHOOSE(CONTROL!$C$21, $C$9, 100%, $E$9)</f>
        <v>11.9017</v>
      </c>
      <c r="G401" s="10">
        <f>CHOOSE(CONTROL!$C$42, 11.9179, 11.9179)*CHOOSE(CONTROL!$C$21, $C$9, 100%, $E$9)</f>
        <v>11.917899999999999</v>
      </c>
      <c r="H401" s="10">
        <f>CHOOSE(CONTROL!$C$42, 12.1422, 12.1422) * CHOOSE(CONTROL!$C$21, $C$9, 100%, $E$9)</f>
        <v>12.142200000000001</v>
      </c>
      <c r="I401" s="10">
        <f>CHOOSE(CONTROL!$C$42, 11.9364, 11.9364)* CHOOSE(CONTROL!$C$21, $C$9, 100%, $E$9)</f>
        <v>11.936400000000001</v>
      </c>
      <c r="J401" s="10">
        <f>CHOOSE(CONTROL!$C$42, 11.8943, 11.8943)* CHOOSE(CONTROL!$C$21, $C$9, 100%, $E$9)</f>
        <v>11.894299999999999</v>
      </c>
      <c r="K401" s="10">
        <f>CHOOSE(CONTROL!$C$42, 11.723, 11.723) * CHOOSE(CONTROL!$C$21, $C$9, 100%, $E$9)</f>
        <v>11.723000000000001</v>
      </c>
      <c r="L401" s="10">
        <f>CHOOSE(CONTROL!$C$42, 12.7292, 12.7292) * CHOOSE(CONTROL!$C$21, $C$9, 100%, $E$9)</f>
        <v>12.729200000000001</v>
      </c>
      <c r="M401" s="10">
        <f>CHOOSE(CONTROL!$C$42, 11.7614, 11.7614) * CHOOSE(CONTROL!$C$21, $C$9, 100%, $E$9)</f>
        <v>11.7614</v>
      </c>
      <c r="N401" s="10">
        <f>CHOOSE(CONTROL!$C$42, 11.7773, 11.7773) * CHOOSE(CONTROL!$C$21, $C$9, 100%, $E$9)</f>
        <v>11.7773</v>
      </c>
      <c r="O401" s="10">
        <f>CHOOSE(CONTROL!$C$42, 12.0058, 12.0058) * CHOOSE(CONTROL!$C$21, $C$9, 100%, $E$9)</f>
        <v>12.005800000000001</v>
      </c>
      <c r="P401" s="10">
        <f>CHOOSE(CONTROL!$C$42, 11.8029, 11.8029) * CHOOSE(CONTROL!$C$21, $C$9, 100%, $E$9)</f>
        <v>11.802899999999999</v>
      </c>
      <c r="Q401" s="10">
        <f>CHOOSE(CONTROL!$C$42, 12.6011, 12.6011) * CHOOSE(CONTROL!$C$21, $C$9, 100%, $E$9)</f>
        <v>12.601100000000001</v>
      </c>
      <c r="R401" s="10">
        <f>CHOOSE(CONTROL!$C$42, 13.2196, 13.2196) * CHOOSE(CONTROL!$C$21, $C$9, 100%, $E$9)</f>
        <v>13.2196</v>
      </c>
      <c r="S401" s="10">
        <f>CHOOSE(CONTROL!$C$42, 11.5932, 11.5932) * CHOOSE(CONTROL!$C$21, $C$9, 100%, $E$9)</f>
        <v>11.5932</v>
      </c>
      <c r="T40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01" s="38">
        <f>(1000*CHOOSE(CONTROL!$C$42, 695, 695)*CHOOSE(CONTROL!$C$42, 0.5599, 0.5599)*CHOOSE(CONTROL!$C$42, 31, 31))/1000000</f>
        <v>12.063045499999998</v>
      </c>
      <c r="V401" s="38">
        <f>(1000*CHOOSE(CONTROL!$C$42, 500, 500)*CHOOSE(CONTROL!$C$42, 0.275, 0.275)*CHOOSE(CONTROL!$C$42, 31, 31))/1000000</f>
        <v>4.2625000000000002</v>
      </c>
      <c r="W401" s="38">
        <f>(1000*CHOOSE(CONTROL!$C$42, 0.1146, 0.1146)*CHOOSE(CONTROL!$C$42, 121.5, 121.5)*CHOOSE(CONTROL!$C$42, 31, 31))/1000000</f>
        <v>0.43164089999999994</v>
      </c>
      <c r="X401" s="38">
        <f>(31*0.1790888*245000/1000000)+(31*0.2374*100000/1000000)</f>
        <v>2.0961194359999999</v>
      </c>
      <c r="Y401" s="38">
        <f>(1000*600*CHOOSE(CONTROL!$C$42, 1.0931, 1.0931)*CHOOSE(CONTROL!$C$42, 31, 31))/1000000</f>
        <v>20.331659999999999</v>
      </c>
      <c r="Z401" s="38"/>
      <c r="AA401" s="10"/>
      <c r="AB401" s="39"/>
      <c r="AC401" s="33">
        <f>(B401*194.205+C401*267.466+D401*133.845+E401*53.484+F401*40+G401*185+H401*0+I401*100+J401*300)/(194.205+267.466+133.845+53.484+0+40+185+100+300)</f>
        <v>11.960775782339088</v>
      </c>
      <c r="AD401" s="27">
        <f>(M401*'RAP TEMPLATE-GAS AVAILABILITY'!O400+N401*'RAP TEMPLATE-GAS AVAILABILITY'!P400+O401*'RAP TEMPLATE-GAS AVAILABILITY'!Q400+P401*'RAP TEMPLATE-GAS AVAILABILITY'!R400)/('RAP TEMPLATE-GAS AVAILABILITY'!O400+'RAP TEMPLATE-GAS AVAILABILITY'!P400+'RAP TEMPLATE-GAS AVAILABILITY'!Q400+'RAP TEMPLATE-GAS AVAILABILITY'!R400)</f>
        <v>11.839604316546762</v>
      </c>
    </row>
    <row r="402" spans="1:30" ht="15.75">
      <c r="A402" s="14">
        <v>53508</v>
      </c>
      <c r="B402" s="10">
        <f>CHOOSE(CONTROL!$C$42, 12.2972, 12.2972) * CHOOSE(CONTROL!$C$21, $C$9, 100%, $E$9)</f>
        <v>12.2972</v>
      </c>
      <c r="C402" s="10">
        <f>CHOOSE(CONTROL!$C$42, 12.3052, 12.3052) * CHOOSE(CONTROL!$C$21, $C$9, 100%, $E$9)</f>
        <v>12.305199999999999</v>
      </c>
      <c r="D402" s="10">
        <f>CHOOSE(CONTROL!$C$42, 12.4622, 12.4622) * CHOOSE(CONTROL!$C$21, $C$9, 100%, $E$9)</f>
        <v>12.462199999999999</v>
      </c>
      <c r="E402" s="10">
        <f>CHOOSE(CONTROL!$C$42, 12.4935, 12.4935) * CHOOSE(CONTROL!$C$21, $C$9, 100%, $E$9)</f>
        <v>12.493499999999999</v>
      </c>
      <c r="F402" s="10">
        <f>CHOOSE(CONTROL!$C$42, 12.2415, 12.2415)*CHOOSE(CONTROL!$C$21, $C$9, 100%, $E$9)</f>
        <v>12.2415</v>
      </c>
      <c r="G402" s="10">
        <f>CHOOSE(CONTROL!$C$42, 12.2577, 12.2577)*CHOOSE(CONTROL!$C$21, $C$9, 100%, $E$9)</f>
        <v>12.2577</v>
      </c>
      <c r="H402" s="10">
        <f>CHOOSE(CONTROL!$C$42, 12.4818, 12.4818) * CHOOSE(CONTROL!$C$21, $C$9, 100%, $E$9)</f>
        <v>12.4818</v>
      </c>
      <c r="I402" s="10">
        <f>CHOOSE(CONTROL!$C$42, 12.276, 12.276)* CHOOSE(CONTROL!$C$21, $C$9, 100%, $E$9)</f>
        <v>12.276</v>
      </c>
      <c r="J402" s="10">
        <f>CHOOSE(CONTROL!$C$42, 12.2341, 12.2341)* CHOOSE(CONTROL!$C$21, $C$9, 100%, $E$9)</f>
        <v>12.2341</v>
      </c>
      <c r="K402" s="10">
        <f>CHOOSE(CONTROL!$C$42, 12.0524, 12.0524) * CHOOSE(CONTROL!$C$21, $C$9, 100%, $E$9)</f>
        <v>12.0524</v>
      </c>
      <c r="L402" s="10">
        <f>CHOOSE(CONTROL!$C$42, 13.0688, 13.0688) * CHOOSE(CONTROL!$C$21, $C$9, 100%, $E$9)</f>
        <v>13.0688</v>
      </c>
      <c r="M402" s="10">
        <f>CHOOSE(CONTROL!$C$42, 12.0965, 12.0965) * CHOOSE(CONTROL!$C$21, $C$9, 100%, $E$9)</f>
        <v>12.096500000000001</v>
      </c>
      <c r="N402" s="10">
        <f>CHOOSE(CONTROL!$C$42, 12.1124, 12.1124) * CHOOSE(CONTROL!$C$21, $C$9, 100%, $E$9)</f>
        <v>12.112399999999999</v>
      </c>
      <c r="O402" s="10">
        <f>CHOOSE(CONTROL!$C$42, 12.3407, 12.3407) * CHOOSE(CONTROL!$C$21, $C$9, 100%, $E$9)</f>
        <v>12.3407</v>
      </c>
      <c r="P402" s="10">
        <f>CHOOSE(CONTROL!$C$42, 12.1378, 12.1378) * CHOOSE(CONTROL!$C$21, $C$9, 100%, $E$9)</f>
        <v>12.1378</v>
      </c>
      <c r="Q402" s="10">
        <f>CHOOSE(CONTROL!$C$42, 12.936, 12.936) * CHOOSE(CONTROL!$C$21, $C$9, 100%, $E$9)</f>
        <v>12.936</v>
      </c>
      <c r="R402" s="10">
        <f>CHOOSE(CONTROL!$C$42, 13.5553, 13.5553) * CHOOSE(CONTROL!$C$21, $C$9, 100%, $E$9)</f>
        <v>13.555300000000001</v>
      </c>
      <c r="S402" s="10">
        <f>CHOOSE(CONTROL!$C$42, 11.922, 11.922) * CHOOSE(CONTROL!$C$21, $C$9, 100%, $E$9)</f>
        <v>11.922000000000001</v>
      </c>
      <c r="T40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02" s="38">
        <f>(1000*CHOOSE(CONTROL!$C$42, 695, 695)*CHOOSE(CONTROL!$C$42, 0.5599, 0.5599)*CHOOSE(CONTROL!$C$42, 30, 30))/1000000</f>
        <v>11.673914999999997</v>
      </c>
      <c r="V402" s="38">
        <f>(1000*CHOOSE(CONTROL!$C$42, 500, 500)*CHOOSE(CONTROL!$C$42, 0.275, 0.275)*CHOOSE(CONTROL!$C$42, 30, 30))/1000000</f>
        <v>4.125</v>
      </c>
      <c r="W402" s="38">
        <f>(1000*CHOOSE(CONTROL!$C$42, 0.1146, 0.1146)*CHOOSE(CONTROL!$C$42, 121.5, 121.5)*CHOOSE(CONTROL!$C$42, 30, 30))/1000000</f>
        <v>0.417717</v>
      </c>
      <c r="X402" s="38">
        <f>(30*0.1790888*245000/1000000)+(30*0.2374*100000/1000000)</f>
        <v>2.0285026799999999</v>
      </c>
      <c r="Y402" s="38">
        <f>(1000*600*CHOOSE(CONTROL!$C$42, 1.0931, 1.0931)*CHOOSE(CONTROL!$C$42, 30, 30))/1000000</f>
        <v>19.675799999999999</v>
      </c>
      <c r="Z402" s="38"/>
      <c r="AA402" s="10"/>
      <c r="AB402" s="39"/>
      <c r="AC402" s="33">
        <f>(B402*194.205+C402*267.466+D402*133.845+E402*53.484+F402*40+G402*185+H402*0+I402*100+J402*300)/(194.205+267.466+133.845+53.484+0+40+185+100+300)</f>
        <v>12.300447694034537</v>
      </c>
      <c r="AD402" s="27">
        <f>(M402*'RAP TEMPLATE-GAS AVAILABILITY'!O401+N402*'RAP TEMPLATE-GAS AVAILABILITY'!P401+O402*'RAP TEMPLATE-GAS AVAILABILITY'!Q401+P402*'RAP TEMPLATE-GAS AVAILABILITY'!R401)/('RAP TEMPLATE-GAS AVAILABILITY'!O401+'RAP TEMPLATE-GAS AVAILABILITY'!P401+'RAP TEMPLATE-GAS AVAILABILITY'!Q401+'RAP TEMPLATE-GAS AVAILABILITY'!R401)</f>
        <v>12.174619424460433</v>
      </c>
    </row>
    <row r="403" spans="1:30" ht="15.75">
      <c r="A403" s="14">
        <v>53539</v>
      </c>
      <c r="B403" s="10">
        <f>CHOOSE(CONTROL!$C$42, 12.061, 12.061) * CHOOSE(CONTROL!$C$21, $C$9, 100%, $E$9)</f>
        <v>12.061</v>
      </c>
      <c r="C403" s="10">
        <f>CHOOSE(CONTROL!$C$42, 12.069, 12.069) * CHOOSE(CONTROL!$C$21, $C$9, 100%, $E$9)</f>
        <v>12.069000000000001</v>
      </c>
      <c r="D403" s="10">
        <f>CHOOSE(CONTROL!$C$42, 12.2261, 12.2261) * CHOOSE(CONTROL!$C$21, $C$9, 100%, $E$9)</f>
        <v>12.226100000000001</v>
      </c>
      <c r="E403" s="10">
        <f>CHOOSE(CONTROL!$C$42, 12.2573, 12.2573) * CHOOSE(CONTROL!$C$21, $C$9, 100%, $E$9)</f>
        <v>12.257300000000001</v>
      </c>
      <c r="F403" s="10">
        <f>CHOOSE(CONTROL!$C$42, 12.0057, 12.0057)*CHOOSE(CONTROL!$C$21, $C$9, 100%, $E$9)</f>
        <v>12.005699999999999</v>
      </c>
      <c r="G403" s="10">
        <f>CHOOSE(CONTROL!$C$42, 12.0219, 12.0219)*CHOOSE(CONTROL!$C$21, $C$9, 100%, $E$9)</f>
        <v>12.0219</v>
      </c>
      <c r="H403" s="10">
        <f>CHOOSE(CONTROL!$C$42, 12.2456, 12.2456) * CHOOSE(CONTROL!$C$21, $C$9, 100%, $E$9)</f>
        <v>12.2456</v>
      </c>
      <c r="I403" s="10">
        <f>CHOOSE(CONTROL!$C$42, 12.0398, 12.0398)* CHOOSE(CONTROL!$C$21, $C$9, 100%, $E$9)</f>
        <v>12.0398</v>
      </c>
      <c r="J403" s="10">
        <f>CHOOSE(CONTROL!$C$42, 11.9983, 11.9983)* CHOOSE(CONTROL!$C$21, $C$9, 100%, $E$9)</f>
        <v>11.9983</v>
      </c>
      <c r="K403" s="10">
        <f>CHOOSE(CONTROL!$C$42, 11.8243, 11.8243) * CHOOSE(CONTROL!$C$21, $C$9, 100%, $E$9)</f>
        <v>11.824299999999999</v>
      </c>
      <c r="L403" s="10">
        <f>CHOOSE(CONTROL!$C$42, 12.8326, 12.8326) * CHOOSE(CONTROL!$C$21, $C$9, 100%, $E$9)</f>
        <v>12.832599999999999</v>
      </c>
      <c r="M403" s="10">
        <f>CHOOSE(CONTROL!$C$42, 11.8639, 11.8639) * CHOOSE(CONTROL!$C$21, $C$9, 100%, $E$9)</f>
        <v>11.863899999999999</v>
      </c>
      <c r="N403" s="10">
        <f>CHOOSE(CONTROL!$C$42, 11.8799, 11.8799) * CHOOSE(CONTROL!$C$21, $C$9, 100%, $E$9)</f>
        <v>11.879899999999999</v>
      </c>
      <c r="O403" s="10">
        <f>CHOOSE(CONTROL!$C$42, 12.1078, 12.1078) * CHOOSE(CONTROL!$C$21, $C$9, 100%, $E$9)</f>
        <v>12.107799999999999</v>
      </c>
      <c r="P403" s="10">
        <f>CHOOSE(CONTROL!$C$42, 11.9049, 11.9049) * CHOOSE(CONTROL!$C$21, $C$9, 100%, $E$9)</f>
        <v>11.9049</v>
      </c>
      <c r="Q403" s="10">
        <f>CHOOSE(CONTROL!$C$42, 12.7031, 12.7031) * CHOOSE(CONTROL!$C$21, $C$9, 100%, $E$9)</f>
        <v>12.703099999999999</v>
      </c>
      <c r="R403" s="10">
        <f>CHOOSE(CONTROL!$C$42, 13.3219, 13.3219) * CHOOSE(CONTROL!$C$21, $C$9, 100%, $E$9)</f>
        <v>13.321899999999999</v>
      </c>
      <c r="S403" s="10">
        <f>CHOOSE(CONTROL!$C$42, 11.6933, 11.6933) * CHOOSE(CONTROL!$C$21, $C$9, 100%, $E$9)</f>
        <v>11.693300000000001</v>
      </c>
      <c r="T40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03" s="38">
        <f>(1000*CHOOSE(CONTROL!$C$42, 695, 695)*CHOOSE(CONTROL!$C$42, 0.5599, 0.5599)*CHOOSE(CONTROL!$C$42, 31, 31))/1000000</f>
        <v>12.063045499999998</v>
      </c>
      <c r="V403" s="38">
        <f>(1000*CHOOSE(CONTROL!$C$42, 500, 500)*CHOOSE(CONTROL!$C$42, 0.275, 0.275)*CHOOSE(CONTROL!$C$42, 31, 31))/1000000</f>
        <v>4.2625000000000002</v>
      </c>
      <c r="W403" s="38">
        <f>(1000*CHOOSE(CONTROL!$C$42, 0.1146, 0.1146)*CHOOSE(CONTROL!$C$42, 121.5, 121.5)*CHOOSE(CONTROL!$C$42, 31, 31))/1000000</f>
        <v>0.43164089999999994</v>
      </c>
      <c r="X403" s="38">
        <f>(31*0.1790888*245000/1000000)+(31*0.2374*100000/1000000)</f>
        <v>2.0961194359999999</v>
      </c>
      <c r="Y403" s="38">
        <f>(1000*600*CHOOSE(CONTROL!$C$42, 1.0931, 1.0931)*CHOOSE(CONTROL!$C$42, 31, 31))/1000000</f>
        <v>20.331659999999999</v>
      </c>
      <c r="Z403" s="38"/>
      <c r="AA403" s="10"/>
      <c r="AB403" s="39"/>
      <c r="AC403" s="33">
        <f>(B403*194.205+C403*267.466+D403*133.845+E403*53.484+F403*40+G403*185+H403*0+I403*100+J403*300)/(194.205+267.466+133.845+53.484+0+40+185+100+300)</f>
        <v>12.064423035086341</v>
      </c>
      <c r="AD403" s="27">
        <f>(M403*'RAP TEMPLATE-GAS AVAILABILITY'!O402+N403*'RAP TEMPLATE-GAS AVAILABILITY'!P402+O403*'RAP TEMPLATE-GAS AVAILABILITY'!Q402+P403*'RAP TEMPLATE-GAS AVAILABILITY'!R402)/('RAP TEMPLATE-GAS AVAILABILITY'!O402+'RAP TEMPLATE-GAS AVAILABILITY'!P402+'RAP TEMPLATE-GAS AVAILABILITY'!Q402+'RAP TEMPLATE-GAS AVAILABILITY'!R402)</f>
        <v>11.941915107913669</v>
      </c>
    </row>
    <row r="404" spans="1:30" ht="15.75">
      <c r="A404" s="14">
        <v>53570</v>
      </c>
      <c r="B404" s="10">
        <f>CHOOSE(CONTROL!$C$42, 11.4646, 11.4646) * CHOOSE(CONTROL!$C$21, $C$9, 100%, $E$9)</f>
        <v>11.464600000000001</v>
      </c>
      <c r="C404" s="10">
        <f>CHOOSE(CONTROL!$C$42, 11.4726, 11.4726) * CHOOSE(CONTROL!$C$21, $C$9, 100%, $E$9)</f>
        <v>11.4726</v>
      </c>
      <c r="D404" s="10">
        <f>CHOOSE(CONTROL!$C$42, 11.6296, 11.6296) * CHOOSE(CONTROL!$C$21, $C$9, 100%, $E$9)</f>
        <v>11.6296</v>
      </c>
      <c r="E404" s="10">
        <f>CHOOSE(CONTROL!$C$42, 11.6609, 11.6609) * CHOOSE(CONTROL!$C$21, $C$9, 100%, $E$9)</f>
        <v>11.6609</v>
      </c>
      <c r="F404" s="10">
        <f>CHOOSE(CONTROL!$C$42, 11.4092, 11.4092)*CHOOSE(CONTROL!$C$21, $C$9, 100%, $E$9)</f>
        <v>11.4092</v>
      </c>
      <c r="G404" s="10">
        <f>CHOOSE(CONTROL!$C$42, 11.4254, 11.4254)*CHOOSE(CONTROL!$C$21, $C$9, 100%, $E$9)</f>
        <v>11.4254</v>
      </c>
      <c r="H404" s="10">
        <f>CHOOSE(CONTROL!$C$42, 11.6492, 11.6492) * CHOOSE(CONTROL!$C$21, $C$9, 100%, $E$9)</f>
        <v>11.6492</v>
      </c>
      <c r="I404" s="10">
        <f>CHOOSE(CONTROL!$C$42, 11.4434, 11.4434)* CHOOSE(CONTROL!$C$21, $C$9, 100%, $E$9)</f>
        <v>11.4434</v>
      </c>
      <c r="J404" s="10">
        <f>CHOOSE(CONTROL!$C$42, 11.4018, 11.4018)* CHOOSE(CONTROL!$C$21, $C$9, 100%, $E$9)</f>
        <v>11.4018</v>
      </c>
      <c r="K404" s="10">
        <f>CHOOSE(CONTROL!$C$42, 11.2463, 11.2463) * CHOOSE(CONTROL!$C$21, $C$9, 100%, $E$9)</f>
        <v>11.2463</v>
      </c>
      <c r="L404" s="10">
        <f>CHOOSE(CONTROL!$C$42, 12.2362, 12.2362) * CHOOSE(CONTROL!$C$21, $C$9, 100%, $E$9)</f>
        <v>12.2362</v>
      </c>
      <c r="M404" s="10">
        <f>CHOOSE(CONTROL!$C$42, 11.2757, 11.2757) * CHOOSE(CONTROL!$C$21, $C$9, 100%, $E$9)</f>
        <v>11.275700000000001</v>
      </c>
      <c r="N404" s="10">
        <f>CHOOSE(CONTROL!$C$42, 11.2917, 11.2917) * CHOOSE(CONTROL!$C$21, $C$9, 100%, $E$9)</f>
        <v>11.291700000000001</v>
      </c>
      <c r="O404" s="10">
        <f>CHOOSE(CONTROL!$C$42, 11.5197, 11.5197) * CHOOSE(CONTROL!$C$21, $C$9, 100%, $E$9)</f>
        <v>11.5197</v>
      </c>
      <c r="P404" s="10">
        <f>CHOOSE(CONTROL!$C$42, 11.3168, 11.3168) * CHOOSE(CONTROL!$C$21, $C$9, 100%, $E$9)</f>
        <v>11.316800000000001</v>
      </c>
      <c r="Q404" s="10">
        <f>CHOOSE(CONTROL!$C$42, 12.115, 12.115) * CHOOSE(CONTROL!$C$21, $C$9, 100%, $E$9)</f>
        <v>12.115</v>
      </c>
      <c r="R404" s="10">
        <f>CHOOSE(CONTROL!$C$42, 12.7323, 12.7323) * CHOOSE(CONTROL!$C$21, $C$9, 100%, $E$9)</f>
        <v>12.7323</v>
      </c>
      <c r="S404" s="10">
        <f>CHOOSE(CONTROL!$C$42, 11.1158, 11.1158) * CHOOSE(CONTROL!$C$21, $C$9, 100%, $E$9)</f>
        <v>11.1158</v>
      </c>
      <c r="T40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04" s="38">
        <f>(1000*CHOOSE(CONTROL!$C$42, 695, 695)*CHOOSE(CONTROL!$C$42, 0.5599, 0.5599)*CHOOSE(CONTROL!$C$42, 31, 31))/1000000</f>
        <v>12.063045499999998</v>
      </c>
      <c r="V404" s="38">
        <f>(1000*CHOOSE(CONTROL!$C$42, 500, 500)*CHOOSE(CONTROL!$C$42, 0.275, 0.275)*CHOOSE(CONTROL!$C$42, 31, 31))/1000000</f>
        <v>4.2625000000000002</v>
      </c>
      <c r="W404" s="38">
        <f>(1000*CHOOSE(CONTROL!$C$42, 0.1146, 0.1146)*CHOOSE(CONTROL!$C$42, 121.5, 121.5)*CHOOSE(CONTROL!$C$42, 31, 31))/1000000</f>
        <v>0.43164089999999994</v>
      </c>
      <c r="X404" s="38">
        <f>(31*0.1790888*245000/1000000)+(31*0.2374*100000/1000000)</f>
        <v>2.0961194359999999</v>
      </c>
      <c r="Y404" s="38">
        <f>(1000*600*CHOOSE(CONTROL!$C$42, 1.0931, 1.0931)*CHOOSE(CONTROL!$C$42, 31, 31))/1000000</f>
        <v>20.331659999999999</v>
      </c>
      <c r="Z404" s="38"/>
      <c r="AA404" s="10"/>
      <c r="AB404" s="39"/>
      <c r="AC404" s="33">
        <f>(B404*194.205+C404*267.466+D404*133.845+E404*53.484+F404*40+G404*185+H404*0+I404*100+J404*300)/(194.205+267.466+133.845+53.484+0+40+185+100+300)</f>
        <v>11.467971320408164</v>
      </c>
      <c r="AD404" s="27">
        <f>(M404*'RAP TEMPLATE-GAS AVAILABILITY'!O403+N404*'RAP TEMPLATE-GAS AVAILABILITY'!P403+O404*'RAP TEMPLATE-GAS AVAILABILITY'!Q403+P404*'RAP TEMPLATE-GAS AVAILABILITY'!R403)/('RAP TEMPLATE-GAS AVAILABILITY'!O403+'RAP TEMPLATE-GAS AVAILABILITY'!P403+'RAP TEMPLATE-GAS AVAILABILITY'!Q403+'RAP TEMPLATE-GAS AVAILABILITY'!R403)</f>
        <v>11.353757553956836</v>
      </c>
    </row>
    <row r="405" spans="1:30" ht="15.75">
      <c r="A405" s="14">
        <v>53600</v>
      </c>
      <c r="B405" s="10">
        <f>CHOOSE(CONTROL!$C$42, 10.7359, 10.7359) * CHOOSE(CONTROL!$C$21, $C$9, 100%, $E$9)</f>
        <v>10.735900000000001</v>
      </c>
      <c r="C405" s="10">
        <f>CHOOSE(CONTROL!$C$42, 10.7439, 10.7439) * CHOOSE(CONTROL!$C$21, $C$9, 100%, $E$9)</f>
        <v>10.7439</v>
      </c>
      <c r="D405" s="10">
        <f>CHOOSE(CONTROL!$C$42, 10.9009, 10.9009) * CHOOSE(CONTROL!$C$21, $C$9, 100%, $E$9)</f>
        <v>10.9009</v>
      </c>
      <c r="E405" s="10">
        <f>CHOOSE(CONTROL!$C$42, 10.9321, 10.9321) * CHOOSE(CONTROL!$C$21, $C$9, 100%, $E$9)</f>
        <v>10.9321</v>
      </c>
      <c r="F405" s="10">
        <f>CHOOSE(CONTROL!$C$42, 10.6802, 10.6802)*CHOOSE(CONTROL!$C$21, $C$9, 100%, $E$9)</f>
        <v>10.680199999999999</v>
      </c>
      <c r="G405" s="10">
        <f>CHOOSE(CONTROL!$C$42, 10.6964, 10.6964)*CHOOSE(CONTROL!$C$21, $C$9, 100%, $E$9)</f>
        <v>10.696400000000001</v>
      </c>
      <c r="H405" s="10">
        <f>CHOOSE(CONTROL!$C$42, 10.9205, 10.9205) * CHOOSE(CONTROL!$C$21, $C$9, 100%, $E$9)</f>
        <v>10.920500000000001</v>
      </c>
      <c r="I405" s="10">
        <f>CHOOSE(CONTROL!$C$42, 10.7146, 10.7146)* CHOOSE(CONTROL!$C$21, $C$9, 100%, $E$9)</f>
        <v>10.714600000000001</v>
      </c>
      <c r="J405" s="10">
        <f>CHOOSE(CONTROL!$C$42, 10.6728, 10.6728)* CHOOSE(CONTROL!$C$21, $C$9, 100%, $E$9)</f>
        <v>10.672800000000001</v>
      </c>
      <c r="K405" s="10">
        <f>CHOOSE(CONTROL!$C$42, 10.5399, 10.5399) * CHOOSE(CONTROL!$C$21, $C$9, 100%, $E$9)</f>
        <v>10.539899999999999</v>
      </c>
      <c r="L405" s="10">
        <f>CHOOSE(CONTROL!$C$42, 11.5075, 11.5075) * CHOOSE(CONTROL!$C$21, $C$9, 100%, $E$9)</f>
        <v>11.5075</v>
      </c>
      <c r="M405" s="10">
        <f>CHOOSE(CONTROL!$C$42, 10.557, 10.557) * CHOOSE(CONTROL!$C$21, $C$9, 100%, $E$9)</f>
        <v>10.557</v>
      </c>
      <c r="N405" s="10">
        <f>CHOOSE(CONTROL!$C$42, 10.5729, 10.5729) * CHOOSE(CONTROL!$C$21, $C$9, 100%, $E$9)</f>
        <v>10.572900000000001</v>
      </c>
      <c r="O405" s="10">
        <f>CHOOSE(CONTROL!$C$42, 10.8011, 10.8011) * CHOOSE(CONTROL!$C$21, $C$9, 100%, $E$9)</f>
        <v>10.8011</v>
      </c>
      <c r="P405" s="10">
        <f>CHOOSE(CONTROL!$C$42, 10.5982, 10.5982) * CHOOSE(CONTROL!$C$21, $C$9, 100%, $E$9)</f>
        <v>10.5982</v>
      </c>
      <c r="Q405" s="10">
        <f>CHOOSE(CONTROL!$C$42, 11.3964, 11.3964) * CHOOSE(CONTROL!$C$21, $C$9, 100%, $E$9)</f>
        <v>11.3964</v>
      </c>
      <c r="R405" s="10">
        <f>CHOOSE(CONTROL!$C$42, 12.0119, 12.0119) * CHOOSE(CONTROL!$C$21, $C$9, 100%, $E$9)</f>
        <v>12.011900000000001</v>
      </c>
      <c r="S405" s="10">
        <f>CHOOSE(CONTROL!$C$42, 10.4101, 10.4101) * CHOOSE(CONTROL!$C$21, $C$9, 100%, $E$9)</f>
        <v>10.4101</v>
      </c>
      <c r="T40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05" s="38">
        <f>(1000*CHOOSE(CONTROL!$C$42, 695, 695)*CHOOSE(CONTROL!$C$42, 0.5599, 0.5599)*CHOOSE(CONTROL!$C$42, 30, 30))/1000000</f>
        <v>11.673914999999997</v>
      </c>
      <c r="V405" s="38">
        <f>(1000*CHOOSE(CONTROL!$C$42, 500, 500)*CHOOSE(CONTROL!$C$42, 0.275, 0.275)*CHOOSE(CONTROL!$C$42, 30, 30))/1000000</f>
        <v>4.125</v>
      </c>
      <c r="W405" s="38">
        <f>(1000*CHOOSE(CONTROL!$C$42, 0.1146, 0.1146)*CHOOSE(CONTROL!$C$42, 121.5, 121.5)*CHOOSE(CONTROL!$C$42, 30, 30))/1000000</f>
        <v>0.417717</v>
      </c>
      <c r="X405" s="38">
        <f>(30*0.1790888*245000/1000000)+(30*0.2374*100000/1000000)</f>
        <v>2.0285026799999999</v>
      </c>
      <c r="Y405" s="38">
        <f>(1000*600*CHOOSE(CONTROL!$C$42, 1.0931, 1.0931)*CHOOSE(CONTROL!$C$42, 30, 30))/1000000</f>
        <v>19.675799999999999</v>
      </c>
      <c r="Z405" s="38"/>
      <c r="AA405" s="10"/>
      <c r="AB405" s="39"/>
      <c r="AC405" s="33">
        <f>(B405*194.205+C405*267.466+D405*133.845+E405*53.484+F405*40+G405*185+H405*0+I405*100+J405*300)/(194.205+267.466+133.845+53.484+0+40+185+100+300)</f>
        <v>10.739135646624804</v>
      </c>
      <c r="AD405" s="27">
        <f>(M405*'RAP TEMPLATE-GAS AVAILABILITY'!O404+N405*'RAP TEMPLATE-GAS AVAILABILITY'!P404+O405*'RAP TEMPLATE-GAS AVAILABILITY'!Q404+P405*'RAP TEMPLATE-GAS AVAILABILITY'!R404)/('RAP TEMPLATE-GAS AVAILABILITY'!O404+'RAP TEMPLATE-GAS AVAILABILITY'!P404+'RAP TEMPLATE-GAS AVAILABILITY'!Q404+'RAP TEMPLATE-GAS AVAILABILITY'!R404)</f>
        <v>10.635076978417267</v>
      </c>
    </row>
    <row r="406" spans="1:30" ht="15.75">
      <c r="A406" s="14">
        <v>53631</v>
      </c>
      <c r="B406" s="10">
        <f>CHOOSE(CONTROL!$C$42, 10.5154, 10.5154) * CHOOSE(CONTROL!$C$21, $C$9, 100%, $E$9)</f>
        <v>10.5154</v>
      </c>
      <c r="C406" s="10">
        <f>CHOOSE(CONTROL!$C$42, 10.5208, 10.5208) * CHOOSE(CONTROL!$C$21, $C$9, 100%, $E$9)</f>
        <v>10.520799999999999</v>
      </c>
      <c r="D406" s="10">
        <f>CHOOSE(CONTROL!$C$42, 10.6827, 10.6827) * CHOOSE(CONTROL!$C$21, $C$9, 100%, $E$9)</f>
        <v>10.682700000000001</v>
      </c>
      <c r="E406" s="10">
        <f>CHOOSE(CONTROL!$C$42, 10.7116, 10.7116) * CHOOSE(CONTROL!$C$21, $C$9, 100%, $E$9)</f>
        <v>10.711600000000001</v>
      </c>
      <c r="F406" s="10">
        <f>CHOOSE(CONTROL!$C$42, 10.4618, 10.4618)*CHOOSE(CONTROL!$C$21, $C$9, 100%, $E$9)</f>
        <v>10.4618</v>
      </c>
      <c r="G406" s="10">
        <f>CHOOSE(CONTROL!$C$42, 10.4776, 10.4776)*CHOOSE(CONTROL!$C$21, $C$9, 100%, $E$9)</f>
        <v>10.477600000000001</v>
      </c>
      <c r="H406" s="10">
        <f>CHOOSE(CONTROL!$C$42, 10.7017, 10.7017) * CHOOSE(CONTROL!$C$21, $C$9, 100%, $E$9)</f>
        <v>10.701700000000001</v>
      </c>
      <c r="I406" s="10">
        <f>CHOOSE(CONTROL!$C$42, 10.4959, 10.4959)* CHOOSE(CONTROL!$C$21, $C$9, 100%, $E$9)</f>
        <v>10.495900000000001</v>
      </c>
      <c r="J406" s="10">
        <f>CHOOSE(CONTROL!$C$42, 10.4544, 10.4544)* CHOOSE(CONTROL!$C$21, $C$9, 100%, $E$9)</f>
        <v>10.4544</v>
      </c>
      <c r="K406" s="10">
        <f>CHOOSE(CONTROL!$C$42, 10.3286, 10.3286) * CHOOSE(CONTROL!$C$21, $C$9, 100%, $E$9)</f>
        <v>10.3286</v>
      </c>
      <c r="L406" s="10">
        <f>CHOOSE(CONTROL!$C$42, 11.2887, 11.2887) * CHOOSE(CONTROL!$C$21, $C$9, 100%, $E$9)</f>
        <v>11.2887</v>
      </c>
      <c r="M406" s="10">
        <f>CHOOSE(CONTROL!$C$42, 10.3416, 10.3416) * CHOOSE(CONTROL!$C$21, $C$9, 100%, $E$9)</f>
        <v>10.3416</v>
      </c>
      <c r="N406" s="10">
        <f>CHOOSE(CONTROL!$C$42, 10.3572, 10.3572) * CHOOSE(CONTROL!$C$21, $C$9, 100%, $E$9)</f>
        <v>10.357200000000001</v>
      </c>
      <c r="O406" s="10">
        <f>CHOOSE(CONTROL!$C$42, 10.5855, 10.5855) * CHOOSE(CONTROL!$C$21, $C$9, 100%, $E$9)</f>
        <v>10.5855</v>
      </c>
      <c r="P406" s="10">
        <f>CHOOSE(CONTROL!$C$42, 10.3826, 10.3826) * CHOOSE(CONTROL!$C$21, $C$9, 100%, $E$9)</f>
        <v>10.3826</v>
      </c>
      <c r="Q406" s="10">
        <f>CHOOSE(CONTROL!$C$42, 11.1808, 11.1808) * CHOOSE(CONTROL!$C$21, $C$9, 100%, $E$9)</f>
        <v>11.1808</v>
      </c>
      <c r="R406" s="10">
        <f>CHOOSE(CONTROL!$C$42, 11.7957, 11.7957) * CHOOSE(CONTROL!$C$21, $C$9, 100%, $E$9)</f>
        <v>11.7957</v>
      </c>
      <c r="S406" s="10">
        <f>CHOOSE(CONTROL!$C$42, 10.1983, 10.1983) * CHOOSE(CONTROL!$C$21, $C$9, 100%, $E$9)</f>
        <v>10.1983</v>
      </c>
      <c r="T40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06" s="38">
        <f>(1000*CHOOSE(CONTROL!$C$42, 695, 695)*CHOOSE(CONTROL!$C$42, 0.5599, 0.5599)*CHOOSE(CONTROL!$C$42, 31, 31))/1000000</f>
        <v>12.063045499999998</v>
      </c>
      <c r="V406" s="38">
        <f>(1000*CHOOSE(CONTROL!$C$42, 500, 500)*CHOOSE(CONTROL!$C$42, 0.275, 0.275)*CHOOSE(CONTROL!$C$42, 31, 31))/1000000</f>
        <v>4.2625000000000002</v>
      </c>
      <c r="W406" s="38">
        <f>(1000*CHOOSE(CONTROL!$C$42, 0.1146, 0.1146)*CHOOSE(CONTROL!$C$42, 121.5, 121.5)*CHOOSE(CONTROL!$C$42, 31, 31))/1000000</f>
        <v>0.43164089999999994</v>
      </c>
      <c r="X406" s="38">
        <f>(31*0.1790888*245000/1000000)+(31*0.2374*100000/1000000)</f>
        <v>2.0961194359999999</v>
      </c>
      <c r="Y406" s="38">
        <f>(1000*600*CHOOSE(CONTROL!$C$42, 1.0931, 1.0931)*CHOOSE(CONTROL!$C$42, 31, 31))/1000000</f>
        <v>20.331659999999999</v>
      </c>
      <c r="Z406" s="38"/>
      <c r="AA406" s="10"/>
      <c r="AB406" s="39"/>
      <c r="AC406" s="33">
        <f>(B406*131.881+C406*277.167+D406*79.08+E406*125.872+F406*40+G406*185+H406*0+I406*100+J406*300)/(131.881+277.167+79.08+125.872+0+40+185+100+300)</f>
        <v>10.523499977562549</v>
      </c>
      <c r="AD406" s="27">
        <f>(M406*'RAP TEMPLATE-GAS AVAILABILITY'!O405+N406*'RAP TEMPLATE-GAS AVAILABILITY'!P405+O406*'RAP TEMPLATE-GAS AVAILABILITY'!Q405+P406*'RAP TEMPLATE-GAS AVAILABILITY'!R405)/('RAP TEMPLATE-GAS AVAILABILITY'!O405+'RAP TEMPLATE-GAS AVAILABILITY'!P405+'RAP TEMPLATE-GAS AVAILABILITY'!Q405+'RAP TEMPLATE-GAS AVAILABILITY'!R405)</f>
        <v>10.419523021582735</v>
      </c>
    </row>
    <row r="407" spans="1:30" ht="15.75">
      <c r="A407" s="14">
        <v>53661</v>
      </c>
      <c r="B407" s="10">
        <f>CHOOSE(CONTROL!$C$42, 10.7925, 10.7925) * CHOOSE(CONTROL!$C$21, $C$9, 100%, $E$9)</f>
        <v>10.7925</v>
      </c>
      <c r="C407" s="10">
        <f>CHOOSE(CONTROL!$C$42, 10.7976, 10.7976) * CHOOSE(CONTROL!$C$21, $C$9, 100%, $E$9)</f>
        <v>10.797599999999999</v>
      </c>
      <c r="D407" s="10">
        <f>CHOOSE(CONTROL!$C$42, 10.8222, 10.8222) * CHOOSE(CONTROL!$C$21, $C$9, 100%, $E$9)</f>
        <v>10.8222</v>
      </c>
      <c r="E407" s="10">
        <f>CHOOSE(CONTROL!$C$42, 10.856, 10.856) * CHOOSE(CONTROL!$C$21, $C$9, 100%, $E$9)</f>
        <v>10.856</v>
      </c>
      <c r="F407" s="10">
        <f>CHOOSE(CONTROL!$C$42, 10.7608, 10.7608)*CHOOSE(CONTROL!$C$21, $C$9, 100%, $E$9)</f>
        <v>10.7608</v>
      </c>
      <c r="G407" s="10">
        <f>CHOOSE(CONTROL!$C$42, 10.7768, 10.7768)*CHOOSE(CONTROL!$C$21, $C$9, 100%, $E$9)</f>
        <v>10.7768</v>
      </c>
      <c r="H407" s="10">
        <f>CHOOSE(CONTROL!$C$42, 10.8449, 10.8449) * CHOOSE(CONTROL!$C$21, $C$9, 100%, $E$9)</f>
        <v>10.844900000000001</v>
      </c>
      <c r="I407" s="10">
        <f>CHOOSE(CONTROL!$C$42, 10.8074, 10.8074)* CHOOSE(CONTROL!$C$21, $C$9, 100%, $E$9)</f>
        <v>10.807399999999999</v>
      </c>
      <c r="J407" s="10">
        <f>CHOOSE(CONTROL!$C$42, 10.7534, 10.7534)* CHOOSE(CONTROL!$C$21, $C$9, 100%, $E$9)</f>
        <v>10.753399999999999</v>
      </c>
      <c r="K407" s="10">
        <f>CHOOSE(CONTROL!$C$42, 10.6327, 10.6327) * CHOOSE(CONTROL!$C$21, $C$9, 100%, $E$9)</f>
        <v>10.6327</v>
      </c>
      <c r="L407" s="10">
        <f>CHOOSE(CONTROL!$C$42, 11.4319, 11.4319) * CHOOSE(CONTROL!$C$21, $C$9, 100%, $E$9)</f>
        <v>11.431900000000001</v>
      </c>
      <c r="M407" s="10">
        <f>CHOOSE(CONTROL!$C$42, 10.6364, 10.6364) * CHOOSE(CONTROL!$C$21, $C$9, 100%, $E$9)</f>
        <v>10.6364</v>
      </c>
      <c r="N407" s="10">
        <f>CHOOSE(CONTROL!$C$42, 10.6522, 10.6522) * CHOOSE(CONTROL!$C$21, $C$9, 100%, $E$9)</f>
        <v>10.652200000000001</v>
      </c>
      <c r="O407" s="10">
        <f>CHOOSE(CONTROL!$C$42, 10.7267, 10.7267) * CHOOSE(CONTROL!$C$21, $C$9, 100%, $E$9)</f>
        <v>10.726699999999999</v>
      </c>
      <c r="P407" s="10">
        <f>CHOOSE(CONTROL!$C$42, 10.6897, 10.6897) * CHOOSE(CONTROL!$C$21, $C$9, 100%, $E$9)</f>
        <v>10.6897</v>
      </c>
      <c r="Q407" s="10">
        <f>CHOOSE(CONTROL!$C$42, 11.322, 11.322) * CHOOSE(CONTROL!$C$21, $C$9, 100%, $E$9)</f>
        <v>11.321999999999999</v>
      </c>
      <c r="R407" s="10">
        <f>CHOOSE(CONTROL!$C$42, 11.9373, 11.9373) * CHOOSE(CONTROL!$C$21, $C$9, 100%, $E$9)</f>
        <v>11.9373</v>
      </c>
      <c r="S407" s="10">
        <f>CHOOSE(CONTROL!$C$42, 10.467, 10.467) * CHOOSE(CONTROL!$C$21, $C$9, 100%, $E$9)</f>
        <v>10.467000000000001</v>
      </c>
      <c r="T40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07" s="38">
        <f>(1000*CHOOSE(CONTROL!$C$42, 695, 695)*CHOOSE(CONTROL!$C$42, 0.5599, 0.5599)*CHOOSE(CONTROL!$C$42, 30, 30))/1000000</f>
        <v>11.673914999999997</v>
      </c>
      <c r="V407" s="38">
        <f>(1000*CHOOSE(CONTROL!$C$42, 500, 500)*CHOOSE(CONTROL!$C$42, 0.275, 0.275)*CHOOSE(CONTROL!$C$42, 30, 30))/1000000</f>
        <v>4.125</v>
      </c>
      <c r="W407" s="38">
        <f>(1000*CHOOSE(CONTROL!$C$42, 0.1146, 0.1146)*CHOOSE(CONTROL!$C$42, 121.5, 121.5)*CHOOSE(CONTROL!$C$42, 30, 30))/1000000</f>
        <v>0.417717</v>
      </c>
      <c r="X407" s="38">
        <f>(30*0.1790888*100000/1000000)+(30*0.2374*100000/1000000)</f>
        <v>1.2494664</v>
      </c>
      <c r="Y407" s="38">
        <f>(1000*600*CHOOSE(CONTROL!$C$42, 1.0931, 1.0931)*CHOOSE(CONTROL!$C$42, 30, 30))/1000000</f>
        <v>19.675799999999999</v>
      </c>
      <c r="Z407" s="38"/>
      <c r="AA407" s="10"/>
      <c r="AB407" s="39"/>
      <c r="AC407" s="33">
        <f>(B407*122.58+C407*297.941+D407*89.177+E407*40.302+F407*40+G407*160+H407*0+I407*100+J407*300)/(122.58+297.941+89.177+40.302+0+40+160+100+300)</f>
        <v>10.786158463478259</v>
      </c>
      <c r="AD407" s="27">
        <f>(M407*'RAP TEMPLATE-GAS AVAILABILITY'!O406+N407*'RAP TEMPLATE-GAS AVAILABILITY'!P406+O407*'RAP TEMPLATE-GAS AVAILABILITY'!Q406+P407*'RAP TEMPLATE-GAS AVAILABILITY'!R406)/('RAP TEMPLATE-GAS AVAILABILITY'!O406+'RAP TEMPLATE-GAS AVAILABILITY'!P406+'RAP TEMPLATE-GAS AVAILABILITY'!Q406+'RAP TEMPLATE-GAS AVAILABILITY'!R406)</f>
        <v>10.685905755395684</v>
      </c>
    </row>
    <row r="408" spans="1:30" ht="15.75">
      <c r="A408" s="14">
        <v>53692</v>
      </c>
      <c r="B408" s="10">
        <f>CHOOSE(CONTROL!$C$42, 11.5294, 11.5294) * CHOOSE(CONTROL!$C$21, $C$9, 100%, $E$9)</f>
        <v>11.529400000000001</v>
      </c>
      <c r="C408" s="10">
        <f>CHOOSE(CONTROL!$C$42, 11.5345, 11.5345) * CHOOSE(CONTROL!$C$21, $C$9, 100%, $E$9)</f>
        <v>11.5345</v>
      </c>
      <c r="D408" s="10">
        <f>CHOOSE(CONTROL!$C$42, 11.5592, 11.5592) * CHOOSE(CONTROL!$C$21, $C$9, 100%, $E$9)</f>
        <v>11.559200000000001</v>
      </c>
      <c r="E408" s="10">
        <f>CHOOSE(CONTROL!$C$42, 11.593, 11.593) * CHOOSE(CONTROL!$C$21, $C$9, 100%, $E$9)</f>
        <v>11.593</v>
      </c>
      <c r="F408" s="10">
        <f>CHOOSE(CONTROL!$C$42, 11.4997, 11.4997)*CHOOSE(CONTROL!$C$21, $C$9, 100%, $E$9)</f>
        <v>11.499700000000001</v>
      </c>
      <c r="G408" s="10">
        <f>CHOOSE(CONTROL!$C$42, 11.5161, 11.5161)*CHOOSE(CONTROL!$C$21, $C$9, 100%, $E$9)</f>
        <v>11.5161</v>
      </c>
      <c r="H408" s="10">
        <f>CHOOSE(CONTROL!$C$42, 11.5819, 11.5819) * CHOOSE(CONTROL!$C$21, $C$9, 100%, $E$9)</f>
        <v>11.581899999999999</v>
      </c>
      <c r="I408" s="10">
        <f>CHOOSE(CONTROL!$C$42, 11.5444, 11.5444)* CHOOSE(CONTROL!$C$21, $C$9, 100%, $E$9)</f>
        <v>11.5444</v>
      </c>
      <c r="J408" s="10">
        <f>CHOOSE(CONTROL!$C$42, 11.4923, 11.4923)* CHOOSE(CONTROL!$C$21, $C$9, 100%, $E$9)</f>
        <v>11.4923</v>
      </c>
      <c r="K408" s="10">
        <f>CHOOSE(CONTROL!$C$42, 11.3507, 11.3507) * CHOOSE(CONTROL!$C$21, $C$9, 100%, $E$9)</f>
        <v>11.3507</v>
      </c>
      <c r="L408" s="10">
        <f>CHOOSE(CONTROL!$C$42, 12.1689, 12.1689) * CHOOSE(CONTROL!$C$21, $C$9, 100%, $E$9)</f>
        <v>12.168900000000001</v>
      </c>
      <c r="M408" s="10">
        <f>CHOOSE(CONTROL!$C$42, 11.365, 11.365) * CHOOSE(CONTROL!$C$21, $C$9, 100%, $E$9)</f>
        <v>11.365</v>
      </c>
      <c r="N408" s="10">
        <f>CHOOSE(CONTROL!$C$42, 11.3812, 11.3812) * CHOOSE(CONTROL!$C$21, $C$9, 100%, $E$9)</f>
        <v>11.3812</v>
      </c>
      <c r="O408" s="10">
        <f>CHOOSE(CONTROL!$C$42, 11.4533, 11.4533) * CHOOSE(CONTROL!$C$21, $C$9, 100%, $E$9)</f>
        <v>11.4533</v>
      </c>
      <c r="P408" s="10">
        <f>CHOOSE(CONTROL!$C$42, 11.4164, 11.4164) * CHOOSE(CONTROL!$C$21, $C$9, 100%, $E$9)</f>
        <v>11.416399999999999</v>
      </c>
      <c r="Q408" s="10">
        <f>CHOOSE(CONTROL!$C$42, 12.0486, 12.0486) * CHOOSE(CONTROL!$C$21, $C$9, 100%, $E$9)</f>
        <v>12.0486</v>
      </c>
      <c r="R408" s="10">
        <f>CHOOSE(CONTROL!$C$42, 12.6657, 12.6657) * CHOOSE(CONTROL!$C$21, $C$9, 100%, $E$9)</f>
        <v>12.665699999999999</v>
      </c>
      <c r="S408" s="10">
        <f>CHOOSE(CONTROL!$C$42, 11.1806, 11.1806) * CHOOSE(CONTROL!$C$21, $C$9, 100%, $E$9)</f>
        <v>11.1806</v>
      </c>
      <c r="T40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08" s="38">
        <f>(1000*CHOOSE(CONTROL!$C$42, 695, 695)*CHOOSE(CONTROL!$C$42, 0.5599, 0.5599)*CHOOSE(CONTROL!$C$42, 31, 31))/1000000</f>
        <v>12.063045499999998</v>
      </c>
      <c r="V408" s="38">
        <f>(1000*CHOOSE(CONTROL!$C$42, 500, 500)*CHOOSE(CONTROL!$C$42, 0.275, 0.275)*CHOOSE(CONTROL!$C$42, 31, 31))/1000000</f>
        <v>4.2625000000000002</v>
      </c>
      <c r="W408" s="38">
        <f>(1000*CHOOSE(CONTROL!$C$42, 0.1146, 0.1146)*CHOOSE(CONTROL!$C$42, 121.5, 121.5)*CHOOSE(CONTROL!$C$42, 31, 31))/1000000</f>
        <v>0.43164089999999994</v>
      </c>
      <c r="X408" s="38">
        <f>(31*0.1790888*100000/1000000)+(31*0.2374*100000/1000000)</f>
        <v>1.2911152800000001</v>
      </c>
      <c r="Y408" s="38">
        <f>(1000*600*CHOOSE(CONTROL!$C$42, 1.0931, 1.0931)*CHOOSE(CONTROL!$C$42, 31, 31))/1000000</f>
        <v>20.331659999999999</v>
      </c>
      <c r="Z408" s="38"/>
      <c r="AA408" s="10"/>
      <c r="AB408" s="39"/>
      <c r="AC408" s="33">
        <f>(B408*122.58+C408*297.941+D408*89.177+E408*40.302+F408*40+G408*160+H408*0+I408*100+J408*300)/(122.58+297.941+89.177+40.302+0+40+160+100+300)</f>
        <v>11.524003635565219</v>
      </c>
      <c r="AD408" s="27">
        <f>(M408*'RAP TEMPLATE-GAS AVAILABILITY'!O407+N408*'RAP TEMPLATE-GAS AVAILABILITY'!P407+O408*'RAP TEMPLATE-GAS AVAILABILITY'!Q407+P408*'RAP TEMPLATE-GAS AVAILABILITY'!R407)/('RAP TEMPLATE-GAS AVAILABILITY'!O407+'RAP TEMPLATE-GAS AVAILABILITY'!P407+'RAP TEMPLATE-GAS AVAILABILITY'!Q407+'RAP TEMPLATE-GAS AVAILABILITY'!R407)</f>
        <v>11.41334892086331</v>
      </c>
    </row>
    <row r="409" spans="1:30" ht="15.75">
      <c r="A409" s="14">
        <v>53723</v>
      </c>
      <c r="B409" s="10">
        <f>CHOOSE(CONTROL!$C$42, 12.3086, 12.3086) * CHOOSE(CONTROL!$C$21, $C$9, 100%, $E$9)</f>
        <v>12.3086</v>
      </c>
      <c r="C409" s="10">
        <f>CHOOSE(CONTROL!$C$42, 12.3137, 12.3137) * CHOOSE(CONTROL!$C$21, $C$9, 100%, $E$9)</f>
        <v>12.313700000000001</v>
      </c>
      <c r="D409" s="10">
        <f>CHOOSE(CONTROL!$C$42, 12.3462, 12.3462) * CHOOSE(CONTROL!$C$21, $C$9, 100%, $E$9)</f>
        <v>12.3462</v>
      </c>
      <c r="E409" s="10">
        <f>CHOOSE(CONTROL!$C$42, 12.38, 12.38) * CHOOSE(CONTROL!$C$21, $C$9, 100%, $E$9)</f>
        <v>12.38</v>
      </c>
      <c r="F409" s="10">
        <f>CHOOSE(CONTROL!$C$42, 12.2928, 12.2928)*CHOOSE(CONTROL!$C$21, $C$9, 100%, $E$9)</f>
        <v>12.2928</v>
      </c>
      <c r="G409" s="10">
        <f>CHOOSE(CONTROL!$C$42, 12.3109, 12.3109)*CHOOSE(CONTROL!$C$21, $C$9, 100%, $E$9)</f>
        <v>12.3109</v>
      </c>
      <c r="H409" s="10">
        <f>CHOOSE(CONTROL!$C$42, 12.3689, 12.3689) * CHOOSE(CONTROL!$C$21, $C$9, 100%, $E$9)</f>
        <v>12.3689</v>
      </c>
      <c r="I409" s="10">
        <f>CHOOSE(CONTROL!$C$42, 12.3221, 12.3221)* CHOOSE(CONTROL!$C$21, $C$9, 100%, $E$9)</f>
        <v>12.322100000000001</v>
      </c>
      <c r="J409" s="10">
        <f>CHOOSE(CONTROL!$C$42, 12.2854, 12.2854)* CHOOSE(CONTROL!$C$21, $C$9, 100%, $E$9)</f>
        <v>12.285399999999999</v>
      </c>
      <c r="K409" s="10">
        <f>CHOOSE(CONTROL!$C$42, 12.1181, 12.1181) * CHOOSE(CONTROL!$C$21, $C$9, 100%, $E$9)</f>
        <v>12.1181</v>
      </c>
      <c r="L409" s="10">
        <f>CHOOSE(CONTROL!$C$42, 12.9559, 12.9559) * CHOOSE(CONTROL!$C$21, $C$9, 100%, $E$9)</f>
        <v>12.9559</v>
      </c>
      <c r="M409" s="10">
        <f>CHOOSE(CONTROL!$C$42, 12.1471, 12.1471) * CHOOSE(CONTROL!$C$21, $C$9, 100%, $E$9)</f>
        <v>12.1471</v>
      </c>
      <c r="N409" s="10">
        <f>CHOOSE(CONTROL!$C$42, 12.1649, 12.1649) * CHOOSE(CONTROL!$C$21, $C$9, 100%, $E$9)</f>
        <v>12.164899999999999</v>
      </c>
      <c r="O409" s="10">
        <f>CHOOSE(CONTROL!$C$42, 12.2293, 12.2293) * CHOOSE(CONTROL!$C$21, $C$9, 100%, $E$9)</f>
        <v>12.2293</v>
      </c>
      <c r="P409" s="10">
        <f>CHOOSE(CONTROL!$C$42, 12.1833, 12.1833) * CHOOSE(CONTROL!$C$21, $C$9, 100%, $E$9)</f>
        <v>12.183299999999999</v>
      </c>
      <c r="Q409" s="10">
        <f>CHOOSE(CONTROL!$C$42, 12.8246, 12.8246) * CHOOSE(CONTROL!$C$21, $C$9, 100%, $E$9)</f>
        <v>12.8246</v>
      </c>
      <c r="R409" s="10">
        <f>CHOOSE(CONTROL!$C$42, 13.4437, 13.4437) * CHOOSE(CONTROL!$C$21, $C$9, 100%, $E$9)</f>
        <v>13.4437</v>
      </c>
      <c r="S409" s="10">
        <f>CHOOSE(CONTROL!$C$42, 11.9351, 11.9351) * CHOOSE(CONTROL!$C$21, $C$9, 100%, $E$9)</f>
        <v>11.9351</v>
      </c>
      <c r="T40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09" s="38">
        <f>(1000*CHOOSE(CONTROL!$C$42, 695, 695)*CHOOSE(CONTROL!$C$42, 0.5599, 0.5599)*CHOOSE(CONTROL!$C$42, 31, 31))/1000000</f>
        <v>12.063045499999998</v>
      </c>
      <c r="V409" s="38">
        <f>(1000*CHOOSE(CONTROL!$C$42, 500, 500)*CHOOSE(CONTROL!$C$42, 0.275, 0.275)*CHOOSE(CONTROL!$C$42, 31, 31))/1000000</f>
        <v>4.2625000000000002</v>
      </c>
      <c r="W409" s="38">
        <f>(1000*CHOOSE(CONTROL!$C$42, 0.1146, 0.1146)*CHOOSE(CONTROL!$C$42, 121.5, 121.5)*CHOOSE(CONTROL!$C$42, 31, 31))/1000000</f>
        <v>0.43164089999999994</v>
      </c>
      <c r="X409" s="38">
        <f>(31*0.1790888*100000/1000000)+(31*0.2374*100000/1000000)</f>
        <v>1.2911152800000001</v>
      </c>
      <c r="Y409" s="38">
        <f>(1000*600*CHOOSE(CONTROL!$C$42, 1.0896, 1.0896)*CHOOSE(CONTROL!$C$42, 31, 31))/1000000</f>
        <v>20.266559999999995</v>
      </c>
      <c r="Z409" s="38"/>
      <c r="AA409" s="10"/>
      <c r="AB409" s="39"/>
      <c r="AC409" s="33">
        <f>(B409*122.58+C409*297.941+D409*89.177+E409*40.302+F409*40+G409*160+H409*0+I409*100+J409*300)/(122.58+297.941+89.177+40.302+0+40+160+100+300)</f>
        <v>12.310231406173912</v>
      </c>
      <c r="AD409" s="27">
        <f>(M409*'RAP TEMPLATE-GAS AVAILABILITY'!O408+N409*'RAP TEMPLATE-GAS AVAILABILITY'!P408+O409*'RAP TEMPLATE-GAS AVAILABILITY'!Q408+P409*'RAP TEMPLATE-GAS AVAILABILITY'!R408)/('RAP TEMPLATE-GAS AVAILABILITY'!O408+'RAP TEMPLATE-GAS AVAILABILITY'!P408+'RAP TEMPLATE-GAS AVAILABILITY'!Q408+'RAP TEMPLATE-GAS AVAILABILITY'!R408)</f>
        <v>12.190589208633094</v>
      </c>
    </row>
    <row r="410" spans="1:30" ht="15.75">
      <c r="A410" s="14">
        <v>53751</v>
      </c>
      <c r="B410" s="10">
        <f>CHOOSE(CONTROL!$C$42, 12.5281, 12.5281) * CHOOSE(CONTROL!$C$21, $C$9, 100%, $E$9)</f>
        <v>12.5281</v>
      </c>
      <c r="C410" s="10">
        <f>CHOOSE(CONTROL!$C$42, 12.5331, 12.5331) * CHOOSE(CONTROL!$C$21, $C$9, 100%, $E$9)</f>
        <v>12.533099999999999</v>
      </c>
      <c r="D410" s="10">
        <f>CHOOSE(CONTROL!$C$42, 12.5656, 12.5656) * CHOOSE(CONTROL!$C$21, $C$9, 100%, $E$9)</f>
        <v>12.5656</v>
      </c>
      <c r="E410" s="10">
        <f>CHOOSE(CONTROL!$C$42, 12.5994, 12.5994) * CHOOSE(CONTROL!$C$21, $C$9, 100%, $E$9)</f>
        <v>12.599399999999999</v>
      </c>
      <c r="F410" s="10">
        <f>CHOOSE(CONTROL!$C$42, 12.5118, 12.5118)*CHOOSE(CONTROL!$C$21, $C$9, 100%, $E$9)</f>
        <v>12.511799999999999</v>
      </c>
      <c r="G410" s="10">
        <f>CHOOSE(CONTROL!$C$42, 12.5297, 12.5297)*CHOOSE(CONTROL!$C$21, $C$9, 100%, $E$9)</f>
        <v>12.5297</v>
      </c>
      <c r="H410" s="10">
        <f>CHOOSE(CONTROL!$C$42, 12.5883, 12.5883) * CHOOSE(CONTROL!$C$21, $C$9, 100%, $E$9)</f>
        <v>12.5883</v>
      </c>
      <c r="I410" s="10">
        <f>CHOOSE(CONTROL!$C$42, 12.5415, 12.5415)* CHOOSE(CONTROL!$C$21, $C$9, 100%, $E$9)</f>
        <v>12.541499999999999</v>
      </c>
      <c r="J410" s="10">
        <f>CHOOSE(CONTROL!$C$42, 12.5044, 12.5044)* CHOOSE(CONTROL!$C$21, $C$9, 100%, $E$9)</f>
        <v>12.5044</v>
      </c>
      <c r="K410" s="10">
        <f>CHOOSE(CONTROL!$C$42, 12.3297, 12.3297) * CHOOSE(CONTROL!$C$21, $C$9, 100%, $E$9)</f>
        <v>12.329700000000001</v>
      </c>
      <c r="L410" s="10">
        <f>CHOOSE(CONTROL!$C$42, 13.1753, 13.1753) * CHOOSE(CONTROL!$C$21, $C$9, 100%, $E$9)</f>
        <v>13.1753</v>
      </c>
      <c r="M410" s="10">
        <f>CHOOSE(CONTROL!$C$42, 12.363, 12.363) * CHOOSE(CONTROL!$C$21, $C$9, 100%, $E$9)</f>
        <v>12.363</v>
      </c>
      <c r="N410" s="10">
        <f>CHOOSE(CONTROL!$C$42, 12.3806, 12.3806) * CHOOSE(CONTROL!$C$21, $C$9, 100%, $E$9)</f>
        <v>12.380599999999999</v>
      </c>
      <c r="O410" s="10">
        <f>CHOOSE(CONTROL!$C$42, 12.4457, 12.4457) * CHOOSE(CONTROL!$C$21, $C$9, 100%, $E$9)</f>
        <v>12.4457</v>
      </c>
      <c r="P410" s="10">
        <f>CHOOSE(CONTROL!$C$42, 12.3996, 12.3996) * CHOOSE(CONTROL!$C$21, $C$9, 100%, $E$9)</f>
        <v>12.3996</v>
      </c>
      <c r="Q410" s="10">
        <f>CHOOSE(CONTROL!$C$42, 13.041, 13.041) * CHOOSE(CONTROL!$C$21, $C$9, 100%, $E$9)</f>
        <v>13.041</v>
      </c>
      <c r="R410" s="10">
        <f>CHOOSE(CONTROL!$C$42, 13.6606, 13.6606) * CHOOSE(CONTROL!$C$21, $C$9, 100%, $E$9)</f>
        <v>13.660600000000001</v>
      </c>
      <c r="S410" s="10">
        <f>CHOOSE(CONTROL!$C$42, 12.1476, 12.1476) * CHOOSE(CONTROL!$C$21, $C$9, 100%, $E$9)</f>
        <v>12.147600000000001</v>
      </c>
      <c r="T41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10" s="38">
        <f>(1000*CHOOSE(CONTROL!$C$42, 695, 695)*CHOOSE(CONTROL!$C$42, 0.5599, 0.5599)*CHOOSE(CONTROL!$C$42, 28, 28))/1000000</f>
        <v>10.895653999999999</v>
      </c>
      <c r="V410" s="38">
        <f>(1000*CHOOSE(CONTROL!$C$42, 500, 500)*CHOOSE(CONTROL!$C$42, 0.275, 0.275)*CHOOSE(CONTROL!$C$42, 28, 28))/1000000</f>
        <v>3.85</v>
      </c>
      <c r="W410" s="38">
        <f>(1000*CHOOSE(CONTROL!$C$42, 0.1146, 0.1146)*CHOOSE(CONTROL!$C$42, 121.5, 121.5)*CHOOSE(CONTROL!$C$42, 28, 28))/1000000</f>
        <v>0.38986920000000003</v>
      </c>
      <c r="X410" s="38">
        <f>(28*0.1790888*100000/1000000)+(28*0.2374*100000/1000000)</f>
        <v>1.16616864</v>
      </c>
      <c r="Y410" s="38">
        <f>(1000*600*CHOOSE(CONTROL!$C$42, 1.0896, 1.0896)*CHOOSE(CONTROL!$C$42, 28, 28))/1000000</f>
        <v>18.305279999999996</v>
      </c>
      <c r="Z410" s="38"/>
      <c r="AA410" s="10"/>
      <c r="AB410" s="39"/>
      <c r="AC410" s="33">
        <f>(B410*122.58+C410*297.941+D410*89.177+E410*40.302+F410*40+G410*160+H410*0+I410*100+J410*300)/(122.58+297.941+89.177+40.302+0+40+160+100+300)</f>
        <v>12.529440326173912</v>
      </c>
      <c r="AD410" s="27">
        <f>(M410*'RAP TEMPLATE-GAS AVAILABILITY'!O409+N410*'RAP TEMPLATE-GAS AVAILABILITY'!P409+O410*'RAP TEMPLATE-GAS AVAILABILITY'!Q409+P410*'RAP TEMPLATE-GAS AVAILABILITY'!R409)/('RAP TEMPLATE-GAS AVAILABILITY'!O409+'RAP TEMPLATE-GAS AVAILABILITY'!P409+'RAP TEMPLATE-GAS AVAILABILITY'!Q409+'RAP TEMPLATE-GAS AVAILABILITY'!R409)</f>
        <v>12.406761870503596</v>
      </c>
    </row>
    <row r="411" spans="1:30" ht="15.75">
      <c r="A411" s="14">
        <v>53782</v>
      </c>
      <c r="B411" s="10">
        <f>CHOOSE(CONTROL!$C$42, 12.1719, 12.1719) * CHOOSE(CONTROL!$C$21, $C$9, 100%, $E$9)</f>
        <v>12.171900000000001</v>
      </c>
      <c r="C411" s="10">
        <f>CHOOSE(CONTROL!$C$42, 12.177, 12.177) * CHOOSE(CONTROL!$C$21, $C$9, 100%, $E$9)</f>
        <v>12.177</v>
      </c>
      <c r="D411" s="10">
        <f>CHOOSE(CONTROL!$C$42, 12.2094, 12.2094) * CHOOSE(CONTROL!$C$21, $C$9, 100%, $E$9)</f>
        <v>12.2094</v>
      </c>
      <c r="E411" s="10">
        <f>CHOOSE(CONTROL!$C$42, 12.2432, 12.2432) * CHOOSE(CONTROL!$C$21, $C$9, 100%, $E$9)</f>
        <v>12.2432</v>
      </c>
      <c r="F411" s="10">
        <f>CHOOSE(CONTROL!$C$42, 12.1542, 12.1542)*CHOOSE(CONTROL!$C$21, $C$9, 100%, $E$9)</f>
        <v>12.154199999999999</v>
      </c>
      <c r="G411" s="10">
        <f>CHOOSE(CONTROL!$C$42, 12.1717, 12.1717)*CHOOSE(CONTROL!$C$21, $C$9, 100%, $E$9)</f>
        <v>12.1717</v>
      </c>
      <c r="H411" s="10">
        <f>CHOOSE(CONTROL!$C$42, 12.2321, 12.2321) * CHOOSE(CONTROL!$C$21, $C$9, 100%, $E$9)</f>
        <v>12.232100000000001</v>
      </c>
      <c r="I411" s="10">
        <f>CHOOSE(CONTROL!$C$42, 12.1854, 12.1854)* CHOOSE(CONTROL!$C$21, $C$9, 100%, $E$9)</f>
        <v>12.1854</v>
      </c>
      <c r="J411" s="10">
        <f>CHOOSE(CONTROL!$C$42, 12.1468, 12.1468)* CHOOSE(CONTROL!$C$21, $C$9, 100%, $E$9)</f>
        <v>12.146800000000001</v>
      </c>
      <c r="K411" s="10">
        <f>CHOOSE(CONTROL!$C$42, 11.9815, 11.9815) * CHOOSE(CONTROL!$C$21, $C$9, 100%, $E$9)</f>
        <v>11.9815</v>
      </c>
      <c r="L411" s="10">
        <f>CHOOSE(CONTROL!$C$42, 12.8191, 12.8191) * CHOOSE(CONTROL!$C$21, $C$9, 100%, $E$9)</f>
        <v>12.819100000000001</v>
      </c>
      <c r="M411" s="10">
        <f>CHOOSE(CONTROL!$C$42, 12.0103, 12.0103) * CHOOSE(CONTROL!$C$21, $C$9, 100%, $E$9)</f>
        <v>12.010300000000001</v>
      </c>
      <c r="N411" s="10">
        <f>CHOOSE(CONTROL!$C$42, 12.0277, 12.0277) * CHOOSE(CONTROL!$C$21, $C$9, 100%, $E$9)</f>
        <v>12.027699999999999</v>
      </c>
      <c r="O411" s="10">
        <f>CHOOSE(CONTROL!$C$42, 12.0945, 12.0945) * CHOOSE(CONTROL!$C$21, $C$9, 100%, $E$9)</f>
        <v>12.0945</v>
      </c>
      <c r="P411" s="10">
        <f>CHOOSE(CONTROL!$C$42, 12.0484, 12.0484) * CHOOSE(CONTROL!$C$21, $C$9, 100%, $E$9)</f>
        <v>12.048400000000001</v>
      </c>
      <c r="Q411" s="10">
        <f>CHOOSE(CONTROL!$C$42, 12.6898, 12.6898) * CHOOSE(CONTROL!$C$21, $C$9, 100%, $E$9)</f>
        <v>12.6898</v>
      </c>
      <c r="R411" s="10">
        <f>CHOOSE(CONTROL!$C$42, 13.3085, 13.3085) * CHOOSE(CONTROL!$C$21, $C$9, 100%, $E$9)</f>
        <v>13.3085</v>
      </c>
      <c r="S411" s="10">
        <f>CHOOSE(CONTROL!$C$42, 11.8027, 11.8027) * CHOOSE(CONTROL!$C$21, $C$9, 100%, $E$9)</f>
        <v>11.8027</v>
      </c>
      <c r="T41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11" s="38">
        <f>(1000*CHOOSE(CONTROL!$C$42, 695, 695)*CHOOSE(CONTROL!$C$42, 0.5599, 0.5599)*CHOOSE(CONTROL!$C$42, 31, 31))/1000000</f>
        <v>12.063045499999998</v>
      </c>
      <c r="V411" s="38">
        <f>(1000*CHOOSE(CONTROL!$C$42, 500, 500)*CHOOSE(CONTROL!$C$42, 0.275, 0.275)*CHOOSE(CONTROL!$C$42, 31, 31))/1000000</f>
        <v>4.2625000000000002</v>
      </c>
      <c r="W411" s="38">
        <f>(1000*CHOOSE(CONTROL!$C$42, 0.1146, 0.1146)*CHOOSE(CONTROL!$C$42, 121.5, 121.5)*CHOOSE(CONTROL!$C$42, 31, 31))/1000000</f>
        <v>0.43164089999999994</v>
      </c>
      <c r="X411" s="38">
        <f>(31*0.1790888*100000/1000000)+(31*0.2374*100000/1000000)</f>
        <v>1.2911152800000001</v>
      </c>
      <c r="Y411" s="38">
        <f>(1000*600*CHOOSE(CONTROL!$C$42, 1.0896, 1.0896)*CHOOSE(CONTROL!$C$42, 31, 31))/1000000</f>
        <v>20.266559999999995</v>
      </c>
      <c r="Z411" s="38"/>
      <c r="AA411" s="10"/>
      <c r="AB411" s="39"/>
      <c r="AC411" s="33">
        <f>(B411*122.58+C411*297.941+D411*89.177+E411*40.302+F411*40+G411*160+H411*0+I411*100+J411*300)/(122.58+297.941+89.177+40.302+0+40+160+100+300)</f>
        <v>12.172610581913045</v>
      </c>
      <c r="AD411" s="27">
        <f>(M411*'RAP TEMPLATE-GAS AVAILABILITY'!O410+N411*'RAP TEMPLATE-GAS AVAILABILITY'!P410+O411*'RAP TEMPLATE-GAS AVAILABILITY'!Q410+P411*'RAP TEMPLATE-GAS AVAILABILITY'!R410)/('RAP TEMPLATE-GAS AVAILABILITY'!O410+'RAP TEMPLATE-GAS AVAILABILITY'!P410+'RAP TEMPLATE-GAS AVAILABILITY'!Q410+'RAP TEMPLATE-GAS AVAILABILITY'!R410)</f>
        <v>12.054946043165467</v>
      </c>
    </row>
    <row r="412" spans="1:30" ht="15.75">
      <c r="A412" s="14">
        <v>53812</v>
      </c>
      <c r="B412" s="10">
        <f>CHOOSE(CONTROL!$C$42, 12.1362, 12.1362) * CHOOSE(CONTROL!$C$21, $C$9, 100%, $E$9)</f>
        <v>12.136200000000001</v>
      </c>
      <c r="C412" s="10">
        <f>CHOOSE(CONTROL!$C$42, 12.1407, 12.1407) * CHOOSE(CONTROL!$C$21, $C$9, 100%, $E$9)</f>
        <v>12.140700000000001</v>
      </c>
      <c r="D412" s="10">
        <f>CHOOSE(CONTROL!$C$42, 12.3008, 12.3008) * CHOOSE(CONTROL!$C$21, $C$9, 100%, $E$9)</f>
        <v>12.300800000000001</v>
      </c>
      <c r="E412" s="10">
        <f>CHOOSE(CONTROL!$C$42, 12.3327, 12.3327) * CHOOSE(CONTROL!$C$21, $C$9, 100%, $E$9)</f>
        <v>12.332700000000001</v>
      </c>
      <c r="F412" s="10">
        <f>CHOOSE(CONTROL!$C$42, 12.0823, 12.0823)*CHOOSE(CONTROL!$C$21, $C$9, 100%, $E$9)</f>
        <v>12.0823</v>
      </c>
      <c r="G412" s="10">
        <f>CHOOSE(CONTROL!$C$42, 12.0981, 12.0981)*CHOOSE(CONTROL!$C$21, $C$9, 100%, $E$9)</f>
        <v>12.098100000000001</v>
      </c>
      <c r="H412" s="10">
        <f>CHOOSE(CONTROL!$C$42, 12.3221, 12.3221) * CHOOSE(CONTROL!$C$21, $C$9, 100%, $E$9)</f>
        <v>12.322100000000001</v>
      </c>
      <c r="I412" s="10">
        <f>CHOOSE(CONTROL!$C$42, 12.1163, 12.1163)* CHOOSE(CONTROL!$C$21, $C$9, 100%, $E$9)</f>
        <v>12.116300000000001</v>
      </c>
      <c r="J412" s="10">
        <f>CHOOSE(CONTROL!$C$42, 12.0749, 12.0749)* CHOOSE(CONTROL!$C$21, $C$9, 100%, $E$9)</f>
        <v>12.0749</v>
      </c>
      <c r="K412" s="10">
        <f>CHOOSE(CONTROL!$C$42, 11.8986, 11.8986) * CHOOSE(CONTROL!$C$21, $C$9, 100%, $E$9)</f>
        <v>11.8986</v>
      </c>
      <c r="L412" s="10">
        <f>CHOOSE(CONTROL!$C$42, 12.9091, 12.9091) * CHOOSE(CONTROL!$C$21, $C$9, 100%, $E$9)</f>
        <v>12.9091</v>
      </c>
      <c r="M412" s="10">
        <f>CHOOSE(CONTROL!$C$42, 11.9395, 11.9395) * CHOOSE(CONTROL!$C$21, $C$9, 100%, $E$9)</f>
        <v>11.939500000000001</v>
      </c>
      <c r="N412" s="10">
        <f>CHOOSE(CONTROL!$C$42, 11.9551, 11.9551) * CHOOSE(CONTROL!$C$21, $C$9, 100%, $E$9)</f>
        <v>11.9551</v>
      </c>
      <c r="O412" s="10">
        <f>CHOOSE(CONTROL!$C$42, 12.1833, 12.1833) * CHOOSE(CONTROL!$C$21, $C$9, 100%, $E$9)</f>
        <v>12.183299999999999</v>
      </c>
      <c r="P412" s="10">
        <f>CHOOSE(CONTROL!$C$42, 11.9804, 11.9804) * CHOOSE(CONTROL!$C$21, $C$9, 100%, $E$9)</f>
        <v>11.980399999999999</v>
      </c>
      <c r="Q412" s="10">
        <f>CHOOSE(CONTROL!$C$42, 12.7786, 12.7786) * CHOOSE(CONTROL!$C$21, $C$9, 100%, $E$9)</f>
        <v>12.778600000000001</v>
      </c>
      <c r="R412" s="10">
        <f>CHOOSE(CONTROL!$C$42, 13.3975, 13.3975) * CHOOSE(CONTROL!$C$21, $C$9, 100%, $E$9)</f>
        <v>13.397500000000001</v>
      </c>
      <c r="S412" s="10">
        <f>CHOOSE(CONTROL!$C$42, 11.7674, 11.7674) * CHOOSE(CONTROL!$C$21, $C$9, 100%, $E$9)</f>
        <v>11.7674</v>
      </c>
      <c r="T41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12" s="38">
        <f>(1000*CHOOSE(CONTROL!$C$42, 695, 695)*CHOOSE(CONTROL!$C$42, 0.5599, 0.5599)*CHOOSE(CONTROL!$C$42, 30, 30))/1000000</f>
        <v>11.673914999999997</v>
      </c>
      <c r="V412" s="38">
        <f>(1000*CHOOSE(CONTROL!$C$42, 500, 500)*CHOOSE(CONTROL!$C$42, 0.275, 0.275)*CHOOSE(CONTROL!$C$42, 30, 30))/1000000</f>
        <v>4.125</v>
      </c>
      <c r="W412" s="38">
        <f>(1000*CHOOSE(CONTROL!$C$42, 0.1146, 0.1146)*CHOOSE(CONTROL!$C$42, 121.5, 121.5)*CHOOSE(CONTROL!$C$42, 30, 30))/1000000</f>
        <v>0.417717</v>
      </c>
      <c r="X412" s="38">
        <f>(30*0.1790888*245000/1000000)+(30*0.2374*100000/1000000)</f>
        <v>2.0285026799999999</v>
      </c>
      <c r="Y412" s="38">
        <f>(1000*600*CHOOSE(CONTROL!$C$42, 1.0896, 1.0896)*CHOOSE(CONTROL!$C$42, 30, 30))/1000000</f>
        <v>19.612799999999996</v>
      </c>
      <c r="Z412" s="38"/>
      <c r="AA412" s="10"/>
      <c r="AB412" s="39"/>
      <c r="AC412" s="33">
        <f>(B412*141.293+C412*267.993+D412*115.016+E412*89.698+F412*40+G412*185+H412*0+I412*100+J412*300)/(141.293+267.993+115.016+89.698+0+40+185+100+300)</f>
        <v>12.14280109693301</v>
      </c>
      <c r="AD412" s="27">
        <f>(M412*'RAP TEMPLATE-GAS AVAILABILITY'!O411+N412*'RAP TEMPLATE-GAS AVAILABILITY'!P411+O412*'RAP TEMPLATE-GAS AVAILABILITY'!Q411+P412*'RAP TEMPLATE-GAS AVAILABILITY'!R411)/('RAP TEMPLATE-GAS AVAILABILITY'!O411+'RAP TEMPLATE-GAS AVAILABILITY'!P411+'RAP TEMPLATE-GAS AVAILABILITY'!Q411+'RAP TEMPLATE-GAS AVAILABILITY'!R411)</f>
        <v>12.017380575539567</v>
      </c>
    </row>
    <row r="413" spans="1:30" ht="15.75">
      <c r="A413" s="14">
        <v>53843</v>
      </c>
      <c r="B413" s="10">
        <f>CHOOSE(CONTROL!$C$42, 12.2453, 12.2453) * CHOOSE(CONTROL!$C$21, $C$9, 100%, $E$9)</f>
        <v>12.2453</v>
      </c>
      <c r="C413" s="10">
        <f>CHOOSE(CONTROL!$C$42, 12.2533, 12.2533) * CHOOSE(CONTROL!$C$21, $C$9, 100%, $E$9)</f>
        <v>12.253299999999999</v>
      </c>
      <c r="D413" s="10">
        <f>CHOOSE(CONTROL!$C$42, 12.4103, 12.4103) * CHOOSE(CONTROL!$C$21, $C$9, 100%, $E$9)</f>
        <v>12.410299999999999</v>
      </c>
      <c r="E413" s="10">
        <f>CHOOSE(CONTROL!$C$42, 12.4415, 12.4415) * CHOOSE(CONTROL!$C$21, $C$9, 100%, $E$9)</f>
        <v>12.4415</v>
      </c>
      <c r="F413" s="10">
        <f>CHOOSE(CONTROL!$C$42, 12.1894, 12.1894)*CHOOSE(CONTROL!$C$21, $C$9, 100%, $E$9)</f>
        <v>12.189399999999999</v>
      </c>
      <c r="G413" s="10">
        <f>CHOOSE(CONTROL!$C$42, 12.2055, 12.2055)*CHOOSE(CONTROL!$C$21, $C$9, 100%, $E$9)</f>
        <v>12.205500000000001</v>
      </c>
      <c r="H413" s="10">
        <f>CHOOSE(CONTROL!$C$42, 12.4298, 12.4298) * CHOOSE(CONTROL!$C$21, $C$9, 100%, $E$9)</f>
        <v>12.4298</v>
      </c>
      <c r="I413" s="10">
        <f>CHOOSE(CONTROL!$C$42, 12.224, 12.224)* CHOOSE(CONTROL!$C$21, $C$9, 100%, $E$9)</f>
        <v>12.224</v>
      </c>
      <c r="J413" s="10">
        <f>CHOOSE(CONTROL!$C$42, 12.182, 12.182)* CHOOSE(CONTROL!$C$21, $C$9, 100%, $E$9)</f>
        <v>12.182</v>
      </c>
      <c r="K413" s="10">
        <f>CHOOSE(CONTROL!$C$42, 12.0017, 12.0017) * CHOOSE(CONTROL!$C$21, $C$9, 100%, $E$9)</f>
        <v>12.0017</v>
      </c>
      <c r="L413" s="10">
        <f>CHOOSE(CONTROL!$C$42, 13.0168, 13.0168) * CHOOSE(CONTROL!$C$21, $C$9, 100%, $E$9)</f>
        <v>13.0168</v>
      </c>
      <c r="M413" s="10">
        <f>CHOOSE(CONTROL!$C$42, 12.0451, 12.0451) * CHOOSE(CONTROL!$C$21, $C$9, 100%, $E$9)</f>
        <v>12.0451</v>
      </c>
      <c r="N413" s="10">
        <f>CHOOSE(CONTROL!$C$42, 12.061, 12.061) * CHOOSE(CONTROL!$C$21, $C$9, 100%, $E$9)</f>
        <v>12.061</v>
      </c>
      <c r="O413" s="10">
        <f>CHOOSE(CONTROL!$C$42, 12.2895, 12.2895) * CHOOSE(CONTROL!$C$21, $C$9, 100%, $E$9)</f>
        <v>12.2895</v>
      </c>
      <c r="P413" s="10">
        <f>CHOOSE(CONTROL!$C$42, 12.0866, 12.0866) * CHOOSE(CONTROL!$C$21, $C$9, 100%, $E$9)</f>
        <v>12.086600000000001</v>
      </c>
      <c r="Q413" s="10">
        <f>CHOOSE(CONTROL!$C$42, 12.8848, 12.8848) * CHOOSE(CONTROL!$C$21, $C$9, 100%, $E$9)</f>
        <v>12.8848</v>
      </c>
      <c r="R413" s="10">
        <f>CHOOSE(CONTROL!$C$42, 13.504, 13.504) * CHOOSE(CONTROL!$C$21, $C$9, 100%, $E$9)</f>
        <v>13.504</v>
      </c>
      <c r="S413" s="10">
        <f>CHOOSE(CONTROL!$C$42, 11.8717, 11.8717) * CHOOSE(CONTROL!$C$21, $C$9, 100%, $E$9)</f>
        <v>11.871700000000001</v>
      </c>
      <c r="T41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13" s="38">
        <f>(1000*CHOOSE(CONTROL!$C$42, 695, 695)*CHOOSE(CONTROL!$C$42, 0.5599, 0.5599)*CHOOSE(CONTROL!$C$42, 31, 31))/1000000</f>
        <v>12.063045499999998</v>
      </c>
      <c r="V413" s="38">
        <f>(1000*CHOOSE(CONTROL!$C$42, 500, 500)*CHOOSE(CONTROL!$C$42, 0.275, 0.275)*CHOOSE(CONTROL!$C$42, 31, 31))/1000000</f>
        <v>4.2625000000000002</v>
      </c>
      <c r="W413" s="38">
        <f>(1000*CHOOSE(CONTROL!$C$42, 0.1146, 0.1146)*CHOOSE(CONTROL!$C$42, 121.5, 121.5)*CHOOSE(CONTROL!$C$42, 31, 31))/1000000</f>
        <v>0.43164089999999994</v>
      </c>
      <c r="X413" s="38">
        <f>(31*0.1790888*245000/1000000)+(31*0.2374*100000/1000000)</f>
        <v>2.0961194359999999</v>
      </c>
      <c r="Y413" s="38">
        <f>(1000*600*CHOOSE(CONTROL!$C$42, 1.0896, 1.0896)*CHOOSE(CONTROL!$C$42, 31, 31))/1000000</f>
        <v>20.266559999999995</v>
      </c>
      <c r="Z413" s="38"/>
      <c r="AA413" s="10"/>
      <c r="AB413" s="39"/>
      <c r="AC413" s="33">
        <f>(B413*194.205+C413*267.466+D413*133.845+E413*53.484+F413*40+G413*185+H413*0+I413*100+J413*300)/(194.205+267.466+133.845+53.484+0+40+185+100+300)</f>
        <v>12.248438707849292</v>
      </c>
      <c r="AD413" s="27">
        <f>(M413*'RAP TEMPLATE-GAS AVAILABILITY'!O412+N413*'RAP TEMPLATE-GAS AVAILABILITY'!P412+O413*'RAP TEMPLATE-GAS AVAILABILITY'!Q412+P413*'RAP TEMPLATE-GAS AVAILABILITY'!R412)/('RAP TEMPLATE-GAS AVAILABILITY'!O412+'RAP TEMPLATE-GAS AVAILABILITY'!P412+'RAP TEMPLATE-GAS AVAILABILITY'!Q412+'RAP TEMPLATE-GAS AVAILABILITY'!R412)</f>
        <v>12.123304316546763</v>
      </c>
    </row>
    <row r="414" spans="1:30" ht="15.75">
      <c r="A414" s="14">
        <v>53873</v>
      </c>
      <c r="B414" s="10">
        <f>CHOOSE(CONTROL!$C$42, 12.593, 12.593) * CHOOSE(CONTROL!$C$21, $C$9, 100%, $E$9)</f>
        <v>12.593</v>
      </c>
      <c r="C414" s="10">
        <f>CHOOSE(CONTROL!$C$42, 12.601, 12.601) * CHOOSE(CONTROL!$C$21, $C$9, 100%, $E$9)</f>
        <v>12.601000000000001</v>
      </c>
      <c r="D414" s="10">
        <f>CHOOSE(CONTROL!$C$42, 12.758, 12.758) * CHOOSE(CONTROL!$C$21, $C$9, 100%, $E$9)</f>
        <v>12.757999999999999</v>
      </c>
      <c r="E414" s="10">
        <f>CHOOSE(CONTROL!$C$42, 12.7893, 12.7893) * CHOOSE(CONTROL!$C$21, $C$9, 100%, $E$9)</f>
        <v>12.789300000000001</v>
      </c>
      <c r="F414" s="10">
        <f>CHOOSE(CONTROL!$C$42, 12.5373, 12.5373)*CHOOSE(CONTROL!$C$21, $C$9, 100%, $E$9)</f>
        <v>12.5373</v>
      </c>
      <c r="G414" s="10">
        <f>CHOOSE(CONTROL!$C$42, 12.5535, 12.5535)*CHOOSE(CONTROL!$C$21, $C$9, 100%, $E$9)</f>
        <v>12.5535</v>
      </c>
      <c r="H414" s="10">
        <f>CHOOSE(CONTROL!$C$42, 12.7776, 12.7776) * CHOOSE(CONTROL!$C$21, $C$9, 100%, $E$9)</f>
        <v>12.7776</v>
      </c>
      <c r="I414" s="10">
        <f>CHOOSE(CONTROL!$C$42, 12.5718, 12.5718)* CHOOSE(CONTROL!$C$21, $C$9, 100%, $E$9)</f>
        <v>12.5718</v>
      </c>
      <c r="J414" s="10">
        <f>CHOOSE(CONTROL!$C$42, 12.5299, 12.5299)* CHOOSE(CONTROL!$C$21, $C$9, 100%, $E$9)</f>
        <v>12.5299</v>
      </c>
      <c r="K414" s="10">
        <f>CHOOSE(CONTROL!$C$42, 12.3389, 12.3389) * CHOOSE(CONTROL!$C$21, $C$9, 100%, $E$9)</f>
        <v>12.338900000000001</v>
      </c>
      <c r="L414" s="10">
        <f>CHOOSE(CONTROL!$C$42, 13.3646, 13.3646) * CHOOSE(CONTROL!$C$21, $C$9, 100%, $E$9)</f>
        <v>13.364599999999999</v>
      </c>
      <c r="M414" s="10">
        <f>CHOOSE(CONTROL!$C$42, 12.3881, 12.3881) * CHOOSE(CONTROL!$C$21, $C$9, 100%, $E$9)</f>
        <v>12.3881</v>
      </c>
      <c r="N414" s="10">
        <f>CHOOSE(CONTROL!$C$42, 12.4041, 12.4041) * CHOOSE(CONTROL!$C$21, $C$9, 100%, $E$9)</f>
        <v>12.4041</v>
      </c>
      <c r="O414" s="10">
        <f>CHOOSE(CONTROL!$C$42, 12.6324, 12.6324) * CHOOSE(CONTROL!$C$21, $C$9, 100%, $E$9)</f>
        <v>12.632400000000001</v>
      </c>
      <c r="P414" s="10">
        <f>CHOOSE(CONTROL!$C$42, 12.4295, 12.4295) * CHOOSE(CONTROL!$C$21, $C$9, 100%, $E$9)</f>
        <v>12.429500000000001</v>
      </c>
      <c r="Q414" s="10">
        <f>CHOOSE(CONTROL!$C$42, 13.2277, 13.2277) * CHOOSE(CONTROL!$C$21, $C$9, 100%, $E$9)</f>
        <v>13.2277</v>
      </c>
      <c r="R414" s="10">
        <f>CHOOSE(CONTROL!$C$42, 13.8477, 13.8477) * CHOOSE(CONTROL!$C$21, $C$9, 100%, $E$9)</f>
        <v>13.8477</v>
      </c>
      <c r="S414" s="10">
        <f>CHOOSE(CONTROL!$C$42, 12.2084, 12.2084) * CHOOSE(CONTROL!$C$21, $C$9, 100%, $E$9)</f>
        <v>12.208399999999999</v>
      </c>
      <c r="T41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14" s="38">
        <f>(1000*CHOOSE(CONTROL!$C$42, 695, 695)*CHOOSE(CONTROL!$C$42, 0.5599, 0.5599)*CHOOSE(CONTROL!$C$42, 30, 30))/1000000</f>
        <v>11.673914999999997</v>
      </c>
      <c r="V414" s="38">
        <f>(1000*CHOOSE(CONTROL!$C$42, 500, 500)*CHOOSE(CONTROL!$C$42, 0.275, 0.275)*CHOOSE(CONTROL!$C$42, 30, 30))/1000000</f>
        <v>4.125</v>
      </c>
      <c r="W414" s="38">
        <f>(1000*CHOOSE(CONTROL!$C$42, 0.1146, 0.1146)*CHOOSE(CONTROL!$C$42, 121.5, 121.5)*CHOOSE(CONTROL!$C$42, 30, 30))/1000000</f>
        <v>0.417717</v>
      </c>
      <c r="X414" s="38">
        <f>(30*0.1790888*245000/1000000)+(30*0.2374*100000/1000000)</f>
        <v>2.0285026799999999</v>
      </c>
      <c r="Y414" s="38">
        <f>(1000*600*CHOOSE(CONTROL!$C$42, 1.0896, 1.0896)*CHOOSE(CONTROL!$C$42, 30, 30))/1000000</f>
        <v>19.612799999999996</v>
      </c>
      <c r="Z414" s="38"/>
      <c r="AA414" s="10"/>
      <c r="AB414" s="39"/>
      <c r="AC414" s="33">
        <f>(B414*194.205+C414*267.466+D414*133.845+E414*53.484+F414*40+G414*185+H414*0+I414*100+J414*300)/(194.205+267.466+133.845+53.484+0+40+185+100+300)</f>
        <v>12.596247694034536</v>
      </c>
      <c r="AD414" s="27">
        <f>(M414*'RAP TEMPLATE-GAS AVAILABILITY'!O413+N414*'RAP TEMPLATE-GAS AVAILABILITY'!P413+O414*'RAP TEMPLATE-GAS AVAILABILITY'!Q413+P414*'RAP TEMPLATE-GAS AVAILABILITY'!R413)/('RAP TEMPLATE-GAS AVAILABILITY'!O413+'RAP TEMPLATE-GAS AVAILABILITY'!P413+'RAP TEMPLATE-GAS AVAILABILITY'!Q413+'RAP TEMPLATE-GAS AVAILABILITY'!R413)</f>
        <v>12.46628489208633</v>
      </c>
    </row>
    <row r="415" spans="1:30" ht="15.75">
      <c r="A415" s="14">
        <v>53904</v>
      </c>
      <c r="B415" s="10">
        <f>CHOOSE(CONTROL!$C$42, 12.3511, 12.3511) * CHOOSE(CONTROL!$C$21, $C$9, 100%, $E$9)</f>
        <v>12.351100000000001</v>
      </c>
      <c r="C415" s="10">
        <f>CHOOSE(CONTROL!$C$42, 12.3591, 12.3591) * CHOOSE(CONTROL!$C$21, $C$9, 100%, $E$9)</f>
        <v>12.3591</v>
      </c>
      <c r="D415" s="10">
        <f>CHOOSE(CONTROL!$C$42, 12.5162, 12.5162) * CHOOSE(CONTROL!$C$21, $C$9, 100%, $E$9)</f>
        <v>12.5162</v>
      </c>
      <c r="E415" s="10">
        <f>CHOOSE(CONTROL!$C$42, 12.5474, 12.5474) * CHOOSE(CONTROL!$C$21, $C$9, 100%, $E$9)</f>
        <v>12.5474</v>
      </c>
      <c r="F415" s="10">
        <f>CHOOSE(CONTROL!$C$42, 12.2958, 12.2958)*CHOOSE(CONTROL!$C$21, $C$9, 100%, $E$9)</f>
        <v>12.2958</v>
      </c>
      <c r="G415" s="10">
        <f>CHOOSE(CONTROL!$C$42, 12.312, 12.312)*CHOOSE(CONTROL!$C$21, $C$9, 100%, $E$9)</f>
        <v>12.311999999999999</v>
      </c>
      <c r="H415" s="10">
        <f>CHOOSE(CONTROL!$C$42, 12.5357, 12.5357) * CHOOSE(CONTROL!$C$21, $C$9, 100%, $E$9)</f>
        <v>12.5357</v>
      </c>
      <c r="I415" s="10">
        <f>CHOOSE(CONTROL!$C$42, 12.3299, 12.3299)* CHOOSE(CONTROL!$C$21, $C$9, 100%, $E$9)</f>
        <v>12.3299</v>
      </c>
      <c r="J415" s="10">
        <f>CHOOSE(CONTROL!$C$42, 12.2884, 12.2884)* CHOOSE(CONTROL!$C$21, $C$9, 100%, $E$9)</f>
        <v>12.288399999999999</v>
      </c>
      <c r="K415" s="10">
        <f>CHOOSE(CONTROL!$C$42, 12.1053, 12.1053) * CHOOSE(CONTROL!$C$21, $C$9, 100%, $E$9)</f>
        <v>12.1053</v>
      </c>
      <c r="L415" s="10">
        <f>CHOOSE(CONTROL!$C$42, 13.1227, 13.1227) * CHOOSE(CONTROL!$C$21, $C$9, 100%, $E$9)</f>
        <v>13.1227</v>
      </c>
      <c r="M415" s="10">
        <f>CHOOSE(CONTROL!$C$42, 12.15, 12.15) * CHOOSE(CONTROL!$C$21, $C$9, 100%, $E$9)</f>
        <v>12.15</v>
      </c>
      <c r="N415" s="10">
        <f>CHOOSE(CONTROL!$C$42, 12.166, 12.166) * CHOOSE(CONTROL!$C$21, $C$9, 100%, $E$9)</f>
        <v>12.166</v>
      </c>
      <c r="O415" s="10">
        <f>CHOOSE(CONTROL!$C$42, 12.3939, 12.3939) * CHOOSE(CONTROL!$C$21, $C$9, 100%, $E$9)</f>
        <v>12.3939</v>
      </c>
      <c r="P415" s="10">
        <f>CHOOSE(CONTROL!$C$42, 12.191, 12.191) * CHOOSE(CONTROL!$C$21, $C$9, 100%, $E$9)</f>
        <v>12.191000000000001</v>
      </c>
      <c r="Q415" s="10">
        <f>CHOOSE(CONTROL!$C$42, 12.9892, 12.9892) * CHOOSE(CONTROL!$C$21, $C$9, 100%, $E$9)</f>
        <v>12.9892</v>
      </c>
      <c r="R415" s="10">
        <f>CHOOSE(CONTROL!$C$42, 13.6086, 13.6086) * CHOOSE(CONTROL!$C$21, $C$9, 100%, $E$9)</f>
        <v>13.608599999999999</v>
      </c>
      <c r="S415" s="10">
        <f>CHOOSE(CONTROL!$C$42, 11.9742, 11.9742) * CHOOSE(CONTROL!$C$21, $C$9, 100%, $E$9)</f>
        <v>11.9742</v>
      </c>
      <c r="T41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15" s="38">
        <f>(1000*CHOOSE(CONTROL!$C$42, 695, 695)*CHOOSE(CONTROL!$C$42, 0.5599, 0.5599)*CHOOSE(CONTROL!$C$42, 31, 31))/1000000</f>
        <v>12.063045499999998</v>
      </c>
      <c r="V415" s="38">
        <f>(1000*CHOOSE(CONTROL!$C$42, 500, 500)*CHOOSE(CONTROL!$C$42, 0.275, 0.275)*CHOOSE(CONTROL!$C$42, 31, 31))/1000000</f>
        <v>4.2625000000000002</v>
      </c>
      <c r="W415" s="38">
        <f>(1000*CHOOSE(CONTROL!$C$42, 0.1146, 0.1146)*CHOOSE(CONTROL!$C$42, 121.5, 121.5)*CHOOSE(CONTROL!$C$42, 31, 31))/1000000</f>
        <v>0.43164089999999994</v>
      </c>
      <c r="X415" s="38">
        <f>(31*0.1790888*245000/1000000)+(31*0.2374*100000/1000000)</f>
        <v>2.0961194359999999</v>
      </c>
      <c r="Y415" s="38">
        <f>(1000*600*CHOOSE(CONTROL!$C$42, 1.0896, 1.0896)*CHOOSE(CONTROL!$C$42, 31, 31))/1000000</f>
        <v>20.266559999999995</v>
      </c>
      <c r="Z415" s="38"/>
      <c r="AA415" s="10"/>
      <c r="AB415" s="39"/>
      <c r="AC415" s="33">
        <f>(B415*194.205+C415*267.466+D415*133.845+E415*53.484+F415*40+G415*185+H415*0+I415*100+J415*300)/(194.205+267.466+133.845+53.484+0+40+185+100+300)</f>
        <v>12.354523035086343</v>
      </c>
      <c r="AD415" s="27">
        <f>(M415*'RAP TEMPLATE-GAS AVAILABILITY'!O414+N415*'RAP TEMPLATE-GAS AVAILABILITY'!P414+O415*'RAP TEMPLATE-GAS AVAILABILITY'!Q414+P415*'RAP TEMPLATE-GAS AVAILABILITY'!R414)/('RAP TEMPLATE-GAS AVAILABILITY'!O414+'RAP TEMPLATE-GAS AVAILABILITY'!P414+'RAP TEMPLATE-GAS AVAILABILITY'!Q414+'RAP TEMPLATE-GAS AVAILABILITY'!R414)</f>
        <v>12.228015107913668</v>
      </c>
    </row>
    <row r="416" spans="1:30" ht="15.75">
      <c r="A416" s="14">
        <v>53935</v>
      </c>
      <c r="B416" s="10">
        <f>CHOOSE(CONTROL!$C$42, 11.7404, 11.7404) * CHOOSE(CONTROL!$C$21, $C$9, 100%, $E$9)</f>
        <v>11.740399999999999</v>
      </c>
      <c r="C416" s="10">
        <f>CHOOSE(CONTROL!$C$42, 11.7484, 11.7484) * CHOOSE(CONTROL!$C$21, $C$9, 100%, $E$9)</f>
        <v>11.7484</v>
      </c>
      <c r="D416" s="10">
        <f>CHOOSE(CONTROL!$C$42, 11.9054, 11.9054) * CHOOSE(CONTROL!$C$21, $C$9, 100%, $E$9)</f>
        <v>11.9054</v>
      </c>
      <c r="E416" s="10">
        <f>CHOOSE(CONTROL!$C$42, 11.9366, 11.9366) * CHOOSE(CONTROL!$C$21, $C$9, 100%, $E$9)</f>
        <v>11.9366</v>
      </c>
      <c r="F416" s="10">
        <f>CHOOSE(CONTROL!$C$42, 11.685, 11.685)*CHOOSE(CONTROL!$C$21, $C$9, 100%, $E$9)</f>
        <v>11.685</v>
      </c>
      <c r="G416" s="10">
        <f>CHOOSE(CONTROL!$C$42, 11.7012, 11.7012)*CHOOSE(CONTROL!$C$21, $C$9, 100%, $E$9)</f>
        <v>11.7012</v>
      </c>
      <c r="H416" s="10">
        <f>CHOOSE(CONTROL!$C$42, 11.925, 11.925) * CHOOSE(CONTROL!$C$21, $C$9, 100%, $E$9)</f>
        <v>11.925000000000001</v>
      </c>
      <c r="I416" s="10">
        <f>CHOOSE(CONTROL!$C$42, 11.7192, 11.7192)* CHOOSE(CONTROL!$C$21, $C$9, 100%, $E$9)</f>
        <v>11.719200000000001</v>
      </c>
      <c r="J416" s="10">
        <f>CHOOSE(CONTROL!$C$42, 11.6776, 11.6776)* CHOOSE(CONTROL!$C$21, $C$9, 100%, $E$9)</f>
        <v>11.6776</v>
      </c>
      <c r="K416" s="10">
        <f>CHOOSE(CONTROL!$C$42, 11.5135, 11.5135) * CHOOSE(CONTROL!$C$21, $C$9, 100%, $E$9)</f>
        <v>11.513500000000001</v>
      </c>
      <c r="L416" s="10">
        <f>CHOOSE(CONTROL!$C$42, 12.512, 12.512) * CHOOSE(CONTROL!$C$21, $C$9, 100%, $E$9)</f>
        <v>12.512</v>
      </c>
      <c r="M416" s="10">
        <f>CHOOSE(CONTROL!$C$42, 11.5477, 11.5477) * CHOOSE(CONTROL!$C$21, $C$9, 100%, $E$9)</f>
        <v>11.547700000000001</v>
      </c>
      <c r="N416" s="10">
        <f>CHOOSE(CONTROL!$C$42, 11.5637, 11.5637) * CHOOSE(CONTROL!$C$21, $C$9, 100%, $E$9)</f>
        <v>11.563700000000001</v>
      </c>
      <c r="O416" s="10">
        <f>CHOOSE(CONTROL!$C$42, 11.7916, 11.7916) * CHOOSE(CONTROL!$C$21, $C$9, 100%, $E$9)</f>
        <v>11.791600000000001</v>
      </c>
      <c r="P416" s="10">
        <f>CHOOSE(CONTROL!$C$42, 11.5887, 11.5887) * CHOOSE(CONTROL!$C$21, $C$9, 100%, $E$9)</f>
        <v>11.588699999999999</v>
      </c>
      <c r="Q416" s="10">
        <f>CHOOSE(CONTROL!$C$42, 12.3869, 12.3869) * CHOOSE(CONTROL!$C$21, $C$9, 100%, $E$9)</f>
        <v>12.386900000000001</v>
      </c>
      <c r="R416" s="10">
        <f>CHOOSE(CONTROL!$C$42, 13.0049, 13.0049) * CHOOSE(CONTROL!$C$21, $C$9, 100%, $E$9)</f>
        <v>13.004899999999999</v>
      </c>
      <c r="S416" s="10">
        <f>CHOOSE(CONTROL!$C$42, 11.3828, 11.3828) * CHOOSE(CONTROL!$C$21, $C$9, 100%, $E$9)</f>
        <v>11.3828</v>
      </c>
      <c r="T41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16" s="38">
        <f>(1000*CHOOSE(CONTROL!$C$42, 695, 695)*CHOOSE(CONTROL!$C$42, 0.5599, 0.5599)*CHOOSE(CONTROL!$C$42, 31, 31))/1000000</f>
        <v>12.063045499999998</v>
      </c>
      <c r="V416" s="38">
        <f>(1000*CHOOSE(CONTROL!$C$42, 500, 500)*CHOOSE(CONTROL!$C$42, 0.275, 0.275)*CHOOSE(CONTROL!$C$42, 31, 31))/1000000</f>
        <v>4.2625000000000002</v>
      </c>
      <c r="W416" s="38">
        <f>(1000*CHOOSE(CONTROL!$C$42, 0.1146, 0.1146)*CHOOSE(CONTROL!$C$42, 121.5, 121.5)*CHOOSE(CONTROL!$C$42, 31, 31))/1000000</f>
        <v>0.43164089999999994</v>
      </c>
      <c r="X416" s="38">
        <f>(31*0.1790888*245000/1000000)+(31*0.2374*100000/1000000)</f>
        <v>2.0961194359999999</v>
      </c>
      <c r="Y416" s="38">
        <f>(1000*600*CHOOSE(CONTROL!$C$42, 1.0896, 1.0896)*CHOOSE(CONTROL!$C$42, 31, 31))/1000000</f>
        <v>20.266559999999995</v>
      </c>
      <c r="Z416" s="38"/>
      <c r="AA416" s="10"/>
      <c r="AB416" s="39"/>
      <c r="AC416" s="33">
        <f>(B416*194.205+C416*267.466+D416*133.845+E416*53.484+F416*40+G416*185+H416*0+I416*100+J416*300)/(194.205+267.466+133.845+53.484+0+40+185+100+300)</f>
        <v>11.743767122291993</v>
      </c>
      <c r="AD416" s="27">
        <f>(M416*'RAP TEMPLATE-GAS AVAILABILITY'!O415+N416*'RAP TEMPLATE-GAS AVAILABILITY'!P415+O416*'RAP TEMPLATE-GAS AVAILABILITY'!Q415+P416*'RAP TEMPLATE-GAS AVAILABILITY'!R415)/('RAP TEMPLATE-GAS AVAILABILITY'!O415+'RAP TEMPLATE-GAS AVAILABILITY'!P415+'RAP TEMPLATE-GAS AVAILABILITY'!Q415+'RAP TEMPLATE-GAS AVAILABILITY'!R415)</f>
        <v>11.625715107913669</v>
      </c>
    </row>
    <row r="417" spans="1:30" ht="15.75">
      <c r="A417" s="14">
        <v>53965</v>
      </c>
      <c r="B417" s="10">
        <f>CHOOSE(CONTROL!$C$42, 10.9941, 10.9941) * CHOOSE(CONTROL!$C$21, $C$9, 100%, $E$9)</f>
        <v>10.9941</v>
      </c>
      <c r="C417" s="10">
        <f>CHOOSE(CONTROL!$C$42, 11.0021, 11.0021) * CHOOSE(CONTROL!$C$21, $C$9, 100%, $E$9)</f>
        <v>11.0021</v>
      </c>
      <c r="D417" s="10">
        <f>CHOOSE(CONTROL!$C$42, 11.1592, 11.1592) * CHOOSE(CONTROL!$C$21, $C$9, 100%, $E$9)</f>
        <v>11.1592</v>
      </c>
      <c r="E417" s="10">
        <f>CHOOSE(CONTROL!$C$42, 11.1904, 11.1904) * CHOOSE(CONTROL!$C$21, $C$9, 100%, $E$9)</f>
        <v>11.1904</v>
      </c>
      <c r="F417" s="10">
        <f>CHOOSE(CONTROL!$C$42, 10.9385, 10.9385)*CHOOSE(CONTROL!$C$21, $C$9, 100%, $E$9)</f>
        <v>10.938499999999999</v>
      </c>
      <c r="G417" s="10">
        <f>CHOOSE(CONTROL!$C$42, 10.9547, 10.9547)*CHOOSE(CONTROL!$C$21, $C$9, 100%, $E$9)</f>
        <v>10.954700000000001</v>
      </c>
      <c r="H417" s="10">
        <f>CHOOSE(CONTROL!$C$42, 11.1787, 11.1787) * CHOOSE(CONTROL!$C$21, $C$9, 100%, $E$9)</f>
        <v>11.178699999999999</v>
      </c>
      <c r="I417" s="10">
        <f>CHOOSE(CONTROL!$C$42, 10.9729, 10.9729)* CHOOSE(CONTROL!$C$21, $C$9, 100%, $E$9)</f>
        <v>10.972899999999999</v>
      </c>
      <c r="J417" s="10">
        <f>CHOOSE(CONTROL!$C$42, 10.9311, 10.9311)* CHOOSE(CONTROL!$C$21, $C$9, 100%, $E$9)</f>
        <v>10.931100000000001</v>
      </c>
      <c r="K417" s="10">
        <f>CHOOSE(CONTROL!$C$42, 10.7901, 10.7901) * CHOOSE(CONTROL!$C$21, $C$9, 100%, $E$9)</f>
        <v>10.790100000000001</v>
      </c>
      <c r="L417" s="10">
        <f>CHOOSE(CONTROL!$C$42, 11.7657, 11.7657) * CHOOSE(CONTROL!$C$21, $C$9, 100%, $E$9)</f>
        <v>11.765700000000001</v>
      </c>
      <c r="M417" s="10">
        <f>CHOOSE(CONTROL!$C$42, 10.8116, 10.8116) * CHOOSE(CONTROL!$C$21, $C$9, 100%, $E$9)</f>
        <v>10.8116</v>
      </c>
      <c r="N417" s="10">
        <f>CHOOSE(CONTROL!$C$42, 10.8276, 10.8276) * CHOOSE(CONTROL!$C$21, $C$9, 100%, $E$9)</f>
        <v>10.8276</v>
      </c>
      <c r="O417" s="10">
        <f>CHOOSE(CONTROL!$C$42, 11.0558, 11.0558) * CHOOSE(CONTROL!$C$21, $C$9, 100%, $E$9)</f>
        <v>11.0558</v>
      </c>
      <c r="P417" s="10">
        <f>CHOOSE(CONTROL!$C$42, 10.8529, 10.8529) * CHOOSE(CONTROL!$C$21, $C$9, 100%, $E$9)</f>
        <v>10.8529</v>
      </c>
      <c r="Q417" s="10">
        <f>CHOOSE(CONTROL!$C$42, 11.6511, 11.6511) * CHOOSE(CONTROL!$C$21, $C$9, 100%, $E$9)</f>
        <v>11.6511</v>
      </c>
      <c r="R417" s="10">
        <f>CHOOSE(CONTROL!$C$42, 12.2672, 12.2672) * CHOOSE(CONTROL!$C$21, $C$9, 100%, $E$9)</f>
        <v>12.267200000000001</v>
      </c>
      <c r="S417" s="10">
        <f>CHOOSE(CONTROL!$C$42, 10.6602, 10.6602) * CHOOSE(CONTROL!$C$21, $C$9, 100%, $E$9)</f>
        <v>10.6602</v>
      </c>
      <c r="T41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17" s="38">
        <f>(1000*CHOOSE(CONTROL!$C$42, 695, 695)*CHOOSE(CONTROL!$C$42, 0.5599, 0.5599)*CHOOSE(CONTROL!$C$42, 30, 30))/1000000</f>
        <v>11.673914999999997</v>
      </c>
      <c r="V417" s="38">
        <f>(1000*CHOOSE(CONTROL!$C$42, 500, 500)*CHOOSE(CONTROL!$C$42, 0.275, 0.275)*CHOOSE(CONTROL!$C$42, 30, 30))/1000000</f>
        <v>4.125</v>
      </c>
      <c r="W417" s="38">
        <f>(1000*CHOOSE(CONTROL!$C$42, 0.1146, 0.1146)*CHOOSE(CONTROL!$C$42, 121.5, 121.5)*CHOOSE(CONTROL!$C$42, 30, 30))/1000000</f>
        <v>0.417717</v>
      </c>
      <c r="X417" s="38">
        <f>(30*0.1790888*245000/1000000)+(30*0.2374*100000/1000000)</f>
        <v>2.0285026799999999</v>
      </c>
      <c r="Y417" s="38">
        <f>(1000*600*CHOOSE(CONTROL!$C$42, 1.0896, 1.0896)*CHOOSE(CONTROL!$C$42, 30, 30))/1000000</f>
        <v>19.612799999999996</v>
      </c>
      <c r="Z417" s="38"/>
      <c r="AA417" s="10"/>
      <c r="AB417" s="39"/>
      <c r="AC417" s="33">
        <f>(B417*194.205+C417*267.466+D417*133.845+E417*53.484+F417*40+G417*185+H417*0+I417*100+J417*300)/(194.205+267.466+133.845+53.484+0+40+185+100+300)</f>
        <v>10.997399408712717</v>
      </c>
      <c r="AD417" s="27">
        <f>(M417*'RAP TEMPLATE-GAS AVAILABILITY'!O416+N417*'RAP TEMPLATE-GAS AVAILABILITY'!P416+O417*'RAP TEMPLATE-GAS AVAILABILITY'!Q416+P417*'RAP TEMPLATE-GAS AVAILABILITY'!R416)/('RAP TEMPLATE-GAS AVAILABILITY'!O416+'RAP TEMPLATE-GAS AVAILABILITY'!P416+'RAP TEMPLATE-GAS AVAILABILITY'!Q416+'RAP TEMPLATE-GAS AVAILABILITY'!R416)</f>
        <v>10.889742446043165</v>
      </c>
    </row>
    <row r="418" spans="1:30" ht="15.75">
      <c r="A418" s="14">
        <v>53996</v>
      </c>
      <c r="B418" s="10">
        <f>CHOOSE(CONTROL!$C$42, 10.7685, 10.7685) * CHOOSE(CONTROL!$C$21, $C$9, 100%, $E$9)</f>
        <v>10.7685</v>
      </c>
      <c r="C418" s="10">
        <f>CHOOSE(CONTROL!$C$42, 10.7738, 10.7738) * CHOOSE(CONTROL!$C$21, $C$9, 100%, $E$9)</f>
        <v>10.7738</v>
      </c>
      <c r="D418" s="10">
        <f>CHOOSE(CONTROL!$C$42, 10.9357, 10.9357) * CHOOSE(CONTROL!$C$21, $C$9, 100%, $E$9)</f>
        <v>10.935700000000001</v>
      </c>
      <c r="E418" s="10">
        <f>CHOOSE(CONTROL!$C$42, 10.9647, 10.9647) * CHOOSE(CONTROL!$C$21, $C$9, 100%, $E$9)</f>
        <v>10.964700000000001</v>
      </c>
      <c r="F418" s="10">
        <f>CHOOSE(CONTROL!$C$42, 10.7149, 10.7149)*CHOOSE(CONTROL!$C$21, $C$9, 100%, $E$9)</f>
        <v>10.7149</v>
      </c>
      <c r="G418" s="10">
        <f>CHOOSE(CONTROL!$C$42, 10.7307, 10.7307)*CHOOSE(CONTROL!$C$21, $C$9, 100%, $E$9)</f>
        <v>10.730700000000001</v>
      </c>
      <c r="H418" s="10">
        <f>CHOOSE(CONTROL!$C$42, 10.9548, 10.9548) * CHOOSE(CONTROL!$C$21, $C$9, 100%, $E$9)</f>
        <v>10.954800000000001</v>
      </c>
      <c r="I418" s="10">
        <f>CHOOSE(CONTROL!$C$42, 10.749, 10.749)* CHOOSE(CONTROL!$C$21, $C$9, 100%, $E$9)</f>
        <v>10.749000000000001</v>
      </c>
      <c r="J418" s="10">
        <f>CHOOSE(CONTROL!$C$42, 10.7075, 10.7075)* CHOOSE(CONTROL!$C$21, $C$9, 100%, $E$9)</f>
        <v>10.7075</v>
      </c>
      <c r="K418" s="10">
        <f>CHOOSE(CONTROL!$C$42, 10.5738, 10.5738) * CHOOSE(CONTROL!$C$21, $C$9, 100%, $E$9)</f>
        <v>10.5738</v>
      </c>
      <c r="L418" s="10">
        <f>CHOOSE(CONTROL!$C$42, 11.5418, 11.5418) * CHOOSE(CONTROL!$C$21, $C$9, 100%, $E$9)</f>
        <v>11.5418</v>
      </c>
      <c r="M418" s="10">
        <f>CHOOSE(CONTROL!$C$42, 10.5911, 10.5911) * CHOOSE(CONTROL!$C$21, $C$9, 100%, $E$9)</f>
        <v>10.591100000000001</v>
      </c>
      <c r="N418" s="10">
        <f>CHOOSE(CONTROL!$C$42, 10.6067, 10.6067) * CHOOSE(CONTROL!$C$21, $C$9, 100%, $E$9)</f>
        <v>10.6067</v>
      </c>
      <c r="O418" s="10">
        <f>CHOOSE(CONTROL!$C$42, 10.835, 10.835) * CHOOSE(CONTROL!$C$21, $C$9, 100%, $E$9)</f>
        <v>10.835000000000001</v>
      </c>
      <c r="P418" s="10">
        <f>CHOOSE(CONTROL!$C$42, 10.6321, 10.6321) * CHOOSE(CONTROL!$C$21, $C$9, 100%, $E$9)</f>
        <v>10.632099999999999</v>
      </c>
      <c r="Q418" s="10">
        <f>CHOOSE(CONTROL!$C$42, 11.4303, 11.4303) * CHOOSE(CONTROL!$C$21, $C$9, 100%, $E$9)</f>
        <v>11.430300000000001</v>
      </c>
      <c r="R418" s="10">
        <f>CHOOSE(CONTROL!$C$42, 12.0458, 12.0458) * CHOOSE(CONTROL!$C$21, $C$9, 100%, $E$9)</f>
        <v>12.0458</v>
      </c>
      <c r="S418" s="10">
        <f>CHOOSE(CONTROL!$C$42, 10.4434, 10.4434) * CHOOSE(CONTROL!$C$21, $C$9, 100%, $E$9)</f>
        <v>10.4434</v>
      </c>
      <c r="T41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18" s="38">
        <f>(1000*CHOOSE(CONTROL!$C$42, 695, 695)*CHOOSE(CONTROL!$C$42, 0.5599, 0.5599)*CHOOSE(CONTROL!$C$42, 31, 31))/1000000</f>
        <v>12.063045499999998</v>
      </c>
      <c r="V418" s="38">
        <f>(1000*CHOOSE(CONTROL!$C$42, 500, 500)*CHOOSE(CONTROL!$C$42, 0.275, 0.275)*CHOOSE(CONTROL!$C$42, 31, 31))/1000000</f>
        <v>4.2625000000000002</v>
      </c>
      <c r="W418" s="38">
        <f>(1000*CHOOSE(CONTROL!$C$42, 0.1146, 0.1146)*CHOOSE(CONTROL!$C$42, 121.5, 121.5)*CHOOSE(CONTROL!$C$42, 31, 31))/1000000</f>
        <v>0.43164089999999994</v>
      </c>
      <c r="X418" s="38">
        <f>(31*0.1790888*245000/1000000)+(31*0.2374*100000/1000000)</f>
        <v>2.0961194359999999</v>
      </c>
      <c r="Y418" s="38">
        <f>(1000*600*CHOOSE(CONTROL!$C$42, 1.0896, 1.0896)*CHOOSE(CONTROL!$C$42, 31, 31))/1000000</f>
        <v>20.266559999999995</v>
      </c>
      <c r="Z418" s="38"/>
      <c r="AA418" s="10"/>
      <c r="AB418" s="39"/>
      <c r="AC418" s="33">
        <f>(B418*131.881+C418*277.167+D418*79.08+E418*125.872+F418*40+G418*185+H418*0+I418*100+J418*300)/(131.881+277.167+79.08+125.872+0+40+185+100+300)</f>
        <v>10.776571224778046</v>
      </c>
      <c r="AD418" s="27">
        <f>(M418*'RAP TEMPLATE-GAS AVAILABILITY'!O417+N418*'RAP TEMPLATE-GAS AVAILABILITY'!P417+O418*'RAP TEMPLATE-GAS AVAILABILITY'!Q417+P418*'RAP TEMPLATE-GAS AVAILABILITY'!R417)/('RAP TEMPLATE-GAS AVAILABILITY'!O417+'RAP TEMPLATE-GAS AVAILABILITY'!P417+'RAP TEMPLATE-GAS AVAILABILITY'!Q417+'RAP TEMPLATE-GAS AVAILABILITY'!R417)</f>
        <v>10.669023021582735</v>
      </c>
    </row>
    <row r="419" spans="1:30" ht="15.75">
      <c r="A419" s="14">
        <v>54026</v>
      </c>
      <c r="B419" s="10">
        <f>CHOOSE(CONTROL!$C$42, 11.0522, 11.0522) * CHOOSE(CONTROL!$C$21, $C$9, 100%, $E$9)</f>
        <v>11.052199999999999</v>
      </c>
      <c r="C419" s="10">
        <f>CHOOSE(CONTROL!$C$42, 11.0573, 11.0573) * CHOOSE(CONTROL!$C$21, $C$9, 100%, $E$9)</f>
        <v>11.0573</v>
      </c>
      <c r="D419" s="10">
        <f>CHOOSE(CONTROL!$C$42, 11.0819, 11.0819) * CHOOSE(CONTROL!$C$21, $C$9, 100%, $E$9)</f>
        <v>11.081899999999999</v>
      </c>
      <c r="E419" s="10">
        <f>CHOOSE(CONTROL!$C$42, 11.1158, 11.1158) * CHOOSE(CONTROL!$C$21, $C$9, 100%, $E$9)</f>
        <v>11.1158</v>
      </c>
      <c r="F419" s="10">
        <f>CHOOSE(CONTROL!$C$42, 11.0205, 11.0205)*CHOOSE(CONTROL!$C$21, $C$9, 100%, $E$9)</f>
        <v>11.0205</v>
      </c>
      <c r="G419" s="10">
        <f>CHOOSE(CONTROL!$C$42, 11.0365, 11.0365)*CHOOSE(CONTROL!$C$21, $C$9, 100%, $E$9)</f>
        <v>11.0365</v>
      </c>
      <c r="H419" s="10">
        <f>CHOOSE(CONTROL!$C$42, 11.1046, 11.1046) * CHOOSE(CONTROL!$C$21, $C$9, 100%, $E$9)</f>
        <v>11.1046</v>
      </c>
      <c r="I419" s="10">
        <f>CHOOSE(CONTROL!$C$42, 11.0671, 11.0671)* CHOOSE(CONTROL!$C$21, $C$9, 100%, $E$9)</f>
        <v>11.0671</v>
      </c>
      <c r="J419" s="10">
        <f>CHOOSE(CONTROL!$C$42, 11.0131, 11.0131)* CHOOSE(CONTROL!$C$21, $C$9, 100%, $E$9)</f>
        <v>11.0131</v>
      </c>
      <c r="K419" s="10">
        <f>CHOOSE(CONTROL!$C$42, 10.8843, 10.8843) * CHOOSE(CONTROL!$C$21, $C$9, 100%, $E$9)</f>
        <v>10.8843</v>
      </c>
      <c r="L419" s="10">
        <f>CHOOSE(CONTROL!$C$42, 11.6916, 11.6916) * CHOOSE(CONTROL!$C$21, $C$9, 100%, $E$9)</f>
        <v>11.691599999999999</v>
      </c>
      <c r="M419" s="10">
        <f>CHOOSE(CONTROL!$C$42, 10.8925, 10.8925) * CHOOSE(CONTROL!$C$21, $C$9, 100%, $E$9)</f>
        <v>10.8925</v>
      </c>
      <c r="N419" s="10">
        <f>CHOOSE(CONTROL!$C$42, 10.9083, 10.9083) * CHOOSE(CONTROL!$C$21, $C$9, 100%, $E$9)</f>
        <v>10.908300000000001</v>
      </c>
      <c r="O419" s="10">
        <f>CHOOSE(CONTROL!$C$42, 10.9827, 10.9827) * CHOOSE(CONTROL!$C$21, $C$9, 100%, $E$9)</f>
        <v>10.982699999999999</v>
      </c>
      <c r="P419" s="10">
        <f>CHOOSE(CONTROL!$C$42, 10.9458, 10.9458) * CHOOSE(CONTROL!$C$21, $C$9, 100%, $E$9)</f>
        <v>10.9458</v>
      </c>
      <c r="Q419" s="10">
        <f>CHOOSE(CONTROL!$C$42, 11.578, 11.578) * CHOOSE(CONTROL!$C$21, $C$9, 100%, $E$9)</f>
        <v>11.577999999999999</v>
      </c>
      <c r="R419" s="10">
        <f>CHOOSE(CONTROL!$C$42, 12.194, 12.194) * CHOOSE(CONTROL!$C$21, $C$9, 100%, $E$9)</f>
        <v>12.194000000000001</v>
      </c>
      <c r="S419" s="10">
        <f>CHOOSE(CONTROL!$C$42, 10.7185, 10.7185) * CHOOSE(CONTROL!$C$21, $C$9, 100%, $E$9)</f>
        <v>10.718500000000001</v>
      </c>
      <c r="T41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19" s="38">
        <f>(1000*CHOOSE(CONTROL!$C$42, 695, 695)*CHOOSE(CONTROL!$C$42, 0.5599, 0.5599)*CHOOSE(CONTROL!$C$42, 30, 30))/1000000</f>
        <v>11.673914999999997</v>
      </c>
      <c r="V419" s="38">
        <f>(1000*CHOOSE(CONTROL!$C$42, 500, 500)*CHOOSE(CONTROL!$C$42, 0.275, 0.275)*CHOOSE(CONTROL!$C$42, 30, 30))/1000000</f>
        <v>4.125</v>
      </c>
      <c r="W419" s="38">
        <f>(1000*CHOOSE(CONTROL!$C$42, 0.1146, 0.1146)*CHOOSE(CONTROL!$C$42, 121.5, 121.5)*CHOOSE(CONTROL!$C$42, 30, 30))/1000000</f>
        <v>0.417717</v>
      </c>
      <c r="X419" s="38">
        <f>(30*0.1790888*100000/1000000)+(30*0.2374*100000/1000000)</f>
        <v>1.2494664</v>
      </c>
      <c r="Y419" s="38">
        <f>(1000*600*CHOOSE(CONTROL!$C$42, 1.0896, 1.0896)*CHOOSE(CONTROL!$C$42, 30, 30))/1000000</f>
        <v>19.612799999999996</v>
      </c>
      <c r="Z419" s="38"/>
      <c r="AA419" s="10"/>
      <c r="AB419" s="39"/>
      <c r="AC419" s="33">
        <f>(B419*122.58+C419*297.941+D419*89.177+E419*40.302+F419*40+G419*160+H419*0+I419*100+J419*300)/(122.58+297.941+89.177+40.302+0+40+160+100+300)</f>
        <v>11.045861967999999</v>
      </c>
      <c r="AD419" s="27">
        <f>(M419*'RAP TEMPLATE-GAS AVAILABILITY'!O418+N419*'RAP TEMPLATE-GAS AVAILABILITY'!P418+O419*'RAP TEMPLATE-GAS AVAILABILITY'!Q418+P419*'RAP TEMPLATE-GAS AVAILABILITY'!R418)/('RAP TEMPLATE-GAS AVAILABILITY'!O418+'RAP TEMPLATE-GAS AVAILABILITY'!P418+'RAP TEMPLATE-GAS AVAILABILITY'!Q418+'RAP TEMPLATE-GAS AVAILABILITY'!R418)</f>
        <v>10.941960431654676</v>
      </c>
    </row>
    <row r="420" spans="1:30" ht="15.75">
      <c r="A420" s="14">
        <v>54057</v>
      </c>
      <c r="B420" s="10">
        <f>CHOOSE(CONTROL!$C$42, 11.8068, 11.8068) * CHOOSE(CONTROL!$C$21, $C$9, 100%, $E$9)</f>
        <v>11.806800000000001</v>
      </c>
      <c r="C420" s="10">
        <f>CHOOSE(CONTROL!$C$42, 11.8119, 11.8119) * CHOOSE(CONTROL!$C$21, $C$9, 100%, $E$9)</f>
        <v>11.8119</v>
      </c>
      <c r="D420" s="10">
        <f>CHOOSE(CONTROL!$C$42, 11.8366, 11.8366) * CHOOSE(CONTROL!$C$21, $C$9, 100%, $E$9)</f>
        <v>11.836600000000001</v>
      </c>
      <c r="E420" s="10">
        <f>CHOOSE(CONTROL!$C$42, 11.8704, 11.8704) * CHOOSE(CONTROL!$C$21, $C$9, 100%, $E$9)</f>
        <v>11.8704</v>
      </c>
      <c r="F420" s="10">
        <f>CHOOSE(CONTROL!$C$42, 11.7771, 11.7771)*CHOOSE(CONTROL!$C$21, $C$9, 100%, $E$9)</f>
        <v>11.777100000000001</v>
      </c>
      <c r="G420" s="10">
        <f>CHOOSE(CONTROL!$C$42, 11.7935, 11.7935)*CHOOSE(CONTROL!$C$21, $C$9, 100%, $E$9)</f>
        <v>11.7935</v>
      </c>
      <c r="H420" s="10">
        <f>CHOOSE(CONTROL!$C$42, 11.8593, 11.8593) * CHOOSE(CONTROL!$C$21, $C$9, 100%, $E$9)</f>
        <v>11.859299999999999</v>
      </c>
      <c r="I420" s="10">
        <f>CHOOSE(CONTROL!$C$42, 11.8218, 11.8218)* CHOOSE(CONTROL!$C$21, $C$9, 100%, $E$9)</f>
        <v>11.8218</v>
      </c>
      <c r="J420" s="10">
        <f>CHOOSE(CONTROL!$C$42, 11.7697, 11.7697)* CHOOSE(CONTROL!$C$21, $C$9, 100%, $E$9)</f>
        <v>11.7697</v>
      </c>
      <c r="K420" s="10">
        <f>CHOOSE(CONTROL!$C$42, 11.6195, 11.6195) * CHOOSE(CONTROL!$C$21, $C$9, 100%, $E$9)</f>
        <v>11.6195</v>
      </c>
      <c r="L420" s="10">
        <f>CHOOSE(CONTROL!$C$42, 12.4463, 12.4463) * CHOOSE(CONTROL!$C$21, $C$9, 100%, $E$9)</f>
        <v>12.446300000000001</v>
      </c>
      <c r="M420" s="10">
        <f>CHOOSE(CONTROL!$C$42, 11.6385, 11.6385) * CHOOSE(CONTROL!$C$21, $C$9, 100%, $E$9)</f>
        <v>11.638500000000001</v>
      </c>
      <c r="N420" s="10">
        <f>CHOOSE(CONTROL!$C$42, 11.6547, 11.6547) * CHOOSE(CONTROL!$C$21, $C$9, 100%, $E$9)</f>
        <v>11.6547</v>
      </c>
      <c r="O420" s="10">
        <f>CHOOSE(CONTROL!$C$42, 11.7268, 11.7268) * CHOOSE(CONTROL!$C$21, $C$9, 100%, $E$9)</f>
        <v>11.726800000000001</v>
      </c>
      <c r="P420" s="10">
        <f>CHOOSE(CONTROL!$C$42, 11.6899, 11.6899) * CHOOSE(CONTROL!$C$21, $C$9, 100%, $E$9)</f>
        <v>11.6899</v>
      </c>
      <c r="Q420" s="10">
        <f>CHOOSE(CONTROL!$C$42, 12.3221, 12.3221) * CHOOSE(CONTROL!$C$21, $C$9, 100%, $E$9)</f>
        <v>12.322100000000001</v>
      </c>
      <c r="R420" s="10">
        <f>CHOOSE(CONTROL!$C$42, 12.9399, 12.9399) * CHOOSE(CONTROL!$C$21, $C$9, 100%, $E$9)</f>
        <v>12.9399</v>
      </c>
      <c r="S420" s="10">
        <f>CHOOSE(CONTROL!$C$42, 11.4492, 11.4492) * CHOOSE(CONTROL!$C$21, $C$9, 100%, $E$9)</f>
        <v>11.449199999999999</v>
      </c>
      <c r="T42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20" s="38">
        <f>(1000*CHOOSE(CONTROL!$C$42, 695, 695)*CHOOSE(CONTROL!$C$42, 0.5599, 0.5599)*CHOOSE(CONTROL!$C$42, 31, 31))/1000000</f>
        <v>12.063045499999998</v>
      </c>
      <c r="V420" s="38">
        <f>(1000*CHOOSE(CONTROL!$C$42, 500, 500)*CHOOSE(CONTROL!$C$42, 0.275, 0.275)*CHOOSE(CONTROL!$C$42, 31, 31))/1000000</f>
        <v>4.2625000000000002</v>
      </c>
      <c r="W420" s="38">
        <f>(1000*CHOOSE(CONTROL!$C$42, 0.1146, 0.1146)*CHOOSE(CONTROL!$C$42, 121.5, 121.5)*CHOOSE(CONTROL!$C$42, 31, 31))/1000000</f>
        <v>0.43164089999999994</v>
      </c>
      <c r="X420" s="38">
        <f>(31*0.1790888*100000/1000000)+(31*0.2374*100000/1000000)</f>
        <v>1.2911152800000001</v>
      </c>
      <c r="Y420" s="38">
        <f>(1000*600*CHOOSE(CONTROL!$C$42, 1.0896, 1.0896)*CHOOSE(CONTROL!$C$42, 31, 31))/1000000</f>
        <v>20.266559999999995</v>
      </c>
      <c r="Z420" s="38"/>
      <c r="AA420" s="10"/>
      <c r="AB420" s="39"/>
      <c r="AC420" s="33">
        <f>(B420*122.58+C420*297.941+D420*89.177+E420*40.302+F420*40+G420*160+H420*0+I420*100+J420*300)/(122.58+297.941+89.177+40.302+0+40+160+100+300)</f>
        <v>11.801403635565217</v>
      </c>
      <c r="AD420" s="27">
        <f>(M420*'RAP TEMPLATE-GAS AVAILABILITY'!O419+N420*'RAP TEMPLATE-GAS AVAILABILITY'!P419+O420*'RAP TEMPLATE-GAS AVAILABILITY'!Q419+P420*'RAP TEMPLATE-GAS AVAILABILITY'!R419)/('RAP TEMPLATE-GAS AVAILABILITY'!O419+'RAP TEMPLATE-GAS AVAILABILITY'!P419+'RAP TEMPLATE-GAS AVAILABILITY'!Q419+'RAP TEMPLATE-GAS AVAILABILITY'!R419)</f>
        <v>11.68684892086331</v>
      </c>
    </row>
    <row r="421" spans="1:30" ht="15.75">
      <c r="A421" s="14">
        <v>54088</v>
      </c>
      <c r="B421" s="10">
        <f>CHOOSE(CONTROL!$C$42, 12.6048, 12.6048) * CHOOSE(CONTROL!$C$21, $C$9, 100%, $E$9)</f>
        <v>12.604799999999999</v>
      </c>
      <c r="C421" s="10">
        <f>CHOOSE(CONTROL!$C$42, 12.6099, 12.6099) * CHOOSE(CONTROL!$C$21, $C$9, 100%, $E$9)</f>
        <v>12.6099</v>
      </c>
      <c r="D421" s="10">
        <f>CHOOSE(CONTROL!$C$42, 12.6423, 12.6423) * CHOOSE(CONTROL!$C$21, $C$9, 100%, $E$9)</f>
        <v>12.642300000000001</v>
      </c>
      <c r="E421" s="10">
        <f>CHOOSE(CONTROL!$C$42, 12.6761, 12.6761) * CHOOSE(CONTROL!$C$21, $C$9, 100%, $E$9)</f>
        <v>12.6761</v>
      </c>
      <c r="F421" s="10">
        <f>CHOOSE(CONTROL!$C$42, 12.589, 12.589)*CHOOSE(CONTROL!$C$21, $C$9, 100%, $E$9)</f>
        <v>12.589</v>
      </c>
      <c r="G421" s="10">
        <f>CHOOSE(CONTROL!$C$42, 12.607, 12.607)*CHOOSE(CONTROL!$C$21, $C$9, 100%, $E$9)</f>
        <v>12.606999999999999</v>
      </c>
      <c r="H421" s="10">
        <f>CHOOSE(CONTROL!$C$42, 12.665, 12.665) * CHOOSE(CONTROL!$C$21, $C$9, 100%, $E$9)</f>
        <v>12.664999999999999</v>
      </c>
      <c r="I421" s="10">
        <f>CHOOSE(CONTROL!$C$42, 12.6182, 12.6182)* CHOOSE(CONTROL!$C$21, $C$9, 100%, $E$9)</f>
        <v>12.6182</v>
      </c>
      <c r="J421" s="10">
        <f>CHOOSE(CONTROL!$C$42, 12.5816, 12.5816)* CHOOSE(CONTROL!$C$21, $C$9, 100%, $E$9)</f>
        <v>12.5816</v>
      </c>
      <c r="K421" s="10">
        <f>CHOOSE(CONTROL!$C$42, 12.405, 12.405) * CHOOSE(CONTROL!$C$21, $C$9, 100%, $E$9)</f>
        <v>12.404999999999999</v>
      </c>
      <c r="L421" s="10">
        <f>CHOOSE(CONTROL!$C$42, 13.252, 13.252) * CHOOSE(CONTROL!$C$21, $C$9, 100%, $E$9)</f>
        <v>13.252000000000001</v>
      </c>
      <c r="M421" s="10">
        <f>CHOOSE(CONTROL!$C$42, 12.4391, 12.4391) * CHOOSE(CONTROL!$C$21, $C$9, 100%, $E$9)</f>
        <v>12.4391</v>
      </c>
      <c r="N421" s="10">
        <f>CHOOSE(CONTROL!$C$42, 12.4569, 12.4569) * CHOOSE(CONTROL!$C$21, $C$9, 100%, $E$9)</f>
        <v>12.456899999999999</v>
      </c>
      <c r="O421" s="10">
        <f>CHOOSE(CONTROL!$C$42, 12.5213, 12.5213) * CHOOSE(CONTROL!$C$21, $C$9, 100%, $E$9)</f>
        <v>12.5213</v>
      </c>
      <c r="P421" s="10">
        <f>CHOOSE(CONTROL!$C$42, 12.4753, 12.4753) * CHOOSE(CONTROL!$C$21, $C$9, 100%, $E$9)</f>
        <v>12.475300000000001</v>
      </c>
      <c r="Q421" s="10">
        <f>CHOOSE(CONTROL!$C$42, 13.1166, 13.1166) * CHOOSE(CONTROL!$C$21, $C$9, 100%, $E$9)</f>
        <v>13.1166</v>
      </c>
      <c r="R421" s="10">
        <f>CHOOSE(CONTROL!$C$42, 13.7364, 13.7364) * CHOOSE(CONTROL!$C$21, $C$9, 100%, $E$9)</f>
        <v>13.7364</v>
      </c>
      <c r="S421" s="10">
        <f>CHOOSE(CONTROL!$C$42, 12.2219, 12.2219) * CHOOSE(CONTROL!$C$21, $C$9, 100%, $E$9)</f>
        <v>12.2219</v>
      </c>
      <c r="T42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21" s="38">
        <f>(1000*CHOOSE(CONTROL!$C$42, 695, 695)*CHOOSE(CONTROL!$C$42, 0.5599, 0.5599)*CHOOSE(CONTROL!$C$42, 31, 31))/1000000</f>
        <v>12.063045499999998</v>
      </c>
      <c r="V421" s="38">
        <f>(1000*CHOOSE(CONTROL!$C$42, 500, 500)*CHOOSE(CONTROL!$C$42, 0.275, 0.275)*CHOOSE(CONTROL!$C$42, 31, 31))/1000000</f>
        <v>4.2625000000000002</v>
      </c>
      <c r="W421" s="38">
        <f>(1000*CHOOSE(CONTROL!$C$42, 0.1146, 0.1146)*CHOOSE(CONTROL!$C$42, 121.5, 121.5)*CHOOSE(CONTROL!$C$42, 31, 31))/1000000</f>
        <v>0.43164089999999994</v>
      </c>
      <c r="X421" s="38">
        <f>(31*0.1790888*100000/1000000)+(31*0.2374*100000/1000000)</f>
        <v>1.2911152800000001</v>
      </c>
      <c r="Y421" s="38">
        <f>(1000*600*CHOOSE(CONTROL!$C$42, 1.0861, 1.0861)*CHOOSE(CONTROL!$C$42, 31, 31))/1000000</f>
        <v>20.201460000000001</v>
      </c>
      <c r="Z421" s="38"/>
      <c r="AA421" s="10"/>
      <c r="AB421" s="39"/>
      <c r="AC421" s="33">
        <f>(B421*122.58+C421*297.941+D421*89.177+E421*40.302+F421*40+G421*160+H421*0+I421*100+J421*300)/(122.58+297.941+89.177+40.302+0+40+160+100+300)</f>
        <v>12.606397538434781</v>
      </c>
      <c r="AD421" s="27">
        <f>(M421*'RAP TEMPLATE-GAS AVAILABILITY'!O420+N421*'RAP TEMPLATE-GAS AVAILABILITY'!P420+O421*'RAP TEMPLATE-GAS AVAILABILITY'!Q420+P421*'RAP TEMPLATE-GAS AVAILABILITY'!R420)/('RAP TEMPLATE-GAS AVAILABILITY'!O420+'RAP TEMPLATE-GAS AVAILABILITY'!P420+'RAP TEMPLATE-GAS AVAILABILITY'!Q420+'RAP TEMPLATE-GAS AVAILABILITY'!R420)</f>
        <v>12.482589208633092</v>
      </c>
    </row>
    <row r="422" spans="1:30" ht="15.75">
      <c r="A422" s="14">
        <v>54116</v>
      </c>
      <c r="B422" s="10">
        <f>CHOOSE(CONTROL!$C$42, 12.8295, 12.8295) * CHOOSE(CONTROL!$C$21, $C$9, 100%, $E$9)</f>
        <v>12.829499999999999</v>
      </c>
      <c r="C422" s="10">
        <f>CHOOSE(CONTROL!$C$42, 12.8346, 12.8346) * CHOOSE(CONTROL!$C$21, $C$9, 100%, $E$9)</f>
        <v>12.8346</v>
      </c>
      <c r="D422" s="10">
        <f>CHOOSE(CONTROL!$C$42, 12.867, 12.867) * CHOOSE(CONTROL!$C$21, $C$9, 100%, $E$9)</f>
        <v>12.867000000000001</v>
      </c>
      <c r="E422" s="10">
        <f>CHOOSE(CONTROL!$C$42, 12.9008, 12.9008) * CHOOSE(CONTROL!$C$21, $C$9, 100%, $E$9)</f>
        <v>12.9008</v>
      </c>
      <c r="F422" s="10">
        <f>CHOOSE(CONTROL!$C$42, 12.8132, 12.8132)*CHOOSE(CONTROL!$C$21, $C$9, 100%, $E$9)</f>
        <v>12.8132</v>
      </c>
      <c r="G422" s="10">
        <f>CHOOSE(CONTROL!$C$42, 12.8311, 12.8311)*CHOOSE(CONTROL!$C$21, $C$9, 100%, $E$9)</f>
        <v>12.831099999999999</v>
      </c>
      <c r="H422" s="10">
        <f>CHOOSE(CONTROL!$C$42, 12.8897, 12.8897) * CHOOSE(CONTROL!$C$21, $C$9, 100%, $E$9)</f>
        <v>12.889699999999999</v>
      </c>
      <c r="I422" s="10">
        <f>CHOOSE(CONTROL!$C$42, 12.8429, 12.8429)* CHOOSE(CONTROL!$C$21, $C$9, 100%, $E$9)</f>
        <v>12.8429</v>
      </c>
      <c r="J422" s="10">
        <f>CHOOSE(CONTROL!$C$42, 12.8058, 12.8058)* CHOOSE(CONTROL!$C$21, $C$9, 100%, $E$9)</f>
        <v>12.8058</v>
      </c>
      <c r="K422" s="10">
        <f>CHOOSE(CONTROL!$C$42, 12.6217, 12.6217) * CHOOSE(CONTROL!$C$21, $C$9, 100%, $E$9)</f>
        <v>12.621700000000001</v>
      </c>
      <c r="L422" s="10">
        <f>CHOOSE(CONTROL!$C$42, 13.4767, 13.4767) * CHOOSE(CONTROL!$C$21, $C$9, 100%, $E$9)</f>
        <v>13.476699999999999</v>
      </c>
      <c r="M422" s="10">
        <f>CHOOSE(CONTROL!$C$42, 12.6602, 12.6602) * CHOOSE(CONTROL!$C$21, $C$9, 100%, $E$9)</f>
        <v>12.6602</v>
      </c>
      <c r="N422" s="10">
        <f>CHOOSE(CONTROL!$C$42, 12.6778, 12.6778) * CHOOSE(CONTROL!$C$21, $C$9, 100%, $E$9)</f>
        <v>12.6778</v>
      </c>
      <c r="O422" s="10">
        <f>CHOOSE(CONTROL!$C$42, 12.7429, 12.7429) * CHOOSE(CONTROL!$C$21, $C$9, 100%, $E$9)</f>
        <v>12.742900000000001</v>
      </c>
      <c r="P422" s="10">
        <f>CHOOSE(CONTROL!$C$42, 12.6968, 12.6968) * CHOOSE(CONTROL!$C$21, $C$9, 100%, $E$9)</f>
        <v>12.6968</v>
      </c>
      <c r="Q422" s="10">
        <f>CHOOSE(CONTROL!$C$42, 13.3382, 13.3382) * CHOOSE(CONTROL!$C$21, $C$9, 100%, $E$9)</f>
        <v>13.338200000000001</v>
      </c>
      <c r="R422" s="10">
        <f>CHOOSE(CONTROL!$C$42, 13.9585, 13.9585) * CHOOSE(CONTROL!$C$21, $C$9, 100%, $E$9)</f>
        <v>13.958500000000001</v>
      </c>
      <c r="S422" s="10">
        <f>CHOOSE(CONTROL!$C$42, 12.4394, 12.4394) * CHOOSE(CONTROL!$C$21, $C$9, 100%, $E$9)</f>
        <v>12.439399999999999</v>
      </c>
      <c r="T422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422" s="38">
        <f>(1000*CHOOSE(CONTROL!$C$42, 695, 695)*CHOOSE(CONTROL!$C$42, 0.5599, 0.5599)*CHOOSE(CONTROL!$C$42, 29, 29))/1000000</f>
        <v>11.284784499999999</v>
      </c>
      <c r="V422" s="38">
        <f>(1000*CHOOSE(CONTROL!$C$42, 500, 500)*CHOOSE(CONTROL!$C$42, 0.275, 0.275)*CHOOSE(CONTROL!$C$42, 29, 29))/1000000</f>
        <v>3.9874999999999998</v>
      </c>
      <c r="W422" s="38">
        <f>(1000*CHOOSE(CONTROL!$C$42, 0.1146, 0.1146)*CHOOSE(CONTROL!$C$42, 121.5, 121.5)*CHOOSE(CONTROL!$C$42, 29, 29))/1000000</f>
        <v>0.40379309999999996</v>
      </c>
      <c r="X422" s="38">
        <f>(29*0.1790888*100000/1000000)+(29*0.2374*100000/1000000)</f>
        <v>1.2078175199999999</v>
      </c>
      <c r="Y422" s="38">
        <f>(1000*600*CHOOSE(CONTROL!$C$42, 1.0861, 1.0861)*CHOOSE(CONTROL!$C$42, 29, 29))/1000000</f>
        <v>18.898140000000001</v>
      </c>
      <c r="Z422" s="38"/>
      <c r="AA422" s="10"/>
      <c r="AB422" s="39"/>
      <c r="AC422" s="33">
        <f>(B422*122.58+C422*297.941+D422*89.177+E422*40.302+F422*40+G422*160+H422*0+I422*100+J422*300)/(122.58+297.941+89.177+40.302+0+40+160+100+300)</f>
        <v>12.830866234086958</v>
      </c>
      <c r="AD422" s="27">
        <f>(M422*'RAP TEMPLATE-GAS AVAILABILITY'!O421+N422*'RAP TEMPLATE-GAS AVAILABILITY'!P421+O422*'RAP TEMPLATE-GAS AVAILABILITY'!Q421+P422*'RAP TEMPLATE-GAS AVAILABILITY'!R421)/('RAP TEMPLATE-GAS AVAILABILITY'!O421+'RAP TEMPLATE-GAS AVAILABILITY'!P421+'RAP TEMPLATE-GAS AVAILABILITY'!Q421+'RAP TEMPLATE-GAS AVAILABILITY'!R421)</f>
        <v>12.703961870503598</v>
      </c>
    </row>
    <row r="423" spans="1:30" ht="15.75">
      <c r="A423" s="14">
        <v>54148</v>
      </c>
      <c r="B423" s="10">
        <f>CHOOSE(CONTROL!$C$42, 12.4648, 12.4648) * CHOOSE(CONTROL!$C$21, $C$9, 100%, $E$9)</f>
        <v>12.4648</v>
      </c>
      <c r="C423" s="10">
        <f>CHOOSE(CONTROL!$C$42, 12.4699, 12.4699) * CHOOSE(CONTROL!$C$21, $C$9, 100%, $E$9)</f>
        <v>12.469900000000001</v>
      </c>
      <c r="D423" s="10">
        <f>CHOOSE(CONTROL!$C$42, 12.5023, 12.5023) * CHOOSE(CONTROL!$C$21, $C$9, 100%, $E$9)</f>
        <v>12.5023</v>
      </c>
      <c r="E423" s="10">
        <f>CHOOSE(CONTROL!$C$42, 12.5361, 12.5361) * CHOOSE(CONTROL!$C$21, $C$9, 100%, $E$9)</f>
        <v>12.536099999999999</v>
      </c>
      <c r="F423" s="10">
        <f>CHOOSE(CONTROL!$C$42, 12.447, 12.447)*CHOOSE(CONTROL!$C$21, $C$9, 100%, $E$9)</f>
        <v>12.446999999999999</v>
      </c>
      <c r="G423" s="10">
        <f>CHOOSE(CONTROL!$C$42, 12.4646, 12.4646)*CHOOSE(CONTROL!$C$21, $C$9, 100%, $E$9)</f>
        <v>12.464600000000001</v>
      </c>
      <c r="H423" s="10">
        <f>CHOOSE(CONTROL!$C$42, 12.525, 12.525) * CHOOSE(CONTROL!$C$21, $C$9, 100%, $E$9)</f>
        <v>12.525</v>
      </c>
      <c r="I423" s="10">
        <f>CHOOSE(CONTROL!$C$42, 12.4782, 12.4782)* CHOOSE(CONTROL!$C$21, $C$9, 100%, $E$9)</f>
        <v>12.478199999999999</v>
      </c>
      <c r="J423" s="10">
        <f>CHOOSE(CONTROL!$C$42, 12.4396, 12.4396)* CHOOSE(CONTROL!$C$21, $C$9, 100%, $E$9)</f>
        <v>12.4396</v>
      </c>
      <c r="K423" s="10">
        <f>CHOOSE(CONTROL!$C$42, 12.2652, 12.2652) * CHOOSE(CONTROL!$C$21, $C$9, 100%, $E$9)</f>
        <v>12.2652</v>
      </c>
      <c r="L423" s="10">
        <f>CHOOSE(CONTROL!$C$42, 13.112, 13.112) * CHOOSE(CONTROL!$C$21, $C$9, 100%, $E$9)</f>
        <v>13.112</v>
      </c>
      <c r="M423" s="10">
        <f>CHOOSE(CONTROL!$C$42, 12.2991, 12.2991) * CHOOSE(CONTROL!$C$21, $C$9, 100%, $E$9)</f>
        <v>12.299099999999999</v>
      </c>
      <c r="N423" s="10">
        <f>CHOOSE(CONTROL!$C$42, 12.3164, 12.3164) * CHOOSE(CONTROL!$C$21, $C$9, 100%, $E$9)</f>
        <v>12.3164</v>
      </c>
      <c r="O423" s="10">
        <f>CHOOSE(CONTROL!$C$42, 12.3833, 12.3833) * CHOOSE(CONTROL!$C$21, $C$9, 100%, $E$9)</f>
        <v>12.3833</v>
      </c>
      <c r="P423" s="10">
        <f>CHOOSE(CONTROL!$C$42, 12.3372, 12.3372) * CHOOSE(CONTROL!$C$21, $C$9, 100%, $E$9)</f>
        <v>12.337199999999999</v>
      </c>
      <c r="Q423" s="10">
        <f>CHOOSE(CONTROL!$C$42, 12.9786, 12.9786) * CHOOSE(CONTROL!$C$21, $C$9, 100%, $E$9)</f>
        <v>12.9786</v>
      </c>
      <c r="R423" s="10">
        <f>CHOOSE(CONTROL!$C$42, 13.598, 13.598) * CHOOSE(CONTROL!$C$21, $C$9, 100%, $E$9)</f>
        <v>13.598000000000001</v>
      </c>
      <c r="S423" s="10">
        <f>CHOOSE(CONTROL!$C$42, 12.0863, 12.0863) * CHOOSE(CONTROL!$C$21, $C$9, 100%, $E$9)</f>
        <v>12.0863</v>
      </c>
      <c r="T42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23" s="38">
        <f>(1000*CHOOSE(CONTROL!$C$42, 695, 695)*CHOOSE(CONTROL!$C$42, 0.5599, 0.5599)*CHOOSE(CONTROL!$C$42, 31, 31))/1000000</f>
        <v>12.063045499999998</v>
      </c>
      <c r="V423" s="38">
        <f>(1000*CHOOSE(CONTROL!$C$42, 500, 500)*CHOOSE(CONTROL!$C$42, 0.275, 0.275)*CHOOSE(CONTROL!$C$42, 31, 31))/1000000</f>
        <v>4.2625000000000002</v>
      </c>
      <c r="W423" s="38">
        <f>(1000*CHOOSE(CONTROL!$C$42, 0.1146, 0.1146)*CHOOSE(CONTROL!$C$42, 121.5, 121.5)*CHOOSE(CONTROL!$C$42, 31, 31))/1000000</f>
        <v>0.43164089999999994</v>
      </c>
      <c r="X423" s="38">
        <f>(31*0.1790888*100000/1000000)+(31*0.2374*100000/1000000)</f>
        <v>1.2911152800000001</v>
      </c>
      <c r="Y423" s="38">
        <f>(1000*600*CHOOSE(CONTROL!$C$42, 1.0861, 1.0861)*CHOOSE(CONTROL!$C$42, 31, 31))/1000000</f>
        <v>20.201460000000001</v>
      </c>
      <c r="Z423" s="38"/>
      <c r="AA423" s="10"/>
      <c r="AB423" s="39"/>
      <c r="AC423" s="33">
        <f>(B423*122.58+C423*297.941+D423*89.177+E423*40.302+F423*40+G423*160+H423*0+I423*100+J423*300)/(122.58+297.941+89.177+40.302+0+40+160+100+300)</f>
        <v>12.46547232104348</v>
      </c>
      <c r="AD423" s="27">
        <f>(M423*'RAP TEMPLATE-GAS AVAILABILITY'!O422+N423*'RAP TEMPLATE-GAS AVAILABILITY'!P422+O423*'RAP TEMPLATE-GAS AVAILABILITY'!Q422+P423*'RAP TEMPLATE-GAS AVAILABILITY'!R422)/('RAP TEMPLATE-GAS AVAILABILITY'!O422+'RAP TEMPLATE-GAS AVAILABILITY'!P422+'RAP TEMPLATE-GAS AVAILABILITY'!Q422+'RAP TEMPLATE-GAS AVAILABILITY'!R422)</f>
        <v>12.343740287769783</v>
      </c>
    </row>
    <row r="424" spans="1:30" ht="15.75">
      <c r="A424" s="14">
        <v>54178</v>
      </c>
      <c r="B424" s="10">
        <f>CHOOSE(CONTROL!$C$42, 12.4282, 12.4282) * CHOOSE(CONTROL!$C$21, $C$9, 100%, $E$9)</f>
        <v>12.4282</v>
      </c>
      <c r="C424" s="10">
        <f>CHOOSE(CONTROL!$C$42, 12.4327, 12.4327) * CHOOSE(CONTROL!$C$21, $C$9, 100%, $E$9)</f>
        <v>12.432700000000001</v>
      </c>
      <c r="D424" s="10">
        <f>CHOOSE(CONTROL!$C$42, 12.5928, 12.5928) * CHOOSE(CONTROL!$C$21, $C$9, 100%, $E$9)</f>
        <v>12.5928</v>
      </c>
      <c r="E424" s="10">
        <f>CHOOSE(CONTROL!$C$42, 12.6247, 12.6247) * CHOOSE(CONTROL!$C$21, $C$9, 100%, $E$9)</f>
        <v>12.624700000000001</v>
      </c>
      <c r="F424" s="10">
        <f>CHOOSE(CONTROL!$C$42, 12.3743, 12.3743)*CHOOSE(CONTROL!$C$21, $C$9, 100%, $E$9)</f>
        <v>12.3743</v>
      </c>
      <c r="G424" s="10">
        <f>CHOOSE(CONTROL!$C$42, 12.3901, 12.3901)*CHOOSE(CONTROL!$C$21, $C$9, 100%, $E$9)</f>
        <v>12.3901</v>
      </c>
      <c r="H424" s="10">
        <f>CHOOSE(CONTROL!$C$42, 12.6141, 12.6141) * CHOOSE(CONTROL!$C$21, $C$9, 100%, $E$9)</f>
        <v>12.614100000000001</v>
      </c>
      <c r="I424" s="10">
        <f>CHOOSE(CONTROL!$C$42, 12.4083, 12.4083)* CHOOSE(CONTROL!$C$21, $C$9, 100%, $E$9)</f>
        <v>12.408300000000001</v>
      </c>
      <c r="J424" s="10">
        <f>CHOOSE(CONTROL!$C$42, 12.3669, 12.3669)* CHOOSE(CONTROL!$C$21, $C$9, 100%, $E$9)</f>
        <v>12.366899999999999</v>
      </c>
      <c r="K424" s="10">
        <f>CHOOSE(CONTROL!$C$42, 12.1815, 12.1815) * CHOOSE(CONTROL!$C$21, $C$9, 100%, $E$9)</f>
        <v>12.1815</v>
      </c>
      <c r="L424" s="10">
        <f>CHOOSE(CONTROL!$C$42, 13.2011, 13.2011) * CHOOSE(CONTROL!$C$21, $C$9, 100%, $E$9)</f>
        <v>13.2011</v>
      </c>
      <c r="M424" s="10">
        <f>CHOOSE(CONTROL!$C$42, 12.2274, 12.2274) * CHOOSE(CONTROL!$C$21, $C$9, 100%, $E$9)</f>
        <v>12.227399999999999</v>
      </c>
      <c r="N424" s="10">
        <f>CHOOSE(CONTROL!$C$42, 12.243, 12.243) * CHOOSE(CONTROL!$C$21, $C$9, 100%, $E$9)</f>
        <v>12.243</v>
      </c>
      <c r="O424" s="10">
        <f>CHOOSE(CONTROL!$C$42, 12.4712, 12.4712) * CHOOSE(CONTROL!$C$21, $C$9, 100%, $E$9)</f>
        <v>12.4712</v>
      </c>
      <c r="P424" s="10">
        <f>CHOOSE(CONTROL!$C$42, 12.2683, 12.2683) * CHOOSE(CONTROL!$C$21, $C$9, 100%, $E$9)</f>
        <v>12.2683</v>
      </c>
      <c r="Q424" s="10">
        <f>CHOOSE(CONTROL!$C$42, 13.0665, 13.0665) * CHOOSE(CONTROL!$C$21, $C$9, 100%, $E$9)</f>
        <v>13.0665</v>
      </c>
      <c r="R424" s="10">
        <f>CHOOSE(CONTROL!$C$42, 13.6861, 13.6861) * CHOOSE(CONTROL!$C$21, $C$9, 100%, $E$9)</f>
        <v>13.6861</v>
      </c>
      <c r="S424" s="10">
        <f>CHOOSE(CONTROL!$C$42, 12.0501, 12.0501) * CHOOSE(CONTROL!$C$21, $C$9, 100%, $E$9)</f>
        <v>12.0501</v>
      </c>
      <c r="T42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24" s="38">
        <f>(1000*CHOOSE(CONTROL!$C$42, 695, 695)*CHOOSE(CONTROL!$C$42, 0.5599, 0.5599)*CHOOSE(CONTROL!$C$42, 30, 30))/1000000</f>
        <v>11.673914999999997</v>
      </c>
      <c r="V424" s="38">
        <f>(1000*CHOOSE(CONTROL!$C$42, 500, 500)*CHOOSE(CONTROL!$C$42, 0.275, 0.275)*CHOOSE(CONTROL!$C$42, 30, 30))/1000000</f>
        <v>4.125</v>
      </c>
      <c r="W424" s="38">
        <f>(1000*CHOOSE(CONTROL!$C$42, 0.1146, 0.1146)*CHOOSE(CONTROL!$C$42, 121.5, 121.5)*CHOOSE(CONTROL!$C$42, 30, 30))/1000000</f>
        <v>0.417717</v>
      </c>
      <c r="X424" s="38">
        <f>(30*0.1790888*245000/1000000)+(30*0.2374*100000/1000000)</f>
        <v>2.0285026799999999</v>
      </c>
      <c r="Y424" s="38">
        <f>(1000*600*CHOOSE(CONTROL!$C$42, 1.0861, 1.0861)*CHOOSE(CONTROL!$C$42, 30, 30))/1000000</f>
        <v>19.549800000000001</v>
      </c>
      <c r="Z424" s="38"/>
      <c r="AA424" s="10"/>
      <c r="AB424" s="39"/>
      <c r="AC424" s="33">
        <f>(B424*141.293+C424*267.993+D424*115.016+E424*89.698+F424*40+G424*185+H424*0+I424*100+J424*300)/(141.293+267.993+115.016+89.698+0+40+185+100+300)</f>
        <v>12.434801096933011</v>
      </c>
      <c r="AD424" s="27">
        <f>(M424*'RAP TEMPLATE-GAS AVAILABILITY'!O423+N424*'RAP TEMPLATE-GAS AVAILABILITY'!P423+O424*'RAP TEMPLATE-GAS AVAILABILITY'!Q423+P424*'RAP TEMPLATE-GAS AVAILABILITY'!R423)/('RAP TEMPLATE-GAS AVAILABILITY'!O423+'RAP TEMPLATE-GAS AVAILABILITY'!P423+'RAP TEMPLATE-GAS AVAILABILITY'!Q423+'RAP TEMPLATE-GAS AVAILABILITY'!R423)</f>
        <v>12.305280575539568</v>
      </c>
    </row>
    <row r="425" spans="1:30" ht="15.75">
      <c r="A425" s="14">
        <v>54209</v>
      </c>
      <c r="B425" s="10">
        <f>CHOOSE(CONTROL!$C$42, 12.5398, 12.5398) * CHOOSE(CONTROL!$C$21, $C$9, 100%, $E$9)</f>
        <v>12.5398</v>
      </c>
      <c r="C425" s="10">
        <f>CHOOSE(CONTROL!$C$42, 12.5478, 12.5478) * CHOOSE(CONTROL!$C$21, $C$9, 100%, $E$9)</f>
        <v>12.547800000000001</v>
      </c>
      <c r="D425" s="10">
        <f>CHOOSE(CONTROL!$C$42, 12.7049, 12.7049) * CHOOSE(CONTROL!$C$21, $C$9, 100%, $E$9)</f>
        <v>12.7049</v>
      </c>
      <c r="E425" s="10">
        <f>CHOOSE(CONTROL!$C$42, 12.7361, 12.7361) * CHOOSE(CONTROL!$C$21, $C$9, 100%, $E$9)</f>
        <v>12.7361</v>
      </c>
      <c r="F425" s="10">
        <f>CHOOSE(CONTROL!$C$42, 12.4839, 12.4839)*CHOOSE(CONTROL!$C$21, $C$9, 100%, $E$9)</f>
        <v>12.4839</v>
      </c>
      <c r="G425" s="10">
        <f>CHOOSE(CONTROL!$C$42, 12.5001, 12.5001)*CHOOSE(CONTROL!$C$21, $C$9, 100%, $E$9)</f>
        <v>12.5001</v>
      </c>
      <c r="H425" s="10">
        <f>CHOOSE(CONTROL!$C$42, 12.7244, 12.7244) * CHOOSE(CONTROL!$C$21, $C$9, 100%, $E$9)</f>
        <v>12.724399999999999</v>
      </c>
      <c r="I425" s="10">
        <f>CHOOSE(CONTROL!$C$42, 12.5186, 12.5186)* CHOOSE(CONTROL!$C$21, $C$9, 100%, $E$9)</f>
        <v>12.518599999999999</v>
      </c>
      <c r="J425" s="10">
        <f>CHOOSE(CONTROL!$C$42, 12.4765, 12.4765)* CHOOSE(CONTROL!$C$21, $C$9, 100%, $E$9)</f>
        <v>12.4765</v>
      </c>
      <c r="K425" s="10">
        <f>CHOOSE(CONTROL!$C$42, 12.287, 12.287) * CHOOSE(CONTROL!$C$21, $C$9, 100%, $E$9)</f>
        <v>12.287000000000001</v>
      </c>
      <c r="L425" s="10">
        <f>CHOOSE(CONTROL!$C$42, 13.3114, 13.3114) * CHOOSE(CONTROL!$C$21, $C$9, 100%, $E$9)</f>
        <v>13.311400000000001</v>
      </c>
      <c r="M425" s="10">
        <f>CHOOSE(CONTROL!$C$42, 12.3355, 12.3355) * CHOOSE(CONTROL!$C$21, $C$9, 100%, $E$9)</f>
        <v>12.3355</v>
      </c>
      <c r="N425" s="10">
        <f>CHOOSE(CONTROL!$C$42, 12.3514, 12.3514) * CHOOSE(CONTROL!$C$21, $C$9, 100%, $E$9)</f>
        <v>12.3514</v>
      </c>
      <c r="O425" s="10">
        <f>CHOOSE(CONTROL!$C$42, 12.5799, 12.5799) * CHOOSE(CONTROL!$C$21, $C$9, 100%, $E$9)</f>
        <v>12.5799</v>
      </c>
      <c r="P425" s="10">
        <f>CHOOSE(CONTROL!$C$42, 12.377, 12.377) * CHOOSE(CONTROL!$C$21, $C$9, 100%, $E$9)</f>
        <v>12.377000000000001</v>
      </c>
      <c r="Q425" s="10">
        <f>CHOOSE(CONTROL!$C$42, 13.1752, 13.1752) * CHOOSE(CONTROL!$C$21, $C$9, 100%, $E$9)</f>
        <v>13.1752</v>
      </c>
      <c r="R425" s="10">
        <f>CHOOSE(CONTROL!$C$42, 13.7951, 13.7951) * CHOOSE(CONTROL!$C$21, $C$9, 100%, $E$9)</f>
        <v>13.7951</v>
      </c>
      <c r="S425" s="10">
        <f>CHOOSE(CONTROL!$C$42, 12.1569, 12.1569) * CHOOSE(CONTROL!$C$21, $C$9, 100%, $E$9)</f>
        <v>12.1569</v>
      </c>
      <c r="T42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25" s="38">
        <f>(1000*CHOOSE(CONTROL!$C$42, 695, 695)*CHOOSE(CONTROL!$C$42, 0.5599, 0.5599)*CHOOSE(CONTROL!$C$42, 31, 31))/1000000</f>
        <v>12.063045499999998</v>
      </c>
      <c r="V425" s="38">
        <f>(1000*CHOOSE(CONTROL!$C$42, 500, 500)*CHOOSE(CONTROL!$C$42, 0.275, 0.275)*CHOOSE(CONTROL!$C$42, 31, 31))/1000000</f>
        <v>4.2625000000000002</v>
      </c>
      <c r="W425" s="38">
        <f>(1000*CHOOSE(CONTROL!$C$42, 0.1146, 0.1146)*CHOOSE(CONTROL!$C$42, 121.5, 121.5)*CHOOSE(CONTROL!$C$42, 31, 31))/1000000</f>
        <v>0.43164089999999994</v>
      </c>
      <c r="X425" s="38">
        <f>(31*0.1790888*245000/1000000)+(31*0.2374*100000/1000000)</f>
        <v>2.0961194359999999</v>
      </c>
      <c r="Y425" s="38">
        <f>(1000*600*CHOOSE(CONTROL!$C$42, 1.0861, 1.0861)*CHOOSE(CONTROL!$C$42, 31, 31))/1000000</f>
        <v>20.201460000000001</v>
      </c>
      <c r="Z425" s="38"/>
      <c r="AA425" s="10"/>
      <c r="AB425" s="39"/>
      <c r="AC425" s="33">
        <f>(B425*194.205+C425*267.466+D425*133.845+E425*53.484+F425*40+G425*185+H425*0+I425*100+J425*300)/(194.205+267.466+133.845+53.484+0+40+185+100+300)</f>
        <v>12.54297578233909</v>
      </c>
      <c r="AD425" s="27">
        <f>(M425*'RAP TEMPLATE-GAS AVAILABILITY'!O424+N425*'RAP TEMPLATE-GAS AVAILABILITY'!P424+O425*'RAP TEMPLATE-GAS AVAILABILITY'!Q424+P425*'RAP TEMPLATE-GAS AVAILABILITY'!R424)/('RAP TEMPLATE-GAS AVAILABILITY'!O424+'RAP TEMPLATE-GAS AVAILABILITY'!P424+'RAP TEMPLATE-GAS AVAILABILITY'!Q424+'RAP TEMPLATE-GAS AVAILABILITY'!R424)</f>
        <v>12.413704316546761</v>
      </c>
    </row>
    <row r="426" spans="1:30" ht="15.75">
      <c r="A426" s="14">
        <v>54239</v>
      </c>
      <c r="B426" s="10">
        <f>CHOOSE(CONTROL!$C$42, 12.8959, 12.8959) * CHOOSE(CONTROL!$C$21, $C$9, 100%, $E$9)</f>
        <v>12.895899999999999</v>
      </c>
      <c r="C426" s="10">
        <f>CHOOSE(CONTROL!$C$42, 12.9039, 12.9039) * CHOOSE(CONTROL!$C$21, $C$9, 100%, $E$9)</f>
        <v>12.9039</v>
      </c>
      <c r="D426" s="10">
        <f>CHOOSE(CONTROL!$C$42, 13.0609, 13.0609) * CHOOSE(CONTROL!$C$21, $C$9, 100%, $E$9)</f>
        <v>13.0609</v>
      </c>
      <c r="E426" s="10">
        <f>CHOOSE(CONTROL!$C$42, 13.0922, 13.0922) * CHOOSE(CONTROL!$C$21, $C$9, 100%, $E$9)</f>
        <v>13.0922</v>
      </c>
      <c r="F426" s="10">
        <f>CHOOSE(CONTROL!$C$42, 12.8402, 12.8402)*CHOOSE(CONTROL!$C$21, $C$9, 100%, $E$9)</f>
        <v>12.840199999999999</v>
      </c>
      <c r="G426" s="10">
        <f>CHOOSE(CONTROL!$C$42, 12.8564, 12.8564)*CHOOSE(CONTROL!$C$21, $C$9, 100%, $E$9)</f>
        <v>12.856400000000001</v>
      </c>
      <c r="H426" s="10">
        <f>CHOOSE(CONTROL!$C$42, 13.0805, 13.0805) * CHOOSE(CONTROL!$C$21, $C$9, 100%, $E$9)</f>
        <v>13.080500000000001</v>
      </c>
      <c r="I426" s="10">
        <f>CHOOSE(CONTROL!$C$42, 12.8747, 12.8747)* CHOOSE(CONTROL!$C$21, $C$9, 100%, $E$9)</f>
        <v>12.874700000000001</v>
      </c>
      <c r="J426" s="10">
        <f>CHOOSE(CONTROL!$C$42, 12.8328, 12.8328)* CHOOSE(CONTROL!$C$21, $C$9, 100%, $E$9)</f>
        <v>12.832800000000001</v>
      </c>
      <c r="K426" s="10">
        <f>CHOOSE(CONTROL!$C$42, 12.6324, 12.6324) * CHOOSE(CONTROL!$C$21, $C$9, 100%, $E$9)</f>
        <v>12.632400000000001</v>
      </c>
      <c r="L426" s="10">
        <f>CHOOSE(CONTROL!$C$42, 13.6675, 13.6675) * CHOOSE(CONTROL!$C$21, $C$9, 100%, $E$9)</f>
        <v>13.6675</v>
      </c>
      <c r="M426" s="10">
        <f>CHOOSE(CONTROL!$C$42, 12.6868, 12.6868) * CHOOSE(CONTROL!$C$21, $C$9, 100%, $E$9)</f>
        <v>12.6868</v>
      </c>
      <c r="N426" s="10">
        <f>CHOOSE(CONTROL!$C$42, 12.7028, 12.7028) * CHOOSE(CONTROL!$C$21, $C$9, 100%, $E$9)</f>
        <v>12.7028</v>
      </c>
      <c r="O426" s="10">
        <f>CHOOSE(CONTROL!$C$42, 12.931, 12.931) * CHOOSE(CONTROL!$C$21, $C$9, 100%, $E$9)</f>
        <v>12.930999999999999</v>
      </c>
      <c r="P426" s="10">
        <f>CHOOSE(CONTROL!$C$42, 12.7281, 12.7281) * CHOOSE(CONTROL!$C$21, $C$9, 100%, $E$9)</f>
        <v>12.7281</v>
      </c>
      <c r="Q426" s="10">
        <f>CHOOSE(CONTROL!$C$42, 13.5263, 13.5263) * CHOOSE(CONTROL!$C$21, $C$9, 100%, $E$9)</f>
        <v>13.526300000000001</v>
      </c>
      <c r="R426" s="10">
        <f>CHOOSE(CONTROL!$C$42, 14.1472, 14.1472) * CHOOSE(CONTROL!$C$21, $C$9, 100%, $E$9)</f>
        <v>14.1472</v>
      </c>
      <c r="S426" s="10">
        <f>CHOOSE(CONTROL!$C$42, 12.5017, 12.5017) * CHOOSE(CONTROL!$C$21, $C$9, 100%, $E$9)</f>
        <v>12.5017</v>
      </c>
      <c r="T42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26" s="38">
        <f>(1000*CHOOSE(CONTROL!$C$42, 695, 695)*CHOOSE(CONTROL!$C$42, 0.5599, 0.5599)*CHOOSE(CONTROL!$C$42, 30, 30))/1000000</f>
        <v>11.673914999999997</v>
      </c>
      <c r="V426" s="38">
        <f>(1000*CHOOSE(CONTROL!$C$42, 500, 500)*CHOOSE(CONTROL!$C$42, 0.275, 0.275)*CHOOSE(CONTROL!$C$42, 30, 30))/1000000</f>
        <v>4.125</v>
      </c>
      <c r="W426" s="38">
        <f>(1000*CHOOSE(CONTROL!$C$42, 0.1146, 0.1146)*CHOOSE(CONTROL!$C$42, 121.5, 121.5)*CHOOSE(CONTROL!$C$42, 30, 30))/1000000</f>
        <v>0.417717</v>
      </c>
      <c r="X426" s="38">
        <f>(30*0.1790888*245000/1000000)+(30*0.2374*100000/1000000)</f>
        <v>2.0285026799999999</v>
      </c>
      <c r="Y426" s="38">
        <f>(1000*600*CHOOSE(CONTROL!$C$42, 1.0861, 1.0861)*CHOOSE(CONTROL!$C$42, 30, 30))/1000000</f>
        <v>19.549800000000001</v>
      </c>
      <c r="Z426" s="38"/>
      <c r="AA426" s="10"/>
      <c r="AB426" s="39"/>
      <c r="AC426" s="33">
        <f>(B426*194.205+C426*267.466+D426*133.845+E426*53.484+F426*40+G426*185+H426*0+I426*100+J426*300)/(194.205+267.466+133.845+53.484+0+40+185+100+300)</f>
        <v>12.899147694034538</v>
      </c>
      <c r="AD426" s="27">
        <f>(M426*'RAP TEMPLATE-GAS AVAILABILITY'!O425+N426*'RAP TEMPLATE-GAS AVAILABILITY'!P425+O426*'RAP TEMPLATE-GAS AVAILABILITY'!Q425+P426*'RAP TEMPLATE-GAS AVAILABILITY'!R425)/('RAP TEMPLATE-GAS AVAILABILITY'!O425+'RAP TEMPLATE-GAS AVAILABILITY'!P425+'RAP TEMPLATE-GAS AVAILABILITY'!Q425+'RAP TEMPLATE-GAS AVAILABILITY'!R425)</f>
        <v>12.764942446043163</v>
      </c>
    </row>
    <row r="427" spans="1:30" ht="15.75">
      <c r="A427" s="14">
        <v>54270</v>
      </c>
      <c r="B427" s="10">
        <f>CHOOSE(CONTROL!$C$42, 12.6482, 12.6482) * CHOOSE(CONTROL!$C$21, $C$9, 100%, $E$9)</f>
        <v>12.648199999999999</v>
      </c>
      <c r="C427" s="10">
        <f>CHOOSE(CONTROL!$C$42, 12.6562, 12.6562) * CHOOSE(CONTROL!$C$21, $C$9, 100%, $E$9)</f>
        <v>12.6562</v>
      </c>
      <c r="D427" s="10">
        <f>CHOOSE(CONTROL!$C$42, 12.8133, 12.8133) * CHOOSE(CONTROL!$C$21, $C$9, 100%, $E$9)</f>
        <v>12.8133</v>
      </c>
      <c r="E427" s="10">
        <f>CHOOSE(CONTROL!$C$42, 12.8445, 12.8445) * CHOOSE(CONTROL!$C$21, $C$9, 100%, $E$9)</f>
        <v>12.8445</v>
      </c>
      <c r="F427" s="10">
        <f>CHOOSE(CONTROL!$C$42, 12.5929, 12.5929)*CHOOSE(CONTROL!$C$21, $C$9, 100%, $E$9)</f>
        <v>12.5929</v>
      </c>
      <c r="G427" s="10">
        <f>CHOOSE(CONTROL!$C$42, 12.6091, 12.6091)*CHOOSE(CONTROL!$C$21, $C$9, 100%, $E$9)</f>
        <v>12.6091</v>
      </c>
      <c r="H427" s="10">
        <f>CHOOSE(CONTROL!$C$42, 12.8328, 12.8328) * CHOOSE(CONTROL!$C$21, $C$9, 100%, $E$9)</f>
        <v>12.832800000000001</v>
      </c>
      <c r="I427" s="10">
        <f>CHOOSE(CONTROL!$C$42, 12.627, 12.627)* CHOOSE(CONTROL!$C$21, $C$9, 100%, $E$9)</f>
        <v>12.627000000000001</v>
      </c>
      <c r="J427" s="10">
        <f>CHOOSE(CONTROL!$C$42, 12.5855, 12.5855)* CHOOSE(CONTROL!$C$21, $C$9, 100%, $E$9)</f>
        <v>12.5855</v>
      </c>
      <c r="K427" s="10">
        <f>CHOOSE(CONTROL!$C$42, 12.3932, 12.3932) * CHOOSE(CONTROL!$C$21, $C$9, 100%, $E$9)</f>
        <v>12.3932</v>
      </c>
      <c r="L427" s="10">
        <f>CHOOSE(CONTROL!$C$42, 13.4198, 13.4198) * CHOOSE(CONTROL!$C$21, $C$9, 100%, $E$9)</f>
        <v>13.4198</v>
      </c>
      <c r="M427" s="10">
        <f>CHOOSE(CONTROL!$C$42, 12.4429, 12.4429) * CHOOSE(CONTROL!$C$21, $C$9, 100%, $E$9)</f>
        <v>12.4429</v>
      </c>
      <c r="N427" s="10">
        <f>CHOOSE(CONTROL!$C$42, 12.459, 12.459) * CHOOSE(CONTROL!$C$21, $C$9, 100%, $E$9)</f>
        <v>12.459</v>
      </c>
      <c r="O427" s="10">
        <f>CHOOSE(CONTROL!$C$42, 12.6868, 12.6868) * CHOOSE(CONTROL!$C$21, $C$9, 100%, $E$9)</f>
        <v>12.6868</v>
      </c>
      <c r="P427" s="10">
        <f>CHOOSE(CONTROL!$C$42, 12.4839, 12.4839) * CHOOSE(CONTROL!$C$21, $C$9, 100%, $E$9)</f>
        <v>12.4839</v>
      </c>
      <c r="Q427" s="10">
        <f>CHOOSE(CONTROL!$C$42, 13.2821, 13.2821) * CHOOSE(CONTROL!$C$21, $C$9, 100%, $E$9)</f>
        <v>13.2821</v>
      </c>
      <c r="R427" s="10">
        <f>CHOOSE(CONTROL!$C$42, 13.9023, 13.9023) * CHOOSE(CONTROL!$C$21, $C$9, 100%, $E$9)</f>
        <v>13.9023</v>
      </c>
      <c r="S427" s="10">
        <f>CHOOSE(CONTROL!$C$42, 12.2619, 12.2619) * CHOOSE(CONTROL!$C$21, $C$9, 100%, $E$9)</f>
        <v>12.261900000000001</v>
      </c>
      <c r="T42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27" s="38">
        <f>(1000*CHOOSE(CONTROL!$C$42, 695, 695)*CHOOSE(CONTROL!$C$42, 0.5599, 0.5599)*CHOOSE(CONTROL!$C$42, 31, 31))/1000000</f>
        <v>12.063045499999998</v>
      </c>
      <c r="V427" s="38">
        <f>(1000*CHOOSE(CONTROL!$C$42, 500, 500)*CHOOSE(CONTROL!$C$42, 0.275, 0.275)*CHOOSE(CONTROL!$C$42, 31, 31))/1000000</f>
        <v>4.2625000000000002</v>
      </c>
      <c r="W427" s="38">
        <f>(1000*CHOOSE(CONTROL!$C$42, 0.1146, 0.1146)*CHOOSE(CONTROL!$C$42, 121.5, 121.5)*CHOOSE(CONTROL!$C$42, 31, 31))/1000000</f>
        <v>0.43164089999999994</v>
      </c>
      <c r="X427" s="38">
        <f>(31*0.1790888*245000/1000000)+(31*0.2374*100000/1000000)</f>
        <v>2.0961194359999999</v>
      </c>
      <c r="Y427" s="38">
        <f>(1000*600*CHOOSE(CONTROL!$C$42, 1.0861, 1.0861)*CHOOSE(CONTROL!$C$42, 31, 31))/1000000</f>
        <v>20.201460000000001</v>
      </c>
      <c r="Z427" s="38"/>
      <c r="AA427" s="10"/>
      <c r="AB427" s="39"/>
      <c r="AC427" s="33">
        <f>(B427*194.205+C427*267.466+D427*133.845+E427*53.484+F427*40+G427*185+H427*0+I427*100+J427*300)/(194.205+267.466+133.845+53.484+0+40+185+100+300)</f>
        <v>12.651623035086342</v>
      </c>
      <c r="AD427" s="27">
        <f>(M427*'RAP TEMPLATE-GAS AVAILABILITY'!O426+N427*'RAP TEMPLATE-GAS AVAILABILITY'!P426+O427*'RAP TEMPLATE-GAS AVAILABILITY'!Q426+P427*'RAP TEMPLATE-GAS AVAILABILITY'!R426)/('RAP TEMPLATE-GAS AVAILABILITY'!O426+'RAP TEMPLATE-GAS AVAILABILITY'!P426+'RAP TEMPLATE-GAS AVAILABILITY'!Q426+'RAP TEMPLATE-GAS AVAILABILITY'!R426)</f>
        <v>12.520938129496402</v>
      </c>
    </row>
    <row r="428" spans="1:30" ht="15.75">
      <c r="A428" s="14">
        <v>54301</v>
      </c>
      <c r="B428" s="10">
        <f>CHOOSE(CONTROL!$C$42, 12.0228, 12.0228) * CHOOSE(CONTROL!$C$21, $C$9, 100%, $E$9)</f>
        <v>12.0228</v>
      </c>
      <c r="C428" s="10">
        <f>CHOOSE(CONTROL!$C$42, 12.0308, 12.0308) * CHOOSE(CONTROL!$C$21, $C$9, 100%, $E$9)</f>
        <v>12.030799999999999</v>
      </c>
      <c r="D428" s="10">
        <f>CHOOSE(CONTROL!$C$42, 12.1878, 12.1878) * CHOOSE(CONTROL!$C$21, $C$9, 100%, $E$9)</f>
        <v>12.187799999999999</v>
      </c>
      <c r="E428" s="10">
        <f>CHOOSE(CONTROL!$C$42, 12.2191, 12.2191) * CHOOSE(CONTROL!$C$21, $C$9, 100%, $E$9)</f>
        <v>12.219099999999999</v>
      </c>
      <c r="F428" s="10">
        <f>CHOOSE(CONTROL!$C$42, 11.9674, 11.9674)*CHOOSE(CONTROL!$C$21, $C$9, 100%, $E$9)</f>
        <v>11.9674</v>
      </c>
      <c r="G428" s="10">
        <f>CHOOSE(CONTROL!$C$42, 11.9836, 11.9836)*CHOOSE(CONTROL!$C$21, $C$9, 100%, $E$9)</f>
        <v>11.983599999999999</v>
      </c>
      <c r="H428" s="10">
        <f>CHOOSE(CONTROL!$C$42, 12.2074, 12.2074) * CHOOSE(CONTROL!$C$21, $C$9, 100%, $E$9)</f>
        <v>12.2074</v>
      </c>
      <c r="I428" s="10">
        <f>CHOOSE(CONTROL!$C$42, 12.0016, 12.0016)* CHOOSE(CONTROL!$C$21, $C$9, 100%, $E$9)</f>
        <v>12.0016</v>
      </c>
      <c r="J428" s="10">
        <f>CHOOSE(CONTROL!$C$42, 11.96, 11.96)* CHOOSE(CONTROL!$C$21, $C$9, 100%, $E$9)</f>
        <v>11.96</v>
      </c>
      <c r="K428" s="10">
        <f>CHOOSE(CONTROL!$C$42, 11.7871, 11.7871) * CHOOSE(CONTROL!$C$21, $C$9, 100%, $E$9)</f>
        <v>11.787100000000001</v>
      </c>
      <c r="L428" s="10">
        <f>CHOOSE(CONTROL!$C$42, 12.7944, 12.7944) * CHOOSE(CONTROL!$C$21, $C$9, 100%, $E$9)</f>
        <v>12.7944</v>
      </c>
      <c r="M428" s="10">
        <f>CHOOSE(CONTROL!$C$42, 11.8261, 11.8261) * CHOOSE(CONTROL!$C$21, $C$9, 100%, $E$9)</f>
        <v>11.8261</v>
      </c>
      <c r="N428" s="10">
        <f>CHOOSE(CONTROL!$C$42, 11.8422, 11.8422) * CHOOSE(CONTROL!$C$21, $C$9, 100%, $E$9)</f>
        <v>11.8422</v>
      </c>
      <c r="O428" s="10">
        <f>CHOOSE(CONTROL!$C$42, 12.0701, 12.0701) * CHOOSE(CONTROL!$C$21, $C$9, 100%, $E$9)</f>
        <v>12.0701</v>
      </c>
      <c r="P428" s="10">
        <f>CHOOSE(CONTROL!$C$42, 11.8672, 11.8672) * CHOOSE(CONTROL!$C$21, $C$9, 100%, $E$9)</f>
        <v>11.8672</v>
      </c>
      <c r="Q428" s="10">
        <f>CHOOSE(CONTROL!$C$42, 12.6654, 12.6654) * CHOOSE(CONTROL!$C$21, $C$9, 100%, $E$9)</f>
        <v>12.6654</v>
      </c>
      <c r="R428" s="10">
        <f>CHOOSE(CONTROL!$C$42, 13.2841, 13.2841) * CHOOSE(CONTROL!$C$21, $C$9, 100%, $E$9)</f>
        <v>13.2841</v>
      </c>
      <c r="S428" s="10">
        <f>CHOOSE(CONTROL!$C$42, 11.6563, 11.6563) * CHOOSE(CONTROL!$C$21, $C$9, 100%, $E$9)</f>
        <v>11.6563</v>
      </c>
      <c r="T42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28" s="38">
        <f>(1000*CHOOSE(CONTROL!$C$42, 695, 695)*CHOOSE(CONTROL!$C$42, 0.5599, 0.5599)*CHOOSE(CONTROL!$C$42, 31, 31))/1000000</f>
        <v>12.063045499999998</v>
      </c>
      <c r="V428" s="38">
        <f>(1000*CHOOSE(CONTROL!$C$42, 500, 500)*CHOOSE(CONTROL!$C$42, 0.275, 0.275)*CHOOSE(CONTROL!$C$42, 31, 31))/1000000</f>
        <v>4.2625000000000002</v>
      </c>
      <c r="W428" s="38">
        <f>(1000*CHOOSE(CONTROL!$C$42, 0.1146, 0.1146)*CHOOSE(CONTROL!$C$42, 121.5, 121.5)*CHOOSE(CONTROL!$C$42, 31, 31))/1000000</f>
        <v>0.43164089999999994</v>
      </c>
      <c r="X428" s="38">
        <f>(31*0.1790888*245000/1000000)+(31*0.2374*100000/1000000)</f>
        <v>2.0961194359999999</v>
      </c>
      <c r="Y428" s="38">
        <f>(1000*600*CHOOSE(CONTROL!$C$42, 1.0861, 1.0861)*CHOOSE(CONTROL!$C$42, 31, 31))/1000000</f>
        <v>20.201460000000001</v>
      </c>
      <c r="Z428" s="38"/>
      <c r="AA428" s="10"/>
      <c r="AB428" s="39"/>
      <c r="AC428" s="33">
        <f>(B428*194.205+C428*267.466+D428*133.845+E428*53.484+F428*40+G428*185+H428*0+I428*100+J428*300)/(194.205+267.466+133.845+53.484+0+40+185+100+300)</f>
        <v>12.026171320408164</v>
      </c>
      <c r="AD428" s="27">
        <f>(M428*'RAP TEMPLATE-GAS AVAILABILITY'!O427+N428*'RAP TEMPLATE-GAS AVAILABILITY'!P427+O428*'RAP TEMPLATE-GAS AVAILABILITY'!Q427+P428*'RAP TEMPLATE-GAS AVAILABILITY'!R427)/('RAP TEMPLATE-GAS AVAILABILITY'!O427+'RAP TEMPLATE-GAS AVAILABILITY'!P427+'RAP TEMPLATE-GAS AVAILABILITY'!Q427+'RAP TEMPLATE-GAS AVAILABILITY'!R427)</f>
        <v>11.904180575539566</v>
      </c>
    </row>
    <row r="429" spans="1:30" ht="15.75">
      <c r="A429" s="14">
        <v>54331</v>
      </c>
      <c r="B429" s="10">
        <f>CHOOSE(CONTROL!$C$42, 11.2586, 11.2586) * CHOOSE(CONTROL!$C$21, $C$9, 100%, $E$9)</f>
        <v>11.258599999999999</v>
      </c>
      <c r="C429" s="10">
        <f>CHOOSE(CONTROL!$C$42, 11.2666, 11.2666) * CHOOSE(CONTROL!$C$21, $C$9, 100%, $E$9)</f>
        <v>11.2666</v>
      </c>
      <c r="D429" s="10">
        <f>CHOOSE(CONTROL!$C$42, 11.4237, 11.4237) * CHOOSE(CONTROL!$C$21, $C$9, 100%, $E$9)</f>
        <v>11.4237</v>
      </c>
      <c r="E429" s="10">
        <f>CHOOSE(CONTROL!$C$42, 11.4549, 11.4549) * CHOOSE(CONTROL!$C$21, $C$9, 100%, $E$9)</f>
        <v>11.4549</v>
      </c>
      <c r="F429" s="10">
        <f>CHOOSE(CONTROL!$C$42, 11.203, 11.203)*CHOOSE(CONTROL!$C$21, $C$9, 100%, $E$9)</f>
        <v>11.202999999999999</v>
      </c>
      <c r="G429" s="10">
        <f>CHOOSE(CONTROL!$C$42, 11.2192, 11.2192)*CHOOSE(CONTROL!$C$21, $C$9, 100%, $E$9)</f>
        <v>11.219200000000001</v>
      </c>
      <c r="H429" s="10">
        <f>CHOOSE(CONTROL!$C$42, 11.4432, 11.4432) * CHOOSE(CONTROL!$C$21, $C$9, 100%, $E$9)</f>
        <v>11.443199999999999</v>
      </c>
      <c r="I429" s="10">
        <f>CHOOSE(CONTROL!$C$42, 11.2374, 11.2374)* CHOOSE(CONTROL!$C$21, $C$9, 100%, $E$9)</f>
        <v>11.237399999999999</v>
      </c>
      <c r="J429" s="10">
        <f>CHOOSE(CONTROL!$C$42, 11.1956, 11.1956)* CHOOSE(CONTROL!$C$21, $C$9, 100%, $E$9)</f>
        <v>11.195600000000001</v>
      </c>
      <c r="K429" s="10">
        <f>CHOOSE(CONTROL!$C$42, 11.0463, 11.0463) * CHOOSE(CONTROL!$C$21, $C$9, 100%, $E$9)</f>
        <v>11.0463</v>
      </c>
      <c r="L429" s="10">
        <f>CHOOSE(CONTROL!$C$42, 12.0302, 12.0302) * CHOOSE(CONTROL!$C$21, $C$9, 100%, $E$9)</f>
        <v>12.030200000000001</v>
      </c>
      <c r="M429" s="10">
        <f>CHOOSE(CONTROL!$C$42, 11.0724, 11.0724) * CHOOSE(CONTROL!$C$21, $C$9, 100%, $E$9)</f>
        <v>11.0724</v>
      </c>
      <c r="N429" s="10">
        <f>CHOOSE(CONTROL!$C$42, 11.0884, 11.0884) * CHOOSE(CONTROL!$C$21, $C$9, 100%, $E$9)</f>
        <v>11.0884</v>
      </c>
      <c r="O429" s="10">
        <f>CHOOSE(CONTROL!$C$42, 11.3166, 11.3166) * CHOOSE(CONTROL!$C$21, $C$9, 100%, $E$9)</f>
        <v>11.316599999999999</v>
      </c>
      <c r="P429" s="10">
        <f>CHOOSE(CONTROL!$C$42, 11.1137, 11.1137) * CHOOSE(CONTROL!$C$21, $C$9, 100%, $E$9)</f>
        <v>11.1137</v>
      </c>
      <c r="Q429" s="10">
        <f>CHOOSE(CONTROL!$C$42, 11.9119, 11.9119) * CHOOSE(CONTROL!$C$21, $C$9, 100%, $E$9)</f>
        <v>11.911899999999999</v>
      </c>
      <c r="R429" s="10">
        <f>CHOOSE(CONTROL!$C$42, 12.5287, 12.5287) * CHOOSE(CONTROL!$C$21, $C$9, 100%, $E$9)</f>
        <v>12.528700000000001</v>
      </c>
      <c r="S429" s="10">
        <f>CHOOSE(CONTROL!$C$42, 10.9163, 10.9163) * CHOOSE(CONTROL!$C$21, $C$9, 100%, $E$9)</f>
        <v>10.9163</v>
      </c>
      <c r="T42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29" s="38">
        <f>(1000*CHOOSE(CONTROL!$C$42, 695, 695)*CHOOSE(CONTROL!$C$42, 0.5599, 0.5599)*CHOOSE(CONTROL!$C$42, 30, 30))/1000000</f>
        <v>11.673914999999997</v>
      </c>
      <c r="V429" s="38">
        <f>(1000*CHOOSE(CONTROL!$C$42, 500, 500)*CHOOSE(CONTROL!$C$42, 0.275, 0.275)*CHOOSE(CONTROL!$C$42, 30, 30))/1000000</f>
        <v>4.125</v>
      </c>
      <c r="W429" s="38">
        <f>(1000*CHOOSE(CONTROL!$C$42, 0.1146, 0.1146)*CHOOSE(CONTROL!$C$42, 121.5, 121.5)*CHOOSE(CONTROL!$C$42, 30, 30))/1000000</f>
        <v>0.417717</v>
      </c>
      <c r="X429" s="38">
        <f>(30*0.1790888*245000/1000000)+(30*0.2374*100000/1000000)</f>
        <v>2.0285026799999999</v>
      </c>
      <c r="Y429" s="38">
        <f>(1000*600*CHOOSE(CONTROL!$C$42, 1.0861, 1.0861)*CHOOSE(CONTROL!$C$42, 30, 30))/1000000</f>
        <v>19.549800000000001</v>
      </c>
      <c r="Z429" s="38"/>
      <c r="AA429" s="10"/>
      <c r="AB429" s="39"/>
      <c r="AC429" s="33">
        <f>(B429*194.205+C429*267.466+D429*133.845+E429*53.484+F429*40+G429*185+H429*0+I429*100+J429*300)/(194.205+267.466+133.845+53.484+0+40+185+100+300)</f>
        <v>11.261899408712717</v>
      </c>
      <c r="AD429" s="27">
        <f>(M429*'RAP TEMPLATE-GAS AVAILABILITY'!O428+N429*'RAP TEMPLATE-GAS AVAILABILITY'!P428+O429*'RAP TEMPLATE-GAS AVAILABILITY'!Q428+P429*'RAP TEMPLATE-GAS AVAILABILITY'!R428)/('RAP TEMPLATE-GAS AVAILABILITY'!O428+'RAP TEMPLATE-GAS AVAILABILITY'!P428+'RAP TEMPLATE-GAS AVAILABILITY'!Q428+'RAP TEMPLATE-GAS AVAILABILITY'!R428)</f>
        <v>11.150542446043167</v>
      </c>
    </row>
    <row r="430" spans="1:30" ht="15.75">
      <c r="A430" s="14">
        <v>54362</v>
      </c>
      <c r="B430" s="10">
        <f>CHOOSE(CONTROL!$C$42, 11.0276, 11.0276) * CHOOSE(CONTROL!$C$21, $C$9, 100%, $E$9)</f>
        <v>11.0276</v>
      </c>
      <c r="C430" s="10">
        <f>CHOOSE(CONTROL!$C$42, 11.0329, 11.0329) * CHOOSE(CONTROL!$C$21, $C$9, 100%, $E$9)</f>
        <v>11.0329</v>
      </c>
      <c r="D430" s="10">
        <f>CHOOSE(CONTROL!$C$42, 11.1948, 11.1948) * CHOOSE(CONTROL!$C$21, $C$9, 100%, $E$9)</f>
        <v>11.194800000000001</v>
      </c>
      <c r="E430" s="10">
        <f>CHOOSE(CONTROL!$C$42, 11.2238, 11.2238) * CHOOSE(CONTROL!$C$21, $C$9, 100%, $E$9)</f>
        <v>11.223800000000001</v>
      </c>
      <c r="F430" s="10">
        <f>CHOOSE(CONTROL!$C$42, 10.974, 10.974)*CHOOSE(CONTROL!$C$21, $C$9, 100%, $E$9)</f>
        <v>10.974</v>
      </c>
      <c r="G430" s="10">
        <f>CHOOSE(CONTROL!$C$42, 10.9898, 10.9898)*CHOOSE(CONTROL!$C$21, $C$9, 100%, $E$9)</f>
        <v>10.989800000000001</v>
      </c>
      <c r="H430" s="10">
        <f>CHOOSE(CONTROL!$C$42, 11.2139, 11.2139) * CHOOSE(CONTROL!$C$21, $C$9, 100%, $E$9)</f>
        <v>11.213900000000001</v>
      </c>
      <c r="I430" s="10">
        <f>CHOOSE(CONTROL!$C$42, 11.0081, 11.0081)* CHOOSE(CONTROL!$C$21, $C$9, 100%, $E$9)</f>
        <v>11.008100000000001</v>
      </c>
      <c r="J430" s="10">
        <f>CHOOSE(CONTROL!$C$42, 10.9666, 10.9666)* CHOOSE(CONTROL!$C$21, $C$9, 100%, $E$9)</f>
        <v>10.9666</v>
      </c>
      <c r="K430" s="10">
        <f>CHOOSE(CONTROL!$C$42, 10.8248, 10.8248) * CHOOSE(CONTROL!$C$21, $C$9, 100%, $E$9)</f>
        <v>10.8248</v>
      </c>
      <c r="L430" s="10">
        <f>CHOOSE(CONTROL!$C$42, 11.8009, 11.8009) * CHOOSE(CONTROL!$C$21, $C$9, 100%, $E$9)</f>
        <v>11.8009</v>
      </c>
      <c r="M430" s="10">
        <f>CHOOSE(CONTROL!$C$42, 10.8466, 10.8466) * CHOOSE(CONTROL!$C$21, $C$9, 100%, $E$9)</f>
        <v>10.8466</v>
      </c>
      <c r="N430" s="10">
        <f>CHOOSE(CONTROL!$C$42, 10.8622, 10.8622) * CHOOSE(CONTROL!$C$21, $C$9, 100%, $E$9)</f>
        <v>10.8622</v>
      </c>
      <c r="O430" s="10">
        <f>CHOOSE(CONTROL!$C$42, 11.0905, 11.0905) * CHOOSE(CONTROL!$C$21, $C$9, 100%, $E$9)</f>
        <v>11.0905</v>
      </c>
      <c r="P430" s="10">
        <f>CHOOSE(CONTROL!$C$42, 10.8876, 10.8876) * CHOOSE(CONTROL!$C$21, $C$9, 100%, $E$9)</f>
        <v>10.887600000000001</v>
      </c>
      <c r="Q430" s="10">
        <f>CHOOSE(CONTROL!$C$42, 11.6858, 11.6858) * CHOOSE(CONTROL!$C$21, $C$9, 100%, $E$9)</f>
        <v>11.6858</v>
      </c>
      <c r="R430" s="10">
        <f>CHOOSE(CONTROL!$C$42, 12.302, 12.302) * CHOOSE(CONTROL!$C$21, $C$9, 100%, $E$9)</f>
        <v>12.302</v>
      </c>
      <c r="S430" s="10">
        <f>CHOOSE(CONTROL!$C$42, 10.6943, 10.6943) * CHOOSE(CONTROL!$C$21, $C$9, 100%, $E$9)</f>
        <v>10.6943</v>
      </c>
      <c r="T43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30" s="38">
        <f>(1000*CHOOSE(CONTROL!$C$42, 695, 695)*CHOOSE(CONTROL!$C$42, 0.5599, 0.5599)*CHOOSE(CONTROL!$C$42, 31, 31))/1000000</f>
        <v>12.063045499999998</v>
      </c>
      <c r="V430" s="38">
        <f>(1000*CHOOSE(CONTROL!$C$42, 500, 500)*CHOOSE(CONTROL!$C$42, 0.275, 0.275)*CHOOSE(CONTROL!$C$42, 31, 31))/1000000</f>
        <v>4.2625000000000002</v>
      </c>
      <c r="W430" s="38">
        <f>(1000*CHOOSE(CONTROL!$C$42, 0.1146, 0.1146)*CHOOSE(CONTROL!$C$42, 121.5, 121.5)*CHOOSE(CONTROL!$C$42, 31, 31))/1000000</f>
        <v>0.43164089999999994</v>
      </c>
      <c r="X430" s="38">
        <f>(31*0.1790888*245000/1000000)+(31*0.2374*100000/1000000)</f>
        <v>2.0961194359999999</v>
      </c>
      <c r="Y430" s="38">
        <f>(1000*600*CHOOSE(CONTROL!$C$42, 1.0861, 1.0861)*CHOOSE(CONTROL!$C$42, 31, 31))/1000000</f>
        <v>20.201460000000001</v>
      </c>
      <c r="Z430" s="38"/>
      <c r="AA430" s="10"/>
      <c r="AB430" s="39"/>
      <c r="AC430" s="33">
        <f>(B430*131.881+C430*277.167+D430*79.08+E430*125.872+F430*40+G430*185+H430*0+I430*100+J430*300)/(131.881+277.167+79.08+125.872+0+40+185+100+300)</f>
        <v>11.035671224778046</v>
      </c>
      <c r="AD430" s="27">
        <f>(M430*'RAP TEMPLATE-GAS AVAILABILITY'!O429+N430*'RAP TEMPLATE-GAS AVAILABILITY'!P429+O430*'RAP TEMPLATE-GAS AVAILABILITY'!Q429+P430*'RAP TEMPLATE-GAS AVAILABILITY'!R429)/('RAP TEMPLATE-GAS AVAILABILITY'!O429+'RAP TEMPLATE-GAS AVAILABILITY'!P429+'RAP TEMPLATE-GAS AVAILABILITY'!Q429+'RAP TEMPLATE-GAS AVAILABILITY'!R429)</f>
        <v>10.924523021582734</v>
      </c>
    </row>
    <row r="431" spans="1:30" ht="15.75">
      <c r="A431" s="14">
        <v>54392</v>
      </c>
      <c r="B431" s="10">
        <f>CHOOSE(CONTROL!$C$42, 11.3181, 11.3181) * CHOOSE(CONTROL!$C$21, $C$9, 100%, $E$9)</f>
        <v>11.318099999999999</v>
      </c>
      <c r="C431" s="10">
        <f>CHOOSE(CONTROL!$C$42, 11.3232, 11.3232) * CHOOSE(CONTROL!$C$21, $C$9, 100%, $E$9)</f>
        <v>11.3232</v>
      </c>
      <c r="D431" s="10">
        <f>CHOOSE(CONTROL!$C$42, 11.3479, 11.3479) * CHOOSE(CONTROL!$C$21, $C$9, 100%, $E$9)</f>
        <v>11.347899999999999</v>
      </c>
      <c r="E431" s="10">
        <f>CHOOSE(CONTROL!$C$42, 11.3817, 11.3817) * CHOOSE(CONTROL!$C$21, $C$9, 100%, $E$9)</f>
        <v>11.3817</v>
      </c>
      <c r="F431" s="10">
        <f>CHOOSE(CONTROL!$C$42, 11.2864, 11.2864)*CHOOSE(CONTROL!$C$21, $C$9, 100%, $E$9)</f>
        <v>11.2864</v>
      </c>
      <c r="G431" s="10">
        <f>CHOOSE(CONTROL!$C$42, 11.3024, 11.3024)*CHOOSE(CONTROL!$C$21, $C$9, 100%, $E$9)</f>
        <v>11.3024</v>
      </c>
      <c r="H431" s="10">
        <f>CHOOSE(CONTROL!$C$42, 11.3706, 11.3706) * CHOOSE(CONTROL!$C$21, $C$9, 100%, $E$9)</f>
        <v>11.3706</v>
      </c>
      <c r="I431" s="10">
        <f>CHOOSE(CONTROL!$C$42, 11.3331, 11.3331)* CHOOSE(CONTROL!$C$21, $C$9, 100%, $E$9)</f>
        <v>11.3331</v>
      </c>
      <c r="J431" s="10">
        <f>CHOOSE(CONTROL!$C$42, 11.279, 11.279)* CHOOSE(CONTROL!$C$21, $C$9, 100%, $E$9)</f>
        <v>11.279</v>
      </c>
      <c r="K431" s="10">
        <f>CHOOSE(CONTROL!$C$42, 11.1419, 11.1419) * CHOOSE(CONTROL!$C$21, $C$9, 100%, $E$9)</f>
        <v>11.1419</v>
      </c>
      <c r="L431" s="10">
        <f>CHOOSE(CONTROL!$C$42, 11.9576, 11.9576) * CHOOSE(CONTROL!$C$21, $C$9, 100%, $E$9)</f>
        <v>11.957599999999999</v>
      </c>
      <c r="M431" s="10">
        <f>CHOOSE(CONTROL!$C$42, 11.1547, 11.1547) * CHOOSE(CONTROL!$C$21, $C$9, 100%, $E$9)</f>
        <v>11.1547</v>
      </c>
      <c r="N431" s="10">
        <f>CHOOSE(CONTROL!$C$42, 11.1705, 11.1705) * CHOOSE(CONTROL!$C$21, $C$9, 100%, $E$9)</f>
        <v>11.170500000000001</v>
      </c>
      <c r="O431" s="10">
        <f>CHOOSE(CONTROL!$C$42, 11.245, 11.245) * CHOOSE(CONTROL!$C$21, $C$9, 100%, $E$9)</f>
        <v>11.244999999999999</v>
      </c>
      <c r="P431" s="10">
        <f>CHOOSE(CONTROL!$C$42, 11.2081, 11.2081) * CHOOSE(CONTROL!$C$21, $C$9, 100%, $E$9)</f>
        <v>11.2081</v>
      </c>
      <c r="Q431" s="10">
        <f>CHOOSE(CONTROL!$C$42, 11.8403, 11.8403) * CHOOSE(CONTROL!$C$21, $C$9, 100%, $E$9)</f>
        <v>11.840299999999999</v>
      </c>
      <c r="R431" s="10">
        <f>CHOOSE(CONTROL!$C$42, 12.4569, 12.4569) * CHOOSE(CONTROL!$C$21, $C$9, 100%, $E$9)</f>
        <v>12.456899999999999</v>
      </c>
      <c r="S431" s="10">
        <f>CHOOSE(CONTROL!$C$42, 10.976, 10.976) * CHOOSE(CONTROL!$C$21, $C$9, 100%, $E$9)</f>
        <v>10.976000000000001</v>
      </c>
      <c r="T43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31" s="38">
        <f>(1000*CHOOSE(CONTROL!$C$42, 695, 695)*CHOOSE(CONTROL!$C$42, 0.5599, 0.5599)*CHOOSE(CONTROL!$C$42, 30, 30))/1000000</f>
        <v>11.673914999999997</v>
      </c>
      <c r="V431" s="38">
        <f>(1000*CHOOSE(CONTROL!$C$42, 500, 500)*CHOOSE(CONTROL!$C$42, 0.275, 0.275)*CHOOSE(CONTROL!$C$42, 30, 30))/1000000</f>
        <v>4.125</v>
      </c>
      <c r="W431" s="38">
        <f>(1000*CHOOSE(CONTROL!$C$42, 0.1146, 0.1146)*CHOOSE(CONTROL!$C$42, 121.5, 121.5)*CHOOSE(CONTROL!$C$42, 30, 30))/1000000</f>
        <v>0.417717</v>
      </c>
      <c r="X431" s="38">
        <f>(30*0.1790888*100000/1000000)+(30*0.2374*100000/1000000)</f>
        <v>1.2494664</v>
      </c>
      <c r="Y431" s="38">
        <f>(1000*600*CHOOSE(CONTROL!$C$42, 1.0861, 1.0861)*CHOOSE(CONTROL!$C$42, 30, 30))/1000000</f>
        <v>19.549800000000001</v>
      </c>
      <c r="Z431" s="38"/>
      <c r="AA431" s="10"/>
      <c r="AB431" s="39"/>
      <c r="AC431" s="33">
        <f>(B431*122.58+C431*297.941+D431*89.177+E431*40.302+F431*40+G431*160+H431*0+I431*100+J431*300)/(122.58+297.941+89.177+40.302+0+40+160+100+300)</f>
        <v>11.311778418173914</v>
      </c>
      <c r="AD431" s="27">
        <f>(M431*'RAP TEMPLATE-GAS AVAILABILITY'!O430+N431*'RAP TEMPLATE-GAS AVAILABILITY'!P430+O431*'RAP TEMPLATE-GAS AVAILABILITY'!Q430+P431*'RAP TEMPLATE-GAS AVAILABILITY'!R430)/('RAP TEMPLATE-GAS AVAILABILITY'!O430+'RAP TEMPLATE-GAS AVAILABILITY'!P430+'RAP TEMPLATE-GAS AVAILABILITY'!Q430+'RAP TEMPLATE-GAS AVAILABILITY'!R430)</f>
        <v>11.204220143884891</v>
      </c>
    </row>
    <row r="432" spans="1:30" ht="15.75">
      <c r="A432" s="14">
        <v>54423</v>
      </c>
      <c r="B432" s="10">
        <f>CHOOSE(CONTROL!$C$42, 12.0909, 12.0909) * CHOOSE(CONTROL!$C$21, $C$9, 100%, $E$9)</f>
        <v>12.0909</v>
      </c>
      <c r="C432" s="10">
        <f>CHOOSE(CONTROL!$C$42, 12.096, 12.096) * CHOOSE(CONTROL!$C$21, $C$9, 100%, $E$9)</f>
        <v>12.096</v>
      </c>
      <c r="D432" s="10">
        <f>CHOOSE(CONTROL!$C$42, 12.1207, 12.1207) * CHOOSE(CONTROL!$C$21, $C$9, 100%, $E$9)</f>
        <v>12.120699999999999</v>
      </c>
      <c r="E432" s="10">
        <f>CHOOSE(CONTROL!$C$42, 12.1545, 12.1545) * CHOOSE(CONTROL!$C$21, $C$9, 100%, $E$9)</f>
        <v>12.154500000000001</v>
      </c>
      <c r="F432" s="10">
        <f>CHOOSE(CONTROL!$C$42, 12.0611, 12.0611)*CHOOSE(CONTROL!$C$21, $C$9, 100%, $E$9)</f>
        <v>12.0611</v>
      </c>
      <c r="G432" s="10">
        <f>CHOOSE(CONTROL!$C$42, 12.0776, 12.0776)*CHOOSE(CONTROL!$C$21, $C$9, 100%, $E$9)</f>
        <v>12.0776</v>
      </c>
      <c r="H432" s="10">
        <f>CHOOSE(CONTROL!$C$42, 12.1433, 12.1433) * CHOOSE(CONTROL!$C$21, $C$9, 100%, $E$9)</f>
        <v>12.1433</v>
      </c>
      <c r="I432" s="10">
        <f>CHOOSE(CONTROL!$C$42, 12.1059, 12.1059)* CHOOSE(CONTROL!$C$21, $C$9, 100%, $E$9)</f>
        <v>12.1059</v>
      </c>
      <c r="J432" s="10">
        <f>CHOOSE(CONTROL!$C$42, 12.0537, 12.0537)* CHOOSE(CONTROL!$C$21, $C$9, 100%, $E$9)</f>
        <v>12.053699999999999</v>
      </c>
      <c r="K432" s="10">
        <f>CHOOSE(CONTROL!$C$42, 11.8947, 11.8947) * CHOOSE(CONTROL!$C$21, $C$9, 100%, $E$9)</f>
        <v>11.8947</v>
      </c>
      <c r="L432" s="10">
        <f>CHOOSE(CONTROL!$C$42, 12.7303, 12.7303) * CHOOSE(CONTROL!$C$21, $C$9, 100%, $E$9)</f>
        <v>12.7303</v>
      </c>
      <c r="M432" s="10">
        <f>CHOOSE(CONTROL!$C$42, 11.9186, 11.9186) * CHOOSE(CONTROL!$C$21, $C$9, 100%, $E$9)</f>
        <v>11.9186</v>
      </c>
      <c r="N432" s="10">
        <f>CHOOSE(CONTROL!$C$42, 11.9348, 11.9348) * CHOOSE(CONTROL!$C$21, $C$9, 100%, $E$9)</f>
        <v>11.934799999999999</v>
      </c>
      <c r="O432" s="10">
        <f>CHOOSE(CONTROL!$C$42, 12.007, 12.007) * CHOOSE(CONTROL!$C$21, $C$9, 100%, $E$9)</f>
        <v>12.007</v>
      </c>
      <c r="P432" s="10">
        <f>CHOOSE(CONTROL!$C$42, 11.9701, 11.9701) * CHOOSE(CONTROL!$C$21, $C$9, 100%, $E$9)</f>
        <v>11.9701</v>
      </c>
      <c r="Q432" s="10">
        <f>CHOOSE(CONTROL!$C$42, 12.6023, 12.6023) * CHOOSE(CONTROL!$C$21, $C$9, 100%, $E$9)</f>
        <v>12.6023</v>
      </c>
      <c r="R432" s="10">
        <f>CHOOSE(CONTROL!$C$42, 13.2208, 13.2208) * CHOOSE(CONTROL!$C$21, $C$9, 100%, $E$9)</f>
        <v>13.220800000000001</v>
      </c>
      <c r="S432" s="10">
        <f>CHOOSE(CONTROL!$C$42, 11.7243, 11.7243) * CHOOSE(CONTROL!$C$21, $C$9, 100%, $E$9)</f>
        <v>11.724299999999999</v>
      </c>
      <c r="T43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32" s="38">
        <f>(1000*CHOOSE(CONTROL!$C$42, 695, 695)*CHOOSE(CONTROL!$C$42, 0.5599, 0.5599)*CHOOSE(CONTROL!$C$42, 31, 31))/1000000</f>
        <v>12.063045499999998</v>
      </c>
      <c r="V432" s="38">
        <f>(1000*CHOOSE(CONTROL!$C$42, 500, 500)*CHOOSE(CONTROL!$C$42, 0.275, 0.275)*CHOOSE(CONTROL!$C$42, 31, 31))/1000000</f>
        <v>4.2625000000000002</v>
      </c>
      <c r="W432" s="38">
        <f>(1000*CHOOSE(CONTROL!$C$42, 0.1146, 0.1146)*CHOOSE(CONTROL!$C$42, 121.5, 121.5)*CHOOSE(CONTROL!$C$42, 31, 31))/1000000</f>
        <v>0.43164089999999994</v>
      </c>
      <c r="X432" s="38">
        <f>(31*0.1790888*100000/1000000)+(31*0.2374*100000/1000000)</f>
        <v>1.2911152800000001</v>
      </c>
      <c r="Y432" s="38">
        <f>(1000*600*CHOOSE(CONTROL!$C$42, 1.0861, 1.0861)*CHOOSE(CONTROL!$C$42, 31, 31))/1000000</f>
        <v>20.201460000000001</v>
      </c>
      <c r="Z432" s="38"/>
      <c r="AA432" s="10"/>
      <c r="AB432" s="39"/>
      <c r="AC432" s="33">
        <f>(B432*122.58+C432*297.941+D432*89.177+E432*40.302+F432*40+G432*160+H432*0+I432*100+J432*300)/(122.58+297.941+89.177+40.302+0+40+160+100+300)</f>
        <v>12.085474070347827</v>
      </c>
      <c r="AD432" s="27">
        <f>(M432*'RAP TEMPLATE-GAS AVAILABILITY'!O431+N432*'RAP TEMPLATE-GAS AVAILABILITY'!P431+O432*'RAP TEMPLATE-GAS AVAILABILITY'!Q431+P432*'RAP TEMPLATE-GAS AVAILABILITY'!R431)/('RAP TEMPLATE-GAS AVAILABILITY'!O431+'RAP TEMPLATE-GAS AVAILABILITY'!P431+'RAP TEMPLATE-GAS AVAILABILITY'!Q431+'RAP TEMPLATE-GAS AVAILABILITY'!R431)</f>
        <v>11.967008633093526</v>
      </c>
    </row>
    <row r="433" spans="1:30" ht="15.75">
      <c r="A433" s="14">
        <v>54454</v>
      </c>
      <c r="B433" s="10">
        <f>CHOOSE(CONTROL!$C$42, 12.908, 12.908) * CHOOSE(CONTROL!$C$21, $C$9, 100%, $E$9)</f>
        <v>12.907999999999999</v>
      </c>
      <c r="C433" s="10">
        <f>CHOOSE(CONTROL!$C$42, 12.9131, 12.9131) * CHOOSE(CONTROL!$C$21, $C$9, 100%, $E$9)</f>
        <v>12.9131</v>
      </c>
      <c r="D433" s="10">
        <f>CHOOSE(CONTROL!$C$42, 12.9456, 12.9456) * CHOOSE(CONTROL!$C$21, $C$9, 100%, $E$9)</f>
        <v>12.945600000000001</v>
      </c>
      <c r="E433" s="10">
        <f>CHOOSE(CONTROL!$C$42, 12.9794, 12.9794) * CHOOSE(CONTROL!$C$21, $C$9, 100%, $E$9)</f>
        <v>12.9794</v>
      </c>
      <c r="F433" s="10">
        <f>CHOOSE(CONTROL!$C$42, 12.8922, 12.8922)*CHOOSE(CONTROL!$C$21, $C$9, 100%, $E$9)</f>
        <v>12.892200000000001</v>
      </c>
      <c r="G433" s="10">
        <f>CHOOSE(CONTROL!$C$42, 12.9103, 12.9103)*CHOOSE(CONTROL!$C$21, $C$9, 100%, $E$9)</f>
        <v>12.910299999999999</v>
      </c>
      <c r="H433" s="10">
        <f>CHOOSE(CONTROL!$C$42, 12.9682, 12.9682) * CHOOSE(CONTROL!$C$21, $C$9, 100%, $E$9)</f>
        <v>12.9682</v>
      </c>
      <c r="I433" s="10">
        <f>CHOOSE(CONTROL!$C$42, 12.9215, 12.9215)* CHOOSE(CONTROL!$C$21, $C$9, 100%, $E$9)</f>
        <v>12.9215</v>
      </c>
      <c r="J433" s="10">
        <f>CHOOSE(CONTROL!$C$42, 12.8848, 12.8848)* CHOOSE(CONTROL!$C$21, $C$9, 100%, $E$9)</f>
        <v>12.8848</v>
      </c>
      <c r="K433" s="10">
        <f>CHOOSE(CONTROL!$C$42, 12.6988, 12.6988) * CHOOSE(CONTROL!$C$21, $C$9, 100%, $E$9)</f>
        <v>12.6988</v>
      </c>
      <c r="L433" s="10">
        <f>CHOOSE(CONTROL!$C$42, 13.5552, 13.5552) * CHOOSE(CONTROL!$C$21, $C$9, 100%, $E$9)</f>
        <v>13.555199999999999</v>
      </c>
      <c r="M433" s="10">
        <f>CHOOSE(CONTROL!$C$42, 12.7381, 12.7381) * CHOOSE(CONTROL!$C$21, $C$9, 100%, $E$9)</f>
        <v>12.738099999999999</v>
      </c>
      <c r="N433" s="10">
        <f>CHOOSE(CONTROL!$C$42, 12.7559, 12.7559) * CHOOSE(CONTROL!$C$21, $C$9, 100%, $E$9)</f>
        <v>12.7559</v>
      </c>
      <c r="O433" s="10">
        <f>CHOOSE(CONTROL!$C$42, 12.8204, 12.8204) * CHOOSE(CONTROL!$C$21, $C$9, 100%, $E$9)</f>
        <v>12.820399999999999</v>
      </c>
      <c r="P433" s="10">
        <f>CHOOSE(CONTROL!$C$42, 12.7743, 12.7743) * CHOOSE(CONTROL!$C$21, $C$9, 100%, $E$9)</f>
        <v>12.7743</v>
      </c>
      <c r="Q433" s="10">
        <f>CHOOSE(CONTROL!$C$42, 13.4157, 13.4157) * CHOOSE(CONTROL!$C$21, $C$9, 100%, $E$9)</f>
        <v>13.415699999999999</v>
      </c>
      <c r="R433" s="10">
        <f>CHOOSE(CONTROL!$C$42, 14.0362, 14.0362) * CHOOSE(CONTROL!$C$21, $C$9, 100%, $E$9)</f>
        <v>14.036199999999999</v>
      </c>
      <c r="S433" s="10">
        <f>CHOOSE(CONTROL!$C$42, 12.5155, 12.5155) * CHOOSE(CONTROL!$C$21, $C$9, 100%, $E$9)</f>
        <v>12.515499999999999</v>
      </c>
      <c r="T43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33" s="38">
        <f>(1000*CHOOSE(CONTROL!$C$42, 695, 695)*CHOOSE(CONTROL!$C$42, 0.5599, 0.5599)*CHOOSE(CONTROL!$C$42, 31, 31))/1000000</f>
        <v>12.063045499999998</v>
      </c>
      <c r="V433" s="38">
        <f>(1000*CHOOSE(CONTROL!$C$42, 500, 500)*CHOOSE(CONTROL!$C$42, 0.275, 0.275)*CHOOSE(CONTROL!$C$42, 31, 31))/1000000</f>
        <v>4.2625000000000002</v>
      </c>
      <c r="W433" s="38">
        <f>(1000*CHOOSE(CONTROL!$C$42, 0.1146, 0.1146)*CHOOSE(CONTROL!$C$42, 121.5, 121.5)*CHOOSE(CONTROL!$C$42, 31, 31))/1000000</f>
        <v>0.43164089999999994</v>
      </c>
      <c r="X433" s="38">
        <f>(31*0.1790888*100000/1000000)+(31*0.2374*100000/1000000)</f>
        <v>1.2911152800000001</v>
      </c>
      <c r="Y433" s="38">
        <f>(1000*600*CHOOSE(CONTROL!$C$42, 1.0826, 1.0826)*CHOOSE(CONTROL!$C$42, 31, 31))/1000000</f>
        <v>20.13636</v>
      </c>
      <c r="Z433" s="38"/>
      <c r="AA433" s="10"/>
      <c r="AB433" s="39"/>
      <c r="AC433" s="33">
        <f>(B433*122.58+C433*297.941+D433*89.177+E433*40.302+F433*40+G433*160+H433*0+I433*100+J433*300)/(122.58+297.941+89.177+40.302+0+40+160+100+300)</f>
        <v>12.909631406173913</v>
      </c>
      <c r="AD433" s="27">
        <f>(M433*'RAP TEMPLATE-GAS AVAILABILITY'!O432+N433*'RAP TEMPLATE-GAS AVAILABILITY'!P432+O433*'RAP TEMPLATE-GAS AVAILABILITY'!Q432+P433*'RAP TEMPLATE-GAS AVAILABILITY'!R432)/('RAP TEMPLATE-GAS AVAILABILITY'!O432+'RAP TEMPLATE-GAS AVAILABILITY'!P432+'RAP TEMPLATE-GAS AVAILABILITY'!Q432+'RAP TEMPLATE-GAS AVAILABILITY'!R432)</f>
        <v>12.781634532374099</v>
      </c>
    </row>
    <row r="434" spans="1:30" ht="15.75">
      <c r="A434" s="14">
        <v>54482</v>
      </c>
      <c r="B434" s="10">
        <f>CHOOSE(CONTROL!$C$42, 13.1381, 13.1381) * CHOOSE(CONTROL!$C$21, $C$9, 100%, $E$9)</f>
        <v>13.1381</v>
      </c>
      <c r="C434" s="10">
        <f>CHOOSE(CONTROL!$C$42, 13.1432, 13.1432) * CHOOSE(CONTROL!$C$21, $C$9, 100%, $E$9)</f>
        <v>13.1432</v>
      </c>
      <c r="D434" s="10">
        <f>CHOOSE(CONTROL!$C$42, 13.1756, 13.1756) * CHOOSE(CONTROL!$C$21, $C$9, 100%, $E$9)</f>
        <v>13.175599999999999</v>
      </c>
      <c r="E434" s="10">
        <f>CHOOSE(CONTROL!$C$42, 13.2094, 13.2094) * CHOOSE(CONTROL!$C$21, $C$9, 100%, $E$9)</f>
        <v>13.2094</v>
      </c>
      <c r="F434" s="10">
        <f>CHOOSE(CONTROL!$C$42, 13.1218, 13.1218)*CHOOSE(CONTROL!$C$21, $C$9, 100%, $E$9)</f>
        <v>13.1218</v>
      </c>
      <c r="G434" s="10">
        <f>CHOOSE(CONTROL!$C$42, 13.1398, 13.1398)*CHOOSE(CONTROL!$C$21, $C$9, 100%, $E$9)</f>
        <v>13.139799999999999</v>
      </c>
      <c r="H434" s="10">
        <f>CHOOSE(CONTROL!$C$42, 13.1983, 13.1983) * CHOOSE(CONTROL!$C$21, $C$9, 100%, $E$9)</f>
        <v>13.1983</v>
      </c>
      <c r="I434" s="10">
        <f>CHOOSE(CONTROL!$C$42, 13.1515, 13.1515)* CHOOSE(CONTROL!$C$21, $C$9, 100%, $E$9)</f>
        <v>13.1515</v>
      </c>
      <c r="J434" s="10">
        <f>CHOOSE(CONTROL!$C$42, 13.1144, 13.1144)* CHOOSE(CONTROL!$C$21, $C$9, 100%, $E$9)</f>
        <v>13.1144</v>
      </c>
      <c r="K434" s="10">
        <f>CHOOSE(CONTROL!$C$42, 12.9207, 12.9207) * CHOOSE(CONTROL!$C$21, $C$9, 100%, $E$9)</f>
        <v>12.9207</v>
      </c>
      <c r="L434" s="10">
        <f>CHOOSE(CONTROL!$C$42, 13.7853, 13.7853) * CHOOSE(CONTROL!$C$21, $C$9, 100%, $E$9)</f>
        <v>13.785299999999999</v>
      </c>
      <c r="M434" s="10">
        <f>CHOOSE(CONTROL!$C$42, 12.9645, 12.9645) * CHOOSE(CONTROL!$C$21, $C$9, 100%, $E$9)</f>
        <v>12.964499999999999</v>
      </c>
      <c r="N434" s="10">
        <f>CHOOSE(CONTROL!$C$42, 12.9822, 12.9822) * CHOOSE(CONTROL!$C$21, $C$9, 100%, $E$9)</f>
        <v>12.982200000000001</v>
      </c>
      <c r="O434" s="10">
        <f>CHOOSE(CONTROL!$C$42, 13.0472, 13.0472) * CHOOSE(CONTROL!$C$21, $C$9, 100%, $E$9)</f>
        <v>13.0472</v>
      </c>
      <c r="P434" s="10">
        <f>CHOOSE(CONTROL!$C$42, 13.0011, 13.0011) * CHOOSE(CONTROL!$C$21, $C$9, 100%, $E$9)</f>
        <v>13.001099999999999</v>
      </c>
      <c r="Q434" s="10">
        <f>CHOOSE(CONTROL!$C$42, 13.6425, 13.6425) * CHOOSE(CONTROL!$C$21, $C$9, 100%, $E$9)</f>
        <v>13.6425</v>
      </c>
      <c r="R434" s="10">
        <f>CHOOSE(CONTROL!$C$42, 14.2636, 14.2636) * CHOOSE(CONTROL!$C$21, $C$9, 100%, $E$9)</f>
        <v>14.2636</v>
      </c>
      <c r="S434" s="10">
        <f>CHOOSE(CONTROL!$C$42, 12.7383, 12.7383) * CHOOSE(CONTROL!$C$21, $C$9, 100%, $E$9)</f>
        <v>12.738300000000001</v>
      </c>
      <c r="T43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34" s="38">
        <f>(1000*CHOOSE(CONTROL!$C$42, 695, 695)*CHOOSE(CONTROL!$C$42, 0.5599, 0.5599)*CHOOSE(CONTROL!$C$42, 28, 28))/1000000</f>
        <v>10.895653999999999</v>
      </c>
      <c r="V434" s="38">
        <f>(1000*CHOOSE(CONTROL!$C$42, 500, 500)*CHOOSE(CONTROL!$C$42, 0.275, 0.275)*CHOOSE(CONTROL!$C$42, 28, 28))/1000000</f>
        <v>3.85</v>
      </c>
      <c r="W434" s="38">
        <f>(1000*CHOOSE(CONTROL!$C$42, 0.1146, 0.1146)*CHOOSE(CONTROL!$C$42, 121.5, 121.5)*CHOOSE(CONTROL!$C$42, 28, 28))/1000000</f>
        <v>0.38986920000000003</v>
      </c>
      <c r="X434" s="38">
        <f>(28*0.1790888*100000/1000000)+(28*0.2374*100000/1000000)</f>
        <v>1.16616864</v>
      </c>
      <c r="Y434" s="38">
        <f>(1000*600*CHOOSE(CONTROL!$C$42, 1.0826, 1.0826)*CHOOSE(CONTROL!$C$42, 28, 28))/1000000</f>
        <v>18.18768</v>
      </c>
      <c r="Z434" s="38"/>
      <c r="AA434" s="10"/>
      <c r="AB434" s="39"/>
      <c r="AC434" s="33">
        <f>(B434*122.58+C434*297.941+D434*89.177+E434*40.302+F434*40+G434*160+H434*0+I434*100+J434*300)/(122.58+297.941+89.177+40.302+0+40+160+100+300)</f>
        <v>13.139480147130433</v>
      </c>
      <c r="AD434" s="27">
        <f>(M434*'RAP TEMPLATE-GAS AVAILABILITY'!O433+N434*'RAP TEMPLATE-GAS AVAILABILITY'!P433+O434*'RAP TEMPLATE-GAS AVAILABILITY'!Q433+P434*'RAP TEMPLATE-GAS AVAILABILITY'!R433)/('RAP TEMPLATE-GAS AVAILABILITY'!O433+'RAP TEMPLATE-GAS AVAILABILITY'!P433+'RAP TEMPLATE-GAS AVAILABILITY'!Q433+'RAP TEMPLATE-GAS AVAILABILITY'!R433)</f>
        <v>13.008267625899283</v>
      </c>
    </row>
    <row r="435" spans="1:30" ht="15.75">
      <c r="A435" s="14">
        <v>54513</v>
      </c>
      <c r="B435" s="10">
        <f>CHOOSE(CONTROL!$C$42, 12.7646, 12.7646) * CHOOSE(CONTROL!$C$21, $C$9, 100%, $E$9)</f>
        <v>12.7646</v>
      </c>
      <c r="C435" s="10">
        <f>CHOOSE(CONTROL!$C$42, 12.7697, 12.7697) * CHOOSE(CONTROL!$C$21, $C$9, 100%, $E$9)</f>
        <v>12.7697</v>
      </c>
      <c r="D435" s="10">
        <f>CHOOSE(CONTROL!$C$42, 12.8022, 12.8022) * CHOOSE(CONTROL!$C$21, $C$9, 100%, $E$9)</f>
        <v>12.802199999999999</v>
      </c>
      <c r="E435" s="10">
        <f>CHOOSE(CONTROL!$C$42, 12.836, 12.836) * CHOOSE(CONTROL!$C$21, $C$9, 100%, $E$9)</f>
        <v>12.836</v>
      </c>
      <c r="F435" s="10">
        <f>CHOOSE(CONTROL!$C$42, 12.7469, 12.7469)*CHOOSE(CONTROL!$C$21, $C$9, 100%, $E$9)</f>
        <v>12.7469</v>
      </c>
      <c r="G435" s="10">
        <f>CHOOSE(CONTROL!$C$42, 12.7645, 12.7645)*CHOOSE(CONTROL!$C$21, $C$9, 100%, $E$9)</f>
        <v>12.7645</v>
      </c>
      <c r="H435" s="10">
        <f>CHOOSE(CONTROL!$C$42, 12.8249, 12.8249) * CHOOSE(CONTROL!$C$21, $C$9, 100%, $E$9)</f>
        <v>12.8249</v>
      </c>
      <c r="I435" s="10">
        <f>CHOOSE(CONTROL!$C$42, 12.7781, 12.7781)* CHOOSE(CONTROL!$C$21, $C$9, 100%, $E$9)</f>
        <v>12.7781</v>
      </c>
      <c r="J435" s="10">
        <f>CHOOSE(CONTROL!$C$42, 12.7395, 12.7395)* CHOOSE(CONTROL!$C$21, $C$9, 100%, $E$9)</f>
        <v>12.7395</v>
      </c>
      <c r="K435" s="10">
        <f>CHOOSE(CONTROL!$C$42, 12.5557, 12.5557) * CHOOSE(CONTROL!$C$21, $C$9, 100%, $E$9)</f>
        <v>12.5557</v>
      </c>
      <c r="L435" s="10">
        <f>CHOOSE(CONTROL!$C$42, 13.4119, 13.4119) * CHOOSE(CONTROL!$C$21, $C$9, 100%, $E$9)</f>
        <v>13.411899999999999</v>
      </c>
      <c r="M435" s="10">
        <f>CHOOSE(CONTROL!$C$42, 12.5948, 12.5948) * CHOOSE(CONTROL!$C$21, $C$9, 100%, $E$9)</f>
        <v>12.594799999999999</v>
      </c>
      <c r="N435" s="10">
        <f>CHOOSE(CONTROL!$C$42, 12.6121, 12.6121) * CHOOSE(CONTROL!$C$21, $C$9, 100%, $E$9)</f>
        <v>12.6121</v>
      </c>
      <c r="O435" s="10">
        <f>CHOOSE(CONTROL!$C$42, 12.679, 12.679) * CHOOSE(CONTROL!$C$21, $C$9, 100%, $E$9)</f>
        <v>12.679</v>
      </c>
      <c r="P435" s="10">
        <f>CHOOSE(CONTROL!$C$42, 12.6329, 12.6329) * CHOOSE(CONTROL!$C$21, $C$9, 100%, $E$9)</f>
        <v>12.632899999999999</v>
      </c>
      <c r="Q435" s="10">
        <f>CHOOSE(CONTROL!$C$42, 13.2743, 13.2743) * CHOOSE(CONTROL!$C$21, $C$9, 100%, $E$9)</f>
        <v>13.2743</v>
      </c>
      <c r="R435" s="10">
        <f>CHOOSE(CONTROL!$C$42, 13.8945, 13.8945) * CHOOSE(CONTROL!$C$21, $C$9, 100%, $E$9)</f>
        <v>13.894500000000001</v>
      </c>
      <c r="S435" s="10">
        <f>CHOOSE(CONTROL!$C$42, 12.3767, 12.3767) * CHOOSE(CONTROL!$C$21, $C$9, 100%, $E$9)</f>
        <v>12.3767</v>
      </c>
      <c r="T43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35" s="38">
        <f>(1000*CHOOSE(CONTROL!$C$42, 695, 695)*CHOOSE(CONTROL!$C$42, 0.5599, 0.5599)*CHOOSE(CONTROL!$C$42, 31, 31))/1000000</f>
        <v>12.063045499999998</v>
      </c>
      <c r="V435" s="38">
        <f>(1000*CHOOSE(CONTROL!$C$42, 500, 500)*CHOOSE(CONTROL!$C$42, 0.275, 0.275)*CHOOSE(CONTROL!$C$42, 31, 31))/1000000</f>
        <v>4.2625000000000002</v>
      </c>
      <c r="W435" s="38">
        <f>(1000*CHOOSE(CONTROL!$C$42, 0.1146, 0.1146)*CHOOSE(CONTROL!$C$42, 121.5, 121.5)*CHOOSE(CONTROL!$C$42, 31, 31))/1000000</f>
        <v>0.43164089999999994</v>
      </c>
      <c r="X435" s="38">
        <f>(31*0.1790888*100000/1000000)+(31*0.2374*100000/1000000)</f>
        <v>1.2911152800000001</v>
      </c>
      <c r="Y435" s="38">
        <f>(1000*600*CHOOSE(CONTROL!$C$42, 1.0826, 1.0826)*CHOOSE(CONTROL!$C$42, 31, 31))/1000000</f>
        <v>20.13636</v>
      </c>
      <c r="Z435" s="38"/>
      <c r="AA435" s="10"/>
      <c r="AB435" s="39"/>
      <c r="AC435" s="33">
        <f>(B435*122.58+C435*297.941+D435*89.177+E435*40.302+F435*40+G435*160+H435*0+I435*100+J435*300)/(122.58+297.941+89.177+40.302+0+40+160+100+300)</f>
        <v>12.765335753999999</v>
      </c>
      <c r="AD435" s="27">
        <f>(M435*'RAP TEMPLATE-GAS AVAILABILITY'!O434+N435*'RAP TEMPLATE-GAS AVAILABILITY'!P434+O435*'RAP TEMPLATE-GAS AVAILABILITY'!Q434+P435*'RAP TEMPLATE-GAS AVAILABILITY'!R434)/('RAP TEMPLATE-GAS AVAILABILITY'!O434+'RAP TEMPLATE-GAS AVAILABILITY'!P434+'RAP TEMPLATE-GAS AVAILABILITY'!Q434+'RAP TEMPLATE-GAS AVAILABILITY'!R434)</f>
        <v>12.639440287769784</v>
      </c>
    </row>
    <row r="436" spans="1:30" ht="15.75">
      <c r="A436" s="14">
        <v>54543</v>
      </c>
      <c r="B436" s="10">
        <f>CHOOSE(CONTROL!$C$42, 12.7271, 12.7271) * CHOOSE(CONTROL!$C$21, $C$9, 100%, $E$9)</f>
        <v>12.7271</v>
      </c>
      <c r="C436" s="10">
        <f>CHOOSE(CONTROL!$C$42, 12.7317, 12.7317) * CHOOSE(CONTROL!$C$21, $C$9, 100%, $E$9)</f>
        <v>12.7317</v>
      </c>
      <c r="D436" s="10">
        <f>CHOOSE(CONTROL!$C$42, 12.8918, 12.8918) * CHOOSE(CONTROL!$C$21, $C$9, 100%, $E$9)</f>
        <v>12.8918</v>
      </c>
      <c r="E436" s="10">
        <f>CHOOSE(CONTROL!$C$42, 12.9236, 12.9236) * CHOOSE(CONTROL!$C$21, $C$9, 100%, $E$9)</f>
        <v>12.9236</v>
      </c>
      <c r="F436" s="10">
        <f>CHOOSE(CONTROL!$C$42, 12.6732, 12.6732)*CHOOSE(CONTROL!$C$21, $C$9, 100%, $E$9)</f>
        <v>12.6732</v>
      </c>
      <c r="G436" s="10">
        <f>CHOOSE(CONTROL!$C$42, 12.6891, 12.6891)*CHOOSE(CONTROL!$C$21, $C$9, 100%, $E$9)</f>
        <v>12.6891</v>
      </c>
      <c r="H436" s="10">
        <f>CHOOSE(CONTROL!$C$42, 12.9131, 12.9131) * CHOOSE(CONTROL!$C$21, $C$9, 100%, $E$9)</f>
        <v>12.9131</v>
      </c>
      <c r="I436" s="10">
        <f>CHOOSE(CONTROL!$C$42, 12.7073, 12.7073)* CHOOSE(CONTROL!$C$21, $C$9, 100%, $E$9)</f>
        <v>12.7073</v>
      </c>
      <c r="J436" s="10">
        <f>CHOOSE(CONTROL!$C$42, 12.6658, 12.6658)* CHOOSE(CONTROL!$C$21, $C$9, 100%, $E$9)</f>
        <v>12.665800000000001</v>
      </c>
      <c r="K436" s="10">
        <f>CHOOSE(CONTROL!$C$42, 12.4711, 12.4711) * CHOOSE(CONTROL!$C$21, $C$9, 100%, $E$9)</f>
        <v>12.4711</v>
      </c>
      <c r="L436" s="10">
        <f>CHOOSE(CONTROL!$C$42, 13.5001, 13.5001) * CHOOSE(CONTROL!$C$21, $C$9, 100%, $E$9)</f>
        <v>13.5001</v>
      </c>
      <c r="M436" s="10">
        <f>CHOOSE(CONTROL!$C$42, 12.5222, 12.5222) * CHOOSE(CONTROL!$C$21, $C$9, 100%, $E$9)</f>
        <v>12.5222</v>
      </c>
      <c r="N436" s="10">
        <f>CHOOSE(CONTROL!$C$42, 12.5378, 12.5378) * CHOOSE(CONTROL!$C$21, $C$9, 100%, $E$9)</f>
        <v>12.537800000000001</v>
      </c>
      <c r="O436" s="10">
        <f>CHOOSE(CONTROL!$C$42, 12.766, 12.766) * CHOOSE(CONTROL!$C$21, $C$9, 100%, $E$9)</f>
        <v>12.766</v>
      </c>
      <c r="P436" s="10">
        <f>CHOOSE(CONTROL!$C$42, 12.5631, 12.5631) * CHOOSE(CONTROL!$C$21, $C$9, 100%, $E$9)</f>
        <v>12.5631</v>
      </c>
      <c r="Q436" s="10">
        <f>CHOOSE(CONTROL!$C$42, 13.3613, 13.3613) * CHOOSE(CONTROL!$C$21, $C$9, 100%, $E$9)</f>
        <v>13.3613</v>
      </c>
      <c r="R436" s="10">
        <f>CHOOSE(CONTROL!$C$42, 13.9817, 13.9817) * CHOOSE(CONTROL!$C$21, $C$9, 100%, $E$9)</f>
        <v>13.9817</v>
      </c>
      <c r="S436" s="10">
        <f>CHOOSE(CONTROL!$C$42, 12.3396, 12.3396) * CHOOSE(CONTROL!$C$21, $C$9, 100%, $E$9)</f>
        <v>12.339600000000001</v>
      </c>
      <c r="T43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36" s="38">
        <f>(1000*CHOOSE(CONTROL!$C$42, 695, 695)*CHOOSE(CONTROL!$C$42, 0.5599, 0.5599)*CHOOSE(CONTROL!$C$42, 30, 30))/1000000</f>
        <v>11.673914999999997</v>
      </c>
      <c r="V436" s="38">
        <f>(1000*CHOOSE(CONTROL!$C$42, 500, 500)*CHOOSE(CONTROL!$C$42, 0.275, 0.275)*CHOOSE(CONTROL!$C$42, 30, 30))/1000000</f>
        <v>4.125</v>
      </c>
      <c r="W436" s="38">
        <f>(1000*CHOOSE(CONTROL!$C$42, 0.1146, 0.1146)*CHOOSE(CONTROL!$C$42, 121.5, 121.5)*CHOOSE(CONTROL!$C$42, 30, 30))/1000000</f>
        <v>0.417717</v>
      </c>
      <c r="X436" s="38">
        <f>(30*0.1790888*245000/1000000)+(30*0.2374*100000/1000000)</f>
        <v>2.0285026799999999</v>
      </c>
      <c r="Y436" s="38">
        <f>(1000*600*CHOOSE(CONTROL!$C$42, 1.0826, 1.0826)*CHOOSE(CONTROL!$C$42, 30, 30))/1000000</f>
        <v>19.486799999999999</v>
      </c>
      <c r="Z436" s="38"/>
      <c r="AA436" s="10"/>
      <c r="AB436" s="39"/>
      <c r="AC436" s="33">
        <f>(B436*141.293+C436*267.993+D436*115.016+E436*89.698+F436*40+G436*185+H436*0+I436*100+J436*300)/(141.293+267.993+115.016+89.698+0+40+185+100+300)</f>
        <v>12.733755012106538</v>
      </c>
      <c r="AD436" s="27">
        <f>(M436*'RAP TEMPLATE-GAS AVAILABILITY'!O435+N436*'RAP TEMPLATE-GAS AVAILABILITY'!P435+O436*'RAP TEMPLATE-GAS AVAILABILITY'!Q435+P436*'RAP TEMPLATE-GAS AVAILABILITY'!R435)/('RAP TEMPLATE-GAS AVAILABILITY'!O435+'RAP TEMPLATE-GAS AVAILABILITY'!P435+'RAP TEMPLATE-GAS AVAILABILITY'!Q435+'RAP TEMPLATE-GAS AVAILABILITY'!R435)</f>
        <v>12.600080575539568</v>
      </c>
    </row>
    <row r="437" spans="1:30" ht="15.75">
      <c r="A437" s="14">
        <v>54574</v>
      </c>
      <c r="B437" s="10">
        <f>CHOOSE(CONTROL!$C$42, 12.8414, 12.8414) * CHOOSE(CONTROL!$C$21, $C$9, 100%, $E$9)</f>
        <v>12.8414</v>
      </c>
      <c r="C437" s="10">
        <f>CHOOSE(CONTROL!$C$42, 12.8494, 12.8494) * CHOOSE(CONTROL!$C$21, $C$9, 100%, $E$9)</f>
        <v>12.849399999999999</v>
      </c>
      <c r="D437" s="10">
        <f>CHOOSE(CONTROL!$C$42, 13.0065, 13.0065) * CHOOSE(CONTROL!$C$21, $C$9, 100%, $E$9)</f>
        <v>13.006500000000001</v>
      </c>
      <c r="E437" s="10">
        <f>CHOOSE(CONTROL!$C$42, 13.0377, 13.0377) * CHOOSE(CONTROL!$C$21, $C$9, 100%, $E$9)</f>
        <v>13.037699999999999</v>
      </c>
      <c r="F437" s="10">
        <f>CHOOSE(CONTROL!$C$42, 12.7856, 12.7856)*CHOOSE(CONTROL!$C$21, $C$9, 100%, $E$9)</f>
        <v>12.785600000000001</v>
      </c>
      <c r="G437" s="10">
        <f>CHOOSE(CONTROL!$C$42, 12.8017, 12.8017)*CHOOSE(CONTROL!$C$21, $C$9, 100%, $E$9)</f>
        <v>12.8017</v>
      </c>
      <c r="H437" s="10">
        <f>CHOOSE(CONTROL!$C$42, 13.026, 13.026) * CHOOSE(CONTROL!$C$21, $C$9, 100%, $E$9)</f>
        <v>13.026</v>
      </c>
      <c r="I437" s="10">
        <f>CHOOSE(CONTROL!$C$42, 12.8202, 12.8202)* CHOOSE(CONTROL!$C$21, $C$9, 100%, $E$9)</f>
        <v>12.8202</v>
      </c>
      <c r="J437" s="10">
        <f>CHOOSE(CONTROL!$C$42, 12.7782, 12.7782)* CHOOSE(CONTROL!$C$21, $C$9, 100%, $E$9)</f>
        <v>12.7782</v>
      </c>
      <c r="K437" s="10">
        <f>CHOOSE(CONTROL!$C$42, 12.5792, 12.5792) * CHOOSE(CONTROL!$C$21, $C$9, 100%, $E$9)</f>
        <v>12.5792</v>
      </c>
      <c r="L437" s="10">
        <f>CHOOSE(CONTROL!$C$42, 13.613, 13.613) * CHOOSE(CONTROL!$C$21, $C$9, 100%, $E$9)</f>
        <v>13.613</v>
      </c>
      <c r="M437" s="10">
        <f>CHOOSE(CONTROL!$C$42, 12.6329, 12.6329) * CHOOSE(CONTROL!$C$21, $C$9, 100%, $E$9)</f>
        <v>12.632899999999999</v>
      </c>
      <c r="N437" s="10">
        <f>CHOOSE(CONTROL!$C$42, 12.6488, 12.6488) * CHOOSE(CONTROL!$C$21, $C$9, 100%, $E$9)</f>
        <v>12.6488</v>
      </c>
      <c r="O437" s="10">
        <f>CHOOSE(CONTROL!$C$42, 12.8773, 12.8773) * CHOOSE(CONTROL!$C$21, $C$9, 100%, $E$9)</f>
        <v>12.8773</v>
      </c>
      <c r="P437" s="10">
        <f>CHOOSE(CONTROL!$C$42, 12.6744, 12.6744) * CHOOSE(CONTROL!$C$21, $C$9, 100%, $E$9)</f>
        <v>12.6744</v>
      </c>
      <c r="Q437" s="10">
        <f>CHOOSE(CONTROL!$C$42, 13.4726, 13.4726) * CHOOSE(CONTROL!$C$21, $C$9, 100%, $E$9)</f>
        <v>13.4726</v>
      </c>
      <c r="R437" s="10">
        <f>CHOOSE(CONTROL!$C$42, 14.0933, 14.0933) * CHOOSE(CONTROL!$C$21, $C$9, 100%, $E$9)</f>
        <v>14.093299999999999</v>
      </c>
      <c r="S437" s="10">
        <f>CHOOSE(CONTROL!$C$42, 12.449, 12.449) * CHOOSE(CONTROL!$C$21, $C$9, 100%, $E$9)</f>
        <v>12.449</v>
      </c>
      <c r="T43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37" s="38">
        <f>(1000*CHOOSE(CONTROL!$C$42, 695, 695)*CHOOSE(CONTROL!$C$42, 0.5599, 0.5599)*CHOOSE(CONTROL!$C$42, 31, 31))/1000000</f>
        <v>12.063045499999998</v>
      </c>
      <c r="V437" s="38">
        <f>(1000*CHOOSE(CONTROL!$C$42, 500, 500)*CHOOSE(CONTROL!$C$42, 0.275, 0.275)*CHOOSE(CONTROL!$C$42, 31, 31))/1000000</f>
        <v>4.2625000000000002</v>
      </c>
      <c r="W437" s="38">
        <f>(1000*CHOOSE(CONTROL!$C$42, 0.1146, 0.1146)*CHOOSE(CONTROL!$C$42, 121.5, 121.5)*CHOOSE(CONTROL!$C$42, 31, 31))/1000000</f>
        <v>0.43164089999999994</v>
      </c>
      <c r="X437" s="38">
        <f>(31*0.1790888*245000/1000000)+(31*0.2374*100000/1000000)</f>
        <v>2.0961194359999999</v>
      </c>
      <c r="Y437" s="38">
        <f>(1000*600*CHOOSE(CONTROL!$C$42, 1.0826, 1.0826)*CHOOSE(CONTROL!$C$42, 31, 31))/1000000</f>
        <v>20.13636</v>
      </c>
      <c r="Z437" s="38"/>
      <c r="AA437" s="10"/>
      <c r="AB437" s="39"/>
      <c r="AC437" s="33">
        <f>(B437*194.205+C437*267.466+D437*133.845+E437*53.484+F437*40+G437*185+H437*0+I437*100+J437*300)/(194.205+267.466+133.845+53.484+0+40+185+100+300)</f>
        <v>12.844602469937207</v>
      </c>
      <c r="AD437" s="27">
        <f>(M437*'RAP TEMPLATE-GAS AVAILABILITY'!O436+N437*'RAP TEMPLATE-GAS AVAILABILITY'!P436+O437*'RAP TEMPLATE-GAS AVAILABILITY'!Q436+P437*'RAP TEMPLATE-GAS AVAILABILITY'!R436)/('RAP TEMPLATE-GAS AVAILABILITY'!O436+'RAP TEMPLATE-GAS AVAILABILITY'!P436+'RAP TEMPLATE-GAS AVAILABILITY'!Q436+'RAP TEMPLATE-GAS AVAILABILITY'!R436)</f>
        <v>12.711104316546763</v>
      </c>
    </row>
    <row r="438" spans="1:30" ht="15.75">
      <c r="A438" s="14">
        <v>54604</v>
      </c>
      <c r="B438" s="10">
        <f>CHOOSE(CONTROL!$C$42, 13.2061, 13.2061) * CHOOSE(CONTROL!$C$21, $C$9, 100%, $E$9)</f>
        <v>13.206099999999999</v>
      </c>
      <c r="C438" s="10">
        <f>CHOOSE(CONTROL!$C$42, 13.2141, 13.2141) * CHOOSE(CONTROL!$C$21, $C$9, 100%, $E$9)</f>
        <v>13.2141</v>
      </c>
      <c r="D438" s="10">
        <f>CHOOSE(CONTROL!$C$42, 13.3711, 13.3711) * CHOOSE(CONTROL!$C$21, $C$9, 100%, $E$9)</f>
        <v>13.3711</v>
      </c>
      <c r="E438" s="10">
        <f>CHOOSE(CONTROL!$C$42, 13.4024, 13.4024) * CHOOSE(CONTROL!$C$21, $C$9, 100%, $E$9)</f>
        <v>13.4024</v>
      </c>
      <c r="F438" s="10">
        <f>CHOOSE(CONTROL!$C$42, 13.1504, 13.1504)*CHOOSE(CONTROL!$C$21, $C$9, 100%, $E$9)</f>
        <v>13.150399999999999</v>
      </c>
      <c r="G438" s="10">
        <f>CHOOSE(CONTROL!$C$42, 13.1666, 13.1666)*CHOOSE(CONTROL!$C$21, $C$9, 100%, $E$9)</f>
        <v>13.166600000000001</v>
      </c>
      <c r="H438" s="10">
        <f>CHOOSE(CONTROL!$C$42, 13.3907, 13.3907) * CHOOSE(CONTROL!$C$21, $C$9, 100%, $E$9)</f>
        <v>13.390700000000001</v>
      </c>
      <c r="I438" s="10">
        <f>CHOOSE(CONTROL!$C$42, 13.1849, 13.1849)* CHOOSE(CONTROL!$C$21, $C$9, 100%, $E$9)</f>
        <v>13.184900000000001</v>
      </c>
      <c r="J438" s="10">
        <f>CHOOSE(CONTROL!$C$42, 13.143, 13.143)* CHOOSE(CONTROL!$C$21, $C$9, 100%, $E$9)</f>
        <v>13.143000000000001</v>
      </c>
      <c r="K438" s="10">
        <f>CHOOSE(CONTROL!$C$42, 12.9329, 12.9329) * CHOOSE(CONTROL!$C$21, $C$9, 100%, $E$9)</f>
        <v>12.9329</v>
      </c>
      <c r="L438" s="10">
        <f>CHOOSE(CONTROL!$C$42, 13.9777, 13.9777) * CHOOSE(CONTROL!$C$21, $C$9, 100%, $E$9)</f>
        <v>13.9777</v>
      </c>
      <c r="M438" s="10">
        <f>CHOOSE(CONTROL!$C$42, 12.9927, 12.9927) * CHOOSE(CONTROL!$C$21, $C$9, 100%, $E$9)</f>
        <v>12.992699999999999</v>
      </c>
      <c r="N438" s="10">
        <f>CHOOSE(CONTROL!$C$42, 13.0086, 13.0086) * CHOOSE(CONTROL!$C$21, $C$9, 100%, $E$9)</f>
        <v>13.008599999999999</v>
      </c>
      <c r="O438" s="10">
        <f>CHOOSE(CONTROL!$C$42, 13.2369, 13.2369) * CHOOSE(CONTROL!$C$21, $C$9, 100%, $E$9)</f>
        <v>13.2369</v>
      </c>
      <c r="P438" s="10">
        <f>CHOOSE(CONTROL!$C$42, 13.034, 13.034) * CHOOSE(CONTROL!$C$21, $C$9, 100%, $E$9)</f>
        <v>13.034000000000001</v>
      </c>
      <c r="Q438" s="10">
        <f>CHOOSE(CONTROL!$C$42, 13.8322, 13.8322) * CHOOSE(CONTROL!$C$21, $C$9, 100%, $E$9)</f>
        <v>13.8322</v>
      </c>
      <c r="R438" s="10">
        <f>CHOOSE(CONTROL!$C$42, 14.4538, 14.4538) * CHOOSE(CONTROL!$C$21, $C$9, 100%, $E$9)</f>
        <v>14.453799999999999</v>
      </c>
      <c r="S438" s="10">
        <f>CHOOSE(CONTROL!$C$42, 12.802, 12.802) * CHOOSE(CONTROL!$C$21, $C$9, 100%, $E$9)</f>
        <v>12.802</v>
      </c>
      <c r="T43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38" s="38">
        <f>(1000*CHOOSE(CONTROL!$C$42, 695, 695)*CHOOSE(CONTROL!$C$42, 0.5599, 0.5599)*CHOOSE(CONTROL!$C$42, 30, 30))/1000000</f>
        <v>11.673914999999997</v>
      </c>
      <c r="V438" s="38">
        <f>(1000*CHOOSE(CONTROL!$C$42, 500, 500)*CHOOSE(CONTROL!$C$42, 0.275, 0.275)*CHOOSE(CONTROL!$C$42, 30, 30))/1000000</f>
        <v>4.125</v>
      </c>
      <c r="W438" s="38">
        <f>(1000*CHOOSE(CONTROL!$C$42, 0.1146, 0.1146)*CHOOSE(CONTROL!$C$42, 121.5, 121.5)*CHOOSE(CONTROL!$C$42, 30, 30))/1000000</f>
        <v>0.417717</v>
      </c>
      <c r="X438" s="38">
        <f>(30*0.1790888*245000/1000000)+(30*0.2374*100000/1000000)</f>
        <v>2.0285026799999999</v>
      </c>
      <c r="Y438" s="38">
        <f>(1000*600*CHOOSE(CONTROL!$C$42, 1.0826, 1.0826)*CHOOSE(CONTROL!$C$42, 30, 30))/1000000</f>
        <v>19.486799999999999</v>
      </c>
      <c r="Z438" s="38"/>
      <c r="AA438" s="10"/>
      <c r="AB438" s="39"/>
      <c r="AC438" s="33">
        <f>(B438*194.205+C438*267.466+D438*133.845+E438*53.484+F438*40+G438*185+H438*0+I438*100+J438*300)/(194.205+267.466+133.845+53.484+0+40+185+100+300)</f>
        <v>13.209347694034539</v>
      </c>
      <c r="AD438" s="27">
        <f>(M438*'RAP TEMPLATE-GAS AVAILABILITY'!O437+N438*'RAP TEMPLATE-GAS AVAILABILITY'!P437+O438*'RAP TEMPLATE-GAS AVAILABILITY'!Q437+P438*'RAP TEMPLATE-GAS AVAILABILITY'!R437)/('RAP TEMPLATE-GAS AVAILABILITY'!O437+'RAP TEMPLATE-GAS AVAILABILITY'!P437+'RAP TEMPLATE-GAS AVAILABILITY'!Q437+'RAP TEMPLATE-GAS AVAILABILITY'!R437)</f>
        <v>13.070819424460431</v>
      </c>
    </row>
    <row r="439" spans="1:30" ht="15.75">
      <c r="A439" s="14">
        <v>54635</v>
      </c>
      <c r="B439" s="10">
        <f>CHOOSE(CONTROL!$C$42, 12.9525, 12.9525) * CHOOSE(CONTROL!$C$21, $C$9, 100%, $E$9)</f>
        <v>12.952500000000001</v>
      </c>
      <c r="C439" s="10">
        <f>CHOOSE(CONTROL!$C$42, 12.9605, 12.9605) * CHOOSE(CONTROL!$C$21, $C$9, 100%, $E$9)</f>
        <v>12.9605</v>
      </c>
      <c r="D439" s="10">
        <f>CHOOSE(CONTROL!$C$42, 13.1175, 13.1175) * CHOOSE(CONTROL!$C$21, $C$9, 100%, $E$9)</f>
        <v>13.1175</v>
      </c>
      <c r="E439" s="10">
        <f>CHOOSE(CONTROL!$C$42, 13.1487, 13.1487) * CHOOSE(CONTROL!$C$21, $C$9, 100%, $E$9)</f>
        <v>13.1487</v>
      </c>
      <c r="F439" s="10">
        <f>CHOOSE(CONTROL!$C$42, 12.8971, 12.8971)*CHOOSE(CONTROL!$C$21, $C$9, 100%, $E$9)</f>
        <v>12.8971</v>
      </c>
      <c r="G439" s="10">
        <f>CHOOSE(CONTROL!$C$42, 12.9134, 12.9134)*CHOOSE(CONTROL!$C$21, $C$9, 100%, $E$9)</f>
        <v>12.913399999999999</v>
      </c>
      <c r="H439" s="10">
        <f>CHOOSE(CONTROL!$C$42, 13.1371, 13.1371) * CHOOSE(CONTROL!$C$21, $C$9, 100%, $E$9)</f>
        <v>13.1371</v>
      </c>
      <c r="I439" s="10">
        <f>CHOOSE(CONTROL!$C$42, 12.9312, 12.9312)* CHOOSE(CONTROL!$C$21, $C$9, 100%, $E$9)</f>
        <v>12.9312</v>
      </c>
      <c r="J439" s="10">
        <f>CHOOSE(CONTROL!$C$42, 12.8897, 12.8897)* CHOOSE(CONTROL!$C$21, $C$9, 100%, $E$9)</f>
        <v>12.889699999999999</v>
      </c>
      <c r="K439" s="10">
        <f>CHOOSE(CONTROL!$C$42, 12.6879, 12.6879) * CHOOSE(CONTROL!$C$21, $C$9, 100%, $E$9)</f>
        <v>12.687900000000001</v>
      </c>
      <c r="L439" s="10">
        <f>CHOOSE(CONTROL!$C$42, 13.7241, 13.7241) * CHOOSE(CONTROL!$C$21, $C$9, 100%, $E$9)</f>
        <v>13.7241</v>
      </c>
      <c r="M439" s="10">
        <f>CHOOSE(CONTROL!$C$42, 12.7429, 12.7429) * CHOOSE(CONTROL!$C$21, $C$9, 100%, $E$9)</f>
        <v>12.742900000000001</v>
      </c>
      <c r="N439" s="10">
        <f>CHOOSE(CONTROL!$C$42, 12.7589, 12.7589) * CHOOSE(CONTROL!$C$21, $C$9, 100%, $E$9)</f>
        <v>12.758900000000001</v>
      </c>
      <c r="O439" s="10">
        <f>CHOOSE(CONTROL!$C$42, 12.9868, 12.9868) * CHOOSE(CONTROL!$C$21, $C$9, 100%, $E$9)</f>
        <v>12.986800000000001</v>
      </c>
      <c r="P439" s="10">
        <f>CHOOSE(CONTROL!$C$42, 12.7839, 12.7839) * CHOOSE(CONTROL!$C$21, $C$9, 100%, $E$9)</f>
        <v>12.783899999999999</v>
      </c>
      <c r="Q439" s="10">
        <f>CHOOSE(CONTROL!$C$42, 13.5821, 13.5821) * CHOOSE(CONTROL!$C$21, $C$9, 100%, $E$9)</f>
        <v>13.582100000000001</v>
      </c>
      <c r="R439" s="10">
        <f>CHOOSE(CONTROL!$C$42, 14.2031, 14.2031) * CHOOSE(CONTROL!$C$21, $C$9, 100%, $E$9)</f>
        <v>14.203099999999999</v>
      </c>
      <c r="S439" s="10">
        <f>CHOOSE(CONTROL!$C$42, 12.5565, 12.5565) * CHOOSE(CONTROL!$C$21, $C$9, 100%, $E$9)</f>
        <v>12.5565</v>
      </c>
      <c r="T43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39" s="38">
        <f>(1000*CHOOSE(CONTROL!$C$42, 695, 695)*CHOOSE(CONTROL!$C$42, 0.5599, 0.5599)*CHOOSE(CONTROL!$C$42, 31, 31))/1000000</f>
        <v>12.063045499999998</v>
      </c>
      <c r="V439" s="38">
        <f>(1000*CHOOSE(CONTROL!$C$42, 500, 500)*CHOOSE(CONTROL!$C$42, 0.275, 0.275)*CHOOSE(CONTROL!$C$42, 31, 31))/1000000</f>
        <v>4.2625000000000002</v>
      </c>
      <c r="W439" s="38">
        <f>(1000*CHOOSE(CONTROL!$C$42, 0.1146, 0.1146)*CHOOSE(CONTROL!$C$42, 121.5, 121.5)*CHOOSE(CONTROL!$C$42, 31, 31))/1000000</f>
        <v>0.43164089999999994</v>
      </c>
      <c r="X439" s="38">
        <f>(31*0.1790888*245000/1000000)+(31*0.2374*100000/1000000)</f>
        <v>2.0961194359999999</v>
      </c>
      <c r="Y439" s="38">
        <f>(1000*600*CHOOSE(CONTROL!$C$42, 1.0826, 1.0826)*CHOOSE(CONTROL!$C$42, 31, 31))/1000000</f>
        <v>20.13636</v>
      </c>
      <c r="Z439" s="38"/>
      <c r="AA439" s="10"/>
      <c r="AB439" s="39"/>
      <c r="AC439" s="33">
        <f>(B439*194.205+C439*267.466+D439*133.845+E439*53.484+F439*40+G439*185+H439*0+I439*100+J439*300)/(194.205+267.466+133.845+53.484+0+40+185+100+300)</f>
        <v>12.955873794191524</v>
      </c>
      <c r="AD439" s="27">
        <f>(M439*'RAP TEMPLATE-GAS AVAILABILITY'!O438+N439*'RAP TEMPLATE-GAS AVAILABILITY'!P438+O439*'RAP TEMPLATE-GAS AVAILABILITY'!Q438+P439*'RAP TEMPLATE-GAS AVAILABILITY'!R438)/('RAP TEMPLATE-GAS AVAILABILITY'!O438+'RAP TEMPLATE-GAS AVAILABILITY'!P438+'RAP TEMPLATE-GAS AVAILABILITY'!Q438+'RAP TEMPLATE-GAS AVAILABILITY'!R438)</f>
        <v>12.820915107913669</v>
      </c>
    </row>
    <row r="440" spans="1:30" ht="15.75">
      <c r="A440" s="14">
        <v>54666</v>
      </c>
      <c r="B440" s="10">
        <f>CHOOSE(CONTROL!$C$42, 12.312, 12.312) * CHOOSE(CONTROL!$C$21, $C$9, 100%, $E$9)</f>
        <v>12.311999999999999</v>
      </c>
      <c r="C440" s="10">
        <f>CHOOSE(CONTROL!$C$42, 12.32, 12.32) * CHOOSE(CONTROL!$C$21, $C$9, 100%, $E$9)</f>
        <v>12.32</v>
      </c>
      <c r="D440" s="10">
        <f>CHOOSE(CONTROL!$C$42, 12.477, 12.477) * CHOOSE(CONTROL!$C$21, $C$9, 100%, $E$9)</f>
        <v>12.477</v>
      </c>
      <c r="E440" s="10">
        <f>CHOOSE(CONTROL!$C$42, 12.5083, 12.5083) * CHOOSE(CONTROL!$C$21, $C$9, 100%, $E$9)</f>
        <v>12.5083</v>
      </c>
      <c r="F440" s="10">
        <f>CHOOSE(CONTROL!$C$42, 12.2566, 12.2566)*CHOOSE(CONTROL!$C$21, $C$9, 100%, $E$9)</f>
        <v>12.256600000000001</v>
      </c>
      <c r="G440" s="10">
        <f>CHOOSE(CONTROL!$C$42, 12.2728, 12.2728)*CHOOSE(CONTROL!$C$21, $C$9, 100%, $E$9)</f>
        <v>12.2728</v>
      </c>
      <c r="H440" s="10">
        <f>CHOOSE(CONTROL!$C$42, 12.4966, 12.4966) * CHOOSE(CONTROL!$C$21, $C$9, 100%, $E$9)</f>
        <v>12.496600000000001</v>
      </c>
      <c r="I440" s="10">
        <f>CHOOSE(CONTROL!$C$42, 12.2908, 12.2908)* CHOOSE(CONTROL!$C$21, $C$9, 100%, $E$9)</f>
        <v>12.290800000000001</v>
      </c>
      <c r="J440" s="10">
        <f>CHOOSE(CONTROL!$C$42, 12.2492, 12.2492)* CHOOSE(CONTROL!$C$21, $C$9, 100%, $E$9)</f>
        <v>12.2492</v>
      </c>
      <c r="K440" s="10">
        <f>CHOOSE(CONTROL!$C$42, 12.0673, 12.0673) * CHOOSE(CONTROL!$C$21, $C$9, 100%, $E$9)</f>
        <v>12.067299999999999</v>
      </c>
      <c r="L440" s="10">
        <f>CHOOSE(CONTROL!$C$42, 13.0836, 13.0836) * CHOOSE(CONTROL!$C$21, $C$9, 100%, $E$9)</f>
        <v>13.083600000000001</v>
      </c>
      <c r="M440" s="10">
        <f>CHOOSE(CONTROL!$C$42, 12.1113, 12.1113) * CHOOSE(CONTROL!$C$21, $C$9, 100%, $E$9)</f>
        <v>12.1113</v>
      </c>
      <c r="N440" s="10">
        <f>CHOOSE(CONTROL!$C$42, 12.1273, 12.1273) * CHOOSE(CONTROL!$C$21, $C$9, 100%, $E$9)</f>
        <v>12.1273</v>
      </c>
      <c r="O440" s="10">
        <f>CHOOSE(CONTROL!$C$42, 12.3553, 12.3553) * CHOOSE(CONTROL!$C$21, $C$9, 100%, $E$9)</f>
        <v>12.3553</v>
      </c>
      <c r="P440" s="10">
        <f>CHOOSE(CONTROL!$C$42, 12.1524, 12.1524) * CHOOSE(CONTROL!$C$21, $C$9, 100%, $E$9)</f>
        <v>12.1524</v>
      </c>
      <c r="Q440" s="10">
        <f>CHOOSE(CONTROL!$C$42, 12.9506, 12.9506) * CHOOSE(CONTROL!$C$21, $C$9, 100%, $E$9)</f>
        <v>12.9506</v>
      </c>
      <c r="R440" s="10">
        <f>CHOOSE(CONTROL!$C$42, 13.57, 13.57) * CHOOSE(CONTROL!$C$21, $C$9, 100%, $E$9)</f>
        <v>13.57</v>
      </c>
      <c r="S440" s="10">
        <f>CHOOSE(CONTROL!$C$42, 11.9363, 11.9363) * CHOOSE(CONTROL!$C$21, $C$9, 100%, $E$9)</f>
        <v>11.936299999999999</v>
      </c>
      <c r="T44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40" s="38">
        <f>(1000*CHOOSE(CONTROL!$C$42, 695, 695)*CHOOSE(CONTROL!$C$42, 0.5599, 0.5599)*CHOOSE(CONTROL!$C$42, 31, 31))/1000000</f>
        <v>12.063045499999998</v>
      </c>
      <c r="V440" s="38">
        <f>(1000*CHOOSE(CONTROL!$C$42, 500, 500)*CHOOSE(CONTROL!$C$42, 0.275, 0.275)*CHOOSE(CONTROL!$C$42, 31, 31))/1000000</f>
        <v>4.2625000000000002</v>
      </c>
      <c r="W440" s="38">
        <f>(1000*CHOOSE(CONTROL!$C$42, 0.1146, 0.1146)*CHOOSE(CONTROL!$C$42, 121.5, 121.5)*CHOOSE(CONTROL!$C$42, 31, 31))/1000000</f>
        <v>0.43164089999999994</v>
      </c>
      <c r="X440" s="38">
        <f>(31*0.1790888*245000/1000000)+(31*0.2374*100000/1000000)</f>
        <v>2.0961194359999999</v>
      </c>
      <c r="Y440" s="38">
        <f>(1000*600*CHOOSE(CONTROL!$C$42, 1.0826, 1.0826)*CHOOSE(CONTROL!$C$42, 31, 31))/1000000</f>
        <v>20.13636</v>
      </c>
      <c r="Z440" s="38"/>
      <c r="AA440" s="10"/>
      <c r="AB440" s="39"/>
      <c r="AC440" s="33">
        <f>(B440*194.205+C440*267.466+D440*133.845+E440*53.484+F440*40+G440*185+H440*0+I440*100+J440*300)/(194.205+267.466+133.845+53.484+0+40+185+100+300)</f>
        <v>12.315371320408163</v>
      </c>
      <c r="AD440" s="27">
        <f>(M440*'RAP TEMPLATE-GAS AVAILABILITY'!O439+N440*'RAP TEMPLATE-GAS AVAILABILITY'!P439+O440*'RAP TEMPLATE-GAS AVAILABILITY'!Q439+P440*'RAP TEMPLATE-GAS AVAILABILITY'!R439)/('RAP TEMPLATE-GAS AVAILABILITY'!O439+'RAP TEMPLATE-GAS AVAILABILITY'!P439+'RAP TEMPLATE-GAS AVAILABILITY'!Q439+'RAP TEMPLATE-GAS AVAILABILITY'!R439)</f>
        <v>12.189357553956834</v>
      </c>
    </row>
    <row r="441" spans="1:30" ht="15.75">
      <c r="A441" s="14">
        <v>54696</v>
      </c>
      <c r="B441" s="10">
        <f>CHOOSE(CONTROL!$C$42, 11.5295, 11.5295) * CHOOSE(CONTROL!$C$21, $C$9, 100%, $E$9)</f>
        <v>11.529500000000001</v>
      </c>
      <c r="C441" s="10">
        <f>CHOOSE(CONTROL!$C$42, 11.5375, 11.5375) * CHOOSE(CONTROL!$C$21, $C$9, 100%, $E$9)</f>
        <v>11.5375</v>
      </c>
      <c r="D441" s="10">
        <f>CHOOSE(CONTROL!$C$42, 11.6945, 11.6945) * CHOOSE(CONTROL!$C$21, $C$9, 100%, $E$9)</f>
        <v>11.6945</v>
      </c>
      <c r="E441" s="10">
        <f>CHOOSE(CONTROL!$C$42, 11.7257, 11.7257) * CHOOSE(CONTROL!$C$21, $C$9, 100%, $E$9)</f>
        <v>11.7257</v>
      </c>
      <c r="F441" s="10">
        <f>CHOOSE(CONTROL!$C$42, 11.4738, 11.4738)*CHOOSE(CONTROL!$C$21, $C$9, 100%, $E$9)</f>
        <v>11.473800000000001</v>
      </c>
      <c r="G441" s="10">
        <f>CHOOSE(CONTROL!$C$42, 11.49, 11.49)*CHOOSE(CONTROL!$C$21, $C$9, 100%, $E$9)</f>
        <v>11.49</v>
      </c>
      <c r="H441" s="10">
        <f>CHOOSE(CONTROL!$C$42, 11.7141, 11.7141) * CHOOSE(CONTROL!$C$21, $C$9, 100%, $E$9)</f>
        <v>11.7141</v>
      </c>
      <c r="I441" s="10">
        <f>CHOOSE(CONTROL!$C$42, 11.5083, 11.5083)* CHOOSE(CONTROL!$C$21, $C$9, 100%, $E$9)</f>
        <v>11.5083</v>
      </c>
      <c r="J441" s="10">
        <f>CHOOSE(CONTROL!$C$42, 11.4664, 11.4664)* CHOOSE(CONTROL!$C$21, $C$9, 100%, $E$9)</f>
        <v>11.4664</v>
      </c>
      <c r="K441" s="10">
        <f>CHOOSE(CONTROL!$C$42, 11.3087, 11.3087) * CHOOSE(CONTROL!$C$21, $C$9, 100%, $E$9)</f>
        <v>11.3087</v>
      </c>
      <c r="L441" s="10">
        <f>CHOOSE(CONTROL!$C$42, 12.3011, 12.3011) * CHOOSE(CONTROL!$C$21, $C$9, 100%, $E$9)</f>
        <v>12.3011</v>
      </c>
      <c r="M441" s="10">
        <f>CHOOSE(CONTROL!$C$42, 11.3395, 11.3395) * CHOOSE(CONTROL!$C$21, $C$9, 100%, $E$9)</f>
        <v>11.339499999999999</v>
      </c>
      <c r="N441" s="10">
        <f>CHOOSE(CONTROL!$C$42, 11.3555, 11.3555) * CHOOSE(CONTROL!$C$21, $C$9, 100%, $E$9)</f>
        <v>11.355499999999999</v>
      </c>
      <c r="O441" s="10">
        <f>CHOOSE(CONTROL!$C$42, 11.5837, 11.5837) * CHOOSE(CONTROL!$C$21, $C$9, 100%, $E$9)</f>
        <v>11.5837</v>
      </c>
      <c r="P441" s="10">
        <f>CHOOSE(CONTROL!$C$42, 11.3808, 11.3808) * CHOOSE(CONTROL!$C$21, $C$9, 100%, $E$9)</f>
        <v>11.380800000000001</v>
      </c>
      <c r="Q441" s="10">
        <f>CHOOSE(CONTROL!$C$42, 12.179, 12.179) * CHOOSE(CONTROL!$C$21, $C$9, 100%, $E$9)</f>
        <v>12.179</v>
      </c>
      <c r="R441" s="10">
        <f>CHOOSE(CONTROL!$C$42, 12.7964, 12.7964) * CHOOSE(CONTROL!$C$21, $C$9, 100%, $E$9)</f>
        <v>12.7964</v>
      </c>
      <c r="S441" s="10">
        <f>CHOOSE(CONTROL!$C$42, 11.1786, 11.1786) * CHOOSE(CONTROL!$C$21, $C$9, 100%, $E$9)</f>
        <v>11.178599999999999</v>
      </c>
      <c r="T44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41" s="38">
        <f>(1000*CHOOSE(CONTROL!$C$42, 695, 695)*CHOOSE(CONTROL!$C$42, 0.5599, 0.5599)*CHOOSE(CONTROL!$C$42, 30, 30))/1000000</f>
        <v>11.673914999999997</v>
      </c>
      <c r="V441" s="38">
        <f>(1000*CHOOSE(CONTROL!$C$42, 500, 500)*CHOOSE(CONTROL!$C$42, 0.275, 0.275)*CHOOSE(CONTROL!$C$42, 30, 30))/1000000</f>
        <v>4.125</v>
      </c>
      <c r="W441" s="38">
        <f>(1000*CHOOSE(CONTROL!$C$42, 0.1146, 0.1146)*CHOOSE(CONTROL!$C$42, 121.5, 121.5)*CHOOSE(CONTROL!$C$42, 30, 30))/1000000</f>
        <v>0.417717</v>
      </c>
      <c r="X441" s="38">
        <f>(30*0.1790888*245000/1000000)+(30*0.2374*100000/1000000)</f>
        <v>2.0285026799999999</v>
      </c>
      <c r="Y441" s="38">
        <f>(1000*600*CHOOSE(CONTROL!$C$42, 1.0826, 1.0826)*CHOOSE(CONTROL!$C$42, 30, 30))/1000000</f>
        <v>19.486799999999999</v>
      </c>
      <c r="Z441" s="38"/>
      <c r="AA441" s="10"/>
      <c r="AB441" s="39"/>
      <c r="AC441" s="33">
        <f>(B441*194.205+C441*267.466+D441*133.845+E441*53.484+F441*40+G441*185+H441*0+I441*100+J441*300)/(194.205+267.466+133.845+53.484+0+40+185+100+300)</f>
        <v>11.532743495918368</v>
      </c>
      <c r="AD441" s="27">
        <f>(M441*'RAP TEMPLATE-GAS AVAILABILITY'!O440+N441*'RAP TEMPLATE-GAS AVAILABILITY'!P440+O441*'RAP TEMPLATE-GAS AVAILABILITY'!Q440+P441*'RAP TEMPLATE-GAS AVAILABILITY'!R440)/('RAP TEMPLATE-GAS AVAILABILITY'!O440+'RAP TEMPLATE-GAS AVAILABILITY'!P440+'RAP TEMPLATE-GAS AVAILABILITY'!Q440+'RAP TEMPLATE-GAS AVAILABILITY'!R440)</f>
        <v>11.417642446043164</v>
      </c>
    </row>
    <row r="442" spans="1:30" ht="15.75">
      <c r="A442" s="14">
        <v>54727</v>
      </c>
      <c r="B442" s="10">
        <f>CHOOSE(CONTROL!$C$42, 11.2929, 11.2929) * CHOOSE(CONTROL!$C$21, $C$9, 100%, $E$9)</f>
        <v>11.292899999999999</v>
      </c>
      <c r="C442" s="10">
        <f>CHOOSE(CONTROL!$C$42, 11.2983, 11.2983) * CHOOSE(CONTROL!$C$21, $C$9, 100%, $E$9)</f>
        <v>11.298299999999999</v>
      </c>
      <c r="D442" s="10">
        <f>CHOOSE(CONTROL!$C$42, 11.4602, 11.4602) * CHOOSE(CONTROL!$C$21, $C$9, 100%, $E$9)</f>
        <v>11.4602</v>
      </c>
      <c r="E442" s="10">
        <f>CHOOSE(CONTROL!$C$42, 11.4891, 11.4891) * CHOOSE(CONTROL!$C$21, $C$9, 100%, $E$9)</f>
        <v>11.489100000000001</v>
      </c>
      <c r="F442" s="10">
        <f>CHOOSE(CONTROL!$C$42, 11.2393, 11.2393)*CHOOSE(CONTROL!$C$21, $C$9, 100%, $E$9)</f>
        <v>11.2393</v>
      </c>
      <c r="G442" s="10">
        <f>CHOOSE(CONTROL!$C$42, 11.2551, 11.2551)*CHOOSE(CONTROL!$C$21, $C$9, 100%, $E$9)</f>
        <v>11.255100000000001</v>
      </c>
      <c r="H442" s="10">
        <f>CHOOSE(CONTROL!$C$42, 11.4792, 11.4792) * CHOOSE(CONTROL!$C$21, $C$9, 100%, $E$9)</f>
        <v>11.479200000000001</v>
      </c>
      <c r="I442" s="10">
        <f>CHOOSE(CONTROL!$C$42, 11.2734, 11.2734)* CHOOSE(CONTROL!$C$21, $C$9, 100%, $E$9)</f>
        <v>11.273400000000001</v>
      </c>
      <c r="J442" s="10">
        <f>CHOOSE(CONTROL!$C$42, 11.2319, 11.2319)* CHOOSE(CONTROL!$C$21, $C$9, 100%, $E$9)</f>
        <v>11.2319</v>
      </c>
      <c r="K442" s="10">
        <f>CHOOSE(CONTROL!$C$42, 11.0819, 11.0819) * CHOOSE(CONTROL!$C$21, $C$9, 100%, $E$9)</f>
        <v>11.081899999999999</v>
      </c>
      <c r="L442" s="10">
        <f>CHOOSE(CONTROL!$C$42, 12.0662, 12.0662) * CHOOSE(CONTROL!$C$21, $C$9, 100%, $E$9)</f>
        <v>12.0662</v>
      </c>
      <c r="M442" s="10">
        <f>CHOOSE(CONTROL!$C$42, 11.1082, 11.1082) * CHOOSE(CONTROL!$C$21, $C$9, 100%, $E$9)</f>
        <v>11.1082</v>
      </c>
      <c r="N442" s="10">
        <f>CHOOSE(CONTROL!$C$42, 11.1238, 11.1238) * CHOOSE(CONTROL!$C$21, $C$9, 100%, $E$9)</f>
        <v>11.123799999999999</v>
      </c>
      <c r="O442" s="10">
        <f>CHOOSE(CONTROL!$C$42, 11.3521, 11.3521) * CHOOSE(CONTROL!$C$21, $C$9, 100%, $E$9)</f>
        <v>11.3521</v>
      </c>
      <c r="P442" s="10">
        <f>CHOOSE(CONTROL!$C$42, 11.1492, 11.1492) * CHOOSE(CONTROL!$C$21, $C$9, 100%, $E$9)</f>
        <v>11.1492</v>
      </c>
      <c r="Q442" s="10">
        <f>CHOOSE(CONTROL!$C$42, 11.9474, 11.9474) * CHOOSE(CONTROL!$C$21, $C$9, 100%, $E$9)</f>
        <v>11.9474</v>
      </c>
      <c r="R442" s="10">
        <f>CHOOSE(CONTROL!$C$42, 12.5643, 12.5643) * CHOOSE(CONTROL!$C$21, $C$9, 100%, $E$9)</f>
        <v>12.564299999999999</v>
      </c>
      <c r="S442" s="10">
        <f>CHOOSE(CONTROL!$C$42, 10.9512, 10.9512) * CHOOSE(CONTROL!$C$21, $C$9, 100%, $E$9)</f>
        <v>10.9512</v>
      </c>
      <c r="T44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42" s="38">
        <f>(1000*CHOOSE(CONTROL!$C$42, 695, 695)*CHOOSE(CONTROL!$C$42, 0.5599, 0.5599)*CHOOSE(CONTROL!$C$42, 31, 31))/1000000</f>
        <v>12.063045499999998</v>
      </c>
      <c r="V442" s="38">
        <f>(1000*CHOOSE(CONTROL!$C$42, 500, 500)*CHOOSE(CONTROL!$C$42, 0.275, 0.275)*CHOOSE(CONTROL!$C$42, 31, 31))/1000000</f>
        <v>4.2625000000000002</v>
      </c>
      <c r="W442" s="38">
        <f>(1000*CHOOSE(CONTROL!$C$42, 0.1146, 0.1146)*CHOOSE(CONTROL!$C$42, 121.5, 121.5)*CHOOSE(CONTROL!$C$42, 31, 31))/1000000</f>
        <v>0.43164089999999994</v>
      </c>
      <c r="X442" s="38">
        <f>(31*0.1790888*245000/1000000)+(31*0.2374*100000/1000000)</f>
        <v>2.0961194359999999</v>
      </c>
      <c r="Y442" s="38">
        <f>(1000*600*CHOOSE(CONTROL!$C$42, 1.0826, 1.0826)*CHOOSE(CONTROL!$C$42, 31, 31))/1000000</f>
        <v>20.13636</v>
      </c>
      <c r="Z442" s="38"/>
      <c r="AA442" s="10"/>
      <c r="AB442" s="39"/>
      <c r="AC442" s="33">
        <f>(B442*131.881+C442*277.167+D442*79.08+E442*125.872+F442*40+G442*185+H442*0+I442*100+J442*300)/(131.881+277.167+79.08+125.872+0+40+185+100+300)</f>
        <v>11.300999977562551</v>
      </c>
      <c r="AD442" s="27">
        <f>(M442*'RAP TEMPLATE-GAS AVAILABILITY'!O441+N442*'RAP TEMPLATE-GAS AVAILABILITY'!P441+O442*'RAP TEMPLATE-GAS AVAILABILITY'!Q441+P442*'RAP TEMPLATE-GAS AVAILABILITY'!R441)/('RAP TEMPLATE-GAS AVAILABILITY'!O441+'RAP TEMPLATE-GAS AVAILABILITY'!P441+'RAP TEMPLATE-GAS AVAILABILITY'!Q441+'RAP TEMPLATE-GAS AVAILABILITY'!R441)</f>
        <v>11.186123021582734</v>
      </c>
    </row>
    <row r="443" spans="1:30" ht="15.75">
      <c r="A443" s="14">
        <v>54757</v>
      </c>
      <c r="B443" s="10">
        <f>CHOOSE(CONTROL!$C$42, 11.5904, 11.5904) * CHOOSE(CONTROL!$C$21, $C$9, 100%, $E$9)</f>
        <v>11.590400000000001</v>
      </c>
      <c r="C443" s="10">
        <f>CHOOSE(CONTROL!$C$42, 11.5955, 11.5955) * CHOOSE(CONTROL!$C$21, $C$9, 100%, $E$9)</f>
        <v>11.595499999999999</v>
      </c>
      <c r="D443" s="10">
        <f>CHOOSE(CONTROL!$C$42, 11.6202, 11.6202) * CHOOSE(CONTROL!$C$21, $C$9, 100%, $E$9)</f>
        <v>11.620200000000001</v>
      </c>
      <c r="E443" s="10">
        <f>CHOOSE(CONTROL!$C$42, 11.654, 11.654) * CHOOSE(CONTROL!$C$21, $C$9, 100%, $E$9)</f>
        <v>11.654</v>
      </c>
      <c r="F443" s="10">
        <f>CHOOSE(CONTROL!$C$42, 11.5588, 11.5588)*CHOOSE(CONTROL!$C$21, $C$9, 100%, $E$9)</f>
        <v>11.5588</v>
      </c>
      <c r="G443" s="10">
        <f>CHOOSE(CONTROL!$C$42, 11.5748, 11.5748)*CHOOSE(CONTROL!$C$21, $C$9, 100%, $E$9)</f>
        <v>11.5748</v>
      </c>
      <c r="H443" s="10">
        <f>CHOOSE(CONTROL!$C$42, 11.6429, 11.6429) * CHOOSE(CONTROL!$C$21, $C$9, 100%, $E$9)</f>
        <v>11.642899999999999</v>
      </c>
      <c r="I443" s="10">
        <f>CHOOSE(CONTROL!$C$42, 11.6054, 11.6054)* CHOOSE(CONTROL!$C$21, $C$9, 100%, $E$9)</f>
        <v>11.605399999999999</v>
      </c>
      <c r="J443" s="10">
        <f>CHOOSE(CONTROL!$C$42, 11.5514, 11.5514)* CHOOSE(CONTROL!$C$21, $C$9, 100%, $E$9)</f>
        <v>11.551399999999999</v>
      </c>
      <c r="K443" s="10">
        <f>CHOOSE(CONTROL!$C$42, 11.4057, 11.4057) * CHOOSE(CONTROL!$C$21, $C$9, 100%, $E$9)</f>
        <v>11.4057</v>
      </c>
      <c r="L443" s="10">
        <f>CHOOSE(CONTROL!$C$42, 12.2299, 12.2299) * CHOOSE(CONTROL!$C$21, $C$9, 100%, $E$9)</f>
        <v>12.229900000000001</v>
      </c>
      <c r="M443" s="10">
        <f>CHOOSE(CONTROL!$C$42, 11.4232, 11.4232) * CHOOSE(CONTROL!$C$21, $C$9, 100%, $E$9)</f>
        <v>11.4232</v>
      </c>
      <c r="N443" s="10">
        <f>CHOOSE(CONTROL!$C$42, 11.439, 11.439) * CHOOSE(CONTROL!$C$21, $C$9, 100%, $E$9)</f>
        <v>11.439</v>
      </c>
      <c r="O443" s="10">
        <f>CHOOSE(CONTROL!$C$42, 11.5135, 11.5135) * CHOOSE(CONTROL!$C$21, $C$9, 100%, $E$9)</f>
        <v>11.513500000000001</v>
      </c>
      <c r="P443" s="10">
        <f>CHOOSE(CONTROL!$C$42, 11.4766, 11.4766) * CHOOSE(CONTROL!$C$21, $C$9, 100%, $E$9)</f>
        <v>11.476599999999999</v>
      </c>
      <c r="Q443" s="10">
        <f>CHOOSE(CONTROL!$C$42, 12.1088, 12.1088) * CHOOSE(CONTROL!$C$21, $C$9, 100%, $E$9)</f>
        <v>12.1088</v>
      </c>
      <c r="R443" s="10">
        <f>CHOOSE(CONTROL!$C$42, 12.7261, 12.7261) * CHOOSE(CONTROL!$C$21, $C$9, 100%, $E$9)</f>
        <v>12.726100000000001</v>
      </c>
      <c r="S443" s="10">
        <f>CHOOSE(CONTROL!$C$42, 11.2397, 11.2397) * CHOOSE(CONTROL!$C$21, $C$9, 100%, $E$9)</f>
        <v>11.239699999999999</v>
      </c>
      <c r="T44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43" s="38">
        <f>(1000*CHOOSE(CONTROL!$C$42, 695, 695)*CHOOSE(CONTROL!$C$42, 0.5599, 0.5599)*CHOOSE(CONTROL!$C$42, 30, 30))/1000000</f>
        <v>11.673914999999997</v>
      </c>
      <c r="V443" s="38">
        <f>(1000*CHOOSE(CONTROL!$C$42, 500, 500)*CHOOSE(CONTROL!$C$42, 0.275, 0.275)*CHOOSE(CONTROL!$C$42, 30, 30))/1000000</f>
        <v>4.125</v>
      </c>
      <c r="W443" s="38">
        <f>(1000*CHOOSE(CONTROL!$C$42, 0.1146, 0.1146)*CHOOSE(CONTROL!$C$42, 121.5, 121.5)*CHOOSE(CONTROL!$C$42, 30, 30))/1000000</f>
        <v>0.417717</v>
      </c>
      <c r="X443" s="38">
        <f>(30*0.1790888*100000/1000000)+(30*0.2374*100000/1000000)</f>
        <v>1.2494664</v>
      </c>
      <c r="Y443" s="38">
        <f>(1000*600*CHOOSE(CONTROL!$C$42, 1.0826, 1.0826)*CHOOSE(CONTROL!$C$42, 30, 30))/1000000</f>
        <v>19.486799999999999</v>
      </c>
      <c r="Z443" s="38"/>
      <c r="AA443" s="10"/>
      <c r="AB443" s="39"/>
      <c r="AC443" s="33">
        <f>(B443*122.58+C443*297.941+D443*89.177+E443*40.302+F443*40+G443*160+H443*0+I443*100+J443*300)/(122.58+297.941+89.177+40.302+0+40+160+100+300)</f>
        <v>11.584121896434784</v>
      </c>
      <c r="AD443" s="27">
        <f>(M443*'RAP TEMPLATE-GAS AVAILABILITY'!O442+N443*'RAP TEMPLATE-GAS AVAILABILITY'!P442+O443*'RAP TEMPLATE-GAS AVAILABILITY'!Q442+P443*'RAP TEMPLATE-GAS AVAILABILITY'!R442)/('RAP TEMPLATE-GAS AVAILABILITY'!O442+'RAP TEMPLATE-GAS AVAILABILITY'!P442+'RAP TEMPLATE-GAS AVAILABILITY'!Q442+'RAP TEMPLATE-GAS AVAILABILITY'!R442)</f>
        <v>11.47272014388489</v>
      </c>
    </row>
    <row r="444" spans="1:30" ht="15.75">
      <c r="A444" s="14">
        <v>54788</v>
      </c>
      <c r="B444" s="10">
        <f>CHOOSE(CONTROL!$C$42, 12.3818, 12.3818) * CHOOSE(CONTROL!$C$21, $C$9, 100%, $E$9)</f>
        <v>12.3818</v>
      </c>
      <c r="C444" s="10">
        <f>CHOOSE(CONTROL!$C$42, 12.3869, 12.3869) * CHOOSE(CONTROL!$C$21, $C$9, 100%, $E$9)</f>
        <v>12.386900000000001</v>
      </c>
      <c r="D444" s="10">
        <f>CHOOSE(CONTROL!$C$42, 12.4116, 12.4116) * CHOOSE(CONTROL!$C$21, $C$9, 100%, $E$9)</f>
        <v>12.4116</v>
      </c>
      <c r="E444" s="10">
        <f>CHOOSE(CONTROL!$C$42, 12.4454, 12.4454) * CHOOSE(CONTROL!$C$21, $C$9, 100%, $E$9)</f>
        <v>12.445399999999999</v>
      </c>
      <c r="F444" s="10">
        <f>CHOOSE(CONTROL!$C$42, 12.352, 12.352)*CHOOSE(CONTROL!$C$21, $C$9, 100%, $E$9)</f>
        <v>12.352</v>
      </c>
      <c r="G444" s="10">
        <f>CHOOSE(CONTROL!$C$42, 12.3685, 12.3685)*CHOOSE(CONTROL!$C$21, $C$9, 100%, $E$9)</f>
        <v>12.368499999999999</v>
      </c>
      <c r="H444" s="10">
        <f>CHOOSE(CONTROL!$C$42, 12.4342, 12.4342) * CHOOSE(CONTROL!$C$21, $C$9, 100%, $E$9)</f>
        <v>12.434200000000001</v>
      </c>
      <c r="I444" s="10">
        <f>CHOOSE(CONTROL!$C$42, 12.3968, 12.3968)* CHOOSE(CONTROL!$C$21, $C$9, 100%, $E$9)</f>
        <v>12.396800000000001</v>
      </c>
      <c r="J444" s="10">
        <f>CHOOSE(CONTROL!$C$42, 12.3446, 12.3446)* CHOOSE(CONTROL!$C$21, $C$9, 100%, $E$9)</f>
        <v>12.3446</v>
      </c>
      <c r="K444" s="10">
        <f>CHOOSE(CONTROL!$C$42, 12.1765, 12.1765) * CHOOSE(CONTROL!$C$21, $C$9, 100%, $E$9)</f>
        <v>12.176500000000001</v>
      </c>
      <c r="L444" s="10">
        <f>CHOOSE(CONTROL!$C$42, 13.0212, 13.0212) * CHOOSE(CONTROL!$C$21, $C$9, 100%, $E$9)</f>
        <v>13.0212</v>
      </c>
      <c r="M444" s="10">
        <f>CHOOSE(CONTROL!$C$42, 12.2055, 12.2055) * CHOOSE(CONTROL!$C$21, $C$9, 100%, $E$9)</f>
        <v>12.205500000000001</v>
      </c>
      <c r="N444" s="10">
        <f>CHOOSE(CONTROL!$C$42, 12.2217, 12.2217) * CHOOSE(CONTROL!$C$21, $C$9, 100%, $E$9)</f>
        <v>12.2217</v>
      </c>
      <c r="O444" s="10">
        <f>CHOOSE(CONTROL!$C$42, 12.2938, 12.2938) * CHOOSE(CONTROL!$C$21, $C$9, 100%, $E$9)</f>
        <v>12.293799999999999</v>
      </c>
      <c r="P444" s="10">
        <f>CHOOSE(CONTROL!$C$42, 12.2569, 12.2569) * CHOOSE(CONTROL!$C$21, $C$9, 100%, $E$9)</f>
        <v>12.2569</v>
      </c>
      <c r="Q444" s="10">
        <f>CHOOSE(CONTROL!$C$42, 12.8891, 12.8891) * CHOOSE(CONTROL!$C$21, $C$9, 100%, $E$9)</f>
        <v>12.889099999999999</v>
      </c>
      <c r="R444" s="10">
        <f>CHOOSE(CONTROL!$C$42, 13.5083, 13.5083) * CHOOSE(CONTROL!$C$21, $C$9, 100%, $E$9)</f>
        <v>13.5083</v>
      </c>
      <c r="S444" s="10">
        <f>CHOOSE(CONTROL!$C$42, 12.0059, 12.0059) * CHOOSE(CONTROL!$C$21, $C$9, 100%, $E$9)</f>
        <v>12.0059</v>
      </c>
      <c r="T44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44" s="38">
        <f>(1000*CHOOSE(CONTROL!$C$42, 695, 695)*CHOOSE(CONTROL!$C$42, 0.5599, 0.5599)*CHOOSE(CONTROL!$C$42, 31, 31))/1000000</f>
        <v>12.063045499999998</v>
      </c>
      <c r="V444" s="38">
        <f>(1000*CHOOSE(CONTROL!$C$42, 500, 500)*CHOOSE(CONTROL!$C$42, 0.275, 0.275)*CHOOSE(CONTROL!$C$42, 31, 31))/1000000</f>
        <v>4.2625000000000002</v>
      </c>
      <c r="W444" s="38">
        <f>(1000*CHOOSE(CONTROL!$C$42, 0.1146, 0.1146)*CHOOSE(CONTROL!$C$42, 121.5, 121.5)*CHOOSE(CONTROL!$C$42, 31, 31))/1000000</f>
        <v>0.43164089999999994</v>
      </c>
      <c r="X444" s="38">
        <f>(31*0.1790888*100000/1000000)+(31*0.2374*100000/1000000)</f>
        <v>1.2911152800000001</v>
      </c>
      <c r="Y444" s="38">
        <f>(1000*600*CHOOSE(CONTROL!$C$42, 1.0826, 1.0826)*CHOOSE(CONTROL!$C$42, 31, 31))/1000000</f>
        <v>20.13636</v>
      </c>
      <c r="Z444" s="38"/>
      <c r="AA444" s="10"/>
      <c r="AB444" s="39"/>
      <c r="AC444" s="33">
        <f>(B444*122.58+C444*297.941+D444*89.177+E444*40.302+F444*40+G444*160+H444*0+I444*100+J444*300)/(122.58+297.941+89.177+40.302+0+40+160+100+300)</f>
        <v>12.376374070347827</v>
      </c>
      <c r="AD444" s="27">
        <f>(M444*'RAP TEMPLATE-GAS AVAILABILITY'!O443+N444*'RAP TEMPLATE-GAS AVAILABILITY'!P443+O444*'RAP TEMPLATE-GAS AVAILABILITY'!Q443+P444*'RAP TEMPLATE-GAS AVAILABILITY'!R443)/('RAP TEMPLATE-GAS AVAILABILITY'!O443+'RAP TEMPLATE-GAS AVAILABILITY'!P443+'RAP TEMPLATE-GAS AVAILABILITY'!Q443+'RAP TEMPLATE-GAS AVAILABILITY'!R443)</f>
        <v>12.253848920863309</v>
      </c>
    </row>
    <row r="445" spans="1:30" ht="15.75">
      <c r="A445" s="14">
        <v>54819</v>
      </c>
      <c r="B445" s="10">
        <f>CHOOSE(CONTROL!$C$42, 13.2186, 13.2186) * CHOOSE(CONTROL!$C$21, $C$9, 100%, $E$9)</f>
        <v>13.2186</v>
      </c>
      <c r="C445" s="10">
        <f>CHOOSE(CONTROL!$C$42, 13.2237, 13.2237) * CHOOSE(CONTROL!$C$21, $C$9, 100%, $E$9)</f>
        <v>13.223699999999999</v>
      </c>
      <c r="D445" s="10">
        <f>CHOOSE(CONTROL!$C$42, 13.2561, 13.2561) * CHOOSE(CONTROL!$C$21, $C$9, 100%, $E$9)</f>
        <v>13.2561</v>
      </c>
      <c r="E445" s="10">
        <f>CHOOSE(CONTROL!$C$42, 13.2899, 13.2899) * CHOOSE(CONTROL!$C$21, $C$9, 100%, $E$9)</f>
        <v>13.289899999999999</v>
      </c>
      <c r="F445" s="10">
        <f>CHOOSE(CONTROL!$C$42, 13.2028, 13.2028)*CHOOSE(CONTROL!$C$21, $C$9, 100%, $E$9)</f>
        <v>13.2028</v>
      </c>
      <c r="G445" s="10">
        <f>CHOOSE(CONTROL!$C$42, 13.2208, 13.2208)*CHOOSE(CONTROL!$C$21, $C$9, 100%, $E$9)</f>
        <v>13.220800000000001</v>
      </c>
      <c r="H445" s="10">
        <f>CHOOSE(CONTROL!$C$42, 13.2788, 13.2788) * CHOOSE(CONTROL!$C$21, $C$9, 100%, $E$9)</f>
        <v>13.2788</v>
      </c>
      <c r="I445" s="10">
        <f>CHOOSE(CONTROL!$C$42, 13.232, 13.232)* CHOOSE(CONTROL!$C$21, $C$9, 100%, $E$9)</f>
        <v>13.231999999999999</v>
      </c>
      <c r="J445" s="10">
        <f>CHOOSE(CONTROL!$C$42, 13.1954, 13.1954)* CHOOSE(CONTROL!$C$21, $C$9, 100%, $E$9)</f>
        <v>13.195399999999999</v>
      </c>
      <c r="K445" s="10">
        <f>CHOOSE(CONTROL!$C$42, 12.9996, 12.9996) * CHOOSE(CONTROL!$C$21, $C$9, 100%, $E$9)</f>
        <v>12.999599999999999</v>
      </c>
      <c r="L445" s="10">
        <f>CHOOSE(CONTROL!$C$42, 13.8658, 13.8658) * CHOOSE(CONTROL!$C$21, $C$9, 100%, $E$9)</f>
        <v>13.8658</v>
      </c>
      <c r="M445" s="10">
        <f>CHOOSE(CONTROL!$C$42, 13.0443, 13.0443) * CHOOSE(CONTROL!$C$21, $C$9, 100%, $E$9)</f>
        <v>13.0443</v>
      </c>
      <c r="N445" s="10">
        <f>CHOOSE(CONTROL!$C$42, 13.0621, 13.0621) * CHOOSE(CONTROL!$C$21, $C$9, 100%, $E$9)</f>
        <v>13.062099999999999</v>
      </c>
      <c r="O445" s="10">
        <f>CHOOSE(CONTROL!$C$42, 13.1266, 13.1266) * CHOOSE(CONTROL!$C$21, $C$9, 100%, $E$9)</f>
        <v>13.1266</v>
      </c>
      <c r="P445" s="10">
        <f>CHOOSE(CONTROL!$C$42, 13.0805, 13.0805) * CHOOSE(CONTROL!$C$21, $C$9, 100%, $E$9)</f>
        <v>13.080500000000001</v>
      </c>
      <c r="Q445" s="10">
        <f>CHOOSE(CONTROL!$C$42, 13.7219, 13.7219) * CHOOSE(CONTROL!$C$21, $C$9, 100%, $E$9)</f>
        <v>13.7219</v>
      </c>
      <c r="R445" s="10">
        <f>CHOOSE(CONTROL!$C$42, 14.3432, 14.3432) * CHOOSE(CONTROL!$C$21, $C$9, 100%, $E$9)</f>
        <v>14.3432</v>
      </c>
      <c r="S445" s="10">
        <f>CHOOSE(CONTROL!$C$42, 12.8162, 12.8162) * CHOOSE(CONTROL!$C$21, $C$9, 100%, $E$9)</f>
        <v>12.8162</v>
      </c>
      <c r="T44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45" s="38">
        <f>(1000*CHOOSE(CONTROL!$C$42, 695, 695)*CHOOSE(CONTROL!$C$42, 0.5599, 0.5599)*CHOOSE(CONTROL!$C$42, 31, 31))/1000000</f>
        <v>12.063045499999998</v>
      </c>
      <c r="V445" s="38">
        <f>(1000*CHOOSE(CONTROL!$C$42, 500, 500)*CHOOSE(CONTROL!$C$42, 0.275, 0.275)*CHOOSE(CONTROL!$C$42, 31, 31))/1000000</f>
        <v>4.2625000000000002</v>
      </c>
      <c r="W445" s="38">
        <f>(1000*CHOOSE(CONTROL!$C$42, 0.1146, 0.1146)*CHOOSE(CONTROL!$C$42, 121.5, 121.5)*CHOOSE(CONTROL!$C$42, 31, 31))/1000000</f>
        <v>0.43164089999999994</v>
      </c>
      <c r="X445" s="38">
        <f>(31*0.1790888*100000/1000000)+(31*0.2374*100000/1000000)</f>
        <v>1.2911152800000001</v>
      </c>
      <c r="Y445" s="38">
        <f>(1000*600*CHOOSE(CONTROL!$C$42, 1.0791, 1.0791)*CHOOSE(CONTROL!$C$42, 31, 31))/1000000</f>
        <v>20.071259999999999</v>
      </c>
      <c r="Z445" s="38"/>
      <c r="AA445" s="10"/>
      <c r="AB445" s="39"/>
      <c r="AC445" s="33">
        <f>(B445*122.58+C445*297.941+D445*89.177+E445*40.302+F445*40+G445*160+H445*0+I445*100+J445*300)/(122.58+297.941+89.177+40.302+0+40+160+100+300)</f>
        <v>13.220197538434782</v>
      </c>
      <c r="AD445" s="27">
        <f>(M445*'RAP TEMPLATE-GAS AVAILABILITY'!O444+N445*'RAP TEMPLATE-GAS AVAILABILITY'!P444+O445*'RAP TEMPLATE-GAS AVAILABILITY'!Q444+P445*'RAP TEMPLATE-GAS AVAILABILITY'!R444)/('RAP TEMPLATE-GAS AVAILABILITY'!O444+'RAP TEMPLATE-GAS AVAILABILITY'!P444+'RAP TEMPLATE-GAS AVAILABILITY'!Q444+'RAP TEMPLATE-GAS AVAILABILITY'!R444)</f>
        <v>13.087834532374101</v>
      </c>
    </row>
    <row r="446" spans="1:30" ht="15.75">
      <c r="A446" s="14">
        <v>54847</v>
      </c>
      <c r="B446" s="10">
        <f>CHOOSE(CONTROL!$C$42, 13.4542, 13.4542) * CHOOSE(CONTROL!$C$21, $C$9, 100%, $E$9)</f>
        <v>13.4542</v>
      </c>
      <c r="C446" s="10">
        <f>CHOOSE(CONTROL!$C$42, 13.4593, 13.4593) * CHOOSE(CONTROL!$C$21, $C$9, 100%, $E$9)</f>
        <v>13.459300000000001</v>
      </c>
      <c r="D446" s="10">
        <f>CHOOSE(CONTROL!$C$42, 13.4917, 13.4917) * CHOOSE(CONTROL!$C$21, $C$9, 100%, $E$9)</f>
        <v>13.4917</v>
      </c>
      <c r="E446" s="10">
        <f>CHOOSE(CONTROL!$C$42, 13.5255, 13.5255) * CHOOSE(CONTROL!$C$21, $C$9, 100%, $E$9)</f>
        <v>13.525499999999999</v>
      </c>
      <c r="F446" s="10">
        <f>CHOOSE(CONTROL!$C$42, 13.4379, 13.4379)*CHOOSE(CONTROL!$C$21, $C$9, 100%, $E$9)</f>
        <v>13.437900000000001</v>
      </c>
      <c r="G446" s="10">
        <f>CHOOSE(CONTROL!$C$42, 13.4558, 13.4558)*CHOOSE(CONTROL!$C$21, $C$9, 100%, $E$9)</f>
        <v>13.4558</v>
      </c>
      <c r="H446" s="10">
        <f>CHOOSE(CONTROL!$C$42, 13.5144, 13.5144) * CHOOSE(CONTROL!$C$21, $C$9, 100%, $E$9)</f>
        <v>13.5144</v>
      </c>
      <c r="I446" s="10">
        <f>CHOOSE(CONTROL!$C$42, 13.4676, 13.4676)* CHOOSE(CONTROL!$C$21, $C$9, 100%, $E$9)</f>
        <v>13.467599999999999</v>
      </c>
      <c r="J446" s="10">
        <f>CHOOSE(CONTROL!$C$42, 13.4305, 13.4305)* CHOOSE(CONTROL!$C$21, $C$9, 100%, $E$9)</f>
        <v>13.4305</v>
      </c>
      <c r="K446" s="10">
        <f>CHOOSE(CONTROL!$C$42, 13.2269, 13.2269) * CHOOSE(CONTROL!$C$21, $C$9, 100%, $E$9)</f>
        <v>13.226900000000001</v>
      </c>
      <c r="L446" s="10">
        <f>CHOOSE(CONTROL!$C$42, 14.1014, 14.1014) * CHOOSE(CONTROL!$C$21, $C$9, 100%, $E$9)</f>
        <v>14.1014</v>
      </c>
      <c r="M446" s="10">
        <f>CHOOSE(CONTROL!$C$42, 13.2762, 13.2762) * CHOOSE(CONTROL!$C$21, $C$9, 100%, $E$9)</f>
        <v>13.276199999999999</v>
      </c>
      <c r="N446" s="10">
        <f>CHOOSE(CONTROL!$C$42, 13.2938, 13.2938) * CHOOSE(CONTROL!$C$21, $C$9, 100%, $E$9)</f>
        <v>13.293799999999999</v>
      </c>
      <c r="O446" s="10">
        <f>CHOOSE(CONTROL!$C$42, 13.3589, 13.3589) * CHOOSE(CONTROL!$C$21, $C$9, 100%, $E$9)</f>
        <v>13.3589</v>
      </c>
      <c r="P446" s="10">
        <f>CHOOSE(CONTROL!$C$42, 13.3128, 13.3128) * CHOOSE(CONTROL!$C$21, $C$9, 100%, $E$9)</f>
        <v>13.312799999999999</v>
      </c>
      <c r="Q446" s="10">
        <f>CHOOSE(CONTROL!$C$42, 13.9542, 13.9542) * CHOOSE(CONTROL!$C$21, $C$9, 100%, $E$9)</f>
        <v>13.9542</v>
      </c>
      <c r="R446" s="10">
        <f>CHOOSE(CONTROL!$C$42, 14.5761, 14.5761) * CHOOSE(CONTROL!$C$21, $C$9, 100%, $E$9)</f>
        <v>14.5761</v>
      </c>
      <c r="S446" s="10">
        <f>CHOOSE(CONTROL!$C$42, 13.0443, 13.0443) * CHOOSE(CONTROL!$C$21, $C$9, 100%, $E$9)</f>
        <v>13.0443</v>
      </c>
      <c r="T44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46" s="38">
        <f>(1000*CHOOSE(CONTROL!$C$42, 695, 695)*CHOOSE(CONTROL!$C$42, 0.5599, 0.5599)*CHOOSE(CONTROL!$C$42, 28, 28))/1000000</f>
        <v>10.895653999999999</v>
      </c>
      <c r="V446" s="38">
        <f>(1000*CHOOSE(CONTROL!$C$42, 500, 500)*CHOOSE(CONTROL!$C$42, 0.275, 0.275)*CHOOSE(CONTROL!$C$42, 28, 28))/1000000</f>
        <v>3.85</v>
      </c>
      <c r="W446" s="38">
        <f>(1000*CHOOSE(CONTROL!$C$42, 0.1146, 0.1146)*CHOOSE(CONTROL!$C$42, 121.5, 121.5)*CHOOSE(CONTROL!$C$42, 28, 28))/1000000</f>
        <v>0.38986920000000003</v>
      </c>
      <c r="X446" s="38">
        <f>(28*0.1790888*100000/1000000)+(28*0.2374*100000/1000000)</f>
        <v>1.16616864</v>
      </c>
      <c r="Y446" s="38">
        <f>(1000*600*CHOOSE(CONTROL!$C$42, 1.0791, 1.0791)*CHOOSE(CONTROL!$C$42, 28, 28))/1000000</f>
        <v>18.128879999999999</v>
      </c>
      <c r="Z446" s="38"/>
      <c r="AA446" s="10"/>
      <c r="AB446" s="39"/>
      <c r="AC446" s="33">
        <f>(B446*122.58+C446*297.941+D446*89.177+E446*40.302+F446*40+G446*160+H446*0+I446*100+J446*300)/(122.58+297.941+89.177+40.302+0+40+160+100+300)</f>
        <v>13.455566234086957</v>
      </c>
      <c r="AD446" s="27">
        <f>(M446*'RAP TEMPLATE-GAS AVAILABILITY'!O445+N446*'RAP TEMPLATE-GAS AVAILABILITY'!P445+O446*'RAP TEMPLATE-GAS AVAILABILITY'!Q445+P446*'RAP TEMPLATE-GAS AVAILABILITY'!R445)/('RAP TEMPLATE-GAS AVAILABILITY'!O445+'RAP TEMPLATE-GAS AVAILABILITY'!P445+'RAP TEMPLATE-GAS AVAILABILITY'!Q445+'RAP TEMPLATE-GAS AVAILABILITY'!R445)</f>
        <v>13.319961870503597</v>
      </c>
    </row>
    <row r="447" spans="1:30" ht="15.75">
      <c r="A447" s="14">
        <v>54878</v>
      </c>
      <c r="B447" s="10">
        <f>CHOOSE(CONTROL!$C$42, 13.0717, 13.0717) * CHOOSE(CONTROL!$C$21, $C$9, 100%, $E$9)</f>
        <v>13.0717</v>
      </c>
      <c r="C447" s="10">
        <f>CHOOSE(CONTROL!$C$42, 13.0768, 13.0768) * CHOOSE(CONTROL!$C$21, $C$9, 100%, $E$9)</f>
        <v>13.0768</v>
      </c>
      <c r="D447" s="10">
        <f>CHOOSE(CONTROL!$C$42, 13.1093, 13.1093) * CHOOSE(CONTROL!$C$21, $C$9, 100%, $E$9)</f>
        <v>13.109299999999999</v>
      </c>
      <c r="E447" s="10">
        <f>CHOOSE(CONTROL!$C$42, 13.1431, 13.1431) * CHOOSE(CONTROL!$C$21, $C$9, 100%, $E$9)</f>
        <v>13.1431</v>
      </c>
      <c r="F447" s="10">
        <f>CHOOSE(CONTROL!$C$42, 13.054, 13.054)*CHOOSE(CONTROL!$C$21, $C$9, 100%, $E$9)</f>
        <v>13.054</v>
      </c>
      <c r="G447" s="10">
        <f>CHOOSE(CONTROL!$C$42, 13.0716, 13.0716)*CHOOSE(CONTROL!$C$21, $C$9, 100%, $E$9)</f>
        <v>13.0716</v>
      </c>
      <c r="H447" s="10">
        <f>CHOOSE(CONTROL!$C$42, 13.132, 13.132) * CHOOSE(CONTROL!$C$21, $C$9, 100%, $E$9)</f>
        <v>13.132</v>
      </c>
      <c r="I447" s="10">
        <f>CHOOSE(CONTROL!$C$42, 13.0852, 13.0852)* CHOOSE(CONTROL!$C$21, $C$9, 100%, $E$9)</f>
        <v>13.0852</v>
      </c>
      <c r="J447" s="10">
        <f>CHOOSE(CONTROL!$C$42, 13.0466, 13.0466)* CHOOSE(CONTROL!$C$21, $C$9, 100%, $E$9)</f>
        <v>13.0466</v>
      </c>
      <c r="K447" s="10">
        <f>CHOOSE(CONTROL!$C$42, 12.8532, 12.8532) * CHOOSE(CONTROL!$C$21, $C$9, 100%, $E$9)</f>
        <v>12.853199999999999</v>
      </c>
      <c r="L447" s="10">
        <f>CHOOSE(CONTROL!$C$42, 13.719, 13.719) * CHOOSE(CONTROL!$C$21, $C$9, 100%, $E$9)</f>
        <v>13.718999999999999</v>
      </c>
      <c r="M447" s="10">
        <f>CHOOSE(CONTROL!$C$42, 12.8976, 12.8976) * CHOOSE(CONTROL!$C$21, $C$9, 100%, $E$9)</f>
        <v>12.897600000000001</v>
      </c>
      <c r="N447" s="10">
        <f>CHOOSE(CONTROL!$C$42, 12.9149, 12.9149) * CHOOSE(CONTROL!$C$21, $C$9, 100%, $E$9)</f>
        <v>12.914899999999999</v>
      </c>
      <c r="O447" s="10">
        <f>CHOOSE(CONTROL!$C$42, 12.9818, 12.9818) * CHOOSE(CONTROL!$C$21, $C$9, 100%, $E$9)</f>
        <v>12.9818</v>
      </c>
      <c r="P447" s="10">
        <f>CHOOSE(CONTROL!$C$42, 12.9357, 12.9357) * CHOOSE(CONTROL!$C$21, $C$9, 100%, $E$9)</f>
        <v>12.935700000000001</v>
      </c>
      <c r="Q447" s="10">
        <f>CHOOSE(CONTROL!$C$42, 13.5771, 13.5771) * CHOOSE(CONTROL!$C$21, $C$9, 100%, $E$9)</f>
        <v>13.5771</v>
      </c>
      <c r="R447" s="10">
        <f>CHOOSE(CONTROL!$C$42, 14.198, 14.198) * CHOOSE(CONTROL!$C$21, $C$9, 100%, $E$9)</f>
        <v>14.198</v>
      </c>
      <c r="S447" s="10">
        <f>CHOOSE(CONTROL!$C$42, 12.674, 12.674) * CHOOSE(CONTROL!$C$21, $C$9, 100%, $E$9)</f>
        <v>12.673999999999999</v>
      </c>
      <c r="T44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47" s="38">
        <f>(1000*CHOOSE(CONTROL!$C$42, 695, 695)*CHOOSE(CONTROL!$C$42, 0.5599, 0.5599)*CHOOSE(CONTROL!$C$42, 31, 31))/1000000</f>
        <v>12.063045499999998</v>
      </c>
      <c r="V447" s="38">
        <f>(1000*CHOOSE(CONTROL!$C$42, 500, 500)*CHOOSE(CONTROL!$C$42, 0.275, 0.275)*CHOOSE(CONTROL!$C$42, 31, 31))/1000000</f>
        <v>4.2625000000000002</v>
      </c>
      <c r="W447" s="38">
        <f>(1000*CHOOSE(CONTROL!$C$42, 0.1146, 0.1146)*CHOOSE(CONTROL!$C$42, 121.5, 121.5)*CHOOSE(CONTROL!$C$42, 31, 31))/1000000</f>
        <v>0.43164089999999994</v>
      </c>
      <c r="X447" s="38">
        <f>(31*0.1790888*100000/1000000)+(31*0.2374*100000/1000000)</f>
        <v>1.2911152800000001</v>
      </c>
      <c r="Y447" s="38">
        <f>(1000*600*CHOOSE(CONTROL!$C$42, 1.0791, 1.0791)*CHOOSE(CONTROL!$C$42, 31, 31))/1000000</f>
        <v>20.071259999999999</v>
      </c>
      <c r="Z447" s="38"/>
      <c r="AA447" s="10"/>
      <c r="AB447" s="39"/>
      <c r="AC447" s="33">
        <f>(B447*122.58+C447*297.941+D447*89.177+E447*40.302+F447*40+G447*160+H447*0+I447*100+J447*300)/(122.58+297.941+89.177+40.302+0+40+160+100+300)</f>
        <v>13.072435754000001</v>
      </c>
      <c r="AD447" s="27">
        <f>(M447*'RAP TEMPLATE-GAS AVAILABILITY'!O446+N447*'RAP TEMPLATE-GAS AVAILABILITY'!P446+O447*'RAP TEMPLATE-GAS AVAILABILITY'!Q446+P447*'RAP TEMPLATE-GAS AVAILABILITY'!R446)/('RAP TEMPLATE-GAS AVAILABILITY'!O446+'RAP TEMPLATE-GAS AVAILABILITY'!P446+'RAP TEMPLATE-GAS AVAILABILITY'!Q446+'RAP TEMPLATE-GAS AVAILABILITY'!R446)</f>
        <v>12.942240287769785</v>
      </c>
    </row>
    <row r="448" spans="1:30" ht="15.75">
      <c r="A448" s="14">
        <v>54908</v>
      </c>
      <c r="B448" s="10">
        <f>CHOOSE(CONTROL!$C$42, 13.0333, 13.0333) * CHOOSE(CONTROL!$C$21, $C$9, 100%, $E$9)</f>
        <v>13.033300000000001</v>
      </c>
      <c r="C448" s="10">
        <f>CHOOSE(CONTROL!$C$42, 13.0378, 13.0378) * CHOOSE(CONTROL!$C$21, $C$9, 100%, $E$9)</f>
        <v>13.037800000000001</v>
      </c>
      <c r="D448" s="10">
        <f>CHOOSE(CONTROL!$C$42, 13.198, 13.198) * CHOOSE(CONTROL!$C$21, $C$9, 100%, $E$9)</f>
        <v>13.198</v>
      </c>
      <c r="E448" s="10">
        <f>CHOOSE(CONTROL!$C$42, 13.2298, 13.2298) * CHOOSE(CONTROL!$C$21, $C$9, 100%, $E$9)</f>
        <v>13.229799999999999</v>
      </c>
      <c r="F448" s="10">
        <f>CHOOSE(CONTROL!$C$42, 12.9794, 12.9794)*CHOOSE(CONTROL!$C$21, $C$9, 100%, $E$9)</f>
        <v>12.9794</v>
      </c>
      <c r="G448" s="10">
        <f>CHOOSE(CONTROL!$C$42, 12.9952, 12.9952)*CHOOSE(CONTROL!$C$21, $C$9, 100%, $E$9)</f>
        <v>12.995200000000001</v>
      </c>
      <c r="H448" s="10">
        <f>CHOOSE(CONTROL!$C$42, 13.2193, 13.2193) * CHOOSE(CONTROL!$C$21, $C$9, 100%, $E$9)</f>
        <v>13.2193</v>
      </c>
      <c r="I448" s="10">
        <f>CHOOSE(CONTROL!$C$42, 13.0135, 13.0135)* CHOOSE(CONTROL!$C$21, $C$9, 100%, $E$9)</f>
        <v>13.013500000000001</v>
      </c>
      <c r="J448" s="10">
        <f>CHOOSE(CONTROL!$C$42, 12.972, 12.972)* CHOOSE(CONTROL!$C$21, $C$9, 100%, $E$9)</f>
        <v>12.972</v>
      </c>
      <c r="K448" s="10">
        <f>CHOOSE(CONTROL!$C$42, 12.7677, 12.7677) * CHOOSE(CONTROL!$C$21, $C$9, 100%, $E$9)</f>
        <v>12.7677</v>
      </c>
      <c r="L448" s="10">
        <f>CHOOSE(CONTROL!$C$42, 13.8063, 13.8063) * CHOOSE(CONTROL!$C$21, $C$9, 100%, $E$9)</f>
        <v>13.8063</v>
      </c>
      <c r="M448" s="10">
        <f>CHOOSE(CONTROL!$C$42, 12.8241, 12.8241) * CHOOSE(CONTROL!$C$21, $C$9, 100%, $E$9)</f>
        <v>12.8241</v>
      </c>
      <c r="N448" s="10">
        <f>CHOOSE(CONTROL!$C$42, 12.8397, 12.8397) * CHOOSE(CONTROL!$C$21, $C$9, 100%, $E$9)</f>
        <v>12.839700000000001</v>
      </c>
      <c r="O448" s="10">
        <f>CHOOSE(CONTROL!$C$42, 13.0679, 13.0679) * CHOOSE(CONTROL!$C$21, $C$9, 100%, $E$9)</f>
        <v>13.0679</v>
      </c>
      <c r="P448" s="10">
        <f>CHOOSE(CONTROL!$C$42, 12.865, 12.865) * CHOOSE(CONTROL!$C$21, $C$9, 100%, $E$9)</f>
        <v>12.865</v>
      </c>
      <c r="Q448" s="10">
        <f>CHOOSE(CONTROL!$C$42, 13.6632, 13.6632) * CHOOSE(CONTROL!$C$21, $C$9, 100%, $E$9)</f>
        <v>13.6632</v>
      </c>
      <c r="R448" s="10">
        <f>CHOOSE(CONTROL!$C$42, 14.2843, 14.2843) * CHOOSE(CONTROL!$C$21, $C$9, 100%, $E$9)</f>
        <v>14.2843</v>
      </c>
      <c r="S448" s="10">
        <f>CHOOSE(CONTROL!$C$42, 12.6361, 12.6361) * CHOOSE(CONTROL!$C$21, $C$9, 100%, $E$9)</f>
        <v>12.636100000000001</v>
      </c>
      <c r="T44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48" s="38">
        <f>(1000*CHOOSE(CONTROL!$C$42, 695, 695)*CHOOSE(CONTROL!$C$42, 0.5599, 0.5599)*CHOOSE(CONTROL!$C$42, 30, 30))/1000000</f>
        <v>11.673914999999997</v>
      </c>
      <c r="V448" s="38">
        <f>(1000*CHOOSE(CONTROL!$C$42, 500, 500)*CHOOSE(CONTROL!$C$42, 0.275, 0.275)*CHOOSE(CONTROL!$C$42, 30, 30))/1000000</f>
        <v>4.125</v>
      </c>
      <c r="W448" s="38">
        <f>(1000*CHOOSE(CONTROL!$C$42, 0.1146, 0.1146)*CHOOSE(CONTROL!$C$42, 121.5, 121.5)*CHOOSE(CONTROL!$C$42, 30, 30))/1000000</f>
        <v>0.417717</v>
      </c>
      <c r="X448" s="38">
        <f>(30*0.1790888*245000/1000000)+(30*0.2374*100000/1000000)</f>
        <v>2.0285026799999999</v>
      </c>
      <c r="Y448" s="38">
        <f>(1000*600*CHOOSE(CONTROL!$C$42, 1.0791, 1.0791)*CHOOSE(CONTROL!$C$42, 30, 30))/1000000</f>
        <v>19.4238</v>
      </c>
      <c r="Z448" s="38"/>
      <c r="AA448" s="10"/>
      <c r="AB448" s="39"/>
      <c r="AC448" s="33">
        <f>(B448*141.293+C448*267.993+D448*115.016+E448*89.698+F448*40+G448*185+H448*0+I448*100+J448*300)/(141.293+267.993+115.016+89.698+0+40+185+100+300)</f>
        <v>13.03991845092817</v>
      </c>
      <c r="AD448" s="27">
        <f>(M448*'RAP TEMPLATE-GAS AVAILABILITY'!O447+N448*'RAP TEMPLATE-GAS AVAILABILITY'!P447+O448*'RAP TEMPLATE-GAS AVAILABILITY'!Q447+P448*'RAP TEMPLATE-GAS AVAILABILITY'!R447)/('RAP TEMPLATE-GAS AVAILABILITY'!O447+'RAP TEMPLATE-GAS AVAILABILITY'!P447+'RAP TEMPLATE-GAS AVAILABILITY'!Q447+'RAP TEMPLATE-GAS AVAILABILITY'!R447)</f>
        <v>12.901980575539568</v>
      </c>
    </row>
    <row r="449" spans="1:30" ht="15.75">
      <c r="A449" s="14">
        <v>54939</v>
      </c>
      <c r="B449" s="10">
        <f>CHOOSE(CONTROL!$C$42, 13.1503, 13.1503) * CHOOSE(CONTROL!$C$21, $C$9, 100%, $E$9)</f>
        <v>13.1503</v>
      </c>
      <c r="C449" s="10">
        <f>CHOOSE(CONTROL!$C$42, 13.1583, 13.1583) * CHOOSE(CONTROL!$C$21, $C$9, 100%, $E$9)</f>
        <v>13.158300000000001</v>
      </c>
      <c r="D449" s="10">
        <f>CHOOSE(CONTROL!$C$42, 13.3154, 13.3154) * CHOOSE(CONTROL!$C$21, $C$9, 100%, $E$9)</f>
        <v>13.3154</v>
      </c>
      <c r="E449" s="10">
        <f>CHOOSE(CONTROL!$C$42, 13.3466, 13.3466) * CHOOSE(CONTROL!$C$21, $C$9, 100%, $E$9)</f>
        <v>13.3466</v>
      </c>
      <c r="F449" s="10">
        <f>CHOOSE(CONTROL!$C$42, 13.0944, 13.0944)*CHOOSE(CONTROL!$C$21, $C$9, 100%, $E$9)</f>
        <v>13.0944</v>
      </c>
      <c r="G449" s="10">
        <f>CHOOSE(CONTROL!$C$42, 13.1106, 13.1106)*CHOOSE(CONTROL!$C$21, $C$9, 100%, $E$9)</f>
        <v>13.1106</v>
      </c>
      <c r="H449" s="10">
        <f>CHOOSE(CONTROL!$C$42, 13.3349, 13.3349) * CHOOSE(CONTROL!$C$21, $C$9, 100%, $E$9)</f>
        <v>13.334899999999999</v>
      </c>
      <c r="I449" s="10">
        <f>CHOOSE(CONTROL!$C$42, 13.1291, 13.1291)* CHOOSE(CONTROL!$C$21, $C$9, 100%, $E$9)</f>
        <v>13.129099999999999</v>
      </c>
      <c r="J449" s="10">
        <f>CHOOSE(CONTROL!$C$42, 13.087, 13.087)* CHOOSE(CONTROL!$C$21, $C$9, 100%, $E$9)</f>
        <v>13.087</v>
      </c>
      <c r="K449" s="10">
        <f>CHOOSE(CONTROL!$C$42, 12.8785, 12.8785) * CHOOSE(CONTROL!$C$21, $C$9, 100%, $E$9)</f>
        <v>12.878500000000001</v>
      </c>
      <c r="L449" s="10">
        <f>CHOOSE(CONTROL!$C$42, 13.9219, 13.9219) * CHOOSE(CONTROL!$C$21, $C$9, 100%, $E$9)</f>
        <v>13.921900000000001</v>
      </c>
      <c r="M449" s="10">
        <f>CHOOSE(CONTROL!$C$42, 12.9375, 12.9375) * CHOOSE(CONTROL!$C$21, $C$9, 100%, $E$9)</f>
        <v>12.9375</v>
      </c>
      <c r="N449" s="10">
        <f>CHOOSE(CONTROL!$C$42, 12.9534, 12.9534) * CHOOSE(CONTROL!$C$21, $C$9, 100%, $E$9)</f>
        <v>12.9534</v>
      </c>
      <c r="O449" s="10">
        <f>CHOOSE(CONTROL!$C$42, 13.1819, 13.1819) * CHOOSE(CONTROL!$C$21, $C$9, 100%, $E$9)</f>
        <v>13.181900000000001</v>
      </c>
      <c r="P449" s="10">
        <f>CHOOSE(CONTROL!$C$42, 12.979, 12.979) * CHOOSE(CONTROL!$C$21, $C$9, 100%, $E$9)</f>
        <v>12.978999999999999</v>
      </c>
      <c r="Q449" s="10">
        <f>CHOOSE(CONTROL!$C$42, 13.7772, 13.7772) * CHOOSE(CONTROL!$C$21, $C$9, 100%, $E$9)</f>
        <v>13.777200000000001</v>
      </c>
      <c r="R449" s="10">
        <f>CHOOSE(CONTROL!$C$42, 14.3986, 14.3986) * CHOOSE(CONTROL!$C$21, $C$9, 100%, $E$9)</f>
        <v>14.3986</v>
      </c>
      <c r="S449" s="10">
        <f>CHOOSE(CONTROL!$C$42, 12.748, 12.748) * CHOOSE(CONTROL!$C$21, $C$9, 100%, $E$9)</f>
        <v>12.747999999999999</v>
      </c>
      <c r="T44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49" s="38">
        <f>(1000*CHOOSE(CONTROL!$C$42, 695, 695)*CHOOSE(CONTROL!$C$42, 0.5599, 0.5599)*CHOOSE(CONTROL!$C$42, 31, 31))/1000000</f>
        <v>12.063045499999998</v>
      </c>
      <c r="V449" s="38">
        <f>(1000*CHOOSE(CONTROL!$C$42, 500, 500)*CHOOSE(CONTROL!$C$42, 0.275, 0.275)*CHOOSE(CONTROL!$C$42, 31, 31))/1000000</f>
        <v>4.2625000000000002</v>
      </c>
      <c r="W449" s="38">
        <f>(1000*CHOOSE(CONTROL!$C$42, 0.1146, 0.1146)*CHOOSE(CONTROL!$C$42, 121.5, 121.5)*CHOOSE(CONTROL!$C$42, 31, 31))/1000000</f>
        <v>0.43164089999999994</v>
      </c>
      <c r="X449" s="38">
        <f>(31*0.1790888*245000/1000000)+(31*0.2374*100000/1000000)</f>
        <v>2.0961194359999999</v>
      </c>
      <c r="Y449" s="38">
        <f>(1000*600*CHOOSE(CONTROL!$C$42, 1.0791, 1.0791)*CHOOSE(CONTROL!$C$42, 31, 31))/1000000</f>
        <v>20.071259999999999</v>
      </c>
      <c r="Z449" s="38"/>
      <c r="AA449" s="10"/>
      <c r="AB449" s="39"/>
      <c r="AC449" s="33">
        <f>(B449*194.205+C449*267.466+D449*133.845+E449*53.484+F449*40+G449*185+H449*0+I449*100+J449*300)/(194.205+267.466+133.845+53.484+0+40+185+100+300)</f>
        <v>13.153475782339088</v>
      </c>
      <c r="AD449" s="27">
        <f>(M449*'RAP TEMPLATE-GAS AVAILABILITY'!O448+N449*'RAP TEMPLATE-GAS AVAILABILITY'!P448+O449*'RAP TEMPLATE-GAS AVAILABILITY'!Q448+P449*'RAP TEMPLATE-GAS AVAILABILITY'!R448)/('RAP TEMPLATE-GAS AVAILABILITY'!O448+'RAP TEMPLATE-GAS AVAILABILITY'!P448+'RAP TEMPLATE-GAS AVAILABILITY'!Q448+'RAP TEMPLATE-GAS AVAILABILITY'!R448)</f>
        <v>13.015704316546762</v>
      </c>
    </row>
    <row r="450" spans="1:30" ht="15.75">
      <c r="A450" s="14">
        <v>54969</v>
      </c>
      <c r="B450" s="10">
        <f>CHOOSE(CONTROL!$C$42, 13.5237, 13.5237) * CHOOSE(CONTROL!$C$21, $C$9, 100%, $E$9)</f>
        <v>13.5237</v>
      </c>
      <c r="C450" s="10">
        <f>CHOOSE(CONTROL!$C$42, 13.5317, 13.5317) * CHOOSE(CONTROL!$C$21, $C$9, 100%, $E$9)</f>
        <v>13.531700000000001</v>
      </c>
      <c r="D450" s="10">
        <f>CHOOSE(CONTROL!$C$42, 13.6888, 13.6888) * CHOOSE(CONTROL!$C$21, $C$9, 100%, $E$9)</f>
        <v>13.688800000000001</v>
      </c>
      <c r="E450" s="10">
        <f>CHOOSE(CONTROL!$C$42, 13.72, 13.72) * CHOOSE(CONTROL!$C$21, $C$9, 100%, $E$9)</f>
        <v>13.72</v>
      </c>
      <c r="F450" s="10">
        <f>CHOOSE(CONTROL!$C$42, 13.468, 13.468)*CHOOSE(CONTROL!$C$21, $C$9, 100%, $E$9)</f>
        <v>13.468</v>
      </c>
      <c r="G450" s="10">
        <f>CHOOSE(CONTROL!$C$42, 13.4842, 13.4842)*CHOOSE(CONTROL!$C$21, $C$9, 100%, $E$9)</f>
        <v>13.4842</v>
      </c>
      <c r="H450" s="10">
        <f>CHOOSE(CONTROL!$C$42, 13.7083, 13.7083) * CHOOSE(CONTROL!$C$21, $C$9, 100%, $E$9)</f>
        <v>13.708299999999999</v>
      </c>
      <c r="I450" s="10">
        <f>CHOOSE(CONTROL!$C$42, 13.5025, 13.5025)* CHOOSE(CONTROL!$C$21, $C$9, 100%, $E$9)</f>
        <v>13.5025</v>
      </c>
      <c r="J450" s="10">
        <f>CHOOSE(CONTROL!$C$42, 13.4606, 13.4606)* CHOOSE(CONTROL!$C$21, $C$9, 100%, $E$9)</f>
        <v>13.460599999999999</v>
      </c>
      <c r="K450" s="10">
        <f>CHOOSE(CONTROL!$C$42, 13.2406, 13.2406) * CHOOSE(CONTROL!$C$21, $C$9, 100%, $E$9)</f>
        <v>13.240600000000001</v>
      </c>
      <c r="L450" s="10">
        <f>CHOOSE(CONTROL!$C$42, 14.2953, 14.2953) * CHOOSE(CONTROL!$C$21, $C$9, 100%, $E$9)</f>
        <v>14.295299999999999</v>
      </c>
      <c r="M450" s="10">
        <f>CHOOSE(CONTROL!$C$42, 13.3059, 13.3059) * CHOOSE(CONTROL!$C$21, $C$9, 100%, $E$9)</f>
        <v>13.305899999999999</v>
      </c>
      <c r="N450" s="10">
        <f>CHOOSE(CONTROL!$C$42, 13.3218, 13.3218) * CHOOSE(CONTROL!$C$21, $C$9, 100%, $E$9)</f>
        <v>13.3218</v>
      </c>
      <c r="O450" s="10">
        <f>CHOOSE(CONTROL!$C$42, 13.5501, 13.5501) * CHOOSE(CONTROL!$C$21, $C$9, 100%, $E$9)</f>
        <v>13.5501</v>
      </c>
      <c r="P450" s="10">
        <f>CHOOSE(CONTROL!$C$42, 13.3472, 13.3472) * CHOOSE(CONTROL!$C$21, $C$9, 100%, $E$9)</f>
        <v>13.347200000000001</v>
      </c>
      <c r="Q450" s="10">
        <f>CHOOSE(CONTROL!$C$42, 14.1454, 14.1454) * CHOOSE(CONTROL!$C$21, $C$9, 100%, $E$9)</f>
        <v>14.1454</v>
      </c>
      <c r="R450" s="10">
        <f>CHOOSE(CONTROL!$C$42, 14.7678, 14.7678) * CHOOSE(CONTROL!$C$21, $C$9, 100%, $E$9)</f>
        <v>14.767799999999999</v>
      </c>
      <c r="S450" s="10">
        <f>CHOOSE(CONTROL!$C$42, 13.1096, 13.1096) * CHOOSE(CONTROL!$C$21, $C$9, 100%, $E$9)</f>
        <v>13.1096</v>
      </c>
      <c r="T45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50" s="38">
        <f>(1000*CHOOSE(CONTROL!$C$42, 695, 695)*CHOOSE(CONTROL!$C$42, 0.5599, 0.5599)*CHOOSE(CONTROL!$C$42, 30, 30))/1000000</f>
        <v>11.673914999999997</v>
      </c>
      <c r="V450" s="38">
        <f>(1000*CHOOSE(CONTROL!$C$42, 500, 500)*CHOOSE(CONTROL!$C$42, 0.275, 0.275)*CHOOSE(CONTROL!$C$42, 30, 30))/1000000</f>
        <v>4.125</v>
      </c>
      <c r="W450" s="38">
        <f>(1000*CHOOSE(CONTROL!$C$42, 0.1146, 0.1146)*CHOOSE(CONTROL!$C$42, 121.5, 121.5)*CHOOSE(CONTROL!$C$42, 30, 30))/1000000</f>
        <v>0.417717</v>
      </c>
      <c r="X450" s="38">
        <f>(30*0.1790888*245000/1000000)+(30*0.2374*100000/1000000)</f>
        <v>2.0285026799999999</v>
      </c>
      <c r="Y450" s="38">
        <f>(1000*600*CHOOSE(CONTROL!$C$42, 1.0791, 1.0791)*CHOOSE(CONTROL!$C$42, 30, 30))/1000000</f>
        <v>19.4238</v>
      </c>
      <c r="Z450" s="38"/>
      <c r="AA450" s="10"/>
      <c r="AB450" s="39"/>
      <c r="AC450" s="33">
        <f>(B450*194.205+C450*267.466+D450*133.845+E450*53.484+F450*40+G450*185+H450*0+I450*100+J450*300)/(194.205+267.466+133.845+53.484+0+40+185+100+300)</f>
        <v>13.526958199921507</v>
      </c>
      <c r="AD450" s="27">
        <f>(M450*'RAP TEMPLATE-GAS AVAILABILITY'!O449+N450*'RAP TEMPLATE-GAS AVAILABILITY'!P449+O450*'RAP TEMPLATE-GAS AVAILABILITY'!Q449+P450*'RAP TEMPLATE-GAS AVAILABILITY'!R449)/('RAP TEMPLATE-GAS AVAILABILITY'!O449+'RAP TEMPLATE-GAS AVAILABILITY'!P449+'RAP TEMPLATE-GAS AVAILABILITY'!Q449+'RAP TEMPLATE-GAS AVAILABILITY'!R449)</f>
        <v>13.38401942446043</v>
      </c>
    </row>
    <row r="451" spans="1:30" ht="15.75">
      <c r="A451" s="14">
        <v>55000</v>
      </c>
      <c r="B451" s="10">
        <f>CHOOSE(CONTROL!$C$42, 13.264, 13.264) * CHOOSE(CONTROL!$C$21, $C$9, 100%, $E$9)</f>
        <v>13.263999999999999</v>
      </c>
      <c r="C451" s="10">
        <f>CHOOSE(CONTROL!$C$42, 13.272, 13.272) * CHOOSE(CONTROL!$C$21, $C$9, 100%, $E$9)</f>
        <v>13.272</v>
      </c>
      <c r="D451" s="10">
        <f>CHOOSE(CONTROL!$C$42, 13.4291, 13.4291) * CHOOSE(CONTROL!$C$21, $C$9, 100%, $E$9)</f>
        <v>13.4291</v>
      </c>
      <c r="E451" s="10">
        <f>CHOOSE(CONTROL!$C$42, 13.4603, 13.4603) * CHOOSE(CONTROL!$C$21, $C$9, 100%, $E$9)</f>
        <v>13.4603</v>
      </c>
      <c r="F451" s="10">
        <f>CHOOSE(CONTROL!$C$42, 13.2087, 13.2087)*CHOOSE(CONTROL!$C$21, $C$9, 100%, $E$9)</f>
        <v>13.2087</v>
      </c>
      <c r="G451" s="10">
        <f>CHOOSE(CONTROL!$C$42, 13.2249, 13.2249)*CHOOSE(CONTROL!$C$21, $C$9, 100%, $E$9)</f>
        <v>13.2249</v>
      </c>
      <c r="H451" s="10">
        <f>CHOOSE(CONTROL!$C$42, 13.4486, 13.4486) * CHOOSE(CONTROL!$C$21, $C$9, 100%, $E$9)</f>
        <v>13.448600000000001</v>
      </c>
      <c r="I451" s="10">
        <f>CHOOSE(CONTROL!$C$42, 13.2428, 13.2428)* CHOOSE(CONTROL!$C$21, $C$9, 100%, $E$9)</f>
        <v>13.242800000000001</v>
      </c>
      <c r="J451" s="10">
        <f>CHOOSE(CONTROL!$C$42, 13.2013, 13.2013)* CHOOSE(CONTROL!$C$21, $C$9, 100%, $E$9)</f>
        <v>13.2013</v>
      </c>
      <c r="K451" s="10">
        <f>CHOOSE(CONTROL!$C$42, 12.9897, 12.9897) * CHOOSE(CONTROL!$C$21, $C$9, 100%, $E$9)</f>
        <v>12.989699999999999</v>
      </c>
      <c r="L451" s="10">
        <f>CHOOSE(CONTROL!$C$42, 14.0356, 14.0356) * CHOOSE(CONTROL!$C$21, $C$9, 100%, $E$9)</f>
        <v>14.035600000000001</v>
      </c>
      <c r="M451" s="10">
        <f>CHOOSE(CONTROL!$C$42, 13.0501, 13.0501) * CHOOSE(CONTROL!$C$21, $C$9, 100%, $E$9)</f>
        <v>13.0501</v>
      </c>
      <c r="N451" s="10">
        <f>CHOOSE(CONTROL!$C$42, 13.0661, 13.0661) * CHOOSE(CONTROL!$C$21, $C$9, 100%, $E$9)</f>
        <v>13.0661</v>
      </c>
      <c r="O451" s="10">
        <f>CHOOSE(CONTROL!$C$42, 13.294, 13.294) * CHOOSE(CONTROL!$C$21, $C$9, 100%, $E$9)</f>
        <v>13.294</v>
      </c>
      <c r="P451" s="10">
        <f>CHOOSE(CONTROL!$C$42, 13.0911, 13.0911) * CHOOSE(CONTROL!$C$21, $C$9, 100%, $E$9)</f>
        <v>13.091100000000001</v>
      </c>
      <c r="Q451" s="10">
        <f>CHOOSE(CONTROL!$C$42, 13.8893, 13.8893) * CHOOSE(CONTROL!$C$21, $C$9, 100%, $E$9)</f>
        <v>13.8893</v>
      </c>
      <c r="R451" s="10">
        <f>CHOOSE(CONTROL!$C$42, 14.511, 14.511) * CHOOSE(CONTROL!$C$21, $C$9, 100%, $E$9)</f>
        <v>14.510999999999999</v>
      </c>
      <c r="S451" s="10">
        <f>CHOOSE(CONTROL!$C$42, 12.8581, 12.8581) * CHOOSE(CONTROL!$C$21, $C$9, 100%, $E$9)</f>
        <v>12.8581</v>
      </c>
      <c r="T45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51" s="38">
        <f>(1000*CHOOSE(CONTROL!$C$42, 695, 695)*CHOOSE(CONTROL!$C$42, 0.5599, 0.5599)*CHOOSE(CONTROL!$C$42, 31, 31))/1000000</f>
        <v>12.063045499999998</v>
      </c>
      <c r="V451" s="38">
        <f>(1000*CHOOSE(CONTROL!$C$42, 500, 500)*CHOOSE(CONTROL!$C$42, 0.275, 0.275)*CHOOSE(CONTROL!$C$42, 31, 31))/1000000</f>
        <v>4.2625000000000002</v>
      </c>
      <c r="W451" s="38">
        <f>(1000*CHOOSE(CONTROL!$C$42, 0.1146, 0.1146)*CHOOSE(CONTROL!$C$42, 121.5, 121.5)*CHOOSE(CONTROL!$C$42, 31, 31))/1000000</f>
        <v>0.43164089999999994</v>
      </c>
      <c r="X451" s="38">
        <f>(31*0.1790888*245000/1000000)+(31*0.2374*100000/1000000)</f>
        <v>2.0961194359999999</v>
      </c>
      <c r="Y451" s="38">
        <f>(1000*600*CHOOSE(CONTROL!$C$42, 1.0791, 1.0791)*CHOOSE(CONTROL!$C$42, 31, 31))/1000000</f>
        <v>20.071259999999999</v>
      </c>
      <c r="Z451" s="38"/>
      <c r="AA451" s="10"/>
      <c r="AB451" s="39"/>
      <c r="AC451" s="33">
        <f>(B451*194.205+C451*267.466+D451*133.845+E451*53.484+F451*40+G451*185+H451*0+I451*100+J451*300)/(194.205+267.466+133.845+53.484+0+40+185+100+300)</f>
        <v>13.267423035086344</v>
      </c>
      <c r="AD451" s="27">
        <f>(M451*'RAP TEMPLATE-GAS AVAILABILITY'!O450+N451*'RAP TEMPLATE-GAS AVAILABILITY'!P450+O451*'RAP TEMPLATE-GAS AVAILABILITY'!Q450+P451*'RAP TEMPLATE-GAS AVAILABILITY'!R450)/('RAP TEMPLATE-GAS AVAILABILITY'!O450+'RAP TEMPLATE-GAS AVAILABILITY'!P450+'RAP TEMPLATE-GAS AVAILABILITY'!Q450+'RAP TEMPLATE-GAS AVAILABILITY'!R450)</f>
        <v>13.12811510791367</v>
      </c>
    </row>
    <row r="452" spans="1:30" ht="15.75">
      <c r="A452" s="14">
        <v>55031</v>
      </c>
      <c r="B452" s="10">
        <f>CHOOSE(CONTROL!$C$42, 12.6082, 12.6082) * CHOOSE(CONTROL!$C$21, $C$9, 100%, $E$9)</f>
        <v>12.6082</v>
      </c>
      <c r="C452" s="10">
        <f>CHOOSE(CONTROL!$C$42, 12.6162, 12.6162) * CHOOSE(CONTROL!$C$21, $C$9, 100%, $E$9)</f>
        <v>12.616199999999999</v>
      </c>
      <c r="D452" s="10">
        <f>CHOOSE(CONTROL!$C$42, 12.7732, 12.7732) * CHOOSE(CONTROL!$C$21, $C$9, 100%, $E$9)</f>
        <v>12.773199999999999</v>
      </c>
      <c r="E452" s="10">
        <f>CHOOSE(CONTROL!$C$42, 12.8044, 12.8044) * CHOOSE(CONTROL!$C$21, $C$9, 100%, $E$9)</f>
        <v>12.804399999999999</v>
      </c>
      <c r="F452" s="10">
        <f>CHOOSE(CONTROL!$C$42, 12.5527, 12.5527)*CHOOSE(CONTROL!$C$21, $C$9, 100%, $E$9)</f>
        <v>12.5527</v>
      </c>
      <c r="G452" s="10">
        <f>CHOOSE(CONTROL!$C$42, 12.569, 12.569)*CHOOSE(CONTROL!$C$21, $C$9, 100%, $E$9)</f>
        <v>12.569000000000001</v>
      </c>
      <c r="H452" s="10">
        <f>CHOOSE(CONTROL!$C$42, 12.7927, 12.7927) * CHOOSE(CONTROL!$C$21, $C$9, 100%, $E$9)</f>
        <v>12.7927</v>
      </c>
      <c r="I452" s="10">
        <f>CHOOSE(CONTROL!$C$42, 12.5869, 12.5869)* CHOOSE(CONTROL!$C$21, $C$9, 100%, $E$9)</f>
        <v>12.5869</v>
      </c>
      <c r="J452" s="10">
        <f>CHOOSE(CONTROL!$C$42, 12.5453, 12.5453)* CHOOSE(CONTROL!$C$21, $C$9, 100%, $E$9)</f>
        <v>12.545299999999999</v>
      </c>
      <c r="K452" s="10">
        <f>CHOOSE(CONTROL!$C$42, 12.3542, 12.3542) * CHOOSE(CONTROL!$C$21, $C$9, 100%, $E$9)</f>
        <v>12.354200000000001</v>
      </c>
      <c r="L452" s="10">
        <f>CHOOSE(CONTROL!$C$42, 13.3797, 13.3797) * CHOOSE(CONTROL!$C$21, $C$9, 100%, $E$9)</f>
        <v>13.3797</v>
      </c>
      <c r="M452" s="10">
        <f>CHOOSE(CONTROL!$C$42, 12.4033, 12.4033) * CHOOSE(CONTROL!$C$21, $C$9, 100%, $E$9)</f>
        <v>12.4033</v>
      </c>
      <c r="N452" s="10">
        <f>CHOOSE(CONTROL!$C$42, 12.4193, 12.4193) * CHOOSE(CONTROL!$C$21, $C$9, 100%, $E$9)</f>
        <v>12.4193</v>
      </c>
      <c r="O452" s="10">
        <f>CHOOSE(CONTROL!$C$42, 12.6473, 12.6473) * CHOOSE(CONTROL!$C$21, $C$9, 100%, $E$9)</f>
        <v>12.6473</v>
      </c>
      <c r="P452" s="10">
        <f>CHOOSE(CONTROL!$C$42, 12.4444, 12.4444) * CHOOSE(CONTROL!$C$21, $C$9, 100%, $E$9)</f>
        <v>12.4444</v>
      </c>
      <c r="Q452" s="10">
        <f>CHOOSE(CONTROL!$C$42, 13.2426, 13.2426) * CHOOSE(CONTROL!$C$21, $C$9, 100%, $E$9)</f>
        <v>13.242599999999999</v>
      </c>
      <c r="R452" s="10">
        <f>CHOOSE(CONTROL!$C$42, 13.8627, 13.8627) * CHOOSE(CONTROL!$C$21, $C$9, 100%, $E$9)</f>
        <v>13.8627</v>
      </c>
      <c r="S452" s="10">
        <f>CHOOSE(CONTROL!$C$42, 12.2231, 12.2231) * CHOOSE(CONTROL!$C$21, $C$9, 100%, $E$9)</f>
        <v>12.223100000000001</v>
      </c>
      <c r="T45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52" s="38">
        <f>(1000*CHOOSE(CONTROL!$C$42, 695, 695)*CHOOSE(CONTROL!$C$42, 0.5599, 0.5599)*CHOOSE(CONTROL!$C$42, 31, 31))/1000000</f>
        <v>12.063045499999998</v>
      </c>
      <c r="V452" s="38">
        <f>(1000*CHOOSE(CONTROL!$C$42, 500, 500)*CHOOSE(CONTROL!$C$42, 0.275, 0.275)*CHOOSE(CONTROL!$C$42, 31, 31))/1000000</f>
        <v>4.2625000000000002</v>
      </c>
      <c r="W452" s="38">
        <f>(1000*CHOOSE(CONTROL!$C$42, 0.1146, 0.1146)*CHOOSE(CONTROL!$C$42, 121.5, 121.5)*CHOOSE(CONTROL!$C$42, 31, 31))/1000000</f>
        <v>0.43164089999999994</v>
      </c>
      <c r="X452" s="38">
        <f>(31*0.1790888*245000/1000000)+(31*0.2374*100000/1000000)</f>
        <v>2.0961194359999999</v>
      </c>
      <c r="Y452" s="38">
        <f>(1000*600*CHOOSE(CONTROL!$C$42, 1.0791, 1.0791)*CHOOSE(CONTROL!$C$42, 31, 31))/1000000</f>
        <v>20.071259999999999</v>
      </c>
      <c r="Z452" s="38"/>
      <c r="AA452" s="10"/>
      <c r="AB452" s="39"/>
      <c r="AC452" s="33">
        <f>(B452*194.205+C452*267.466+D452*133.845+E452*53.484+F452*40+G452*185+H452*0+I452*100+J452*300)/(194.205+267.466+133.845+53.484+0+40+185+100+300)</f>
        <v>12.611532585400314</v>
      </c>
      <c r="AD452" s="27">
        <f>(M452*'RAP TEMPLATE-GAS AVAILABILITY'!O451+N452*'RAP TEMPLATE-GAS AVAILABILITY'!P451+O452*'RAP TEMPLATE-GAS AVAILABILITY'!Q451+P452*'RAP TEMPLATE-GAS AVAILABILITY'!R451)/('RAP TEMPLATE-GAS AVAILABILITY'!O451+'RAP TEMPLATE-GAS AVAILABILITY'!P451+'RAP TEMPLATE-GAS AVAILABILITY'!Q451+'RAP TEMPLATE-GAS AVAILABILITY'!R451)</f>
        <v>12.481357553956833</v>
      </c>
    </row>
    <row r="453" spans="1:30" ht="15.75">
      <c r="A453" s="14">
        <v>55061</v>
      </c>
      <c r="B453" s="10">
        <f>CHOOSE(CONTROL!$C$42, 11.8068, 11.8068) * CHOOSE(CONTROL!$C$21, $C$9, 100%, $E$9)</f>
        <v>11.806800000000001</v>
      </c>
      <c r="C453" s="10">
        <f>CHOOSE(CONTROL!$C$42, 11.8148, 11.8148) * CHOOSE(CONTROL!$C$21, $C$9, 100%, $E$9)</f>
        <v>11.8148</v>
      </c>
      <c r="D453" s="10">
        <f>CHOOSE(CONTROL!$C$42, 11.9719, 11.9719) * CHOOSE(CONTROL!$C$21, $C$9, 100%, $E$9)</f>
        <v>11.9719</v>
      </c>
      <c r="E453" s="10">
        <f>CHOOSE(CONTROL!$C$42, 12.0031, 12.0031) * CHOOSE(CONTROL!$C$21, $C$9, 100%, $E$9)</f>
        <v>12.0031</v>
      </c>
      <c r="F453" s="10">
        <f>CHOOSE(CONTROL!$C$42, 11.7512, 11.7512)*CHOOSE(CONTROL!$C$21, $C$9, 100%, $E$9)</f>
        <v>11.751200000000001</v>
      </c>
      <c r="G453" s="10">
        <f>CHOOSE(CONTROL!$C$42, 11.7674, 11.7674)*CHOOSE(CONTROL!$C$21, $C$9, 100%, $E$9)</f>
        <v>11.7674</v>
      </c>
      <c r="H453" s="10">
        <f>CHOOSE(CONTROL!$C$42, 11.9914, 11.9914) * CHOOSE(CONTROL!$C$21, $C$9, 100%, $E$9)</f>
        <v>11.991400000000001</v>
      </c>
      <c r="I453" s="10">
        <f>CHOOSE(CONTROL!$C$42, 11.7856, 11.7856)* CHOOSE(CONTROL!$C$21, $C$9, 100%, $E$9)</f>
        <v>11.785600000000001</v>
      </c>
      <c r="J453" s="10">
        <f>CHOOSE(CONTROL!$C$42, 11.7438, 11.7438)* CHOOSE(CONTROL!$C$21, $C$9, 100%, $E$9)</f>
        <v>11.7438</v>
      </c>
      <c r="K453" s="10">
        <f>CHOOSE(CONTROL!$C$42, 11.5774, 11.5774) * CHOOSE(CONTROL!$C$21, $C$9, 100%, $E$9)</f>
        <v>11.577400000000001</v>
      </c>
      <c r="L453" s="10">
        <f>CHOOSE(CONTROL!$C$42, 12.5784, 12.5784) * CHOOSE(CONTROL!$C$21, $C$9, 100%, $E$9)</f>
        <v>12.5784</v>
      </c>
      <c r="M453" s="10">
        <f>CHOOSE(CONTROL!$C$42, 11.613, 11.613) * CHOOSE(CONTROL!$C$21, $C$9, 100%, $E$9)</f>
        <v>11.613</v>
      </c>
      <c r="N453" s="10">
        <f>CHOOSE(CONTROL!$C$42, 11.6289, 11.6289) * CHOOSE(CONTROL!$C$21, $C$9, 100%, $E$9)</f>
        <v>11.6289</v>
      </c>
      <c r="O453" s="10">
        <f>CHOOSE(CONTROL!$C$42, 11.8572, 11.8572) * CHOOSE(CONTROL!$C$21, $C$9, 100%, $E$9)</f>
        <v>11.857200000000001</v>
      </c>
      <c r="P453" s="10">
        <f>CHOOSE(CONTROL!$C$42, 11.6543, 11.6543) * CHOOSE(CONTROL!$C$21, $C$9, 100%, $E$9)</f>
        <v>11.654299999999999</v>
      </c>
      <c r="Q453" s="10">
        <f>CHOOSE(CONTROL!$C$42, 12.4525, 12.4525) * CHOOSE(CONTROL!$C$21, $C$9, 100%, $E$9)</f>
        <v>12.452500000000001</v>
      </c>
      <c r="R453" s="10">
        <f>CHOOSE(CONTROL!$C$42, 13.0706, 13.0706) * CHOOSE(CONTROL!$C$21, $C$9, 100%, $E$9)</f>
        <v>13.070600000000001</v>
      </c>
      <c r="S453" s="10">
        <f>CHOOSE(CONTROL!$C$42, 11.4471, 11.4471) * CHOOSE(CONTROL!$C$21, $C$9, 100%, $E$9)</f>
        <v>11.447100000000001</v>
      </c>
      <c r="T45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53" s="38">
        <f>(1000*CHOOSE(CONTROL!$C$42, 695, 695)*CHOOSE(CONTROL!$C$42, 0.5599, 0.5599)*CHOOSE(CONTROL!$C$42, 30, 30))/1000000</f>
        <v>11.673914999999997</v>
      </c>
      <c r="V453" s="38">
        <f>(1000*CHOOSE(CONTROL!$C$42, 500, 500)*CHOOSE(CONTROL!$C$42, 0.275, 0.275)*CHOOSE(CONTROL!$C$42, 30, 30))/1000000</f>
        <v>4.125</v>
      </c>
      <c r="W453" s="38">
        <f>(1000*CHOOSE(CONTROL!$C$42, 0.1146, 0.1146)*CHOOSE(CONTROL!$C$42, 121.5, 121.5)*CHOOSE(CONTROL!$C$42, 30, 30))/1000000</f>
        <v>0.417717</v>
      </c>
      <c r="X453" s="38">
        <f>(30*0.1790888*245000/1000000)+(30*0.2374*100000/1000000)</f>
        <v>2.0285026799999999</v>
      </c>
      <c r="Y453" s="38">
        <f>(1000*600*CHOOSE(CONTROL!$C$42, 1.0791, 1.0791)*CHOOSE(CONTROL!$C$42, 30, 30))/1000000</f>
        <v>19.4238</v>
      </c>
      <c r="Z453" s="38"/>
      <c r="AA453" s="10"/>
      <c r="AB453" s="39"/>
      <c r="AC453" s="33">
        <f>(B453*194.205+C453*267.466+D453*133.845+E453*53.484+F453*40+G453*185+H453*0+I453*100+J453*300)/(194.205+267.466+133.845+53.484+0+40+185+100+300)</f>
        <v>11.810099408712714</v>
      </c>
      <c r="AD453" s="27">
        <f>(M453*'RAP TEMPLATE-GAS AVAILABILITY'!O452+N453*'RAP TEMPLATE-GAS AVAILABILITY'!P452+O453*'RAP TEMPLATE-GAS AVAILABILITY'!Q452+P453*'RAP TEMPLATE-GAS AVAILABILITY'!R452)/('RAP TEMPLATE-GAS AVAILABILITY'!O452+'RAP TEMPLATE-GAS AVAILABILITY'!P452+'RAP TEMPLATE-GAS AVAILABILITY'!Q452+'RAP TEMPLATE-GAS AVAILABILITY'!R452)</f>
        <v>11.691119424460432</v>
      </c>
    </row>
    <row r="454" spans="1:30" ht="15.75">
      <c r="A454" s="14">
        <v>55092</v>
      </c>
      <c r="B454" s="10">
        <f>CHOOSE(CONTROL!$C$42, 11.5646, 11.5646) * CHOOSE(CONTROL!$C$21, $C$9, 100%, $E$9)</f>
        <v>11.5646</v>
      </c>
      <c r="C454" s="10">
        <f>CHOOSE(CONTROL!$C$42, 11.57, 11.57) * CHOOSE(CONTROL!$C$21, $C$9, 100%, $E$9)</f>
        <v>11.57</v>
      </c>
      <c r="D454" s="10">
        <f>CHOOSE(CONTROL!$C$42, 11.7319, 11.7319) * CHOOSE(CONTROL!$C$21, $C$9, 100%, $E$9)</f>
        <v>11.7319</v>
      </c>
      <c r="E454" s="10">
        <f>CHOOSE(CONTROL!$C$42, 11.7608, 11.7608) * CHOOSE(CONTROL!$C$21, $C$9, 100%, $E$9)</f>
        <v>11.7608</v>
      </c>
      <c r="F454" s="10">
        <f>CHOOSE(CONTROL!$C$42, 11.511, 11.511)*CHOOSE(CONTROL!$C$21, $C$9, 100%, $E$9)</f>
        <v>11.510999999999999</v>
      </c>
      <c r="G454" s="10">
        <f>CHOOSE(CONTROL!$C$42, 11.5268, 11.5268)*CHOOSE(CONTROL!$C$21, $C$9, 100%, $E$9)</f>
        <v>11.5268</v>
      </c>
      <c r="H454" s="10">
        <f>CHOOSE(CONTROL!$C$42, 11.751, 11.751) * CHOOSE(CONTROL!$C$21, $C$9, 100%, $E$9)</f>
        <v>11.750999999999999</v>
      </c>
      <c r="I454" s="10">
        <f>CHOOSE(CONTROL!$C$42, 11.5451, 11.5451)* CHOOSE(CONTROL!$C$21, $C$9, 100%, $E$9)</f>
        <v>11.5451</v>
      </c>
      <c r="J454" s="10">
        <f>CHOOSE(CONTROL!$C$42, 11.5036, 11.5036)* CHOOSE(CONTROL!$C$21, $C$9, 100%, $E$9)</f>
        <v>11.5036</v>
      </c>
      <c r="K454" s="10">
        <f>CHOOSE(CONTROL!$C$42, 11.3451, 11.3451) * CHOOSE(CONTROL!$C$21, $C$9, 100%, $E$9)</f>
        <v>11.3451</v>
      </c>
      <c r="L454" s="10">
        <f>CHOOSE(CONTROL!$C$42, 12.338, 12.338) * CHOOSE(CONTROL!$C$21, $C$9, 100%, $E$9)</f>
        <v>12.337999999999999</v>
      </c>
      <c r="M454" s="10">
        <f>CHOOSE(CONTROL!$C$42, 11.3762, 11.3762) * CHOOSE(CONTROL!$C$21, $C$9, 100%, $E$9)</f>
        <v>11.376200000000001</v>
      </c>
      <c r="N454" s="10">
        <f>CHOOSE(CONTROL!$C$42, 11.3918, 11.3918) * CHOOSE(CONTROL!$C$21, $C$9, 100%, $E$9)</f>
        <v>11.3918</v>
      </c>
      <c r="O454" s="10">
        <f>CHOOSE(CONTROL!$C$42, 11.62, 11.62) * CHOOSE(CONTROL!$C$21, $C$9, 100%, $E$9)</f>
        <v>11.62</v>
      </c>
      <c r="P454" s="10">
        <f>CHOOSE(CONTROL!$C$42, 11.4172, 11.4172) * CHOOSE(CONTROL!$C$21, $C$9, 100%, $E$9)</f>
        <v>11.417199999999999</v>
      </c>
      <c r="Q454" s="10">
        <f>CHOOSE(CONTROL!$C$42, 12.2153, 12.2153) * CHOOSE(CONTROL!$C$21, $C$9, 100%, $E$9)</f>
        <v>12.215299999999999</v>
      </c>
      <c r="R454" s="10">
        <f>CHOOSE(CONTROL!$C$42, 12.8329, 12.8329) * CHOOSE(CONTROL!$C$21, $C$9, 100%, $E$9)</f>
        <v>12.8329</v>
      </c>
      <c r="S454" s="10">
        <f>CHOOSE(CONTROL!$C$42, 11.2143, 11.2143) * CHOOSE(CONTROL!$C$21, $C$9, 100%, $E$9)</f>
        <v>11.2143</v>
      </c>
      <c r="T45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54" s="38">
        <f>(1000*CHOOSE(CONTROL!$C$42, 695, 695)*CHOOSE(CONTROL!$C$42, 0.5599, 0.5599)*CHOOSE(CONTROL!$C$42, 31, 31))/1000000</f>
        <v>12.063045499999998</v>
      </c>
      <c r="V454" s="38">
        <f>(1000*CHOOSE(CONTROL!$C$42, 500, 500)*CHOOSE(CONTROL!$C$42, 0.275, 0.275)*CHOOSE(CONTROL!$C$42, 31, 31))/1000000</f>
        <v>4.2625000000000002</v>
      </c>
      <c r="W454" s="38">
        <f>(1000*CHOOSE(CONTROL!$C$42, 0.1146, 0.1146)*CHOOSE(CONTROL!$C$42, 121.5, 121.5)*CHOOSE(CONTROL!$C$42, 31, 31))/1000000</f>
        <v>0.43164089999999994</v>
      </c>
      <c r="X454" s="38">
        <f>(31*0.1790888*245000/1000000)+(31*0.2374*100000/1000000)</f>
        <v>2.0961194359999999</v>
      </c>
      <c r="Y454" s="38">
        <f>(1000*600*CHOOSE(CONTROL!$C$42, 1.0791, 1.0791)*CHOOSE(CONTROL!$C$42, 31, 31))/1000000</f>
        <v>20.071259999999999</v>
      </c>
      <c r="Z454" s="38"/>
      <c r="AA454" s="10"/>
      <c r="AB454" s="39"/>
      <c r="AC454" s="33">
        <f>(B454*131.881+C454*277.167+D454*79.08+E454*125.872+F454*40+G454*185+H454*0+I454*100+J454*300)/(131.881+277.167+79.08+125.872+0+40+185+100+300)</f>
        <v>11.57269997756255</v>
      </c>
      <c r="AD454" s="27">
        <f>(M454*'RAP TEMPLATE-GAS AVAILABILITY'!O453+N454*'RAP TEMPLATE-GAS AVAILABILITY'!P453+O454*'RAP TEMPLATE-GAS AVAILABILITY'!Q453+P454*'RAP TEMPLATE-GAS AVAILABILITY'!R453)/('RAP TEMPLATE-GAS AVAILABILITY'!O453+'RAP TEMPLATE-GAS AVAILABILITY'!P453+'RAP TEMPLATE-GAS AVAILABILITY'!Q453+'RAP TEMPLATE-GAS AVAILABILITY'!R453)</f>
        <v>11.454094964028778</v>
      </c>
    </row>
    <row r="455" spans="1:30" ht="15.75">
      <c r="A455" s="14">
        <v>55122</v>
      </c>
      <c r="B455" s="10">
        <f>CHOOSE(CONTROL!$C$42, 11.8693, 11.8693) * CHOOSE(CONTROL!$C$21, $C$9, 100%, $E$9)</f>
        <v>11.869300000000001</v>
      </c>
      <c r="C455" s="10">
        <f>CHOOSE(CONTROL!$C$42, 11.8744, 11.8744) * CHOOSE(CONTROL!$C$21, $C$9, 100%, $E$9)</f>
        <v>11.8744</v>
      </c>
      <c r="D455" s="10">
        <f>CHOOSE(CONTROL!$C$42, 11.8991, 11.8991) * CHOOSE(CONTROL!$C$21, $C$9, 100%, $E$9)</f>
        <v>11.899100000000001</v>
      </c>
      <c r="E455" s="10">
        <f>CHOOSE(CONTROL!$C$42, 11.9329, 11.9329) * CHOOSE(CONTROL!$C$21, $C$9, 100%, $E$9)</f>
        <v>11.9329</v>
      </c>
      <c r="F455" s="10">
        <f>CHOOSE(CONTROL!$C$42, 11.8376, 11.8376)*CHOOSE(CONTROL!$C$21, $C$9, 100%, $E$9)</f>
        <v>11.8376</v>
      </c>
      <c r="G455" s="10">
        <f>CHOOSE(CONTROL!$C$42, 11.8537, 11.8537)*CHOOSE(CONTROL!$C$21, $C$9, 100%, $E$9)</f>
        <v>11.8537</v>
      </c>
      <c r="H455" s="10">
        <f>CHOOSE(CONTROL!$C$42, 11.9218, 11.9218) * CHOOSE(CONTROL!$C$21, $C$9, 100%, $E$9)</f>
        <v>11.921799999999999</v>
      </c>
      <c r="I455" s="10">
        <f>CHOOSE(CONTROL!$C$42, 11.8843, 11.8843)* CHOOSE(CONTROL!$C$21, $C$9, 100%, $E$9)</f>
        <v>11.8843</v>
      </c>
      <c r="J455" s="10">
        <f>CHOOSE(CONTROL!$C$42, 11.8302, 11.8302)* CHOOSE(CONTROL!$C$21, $C$9, 100%, $E$9)</f>
        <v>11.8302</v>
      </c>
      <c r="K455" s="10">
        <f>CHOOSE(CONTROL!$C$42, 11.6759, 11.6759) * CHOOSE(CONTROL!$C$21, $C$9, 100%, $E$9)</f>
        <v>11.6759</v>
      </c>
      <c r="L455" s="10">
        <f>CHOOSE(CONTROL!$C$42, 12.5088, 12.5088) * CHOOSE(CONTROL!$C$21, $C$9, 100%, $E$9)</f>
        <v>12.508800000000001</v>
      </c>
      <c r="M455" s="10">
        <f>CHOOSE(CONTROL!$C$42, 11.6982, 11.6982) * CHOOSE(CONTROL!$C$21, $C$9, 100%, $E$9)</f>
        <v>11.6982</v>
      </c>
      <c r="N455" s="10">
        <f>CHOOSE(CONTROL!$C$42, 11.714, 11.714) * CHOOSE(CONTROL!$C$21, $C$9, 100%, $E$9)</f>
        <v>11.714</v>
      </c>
      <c r="O455" s="10">
        <f>CHOOSE(CONTROL!$C$42, 11.7885, 11.7885) * CHOOSE(CONTROL!$C$21, $C$9, 100%, $E$9)</f>
        <v>11.788500000000001</v>
      </c>
      <c r="P455" s="10">
        <f>CHOOSE(CONTROL!$C$42, 11.7516, 11.7516) * CHOOSE(CONTROL!$C$21, $C$9, 100%, $E$9)</f>
        <v>11.7516</v>
      </c>
      <c r="Q455" s="10">
        <f>CHOOSE(CONTROL!$C$42, 12.3838, 12.3838) * CHOOSE(CONTROL!$C$21, $C$9, 100%, $E$9)</f>
        <v>12.383800000000001</v>
      </c>
      <c r="R455" s="10">
        <f>CHOOSE(CONTROL!$C$42, 13.0018, 13.0018) * CHOOSE(CONTROL!$C$21, $C$9, 100%, $E$9)</f>
        <v>13.001799999999999</v>
      </c>
      <c r="S455" s="10">
        <f>CHOOSE(CONTROL!$C$42, 11.5097, 11.5097) * CHOOSE(CONTROL!$C$21, $C$9, 100%, $E$9)</f>
        <v>11.5097</v>
      </c>
      <c r="T45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55" s="38">
        <f>(1000*CHOOSE(CONTROL!$C$42, 695, 695)*CHOOSE(CONTROL!$C$42, 0.5599, 0.5599)*CHOOSE(CONTROL!$C$42, 30, 30))/1000000</f>
        <v>11.673914999999997</v>
      </c>
      <c r="V455" s="38">
        <f>(1000*CHOOSE(CONTROL!$C$42, 500, 500)*CHOOSE(CONTROL!$C$42, 0.275, 0.275)*CHOOSE(CONTROL!$C$42, 30, 30))/1000000</f>
        <v>4.125</v>
      </c>
      <c r="W455" s="38">
        <f>(1000*CHOOSE(CONTROL!$C$42, 0.1146, 0.1146)*CHOOSE(CONTROL!$C$42, 121.5, 121.5)*CHOOSE(CONTROL!$C$42, 30, 30))/1000000</f>
        <v>0.417717</v>
      </c>
      <c r="X455" s="38">
        <f>(30*0.1790888*100000/1000000)+(30*0.2374*100000/1000000)</f>
        <v>1.2494664</v>
      </c>
      <c r="Y455" s="38">
        <f>(1000*600*CHOOSE(CONTROL!$C$42, 1.0791, 1.0791)*CHOOSE(CONTROL!$C$42, 30, 30))/1000000</f>
        <v>19.4238</v>
      </c>
      <c r="Z455" s="38"/>
      <c r="AA455" s="10"/>
      <c r="AB455" s="39"/>
      <c r="AC455" s="33">
        <f>(B455*122.58+C455*297.941+D455*89.177+E455*40.302+F455*40+G455*160+H455*0+I455*100+J455*300)/(122.58+297.941+89.177+40.302+0+40+160+100+300)</f>
        <v>11.862992331217391</v>
      </c>
      <c r="AD455" s="27">
        <f>(M455*'RAP TEMPLATE-GAS AVAILABILITY'!O454+N455*'RAP TEMPLATE-GAS AVAILABILITY'!P454+O455*'RAP TEMPLATE-GAS AVAILABILITY'!Q454+P455*'RAP TEMPLATE-GAS AVAILABILITY'!R454)/('RAP TEMPLATE-GAS AVAILABILITY'!O454+'RAP TEMPLATE-GAS AVAILABILITY'!P454+'RAP TEMPLATE-GAS AVAILABILITY'!Q454+'RAP TEMPLATE-GAS AVAILABILITY'!R454)</f>
        <v>11.747720143884893</v>
      </c>
    </row>
    <row r="456" spans="1:30" ht="15.75">
      <c r="A456" s="14">
        <v>55153</v>
      </c>
      <c r="B456" s="10">
        <f>CHOOSE(CONTROL!$C$42, 12.6797, 12.6797) * CHOOSE(CONTROL!$C$21, $C$9, 100%, $E$9)</f>
        <v>12.6797</v>
      </c>
      <c r="C456" s="10">
        <f>CHOOSE(CONTROL!$C$42, 12.6848, 12.6848) * CHOOSE(CONTROL!$C$21, $C$9, 100%, $E$9)</f>
        <v>12.684799999999999</v>
      </c>
      <c r="D456" s="10">
        <f>CHOOSE(CONTROL!$C$42, 12.7095, 12.7095) * CHOOSE(CONTROL!$C$21, $C$9, 100%, $E$9)</f>
        <v>12.7095</v>
      </c>
      <c r="E456" s="10">
        <f>CHOOSE(CONTROL!$C$42, 12.7433, 12.7433) * CHOOSE(CONTROL!$C$21, $C$9, 100%, $E$9)</f>
        <v>12.7433</v>
      </c>
      <c r="F456" s="10">
        <f>CHOOSE(CONTROL!$C$42, 12.6499, 12.6499)*CHOOSE(CONTROL!$C$21, $C$9, 100%, $E$9)</f>
        <v>12.649900000000001</v>
      </c>
      <c r="G456" s="10">
        <f>CHOOSE(CONTROL!$C$42, 12.6664, 12.6664)*CHOOSE(CONTROL!$C$21, $C$9, 100%, $E$9)</f>
        <v>12.666399999999999</v>
      </c>
      <c r="H456" s="10">
        <f>CHOOSE(CONTROL!$C$42, 12.7321, 12.7321) * CHOOSE(CONTROL!$C$21, $C$9, 100%, $E$9)</f>
        <v>12.732100000000001</v>
      </c>
      <c r="I456" s="10">
        <f>CHOOSE(CONTROL!$C$42, 12.6947, 12.6947)* CHOOSE(CONTROL!$C$21, $C$9, 100%, $E$9)</f>
        <v>12.694699999999999</v>
      </c>
      <c r="J456" s="10">
        <f>CHOOSE(CONTROL!$C$42, 12.6425, 12.6425)* CHOOSE(CONTROL!$C$21, $C$9, 100%, $E$9)</f>
        <v>12.6425</v>
      </c>
      <c r="K456" s="10">
        <f>CHOOSE(CONTROL!$C$42, 12.4651, 12.4651) * CHOOSE(CONTROL!$C$21, $C$9, 100%, $E$9)</f>
        <v>12.4651</v>
      </c>
      <c r="L456" s="10">
        <f>CHOOSE(CONTROL!$C$42, 13.3191, 13.3191) * CHOOSE(CONTROL!$C$21, $C$9, 100%, $E$9)</f>
        <v>13.319100000000001</v>
      </c>
      <c r="M456" s="10">
        <f>CHOOSE(CONTROL!$C$42, 12.4992, 12.4992) * CHOOSE(CONTROL!$C$21, $C$9, 100%, $E$9)</f>
        <v>12.4992</v>
      </c>
      <c r="N456" s="10">
        <f>CHOOSE(CONTROL!$C$42, 12.5154, 12.5154) * CHOOSE(CONTROL!$C$21, $C$9, 100%, $E$9)</f>
        <v>12.5154</v>
      </c>
      <c r="O456" s="10">
        <f>CHOOSE(CONTROL!$C$42, 12.5875, 12.5875) * CHOOSE(CONTROL!$C$21, $C$9, 100%, $E$9)</f>
        <v>12.5875</v>
      </c>
      <c r="P456" s="10">
        <f>CHOOSE(CONTROL!$C$42, 12.5506, 12.5506) * CHOOSE(CONTROL!$C$21, $C$9, 100%, $E$9)</f>
        <v>12.550599999999999</v>
      </c>
      <c r="Q456" s="10">
        <f>CHOOSE(CONTROL!$C$42, 13.1828, 13.1828) * CHOOSE(CONTROL!$C$21, $C$9, 100%, $E$9)</f>
        <v>13.1828</v>
      </c>
      <c r="R456" s="10">
        <f>CHOOSE(CONTROL!$C$42, 13.8028, 13.8028) * CHOOSE(CONTROL!$C$21, $C$9, 100%, $E$9)</f>
        <v>13.8028</v>
      </c>
      <c r="S456" s="10">
        <f>CHOOSE(CONTROL!$C$42, 12.2944, 12.2944) * CHOOSE(CONTROL!$C$21, $C$9, 100%, $E$9)</f>
        <v>12.2944</v>
      </c>
      <c r="T45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56" s="38">
        <f>(1000*CHOOSE(CONTROL!$C$42, 695, 695)*CHOOSE(CONTROL!$C$42, 0.5599, 0.5599)*CHOOSE(CONTROL!$C$42, 31, 31))/1000000</f>
        <v>12.063045499999998</v>
      </c>
      <c r="V456" s="38">
        <f>(1000*CHOOSE(CONTROL!$C$42, 500, 500)*CHOOSE(CONTROL!$C$42, 0.275, 0.275)*CHOOSE(CONTROL!$C$42, 31, 31))/1000000</f>
        <v>4.2625000000000002</v>
      </c>
      <c r="W456" s="38">
        <f>(1000*CHOOSE(CONTROL!$C$42, 0.1146, 0.1146)*CHOOSE(CONTROL!$C$42, 121.5, 121.5)*CHOOSE(CONTROL!$C$42, 31, 31))/1000000</f>
        <v>0.43164089999999994</v>
      </c>
      <c r="X456" s="38">
        <f>(31*0.1790888*100000/1000000)+(31*0.2374*100000/1000000)</f>
        <v>1.2911152800000001</v>
      </c>
      <c r="Y456" s="38">
        <f>(1000*600*CHOOSE(CONTROL!$C$42, 1.0791, 1.0791)*CHOOSE(CONTROL!$C$42, 31, 31))/1000000</f>
        <v>20.071259999999999</v>
      </c>
      <c r="Z456" s="38"/>
      <c r="AA456" s="10"/>
      <c r="AB456" s="39"/>
      <c r="AC456" s="33">
        <f>(B456*122.58+C456*297.941+D456*89.177+E456*40.302+F456*40+G456*160+H456*0+I456*100+J456*300)/(122.58+297.941+89.177+40.302+0+40+160+100+300)</f>
        <v>12.674274070347824</v>
      </c>
      <c r="AD456" s="27">
        <f>(M456*'RAP TEMPLATE-GAS AVAILABILITY'!O455+N456*'RAP TEMPLATE-GAS AVAILABILITY'!P455+O456*'RAP TEMPLATE-GAS AVAILABILITY'!Q455+P456*'RAP TEMPLATE-GAS AVAILABILITY'!R455)/('RAP TEMPLATE-GAS AVAILABILITY'!O455+'RAP TEMPLATE-GAS AVAILABILITY'!P455+'RAP TEMPLATE-GAS AVAILABILITY'!Q455+'RAP TEMPLATE-GAS AVAILABILITY'!R455)</f>
        <v>12.54754892086331</v>
      </c>
    </row>
    <row r="457" spans="1:30" ht="15.75">
      <c r="A457" s="14">
        <v>55184</v>
      </c>
      <c r="B457" s="10">
        <f>CHOOSE(CONTROL!$C$42, 13.5366, 13.5366) * CHOOSE(CONTROL!$C$21, $C$9, 100%, $E$9)</f>
        <v>13.5366</v>
      </c>
      <c r="C457" s="10">
        <f>CHOOSE(CONTROL!$C$42, 13.5417, 13.5417) * CHOOSE(CONTROL!$C$21, $C$9, 100%, $E$9)</f>
        <v>13.541700000000001</v>
      </c>
      <c r="D457" s="10">
        <f>CHOOSE(CONTROL!$C$42, 13.5741, 13.5741) * CHOOSE(CONTROL!$C$21, $C$9, 100%, $E$9)</f>
        <v>13.5741</v>
      </c>
      <c r="E457" s="10">
        <f>CHOOSE(CONTROL!$C$42, 13.6079, 13.6079) * CHOOSE(CONTROL!$C$21, $C$9, 100%, $E$9)</f>
        <v>13.607900000000001</v>
      </c>
      <c r="F457" s="10">
        <f>CHOOSE(CONTROL!$C$42, 13.5208, 13.5208)*CHOOSE(CONTROL!$C$21, $C$9, 100%, $E$9)</f>
        <v>13.520799999999999</v>
      </c>
      <c r="G457" s="10">
        <f>CHOOSE(CONTROL!$C$42, 13.5388, 13.5388)*CHOOSE(CONTROL!$C$21, $C$9, 100%, $E$9)</f>
        <v>13.5388</v>
      </c>
      <c r="H457" s="10">
        <f>CHOOSE(CONTROL!$C$42, 13.5968, 13.5968) * CHOOSE(CONTROL!$C$21, $C$9, 100%, $E$9)</f>
        <v>13.5968</v>
      </c>
      <c r="I457" s="10">
        <f>CHOOSE(CONTROL!$C$42, 13.55, 13.55)* CHOOSE(CONTROL!$C$21, $C$9, 100%, $E$9)</f>
        <v>13.55</v>
      </c>
      <c r="J457" s="10">
        <f>CHOOSE(CONTROL!$C$42, 13.5134, 13.5134)* CHOOSE(CONTROL!$C$21, $C$9, 100%, $E$9)</f>
        <v>13.513400000000001</v>
      </c>
      <c r="K457" s="10">
        <f>CHOOSE(CONTROL!$C$42, 13.3077, 13.3077) * CHOOSE(CONTROL!$C$21, $C$9, 100%, $E$9)</f>
        <v>13.307700000000001</v>
      </c>
      <c r="L457" s="10">
        <f>CHOOSE(CONTROL!$C$42, 14.1838, 14.1838) * CHOOSE(CONTROL!$C$21, $C$9, 100%, $E$9)</f>
        <v>14.1838</v>
      </c>
      <c r="M457" s="10">
        <f>CHOOSE(CONTROL!$C$42, 13.3579, 13.3579) * CHOOSE(CONTROL!$C$21, $C$9, 100%, $E$9)</f>
        <v>13.357900000000001</v>
      </c>
      <c r="N457" s="10">
        <f>CHOOSE(CONTROL!$C$42, 13.3756, 13.3756) * CHOOSE(CONTROL!$C$21, $C$9, 100%, $E$9)</f>
        <v>13.3756</v>
      </c>
      <c r="O457" s="10">
        <f>CHOOSE(CONTROL!$C$42, 13.4401, 13.4401) * CHOOSE(CONTROL!$C$21, $C$9, 100%, $E$9)</f>
        <v>13.440099999999999</v>
      </c>
      <c r="P457" s="10">
        <f>CHOOSE(CONTROL!$C$42, 13.3941, 13.3941) * CHOOSE(CONTROL!$C$21, $C$9, 100%, $E$9)</f>
        <v>13.3941</v>
      </c>
      <c r="Q457" s="10">
        <f>CHOOSE(CONTROL!$C$42, 14.0354, 14.0354) * CHOOSE(CONTROL!$C$21, $C$9, 100%, $E$9)</f>
        <v>14.035399999999999</v>
      </c>
      <c r="R457" s="10">
        <f>CHOOSE(CONTROL!$C$42, 14.6575, 14.6575) * CHOOSE(CONTROL!$C$21, $C$9, 100%, $E$9)</f>
        <v>14.657500000000001</v>
      </c>
      <c r="S457" s="10">
        <f>CHOOSE(CONTROL!$C$42, 13.1241, 13.1241) * CHOOSE(CONTROL!$C$21, $C$9, 100%, $E$9)</f>
        <v>13.1241</v>
      </c>
      <c r="T45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57" s="38">
        <f>(1000*CHOOSE(CONTROL!$C$42, 695, 695)*CHOOSE(CONTROL!$C$42, 0.5599, 0.5599)*CHOOSE(CONTROL!$C$42, 31, 31))/1000000</f>
        <v>12.063045499999998</v>
      </c>
      <c r="V457" s="38">
        <f>(1000*CHOOSE(CONTROL!$C$42, 500, 500)*CHOOSE(CONTROL!$C$42, 0.275, 0.275)*CHOOSE(CONTROL!$C$42, 31, 31))/1000000</f>
        <v>4.2625000000000002</v>
      </c>
      <c r="W457" s="38">
        <f>(1000*CHOOSE(CONTROL!$C$42, 0.1146, 0.1146)*CHOOSE(CONTROL!$C$42, 121.5, 121.5)*CHOOSE(CONTROL!$C$42, 31, 31))/1000000</f>
        <v>0.43164089999999994</v>
      </c>
      <c r="X457" s="38">
        <f>(31*0.1790888*100000/1000000)+(31*0.2374*100000/1000000)</f>
        <v>1.2911152800000001</v>
      </c>
      <c r="Y457" s="38">
        <f>(1000*600*CHOOSE(CONTROL!$C$42, 1.0757, 1.0757)*CHOOSE(CONTROL!$C$42, 31, 31))/1000000</f>
        <v>20.008020000000005</v>
      </c>
      <c r="Z457" s="38"/>
      <c r="AA457" s="10"/>
      <c r="AB457" s="39"/>
      <c r="AC457" s="33">
        <f>(B457*122.58+C457*297.941+D457*89.177+E457*40.302+F457*40+G457*160+H457*0+I457*100+J457*300)/(122.58+297.941+89.177+40.302+0+40+160+100+300)</f>
        <v>13.538197538434783</v>
      </c>
      <c r="AD457" s="27">
        <f>(M457*'RAP TEMPLATE-GAS AVAILABILITY'!O456+N457*'RAP TEMPLATE-GAS AVAILABILITY'!P456+O457*'RAP TEMPLATE-GAS AVAILABILITY'!Q456+P457*'RAP TEMPLATE-GAS AVAILABILITY'!R456)/('RAP TEMPLATE-GAS AVAILABILITY'!O456+'RAP TEMPLATE-GAS AVAILABILITY'!P456+'RAP TEMPLATE-GAS AVAILABILITY'!Q456+'RAP TEMPLATE-GAS AVAILABILITY'!R456)</f>
        <v>13.401383453237409</v>
      </c>
    </row>
    <row r="458" spans="1:30" ht="15.75">
      <c r="A458" s="14">
        <v>55212</v>
      </c>
      <c r="B458" s="10">
        <f>CHOOSE(CONTROL!$C$42, 13.7778, 13.7778) * CHOOSE(CONTROL!$C$21, $C$9, 100%, $E$9)</f>
        <v>13.777799999999999</v>
      </c>
      <c r="C458" s="10">
        <f>CHOOSE(CONTROL!$C$42, 13.7829, 13.7829) * CHOOSE(CONTROL!$C$21, $C$9, 100%, $E$9)</f>
        <v>13.7829</v>
      </c>
      <c r="D458" s="10">
        <f>CHOOSE(CONTROL!$C$42, 13.8154, 13.8154) * CHOOSE(CONTROL!$C$21, $C$9, 100%, $E$9)</f>
        <v>13.8154</v>
      </c>
      <c r="E458" s="10">
        <f>CHOOSE(CONTROL!$C$42, 13.8492, 13.8492) * CHOOSE(CONTROL!$C$21, $C$9, 100%, $E$9)</f>
        <v>13.8492</v>
      </c>
      <c r="F458" s="10">
        <f>CHOOSE(CONTROL!$C$42, 13.7616, 13.7616)*CHOOSE(CONTROL!$C$21, $C$9, 100%, $E$9)</f>
        <v>13.7616</v>
      </c>
      <c r="G458" s="10">
        <f>CHOOSE(CONTROL!$C$42, 13.7795, 13.7795)*CHOOSE(CONTROL!$C$21, $C$9, 100%, $E$9)</f>
        <v>13.779500000000001</v>
      </c>
      <c r="H458" s="10">
        <f>CHOOSE(CONTROL!$C$42, 13.838, 13.838) * CHOOSE(CONTROL!$C$21, $C$9, 100%, $E$9)</f>
        <v>13.837999999999999</v>
      </c>
      <c r="I458" s="10">
        <f>CHOOSE(CONTROL!$C$42, 13.7913, 13.7913)* CHOOSE(CONTROL!$C$21, $C$9, 100%, $E$9)</f>
        <v>13.7913</v>
      </c>
      <c r="J458" s="10">
        <f>CHOOSE(CONTROL!$C$42, 13.7542, 13.7542)* CHOOSE(CONTROL!$C$21, $C$9, 100%, $E$9)</f>
        <v>13.754200000000001</v>
      </c>
      <c r="K458" s="10">
        <f>CHOOSE(CONTROL!$C$42, 13.5404, 13.5404) * CHOOSE(CONTROL!$C$21, $C$9, 100%, $E$9)</f>
        <v>13.5404</v>
      </c>
      <c r="L458" s="10">
        <f>CHOOSE(CONTROL!$C$42, 14.425, 14.425) * CHOOSE(CONTROL!$C$21, $C$9, 100%, $E$9)</f>
        <v>14.425000000000001</v>
      </c>
      <c r="M458" s="10">
        <f>CHOOSE(CONTROL!$C$42, 13.5953, 13.5953) * CHOOSE(CONTROL!$C$21, $C$9, 100%, $E$9)</f>
        <v>13.5953</v>
      </c>
      <c r="N458" s="10">
        <f>CHOOSE(CONTROL!$C$42, 13.613, 13.613) * CHOOSE(CONTROL!$C$21, $C$9, 100%, $E$9)</f>
        <v>13.613</v>
      </c>
      <c r="O458" s="10">
        <f>CHOOSE(CONTROL!$C$42, 13.678, 13.678) * CHOOSE(CONTROL!$C$21, $C$9, 100%, $E$9)</f>
        <v>13.678000000000001</v>
      </c>
      <c r="P458" s="10">
        <f>CHOOSE(CONTROL!$C$42, 13.6319, 13.6319) * CHOOSE(CONTROL!$C$21, $C$9, 100%, $E$9)</f>
        <v>13.6319</v>
      </c>
      <c r="Q458" s="10">
        <f>CHOOSE(CONTROL!$C$42, 14.2733, 14.2733) * CHOOSE(CONTROL!$C$21, $C$9, 100%, $E$9)</f>
        <v>14.273300000000001</v>
      </c>
      <c r="R458" s="10">
        <f>CHOOSE(CONTROL!$C$42, 14.896, 14.896) * CHOOSE(CONTROL!$C$21, $C$9, 100%, $E$9)</f>
        <v>14.896000000000001</v>
      </c>
      <c r="S458" s="10">
        <f>CHOOSE(CONTROL!$C$42, 13.3577, 13.3577) * CHOOSE(CONTROL!$C$21, $C$9, 100%, $E$9)</f>
        <v>13.357699999999999</v>
      </c>
      <c r="T45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58" s="38">
        <f>(1000*CHOOSE(CONTROL!$C$42, 695, 695)*CHOOSE(CONTROL!$C$42, 0.5599, 0.5599)*CHOOSE(CONTROL!$C$42, 28, 28))/1000000</f>
        <v>10.895653999999999</v>
      </c>
      <c r="V458" s="38">
        <f>(1000*CHOOSE(CONTROL!$C$42, 500, 500)*CHOOSE(CONTROL!$C$42, 0.275, 0.275)*CHOOSE(CONTROL!$C$42, 28, 28))/1000000</f>
        <v>3.85</v>
      </c>
      <c r="W458" s="38">
        <f>(1000*CHOOSE(CONTROL!$C$42, 0.1146, 0.1146)*CHOOSE(CONTROL!$C$42, 121.5, 121.5)*CHOOSE(CONTROL!$C$42, 28, 28))/1000000</f>
        <v>0.38986920000000003</v>
      </c>
      <c r="X458" s="38">
        <f>(28*0.1790888*100000/1000000)+(28*0.2374*100000/1000000)</f>
        <v>1.16616864</v>
      </c>
      <c r="Y458" s="38">
        <f>(1000*600*CHOOSE(CONTROL!$C$42, 1.0757, 1.0757)*CHOOSE(CONTROL!$C$42, 28, 28))/1000000</f>
        <v>18.071760000000005</v>
      </c>
      <c r="Z458" s="38"/>
      <c r="AA458" s="10"/>
      <c r="AB458" s="39"/>
      <c r="AC458" s="33">
        <f>(B458*122.58+C458*297.941+D458*89.177+E458*40.302+F458*40+G458*160+H458*0+I458*100+J458*300)/(122.58+297.941+89.177+40.302+0+40+160+100+300)</f>
        <v>13.779229667043477</v>
      </c>
      <c r="AD458" s="27">
        <f>(M458*'RAP TEMPLATE-GAS AVAILABILITY'!O457+N458*'RAP TEMPLATE-GAS AVAILABILITY'!P457+O458*'RAP TEMPLATE-GAS AVAILABILITY'!Q457+P458*'RAP TEMPLATE-GAS AVAILABILITY'!R457)/('RAP TEMPLATE-GAS AVAILABILITY'!O457+'RAP TEMPLATE-GAS AVAILABILITY'!P457+'RAP TEMPLATE-GAS AVAILABILITY'!Q457+'RAP TEMPLATE-GAS AVAILABILITY'!R457)</f>
        <v>13.63906762589928</v>
      </c>
    </row>
    <row r="459" spans="1:30" ht="15.75">
      <c r="A459" s="14">
        <v>55243</v>
      </c>
      <c r="B459" s="10">
        <f>CHOOSE(CONTROL!$C$42, 13.3862, 13.3862) * CHOOSE(CONTROL!$C$21, $C$9, 100%, $E$9)</f>
        <v>13.386200000000001</v>
      </c>
      <c r="C459" s="10">
        <f>CHOOSE(CONTROL!$C$42, 13.3913, 13.3913) * CHOOSE(CONTROL!$C$21, $C$9, 100%, $E$9)</f>
        <v>13.391299999999999</v>
      </c>
      <c r="D459" s="10">
        <f>CHOOSE(CONTROL!$C$42, 13.4237, 13.4237) * CHOOSE(CONTROL!$C$21, $C$9, 100%, $E$9)</f>
        <v>13.4237</v>
      </c>
      <c r="E459" s="10">
        <f>CHOOSE(CONTROL!$C$42, 13.4575, 13.4575) * CHOOSE(CONTROL!$C$21, $C$9, 100%, $E$9)</f>
        <v>13.4575</v>
      </c>
      <c r="F459" s="10">
        <f>CHOOSE(CONTROL!$C$42, 13.3685, 13.3685)*CHOOSE(CONTROL!$C$21, $C$9, 100%, $E$9)</f>
        <v>13.368499999999999</v>
      </c>
      <c r="G459" s="10">
        <f>CHOOSE(CONTROL!$C$42, 13.386, 13.386)*CHOOSE(CONTROL!$C$21, $C$9, 100%, $E$9)</f>
        <v>13.385999999999999</v>
      </c>
      <c r="H459" s="10">
        <f>CHOOSE(CONTROL!$C$42, 13.4464, 13.4464) * CHOOSE(CONTROL!$C$21, $C$9, 100%, $E$9)</f>
        <v>13.446400000000001</v>
      </c>
      <c r="I459" s="10">
        <f>CHOOSE(CONTROL!$C$42, 13.3996, 13.3996)* CHOOSE(CONTROL!$C$21, $C$9, 100%, $E$9)</f>
        <v>13.3996</v>
      </c>
      <c r="J459" s="10">
        <f>CHOOSE(CONTROL!$C$42, 13.3611, 13.3611)* CHOOSE(CONTROL!$C$21, $C$9, 100%, $E$9)</f>
        <v>13.3611</v>
      </c>
      <c r="K459" s="10">
        <f>CHOOSE(CONTROL!$C$42, 13.1579, 13.1579) * CHOOSE(CONTROL!$C$21, $C$9, 100%, $E$9)</f>
        <v>13.1579</v>
      </c>
      <c r="L459" s="10">
        <f>CHOOSE(CONTROL!$C$42, 14.0334, 14.0334) * CHOOSE(CONTROL!$C$21, $C$9, 100%, $E$9)</f>
        <v>14.0334</v>
      </c>
      <c r="M459" s="10">
        <f>CHOOSE(CONTROL!$C$42, 13.2077, 13.2077) * CHOOSE(CONTROL!$C$21, $C$9, 100%, $E$9)</f>
        <v>13.207700000000001</v>
      </c>
      <c r="N459" s="10">
        <f>CHOOSE(CONTROL!$C$42, 13.225, 13.225) * CHOOSE(CONTROL!$C$21, $C$9, 100%, $E$9)</f>
        <v>13.225</v>
      </c>
      <c r="O459" s="10">
        <f>CHOOSE(CONTROL!$C$42, 13.2919, 13.2919) * CHOOSE(CONTROL!$C$21, $C$9, 100%, $E$9)</f>
        <v>13.2919</v>
      </c>
      <c r="P459" s="10">
        <f>CHOOSE(CONTROL!$C$42, 13.2458, 13.2458) * CHOOSE(CONTROL!$C$21, $C$9, 100%, $E$9)</f>
        <v>13.245799999999999</v>
      </c>
      <c r="Q459" s="10">
        <f>CHOOSE(CONTROL!$C$42, 13.8872, 13.8872) * CHOOSE(CONTROL!$C$21, $C$9, 100%, $E$9)</f>
        <v>13.8872</v>
      </c>
      <c r="R459" s="10">
        <f>CHOOSE(CONTROL!$C$42, 14.5089, 14.5089) * CHOOSE(CONTROL!$C$21, $C$9, 100%, $E$9)</f>
        <v>14.508900000000001</v>
      </c>
      <c r="S459" s="10">
        <f>CHOOSE(CONTROL!$C$42, 12.9785, 12.9785) * CHOOSE(CONTROL!$C$21, $C$9, 100%, $E$9)</f>
        <v>12.9785</v>
      </c>
      <c r="T45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59" s="38">
        <f>(1000*CHOOSE(CONTROL!$C$42, 695, 695)*CHOOSE(CONTROL!$C$42, 0.5599, 0.5599)*CHOOSE(CONTROL!$C$42, 31, 31))/1000000</f>
        <v>12.063045499999998</v>
      </c>
      <c r="V459" s="38">
        <f>(1000*CHOOSE(CONTROL!$C$42, 500, 500)*CHOOSE(CONTROL!$C$42, 0.275, 0.275)*CHOOSE(CONTROL!$C$42, 31, 31))/1000000</f>
        <v>4.2625000000000002</v>
      </c>
      <c r="W459" s="38">
        <f>(1000*CHOOSE(CONTROL!$C$42, 0.1146, 0.1146)*CHOOSE(CONTROL!$C$42, 121.5, 121.5)*CHOOSE(CONTROL!$C$42, 31, 31))/1000000</f>
        <v>0.43164089999999994</v>
      </c>
      <c r="X459" s="38">
        <f>(31*0.1790888*100000/1000000)+(31*0.2374*100000/1000000)</f>
        <v>1.2911152800000001</v>
      </c>
      <c r="Y459" s="38">
        <f>(1000*600*CHOOSE(CONTROL!$C$42, 1.0757, 1.0757)*CHOOSE(CONTROL!$C$42, 31, 31))/1000000</f>
        <v>20.008020000000005</v>
      </c>
      <c r="Z459" s="38"/>
      <c r="AA459" s="10"/>
      <c r="AB459" s="39"/>
      <c r="AC459" s="33">
        <f>(B459*122.58+C459*297.941+D459*89.177+E459*40.302+F459*40+G459*160+H459*0+I459*100+J459*300)/(122.58+297.941+89.177+40.302+0+40+160+100+300)</f>
        <v>13.386901886260869</v>
      </c>
      <c r="AD459" s="27">
        <f>(M459*'RAP TEMPLATE-GAS AVAILABILITY'!O458+N459*'RAP TEMPLATE-GAS AVAILABILITY'!P458+O459*'RAP TEMPLATE-GAS AVAILABILITY'!Q458+P459*'RAP TEMPLATE-GAS AVAILABILITY'!R458)/('RAP TEMPLATE-GAS AVAILABILITY'!O458+'RAP TEMPLATE-GAS AVAILABILITY'!P458+'RAP TEMPLATE-GAS AVAILABILITY'!Q458+'RAP TEMPLATE-GAS AVAILABILITY'!R458)</f>
        <v>13.252340287769785</v>
      </c>
    </row>
    <row r="460" spans="1:30" ht="15.75">
      <c r="A460" s="14">
        <v>55273</v>
      </c>
      <c r="B460" s="10">
        <f>CHOOSE(CONTROL!$C$42, 13.3468, 13.3468) * CHOOSE(CONTROL!$C$21, $C$9, 100%, $E$9)</f>
        <v>13.3468</v>
      </c>
      <c r="C460" s="10">
        <f>CHOOSE(CONTROL!$C$42, 13.3514, 13.3514) * CHOOSE(CONTROL!$C$21, $C$9, 100%, $E$9)</f>
        <v>13.3514</v>
      </c>
      <c r="D460" s="10">
        <f>CHOOSE(CONTROL!$C$42, 13.5115, 13.5115) * CHOOSE(CONTROL!$C$21, $C$9, 100%, $E$9)</f>
        <v>13.5115</v>
      </c>
      <c r="E460" s="10">
        <f>CHOOSE(CONTROL!$C$42, 13.5433, 13.5433) * CHOOSE(CONTROL!$C$21, $C$9, 100%, $E$9)</f>
        <v>13.5433</v>
      </c>
      <c r="F460" s="10">
        <f>CHOOSE(CONTROL!$C$42, 13.2929, 13.2929)*CHOOSE(CONTROL!$C$21, $C$9, 100%, $E$9)</f>
        <v>13.292899999999999</v>
      </c>
      <c r="G460" s="10">
        <f>CHOOSE(CONTROL!$C$42, 13.3088, 13.3088)*CHOOSE(CONTROL!$C$21, $C$9, 100%, $E$9)</f>
        <v>13.3088</v>
      </c>
      <c r="H460" s="10">
        <f>CHOOSE(CONTROL!$C$42, 13.5328, 13.5328) * CHOOSE(CONTROL!$C$21, $C$9, 100%, $E$9)</f>
        <v>13.5328</v>
      </c>
      <c r="I460" s="10">
        <f>CHOOSE(CONTROL!$C$42, 13.327, 13.327)* CHOOSE(CONTROL!$C$21, $C$9, 100%, $E$9)</f>
        <v>13.327</v>
      </c>
      <c r="J460" s="10">
        <f>CHOOSE(CONTROL!$C$42, 13.2855, 13.2855)* CHOOSE(CONTROL!$C$21, $C$9, 100%, $E$9)</f>
        <v>13.285500000000001</v>
      </c>
      <c r="K460" s="10">
        <f>CHOOSE(CONTROL!$C$42, 13.0715, 13.0715) * CHOOSE(CONTROL!$C$21, $C$9, 100%, $E$9)</f>
        <v>13.0715</v>
      </c>
      <c r="L460" s="10">
        <f>CHOOSE(CONTROL!$C$42, 14.1198, 14.1198) * CHOOSE(CONTROL!$C$21, $C$9, 100%, $E$9)</f>
        <v>14.1198</v>
      </c>
      <c r="M460" s="10">
        <f>CHOOSE(CONTROL!$C$42, 13.1332, 13.1332) * CHOOSE(CONTROL!$C$21, $C$9, 100%, $E$9)</f>
        <v>13.1332</v>
      </c>
      <c r="N460" s="10">
        <f>CHOOSE(CONTROL!$C$42, 13.1488, 13.1488) * CHOOSE(CONTROL!$C$21, $C$9, 100%, $E$9)</f>
        <v>13.1488</v>
      </c>
      <c r="O460" s="10">
        <f>CHOOSE(CONTROL!$C$42, 13.377, 13.377) * CHOOSE(CONTROL!$C$21, $C$9, 100%, $E$9)</f>
        <v>13.377000000000001</v>
      </c>
      <c r="P460" s="10">
        <f>CHOOSE(CONTROL!$C$42, 13.1741, 13.1741) * CHOOSE(CONTROL!$C$21, $C$9, 100%, $E$9)</f>
        <v>13.174099999999999</v>
      </c>
      <c r="Q460" s="10">
        <f>CHOOSE(CONTROL!$C$42, 13.9723, 13.9723) * CHOOSE(CONTROL!$C$21, $C$9, 100%, $E$9)</f>
        <v>13.972300000000001</v>
      </c>
      <c r="R460" s="10">
        <f>CHOOSE(CONTROL!$C$42, 14.5943, 14.5943) * CHOOSE(CONTROL!$C$21, $C$9, 100%, $E$9)</f>
        <v>14.5943</v>
      </c>
      <c r="S460" s="10">
        <f>CHOOSE(CONTROL!$C$42, 12.9397, 12.9397) * CHOOSE(CONTROL!$C$21, $C$9, 100%, $E$9)</f>
        <v>12.9397</v>
      </c>
      <c r="T46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60" s="38">
        <f>(1000*CHOOSE(CONTROL!$C$42, 695, 695)*CHOOSE(CONTROL!$C$42, 0.5599, 0.5599)*CHOOSE(CONTROL!$C$42, 30, 30))/1000000</f>
        <v>11.673914999999997</v>
      </c>
      <c r="V460" s="38">
        <f>(1000*CHOOSE(CONTROL!$C$42, 500, 500)*CHOOSE(CONTROL!$C$42, 0.275, 0.275)*CHOOSE(CONTROL!$C$42, 30, 30))/1000000</f>
        <v>4.125</v>
      </c>
      <c r="W460" s="38">
        <f>(1000*CHOOSE(CONTROL!$C$42, 0.1146, 0.1146)*CHOOSE(CONTROL!$C$42, 121.5, 121.5)*CHOOSE(CONTROL!$C$42, 30, 30))/1000000</f>
        <v>0.417717</v>
      </c>
      <c r="X460" s="38">
        <f>(30*0.1790888*245000/1000000)+(30*0.2374*100000/1000000)</f>
        <v>2.0285026799999999</v>
      </c>
      <c r="Y460" s="38">
        <f>(1000*600*CHOOSE(CONTROL!$C$42, 1.0757, 1.0757)*CHOOSE(CONTROL!$C$42, 30, 30))/1000000</f>
        <v>19.362600000000004</v>
      </c>
      <c r="Z460" s="38"/>
      <c r="AA460" s="10"/>
      <c r="AB460" s="39"/>
      <c r="AC460" s="33">
        <f>(B460*141.293+C460*267.993+D460*115.016+E460*89.698+F460*40+G460*185+H460*0+I460*100+J460*300)/(141.293+267.993+115.016+89.698+0+40+185+100+300)</f>
        <v>13.35345501210654</v>
      </c>
      <c r="AD460" s="27">
        <f>(M460*'RAP TEMPLATE-GAS AVAILABILITY'!O459+N460*'RAP TEMPLATE-GAS AVAILABILITY'!P459+O460*'RAP TEMPLATE-GAS AVAILABILITY'!Q459+P460*'RAP TEMPLATE-GAS AVAILABILITY'!R459)/('RAP TEMPLATE-GAS AVAILABILITY'!O459+'RAP TEMPLATE-GAS AVAILABILITY'!P459+'RAP TEMPLATE-GAS AVAILABILITY'!Q459+'RAP TEMPLATE-GAS AVAILABILITY'!R459)</f>
        <v>13.211080575539569</v>
      </c>
    </row>
    <row r="461" spans="1:30" ht="15.75">
      <c r="A461" s="14">
        <v>55304</v>
      </c>
      <c r="B461" s="10">
        <f>CHOOSE(CONTROL!$C$42, 13.4666, 13.4666) * CHOOSE(CONTROL!$C$21, $C$9, 100%, $E$9)</f>
        <v>13.4666</v>
      </c>
      <c r="C461" s="10">
        <f>CHOOSE(CONTROL!$C$42, 13.4746, 13.4746) * CHOOSE(CONTROL!$C$21, $C$9, 100%, $E$9)</f>
        <v>13.474600000000001</v>
      </c>
      <c r="D461" s="10">
        <f>CHOOSE(CONTROL!$C$42, 13.6316, 13.6316) * CHOOSE(CONTROL!$C$21, $C$9, 100%, $E$9)</f>
        <v>13.631600000000001</v>
      </c>
      <c r="E461" s="10">
        <f>CHOOSE(CONTROL!$C$42, 13.6629, 13.6629) * CHOOSE(CONTROL!$C$21, $C$9, 100%, $E$9)</f>
        <v>13.6629</v>
      </c>
      <c r="F461" s="10">
        <f>CHOOSE(CONTROL!$C$42, 13.4107, 13.4107)*CHOOSE(CONTROL!$C$21, $C$9, 100%, $E$9)</f>
        <v>13.4107</v>
      </c>
      <c r="G461" s="10">
        <f>CHOOSE(CONTROL!$C$42, 13.4269, 13.4269)*CHOOSE(CONTROL!$C$21, $C$9, 100%, $E$9)</f>
        <v>13.4269</v>
      </c>
      <c r="H461" s="10">
        <f>CHOOSE(CONTROL!$C$42, 13.6512, 13.6512) * CHOOSE(CONTROL!$C$21, $C$9, 100%, $E$9)</f>
        <v>13.651199999999999</v>
      </c>
      <c r="I461" s="10">
        <f>CHOOSE(CONTROL!$C$42, 13.4454, 13.4454)* CHOOSE(CONTROL!$C$21, $C$9, 100%, $E$9)</f>
        <v>13.445399999999999</v>
      </c>
      <c r="J461" s="10">
        <f>CHOOSE(CONTROL!$C$42, 13.4033, 13.4033)* CHOOSE(CONTROL!$C$21, $C$9, 100%, $E$9)</f>
        <v>13.4033</v>
      </c>
      <c r="K461" s="10">
        <f>CHOOSE(CONTROL!$C$42, 13.1849, 13.1849) * CHOOSE(CONTROL!$C$21, $C$9, 100%, $E$9)</f>
        <v>13.184900000000001</v>
      </c>
      <c r="L461" s="10">
        <f>CHOOSE(CONTROL!$C$42, 14.2382, 14.2382) * CHOOSE(CONTROL!$C$21, $C$9, 100%, $E$9)</f>
        <v>14.238200000000001</v>
      </c>
      <c r="M461" s="10">
        <f>CHOOSE(CONTROL!$C$42, 13.2494, 13.2494) * CHOOSE(CONTROL!$C$21, $C$9, 100%, $E$9)</f>
        <v>13.2494</v>
      </c>
      <c r="N461" s="10">
        <f>CHOOSE(CONTROL!$C$42, 13.2653, 13.2653) * CHOOSE(CONTROL!$C$21, $C$9, 100%, $E$9)</f>
        <v>13.2653</v>
      </c>
      <c r="O461" s="10">
        <f>CHOOSE(CONTROL!$C$42, 13.4938, 13.4938) * CHOOSE(CONTROL!$C$21, $C$9, 100%, $E$9)</f>
        <v>13.4938</v>
      </c>
      <c r="P461" s="10">
        <f>CHOOSE(CONTROL!$C$42, 13.2909, 13.2909) * CHOOSE(CONTROL!$C$21, $C$9, 100%, $E$9)</f>
        <v>13.290900000000001</v>
      </c>
      <c r="Q461" s="10">
        <f>CHOOSE(CONTROL!$C$42, 14.0891, 14.0891) * CHOOSE(CONTROL!$C$21, $C$9, 100%, $E$9)</f>
        <v>14.0891</v>
      </c>
      <c r="R461" s="10">
        <f>CHOOSE(CONTROL!$C$42, 14.7113, 14.7113) * CHOOSE(CONTROL!$C$21, $C$9, 100%, $E$9)</f>
        <v>14.7113</v>
      </c>
      <c r="S461" s="10">
        <f>CHOOSE(CONTROL!$C$42, 13.0543, 13.0543) * CHOOSE(CONTROL!$C$21, $C$9, 100%, $E$9)</f>
        <v>13.0543</v>
      </c>
      <c r="T46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61" s="38">
        <f>(1000*CHOOSE(CONTROL!$C$42, 695, 695)*CHOOSE(CONTROL!$C$42, 0.5599, 0.5599)*CHOOSE(CONTROL!$C$42, 31, 31))/1000000</f>
        <v>12.063045499999998</v>
      </c>
      <c r="V461" s="38">
        <f>(1000*CHOOSE(CONTROL!$C$42, 500, 500)*CHOOSE(CONTROL!$C$42, 0.275, 0.275)*CHOOSE(CONTROL!$C$42, 31, 31))/1000000</f>
        <v>4.2625000000000002</v>
      </c>
      <c r="W461" s="38">
        <f>(1000*CHOOSE(CONTROL!$C$42, 0.1146, 0.1146)*CHOOSE(CONTROL!$C$42, 121.5, 121.5)*CHOOSE(CONTROL!$C$42, 31, 31))/1000000</f>
        <v>0.43164089999999994</v>
      </c>
      <c r="X461" s="38">
        <f>(31*0.1790888*245000/1000000)+(31*0.2374*100000/1000000)</f>
        <v>2.0961194359999999</v>
      </c>
      <c r="Y461" s="38">
        <f>(1000*600*CHOOSE(CONTROL!$C$42, 1.0757, 1.0757)*CHOOSE(CONTROL!$C$42, 31, 31))/1000000</f>
        <v>20.008020000000005</v>
      </c>
      <c r="Z461" s="38"/>
      <c r="AA461" s="10"/>
      <c r="AB461" s="39"/>
      <c r="AC461" s="33">
        <f>(B461*194.205+C461*267.466+D461*133.845+E461*53.484+F461*40+G461*185+H461*0+I461*100+J461*300)/(194.205+267.466+133.845+53.484+0+40+185+100+300)</f>
        <v>13.469765276452122</v>
      </c>
      <c r="AD461" s="27">
        <f>(M461*'RAP TEMPLATE-GAS AVAILABILITY'!O460+N461*'RAP TEMPLATE-GAS AVAILABILITY'!P460+O461*'RAP TEMPLATE-GAS AVAILABILITY'!Q460+P461*'RAP TEMPLATE-GAS AVAILABILITY'!R460)/('RAP TEMPLATE-GAS AVAILABILITY'!O460+'RAP TEMPLATE-GAS AVAILABILITY'!P460+'RAP TEMPLATE-GAS AVAILABILITY'!Q460+'RAP TEMPLATE-GAS AVAILABILITY'!R460)</f>
        <v>13.327604316546765</v>
      </c>
    </row>
    <row r="462" spans="1:30" ht="15.75">
      <c r="A462" s="14">
        <v>55334</v>
      </c>
      <c r="B462" s="10">
        <f>CHOOSE(CONTROL!$C$42, 13.849, 13.849) * CHOOSE(CONTROL!$C$21, $C$9, 100%, $E$9)</f>
        <v>13.849</v>
      </c>
      <c r="C462" s="10">
        <f>CHOOSE(CONTROL!$C$42, 13.857, 13.857) * CHOOSE(CONTROL!$C$21, $C$9, 100%, $E$9)</f>
        <v>13.856999999999999</v>
      </c>
      <c r="D462" s="10">
        <f>CHOOSE(CONTROL!$C$42, 14.014, 14.014) * CHOOSE(CONTROL!$C$21, $C$9, 100%, $E$9)</f>
        <v>14.013999999999999</v>
      </c>
      <c r="E462" s="10">
        <f>CHOOSE(CONTROL!$C$42, 14.0453, 14.0453) * CHOOSE(CONTROL!$C$21, $C$9, 100%, $E$9)</f>
        <v>14.045299999999999</v>
      </c>
      <c r="F462" s="10">
        <f>CHOOSE(CONTROL!$C$42, 13.7933, 13.7933)*CHOOSE(CONTROL!$C$21, $C$9, 100%, $E$9)</f>
        <v>13.7933</v>
      </c>
      <c r="G462" s="10">
        <f>CHOOSE(CONTROL!$C$42, 13.8095, 13.8095)*CHOOSE(CONTROL!$C$21, $C$9, 100%, $E$9)</f>
        <v>13.8095</v>
      </c>
      <c r="H462" s="10">
        <f>CHOOSE(CONTROL!$C$42, 14.0336, 14.0336) * CHOOSE(CONTROL!$C$21, $C$9, 100%, $E$9)</f>
        <v>14.0336</v>
      </c>
      <c r="I462" s="10">
        <f>CHOOSE(CONTROL!$C$42, 13.8278, 13.8278)* CHOOSE(CONTROL!$C$21, $C$9, 100%, $E$9)</f>
        <v>13.8278</v>
      </c>
      <c r="J462" s="10">
        <f>CHOOSE(CONTROL!$C$42, 13.7859, 13.7859)* CHOOSE(CONTROL!$C$21, $C$9, 100%, $E$9)</f>
        <v>13.7859</v>
      </c>
      <c r="K462" s="10">
        <f>CHOOSE(CONTROL!$C$42, 13.5557, 13.5557) * CHOOSE(CONTROL!$C$21, $C$9, 100%, $E$9)</f>
        <v>13.5557</v>
      </c>
      <c r="L462" s="10">
        <f>CHOOSE(CONTROL!$C$42, 14.6206, 14.6206) * CHOOSE(CONTROL!$C$21, $C$9, 100%, $E$9)</f>
        <v>14.6206</v>
      </c>
      <c r="M462" s="10">
        <f>CHOOSE(CONTROL!$C$42, 13.6266, 13.6266) * CHOOSE(CONTROL!$C$21, $C$9, 100%, $E$9)</f>
        <v>13.6266</v>
      </c>
      <c r="N462" s="10">
        <f>CHOOSE(CONTROL!$C$42, 13.6426, 13.6426) * CHOOSE(CONTROL!$C$21, $C$9, 100%, $E$9)</f>
        <v>13.6426</v>
      </c>
      <c r="O462" s="10">
        <f>CHOOSE(CONTROL!$C$42, 13.8708, 13.8708) * CHOOSE(CONTROL!$C$21, $C$9, 100%, $E$9)</f>
        <v>13.870799999999999</v>
      </c>
      <c r="P462" s="10">
        <f>CHOOSE(CONTROL!$C$42, 13.6679, 13.6679) * CHOOSE(CONTROL!$C$21, $C$9, 100%, $E$9)</f>
        <v>13.667899999999999</v>
      </c>
      <c r="Q462" s="10">
        <f>CHOOSE(CONTROL!$C$42, 14.4661, 14.4661) * CHOOSE(CONTROL!$C$21, $C$9, 100%, $E$9)</f>
        <v>14.466100000000001</v>
      </c>
      <c r="R462" s="10">
        <f>CHOOSE(CONTROL!$C$42, 15.0893, 15.0893) * CHOOSE(CONTROL!$C$21, $C$9, 100%, $E$9)</f>
        <v>15.0893</v>
      </c>
      <c r="S462" s="10">
        <f>CHOOSE(CONTROL!$C$42, 13.4246, 13.4246) * CHOOSE(CONTROL!$C$21, $C$9, 100%, $E$9)</f>
        <v>13.4246</v>
      </c>
      <c r="T46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62" s="38">
        <f>(1000*CHOOSE(CONTROL!$C$42, 695, 695)*CHOOSE(CONTROL!$C$42, 0.5599, 0.5599)*CHOOSE(CONTROL!$C$42, 30, 30))/1000000</f>
        <v>11.673914999999997</v>
      </c>
      <c r="V462" s="38">
        <f>(1000*CHOOSE(CONTROL!$C$42, 500, 500)*CHOOSE(CONTROL!$C$42, 0.275, 0.275)*CHOOSE(CONTROL!$C$42, 30, 30))/1000000</f>
        <v>4.125</v>
      </c>
      <c r="W462" s="38">
        <f>(1000*CHOOSE(CONTROL!$C$42, 0.1146, 0.1146)*CHOOSE(CONTROL!$C$42, 121.5, 121.5)*CHOOSE(CONTROL!$C$42, 30, 30))/1000000</f>
        <v>0.417717</v>
      </c>
      <c r="X462" s="38">
        <f>(30*0.1790888*245000/1000000)+(30*0.2374*100000/1000000)</f>
        <v>2.0285026799999999</v>
      </c>
      <c r="Y462" s="38">
        <f>(1000*600*CHOOSE(CONTROL!$C$42, 1.0757, 1.0757)*CHOOSE(CONTROL!$C$42, 30, 30))/1000000</f>
        <v>19.362600000000004</v>
      </c>
      <c r="Z462" s="38"/>
      <c r="AA462" s="10"/>
      <c r="AB462" s="39"/>
      <c r="AC462" s="33">
        <f>(B462*194.205+C462*267.466+D462*133.845+E462*53.484+F462*40+G462*185+H462*0+I462*100+J462*300)/(194.205+267.466+133.845+53.484+0+40+185+100+300)</f>
        <v>13.852247694034535</v>
      </c>
      <c r="AD462" s="27">
        <f>(M462*'RAP TEMPLATE-GAS AVAILABILITY'!O461+N462*'RAP TEMPLATE-GAS AVAILABILITY'!P461+O462*'RAP TEMPLATE-GAS AVAILABILITY'!Q461+P462*'RAP TEMPLATE-GAS AVAILABILITY'!R461)/('RAP TEMPLATE-GAS AVAILABILITY'!O461+'RAP TEMPLATE-GAS AVAILABILITY'!P461+'RAP TEMPLATE-GAS AVAILABILITY'!Q461+'RAP TEMPLATE-GAS AVAILABILITY'!R461)</f>
        <v>13.704742446043163</v>
      </c>
    </row>
    <row r="463" spans="1:30" ht="15.75">
      <c r="A463" s="14">
        <v>55365</v>
      </c>
      <c r="B463" s="10">
        <f>CHOOSE(CONTROL!$C$42, 13.583, 13.583) * CHOOSE(CONTROL!$C$21, $C$9, 100%, $E$9)</f>
        <v>13.583</v>
      </c>
      <c r="C463" s="10">
        <f>CHOOSE(CONTROL!$C$42, 13.591, 13.591) * CHOOSE(CONTROL!$C$21, $C$9, 100%, $E$9)</f>
        <v>13.590999999999999</v>
      </c>
      <c r="D463" s="10">
        <f>CHOOSE(CONTROL!$C$42, 13.7481, 13.7481) * CHOOSE(CONTROL!$C$21, $C$9, 100%, $E$9)</f>
        <v>13.748100000000001</v>
      </c>
      <c r="E463" s="10">
        <f>CHOOSE(CONTROL!$C$42, 13.7793, 13.7793) * CHOOSE(CONTROL!$C$21, $C$9, 100%, $E$9)</f>
        <v>13.779299999999999</v>
      </c>
      <c r="F463" s="10">
        <f>CHOOSE(CONTROL!$C$42, 13.5277, 13.5277)*CHOOSE(CONTROL!$C$21, $C$9, 100%, $E$9)</f>
        <v>13.527699999999999</v>
      </c>
      <c r="G463" s="10">
        <f>CHOOSE(CONTROL!$C$42, 13.5439, 13.5439)*CHOOSE(CONTROL!$C$21, $C$9, 100%, $E$9)</f>
        <v>13.543900000000001</v>
      </c>
      <c r="H463" s="10">
        <f>CHOOSE(CONTROL!$C$42, 13.7676, 13.7676) * CHOOSE(CONTROL!$C$21, $C$9, 100%, $E$9)</f>
        <v>13.7676</v>
      </c>
      <c r="I463" s="10">
        <f>CHOOSE(CONTROL!$C$42, 13.5618, 13.5618)* CHOOSE(CONTROL!$C$21, $C$9, 100%, $E$9)</f>
        <v>13.5618</v>
      </c>
      <c r="J463" s="10">
        <f>CHOOSE(CONTROL!$C$42, 13.5203, 13.5203)* CHOOSE(CONTROL!$C$21, $C$9, 100%, $E$9)</f>
        <v>13.520300000000001</v>
      </c>
      <c r="K463" s="10">
        <f>CHOOSE(CONTROL!$C$42, 13.2988, 13.2988) * CHOOSE(CONTROL!$C$21, $C$9, 100%, $E$9)</f>
        <v>13.2988</v>
      </c>
      <c r="L463" s="10">
        <f>CHOOSE(CONTROL!$C$42, 14.3546, 14.3546) * CHOOSE(CONTROL!$C$21, $C$9, 100%, $E$9)</f>
        <v>14.3546</v>
      </c>
      <c r="M463" s="10">
        <f>CHOOSE(CONTROL!$C$42, 13.3647, 13.3647) * CHOOSE(CONTROL!$C$21, $C$9, 100%, $E$9)</f>
        <v>13.364699999999999</v>
      </c>
      <c r="N463" s="10">
        <f>CHOOSE(CONTROL!$C$42, 13.3807, 13.3807) * CHOOSE(CONTROL!$C$21, $C$9, 100%, $E$9)</f>
        <v>13.380699999999999</v>
      </c>
      <c r="O463" s="10">
        <f>CHOOSE(CONTROL!$C$42, 13.6086, 13.6086) * CHOOSE(CONTROL!$C$21, $C$9, 100%, $E$9)</f>
        <v>13.608599999999999</v>
      </c>
      <c r="P463" s="10">
        <f>CHOOSE(CONTROL!$C$42, 13.4057, 13.4057) * CHOOSE(CONTROL!$C$21, $C$9, 100%, $E$9)</f>
        <v>13.4057</v>
      </c>
      <c r="Q463" s="10">
        <f>CHOOSE(CONTROL!$C$42, 14.2039, 14.2039) * CHOOSE(CONTROL!$C$21, $C$9, 100%, $E$9)</f>
        <v>14.203900000000001</v>
      </c>
      <c r="R463" s="10">
        <f>CHOOSE(CONTROL!$C$42, 14.8264, 14.8264) * CHOOSE(CONTROL!$C$21, $C$9, 100%, $E$9)</f>
        <v>14.8264</v>
      </c>
      <c r="S463" s="10">
        <f>CHOOSE(CONTROL!$C$42, 13.167, 13.167) * CHOOSE(CONTROL!$C$21, $C$9, 100%, $E$9)</f>
        <v>13.167</v>
      </c>
      <c r="T46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63" s="38">
        <f>(1000*CHOOSE(CONTROL!$C$42, 695, 695)*CHOOSE(CONTROL!$C$42, 0.5599, 0.5599)*CHOOSE(CONTROL!$C$42, 31, 31))/1000000</f>
        <v>12.063045499999998</v>
      </c>
      <c r="V463" s="38">
        <f>(1000*CHOOSE(CONTROL!$C$42, 500, 500)*CHOOSE(CONTROL!$C$42, 0.275, 0.275)*CHOOSE(CONTROL!$C$42, 31, 31))/1000000</f>
        <v>4.2625000000000002</v>
      </c>
      <c r="W463" s="38">
        <f>(1000*CHOOSE(CONTROL!$C$42, 0.1146, 0.1146)*CHOOSE(CONTROL!$C$42, 121.5, 121.5)*CHOOSE(CONTROL!$C$42, 31, 31))/1000000</f>
        <v>0.43164089999999994</v>
      </c>
      <c r="X463" s="38">
        <f>(31*0.1790888*245000/1000000)+(31*0.2374*100000/1000000)</f>
        <v>2.0961194359999999</v>
      </c>
      <c r="Y463" s="38">
        <f>(1000*600*CHOOSE(CONTROL!$C$42, 1.0757, 1.0757)*CHOOSE(CONTROL!$C$42, 31, 31))/1000000</f>
        <v>20.008020000000005</v>
      </c>
      <c r="Z463" s="38"/>
      <c r="AA463" s="10"/>
      <c r="AB463" s="39"/>
      <c r="AC463" s="33">
        <f>(B463*194.205+C463*267.466+D463*133.845+E463*53.484+F463*40+G463*185+H463*0+I463*100+J463*300)/(194.205+267.466+133.845+53.484+0+40+185+100+300)</f>
        <v>13.586423035086343</v>
      </c>
      <c r="AD463" s="27">
        <f>(M463*'RAP TEMPLATE-GAS AVAILABILITY'!O462+N463*'RAP TEMPLATE-GAS AVAILABILITY'!P462+O463*'RAP TEMPLATE-GAS AVAILABILITY'!Q462+P463*'RAP TEMPLATE-GAS AVAILABILITY'!R462)/('RAP TEMPLATE-GAS AVAILABILITY'!O462+'RAP TEMPLATE-GAS AVAILABILITY'!P462+'RAP TEMPLATE-GAS AVAILABILITY'!Q462+'RAP TEMPLATE-GAS AVAILABILITY'!R462)</f>
        <v>13.442715107913669</v>
      </c>
    </row>
    <row r="464" spans="1:30" ht="15.75">
      <c r="A464" s="14">
        <v>55396</v>
      </c>
      <c r="B464" s="10">
        <f>CHOOSE(CONTROL!$C$42, 12.9114, 12.9114) * CHOOSE(CONTROL!$C$21, $C$9, 100%, $E$9)</f>
        <v>12.9114</v>
      </c>
      <c r="C464" s="10">
        <f>CHOOSE(CONTROL!$C$42, 12.9194, 12.9194) * CHOOSE(CONTROL!$C$21, $C$9, 100%, $E$9)</f>
        <v>12.9194</v>
      </c>
      <c r="D464" s="10">
        <f>CHOOSE(CONTROL!$C$42, 13.0765, 13.0765) * CHOOSE(CONTROL!$C$21, $C$9, 100%, $E$9)</f>
        <v>13.076499999999999</v>
      </c>
      <c r="E464" s="10">
        <f>CHOOSE(CONTROL!$C$42, 13.1077, 13.1077) * CHOOSE(CONTROL!$C$21, $C$9, 100%, $E$9)</f>
        <v>13.107699999999999</v>
      </c>
      <c r="F464" s="10">
        <f>CHOOSE(CONTROL!$C$42, 12.856, 12.856)*CHOOSE(CONTROL!$C$21, $C$9, 100%, $E$9)</f>
        <v>12.856</v>
      </c>
      <c r="G464" s="10">
        <f>CHOOSE(CONTROL!$C$42, 12.8722, 12.8722)*CHOOSE(CONTROL!$C$21, $C$9, 100%, $E$9)</f>
        <v>12.872199999999999</v>
      </c>
      <c r="H464" s="10">
        <f>CHOOSE(CONTROL!$C$42, 13.096, 13.096) * CHOOSE(CONTROL!$C$21, $C$9, 100%, $E$9)</f>
        <v>13.096</v>
      </c>
      <c r="I464" s="10">
        <f>CHOOSE(CONTROL!$C$42, 12.8902, 12.8902)* CHOOSE(CONTROL!$C$21, $C$9, 100%, $E$9)</f>
        <v>12.8902</v>
      </c>
      <c r="J464" s="10">
        <f>CHOOSE(CONTROL!$C$42, 12.8486, 12.8486)* CHOOSE(CONTROL!$C$21, $C$9, 100%, $E$9)</f>
        <v>12.848599999999999</v>
      </c>
      <c r="K464" s="10">
        <f>CHOOSE(CONTROL!$C$42, 12.648, 12.648) * CHOOSE(CONTROL!$C$21, $C$9, 100%, $E$9)</f>
        <v>12.648</v>
      </c>
      <c r="L464" s="10">
        <f>CHOOSE(CONTROL!$C$42, 13.683, 13.683) * CHOOSE(CONTROL!$C$21, $C$9, 100%, $E$9)</f>
        <v>13.683</v>
      </c>
      <c r="M464" s="10">
        <f>CHOOSE(CONTROL!$C$42, 12.7024, 12.7024) * CHOOSE(CONTROL!$C$21, $C$9, 100%, $E$9)</f>
        <v>12.702400000000001</v>
      </c>
      <c r="N464" s="10">
        <f>CHOOSE(CONTROL!$C$42, 12.7184, 12.7184) * CHOOSE(CONTROL!$C$21, $C$9, 100%, $E$9)</f>
        <v>12.718400000000001</v>
      </c>
      <c r="O464" s="10">
        <f>CHOOSE(CONTROL!$C$42, 12.9463, 12.9463) * CHOOSE(CONTROL!$C$21, $C$9, 100%, $E$9)</f>
        <v>12.946300000000001</v>
      </c>
      <c r="P464" s="10">
        <f>CHOOSE(CONTROL!$C$42, 12.7435, 12.7435) * CHOOSE(CONTROL!$C$21, $C$9, 100%, $E$9)</f>
        <v>12.743499999999999</v>
      </c>
      <c r="Q464" s="10">
        <f>CHOOSE(CONTROL!$C$42, 13.5416, 13.5416) * CHOOSE(CONTROL!$C$21, $C$9, 100%, $E$9)</f>
        <v>13.541600000000001</v>
      </c>
      <c r="R464" s="10">
        <f>CHOOSE(CONTROL!$C$42, 14.1625, 14.1625) * CHOOSE(CONTROL!$C$21, $C$9, 100%, $E$9)</f>
        <v>14.1625</v>
      </c>
      <c r="S464" s="10">
        <f>CHOOSE(CONTROL!$C$42, 12.5167, 12.5167) * CHOOSE(CONTROL!$C$21, $C$9, 100%, $E$9)</f>
        <v>12.5167</v>
      </c>
      <c r="T46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64" s="38">
        <f>(1000*CHOOSE(CONTROL!$C$42, 695, 695)*CHOOSE(CONTROL!$C$42, 0.5599, 0.5599)*CHOOSE(CONTROL!$C$42, 31, 31))/1000000</f>
        <v>12.063045499999998</v>
      </c>
      <c r="V464" s="38">
        <f>(1000*CHOOSE(CONTROL!$C$42, 500, 500)*CHOOSE(CONTROL!$C$42, 0.275, 0.275)*CHOOSE(CONTROL!$C$42, 31, 31))/1000000</f>
        <v>4.2625000000000002</v>
      </c>
      <c r="W464" s="38">
        <f>(1000*CHOOSE(CONTROL!$C$42, 0.1146, 0.1146)*CHOOSE(CONTROL!$C$42, 121.5, 121.5)*CHOOSE(CONTROL!$C$42, 31, 31))/1000000</f>
        <v>0.43164089999999994</v>
      </c>
      <c r="X464" s="38">
        <f>(31*0.1790888*245000/1000000)+(31*0.2374*100000/1000000)</f>
        <v>2.0961194359999999</v>
      </c>
      <c r="Y464" s="38">
        <f>(1000*600*CHOOSE(CONTROL!$C$42, 1.0757, 1.0757)*CHOOSE(CONTROL!$C$42, 31, 31))/1000000</f>
        <v>20.008020000000005</v>
      </c>
      <c r="Z464" s="38"/>
      <c r="AA464" s="10"/>
      <c r="AB464" s="39"/>
      <c r="AC464" s="33">
        <f>(B464*194.205+C464*267.466+D464*133.845+E464*53.484+F464*40+G464*185+H464*0+I464*100+J464*300)/(194.205+267.466+133.845+53.484+0+40+185+100+300)</f>
        <v>12.914781826295133</v>
      </c>
      <c r="AD464" s="27">
        <f>(M464*'RAP TEMPLATE-GAS AVAILABILITY'!O463+N464*'RAP TEMPLATE-GAS AVAILABILITY'!P463+O464*'RAP TEMPLATE-GAS AVAILABILITY'!Q463+P464*'RAP TEMPLATE-GAS AVAILABILITY'!R463)/('RAP TEMPLATE-GAS AVAILABILITY'!O463+'RAP TEMPLATE-GAS AVAILABILITY'!P463+'RAP TEMPLATE-GAS AVAILABILITY'!Q463+'RAP TEMPLATE-GAS AVAILABILITY'!R463)</f>
        <v>12.78042949640288</v>
      </c>
    </row>
    <row r="465" spans="1:30" ht="15.75">
      <c r="A465" s="14">
        <v>55426</v>
      </c>
      <c r="B465" s="10">
        <f>CHOOSE(CONTROL!$C$42, 12.0908, 12.0908) * CHOOSE(CONTROL!$C$21, $C$9, 100%, $E$9)</f>
        <v>12.0908</v>
      </c>
      <c r="C465" s="10">
        <f>CHOOSE(CONTROL!$C$42, 12.0988, 12.0988) * CHOOSE(CONTROL!$C$21, $C$9, 100%, $E$9)</f>
        <v>12.098800000000001</v>
      </c>
      <c r="D465" s="10">
        <f>CHOOSE(CONTROL!$C$42, 12.2559, 12.2559) * CHOOSE(CONTROL!$C$21, $C$9, 100%, $E$9)</f>
        <v>12.2559</v>
      </c>
      <c r="E465" s="10">
        <f>CHOOSE(CONTROL!$C$42, 12.2871, 12.2871) * CHOOSE(CONTROL!$C$21, $C$9, 100%, $E$9)</f>
        <v>12.287100000000001</v>
      </c>
      <c r="F465" s="10">
        <f>CHOOSE(CONTROL!$C$42, 12.0352, 12.0352)*CHOOSE(CONTROL!$C$21, $C$9, 100%, $E$9)</f>
        <v>12.0352</v>
      </c>
      <c r="G465" s="10">
        <f>CHOOSE(CONTROL!$C$42, 12.0514, 12.0514)*CHOOSE(CONTROL!$C$21, $C$9, 100%, $E$9)</f>
        <v>12.051399999999999</v>
      </c>
      <c r="H465" s="10">
        <f>CHOOSE(CONTROL!$C$42, 12.2754, 12.2754) * CHOOSE(CONTROL!$C$21, $C$9, 100%, $E$9)</f>
        <v>12.275399999999999</v>
      </c>
      <c r="I465" s="10">
        <f>CHOOSE(CONTROL!$C$42, 12.0696, 12.0696)* CHOOSE(CONTROL!$C$21, $C$9, 100%, $E$9)</f>
        <v>12.069599999999999</v>
      </c>
      <c r="J465" s="10">
        <f>CHOOSE(CONTROL!$C$42, 12.0278, 12.0278)* CHOOSE(CONTROL!$C$21, $C$9, 100%, $E$9)</f>
        <v>12.027799999999999</v>
      </c>
      <c r="K465" s="10">
        <f>CHOOSE(CONTROL!$C$42, 11.8526, 11.8526) * CHOOSE(CONTROL!$C$21, $C$9, 100%, $E$9)</f>
        <v>11.852600000000001</v>
      </c>
      <c r="L465" s="10">
        <f>CHOOSE(CONTROL!$C$42, 12.8624, 12.8624) * CHOOSE(CONTROL!$C$21, $C$9, 100%, $E$9)</f>
        <v>12.862399999999999</v>
      </c>
      <c r="M465" s="10">
        <f>CHOOSE(CONTROL!$C$42, 11.893, 11.893) * CHOOSE(CONTROL!$C$21, $C$9, 100%, $E$9)</f>
        <v>11.893000000000001</v>
      </c>
      <c r="N465" s="10">
        <f>CHOOSE(CONTROL!$C$42, 11.909, 11.909) * CHOOSE(CONTROL!$C$21, $C$9, 100%, $E$9)</f>
        <v>11.909000000000001</v>
      </c>
      <c r="O465" s="10">
        <f>CHOOSE(CONTROL!$C$42, 12.1372, 12.1372) * CHOOSE(CONTROL!$C$21, $C$9, 100%, $E$9)</f>
        <v>12.1372</v>
      </c>
      <c r="P465" s="10">
        <f>CHOOSE(CONTROL!$C$42, 11.9343, 11.9343) * CHOOSE(CONTROL!$C$21, $C$9, 100%, $E$9)</f>
        <v>11.9343</v>
      </c>
      <c r="Q465" s="10">
        <f>CHOOSE(CONTROL!$C$42, 12.7325, 12.7325) * CHOOSE(CONTROL!$C$21, $C$9, 100%, $E$9)</f>
        <v>12.7325</v>
      </c>
      <c r="R465" s="10">
        <f>CHOOSE(CONTROL!$C$42, 13.3513, 13.3513) * CHOOSE(CONTROL!$C$21, $C$9, 100%, $E$9)</f>
        <v>13.3513</v>
      </c>
      <c r="S465" s="10">
        <f>CHOOSE(CONTROL!$C$42, 11.7222, 11.7222) * CHOOSE(CONTROL!$C$21, $C$9, 100%, $E$9)</f>
        <v>11.722200000000001</v>
      </c>
      <c r="T46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65" s="38">
        <f>(1000*CHOOSE(CONTROL!$C$42, 695, 695)*CHOOSE(CONTROL!$C$42, 0.5599, 0.5599)*CHOOSE(CONTROL!$C$42, 30, 30))/1000000</f>
        <v>11.673914999999997</v>
      </c>
      <c r="V465" s="38">
        <f>(1000*CHOOSE(CONTROL!$C$42, 500, 500)*CHOOSE(CONTROL!$C$42, 0.275, 0.275)*CHOOSE(CONTROL!$C$42, 30, 30))/1000000</f>
        <v>4.125</v>
      </c>
      <c r="W465" s="38">
        <f>(1000*CHOOSE(CONTROL!$C$42, 0.1146, 0.1146)*CHOOSE(CONTROL!$C$42, 121.5, 121.5)*CHOOSE(CONTROL!$C$42, 30, 30))/1000000</f>
        <v>0.417717</v>
      </c>
      <c r="X465" s="38">
        <f>(30*0.1790888*245000/1000000)+(30*0.2374*100000/1000000)</f>
        <v>2.0285026799999999</v>
      </c>
      <c r="Y465" s="38">
        <f>(1000*600*CHOOSE(CONTROL!$C$42, 1.0757, 1.0757)*CHOOSE(CONTROL!$C$42, 30, 30))/1000000</f>
        <v>19.362600000000004</v>
      </c>
      <c r="Z465" s="38"/>
      <c r="AA465" s="10"/>
      <c r="AB465" s="39"/>
      <c r="AC465" s="33">
        <f>(B465*194.205+C465*267.466+D465*133.845+E465*53.484+F465*40+G465*185+H465*0+I465*100+J465*300)/(194.205+267.466+133.845+53.484+0+40+185+100+300)</f>
        <v>12.094099408712715</v>
      </c>
      <c r="AD465" s="27">
        <f>(M465*'RAP TEMPLATE-GAS AVAILABILITY'!O464+N465*'RAP TEMPLATE-GAS AVAILABILITY'!P464+O465*'RAP TEMPLATE-GAS AVAILABILITY'!Q464+P465*'RAP TEMPLATE-GAS AVAILABILITY'!R464)/('RAP TEMPLATE-GAS AVAILABILITY'!O464+'RAP TEMPLATE-GAS AVAILABILITY'!P464+'RAP TEMPLATE-GAS AVAILABILITY'!Q464+'RAP TEMPLATE-GAS AVAILABILITY'!R464)</f>
        <v>11.971142446043165</v>
      </c>
    </row>
    <row r="466" spans="1:30" ht="15.75">
      <c r="A466" s="14">
        <v>55457</v>
      </c>
      <c r="B466" s="10">
        <f>CHOOSE(CONTROL!$C$42, 11.8429, 11.8429) * CHOOSE(CONTROL!$C$21, $C$9, 100%, $E$9)</f>
        <v>11.8429</v>
      </c>
      <c r="C466" s="10">
        <f>CHOOSE(CONTROL!$C$42, 11.8482, 11.8482) * CHOOSE(CONTROL!$C$21, $C$9, 100%, $E$9)</f>
        <v>11.8482</v>
      </c>
      <c r="D466" s="10">
        <f>CHOOSE(CONTROL!$C$42, 12.0102, 12.0102) * CHOOSE(CONTROL!$C$21, $C$9, 100%, $E$9)</f>
        <v>12.010199999999999</v>
      </c>
      <c r="E466" s="10">
        <f>CHOOSE(CONTROL!$C$42, 12.0391, 12.0391) * CHOOSE(CONTROL!$C$21, $C$9, 100%, $E$9)</f>
        <v>12.039099999999999</v>
      </c>
      <c r="F466" s="10">
        <f>CHOOSE(CONTROL!$C$42, 11.7893, 11.7893)*CHOOSE(CONTROL!$C$21, $C$9, 100%, $E$9)</f>
        <v>11.789300000000001</v>
      </c>
      <c r="G466" s="10">
        <f>CHOOSE(CONTROL!$C$42, 11.8051, 11.8051)*CHOOSE(CONTROL!$C$21, $C$9, 100%, $E$9)</f>
        <v>11.805099999999999</v>
      </c>
      <c r="H466" s="10">
        <f>CHOOSE(CONTROL!$C$42, 12.0292, 12.0292) * CHOOSE(CONTROL!$C$21, $C$9, 100%, $E$9)</f>
        <v>12.029199999999999</v>
      </c>
      <c r="I466" s="10">
        <f>CHOOSE(CONTROL!$C$42, 11.8234, 11.8234)* CHOOSE(CONTROL!$C$21, $C$9, 100%, $E$9)</f>
        <v>11.823399999999999</v>
      </c>
      <c r="J466" s="10">
        <f>CHOOSE(CONTROL!$C$42, 11.7819, 11.7819)* CHOOSE(CONTROL!$C$21, $C$9, 100%, $E$9)</f>
        <v>11.7819</v>
      </c>
      <c r="K466" s="10">
        <f>CHOOSE(CONTROL!$C$42, 11.6147, 11.6147) * CHOOSE(CONTROL!$C$21, $C$9, 100%, $E$9)</f>
        <v>11.614699999999999</v>
      </c>
      <c r="L466" s="10">
        <f>CHOOSE(CONTROL!$C$42, 12.6162, 12.6162) * CHOOSE(CONTROL!$C$21, $C$9, 100%, $E$9)</f>
        <v>12.616199999999999</v>
      </c>
      <c r="M466" s="10">
        <f>CHOOSE(CONTROL!$C$42, 11.6505, 11.6505) * CHOOSE(CONTROL!$C$21, $C$9, 100%, $E$9)</f>
        <v>11.650499999999999</v>
      </c>
      <c r="N466" s="10">
        <f>CHOOSE(CONTROL!$C$42, 11.6661, 11.6661) * CHOOSE(CONTROL!$C$21, $C$9, 100%, $E$9)</f>
        <v>11.6661</v>
      </c>
      <c r="O466" s="10">
        <f>CHOOSE(CONTROL!$C$42, 11.8944, 11.8944) * CHOOSE(CONTROL!$C$21, $C$9, 100%, $E$9)</f>
        <v>11.894399999999999</v>
      </c>
      <c r="P466" s="10">
        <f>CHOOSE(CONTROL!$C$42, 11.6915, 11.6915) * CHOOSE(CONTROL!$C$21, $C$9, 100%, $E$9)</f>
        <v>11.6915</v>
      </c>
      <c r="Q466" s="10">
        <f>CHOOSE(CONTROL!$C$42, 12.4897, 12.4897) * CHOOSE(CONTROL!$C$21, $C$9, 100%, $E$9)</f>
        <v>12.489699999999999</v>
      </c>
      <c r="R466" s="10">
        <f>CHOOSE(CONTROL!$C$42, 13.1079, 13.1079) * CHOOSE(CONTROL!$C$21, $C$9, 100%, $E$9)</f>
        <v>13.107900000000001</v>
      </c>
      <c r="S466" s="10">
        <f>CHOOSE(CONTROL!$C$42, 11.4837, 11.4837) * CHOOSE(CONTROL!$C$21, $C$9, 100%, $E$9)</f>
        <v>11.483700000000001</v>
      </c>
      <c r="T46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66" s="38">
        <f>(1000*CHOOSE(CONTROL!$C$42, 695, 695)*CHOOSE(CONTROL!$C$42, 0.5599, 0.5599)*CHOOSE(CONTROL!$C$42, 31, 31))/1000000</f>
        <v>12.063045499999998</v>
      </c>
      <c r="V466" s="38">
        <f>(1000*CHOOSE(CONTROL!$C$42, 500, 500)*CHOOSE(CONTROL!$C$42, 0.275, 0.275)*CHOOSE(CONTROL!$C$42, 31, 31))/1000000</f>
        <v>4.2625000000000002</v>
      </c>
      <c r="W466" s="38">
        <f>(1000*CHOOSE(CONTROL!$C$42, 0.1146, 0.1146)*CHOOSE(CONTROL!$C$42, 121.5, 121.5)*CHOOSE(CONTROL!$C$42, 31, 31))/1000000</f>
        <v>0.43164089999999994</v>
      </c>
      <c r="X466" s="38">
        <f>(31*0.1790888*245000/1000000)+(31*0.2374*100000/1000000)</f>
        <v>2.0961194359999999</v>
      </c>
      <c r="Y466" s="38">
        <f>(1000*600*CHOOSE(CONTROL!$C$42, 1.0757, 1.0757)*CHOOSE(CONTROL!$C$42, 31, 31))/1000000</f>
        <v>20.008020000000005</v>
      </c>
      <c r="Z466" s="38"/>
      <c r="AA466" s="10"/>
      <c r="AB466" s="39"/>
      <c r="AC466" s="33">
        <f>(B466*131.881+C466*277.167+D466*79.08+E466*125.872+F466*40+G466*185+H466*0+I466*100+J466*300)/(131.881+277.167+79.08+125.872+0+40+185+100+300)</f>
        <v>11.850977607344634</v>
      </c>
      <c r="AD466" s="27">
        <f>(M466*'RAP TEMPLATE-GAS AVAILABILITY'!O465+N466*'RAP TEMPLATE-GAS AVAILABILITY'!P465+O466*'RAP TEMPLATE-GAS AVAILABILITY'!Q465+P466*'RAP TEMPLATE-GAS AVAILABILITY'!R465)/('RAP TEMPLATE-GAS AVAILABILITY'!O465+'RAP TEMPLATE-GAS AVAILABILITY'!P465+'RAP TEMPLATE-GAS AVAILABILITY'!Q465+'RAP TEMPLATE-GAS AVAILABILITY'!R465)</f>
        <v>11.728423021582733</v>
      </c>
    </row>
    <row r="467" spans="1:30" ht="15.75">
      <c r="A467" s="14">
        <v>55487</v>
      </c>
      <c r="B467" s="10">
        <f>CHOOSE(CONTROL!$C$42, 12.1549, 12.1549) * CHOOSE(CONTROL!$C$21, $C$9, 100%, $E$9)</f>
        <v>12.1549</v>
      </c>
      <c r="C467" s="10">
        <f>CHOOSE(CONTROL!$C$42, 12.16, 12.16) * CHOOSE(CONTROL!$C$21, $C$9, 100%, $E$9)</f>
        <v>12.16</v>
      </c>
      <c r="D467" s="10">
        <f>CHOOSE(CONTROL!$C$42, 12.1847, 12.1847) * CHOOSE(CONTROL!$C$21, $C$9, 100%, $E$9)</f>
        <v>12.184699999999999</v>
      </c>
      <c r="E467" s="10">
        <f>CHOOSE(CONTROL!$C$42, 12.2185, 12.2185) * CHOOSE(CONTROL!$C$21, $C$9, 100%, $E$9)</f>
        <v>12.218500000000001</v>
      </c>
      <c r="F467" s="10">
        <f>CHOOSE(CONTROL!$C$42, 12.1232, 12.1232)*CHOOSE(CONTROL!$C$21, $C$9, 100%, $E$9)</f>
        <v>12.123200000000001</v>
      </c>
      <c r="G467" s="10">
        <f>CHOOSE(CONTROL!$C$42, 12.1392, 12.1392)*CHOOSE(CONTROL!$C$21, $C$9, 100%, $E$9)</f>
        <v>12.139200000000001</v>
      </c>
      <c r="H467" s="10">
        <f>CHOOSE(CONTROL!$C$42, 12.2074, 12.2074) * CHOOSE(CONTROL!$C$21, $C$9, 100%, $E$9)</f>
        <v>12.2074</v>
      </c>
      <c r="I467" s="10">
        <f>CHOOSE(CONTROL!$C$42, 12.1699, 12.1699)* CHOOSE(CONTROL!$C$21, $C$9, 100%, $E$9)</f>
        <v>12.1699</v>
      </c>
      <c r="J467" s="10">
        <f>CHOOSE(CONTROL!$C$42, 12.1158, 12.1158)* CHOOSE(CONTROL!$C$21, $C$9, 100%, $E$9)</f>
        <v>12.1158</v>
      </c>
      <c r="K467" s="10">
        <f>CHOOSE(CONTROL!$C$42, 11.9526, 11.9526) * CHOOSE(CONTROL!$C$21, $C$9, 100%, $E$9)</f>
        <v>11.9526</v>
      </c>
      <c r="L467" s="10">
        <f>CHOOSE(CONTROL!$C$42, 12.7944, 12.7944) * CHOOSE(CONTROL!$C$21, $C$9, 100%, $E$9)</f>
        <v>12.7944</v>
      </c>
      <c r="M467" s="10">
        <f>CHOOSE(CONTROL!$C$42, 11.9798, 11.9798) * CHOOSE(CONTROL!$C$21, $C$9, 100%, $E$9)</f>
        <v>11.979799999999999</v>
      </c>
      <c r="N467" s="10">
        <f>CHOOSE(CONTROL!$C$42, 11.9956, 11.9956) * CHOOSE(CONTROL!$C$21, $C$9, 100%, $E$9)</f>
        <v>11.9956</v>
      </c>
      <c r="O467" s="10">
        <f>CHOOSE(CONTROL!$C$42, 12.0701, 12.0701) * CHOOSE(CONTROL!$C$21, $C$9, 100%, $E$9)</f>
        <v>12.0701</v>
      </c>
      <c r="P467" s="10">
        <f>CHOOSE(CONTROL!$C$42, 12.0332, 12.0332) * CHOOSE(CONTROL!$C$21, $C$9, 100%, $E$9)</f>
        <v>12.033200000000001</v>
      </c>
      <c r="Q467" s="10">
        <f>CHOOSE(CONTROL!$C$42, 12.6654, 12.6654) * CHOOSE(CONTROL!$C$21, $C$9, 100%, $E$9)</f>
        <v>12.6654</v>
      </c>
      <c r="R467" s="10">
        <f>CHOOSE(CONTROL!$C$42, 13.2841, 13.2841) * CHOOSE(CONTROL!$C$21, $C$9, 100%, $E$9)</f>
        <v>13.2841</v>
      </c>
      <c r="S467" s="10">
        <f>CHOOSE(CONTROL!$C$42, 11.7862, 11.7862) * CHOOSE(CONTROL!$C$21, $C$9, 100%, $E$9)</f>
        <v>11.786199999999999</v>
      </c>
      <c r="T46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67" s="38">
        <f>(1000*CHOOSE(CONTROL!$C$42, 695, 695)*CHOOSE(CONTROL!$C$42, 0.5599, 0.5599)*CHOOSE(CONTROL!$C$42, 30, 30))/1000000</f>
        <v>11.673914999999997</v>
      </c>
      <c r="V467" s="38">
        <f>(1000*CHOOSE(CONTROL!$C$42, 500, 500)*CHOOSE(CONTROL!$C$42, 0.275, 0.275)*CHOOSE(CONTROL!$C$42, 30, 30))/1000000</f>
        <v>4.125</v>
      </c>
      <c r="W467" s="38">
        <f>(1000*CHOOSE(CONTROL!$C$42, 0.1146, 0.1146)*CHOOSE(CONTROL!$C$42, 121.5, 121.5)*CHOOSE(CONTROL!$C$42, 30, 30))/1000000</f>
        <v>0.417717</v>
      </c>
      <c r="X467" s="38">
        <f>(30*0.1790888*100000/1000000)+(30*0.2374*100000/1000000)</f>
        <v>1.2494664</v>
      </c>
      <c r="Y467" s="38">
        <f>(1000*600*CHOOSE(CONTROL!$C$42, 1.0757, 1.0757)*CHOOSE(CONTROL!$C$42, 30, 30))/1000000</f>
        <v>19.362600000000004</v>
      </c>
      <c r="Z467" s="38"/>
      <c r="AA467" s="10"/>
      <c r="AB467" s="39"/>
      <c r="AC467" s="33">
        <f>(B467*122.58+C467*297.941+D467*89.177+E467*40.302+F467*40+G467*160+H467*0+I467*100+J467*300)/(122.58+297.941+89.177+40.302+0+40+160+100+300)</f>
        <v>12.148578418173914</v>
      </c>
      <c r="AD467" s="27">
        <f>(M467*'RAP TEMPLATE-GAS AVAILABILITY'!O466+N467*'RAP TEMPLATE-GAS AVAILABILITY'!P466+O467*'RAP TEMPLATE-GAS AVAILABILITY'!Q466+P467*'RAP TEMPLATE-GAS AVAILABILITY'!R466)/('RAP TEMPLATE-GAS AVAILABILITY'!O466+'RAP TEMPLATE-GAS AVAILABILITY'!P466+'RAP TEMPLATE-GAS AVAILABILITY'!Q466+'RAP TEMPLATE-GAS AVAILABILITY'!R466)</f>
        <v>12.029320143884894</v>
      </c>
    </row>
    <row r="468" spans="1:30" ht="15.75">
      <c r="A468" s="14">
        <v>55518</v>
      </c>
      <c r="B468" s="10">
        <f>CHOOSE(CONTROL!$C$42, 12.9847, 12.9847) * CHOOSE(CONTROL!$C$21, $C$9, 100%, $E$9)</f>
        <v>12.9847</v>
      </c>
      <c r="C468" s="10">
        <f>CHOOSE(CONTROL!$C$42, 12.9898, 12.9898) * CHOOSE(CONTROL!$C$21, $C$9, 100%, $E$9)</f>
        <v>12.989800000000001</v>
      </c>
      <c r="D468" s="10">
        <f>CHOOSE(CONTROL!$C$42, 13.0145, 13.0145) * CHOOSE(CONTROL!$C$21, $C$9, 100%, $E$9)</f>
        <v>13.0145</v>
      </c>
      <c r="E468" s="10">
        <f>CHOOSE(CONTROL!$C$42, 13.0483, 13.0483) * CHOOSE(CONTROL!$C$21, $C$9, 100%, $E$9)</f>
        <v>13.048299999999999</v>
      </c>
      <c r="F468" s="10">
        <f>CHOOSE(CONTROL!$C$42, 12.955, 12.955)*CHOOSE(CONTROL!$C$21, $C$9, 100%, $E$9)</f>
        <v>12.955</v>
      </c>
      <c r="G468" s="10">
        <f>CHOOSE(CONTROL!$C$42, 12.9715, 12.9715)*CHOOSE(CONTROL!$C$21, $C$9, 100%, $E$9)</f>
        <v>12.971500000000001</v>
      </c>
      <c r="H468" s="10">
        <f>CHOOSE(CONTROL!$C$42, 13.0372, 13.0372) * CHOOSE(CONTROL!$C$21, $C$9, 100%, $E$9)</f>
        <v>13.0372</v>
      </c>
      <c r="I468" s="10">
        <f>CHOOSE(CONTROL!$C$42, 12.9997, 12.9997)* CHOOSE(CONTROL!$C$21, $C$9, 100%, $E$9)</f>
        <v>12.999700000000001</v>
      </c>
      <c r="J468" s="10">
        <f>CHOOSE(CONTROL!$C$42, 12.9476, 12.9476)* CHOOSE(CONTROL!$C$21, $C$9, 100%, $E$9)</f>
        <v>12.9476</v>
      </c>
      <c r="K468" s="10">
        <f>CHOOSE(CONTROL!$C$42, 12.7606, 12.7606) * CHOOSE(CONTROL!$C$21, $C$9, 100%, $E$9)</f>
        <v>12.7606</v>
      </c>
      <c r="L468" s="10">
        <f>CHOOSE(CONTROL!$C$42, 13.6242, 13.6242) * CHOOSE(CONTROL!$C$21, $C$9, 100%, $E$9)</f>
        <v>13.6242</v>
      </c>
      <c r="M468" s="10">
        <f>CHOOSE(CONTROL!$C$42, 12.8, 12.8) * CHOOSE(CONTROL!$C$21, $C$9, 100%, $E$9)</f>
        <v>12.8</v>
      </c>
      <c r="N468" s="10">
        <f>CHOOSE(CONTROL!$C$42, 12.8162, 12.8162) * CHOOSE(CONTROL!$C$21, $C$9, 100%, $E$9)</f>
        <v>12.8162</v>
      </c>
      <c r="O468" s="10">
        <f>CHOOSE(CONTROL!$C$42, 12.8883, 12.8883) * CHOOSE(CONTROL!$C$21, $C$9, 100%, $E$9)</f>
        <v>12.888299999999999</v>
      </c>
      <c r="P468" s="10">
        <f>CHOOSE(CONTROL!$C$42, 12.8514, 12.8514) * CHOOSE(CONTROL!$C$21, $C$9, 100%, $E$9)</f>
        <v>12.8514</v>
      </c>
      <c r="Q468" s="10">
        <f>CHOOSE(CONTROL!$C$42, 13.4836, 13.4836) * CHOOSE(CONTROL!$C$21, $C$9, 100%, $E$9)</f>
        <v>13.483599999999999</v>
      </c>
      <c r="R468" s="10">
        <f>CHOOSE(CONTROL!$C$42, 14.1043, 14.1043) * CHOOSE(CONTROL!$C$21, $C$9, 100%, $E$9)</f>
        <v>14.1043</v>
      </c>
      <c r="S468" s="10">
        <f>CHOOSE(CONTROL!$C$42, 12.5898, 12.5898) * CHOOSE(CONTROL!$C$21, $C$9, 100%, $E$9)</f>
        <v>12.5898</v>
      </c>
      <c r="T46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68" s="38">
        <f>(1000*CHOOSE(CONTROL!$C$42, 695, 695)*CHOOSE(CONTROL!$C$42, 0.5599, 0.5599)*CHOOSE(CONTROL!$C$42, 31, 31))/1000000</f>
        <v>12.063045499999998</v>
      </c>
      <c r="V468" s="38">
        <f>(1000*CHOOSE(CONTROL!$C$42, 500, 500)*CHOOSE(CONTROL!$C$42, 0.275, 0.275)*CHOOSE(CONTROL!$C$42, 31, 31))/1000000</f>
        <v>4.2625000000000002</v>
      </c>
      <c r="W468" s="38">
        <f>(1000*CHOOSE(CONTROL!$C$42, 0.1146, 0.1146)*CHOOSE(CONTROL!$C$42, 121.5, 121.5)*CHOOSE(CONTROL!$C$42, 31, 31))/1000000</f>
        <v>0.43164089999999994</v>
      </c>
      <c r="X468" s="38">
        <f>(31*0.1790888*100000/1000000)+(31*0.2374*100000/1000000)</f>
        <v>1.2911152800000001</v>
      </c>
      <c r="Y468" s="38">
        <f>(1000*600*CHOOSE(CONTROL!$C$42, 1.0757, 1.0757)*CHOOSE(CONTROL!$C$42, 31, 31))/1000000</f>
        <v>20.008020000000005</v>
      </c>
      <c r="Z468" s="38"/>
      <c r="AA468" s="10"/>
      <c r="AB468" s="39"/>
      <c r="AC468" s="33">
        <f>(B468*122.58+C468*297.941+D468*89.177+E468*40.302+F468*40+G468*160+H468*0+I468*100+J468*300)/(122.58+297.941+89.177+40.302+0+40+160+100+300)</f>
        <v>12.979317548608694</v>
      </c>
      <c r="AD468" s="27">
        <f>(M468*'RAP TEMPLATE-GAS AVAILABILITY'!O467+N468*'RAP TEMPLATE-GAS AVAILABILITY'!P467+O468*'RAP TEMPLATE-GAS AVAILABILITY'!Q467+P468*'RAP TEMPLATE-GAS AVAILABILITY'!R467)/('RAP TEMPLATE-GAS AVAILABILITY'!O467+'RAP TEMPLATE-GAS AVAILABILITY'!P467+'RAP TEMPLATE-GAS AVAILABILITY'!Q467+'RAP TEMPLATE-GAS AVAILABILITY'!R467)</f>
        <v>12.848348920863309</v>
      </c>
    </row>
    <row r="469" spans="1:30" ht="15.75">
      <c r="A469" s="14">
        <v>55549</v>
      </c>
      <c r="B469" s="10">
        <f>CHOOSE(CONTROL!$C$42, 13.8622, 13.8622) * CHOOSE(CONTROL!$C$21, $C$9, 100%, $E$9)</f>
        <v>13.8622</v>
      </c>
      <c r="C469" s="10">
        <f>CHOOSE(CONTROL!$C$42, 13.8673, 13.8673) * CHOOSE(CONTROL!$C$21, $C$9, 100%, $E$9)</f>
        <v>13.8673</v>
      </c>
      <c r="D469" s="10">
        <f>CHOOSE(CONTROL!$C$42, 13.8997, 13.8997) * CHOOSE(CONTROL!$C$21, $C$9, 100%, $E$9)</f>
        <v>13.899699999999999</v>
      </c>
      <c r="E469" s="10">
        <f>CHOOSE(CONTROL!$C$42, 13.9335, 13.9335) * CHOOSE(CONTROL!$C$21, $C$9, 100%, $E$9)</f>
        <v>13.9335</v>
      </c>
      <c r="F469" s="10">
        <f>CHOOSE(CONTROL!$C$42, 13.8464, 13.8464)*CHOOSE(CONTROL!$C$21, $C$9, 100%, $E$9)</f>
        <v>13.846399999999999</v>
      </c>
      <c r="G469" s="10">
        <f>CHOOSE(CONTROL!$C$42, 13.8644, 13.8644)*CHOOSE(CONTROL!$C$21, $C$9, 100%, $E$9)</f>
        <v>13.8644</v>
      </c>
      <c r="H469" s="10">
        <f>CHOOSE(CONTROL!$C$42, 13.9224, 13.9224) * CHOOSE(CONTROL!$C$21, $C$9, 100%, $E$9)</f>
        <v>13.9224</v>
      </c>
      <c r="I469" s="10">
        <f>CHOOSE(CONTROL!$C$42, 13.8756, 13.8756)* CHOOSE(CONTROL!$C$21, $C$9, 100%, $E$9)</f>
        <v>13.8756</v>
      </c>
      <c r="J469" s="10">
        <f>CHOOSE(CONTROL!$C$42, 13.839, 13.839)* CHOOSE(CONTROL!$C$21, $C$9, 100%, $E$9)</f>
        <v>13.839</v>
      </c>
      <c r="K469" s="10">
        <f>CHOOSE(CONTROL!$C$42, 13.6231, 13.6231) * CHOOSE(CONTROL!$C$21, $C$9, 100%, $E$9)</f>
        <v>13.623100000000001</v>
      </c>
      <c r="L469" s="10">
        <f>CHOOSE(CONTROL!$C$42, 14.5094, 14.5094) * CHOOSE(CONTROL!$C$21, $C$9, 100%, $E$9)</f>
        <v>14.509399999999999</v>
      </c>
      <c r="M469" s="10">
        <f>CHOOSE(CONTROL!$C$42, 13.679, 13.679) * CHOOSE(CONTROL!$C$21, $C$9, 100%, $E$9)</f>
        <v>13.679</v>
      </c>
      <c r="N469" s="10">
        <f>CHOOSE(CONTROL!$C$42, 13.6967, 13.6967) * CHOOSE(CONTROL!$C$21, $C$9, 100%, $E$9)</f>
        <v>13.6967</v>
      </c>
      <c r="O469" s="10">
        <f>CHOOSE(CONTROL!$C$42, 13.7612, 13.7612) * CHOOSE(CONTROL!$C$21, $C$9, 100%, $E$9)</f>
        <v>13.761200000000001</v>
      </c>
      <c r="P469" s="10">
        <f>CHOOSE(CONTROL!$C$42, 13.7151, 13.7151) * CHOOSE(CONTROL!$C$21, $C$9, 100%, $E$9)</f>
        <v>13.7151</v>
      </c>
      <c r="Q469" s="10">
        <f>CHOOSE(CONTROL!$C$42, 14.3565, 14.3565) * CHOOSE(CONTROL!$C$21, $C$9, 100%, $E$9)</f>
        <v>14.3565</v>
      </c>
      <c r="R469" s="10">
        <f>CHOOSE(CONTROL!$C$42, 14.9794, 14.9794) * CHOOSE(CONTROL!$C$21, $C$9, 100%, $E$9)</f>
        <v>14.9794</v>
      </c>
      <c r="S469" s="10">
        <f>CHOOSE(CONTROL!$C$42, 13.4394, 13.4394) * CHOOSE(CONTROL!$C$21, $C$9, 100%, $E$9)</f>
        <v>13.439399999999999</v>
      </c>
      <c r="T46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69" s="38">
        <f>(1000*CHOOSE(CONTROL!$C$42, 695, 695)*CHOOSE(CONTROL!$C$42, 0.5599, 0.5599)*CHOOSE(CONTROL!$C$42, 31, 31))/1000000</f>
        <v>12.063045499999998</v>
      </c>
      <c r="V469" s="38">
        <f>(1000*CHOOSE(CONTROL!$C$42, 500, 500)*CHOOSE(CONTROL!$C$42, 0.275, 0.275)*CHOOSE(CONTROL!$C$42, 31, 31))/1000000</f>
        <v>4.2625000000000002</v>
      </c>
      <c r="W469" s="38">
        <f>(1000*CHOOSE(CONTROL!$C$42, 0.1146, 0.1146)*CHOOSE(CONTROL!$C$42, 121.5, 121.5)*CHOOSE(CONTROL!$C$42, 31, 31))/1000000</f>
        <v>0.43164089999999994</v>
      </c>
      <c r="X469" s="38">
        <f>(31*0.1790888*100000/1000000)+(31*0.2374*100000/1000000)</f>
        <v>1.2911152800000001</v>
      </c>
      <c r="Y469" s="38">
        <f>(1000*600*CHOOSE(CONTROL!$C$42, 1.0722, 1.0722)*CHOOSE(CONTROL!$C$42, 31, 31))/1000000</f>
        <v>19.942920000000001</v>
      </c>
      <c r="Z469" s="38"/>
      <c r="AA469" s="10"/>
      <c r="AB469" s="39"/>
      <c r="AC469" s="33">
        <f>(B469*122.58+C469*297.941+D469*89.177+E469*40.302+F469*40+G469*160+H469*0+I469*100+J469*300)/(122.58+297.941+89.177+40.302+0+40+160+100+300)</f>
        <v>13.863797538434781</v>
      </c>
      <c r="AD469" s="27">
        <f>(M469*'RAP TEMPLATE-GAS AVAILABILITY'!O468+N469*'RAP TEMPLATE-GAS AVAILABILITY'!P468+O469*'RAP TEMPLATE-GAS AVAILABILITY'!Q468+P469*'RAP TEMPLATE-GAS AVAILABILITY'!R468)/('RAP TEMPLATE-GAS AVAILABILITY'!O468+'RAP TEMPLATE-GAS AVAILABILITY'!P468+'RAP TEMPLATE-GAS AVAILABILITY'!Q468+'RAP TEMPLATE-GAS AVAILABILITY'!R468)</f>
        <v>13.722469064748202</v>
      </c>
    </row>
    <row r="470" spans="1:30" ht="15.75">
      <c r="A470" s="14">
        <v>55577</v>
      </c>
      <c r="B470" s="10">
        <f>CHOOSE(CONTROL!$C$42, 14.1093, 14.1093) * CHOOSE(CONTROL!$C$21, $C$9, 100%, $E$9)</f>
        <v>14.109299999999999</v>
      </c>
      <c r="C470" s="10">
        <f>CHOOSE(CONTROL!$C$42, 14.1144, 14.1144) * CHOOSE(CONTROL!$C$21, $C$9, 100%, $E$9)</f>
        <v>14.1144</v>
      </c>
      <c r="D470" s="10">
        <f>CHOOSE(CONTROL!$C$42, 14.1468, 14.1468) * CHOOSE(CONTROL!$C$21, $C$9, 100%, $E$9)</f>
        <v>14.146800000000001</v>
      </c>
      <c r="E470" s="10">
        <f>CHOOSE(CONTROL!$C$42, 14.1806, 14.1806) * CHOOSE(CONTROL!$C$21, $C$9, 100%, $E$9)</f>
        <v>14.1806</v>
      </c>
      <c r="F470" s="10">
        <f>CHOOSE(CONTROL!$C$42, 14.093, 14.093)*CHOOSE(CONTROL!$C$21, $C$9, 100%, $E$9)</f>
        <v>14.093</v>
      </c>
      <c r="G470" s="10">
        <f>CHOOSE(CONTROL!$C$42, 14.1109, 14.1109)*CHOOSE(CONTROL!$C$21, $C$9, 100%, $E$9)</f>
        <v>14.110900000000001</v>
      </c>
      <c r="H470" s="10">
        <f>CHOOSE(CONTROL!$C$42, 14.1695, 14.1695) * CHOOSE(CONTROL!$C$21, $C$9, 100%, $E$9)</f>
        <v>14.169499999999999</v>
      </c>
      <c r="I470" s="10">
        <f>CHOOSE(CONTROL!$C$42, 14.1227, 14.1227)* CHOOSE(CONTROL!$C$21, $C$9, 100%, $E$9)</f>
        <v>14.1227</v>
      </c>
      <c r="J470" s="10">
        <f>CHOOSE(CONTROL!$C$42, 14.0856, 14.0856)* CHOOSE(CONTROL!$C$21, $C$9, 100%, $E$9)</f>
        <v>14.085599999999999</v>
      </c>
      <c r="K470" s="10">
        <f>CHOOSE(CONTROL!$C$42, 13.8615, 13.8615) * CHOOSE(CONTROL!$C$21, $C$9, 100%, $E$9)</f>
        <v>13.861499999999999</v>
      </c>
      <c r="L470" s="10">
        <f>CHOOSE(CONTROL!$C$42, 14.7565, 14.7565) * CHOOSE(CONTROL!$C$21, $C$9, 100%, $E$9)</f>
        <v>14.756500000000001</v>
      </c>
      <c r="M470" s="10">
        <f>CHOOSE(CONTROL!$C$42, 13.9221, 13.9221) * CHOOSE(CONTROL!$C$21, $C$9, 100%, $E$9)</f>
        <v>13.9221</v>
      </c>
      <c r="N470" s="10">
        <f>CHOOSE(CONTROL!$C$42, 13.9398, 13.9398) * CHOOSE(CONTROL!$C$21, $C$9, 100%, $E$9)</f>
        <v>13.9398</v>
      </c>
      <c r="O470" s="10">
        <f>CHOOSE(CONTROL!$C$42, 14.0048, 14.0048) * CHOOSE(CONTROL!$C$21, $C$9, 100%, $E$9)</f>
        <v>14.004799999999999</v>
      </c>
      <c r="P470" s="10">
        <f>CHOOSE(CONTROL!$C$42, 13.9588, 13.9588) * CHOOSE(CONTROL!$C$21, $C$9, 100%, $E$9)</f>
        <v>13.9588</v>
      </c>
      <c r="Q470" s="10">
        <f>CHOOSE(CONTROL!$C$42, 14.6001, 14.6001) * CHOOSE(CONTROL!$C$21, $C$9, 100%, $E$9)</f>
        <v>14.600099999999999</v>
      </c>
      <c r="R470" s="10">
        <f>CHOOSE(CONTROL!$C$42, 15.2236, 15.2236) * CHOOSE(CONTROL!$C$21, $C$9, 100%, $E$9)</f>
        <v>15.223599999999999</v>
      </c>
      <c r="S470" s="10">
        <f>CHOOSE(CONTROL!$C$42, 13.6787, 13.6787) * CHOOSE(CONTROL!$C$21, $C$9, 100%, $E$9)</f>
        <v>13.678699999999999</v>
      </c>
      <c r="T470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470" s="38">
        <f>(1000*CHOOSE(CONTROL!$C$42, 695, 695)*CHOOSE(CONTROL!$C$42, 0.5599, 0.5599)*CHOOSE(CONTROL!$C$42, 29, 29))/1000000</f>
        <v>11.284784499999999</v>
      </c>
      <c r="V470" s="38">
        <f>(1000*CHOOSE(CONTROL!$C$42, 500, 500)*CHOOSE(CONTROL!$C$42, 0.275, 0.275)*CHOOSE(CONTROL!$C$42, 29, 29))/1000000</f>
        <v>3.9874999999999998</v>
      </c>
      <c r="W470" s="38">
        <f>(1000*CHOOSE(CONTROL!$C$42, 0.1146, 0.1146)*CHOOSE(CONTROL!$C$42, 121.5, 121.5)*CHOOSE(CONTROL!$C$42, 29, 29))/1000000</f>
        <v>0.40379309999999996</v>
      </c>
      <c r="X470" s="38">
        <f>(29*0.1790888*100000/1000000)+(29*0.2374*100000/1000000)</f>
        <v>1.2078175199999999</v>
      </c>
      <c r="Y470" s="38">
        <f>(1000*600*CHOOSE(CONTROL!$C$42, 1.0722, 1.0722)*CHOOSE(CONTROL!$C$42, 29, 29))/1000000</f>
        <v>18.656279999999999</v>
      </c>
      <c r="Z470" s="38"/>
      <c r="AA470" s="10"/>
      <c r="AB470" s="39"/>
      <c r="AC470" s="33">
        <f>(B470*122.58+C470*297.941+D470*89.177+E470*40.302+F470*40+G470*160+H470*0+I470*100+J470*300)/(122.58+297.941+89.177+40.302+0+40+160+100+300)</f>
        <v>14.110666234086956</v>
      </c>
      <c r="AD470" s="27">
        <f>(M470*'RAP TEMPLATE-GAS AVAILABILITY'!O469+N470*'RAP TEMPLATE-GAS AVAILABILITY'!P469+O470*'RAP TEMPLATE-GAS AVAILABILITY'!Q469+P470*'RAP TEMPLATE-GAS AVAILABILITY'!R469)/('RAP TEMPLATE-GAS AVAILABILITY'!O469+'RAP TEMPLATE-GAS AVAILABILITY'!P469+'RAP TEMPLATE-GAS AVAILABILITY'!Q469+'RAP TEMPLATE-GAS AVAILABILITY'!R469)</f>
        <v>13.965882014388489</v>
      </c>
    </row>
    <row r="471" spans="1:30" ht="15.75">
      <c r="A471" s="14">
        <v>55609</v>
      </c>
      <c r="B471" s="10">
        <f>CHOOSE(CONTROL!$C$42, 13.7082, 13.7082) * CHOOSE(CONTROL!$C$21, $C$9, 100%, $E$9)</f>
        <v>13.7082</v>
      </c>
      <c r="C471" s="10">
        <f>CHOOSE(CONTROL!$C$42, 13.7133, 13.7133) * CHOOSE(CONTROL!$C$21, $C$9, 100%, $E$9)</f>
        <v>13.7133</v>
      </c>
      <c r="D471" s="10">
        <f>CHOOSE(CONTROL!$C$42, 13.7458, 13.7458) * CHOOSE(CONTROL!$C$21, $C$9, 100%, $E$9)</f>
        <v>13.745799999999999</v>
      </c>
      <c r="E471" s="10">
        <f>CHOOSE(CONTROL!$C$42, 13.7796, 13.7796) * CHOOSE(CONTROL!$C$21, $C$9, 100%, $E$9)</f>
        <v>13.7796</v>
      </c>
      <c r="F471" s="10">
        <f>CHOOSE(CONTROL!$C$42, 13.6905, 13.6905)*CHOOSE(CONTROL!$C$21, $C$9, 100%, $E$9)</f>
        <v>13.6905</v>
      </c>
      <c r="G471" s="10">
        <f>CHOOSE(CONTROL!$C$42, 13.7081, 13.7081)*CHOOSE(CONTROL!$C$21, $C$9, 100%, $E$9)</f>
        <v>13.7081</v>
      </c>
      <c r="H471" s="10">
        <f>CHOOSE(CONTROL!$C$42, 13.7684, 13.7684) * CHOOSE(CONTROL!$C$21, $C$9, 100%, $E$9)</f>
        <v>13.7684</v>
      </c>
      <c r="I471" s="10">
        <f>CHOOSE(CONTROL!$C$42, 13.7217, 13.7217)* CHOOSE(CONTROL!$C$21, $C$9, 100%, $E$9)</f>
        <v>13.7217</v>
      </c>
      <c r="J471" s="10">
        <f>CHOOSE(CONTROL!$C$42, 13.6831, 13.6831)* CHOOSE(CONTROL!$C$21, $C$9, 100%, $E$9)</f>
        <v>13.6831</v>
      </c>
      <c r="K471" s="10">
        <f>CHOOSE(CONTROL!$C$42, 13.4699, 13.4699) * CHOOSE(CONTROL!$C$21, $C$9, 100%, $E$9)</f>
        <v>13.469900000000001</v>
      </c>
      <c r="L471" s="10">
        <f>CHOOSE(CONTROL!$C$42, 14.3554, 14.3554) * CHOOSE(CONTROL!$C$21, $C$9, 100%, $E$9)</f>
        <v>14.355399999999999</v>
      </c>
      <c r="M471" s="10">
        <f>CHOOSE(CONTROL!$C$42, 13.5252, 13.5252) * CHOOSE(CONTROL!$C$21, $C$9, 100%, $E$9)</f>
        <v>13.5252</v>
      </c>
      <c r="N471" s="10">
        <f>CHOOSE(CONTROL!$C$42, 13.5425, 13.5425) * CHOOSE(CONTROL!$C$21, $C$9, 100%, $E$9)</f>
        <v>13.5425</v>
      </c>
      <c r="O471" s="10">
        <f>CHOOSE(CONTROL!$C$42, 13.6094, 13.6094) * CHOOSE(CONTROL!$C$21, $C$9, 100%, $E$9)</f>
        <v>13.609400000000001</v>
      </c>
      <c r="P471" s="10">
        <f>CHOOSE(CONTROL!$C$42, 13.5633, 13.5633) * CHOOSE(CONTROL!$C$21, $C$9, 100%, $E$9)</f>
        <v>13.5633</v>
      </c>
      <c r="Q471" s="10">
        <f>CHOOSE(CONTROL!$C$42, 14.2047, 14.2047) * CHOOSE(CONTROL!$C$21, $C$9, 100%, $E$9)</f>
        <v>14.204700000000001</v>
      </c>
      <c r="R471" s="10">
        <f>CHOOSE(CONTROL!$C$42, 14.8272, 14.8272) * CHOOSE(CONTROL!$C$21, $C$9, 100%, $E$9)</f>
        <v>14.827199999999999</v>
      </c>
      <c r="S471" s="10">
        <f>CHOOSE(CONTROL!$C$42, 13.2903, 13.2903) * CHOOSE(CONTROL!$C$21, $C$9, 100%, $E$9)</f>
        <v>13.2903</v>
      </c>
      <c r="T47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71" s="38">
        <f>(1000*CHOOSE(CONTROL!$C$42, 695, 695)*CHOOSE(CONTROL!$C$42, 0.5599, 0.5599)*CHOOSE(CONTROL!$C$42, 31, 31))/1000000</f>
        <v>12.063045499999998</v>
      </c>
      <c r="V471" s="38">
        <f>(1000*CHOOSE(CONTROL!$C$42, 500, 500)*CHOOSE(CONTROL!$C$42, 0.275, 0.275)*CHOOSE(CONTROL!$C$42, 31, 31))/1000000</f>
        <v>4.2625000000000002</v>
      </c>
      <c r="W471" s="38">
        <f>(1000*CHOOSE(CONTROL!$C$42, 0.1146, 0.1146)*CHOOSE(CONTROL!$C$42, 121.5, 121.5)*CHOOSE(CONTROL!$C$42, 31, 31))/1000000</f>
        <v>0.43164089999999994</v>
      </c>
      <c r="X471" s="38">
        <f>(31*0.1790888*100000/1000000)+(31*0.2374*100000/1000000)</f>
        <v>1.2911152800000001</v>
      </c>
      <c r="Y471" s="38">
        <f>(1000*600*CHOOSE(CONTROL!$C$42, 1.0722, 1.0722)*CHOOSE(CONTROL!$C$42, 31, 31))/1000000</f>
        <v>19.942920000000001</v>
      </c>
      <c r="Z471" s="38"/>
      <c r="AA471" s="10"/>
      <c r="AB471" s="39"/>
      <c r="AC471" s="33">
        <f>(B471*122.58+C471*297.941+D471*89.177+E471*40.302+F471*40+G471*160+H471*0+I471*100+J471*300)/(122.58+297.941+89.177+40.302+0+40+160+100+300)</f>
        <v>13.708935754000001</v>
      </c>
      <c r="AD471" s="27">
        <f>(M471*'RAP TEMPLATE-GAS AVAILABILITY'!O470+N471*'RAP TEMPLATE-GAS AVAILABILITY'!P470+O471*'RAP TEMPLATE-GAS AVAILABILITY'!Q470+P471*'RAP TEMPLATE-GAS AVAILABILITY'!R470)/('RAP TEMPLATE-GAS AVAILABILITY'!O470+'RAP TEMPLATE-GAS AVAILABILITY'!P470+'RAP TEMPLATE-GAS AVAILABILITY'!Q470+'RAP TEMPLATE-GAS AVAILABILITY'!R470)</f>
        <v>13.569840287769786</v>
      </c>
    </row>
    <row r="472" spans="1:30" ht="15.75">
      <c r="A472" s="14">
        <v>55639</v>
      </c>
      <c r="B472" s="10">
        <f>CHOOSE(CONTROL!$C$42, 13.6679, 13.6679) * CHOOSE(CONTROL!$C$21, $C$9, 100%, $E$9)</f>
        <v>13.667899999999999</v>
      </c>
      <c r="C472" s="10">
        <f>CHOOSE(CONTROL!$C$42, 13.6724, 13.6724) * CHOOSE(CONTROL!$C$21, $C$9, 100%, $E$9)</f>
        <v>13.6724</v>
      </c>
      <c r="D472" s="10">
        <f>CHOOSE(CONTROL!$C$42, 13.8326, 13.8326) * CHOOSE(CONTROL!$C$21, $C$9, 100%, $E$9)</f>
        <v>13.832599999999999</v>
      </c>
      <c r="E472" s="10">
        <f>CHOOSE(CONTROL!$C$42, 13.8644, 13.8644) * CHOOSE(CONTROL!$C$21, $C$9, 100%, $E$9)</f>
        <v>13.8644</v>
      </c>
      <c r="F472" s="10">
        <f>CHOOSE(CONTROL!$C$42, 13.614, 13.614)*CHOOSE(CONTROL!$C$21, $C$9, 100%, $E$9)</f>
        <v>13.614000000000001</v>
      </c>
      <c r="G472" s="10">
        <f>CHOOSE(CONTROL!$C$42, 13.6298, 13.6298)*CHOOSE(CONTROL!$C$21, $C$9, 100%, $E$9)</f>
        <v>13.629799999999999</v>
      </c>
      <c r="H472" s="10">
        <f>CHOOSE(CONTROL!$C$42, 13.8539, 13.8539) * CHOOSE(CONTROL!$C$21, $C$9, 100%, $E$9)</f>
        <v>13.853899999999999</v>
      </c>
      <c r="I472" s="10">
        <f>CHOOSE(CONTROL!$C$42, 13.648, 13.648)* CHOOSE(CONTROL!$C$21, $C$9, 100%, $E$9)</f>
        <v>13.648</v>
      </c>
      <c r="J472" s="10">
        <f>CHOOSE(CONTROL!$C$42, 13.6066, 13.6066)* CHOOSE(CONTROL!$C$21, $C$9, 100%, $E$9)</f>
        <v>13.6066</v>
      </c>
      <c r="K472" s="10">
        <f>CHOOSE(CONTROL!$C$42, 13.3825, 13.3825) * CHOOSE(CONTROL!$C$21, $C$9, 100%, $E$9)</f>
        <v>13.3825</v>
      </c>
      <c r="L472" s="10">
        <f>CHOOSE(CONTROL!$C$42, 14.4409, 14.4409) * CHOOSE(CONTROL!$C$21, $C$9, 100%, $E$9)</f>
        <v>14.440899999999999</v>
      </c>
      <c r="M472" s="10">
        <f>CHOOSE(CONTROL!$C$42, 13.4498, 13.4498) * CHOOSE(CONTROL!$C$21, $C$9, 100%, $E$9)</f>
        <v>13.4498</v>
      </c>
      <c r="N472" s="10">
        <f>CHOOSE(CONTROL!$C$42, 13.4654, 13.4654) * CHOOSE(CONTROL!$C$21, $C$9, 100%, $E$9)</f>
        <v>13.465400000000001</v>
      </c>
      <c r="O472" s="10">
        <f>CHOOSE(CONTROL!$C$42, 13.6936, 13.6936) * CHOOSE(CONTROL!$C$21, $C$9, 100%, $E$9)</f>
        <v>13.6936</v>
      </c>
      <c r="P472" s="10">
        <f>CHOOSE(CONTROL!$C$42, 13.4907, 13.4907) * CHOOSE(CONTROL!$C$21, $C$9, 100%, $E$9)</f>
        <v>13.4907</v>
      </c>
      <c r="Q472" s="10">
        <f>CHOOSE(CONTROL!$C$42, 14.2889, 14.2889) * CHOOSE(CONTROL!$C$21, $C$9, 100%, $E$9)</f>
        <v>14.2889</v>
      </c>
      <c r="R472" s="10">
        <f>CHOOSE(CONTROL!$C$42, 14.9116, 14.9116) * CHOOSE(CONTROL!$C$21, $C$9, 100%, $E$9)</f>
        <v>14.9116</v>
      </c>
      <c r="S472" s="10">
        <f>CHOOSE(CONTROL!$C$42, 13.2505, 13.2505) * CHOOSE(CONTROL!$C$21, $C$9, 100%, $E$9)</f>
        <v>13.250500000000001</v>
      </c>
      <c r="T47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72" s="38">
        <f>(1000*CHOOSE(CONTROL!$C$42, 695, 695)*CHOOSE(CONTROL!$C$42, 0.5599, 0.5599)*CHOOSE(CONTROL!$C$42, 30, 30))/1000000</f>
        <v>11.673914999999997</v>
      </c>
      <c r="V472" s="38">
        <f>(1000*CHOOSE(CONTROL!$C$42, 500, 500)*CHOOSE(CONTROL!$C$42, 0.275, 0.275)*CHOOSE(CONTROL!$C$42, 30, 30))/1000000</f>
        <v>4.125</v>
      </c>
      <c r="W472" s="38">
        <f>(1000*CHOOSE(CONTROL!$C$42, 0.1146, 0.1146)*CHOOSE(CONTROL!$C$42, 121.5, 121.5)*CHOOSE(CONTROL!$C$42, 30, 30))/1000000</f>
        <v>0.417717</v>
      </c>
      <c r="X472" s="38">
        <f>(30*0.1790888*245000/1000000)+(30*0.2374*100000/1000000)</f>
        <v>2.0285026799999999</v>
      </c>
      <c r="Y472" s="38">
        <f>(1000*600*CHOOSE(CONTROL!$C$42, 1.0722, 1.0722)*CHOOSE(CONTROL!$C$42, 30, 30))/1000000</f>
        <v>19.299600000000002</v>
      </c>
      <c r="Z472" s="38"/>
      <c r="AA472" s="10"/>
      <c r="AB472" s="39"/>
      <c r="AC472" s="33">
        <f>(B472*141.293+C472*267.993+D472*115.016+E472*89.698+F472*40+G472*185+H472*0+I472*100+J472*300)/(141.293+267.993+115.016+89.698+0+40+185+100+300)</f>
        <v>13.674510379903145</v>
      </c>
      <c r="AD472" s="27">
        <f>(M472*'RAP TEMPLATE-GAS AVAILABILITY'!O471+N472*'RAP TEMPLATE-GAS AVAILABILITY'!P471+O472*'RAP TEMPLATE-GAS AVAILABILITY'!Q471+P472*'RAP TEMPLATE-GAS AVAILABILITY'!R471)/('RAP TEMPLATE-GAS AVAILABILITY'!O471+'RAP TEMPLATE-GAS AVAILABILITY'!P471+'RAP TEMPLATE-GAS AVAILABILITY'!Q471+'RAP TEMPLATE-GAS AVAILABILITY'!R471)</f>
        <v>13.527680575539568</v>
      </c>
    </row>
    <row r="473" spans="1:30" ht="15.75">
      <c r="A473" s="14">
        <v>55670</v>
      </c>
      <c r="B473" s="10">
        <f>CHOOSE(CONTROL!$C$42, 13.7905, 13.7905) * CHOOSE(CONTROL!$C$21, $C$9, 100%, $E$9)</f>
        <v>13.7905</v>
      </c>
      <c r="C473" s="10">
        <f>CHOOSE(CONTROL!$C$42, 13.7985, 13.7985) * CHOOSE(CONTROL!$C$21, $C$9, 100%, $E$9)</f>
        <v>13.798500000000001</v>
      </c>
      <c r="D473" s="10">
        <f>CHOOSE(CONTROL!$C$42, 13.9555, 13.9555) * CHOOSE(CONTROL!$C$21, $C$9, 100%, $E$9)</f>
        <v>13.955500000000001</v>
      </c>
      <c r="E473" s="10">
        <f>CHOOSE(CONTROL!$C$42, 13.9868, 13.9868) * CHOOSE(CONTROL!$C$21, $C$9, 100%, $E$9)</f>
        <v>13.986800000000001</v>
      </c>
      <c r="F473" s="10">
        <f>CHOOSE(CONTROL!$C$42, 13.7346, 13.7346)*CHOOSE(CONTROL!$C$21, $C$9, 100%, $E$9)</f>
        <v>13.7346</v>
      </c>
      <c r="G473" s="10">
        <f>CHOOSE(CONTROL!$C$42, 13.7508, 13.7508)*CHOOSE(CONTROL!$C$21, $C$9, 100%, $E$9)</f>
        <v>13.7508</v>
      </c>
      <c r="H473" s="10">
        <f>CHOOSE(CONTROL!$C$42, 13.9751, 13.9751) * CHOOSE(CONTROL!$C$21, $C$9, 100%, $E$9)</f>
        <v>13.975099999999999</v>
      </c>
      <c r="I473" s="10">
        <f>CHOOSE(CONTROL!$C$42, 13.7693, 13.7693)* CHOOSE(CONTROL!$C$21, $C$9, 100%, $E$9)</f>
        <v>13.769299999999999</v>
      </c>
      <c r="J473" s="10">
        <f>CHOOSE(CONTROL!$C$42, 13.7272, 13.7272)* CHOOSE(CONTROL!$C$21, $C$9, 100%, $E$9)</f>
        <v>13.7272</v>
      </c>
      <c r="K473" s="10">
        <f>CHOOSE(CONTROL!$C$42, 13.4987, 13.4987) * CHOOSE(CONTROL!$C$21, $C$9, 100%, $E$9)</f>
        <v>13.498699999999999</v>
      </c>
      <c r="L473" s="10">
        <f>CHOOSE(CONTROL!$C$42, 14.5621, 14.5621) * CHOOSE(CONTROL!$C$21, $C$9, 100%, $E$9)</f>
        <v>14.562099999999999</v>
      </c>
      <c r="M473" s="10">
        <f>CHOOSE(CONTROL!$C$42, 13.5687, 13.5687) * CHOOSE(CONTROL!$C$21, $C$9, 100%, $E$9)</f>
        <v>13.5687</v>
      </c>
      <c r="N473" s="10">
        <f>CHOOSE(CONTROL!$C$42, 13.5846, 13.5846) * CHOOSE(CONTROL!$C$21, $C$9, 100%, $E$9)</f>
        <v>13.5846</v>
      </c>
      <c r="O473" s="10">
        <f>CHOOSE(CONTROL!$C$42, 13.8132, 13.8132) * CHOOSE(CONTROL!$C$21, $C$9, 100%, $E$9)</f>
        <v>13.8132</v>
      </c>
      <c r="P473" s="10">
        <f>CHOOSE(CONTROL!$C$42, 13.6103, 13.6103) * CHOOSE(CONTROL!$C$21, $C$9, 100%, $E$9)</f>
        <v>13.610300000000001</v>
      </c>
      <c r="Q473" s="10">
        <f>CHOOSE(CONTROL!$C$42, 14.4085, 14.4085) * CHOOSE(CONTROL!$C$21, $C$9, 100%, $E$9)</f>
        <v>14.4085</v>
      </c>
      <c r="R473" s="10">
        <f>CHOOSE(CONTROL!$C$42, 15.0315, 15.0315) * CHOOSE(CONTROL!$C$21, $C$9, 100%, $E$9)</f>
        <v>15.031499999999999</v>
      </c>
      <c r="S473" s="10">
        <f>CHOOSE(CONTROL!$C$42, 13.3679, 13.3679) * CHOOSE(CONTROL!$C$21, $C$9, 100%, $E$9)</f>
        <v>13.367900000000001</v>
      </c>
      <c r="T47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73" s="38">
        <f>(1000*CHOOSE(CONTROL!$C$42, 695, 695)*CHOOSE(CONTROL!$C$42, 0.5599, 0.5599)*CHOOSE(CONTROL!$C$42, 31, 31))/1000000</f>
        <v>12.063045499999998</v>
      </c>
      <c r="V473" s="38">
        <f>(1000*CHOOSE(CONTROL!$C$42, 500, 500)*CHOOSE(CONTROL!$C$42, 0.275, 0.275)*CHOOSE(CONTROL!$C$42, 31, 31))/1000000</f>
        <v>4.2625000000000002</v>
      </c>
      <c r="W473" s="38">
        <f>(1000*CHOOSE(CONTROL!$C$42, 0.1146, 0.1146)*CHOOSE(CONTROL!$C$42, 121.5, 121.5)*CHOOSE(CONTROL!$C$42, 31, 31))/1000000</f>
        <v>0.43164089999999994</v>
      </c>
      <c r="X473" s="38">
        <f>(31*0.1790888*245000/1000000)+(31*0.2374*100000/1000000)</f>
        <v>2.0961194359999999</v>
      </c>
      <c r="Y473" s="38">
        <f>(1000*600*CHOOSE(CONTROL!$C$42, 1.0722, 1.0722)*CHOOSE(CONTROL!$C$42, 31, 31))/1000000</f>
        <v>19.942920000000001</v>
      </c>
      <c r="Z473" s="38"/>
      <c r="AA473" s="10"/>
      <c r="AB473" s="39"/>
      <c r="AC473" s="33">
        <f>(B473*194.205+C473*267.466+D473*133.845+E473*53.484+F473*40+G473*185+H473*0+I473*100+J473*300)/(194.205+267.466+133.845+53.484+0+40+185+100+300)</f>
        <v>13.793665276452119</v>
      </c>
      <c r="AD473" s="27">
        <f>(M473*'RAP TEMPLATE-GAS AVAILABILITY'!O472+N473*'RAP TEMPLATE-GAS AVAILABILITY'!P472+O473*'RAP TEMPLATE-GAS AVAILABILITY'!Q472+P473*'RAP TEMPLATE-GAS AVAILABILITY'!R472)/('RAP TEMPLATE-GAS AVAILABILITY'!O472+'RAP TEMPLATE-GAS AVAILABILITY'!P472+'RAP TEMPLATE-GAS AVAILABILITY'!Q472+'RAP TEMPLATE-GAS AVAILABILITY'!R472)</f>
        <v>13.646946762589929</v>
      </c>
    </row>
    <row r="474" spans="1:30" ht="15.75">
      <c r="A474" s="14">
        <v>55700</v>
      </c>
      <c r="B474" s="10">
        <f>CHOOSE(CONTROL!$C$42, 14.1821, 14.1821) * CHOOSE(CONTROL!$C$21, $C$9, 100%, $E$9)</f>
        <v>14.1821</v>
      </c>
      <c r="C474" s="10">
        <f>CHOOSE(CONTROL!$C$42, 14.1901, 14.1901) * CHOOSE(CONTROL!$C$21, $C$9, 100%, $E$9)</f>
        <v>14.190099999999999</v>
      </c>
      <c r="D474" s="10">
        <f>CHOOSE(CONTROL!$C$42, 14.3471, 14.3471) * CHOOSE(CONTROL!$C$21, $C$9, 100%, $E$9)</f>
        <v>14.347099999999999</v>
      </c>
      <c r="E474" s="10">
        <f>CHOOSE(CONTROL!$C$42, 14.3783, 14.3783) * CHOOSE(CONTROL!$C$21, $C$9, 100%, $E$9)</f>
        <v>14.378299999999999</v>
      </c>
      <c r="F474" s="10">
        <f>CHOOSE(CONTROL!$C$42, 14.1264, 14.1264)*CHOOSE(CONTROL!$C$21, $C$9, 100%, $E$9)</f>
        <v>14.1264</v>
      </c>
      <c r="G474" s="10">
        <f>CHOOSE(CONTROL!$C$42, 14.1426, 14.1426)*CHOOSE(CONTROL!$C$21, $C$9, 100%, $E$9)</f>
        <v>14.1426</v>
      </c>
      <c r="H474" s="10">
        <f>CHOOSE(CONTROL!$C$42, 14.3667, 14.3667) * CHOOSE(CONTROL!$C$21, $C$9, 100%, $E$9)</f>
        <v>14.3667</v>
      </c>
      <c r="I474" s="10">
        <f>CHOOSE(CONTROL!$C$42, 14.1608, 14.1608)* CHOOSE(CONTROL!$C$21, $C$9, 100%, $E$9)</f>
        <v>14.1608</v>
      </c>
      <c r="J474" s="10">
        <f>CHOOSE(CONTROL!$C$42, 14.119, 14.119)* CHOOSE(CONTROL!$C$21, $C$9, 100%, $E$9)</f>
        <v>14.119</v>
      </c>
      <c r="K474" s="10">
        <f>CHOOSE(CONTROL!$C$42, 13.8784, 13.8784) * CHOOSE(CONTROL!$C$21, $C$9, 100%, $E$9)</f>
        <v>13.878399999999999</v>
      </c>
      <c r="L474" s="10">
        <f>CHOOSE(CONTROL!$C$42, 14.9537, 14.9537) * CHOOSE(CONTROL!$C$21, $C$9, 100%, $E$9)</f>
        <v>14.9537</v>
      </c>
      <c r="M474" s="10">
        <f>CHOOSE(CONTROL!$C$42, 13.955, 13.955) * CHOOSE(CONTROL!$C$21, $C$9, 100%, $E$9)</f>
        <v>13.955</v>
      </c>
      <c r="N474" s="10">
        <f>CHOOSE(CONTROL!$C$42, 13.971, 13.971) * CHOOSE(CONTROL!$C$21, $C$9, 100%, $E$9)</f>
        <v>13.971</v>
      </c>
      <c r="O474" s="10">
        <f>CHOOSE(CONTROL!$C$42, 14.1993, 14.1993) * CHOOSE(CONTROL!$C$21, $C$9, 100%, $E$9)</f>
        <v>14.199299999999999</v>
      </c>
      <c r="P474" s="10">
        <f>CHOOSE(CONTROL!$C$42, 13.9964, 13.9964) * CHOOSE(CONTROL!$C$21, $C$9, 100%, $E$9)</f>
        <v>13.9964</v>
      </c>
      <c r="Q474" s="10">
        <f>CHOOSE(CONTROL!$C$42, 14.7946, 14.7946) * CHOOSE(CONTROL!$C$21, $C$9, 100%, $E$9)</f>
        <v>14.794600000000001</v>
      </c>
      <c r="R474" s="10">
        <f>CHOOSE(CONTROL!$C$42, 15.4185, 15.4185) * CHOOSE(CONTROL!$C$21, $C$9, 100%, $E$9)</f>
        <v>15.4185</v>
      </c>
      <c r="S474" s="10">
        <f>CHOOSE(CONTROL!$C$42, 13.7471, 13.7471) * CHOOSE(CONTROL!$C$21, $C$9, 100%, $E$9)</f>
        <v>13.7471</v>
      </c>
      <c r="T47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74" s="38">
        <f>(1000*CHOOSE(CONTROL!$C$42, 695, 695)*CHOOSE(CONTROL!$C$42, 0.5599, 0.5599)*CHOOSE(CONTROL!$C$42, 30, 30))/1000000</f>
        <v>11.673914999999997</v>
      </c>
      <c r="V474" s="38">
        <f>(1000*CHOOSE(CONTROL!$C$42, 500, 500)*CHOOSE(CONTROL!$C$42, 0.275, 0.275)*CHOOSE(CONTROL!$C$42, 30, 30))/1000000</f>
        <v>4.125</v>
      </c>
      <c r="W474" s="38">
        <f>(1000*CHOOSE(CONTROL!$C$42, 0.1146, 0.1146)*CHOOSE(CONTROL!$C$42, 121.5, 121.5)*CHOOSE(CONTROL!$C$42, 30, 30))/1000000</f>
        <v>0.417717</v>
      </c>
      <c r="X474" s="38">
        <f>(30*0.1790888*245000/1000000)+(30*0.2374*100000/1000000)</f>
        <v>2.0285026799999999</v>
      </c>
      <c r="Y474" s="38">
        <f>(1000*600*CHOOSE(CONTROL!$C$42, 1.0722, 1.0722)*CHOOSE(CONTROL!$C$42, 30, 30))/1000000</f>
        <v>19.299600000000002</v>
      </c>
      <c r="Z474" s="38"/>
      <c r="AA474" s="10"/>
      <c r="AB474" s="39"/>
      <c r="AC474" s="33">
        <f>(B474*194.205+C474*267.466+D474*133.845+E474*53.484+F474*40+G474*185+H474*0+I474*100+J474*300)/(194.205+267.466+133.845+53.484+0+40+185+100+300)</f>
        <v>14.185335646624804</v>
      </c>
      <c r="AD474" s="27">
        <f>(M474*'RAP TEMPLATE-GAS AVAILABILITY'!O473+N474*'RAP TEMPLATE-GAS AVAILABILITY'!P473+O474*'RAP TEMPLATE-GAS AVAILABILITY'!Q473+P474*'RAP TEMPLATE-GAS AVAILABILITY'!R473)/('RAP TEMPLATE-GAS AVAILABILITY'!O473+'RAP TEMPLATE-GAS AVAILABILITY'!P473+'RAP TEMPLATE-GAS AVAILABILITY'!Q473+'RAP TEMPLATE-GAS AVAILABILITY'!R473)</f>
        <v>14.033184892086329</v>
      </c>
    </row>
    <row r="475" spans="1:30" ht="15.75">
      <c r="A475" s="14">
        <v>55731</v>
      </c>
      <c r="B475" s="10">
        <f>CHOOSE(CONTROL!$C$42, 13.9097, 13.9097) * CHOOSE(CONTROL!$C$21, $C$9, 100%, $E$9)</f>
        <v>13.909700000000001</v>
      </c>
      <c r="C475" s="10">
        <f>CHOOSE(CONTROL!$C$42, 13.9177, 13.9177) * CHOOSE(CONTROL!$C$21, $C$9, 100%, $E$9)</f>
        <v>13.9177</v>
      </c>
      <c r="D475" s="10">
        <f>CHOOSE(CONTROL!$C$42, 14.0748, 14.0748) * CHOOSE(CONTROL!$C$21, $C$9, 100%, $E$9)</f>
        <v>14.0748</v>
      </c>
      <c r="E475" s="10">
        <f>CHOOSE(CONTROL!$C$42, 14.106, 14.106) * CHOOSE(CONTROL!$C$21, $C$9, 100%, $E$9)</f>
        <v>14.106</v>
      </c>
      <c r="F475" s="10">
        <f>CHOOSE(CONTROL!$C$42, 13.8544, 13.8544)*CHOOSE(CONTROL!$C$21, $C$9, 100%, $E$9)</f>
        <v>13.8544</v>
      </c>
      <c r="G475" s="10">
        <f>CHOOSE(CONTROL!$C$42, 13.8706, 13.8706)*CHOOSE(CONTROL!$C$21, $C$9, 100%, $E$9)</f>
        <v>13.8706</v>
      </c>
      <c r="H475" s="10">
        <f>CHOOSE(CONTROL!$C$42, 14.0943, 14.0943) * CHOOSE(CONTROL!$C$21, $C$9, 100%, $E$9)</f>
        <v>14.0943</v>
      </c>
      <c r="I475" s="10">
        <f>CHOOSE(CONTROL!$C$42, 13.8885, 13.8885)* CHOOSE(CONTROL!$C$21, $C$9, 100%, $E$9)</f>
        <v>13.888500000000001</v>
      </c>
      <c r="J475" s="10">
        <f>CHOOSE(CONTROL!$C$42, 13.847, 13.847)* CHOOSE(CONTROL!$C$21, $C$9, 100%, $E$9)</f>
        <v>13.847</v>
      </c>
      <c r="K475" s="10">
        <f>CHOOSE(CONTROL!$C$42, 13.6153, 13.6153) * CHOOSE(CONTROL!$C$21, $C$9, 100%, $E$9)</f>
        <v>13.6153</v>
      </c>
      <c r="L475" s="10">
        <f>CHOOSE(CONTROL!$C$42, 14.6813, 14.6813) * CHOOSE(CONTROL!$C$21, $C$9, 100%, $E$9)</f>
        <v>14.6813</v>
      </c>
      <c r="M475" s="10">
        <f>CHOOSE(CONTROL!$C$42, 13.6868, 13.6868) * CHOOSE(CONTROL!$C$21, $C$9, 100%, $E$9)</f>
        <v>13.6868</v>
      </c>
      <c r="N475" s="10">
        <f>CHOOSE(CONTROL!$C$42, 13.7028, 13.7028) * CHOOSE(CONTROL!$C$21, $C$9, 100%, $E$9)</f>
        <v>13.7028</v>
      </c>
      <c r="O475" s="10">
        <f>CHOOSE(CONTROL!$C$42, 13.9307, 13.9307) * CHOOSE(CONTROL!$C$21, $C$9, 100%, $E$9)</f>
        <v>13.9307</v>
      </c>
      <c r="P475" s="10">
        <f>CHOOSE(CONTROL!$C$42, 13.7278, 13.7278) * CHOOSE(CONTROL!$C$21, $C$9, 100%, $E$9)</f>
        <v>13.7278</v>
      </c>
      <c r="Q475" s="10">
        <f>CHOOSE(CONTROL!$C$42, 14.526, 14.526) * CHOOSE(CONTROL!$C$21, $C$9, 100%, $E$9)</f>
        <v>14.526</v>
      </c>
      <c r="R475" s="10">
        <f>CHOOSE(CONTROL!$C$42, 15.1493, 15.1493) * CHOOSE(CONTROL!$C$21, $C$9, 100%, $E$9)</f>
        <v>15.1493</v>
      </c>
      <c r="S475" s="10">
        <f>CHOOSE(CONTROL!$C$42, 13.4834, 13.4834) * CHOOSE(CONTROL!$C$21, $C$9, 100%, $E$9)</f>
        <v>13.4834</v>
      </c>
      <c r="T47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75" s="38">
        <f>(1000*CHOOSE(CONTROL!$C$42, 695, 695)*CHOOSE(CONTROL!$C$42, 0.5599, 0.5599)*CHOOSE(CONTROL!$C$42, 31, 31))/1000000</f>
        <v>12.063045499999998</v>
      </c>
      <c r="V475" s="38">
        <f>(1000*CHOOSE(CONTROL!$C$42, 500, 500)*CHOOSE(CONTROL!$C$42, 0.275, 0.275)*CHOOSE(CONTROL!$C$42, 31, 31))/1000000</f>
        <v>4.2625000000000002</v>
      </c>
      <c r="W475" s="38">
        <f>(1000*CHOOSE(CONTROL!$C$42, 0.1146, 0.1146)*CHOOSE(CONTROL!$C$42, 121.5, 121.5)*CHOOSE(CONTROL!$C$42, 31, 31))/1000000</f>
        <v>0.43164089999999994</v>
      </c>
      <c r="X475" s="38">
        <f>(31*0.1790888*245000/1000000)+(31*0.2374*100000/1000000)</f>
        <v>2.0961194359999999</v>
      </c>
      <c r="Y475" s="38">
        <f>(1000*600*CHOOSE(CONTROL!$C$42, 1.0722, 1.0722)*CHOOSE(CONTROL!$C$42, 31, 31))/1000000</f>
        <v>19.942920000000001</v>
      </c>
      <c r="Z475" s="38"/>
      <c r="AA475" s="10"/>
      <c r="AB475" s="39"/>
      <c r="AC475" s="33">
        <f>(B475*194.205+C475*267.466+D475*133.845+E475*53.484+F475*40+G475*185+H475*0+I475*100+J475*300)/(194.205+267.466+133.845+53.484+0+40+185+100+300)</f>
        <v>13.913123035086342</v>
      </c>
      <c r="AD475" s="27">
        <f>(M475*'RAP TEMPLATE-GAS AVAILABILITY'!O474+N475*'RAP TEMPLATE-GAS AVAILABILITY'!P474+O475*'RAP TEMPLATE-GAS AVAILABILITY'!Q474+P475*'RAP TEMPLATE-GAS AVAILABILITY'!R474)/('RAP TEMPLATE-GAS AVAILABILITY'!O474+'RAP TEMPLATE-GAS AVAILABILITY'!P474+'RAP TEMPLATE-GAS AVAILABILITY'!Q474+'RAP TEMPLATE-GAS AVAILABILITY'!R474)</f>
        <v>13.76481510791367</v>
      </c>
    </row>
    <row r="476" spans="1:30" ht="15.75">
      <c r="A476" s="14">
        <v>55762</v>
      </c>
      <c r="B476" s="10">
        <f>CHOOSE(CONTROL!$C$42, 13.222, 13.222) * CHOOSE(CONTROL!$C$21, $C$9, 100%, $E$9)</f>
        <v>13.222</v>
      </c>
      <c r="C476" s="10">
        <f>CHOOSE(CONTROL!$C$42, 13.23, 13.23) * CHOOSE(CONTROL!$C$21, $C$9, 100%, $E$9)</f>
        <v>13.23</v>
      </c>
      <c r="D476" s="10">
        <f>CHOOSE(CONTROL!$C$42, 13.387, 13.387) * CHOOSE(CONTROL!$C$21, $C$9, 100%, $E$9)</f>
        <v>13.387</v>
      </c>
      <c r="E476" s="10">
        <f>CHOOSE(CONTROL!$C$42, 13.4182, 13.4182) * CHOOSE(CONTROL!$C$21, $C$9, 100%, $E$9)</f>
        <v>13.418200000000001</v>
      </c>
      <c r="F476" s="10">
        <f>CHOOSE(CONTROL!$C$42, 13.1666, 13.1666)*CHOOSE(CONTROL!$C$21, $C$9, 100%, $E$9)</f>
        <v>13.166600000000001</v>
      </c>
      <c r="G476" s="10">
        <f>CHOOSE(CONTROL!$C$42, 13.1828, 13.1828)*CHOOSE(CONTROL!$C$21, $C$9, 100%, $E$9)</f>
        <v>13.1828</v>
      </c>
      <c r="H476" s="10">
        <f>CHOOSE(CONTROL!$C$42, 13.4066, 13.4066) * CHOOSE(CONTROL!$C$21, $C$9, 100%, $E$9)</f>
        <v>13.406599999999999</v>
      </c>
      <c r="I476" s="10">
        <f>CHOOSE(CONTROL!$C$42, 13.2008, 13.2008)* CHOOSE(CONTROL!$C$21, $C$9, 100%, $E$9)</f>
        <v>13.200799999999999</v>
      </c>
      <c r="J476" s="10">
        <f>CHOOSE(CONTROL!$C$42, 13.1592, 13.1592)* CHOOSE(CONTROL!$C$21, $C$9, 100%, $E$9)</f>
        <v>13.1592</v>
      </c>
      <c r="K476" s="10">
        <f>CHOOSE(CONTROL!$C$42, 12.9488, 12.9488) * CHOOSE(CONTROL!$C$21, $C$9, 100%, $E$9)</f>
        <v>12.9488</v>
      </c>
      <c r="L476" s="10">
        <f>CHOOSE(CONTROL!$C$42, 13.9936, 13.9936) * CHOOSE(CONTROL!$C$21, $C$9, 100%, $E$9)</f>
        <v>13.993600000000001</v>
      </c>
      <c r="M476" s="10">
        <f>CHOOSE(CONTROL!$C$42, 13.0086, 13.0086) * CHOOSE(CONTROL!$C$21, $C$9, 100%, $E$9)</f>
        <v>13.008599999999999</v>
      </c>
      <c r="N476" s="10">
        <f>CHOOSE(CONTROL!$C$42, 13.0246, 13.0246) * CHOOSE(CONTROL!$C$21, $C$9, 100%, $E$9)</f>
        <v>13.0246</v>
      </c>
      <c r="O476" s="10">
        <f>CHOOSE(CONTROL!$C$42, 13.2526, 13.2526) * CHOOSE(CONTROL!$C$21, $C$9, 100%, $E$9)</f>
        <v>13.252599999999999</v>
      </c>
      <c r="P476" s="10">
        <f>CHOOSE(CONTROL!$C$42, 13.0497, 13.0497) * CHOOSE(CONTROL!$C$21, $C$9, 100%, $E$9)</f>
        <v>13.0497</v>
      </c>
      <c r="Q476" s="10">
        <f>CHOOSE(CONTROL!$C$42, 13.8479, 13.8479) * CHOOSE(CONTROL!$C$21, $C$9, 100%, $E$9)</f>
        <v>13.847899999999999</v>
      </c>
      <c r="R476" s="10">
        <f>CHOOSE(CONTROL!$C$42, 14.4695, 14.4695) * CHOOSE(CONTROL!$C$21, $C$9, 100%, $E$9)</f>
        <v>14.4695</v>
      </c>
      <c r="S476" s="10">
        <f>CHOOSE(CONTROL!$C$42, 12.8174, 12.8174) * CHOOSE(CONTROL!$C$21, $C$9, 100%, $E$9)</f>
        <v>12.817399999999999</v>
      </c>
      <c r="T47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76" s="38">
        <f>(1000*CHOOSE(CONTROL!$C$42, 695, 695)*CHOOSE(CONTROL!$C$42, 0.5599, 0.5599)*CHOOSE(CONTROL!$C$42, 31, 31))/1000000</f>
        <v>12.063045499999998</v>
      </c>
      <c r="V476" s="38">
        <f>(1000*CHOOSE(CONTROL!$C$42, 500, 500)*CHOOSE(CONTROL!$C$42, 0.275, 0.275)*CHOOSE(CONTROL!$C$42, 31, 31))/1000000</f>
        <v>4.2625000000000002</v>
      </c>
      <c r="W476" s="38">
        <f>(1000*CHOOSE(CONTROL!$C$42, 0.1146, 0.1146)*CHOOSE(CONTROL!$C$42, 121.5, 121.5)*CHOOSE(CONTROL!$C$42, 31, 31))/1000000</f>
        <v>0.43164089999999994</v>
      </c>
      <c r="X476" s="38">
        <f>(31*0.1790888*245000/1000000)+(31*0.2374*100000/1000000)</f>
        <v>2.0961194359999999</v>
      </c>
      <c r="Y476" s="38">
        <f>(1000*600*CHOOSE(CONTROL!$C$42, 1.0722, 1.0722)*CHOOSE(CONTROL!$C$42, 31, 31))/1000000</f>
        <v>19.942920000000001</v>
      </c>
      <c r="Z476" s="38"/>
      <c r="AA476" s="10"/>
      <c r="AB476" s="39"/>
      <c r="AC476" s="33">
        <f>(B476*194.205+C476*267.466+D476*133.845+E476*53.484+F476*40+G476*185+H476*0+I476*100+J476*300)/(194.205+267.466+133.845+53.484+0+40+185+100+300)</f>
        <v>13.225367122291996</v>
      </c>
      <c r="AD476" s="27">
        <f>(M476*'RAP TEMPLATE-GAS AVAILABILITY'!O475+N476*'RAP TEMPLATE-GAS AVAILABILITY'!P475+O476*'RAP TEMPLATE-GAS AVAILABILITY'!Q475+P476*'RAP TEMPLATE-GAS AVAILABILITY'!R475)/('RAP TEMPLATE-GAS AVAILABILITY'!O475+'RAP TEMPLATE-GAS AVAILABILITY'!P475+'RAP TEMPLATE-GAS AVAILABILITY'!Q475+'RAP TEMPLATE-GAS AVAILABILITY'!R475)</f>
        <v>13.086657553956833</v>
      </c>
    </row>
    <row r="477" spans="1:30" ht="15.75">
      <c r="A477" s="14">
        <v>55792</v>
      </c>
      <c r="B477" s="10">
        <f>CHOOSE(CONTROL!$C$42, 12.3817, 12.3817) * CHOOSE(CONTROL!$C$21, $C$9, 100%, $E$9)</f>
        <v>12.3817</v>
      </c>
      <c r="C477" s="10">
        <f>CHOOSE(CONTROL!$C$42, 12.3897, 12.3897) * CHOOSE(CONTROL!$C$21, $C$9, 100%, $E$9)</f>
        <v>12.389699999999999</v>
      </c>
      <c r="D477" s="10">
        <f>CHOOSE(CONTROL!$C$42, 12.5467, 12.5467) * CHOOSE(CONTROL!$C$21, $C$9, 100%, $E$9)</f>
        <v>12.5467</v>
      </c>
      <c r="E477" s="10">
        <f>CHOOSE(CONTROL!$C$42, 12.5779, 12.5779) * CHOOSE(CONTROL!$C$21, $C$9, 100%, $E$9)</f>
        <v>12.5779</v>
      </c>
      <c r="F477" s="10">
        <f>CHOOSE(CONTROL!$C$42, 12.3261, 12.3261)*CHOOSE(CONTROL!$C$21, $C$9, 100%, $E$9)</f>
        <v>12.3261</v>
      </c>
      <c r="G477" s="10">
        <f>CHOOSE(CONTROL!$C$42, 12.3422, 12.3422)*CHOOSE(CONTROL!$C$21, $C$9, 100%, $E$9)</f>
        <v>12.3422</v>
      </c>
      <c r="H477" s="10">
        <f>CHOOSE(CONTROL!$C$42, 12.5663, 12.5663) * CHOOSE(CONTROL!$C$21, $C$9, 100%, $E$9)</f>
        <v>12.5663</v>
      </c>
      <c r="I477" s="10">
        <f>CHOOSE(CONTROL!$C$42, 12.3605, 12.3605)* CHOOSE(CONTROL!$C$21, $C$9, 100%, $E$9)</f>
        <v>12.3605</v>
      </c>
      <c r="J477" s="10">
        <f>CHOOSE(CONTROL!$C$42, 12.3187, 12.3187)* CHOOSE(CONTROL!$C$21, $C$9, 100%, $E$9)</f>
        <v>12.3187</v>
      </c>
      <c r="K477" s="10">
        <f>CHOOSE(CONTROL!$C$42, 12.1343, 12.1343) * CHOOSE(CONTROL!$C$21, $C$9, 100%, $E$9)</f>
        <v>12.1343</v>
      </c>
      <c r="L477" s="10">
        <f>CHOOSE(CONTROL!$C$42, 13.1533, 13.1533) * CHOOSE(CONTROL!$C$21, $C$9, 100%, $E$9)</f>
        <v>13.1533</v>
      </c>
      <c r="M477" s="10">
        <f>CHOOSE(CONTROL!$C$42, 12.1798, 12.1798) * CHOOSE(CONTROL!$C$21, $C$9, 100%, $E$9)</f>
        <v>12.1798</v>
      </c>
      <c r="N477" s="10">
        <f>CHOOSE(CONTROL!$C$42, 12.1958, 12.1958) * CHOOSE(CONTROL!$C$21, $C$9, 100%, $E$9)</f>
        <v>12.1958</v>
      </c>
      <c r="O477" s="10">
        <f>CHOOSE(CONTROL!$C$42, 12.424, 12.424) * CHOOSE(CONTROL!$C$21, $C$9, 100%, $E$9)</f>
        <v>12.423999999999999</v>
      </c>
      <c r="P477" s="10">
        <f>CHOOSE(CONTROL!$C$42, 12.2211, 12.2211) * CHOOSE(CONTROL!$C$21, $C$9, 100%, $E$9)</f>
        <v>12.2211</v>
      </c>
      <c r="Q477" s="10">
        <f>CHOOSE(CONTROL!$C$42, 13.0193, 13.0193) * CHOOSE(CONTROL!$C$21, $C$9, 100%, $E$9)</f>
        <v>13.019299999999999</v>
      </c>
      <c r="R477" s="10">
        <f>CHOOSE(CONTROL!$C$42, 13.6388, 13.6388) * CHOOSE(CONTROL!$C$21, $C$9, 100%, $E$9)</f>
        <v>13.6388</v>
      </c>
      <c r="S477" s="10">
        <f>CHOOSE(CONTROL!$C$42, 12.0038, 12.0038) * CHOOSE(CONTROL!$C$21, $C$9, 100%, $E$9)</f>
        <v>12.0038</v>
      </c>
      <c r="T47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77" s="38">
        <f>(1000*CHOOSE(CONTROL!$C$42, 695, 695)*CHOOSE(CONTROL!$C$42, 0.5599, 0.5599)*CHOOSE(CONTROL!$C$42, 30, 30))/1000000</f>
        <v>11.673914999999997</v>
      </c>
      <c r="V477" s="38">
        <f>(1000*CHOOSE(CONTROL!$C$42, 500, 500)*CHOOSE(CONTROL!$C$42, 0.275, 0.275)*CHOOSE(CONTROL!$C$42, 30, 30))/1000000</f>
        <v>4.125</v>
      </c>
      <c r="W477" s="38">
        <f>(1000*CHOOSE(CONTROL!$C$42, 0.1146, 0.1146)*CHOOSE(CONTROL!$C$42, 121.5, 121.5)*CHOOSE(CONTROL!$C$42, 30, 30))/1000000</f>
        <v>0.417717</v>
      </c>
      <c r="X477" s="38">
        <f>(30*0.1790888*245000/1000000)+(30*0.2374*100000/1000000)</f>
        <v>2.0285026799999999</v>
      </c>
      <c r="Y477" s="38">
        <f>(1000*600*CHOOSE(CONTROL!$C$42, 1.0722, 1.0722)*CHOOSE(CONTROL!$C$42, 30, 30))/1000000</f>
        <v>19.299600000000002</v>
      </c>
      <c r="Z477" s="38"/>
      <c r="AA477" s="10"/>
      <c r="AB477" s="39"/>
      <c r="AC477" s="33">
        <f>(B477*194.205+C477*267.466+D477*133.845+E477*53.484+F477*40+G477*185+H477*0+I477*100+J477*300)/(194.205+267.466+133.845+53.484+0+40+185+100+300)</f>
        <v>12.384970183516485</v>
      </c>
      <c r="AD477" s="27">
        <f>(M477*'RAP TEMPLATE-GAS AVAILABILITY'!O476+N477*'RAP TEMPLATE-GAS AVAILABILITY'!P476+O477*'RAP TEMPLATE-GAS AVAILABILITY'!Q476+P477*'RAP TEMPLATE-GAS AVAILABILITY'!R476)/('RAP TEMPLATE-GAS AVAILABILITY'!O476+'RAP TEMPLATE-GAS AVAILABILITY'!P476+'RAP TEMPLATE-GAS AVAILABILITY'!Q476+'RAP TEMPLATE-GAS AVAILABILITY'!R476)</f>
        <v>12.257942446043167</v>
      </c>
    </row>
    <row r="478" spans="1:30" ht="15.75">
      <c r="A478" s="14">
        <v>55823</v>
      </c>
      <c r="B478" s="10">
        <f>CHOOSE(CONTROL!$C$42, 12.1278, 12.1278) * CHOOSE(CONTROL!$C$21, $C$9, 100%, $E$9)</f>
        <v>12.127800000000001</v>
      </c>
      <c r="C478" s="10">
        <f>CHOOSE(CONTROL!$C$42, 12.1332, 12.1332) * CHOOSE(CONTROL!$C$21, $C$9, 100%, $E$9)</f>
        <v>12.1332</v>
      </c>
      <c r="D478" s="10">
        <f>CHOOSE(CONTROL!$C$42, 12.2951, 12.2951) * CHOOSE(CONTROL!$C$21, $C$9, 100%, $E$9)</f>
        <v>12.2951</v>
      </c>
      <c r="E478" s="10">
        <f>CHOOSE(CONTROL!$C$42, 12.324, 12.324) * CHOOSE(CONTROL!$C$21, $C$9, 100%, $E$9)</f>
        <v>12.324</v>
      </c>
      <c r="F478" s="10">
        <f>CHOOSE(CONTROL!$C$42, 12.0742, 12.0742)*CHOOSE(CONTROL!$C$21, $C$9, 100%, $E$9)</f>
        <v>12.074199999999999</v>
      </c>
      <c r="G478" s="10">
        <f>CHOOSE(CONTROL!$C$42, 12.09, 12.09)*CHOOSE(CONTROL!$C$21, $C$9, 100%, $E$9)</f>
        <v>12.09</v>
      </c>
      <c r="H478" s="10">
        <f>CHOOSE(CONTROL!$C$42, 12.3141, 12.3141) * CHOOSE(CONTROL!$C$21, $C$9, 100%, $E$9)</f>
        <v>12.3141</v>
      </c>
      <c r="I478" s="10">
        <f>CHOOSE(CONTROL!$C$42, 12.1083, 12.1083)* CHOOSE(CONTROL!$C$21, $C$9, 100%, $E$9)</f>
        <v>12.1083</v>
      </c>
      <c r="J478" s="10">
        <f>CHOOSE(CONTROL!$C$42, 12.0668, 12.0668)* CHOOSE(CONTROL!$C$21, $C$9, 100%, $E$9)</f>
        <v>12.066800000000001</v>
      </c>
      <c r="K478" s="10">
        <f>CHOOSE(CONTROL!$C$42, 11.8907, 11.8907) * CHOOSE(CONTROL!$C$21, $C$9, 100%, $E$9)</f>
        <v>11.890700000000001</v>
      </c>
      <c r="L478" s="10">
        <f>CHOOSE(CONTROL!$C$42, 12.9011, 12.9011) * CHOOSE(CONTROL!$C$21, $C$9, 100%, $E$9)</f>
        <v>12.9011</v>
      </c>
      <c r="M478" s="10">
        <f>CHOOSE(CONTROL!$C$42, 11.9315, 11.9315) * CHOOSE(CONTROL!$C$21, $C$9, 100%, $E$9)</f>
        <v>11.9315</v>
      </c>
      <c r="N478" s="10">
        <f>CHOOSE(CONTROL!$C$42, 11.9471, 11.9471) * CHOOSE(CONTROL!$C$21, $C$9, 100%, $E$9)</f>
        <v>11.947100000000001</v>
      </c>
      <c r="O478" s="10">
        <f>CHOOSE(CONTROL!$C$42, 12.1754, 12.1754) * CHOOSE(CONTROL!$C$21, $C$9, 100%, $E$9)</f>
        <v>12.1754</v>
      </c>
      <c r="P478" s="10">
        <f>CHOOSE(CONTROL!$C$42, 11.9725, 11.9725) * CHOOSE(CONTROL!$C$21, $C$9, 100%, $E$9)</f>
        <v>11.9725</v>
      </c>
      <c r="Q478" s="10">
        <f>CHOOSE(CONTROL!$C$42, 12.7707, 12.7707) * CHOOSE(CONTROL!$C$21, $C$9, 100%, $E$9)</f>
        <v>12.7707</v>
      </c>
      <c r="R478" s="10">
        <f>CHOOSE(CONTROL!$C$42, 13.3896, 13.3896) * CHOOSE(CONTROL!$C$21, $C$9, 100%, $E$9)</f>
        <v>13.3896</v>
      </c>
      <c r="S478" s="10">
        <f>CHOOSE(CONTROL!$C$42, 11.7596, 11.7596) * CHOOSE(CONTROL!$C$21, $C$9, 100%, $E$9)</f>
        <v>11.759600000000001</v>
      </c>
      <c r="T47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78" s="38">
        <f>(1000*CHOOSE(CONTROL!$C$42, 695, 695)*CHOOSE(CONTROL!$C$42, 0.5599, 0.5599)*CHOOSE(CONTROL!$C$42, 31, 31))/1000000</f>
        <v>12.063045499999998</v>
      </c>
      <c r="V478" s="38">
        <f>(1000*CHOOSE(CONTROL!$C$42, 500, 500)*CHOOSE(CONTROL!$C$42, 0.275, 0.275)*CHOOSE(CONTROL!$C$42, 31, 31))/1000000</f>
        <v>4.2625000000000002</v>
      </c>
      <c r="W478" s="38">
        <f>(1000*CHOOSE(CONTROL!$C$42, 0.1146, 0.1146)*CHOOSE(CONTROL!$C$42, 121.5, 121.5)*CHOOSE(CONTROL!$C$42, 31, 31))/1000000</f>
        <v>0.43164089999999994</v>
      </c>
      <c r="X478" s="38">
        <f>(31*0.1790888*245000/1000000)+(31*0.2374*100000/1000000)</f>
        <v>2.0961194359999999</v>
      </c>
      <c r="Y478" s="38">
        <f>(1000*600*CHOOSE(CONTROL!$C$42, 1.0722, 1.0722)*CHOOSE(CONTROL!$C$42, 31, 31))/1000000</f>
        <v>19.942920000000001</v>
      </c>
      <c r="Z478" s="38"/>
      <c r="AA478" s="10"/>
      <c r="AB478" s="39"/>
      <c r="AC478" s="33">
        <f>(B478*131.881+C478*277.167+D478*79.08+E478*125.872+F478*40+G478*185+H478*0+I478*100+J478*300)/(131.881+277.167+79.08+125.872+0+40+185+100+300)</f>
        <v>12.135899977562548</v>
      </c>
      <c r="AD478" s="27">
        <f>(M478*'RAP TEMPLATE-GAS AVAILABILITY'!O477+N478*'RAP TEMPLATE-GAS AVAILABILITY'!P477+O478*'RAP TEMPLATE-GAS AVAILABILITY'!Q477+P478*'RAP TEMPLATE-GAS AVAILABILITY'!R477)/('RAP TEMPLATE-GAS AVAILABILITY'!O477+'RAP TEMPLATE-GAS AVAILABILITY'!P477+'RAP TEMPLATE-GAS AVAILABILITY'!Q477+'RAP TEMPLATE-GAS AVAILABILITY'!R477)</f>
        <v>12.009423021582732</v>
      </c>
    </row>
    <row r="479" spans="1:30" ht="15.75">
      <c r="A479" s="14">
        <v>55853</v>
      </c>
      <c r="B479" s="10">
        <f>CHOOSE(CONTROL!$C$42, 12.4473, 12.4473) * CHOOSE(CONTROL!$C$21, $C$9, 100%, $E$9)</f>
        <v>12.4473</v>
      </c>
      <c r="C479" s="10">
        <f>CHOOSE(CONTROL!$C$42, 12.4524, 12.4524) * CHOOSE(CONTROL!$C$21, $C$9, 100%, $E$9)</f>
        <v>12.452400000000001</v>
      </c>
      <c r="D479" s="10">
        <f>CHOOSE(CONTROL!$C$42, 12.4771, 12.4771) * CHOOSE(CONTROL!$C$21, $C$9, 100%, $E$9)</f>
        <v>12.4771</v>
      </c>
      <c r="E479" s="10">
        <f>CHOOSE(CONTROL!$C$42, 12.5109, 12.5109) * CHOOSE(CONTROL!$C$21, $C$9, 100%, $E$9)</f>
        <v>12.510899999999999</v>
      </c>
      <c r="F479" s="10">
        <f>CHOOSE(CONTROL!$C$42, 12.4157, 12.4157)*CHOOSE(CONTROL!$C$21, $C$9, 100%, $E$9)</f>
        <v>12.415699999999999</v>
      </c>
      <c r="G479" s="10">
        <f>CHOOSE(CONTROL!$C$42, 12.4317, 12.4317)*CHOOSE(CONTROL!$C$21, $C$9, 100%, $E$9)</f>
        <v>12.431699999999999</v>
      </c>
      <c r="H479" s="10">
        <f>CHOOSE(CONTROL!$C$42, 12.4998, 12.4998) * CHOOSE(CONTROL!$C$21, $C$9, 100%, $E$9)</f>
        <v>12.4998</v>
      </c>
      <c r="I479" s="10">
        <f>CHOOSE(CONTROL!$C$42, 12.4623, 12.4623)* CHOOSE(CONTROL!$C$21, $C$9, 100%, $E$9)</f>
        <v>12.462300000000001</v>
      </c>
      <c r="J479" s="10">
        <f>CHOOSE(CONTROL!$C$42, 12.4083, 12.4083)* CHOOSE(CONTROL!$C$21, $C$9, 100%, $E$9)</f>
        <v>12.408300000000001</v>
      </c>
      <c r="K479" s="10">
        <f>CHOOSE(CONTROL!$C$42, 12.2359, 12.2359) * CHOOSE(CONTROL!$C$21, $C$9, 100%, $E$9)</f>
        <v>12.235900000000001</v>
      </c>
      <c r="L479" s="10">
        <f>CHOOSE(CONTROL!$C$42, 13.0868, 13.0868) * CHOOSE(CONTROL!$C$21, $C$9, 100%, $E$9)</f>
        <v>13.0868</v>
      </c>
      <c r="M479" s="10">
        <f>CHOOSE(CONTROL!$C$42, 12.2682, 12.2682) * CHOOSE(CONTROL!$C$21, $C$9, 100%, $E$9)</f>
        <v>12.2682</v>
      </c>
      <c r="N479" s="10">
        <f>CHOOSE(CONTROL!$C$42, 12.284, 12.284) * CHOOSE(CONTROL!$C$21, $C$9, 100%, $E$9)</f>
        <v>12.284000000000001</v>
      </c>
      <c r="O479" s="10">
        <f>CHOOSE(CONTROL!$C$42, 12.3584, 12.3584) * CHOOSE(CONTROL!$C$21, $C$9, 100%, $E$9)</f>
        <v>12.3584</v>
      </c>
      <c r="P479" s="10">
        <f>CHOOSE(CONTROL!$C$42, 12.3215, 12.3215) * CHOOSE(CONTROL!$C$21, $C$9, 100%, $E$9)</f>
        <v>12.3215</v>
      </c>
      <c r="Q479" s="10">
        <f>CHOOSE(CONTROL!$C$42, 12.9537, 12.9537) * CHOOSE(CONTROL!$C$21, $C$9, 100%, $E$9)</f>
        <v>12.9537</v>
      </c>
      <c r="R479" s="10">
        <f>CHOOSE(CONTROL!$C$42, 13.5731, 13.5731) * CHOOSE(CONTROL!$C$21, $C$9, 100%, $E$9)</f>
        <v>13.5731</v>
      </c>
      <c r="S479" s="10">
        <f>CHOOSE(CONTROL!$C$42, 12.0694, 12.0694) * CHOOSE(CONTROL!$C$21, $C$9, 100%, $E$9)</f>
        <v>12.0694</v>
      </c>
      <c r="T47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79" s="38">
        <f>(1000*CHOOSE(CONTROL!$C$42, 695, 695)*CHOOSE(CONTROL!$C$42, 0.5599, 0.5599)*CHOOSE(CONTROL!$C$42, 30, 30))/1000000</f>
        <v>11.673914999999997</v>
      </c>
      <c r="V479" s="38">
        <f>(1000*CHOOSE(CONTROL!$C$42, 500, 500)*CHOOSE(CONTROL!$C$42, 0.275, 0.275)*CHOOSE(CONTROL!$C$42, 30, 30))/1000000</f>
        <v>4.125</v>
      </c>
      <c r="W479" s="38">
        <f>(1000*CHOOSE(CONTROL!$C$42, 0.1146, 0.1146)*CHOOSE(CONTROL!$C$42, 121.5, 121.5)*CHOOSE(CONTROL!$C$42, 30, 30))/1000000</f>
        <v>0.417717</v>
      </c>
      <c r="X479" s="38">
        <f>(30*0.1790888*100000/1000000)+(30*0.2374*100000/1000000)</f>
        <v>1.2494664</v>
      </c>
      <c r="Y479" s="38">
        <f>(1000*600*CHOOSE(CONTROL!$C$42, 1.0722, 1.0722)*CHOOSE(CONTROL!$C$42, 30, 30))/1000000</f>
        <v>19.299600000000002</v>
      </c>
      <c r="Z479" s="38"/>
      <c r="AA479" s="10"/>
      <c r="AB479" s="39"/>
      <c r="AC479" s="33">
        <f>(B479*122.58+C479*297.941+D479*89.177+E479*40.302+F479*40+G479*160+H479*0+I479*100+J479*300)/(122.58+297.941+89.177+40.302+0+40+160+100+300)</f>
        <v>12.441021896434782</v>
      </c>
      <c r="AD479" s="27">
        <f>(M479*'RAP TEMPLATE-GAS AVAILABILITY'!O478+N479*'RAP TEMPLATE-GAS AVAILABILITY'!P478+O479*'RAP TEMPLATE-GAS AVAILABILITY'!Q478+P479*'RAP TEMPLATE-GAS AVAILABILITY'!R478)/('RAP TEMPLATE-GAS AVAILABILITY'!O478+'RAP TEMPLATE-GAS AVAILABILITY'!P478+'RAP TEMPLATE-GAS AVAILABILITY'!Q478+'RAP TEMPLATE-GAS AVAILABILITY'!R478)</f>
        <v>12.317660431654675</v>
      </c>
    </row>
    <row r="480" spans="1:30" ht="15.75">
      <c r="A480" s="14">
        <v>55884</v>
      </c>
      <c r="B480" s="10">
        <f>CHOOSE(CONTROL!$C$42, 13.2971, 13.2971) * CHOOSE(CONTROL!$C$21, $C$9, 100%, $E$9)</f>
        <v>13.2971</v>
      </c>
      <c r="C480" s="10">
        <f>CHOOSE(CONTROL!$C$42, 13.3022, 13.3022) * CHOOSE(CONTROL!$C$21, $C$9, 100%, $E$9)</f>
        <v>13.302199999999999</v>
      </c>
      <c r="D480" s="10">
        <f>CHOOSE(CONTROL!$C$42, 13.3269, 13.3269) * CHOOSE(CONTROL!$C$21, $C$9, 100%, $E$9)</f>
        <v>13.3269</v>
      </c>
      <c r="E480" s="10">
        <f>CHOOSE(CONTROL!$C$42, 13.3607, 13.3607) * CHOOSE(CONTROL!$C$21, $C$9, 100%, $E$9)</f>
        <v>13.3607</v>
      </c>
      <c r="F480" s="10">
        <f>CHOOSE(CONTROL!$C$42, 13.2674, 13.2674)*CHOOSE(CONTROL!$C$21, $C$9, 100%, $E$9)</f>
        <v>13.2674</v>
      </c>
      <c r="G480" s="10">
        <f>CHOOSE(CONTROL!$C$42, 13.2838, 13.2838)*CHOOSE(CONTROL!$C$21, $C$9, 100%, $E$9)</f>
        <v>13.283799999999999</v>
      </c>
      <c r="H480" s="10">
        <f>CHOOSE(CONTROL!$C$42, 13.3496, 13.3496) * CHOOSE(CONTROL!$C$21, $C$9, 100%, $E$9)</f>
        <v>13.349600000000001</v>
      </c>
      <c r="I480" s="10">
        <f>CHOOSE(CONTROL!$C$42, 13.3121, 13.3121)* CHOOSE(CONTROL!$C$21, $C$9, 100%, $E$9)</f>
        <v>13.312099999999999</v>
      </c>
      <c r="J480" s="10">
        <f>CHOOSE(CONTROL!$C$42, 13.26, 13.26)* CHOOSE(CONTROL!$C$21, $C$9, 100%, $E$9)</f>
        <v>13.26</v>
      </c>
      <c r="K480" s="10">
        <f>CHOOSE(CONTROL!$C$42, 13.0632, 13.0632) * CHOOSE(CONTROL!$C$21, $C$9, 100%, $E$9)</f>
        <v>13.0632</v>
      </c>
      <c r="L480" s="10">
        <f>CHOOSE(CONTROL!$C$42, 13.9366, 13.9366) * CHOOSE(CONTROL!$C$21, $C$9, 100%, $E$9)</f>
        <v>13.9366</v>
      </c>
      <c r="M480" s="10">
        <f>CHOOSE(CONTROL!$C$42, 13.108, 13.108) * CHOOSE(CONTROL!$C$21, $C$9, 100%, $E$9)</f>
        <v>13.108000000000001</v>
      </c>
      <c r="N480" s="10">
        <f>CHOOSE(CONTROL!$C$42, 13.1242, 13.1242) * CHOOSE(CONTROL!$C$21, $C$9, 100%, $E$9)</f>
        <v>13.1242</v>
      </c>
      <c r="O480" s="10">
        <f>CHOOSE(CONTROL!$C$42, 13.1964, 13.1964) * CHOOSE(CONTROL!$C$21, $C$9, 100%, $E$9)</f>
        <v>13.196400000000001</v>
      </c>
      <c r="P480" s="10">
        <f>CHOOSE(CONTROL!$C$42, 13.1594, 13.1594) * CHOOSE(CONTROL!$C$21, $C$9, 100%, $E$9)</f>
        <v>13.1594</v>
      </c>
      <c r="Q480" s="10">
        <f>CHOOSE(CONTROL!$C$42, 13.7917, 13.7917) * CHOOSE(CONTROL!$C$21, $C$9, 100%, $E$9)</f>
        <v>13.791700000000001</v>
      </c>
      <c r="R480" s="10">
        <f>CHOOSE(CONTROL!$C$42, 14.4131, 14.4131) * CHOOSE(CONTROL!$C$21, $C$9, 100%, $E$9)</f>
        <v>14.4131</v>
      </c>
      <c r="S480" s="10">
        <f>CHOOSE(CONTROL!$C$42, 12.8922, 12.8922) * CHOOSE(CONTROL!$C$21, $C$9, 100%, $E$9)</f>
        <v>12.892200000000001</v>
      </c>
      <c r="T48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80" s="38">
        <f>(1000*CHOOSE(CONTROL!$C$42, 695, 695)*CHOOSE(CONTROL!$C$42, 0.5599, 0.5599)*CHOOSE(CONTROL!$C$42, 31, 31))/1000000</f>
        <v>12.063045499999998</v>
      </c>
      <c r="V480" s="38">
        <f>(1000*CHOOSE(CONTROL!$C$42, 500, 500)*CHOOSE(CONTROL!$C$42, 0.275, 0.275)*CHOOSE(CONTROL!$C$42, 31, 31))/1000000</f>
        <v>4.2625000000000002</v>
      </c>
      <c r="W480" s="38">
        <f>(1000*CHOOSE(CONTROL!$C$42, 0.1146, 0.1146)*CHOOSE(CONTROL!$C$42, 121.5, 121.5)*CHOOSE(CONTROL!$C$42, 31, 31))/1000000</f>
        <v>0.43164089999999994</v>
      </c>
      <c r="X480" s="38">
        <f>(31*0.1790888*100000/1000000)+(31*0.2374*100000/1000000)</f>
        <v>1.2911152800000001</v>
      </c>
      <c r="Y480" s="38">
        <f>(1000*600*CHOOSE(CONTROL!$C$42, 1.0722, 1.0722)*CHOOSE(CONTROL!$C$42, 31, 31))/1000000</f>
        <v>19.942920000000001</v>
      </c>
      <c r="Z480" s="38"/>
      <c r="AA480" s="10"/>
      <c r="AB480" s="39"/>
      <c r="AC480" s="33">
        <f>(B480*122.58+C480*297.941+D480*89.177+E480*40.302+F480*40+G480*160+H480*0+I480*100+J480*300)/(122.58+297.941+89.177+40.302+0+40+160+100+300)</f>
        <v>13.291703635565217</v>
      </c>
      <c r="AD480" s="27">
        <f>(M480*'RAP TEMPLATE-GAS AVAILABILITY'!O479+N480*'RAP TEMPLATE-GAS AVAILABILITY'!P479+O480*'RAP TEMPLATE-GAS AVAILABILITY'!Q479+P480*'RAP TEMPLATE-GAS AVAILABILITY'!R479)/('RAP TEMPLATE-GAS AVAILABILITY'!O479+'RAP TEMPLATE-GAS AVAILABILITY'!P479+'RAP TEMPLATE-GAS AVAILABILITY'!Q479+'RAP TEMPLATE-GAS AVAILABILITY'!R479)</f>
        <v>13.156394244604316</v>
      </c>
    </row>
    <row r="481" spans="1:30" ht="15.75">
      <c r="A481" s="14">
        <v>55915</v>
      </c>
      <c r="B481" s="10">
        <f>CHOOSE(CONTROL!$C$42, 14.1957, 14.1957) * CHOOSE(CONTROL!$C$21, $C$9, 100%, $E$9)</f>
        <v>14.1957</v>
      </c>
      <c r="C481" s="10">
        <f>CHOOSE(CONTROL!$C$42, 14.2008, 14.2008) * CHOOSE(CONTROL!$C$21, $C$9, 100%, $E$9)</f>
        <v>14.200799999999999</v>
      </c>
      <c r="D481" s="10">
        <f>CHOOSE(CONTROL!$C$42, 14.2332, 14.2332) * CHOOSE(CONTROL!$C$21, $C$9, 100%, $E$9)</f>
        <v>14.2332</v>
      </c>
      <c r="E481" s="10">
        <f>CHOOSE(CONTROL!$C$42, 14.267, 14.267) * CHOOSE(CONTROL!$C$21, $C$9, 100%, $E$9)</f>
        <v>14.266999999999999</v>
      </c>
      <c r="F481" s="10">
        <f>CHOOSE(CONTROL!$C$42, 14.1799, 14.1799)*CHOOSE(CONTROL!$C$21, $C$9, 100%, $E$9)</f>
        <v>14.1799</v>
      </c>
      <c r="G481" s="10">
        <f>CHOOSE(CONTROL!$C$42, 14.1979, 14.1979)*CHOOSE(CONTROL!$C$21, $C$9, 100%, $E$9)</f>
        <v>14.197900000000001</v>
      </c>
      <c r="H481" s="10">
        <f>CHOOSE(CONTROL!$C$42, 14.2559, 14.2559) * CHOOSE(CONTROL!$C$21, $C$9, 100%, $E$9)</f>
        <v>14.2559</v>
      </c>
      <c r="I481" s="10">
        <f>CHOOSE(CONTROL!$C$42, 14.2091, 14.2091)* CHOOSE(CONTROL!$C$21, $C$9, 100%, $E$9)</f>
        <v>14.209099999999999</v>
      </c>
      <c r="J481" s="10">
        <f>CHOOSE(CONTROL!$C$42, 14.1725, 14.1725)* CHOOSE(CONTROL!$C$21, $C$9, 100%, $E$9)</f>
        <v>14.172499999999999</v>
      </c>
      <c r="K481" s="10">
        <f>CHOOSE(CONTROL!$C$42, 13.9462, 13.9462) * CHOOSE(CONTROL!$C$21, $C$9, 100%, $E$9)</f>
        <v>13.946199999999999</v>
      </c>
      <c r="L481" s="10">
        <f>CHOOSE(CONTROL!$C$42, 14.8429, 14.8429) * CHOOSE(CONTROL!$C$21, $C$9, 100%, $E$9)</f>
        <v>14.8429</v>
      </c>
      <c r="M481" s="10">
        <f>CHOOSE(CONTROL!$C$42, 14.0078, 14.0078) * CHOOSE(CONTROL!$C$21, $C$9, 100%, $E$9)</f>
        <v>14.0078</v>
      </c>
      <c r="N481" s="10">
        <f>CHOOSE(CONTROL!$C$42, 14.0256, 14.0256) * CHOOSE(CONTROL!$C$21, $C$9, 100%, $E$9)</f>
        <v>14.025600000000001</v>
      </c>
      <c r="O481" s="10">
        <f>CHOOSE(CONTROL!$C$42, 14.09, 14.09) * CHOOSE(CONTROL!$C$21, $C$9, 100%, $E$9)</f>
        <v>14.09</v>
      </c>
      <c r="P481" s="10">
        <f>CHOOSE(CONTROL!$C$42, 14.044, 14.044) * CHOOSE(CONTROL!$C$21, $C$9, 100%, $E$9)</f>
        <v>14.044</v>
      </c>
      <c r="Q481" s="10">
        <f>CHOOSE(CONTROL!$C$42, 14.6853, 14.6853) * CHOOSE(CONTROL!$C$21, $C$9, 100%, $E$9)</f>
        <v>14.6853</v>
      </c>
      <c r="R481" s="10">
        <f>CHOOSE(CONTROL!$C$42, 15.309, 15.309) * CHOOSE(CONTROL!$C$21, $C$9, 100%, $E$9)</f>
        <v>15.308999999999999</v>
      </c>
      <c r="S481" s="10">
        <f>CHOOSE(CONTROL!$C$42, 13.7623, 13.7623) * CHOOSE(CONTROL!$C$21, $C$9, 100%, $E$9)</f>
        <v>13.7623</v>
      </c>
      <c r="T48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81" s="38">
        <f>(1000*CHOOSE(CONTROL!$C$42, 695, 695)*CHOOSE(CONTROL!$C$42, 0.5599, 0.5599)*CHOOSE(CONTROL!$C$42, 31, 31))/1000000</f>
        <v>12.063045499999998</v>
      </c>
      <c r="V481" s="38">
        <f>(1000*CHOOSE(CONTROL!$C$42, 500, 500)*CHOOSE(CONTROL!$C$42, 0.275, 0.275)*CHOOSE(CONTROL!$C$42, 31, 31))/1000000</f>
        <v>4.2625000000000002</v>
      </c>
      <c r="W481" s="38">
        <f>(1000*CHOOSE(CONTROL!$C$42, 0.1146, 0.1146)*CHOOSE(CONTROL!$C$42, 121.5, 121.5)*CHOOSE(CONTROL!$C$42, 31, 31))/1000000</f>
        <v>0.43164089999999994</v>
      </c>
      <c r="X481" s="38">
        <f>(31*0.1790888*100000/1000000)+(31*0.2374*100000/1000000)</f>
        <v>1.2911152800000001</v>
      </c>
      <c r="Y481" s="38">
        <f>(1000*600*CHOOSE(CONTROL!$C$42, 1.0687, 1.0687)*CHOOSE(CONTROL!$C$42, 31, 31))/1000000</f>
        <v>19.87782</v>
      </c>
      <c r="Z481" s="38"/>
      <c r="AA481" s="10"/>
      <c r="AB481" s="39"/>
      <c r="AC481" s="33">
        <f>(B481*122.58+C481*297.941+D481*89.177+E481*40.302+F481*40+G481*160+H481*0+I481*100+J481*300)/(122.58+297.941+89.177+40.302+0+40+160+100+300)</f>
        <v>14.197297538434784</v>
      </c>
      <c r="AD481" s="27">
        <f>(M481*'RAP TEMPLATE-GAS AVAILABILITY'!O480+N481*'RAP TEMPLATE-GAS AVAILABILITY'!P480+O481*'RAP TEMPLATE-GAS AVAILABILITY'!Q480+P481*'RAP TEMPLATE-GAS AVAILABILITY'!R480)/('RAP TEMPLATE-GAS AVAILABILITY'!O480+'RAP TEMPLATE-GAS AVAILABILITY'!P480+'RAP TEMPLATE-GAS AVAILABILITY'!Q480+'RAP TEMPLATE-GAS AVAILABILITY'!R480)</f>
        <v>14.051289208633092</v>
      </c>
    </row>
    <row r="482" spans="1:30" ht="15.75">
      <c r="A482" s="14">
        <v>55943</v>
      </c>
      <c r="B482" s="10">
        <f>CHOOSE(CONTROL!$C$42, 14.4487, 14.4487) * CHOOSE(CONTROL!$C$21, $C$9, 100%, $E$9)</f>
        <v>14.448700000000001</v>
      </c>
      <c r="C482" s="10">
        <f>CHOOSE(CONTROL!$C$42, 14.4538, 14.4538) * CHOOSE(CONTROL!$C$21, $C$9, 100%, $E$9)</f>
        <v>14.453799999999999</v>
      </c>
      <c r="D482" s="10">
        <f>CHOOSE(CONTROL!$C$42, 14.4862, 14.4862) * CHOOSE(CONTROL!$C$21, $C$9, 100%, $E$9)</f>
        <v>14.4862</v>
      </c>
      <c r="E482" s="10">
        <f>CHOOSE(CONTROL!$C$42, 14.52, 14.52) * CHOOSE(CONTROL!$C$21, $C$9, 100%, $E$9)</f>
        <v>14.52</v>
      </c>
      <c r="F482" s="10">
        <f>CHOOSE(CONTROL!$C$42, 14.4324, 14.4324)*CHOOSE(CONTROL!$C$21, $C$9, 100%, $E$9)</f>
        <v>14.432399999999999</v>
      </c>
      <c r="G482" s="10">
        <f>CHOOSE(CONTROL!$C$42, 14.4503, 14.4503)*CHOOSE(CONTROL!$C$21, $C$9, 100%, $E$9)</f>
        <v>14.4503</v>
      </c>
      <c r="H482" s="10">
        <f>CHOOSE(CONTROL!$C$42, 14.5089, 14.5089) * CHOOSE(CONTROL!$C$21, $C$9, 100%, $E$9)</f>
        <v>14.508900000000001</v>
      </c>
      <c r="I482" s="10">
        <f>CHOOSE(CONTROL!$C$42, 14.4621, 14.4621)* CHOOSE(CONTROL!$C$21, $C$9, 100%, $E$9)</f>
        <v>14.4621</v>
      </c>
      <c r="J482" s="10">
        <f>CHOOSE(CONTROL!$C$42, 14.425, 14.425)* CHOOSE(CONTROL!$C$21, $C$9, 100%, $E$9)</f>
        <v>14.425000000000001</v>
      </c>
      <c r="K482" s="10">
        <f>CHOOSE(CONTROL!$C$42, 14.1903, 14.1903) * CHOOSE(CONTROL!$C$21, $C$9, 100%, $E$9)</f>
        <v>14.190300000000001</v>
      </c>
      <c r="L482" s="10">
        <f>CHOOSE(CONTROL!$C$42, 15.0959, 15.0959) * CHOOSE(CONTROL!$C$21, $C$9, 100%, $E$9)</f>
        <v>15.0959</v>
      </c>
      <c r="M482" s="10">
        <f>CHOOSE(CONTROL!$C$42, 14.2568, 14.2568) * CHOOSE(CONTROL!$C$21, $C$9, 100%, $E$9)</f>
        <v>14.2568</v>
      </c>
      <c r="N482" s="10">
        <f>CHOOSE(CONTROL!$C$42, 14.2745, 14.2745) * CHOOSE(CONTROL!$C$21, $C$9, 100%, $E$9)</f>
        <v>14.2745</v>
      </c>
      <c r="O482" s="10">
        <f>CHOOSE(CONTROL!$C$42, 14.3395, 14.3395) * CHOOSE(CONTROL!$C$21, $C$9, 100%, $E$9)</f>
        <v>14.339499999999999</v>
      </c>
      <c r="P482" s="10">
        <f>CHOOSE(CONTROL!$C$42, 14.2934, 14.2934) * CHOOSE(CONTROL!$C$21, $C$9, 100%, $E$9)</f>
        <v>14.2934</v>
      </c>
      <c r="Q482" s="10">
        <f>CHOOSE(CONTROL!$C$42, 14.9348, 14.9348) * CHOOSE(CONTROL!$C$21, $C$9, 100%, $E$9)</f>
        <v>14.934799999999999</v>
      </c>
      <c r="R482" s="10">
        <f>CHOOSE(CONTROL!$C$42, 15.5591, 15.5591) * CHOOSE(CONTROL!$C$21, $C$9, 100%, $E$9)</f>
        <v>15.559100000000001</v>
      </c>
      <c r="S482" s="10">
        <f>CHOOSE(CONTROL!$C$42, 14.0073, 14.0073) * CHOOSE(CONTROL!$C$21, $C$9, 100%, $E$9)</f>
        <v>14.007300000000001</v>
      </c>
      <c r="T48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82" s="38">
        <f>(1000*CHOOSE(CONTROL!$C$42, 695, 695)*CHOOSE(CONTROL!$C$42, 0.5599, 0.5599)*CHOOSE(CONTROL!$C$42, 28, 28))/1000000</f>
        <v>10.895653999999999</v>
      </c>
      <c r="V482" s="38">
        <f>(1000*CHOOSE(CONTROL!$C$42, 500, 500)*CHOOSE(CONTROL!$C$42, 0.275, 0.275)*CHOOSE(CONTROL!$C$42, 28, 28))/1000000</f>
        <v>3.85</v>
      </c>
      <c r="W482" s="38">
        <f>(1000*CHOOSE(CONTROL!$C$42, 0.1146, 0.1146)*CHOOSE(CONTROL!$C$42, 121.5, 121.5)*CHOOSE(CONTROL!$C$42, 28, 28))/1000000</f>
        <v>0.38986920000000003</v>
      </c>
      <c r="X482" s="38">
        <f>(28*0.1790888*100000/1000000)+(28*0.2374*100000/1000000)</f>
        <v>1.16616864</v>
      </c>
      <c r="Y482" s="38">
        <f>(1000*600*CHOOSE(CONTROL!$C$42, 1.0687, 1.0687)*CHOOSE(CONTROL!$C$42, 28, 28))/1000000</f>
        <v>17.954160000000002</v>
      </c>
      <c r="Z482" s="38"/>
      <c r="AA482" s="10"/>
      <c r="AB482" s="39"/>
      <c r="AC482" s="33">
        <f>(B482*122.58+C482*297.941+D482*89.177+E482*40.302+F482*40+G482*160+H482*0+I482*100+J482*300)/(122.58+297.941+89.177+40.302+0+40+160+100+300)</f>
        <v>14.450066234086957</v>
      </c>
      <c r="AD482" s="27">
        <f>(M482*'RAP TEMPLATE-GAS AVAILABILITY'!O481+N482*'RAP TEMPLATE-GAS AVAILABILITY'!P481+O482*'RAP TEMPLATE-GAS AVAILABILITY'!Q481+P482*'RAP TEMPLATE-GAS AVAILABILITY'!R481)/('RAP TEMPLATE-GAS AVAILABILITY'!O481+'RAP TEMPLATE-GAS AVAILABILITY'!P481+'RAP TEMPLATE-GAS AVAILABILITY'!Q481+'RAP TEMPLATE-GAS AVAILABILITY'!R481)</f>
        <v>14.300567625899282</v>
      </c>
    </row>
    <row r="483" spans="1:30" ht="15.75">
      <c r="A483" s="14">
        <v>55974</v>
      </c>
      <c r="B483" s="10">
        <f>CHOOSE(CONTROL!$C$42, 14.038, 14.038) * CHOOSE(CONTROL!$C$21, $C$9, 100%, $E$9)</f>
        <v>14.038</v>
      </c>
      <c r="C483" s="10">
        <f>CHOOSE(CONTROL!$C$42, 14.0431, 14.0431) * CHOOSE(CONTROL!$C$21, $C$9, 100%, $E$9)</f>
        <v>14.043100000000001</v>
      </c>
      <c r="D483" s="10">
        <f>CHOOSE(CONTROL!$C$42, 14.0755, 14.0755) * CHOOSE(CONTROL!$C$21, $C$9, 100%, $E$9)</f>
        <v>14.0755</v>
      </c>
      <c r="E483" s="10">
        <f>CHOOSE(CONTROL!$C$42, 14.1093, 14.1093) * CHOOSE(CONTROL!$C$21, $C$9, 100%, $E$9)</f>
        <v>14.109299999999999</v>
      </c>
      <c r="F483" s="10">
        <f>CHOOSE(CONTROL!$C$42, 14.0202, 14.0202)*CHOOSE(CONTROL!$C$21, $C$9, 100%, $E$9)</f>
        <v>14.020200000000001</v>
      </c>
      <c r="G483" s="10">
        <f>CHOOSE(CONTROL!$C$42, 14.0378, 14.0378)*CHOOSE(CONTROL!$C$21, $C$9, 100%, $E$9)</f>
        <v>14.037800000000001</v>
      </c>
      <c r="H483" s="10">
        <f>CHOOSE(CONTROL!$C$42, 14.0982, 14.0982) * CHOOSE(CONTROL!$C$21, $C$9, 100%, $E$9)</f>
        <v>14.0982</v>
      </c>
      <c r="I483" s="10">
        <f>CHOOSE(CONTROL!$C$42, 14.0514, 14.0514)* CHOOSE(CONTROL!$C$21, $C$9, 100%, $E$9)</f>
        <v>14.051399999999999</v>
      </c>
      <c r="J483" s="10">
        <f>CHOOSE(CONTROL!$C$42, 14.0128, 14.0128)* CHOOSE(CONTROL!$C$21, $C$9, 100%, $E$9)</f>
        <v>14.0128</v>
      </c>
      <c r="K483" s="10">
        <f>CHOOSE(CONTROL!$C$42, 13.7893, 13.7893) * CHOOSE(CONTROL!$C$21, $C$9, 100%, $E$9)</f>
        <v>13.789300000000001</v>
      </c>
      <c r="L483" s="10">
        <f>CHOOSE(CONTROL!$C$42, 14.6852, 14.6852) * CHOOSE(CONTROL!$C$21, $C$9, 100%, $E$9)</f>
        <v>14.6852</v>
      </c>
      <c r="M483" s="10">
        <f>CHOOSE(CONTROL!$C$42, 13.8504, 13.8504) * CHOOSE(CONTROL!$C$21, $C$9, 100%, $E$9)</f>
        <v>13.8504</v>
      </c>
      <c r="N483" s="10">
        <f>CHOOSE(CONTROL!$C$42, 13.8677, 13.8677) * CHOOSE(CONTROL!$C$21, $C$9, 100%, $E$9)</f>
        <v>13.867699999999999</v>
      </c>
      <c r="O483" s="10">
        <f>CHOOSE(CONTROL!$C$42, 13.9346, 13.9346) * CHOOSE(CONTROL!$C$21, $C$9, 100%, $E$9)</f>
        <v>13.9346</v>
      </c>
      <c r="P483" s="10">
        <f>CHOOSE(CONTROL!$C$42, 13.8885, 13.8885) * CHOOSE(CONTROL!$C$21, $C$9, 100%, $E$9)</f>
        <v>13.888500000000001</v>
      </c>
      <c r="Q483" s="10">
        <f>CHOOSE(CONTROL!$C$42, 14.5299, 14.5299) * CHOOSE(CONTROL!$C$21, $C$9, 100%, $E$9)</f>
        <v>14.5299</v>
      </c>
      <c r="R483" s="10">
        <f>CHOOSE(CONTROL!$C$42, 15.1532, 15.1532) * CHOOSE(CONTROL!$C$21, $C$9, 100%, $E$9)</f>
        <v>15.1532</v>
      </c>
      <c r="S483" s="10">
        <f>CHOOSE(CONTROL!$C$42, 13.6097, 13.6097) * CHOOSE(CONTROL!$C$21, $C$9, 100%, $E$9)</f>
        <v>13.6097</v>
      </c>
      <c r="T48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83" s="38">
        <f>(1000*CHOOSE(CONTROL!$C$42, 695, 695)*CHOOSE(CONTROL!$C$42, 0.5599, 0.5599)*CHOOSE(CONTROL!$C$42, 31, 31))/1000000</f>
        <v>12.063045499999998</v>
      </c>
      <c r="V483" s="38">
        <f>(1000*CHOOSE(CONTROL!$C$42, 500, 500)*CHOOSE(CONTROL!$C$42, 0.275, 0.275)*CHOOSE(CONTROL!$C$42, 31, 31))/1000000</f>
        <v>4.2625000000000002</v>
      </c>
      <c r="W483" s="38">
        <f>(1000*CHOOSE(CONTROL!$C$42, 0.1146, 0.1146)*CHOOSE(CONTROL!$C$42, 121.5, 121.5)*CHOOSE(CONTROL!$C$42, 31, 31))/1000000</f>
        <v>0.43164089999999994</v>
      </c>
      <c r="X483" s="38">
        <f>(31*0.1790888*100000/1000000)+(31*0.2374*100000/1000000)</f>
        <v>1.2911152800000001</v>
      </c>
      <c r="Y483" s="38">
        <f>(1000*600*CHOOSE(CONTROL!$C$42, 1.0687, 1.0687)*CHOOSE(CONTROL!$C$42, 31, 31))/1000000</f>
        <v>19.87782</v>
      </c>
      <c r="Z483" s="38"/>
      <c r="AA483" s="10"/>
      <c r="AB483" s="39"/>
      <c r="AC483" s="33">
        <f>(B483*122.58+C483*297.941+D483*89.177+E483*40.302+F483*40+G483*160+H483*0+I483*100+J483*300)/(122.58+297.941+89.177+40.302+0+40+160+100+300)</f>
        <v>14.038672321043478</v>
      </c>
      <c r="AD483" s="27">
        <f>(M483*'RAP TEMPLATE-GAS AVAILABILITY'!O482+N483*'RAP TEMPLATE-GAS AVAILABILITY'!P482+O483*'RAP TEMPLATE-GAS AVAILABILITY'!Q482+P483*'RAP TEMPLATE-GAS AVAILABILITY'!R482)/('RAP TEMPLATE-GAS AVAILABILITY'!O482+'RAP TEMPLATE-GAS AVAILABILITY'!P482+'RAP TEMPLATE-GAS AVAILABILITY'!Q482+'RAP TEMPLATE-GAS AVAILABILITY'!R482)</f>
        <v>13.895040287769787</v>
      </c>
    </row>
    <row r="484" spans="1:30" ht="15.75">
      <c r="A484" s="14">
        <v>56004</v>
      </c>
      <c r="B484" s="10">
        <f>CHOOSE(CONTROL!$C$42, 13.9967, 13.9967) * CHOOSE(CONTROL!$C$21, $C$9, 100%, $E$9)</f>
        <v>13.996700000000001</v>
      </c>
      <c r="C484" s="10">
        <f>CHOOSE(CONTROL!$C$42, 14.0012, 14.0012) * CHOOSE(CONTROL!$C$21, $C$9, 100%, $E$9)</f>
        <v>14.001200000000001</v>
      </c>
      <c r="D484" s="10">
        <f>CHOOSE(CONTROL!$C$42, 14.1613, 14.1613) * CHOOSE(CONTROL!$C$21, $C$9, 100%, $E$9)</f>
        <v>14.161300000000001</v>
      </c>
      <c r="E484" s="10">
        <f>CHOOSE(CONTROL!$C$42, 14.1932, 14.1932) * CHOOSE(CONTROL!$C$21, $C$9, 100%, $E$9)</f>
        <v>14.193199999999999</v>
      </c>
      <c r="F484" s="10">
        <f>CHOOSE(CONTROL!$C$42, 13.9428, 13.9428)*CHOOSE(CONTROL!$C$21, $C$9, 100%, $E$9)</f>
        <v>13.9428</v>
      </c>
      <c r="G484" s="10">
        <f>CHOOSE(CONTROL!$C$42, 13.9586, 13.9586)*CHOOSE(CONTROL!$C$21, $C$9, 100%, $E$9)</f>
        <v>13.958600000000001</v>
      </c>
      <c r="H484" s="10">
        <f>CHOOSE(CONTROL!$C$42, 14.1826, 14.1826) * CHOOSE(CONTROL!$C$21, $C$9, 100%, $E$9)</f>
        <v>14.182600000000001</v>
      </c>
      <c r="I484" s="10">
        <f>CHOOSE(CONTROL!$C$42, 13.9768, 13.9768)* CHOOSE(CONTROL!$C$21, $C$9, 100%, $E$9)</f>
        <v>13.976800000000001</v>
      </c>
      <c r="J484" s="10">
        <f>CHOOSE(CONTROL!$C$42, 13.9354, 13.9354)* CHOOSE(CONTROL!$C$21, $C$9, 100%, $E$9)</f>
        <v>13.9354</v>
      </c>
      <c r="K484" s="10">
        <f>CHOOSE(CONTROL!$C$42, 13.701, 13.701) * CHOOSE(CONTROL!$C$21, $C$9, 100%, $E$9)</f>
        <v>13.701000000000001</v>
      </c>
      <c r="L484" s="10">
        <f>CHOOSE(CONTROL!$C$42, 14.7696, 14.7696) * CHOOSE(CONTROL!$C$21, $C$9, 100%, $E$9)</f>
        <v>14.769600000000001</v>
      </c>
      <c r="M484" s="10">
        <f>CHOOSE(CONTROL!$C$42, 13.774, 13.774) * CHOOSE(CONTROL!$C$21, $C$9, 100%, $E$9)</f>
        <v>13.773999999999999</v>
      </c>
      <c r="N484" s="10">
        <f>CHOOSE(CONTROL!$C$42, 13.7896, 13.7896) * CHOOSE(CONTROL!$C$21, $C$9, 100%, $E$9)</f>
        <v>13.7896</v>
      </c>
      <c r="O484" s="10">
        <f>CHOOSE(CONTROL!$C$42, 14.0178, 14.0178) * CHOOSE(CONTROL!$C$21, $C$9, 100%, $E$9)</f>
        <v>14.017799999999999</v>
      </c>
      <c r="P484" s="10">
        <f>CHOOSE(CONTROL!$C$42, 13.8149, 13.8149) * CHOOSE(CONTROL!$C$21, $C$9, 100%, $E$9)</f>
        <v>13.8149</v>
      </c>
      <c r="Q484" s="10">
        <f>CHOOSE(CONTROL!$C$42, 14.6131, 14.6131) * CHOOSE(CONTROL!$C$21, $C$9, 100%, $E$9)</f>
        <v>14.613099999999999</v>
      </c>
      <c r="R484" s="10">
        <f>CHOOSE(CONTROL!$C$42, 15.2366, 15.2366) * CHOOSE(CONTROL!$C$21, $C$9, 100%, $E$9)</f>
        <v>15.236599999999999</v>
      </c>
      <c r="S484" s="10">
        <f>CHOOSE(CONTROL!$C$42, 13.5689, 13.5689) * CHOOSE(CONTROL!$C$21, $C$9, 100%, $E$9)</f>
        <v>13.568899999999999</v>
      </c>
      <c r="T48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84" s="38">
        <f>(1000*CHOOSE(CONTROL!$C$42, 695, 695)*CHOOSE(CONTROL!$C$42, 0.5599, 0.5599)*CHOOSE(CONTROL!$C$42, 30, 30))/1000000</f>
        <v>11.673914999999997</v>
      </c>
      <c r="V484" s="38">
        <f>(1000*CHOOSE(CONTROL!$C$42, 500, 500)*CHOOSE(CONTROL!$C$42, 0.275, 0.275)*CHOOSE(CONTROL!$C$42, 30, 30))/1000000</f>
        <v>4.125</v>
      </c>
      <c r="W484" s="38">
        <f>(1000*CHOOSE(CONTROL!$C$42, 0.1146, 0.1146)*CHOOSE(CONTROL!$C$42, 121.5, 121.5)*CHOOSE(CONTROL!$C$42, 30, 30))/1000000</f>
        <v>0.417717</v>
      </c>
      <c r="X484" s="38">
        <f>(30*0.1790888*245000/1000000)+(30*0.2374*100000/1000000)</f>
        <v>2.0285026799999999</v>
      </c>
      <c r="Y484" s="38">
        <f>(1000*600*CHOOSE(CONTROL!$C$42, 1.0687, 1.0687)*CHOOSE(CONTROL!$C$42, 30, 30))/1000000</f>
        <v>19.236599999999999</v>
      </c>
      <c r="Z484" s="38"/>
      <c r="AA484" s="10"/>
      <c r="AB484" s="39"/>
      <c r="AC484" s="33">
        <f>(B484*141.293+C484*267.993+D484*115.016+E484*89.698+F484*40+G484*185+H484*0+I484*100+J484*300)/(141.293+267.993+115.016+89.698+0+40+185+100+300)</f>
        <v>14.00330109693301</v>
      </c>
      <c r="AD484" s="27">
        <f>(M484*'RAP TEMPLATE-GAS AVAILABILITY'!O483+N484*'RAP TEMPLATE-GAS AVAILABILITY'!P483+O484*'RAP TEMPLATE-GAS AVAILABILITY'!Q483+P484*'RAP TEMPLATE-GAS AVAILABILITY'!R483)/('RAP TEMPLATE-GAS AVAILABILITY'!O483+'RAP TEMPLATE-GAS AVAILABILITY'!P483+'RAP TEMPLATE-GAS AVAILABILITY'!Q483+'RAP TEMPLATE-GAS AVAILABILITY'!R483)</f>
        <v>13.851880575539568</v>
      </c>
    </row>
    <row r="485" spans="1:30" ht="15.75">
      <c r="A485" s="14">
        <v>56035</v>
      </c>
      <c r="B485" s="10">
        <f>CHOOSE(CONTROL!$C$42, 14.1222, 14.1222) * CHOOSE(CONTROL!$C$21, $C$9, 100%, $E$9)</f>
        <v>14.122199999999999</v>
      </c>
      <c r="C485" s="10">
        <f>CHOOSE(CONTROL!$C$42, 14.1302, 14.1302) * CHOOSE(CONTROL!$C$21, $C$9, 100%, $E$9)</f>
        <v>14.1302</v>
      </c>
      <c r="D485" s="10">
        <f>CHOOSE(CONTROL!$C$42, 14.2872, 14.2872) * CHOOSE(CONTROL!$C$21, $C$9, 100%, $E$9)</f>
        <v>14.2872</v>
      </c>
      <c r="E485" s="10">
        <f>CHOOSE(CONTROL!$C$42, 14.3184, 14.3184) * CHOOSE(CONTROL!$C$21, $C$9, 100%, $E$9)</f>
        <v>14.3184</v>
      </c>
      <c r="F485" s="10">
        <f>CHOOSE(CONTROL!$C$42, 14.0663, 14.0663)*CHOOSE(CONTROL!$C$21, $C$9, 100%, $E$9)</f>
        <v>14.0663</v>
      </c>
      <c r="G485" s="10">
        <f>CHOOSE(CONTROL!$C$42, 14.0824, 14.0824)*CHOOSE(CONTROL!$C$21, $C$9, 100%, $E$9)</f>
        <v>14.0824</v>
      </c>
      <c r="H485" s="10">
        <f>CHOOSE(CONTROL!$C$42, 14.3068, 14.3068) * CHOOSE(CONTROL!$C$21, $C$9, 100%, $E$9)</f>
        <v>14.306800000000001</v>
      </c>
      <c r="I485" s="10">
        <f>CHOOSE(CONTROL!$C$42, 14.101, 14.101)* CHOOSE(CONTROL!$C$21, $C$9, 100%, $E$9)</f>
        <v>14.101000000000001</v>
      </c>
      <c r="J485" s="10">
        <f>CHOOSE(CONTROL!$C$42, 14.0589, 14.0589)* CHOOSE(CONTROL!$C$21, $C$9, 100%, $E$9)</f>
        <v>14.0589</v>
      </c>
      <c r="K485" s="10">
        <f>CHOOSE(CONTROL!$C$42, 13.82, 13.82) * CHOOSE(CONTROL!$C$21, $C$9, 100%, $E$9)</f>
        <v>13.82</v>
      </c>
      <c r="L485" s="10">
        <f>CHOOSE(CONTROL!$C$42, 14.8938, 14.8938) * CHOOSE(CONTROL!$C$21, $C$9, 100%, $E$9)</f>
        <v>14.893800000000001</v>
      </c>
      <c r="M485" s="10">
        <f>CHOOSE(CONTROL!$C$42, 13.8958, 13.8958) * CHOOSE(CONTROL!$C$21, $C$9, 100%, $E$9)</f>
        <v>13.895799999999999</v>
      </c>
      <c r="N485" s="10">
        <f>CHOOSE(CONTROL!$C$42, 13.9117, 13.9117) * CHOOSE(CONTROL!$C$21, $C$9, 100%, $E$9)</f>
        <v>13.9117</v>
      </c>
      <c r="O485" s="10">
        <f>CHOOSE(CONTROL!$C$42, 14.1402, 14.1402) * CHOOSE(CONTROL!$C$21, $C$9, 100%, $E$9)</f>
        <v>14.1402</v>
      </c>
      <c r="P485" s="10">
        <f>CHOOSE(CONTROL!$C$42, 13.9373, 13.9373) * CHOOSE(CONTROL!$C$21, $C$9, 100%, $E$9)</f>
        <v>13.9373</v>
      </c>
      <c r="Q485" s="10">
        <f>CHOOSE(CONTROL!$C$42, 14.7355, 14.7355) * CHOOSE(CONTROL!$C$21, $C$9, 100%, $E$9)</f>
        <v>14.7355</v>
      </c>
      <c r="R485" s="10">
        <f>CHOOSE(CONTROL!$C$42, 15.3593, 15.3593) * CHOOSE(CONTROL!$C$21, $C$9, 100%, $E$9)</f>
        <v>15.359299999999999</v>
      </c>
      <c r="S485" s="10">
        <f>CHOOSE(CONTROL!$C$42, 13.6891, 13.6891) * CHOOSE(CONTROL!$C$21, $C$9, 100%, $E$9)</f>
        <v>13.6891</v>
      </c>
      <c r="T48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85" s="38">
        <f>(1000*CHOOSE(CONTROL!$C$42, 695, 695)*CHOOSE(CONTROL!$C$42, 0.5599, 0.5599)*CHOOSE(CONTROL!$C$42, 31, 31))/1000000</f>
        <v>12.063045499999998</v>
      </c>
      <c r="V485" s="38">
        <f>(1000*CHOOSE(CONTROL!$C$42, 500, 500)*CHOOSE(CONTROL!$C$42, 0.275, 0.275)*CHOOSE(CONTROL!$C$42, 31, 31))/1000000</f>
        <v>4.2625000000000002</v>
      </c>
      <c r="W485" s="38">
        <f>(1000*CHOOSE(CONTROL!$C$42, 0.1146, 0.1146)*CHOOSE(CONTROL!$C$42, 121.5, 121.5)*CHOOSE(CONTROL!$C$42, 31, 31))/1000000</f>
        <v>0.43164089999999994</v>
      </c>
      <c r="X485" s="38">
        <f>(31*0.1790888*245000/1000000)+(31*0.2374*100000/1000000)</f>
        <v>2.0961194359999999</v>
      </c>
      <c r="Y485" s="38">
        <f>(1000*600*CHOOSE(CONTROL!$C$42, 1.0687, 1.0687)*CHOOSE(CONTROL!$C$42, 31, 31))/1000000</f>
        <v>19.87782</v>
      </c>
      <c r="Z485" s="38"/>
      <c r="AA485" s="10"/>
      <c r="AB485" s="39"/>
      <c r="AC485" s="33">
        <f>(B485*194.205+C485*267.466+D485*133.845+E485*53.484+F485*40+G485*185+H485*0+I485*100+J485*300)/(194.205+267.466+133.845+53.484+0+40+185+100+300)</f>
        <v>14.12534655714286</v>
      </c>
      <c r="AD485" s="27">
        <f>(M485*'RAP TEMPLATE-GAS AVAILABILITY'!O484+N485*'RAP TEMPLATE-GAS AVAILABILITY'!P484+O485*'RAP TEMPLATE-GAS AVAILABILITY'!Q484+P485*'RAP TEMPLATE-GAS AVAILABILITY'!R484)/('RAP TEMPLATE-GAS AVAILABILITY'!O484+'RAP TEMPLATE-GAS AVAILABILITY'!P484+'RAP TEMPLATE-GAS AVAILABILITY'!Q484+'RAP TEMPLATE-GAS AVAILABILITY'!R484)</f>
        <v>13.974004316546761</v>
      </c>
    </row>
    <row r="486" spans="1:30" ht="15.75">
      <c r="A486" s="14">
        <v>56065</v>
      </c>
      <c r="B486" s="10">
        <f>CHOOSE(CONTROL!$C$42, 14.5232, 14.5232) * CHOOSE(CONTROL!$C$21, $C$9, 100%, $E$9)</f>
        <v>14.523199999999999</v>
      </c>
      <c r="C486" s="10">
        <f>CHOOSE(CONTROL!$C$42, 14.5312, 14.5312) * CHOOSE(CONTROL!$C$21, $C$9, 100%, $E$9)</f>
        <v>14.5312</v>
      </c>
      <c r="D486" s="10">
        <f>CHOOSE(CONTROL!$C$42, 14.6882, 14.6882) * CHOOSE(CONTROL!$C$21, $C$9, 100%, $E$9)</f>
        <v>14.6882</v>
      </c>
      <c r="E486" s="10">
        <f>CHOOSE(CONTROL!$C$42, 14.7194, 14.7194) * CHOOSE(CONTROL!$C$21, $C$9, 100%, $E$9)</f>
        <v>14.7194</v>
      </c>
      <c r="F486" s="10">
        <f>CHOOSE(CONTROL!$C$42, 14.4675, 14.4675)*CHOOSE(CONTROL!$C$21, $C$9, 100%, $E$9)</f>
        <v>14.467499999999999</v>
      </c>
      <c r="G486" s="10">
        <f>CHOOSE(CONTROL!$C$42, 14.4837, 14.4837)*CHOOSE(CONTROL!$C$21, $C$9, 100%, $E$9)</f>
        <v>14.483700000000001</v>
      </c>
      <c r="H486" s="10">
        <f>CHOOSE(CONTROL!$C$42, 14.7078, 14.7078) * CHOOSE(CONTROL!$C$21, $C$9, 100%, $E$9)</f>
        <v>14.707800000000001</v>
      </c>
      <c r="I486" s="10">
        <f>CHOOSE(CONTROL!$C$42, 14.5019, 14.5019)* CHOOSE(CONTROL!$C$21, $C$9, 100%, $E$9)</f>
        <v>14.501899999999999</v>
      </c>
      <c r="J486" s="10">
        <f>CHOOSE(CONTROL!$C$42, 14.4601, 14.4601)* CHOOSE(CONTROL!$C$21, $C$9, 100%, $E$9)</f>
        <v>14.460100000000001</v>
      </c>
      <c r="K486" s="10">
        <f>CHOOSE(CONTROL!$C$42, 14.2089, 14.2089) * CHOOSE(CONTROL!$C$21, $C$9, 100%, $E$9)</f>
        <v>14.2089</v>
      </c>
      <c r="L486" s="10">
        <f>CHOOSE(CONTROL!$C$42, 15.2948, 15.2948) * CHOOSE(CONTROL!$C$21, $C$9, 100%, $E$9)</f>
        <v>15.2948</v>
      </c>
      <c r="M486" s="10">
        <f>CHOOSE(CONTROL!$C$42, 14.2914, 14.2914) * CHOOSE(CONTROL!$C$21, $C$9, 100%, $E$9)</f>
        <v>14.291399999999999</v>
      </c>
      <c r="N486" s="10">
        <f>CHOOSE(CONTROL!$C$42, 14.3073, 14.3073) * CHOOSE(CONTROL!$C$21, $C$9, 100%, $E$9)</f>
        <v>14.3073</v>
      </c>
      <c r="O486" s="10">
        <f>CHOOSE(CONTROL!$C$42, 14.5356, 14.5356) * CHOOSE(CONTROL!$C$21, $C$9, 100%, $E$9)</f>
        <v>14.535600000000001</v>
      </c>
      <c r="P486" s="10">
        <f>CHOOSE(CONTROL!$C$42, 14.3327, 14.3327) * CHOOSE(CONTROL!$C$21, $C$9, 100%, $E$9)</f>
        <v>14.332700000000001</v>
      </c>
      <c r="Q486" s="10">
        <f>CHOOSE(CONTROL!$C$42, 15.1309, 15.1309) * CHOOSE(CONTROL!$C$21, $C$9, 100%, $E$9)</f>
        <v>15.1309</v>
      </c>
      <c r="R486" s="10">
        <f>CHOOSE(CONTROL!$C$42, 15.7557, 15.7557) * CHOOSE(CONTROL!$C$21, $C$9, 100%, $E$9)</f>
        <v>15.755699999999999</v>
      </c>
      <c r="S486" s="10">
        <f>CHOOSE(CONTROL!$C$42, 14.0774, 14.0774) * CHOOSE(CONTROL!$C$21, $C$9, 100%, $E$9)</f>
        <v>14.077400000000001</v>
      </c>
      <c r="T48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86" s="38">
        <f>(1000*CHOOSE(CONTROL!$C$42, 695, 695)*CHOOSE(CONTROL!$C$42, 0.5599, 0.5599)*CHOOSE(CONTROL!$C$42, 30, 30))/1000000</f>
        <v>11.673914999999997</v>
      </c>
      <c r="V486" s="38">
        <f>(1000*CHOOSE(CONTROL!$C$42, 500, 500)*CHOOSE(CONTROL!$C$42, 0.275, 0.275)*CHOOSE(CONTROL!$C$42, 30, 30))/1000000</f>
        <v>4.125</v>
      </c>
      <c r="W486" s="38">
        <f>(1000*CHOOSE(CONTROL!$C$42, 0.1146, 0.1146)*CHOOSE(CONTROL!$C$42, 121.5, 121.5)*CHOOSE(CONTROL!$C$42, 30, 30))/1000000</f>
        <v>0.417717</v>
      </c>
      <c r="X486" s="38">
        <f>(30*0.1790888*245000/1000000)+(30*0.2374*100000/1000000)</f>
        <v>2.0285026799999999</v>
      </c>
      <c r="Y486" s="38">
        <f>(1000*600*CHOOSE(CONTROL!$C$42, 1.0687, 1.0687)*CHOOSE(CONTROL!$C$42, 30, 30))/1000000</f>
        <v>19.236599999999999</v>
      </c>
      <c r="Z486" s="38"/>
      <c r="AA486" s="10"/>
      <c r="AB486" s="39"/>
      <c r="AC486" s="33">
        <f>(B486*194.205+C486*267.466+D486*133.845+E486*53.484+F486*40+G486*185+H486*0+I486*100+J486*300)/(194.205+267.466+133.845+53.484+0+40+185+100+300)</f>
        <v>14.526435646624806</v>
      </c>
      <c r="AD486" s="27">
        <f>(M486*'RAP TEMPLATE-GAS AVAILABILITY'!O485+N486*'RAP TEMPLATE-GAS AVAILABILITY'!P485+O486*'RAP TEMPLATE-GAS AVAILABILITY'!Q485+P486*'RAP TEMPLATE-GAS AVAILABILITY'!R485)/('RAP TEMPLATE-GAS AVAILABILITY'!O485+'RAP TEMPLATE-GAS AVAILABILITY'!P485+'RAP TEMPLATE-GAS AVAILABILITY'!Q485+'RAP TEMPLATE-GAS AVAILABILITY'!R485)</f>
        <v>14.36951942446043</v>
      </c>
    </row>
    <row r="487" spans="1:30" ht="15.75">
      <c r="A487" s="14">
        <v>56096</v>
      </c>
      <c r="B487" s="10">
        <f>CHOOSE(CONTROL!$C$42, 14.2443, 14.2443) * CHOOSE(CONTROL!$C$21, $C$9, 100%, $E$9)</f>
        <v>14.244300000000001</v>
      </c>
      <c r="C487" s="10">
        <f>CHOOSE(CONTROL!$C$42, 14.2523, 14.2523) * CHOOSE(CONTROL!$C$21, $C$9, 100%, $E$9)</f>
        <v>14.2523</v>
      </c>
      <c r="D487" s="10">
        <f>CHOOSE(CONTROL!$C$42, 14.4093, 14.4093) * CHOOSE(CONTROL!$C$21, $C$9, 100%, $E$9)</f>
        <v>14.4093</v>
      </c>
      <c r="E487" s="10">
        <f>CHOOSE(CONTROL!$C$42, 14.4405, 14.4405) * CHOOSE(CONTROL!$C$21, $C$9, 100%, $E$9)</f>
        <v>14.4405</v>
      </c>
      <c r="F487" s="10">
        <f>CHOOSE(CONTROL!$C$42, 14.1889, 14.1889)*CHOOSE(CONTROL!$C$21, $C$9, 100%, $E$9)</f>
        <v>14.1889</v>
      </c>
      <c r="G487" s="10">
        <f>CHOOSE(CONTROL!$C$42, 14.2052, 14.2052)*CHOOSE(CONTROL!$C$21, $C$9, 100%, $E$9)</f>
        <v>14.2052</v>
      </c>
      <c r="H487" s="10">
        <f>CHOOSE(CONTROL!$C$42, 14.4289, 14.4289) * CHOOSE(CONTROL!$C$21, $C$9, 100%, $E$9)</f>
        <v>14.428900000000001</v>
      </c>
      <c r="I487" s="10">
        <f>CHOOSE(CONTROL!$C$42, 14.2231, 14.2231)* CHOOSE(CONTROL!$C$21, $C$9, 100%, $E$9)</f>
        <v>14.223100000000001</v>
      </c>
      <c r="J487" s="10">
        <f>CHOOSE(CONTROL!$C$42, 14.1815, 14.1815)* CHOOSE(CONTROL!$C$21, $C$9, 100%, $E$9)</f>
        <v>14.1815</v>
      </c>
      <c r="K487" s="10">
        <f>CHOOSE(CONTROL!$C$42, 13.9394, 13.9394) * CHOOSE(CONTROL!$C$21, $C$9, 100%, $E$9)</f>
        <v>13.939399999999999</v>
      </c>
      <c r="L487" s="10">
        <f>CHOOSE(CONTROL!$C$42, 15.0159, 15.0159) * CHOOSE(CONTROL!$C$21, $C$9, 100%, $E$9)</f>
        <v>15.0159</v>
      </c>
      <c r="M487" s="10">
        <f>CHOOSE(CONTROL!$C$42, 14.0167, 14.0167) * CHOOSE(CONTROL!$C$21, $C$9, 100%, $E$9)</f>
        <v>14.0167</v>
      </c>
      <c r="N487" s="10">
        <f>CHOOSE(CONTROL!$C$42, 14.0327, 14.0327) * CHOOSE(CONTROL!$C$21, $C$9, 100%, $E$9)</f>
        <v>14.0327</v>
      </c>
      <c r="O487" s="10">
        <f>CHOOSE(CONTROL!$C$42, 14.2606, 14.2606) * CHOOSE(CONTROL!$C$21, $C$9, 100%, $E$9)</f>
        <v>14.2606</v>
      </c>
      <c r="P487" s="10">
        <f>CHOOSE(CONTROL!$C$42, 14.0577, 14.0577) * CHOOSE(CONTROL!$C$21, $C$9, 100%, $E$9)</f>
        <v>14.057700000000001</v>
      </c>
      <c r="Q487" s="10">
        <f>CHOOSE(CONTROL!$C$42, 14.8559, 14.8559) * CHOOSE(CONTROL!$C$21, $C$9, 100%, $E$9)</f>
        <v>14.8559</v>
      </c>
      <c r="R487" s="10">
        <f>CHOOSE(CONTROL!$C$42, 15.48, 15.48) * CHOOSE(CONTROL!$C$21, $C$9, 100%, $E$9)</f>
        <v>15.48</v>
      </c>
      <c r="S487" s="10">
        <f>CHOOSE(CONTROL!$C$42, 13.8073, 13.8073) * CHOOSE(CONTROL!$C$21, $C$9, 100%, $E$9)</f>
        <v>13.8073</v>
      </c>
      <c r="T48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87" s="38">
        <f>(1000*CHOOSE(CONTROL!$C$42, 695, 695)*CHOOSE(CONTROL!$C$42, 0.5599, 0.5599)*CHOOSE(CONTROL!$C$42, 31, 31))/1000000</f>
        <v>12.063045499999998</v>
      </c>
      <c r="V487" s="38">
        <f>(1000*CHOOSE(CONTROL!$C$42, 500, 500)*CHOOSE(CONTROL!$C$42, 0.275, 0.275)*CHOOSE(CONTROL!$C$42, 31, 31))/1000000</f>
        <v>4.2625000000000002</v>
      </c>
      <c r="W487" s="38">
        <f>(1000*CHOOSE(CONTROL!$C$42, 0.1146, 0.1146)*CHOOSE(CONTROL!$C$42, 121.5, 121.5)*CHOOSE(CONTROL!$C$42, 31, 31))/1000000</f>
        <v>0.43164089999999994</v>
      </c>
      <c r="X487" s="38">
        <f>(31*0.1790888*245000/1000000)+(31*0.2374*100000/1000000)</f>
        <v>2.0961194359999999</v>
      </c>
      <c r="Y487" s="38">
        <f>(1000*600*CHOOSE(CONTROL!$C$42, 1.0687, 1.0687)*CHOOSE(CONTROL!$C$42, 31, 31))/1000000</f>
        <v>19.87782</v>
      </c>
      <c r="Z487" s="38"/>
      <c r="AA487" s="10"/>
      <c r="AB487" s="39"/>
      <c r="AC487" s="33">
        <f>(B487*194.205+C487*267.466+D487*133.845+E487*53.484+F487*40+G487*185+H487*0+I487*100+J487*300)/(194.205+267.466+133.845+53.484+0+40+185+100+300)</f>
        <v>14.247681643485086</v>
      </c>
      <c r="AD487" s="27">
        <f>(M487*'RAP TEMPLATE-GAS AVAILABILITY'!O486+N487*'RAP TEMPLATE-GAS AVAILABILITY'!P486+O487*'RAP TEMPLATE-GAS AVAILABILITY'!Q486+P487*'RAP TEMPLATE-GAS AVAILABILITY'!R486)/('RAP TEMPLATE-GAS AVAILABILITY'!O486+'RAP TEMPLATE-GAS AVAILABILITY'!P486+'RAP TEMPLATE-GAS AVAILABILITY'!Q486+'RAP TEMPLATE-GAS AVAILABILITY'!R486)</f>
        <v>14.09471510791367</v>
      </c>
    </row>
    <row r="488" spans="1:30" ht="15.75">
      <c r="A488" s="14">
        <v>56127</v>
      </c>
      <c r="B488" s="10">
        <f>CHOOSE(CONTROL!$C$42, 13.54, 13.54) * CHOOSE(CONTROL!$C$21, $C$9, 100%, $E$9)</f>
        <v>13.54</v>
      </c>
      <c r="C488" s="10">
        <f>CHOOSE(CONTROL!$C$42, 13.548, 13.548) * CHOOSE(CONTROL!$C$21, $C$9, 100%, $E$9)</f>
        <v>13.548</v>
      </c>
      <c r="D488" s="10">
        <f>CHOOSE(CONTROL!$C$42, 13.705, 13.705) * CHOOSE(CONTROL!$C$21, $C$9, 100%, $E$9)</f>
        <v>13.705</v>
      </c>
      <c r="E488" s="10">
        <f>CHOOSE(CONTROL!$C$42, 13.7363, 13.7363) * CHOOSE(CONTROL!$C$21, $C$9, 100%, $E$9)</f>
        <v>13.7363</v>
      </c>
      <c r="F488" s="10">
        <f>CHOOSE(CONTROL!$C$42, 13.4846, 13.4846)*CHOOSE(CONTROL!$C$21, $C$9, 100%, $E$9)</f>
        <v>13.4846</v>
      </c>
      <c r="G488" s="10">
        <f>CHOOSE(CONTROL!$C$42, 13.5008, 13.5008)*CHOOSE(CONTROL!$C$21, $C$9, 100%, $E$9)</f>
        <v>13.5008</v>
      </c>
      <c r="H488" s="10">
        <f>CHOOSE(CONTROL!$C$42, 13.7246, 13.7246) * CHOOSE(CONTROL!$C$21, $C$9, 100%, $E$9)</f>
        <v>13.724600000000001</v>
      </c>
      <c r="I488" s="10">
        <f>CHOOSE(CONTROL!$C$42, 13.5188, 13.5188)* CHOOSE(CONTROL!$C$21, $C$9, 100%, $E$9)</f>
        <v>13.518800000000001</v>
      </c>
      <c r="J488" s="10">
        <f>CHOOSE(CONTROL!$C$42, 13.4772, 13.4772)* CHOOSE(CONTROL!$C$21, $C$9, 100%, $E$9)</f>
        <v>13.4772</v>
      </c>
      <c r="K488" s="10">
        <f>CHOOSE(CONTROL!$C$42, 13.2569, 13.2569) * CHOOSE(CONTROL!$C$21, $C$9, 100%, $E$9)</f>
        <v>13.2569</v>
      </c>
      <c r="L488" s="10">
        <f>CHOOSE(CONTROL!$C$42, 14.3116, 14.3116) * CHOOSE(CONTROL!$C$21, $C$9, 100%, $E$9)</f>
        <v>14.3116</v>
      </c>
      <c r="M488" s="10">
        <f>CHOOSE(CONTROL!$C$42, 13.3222, 13.3222) * CHOOSE(CONTROL!$C$21, $C$9, 100%, $E$9)</f>
        <v>13.3222</v>
      </c>
      <c r="N488" s="10">
        <f>CHOOSE(CONTROL!$C$42, 13.3382, 13.3382) * CHOOSE(CONTROL!$C$21, $C$9, 100%, $E$9)</f>
        <v>13.338200000000001</v>
      </c>
      <c r="O488" s="10">
        <f>CHOOSE(CONTROL!$C$42, 13.5661, 13.5661) * CHOOSE(CONTROL!$C$21, $C$9, 100%, $E$9)</f>
        <v>13.5661</v>
      </c>
      <c r="P488" s="10">
        <f>CHOOSE(CONTROL!$C$42, 13.3633, 13.3633) * CHOOSE(CONTROL!$C$21, $C$9, 100%, $E$9)</f>
        <v>13.363300000000001</v>
      </c>
      <c r="Q488" s="10">
        <f>CHOOSE(CONTROL!$C$42, 14.1614, 14.1614) * CHOOSE(CONTROL!$C$21, $C$9, 100%, $E$9)</f>
        <v>14.1614</v>
      </c>
      <c r="R488" s="10">
        <f>CHOOSE(CONTROL!$C$42, 14.7838, 14.7838) * CHOOSE(CONTROL!$C$21, $C$9, 100%, $E$9)</f>
        <v>14.783799999999999</v>
      </c>
      <c r="S488" s="10">
        <f>CHOOSE(CONTROL!$C$42, 13.1254, 13.1254) * CHOOSE(CONTROL!$C$21, $C$9, 100%, $E$9)</f>
        <v>13.125400000000001</v>
      </c>
      <c r="T48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488" s="38">
        <f>(1000*CHOOSE(CONTROL!$C$42, 695, 695)*CHOOSE(CONTROL!$C$42, 0.5599, 0.5599)*CHOOSE(CONTROL!$C$42, 31, 31))/1000000</f>
        <v>12.063045499999998</v>
      </c>
      <c r="V488" s="38">
        <f>(1000*CHOOSE(CONTROL!$C$42, 500, 500)*CHOOSE(CONTROL!$C$42, 0.275, 0.275)*CHOOSE(CONTROL!$C$42, 31, 31))/1000000</f>
        <v>4.2625000000000002</v>
      </c>
      <c r="W488" s="38">
        <f>(1000*CHOOSE(CONTROL!$C$42, 0.1146, 0.1146)*CHOOSE(CONTROL!$C$42, 121.5, 121.5)*CHOOSE(CONTROL!$C$42, 31, 31))/1000000</f>
        <v>0.43164089999999994</v>
      </c>
      <c r="X488" s="38">
        <f>(31*0.1790888*245000/1000000)+(31*0.2374*100000/1000000)</f>
        <v>2.0961194359999999</v>
      </c>
      <c r="Y488" s="38">
        <f>(1000*600*CHOOSE(CONTROL!$C$42, 1.0687, 1.0687)*CHOOSE(CONTROL!$C$42, 31, 31))/1000000</f>
        <v>19.87782</v>
      </c>
      <c r="Z488" s="38"/>
      <c r="AA488" s="10"/>
      <c r="AB488" s="39"/>
      <c r="AC488" s="33">
        <f>(B488*194.205+C488*267.466+D488*133.845+E488*53.484+F488*40+G488*185+H488*0+I488*100+J488*300)/(194.205+267.466+133.845+53.484+0+40+185+100+300)</f>
        <v>13.543371320408164</v>
      </c>
      <c r="AD488" s="27">
        <f>(M488*'RAP TEMPLATE-GAS AVAILABILITY'!O487+N488*'RAP TEMPLATE-GAS AVAILABILITY'!P487+O488*'RAP TEMPLATE-GAS AVAILABILITY'!Q487+P488*'RAP TEMPLATE-GAS AVAILABILITY'!R487)/('RAP TEMPLATE-GAS AVAILABILITY'!O487+'RAP TEMPLATE-GAS AVAILABILITY'!P487+'RAP TEMPLATE-GAS AVAILABILITY'!Q487+'RAP TEMPLATE-GAS AVAILABILITY'!R487)</f>
        <v>13.400229496402879</v>
      </c>
    </row>
    <row r="489" spans="1:30" ht="15.75">
      <c r="A489" s="14">
        <v>56157</v>
      </c>
      <c r="B489" s="10">
        <f>CHOOSE(CONTROL!$C$42, 12.6795, 12.6795) * CHOOSE(CONTROL!$C$21, $C$9, 100%, $E$9)</f>
        <v>12.679500000000001</v>
      </c>
      <c r="C489" s="10">
        <f>CHOOSE(CONTROL!$C$42, 12.6875, 12.6875) * CHOOSE(CONTROL!$C$21, $C$9, 100%, $E$9)</f>
        <v>12.6875</v>
      </c>
      <c r="D489" s="10">
        <f>CHOOSE(CONTROL!$C$42, 12.8446, 12.8446) * CHOOSE(CONTROL!$C$21, $C$9, 100%, $E$9)</f>
        <v>12.8446</v>
      </c>
      <c r="E489" s="10">
        <f>CHOOSE(CONTROL!$C$42, 12.8758, 12.8758) * CHOOSE(CONTROL!$C$21, $C$9, 100%, $E$9)</f>
        <v>12.8758</v>
      </c>
      <c r="F489" s="10">
        <f>CHOOSE(CONTROL!$C$42, 12.6239, 12.6239)*CHOOSE(CONTROL!$C$21, $C$9, 100%, $E$9)</f>
        <v>12.623900000000001</v>
      </c>
      <c r="G489" s="10">
        <f>CHOOSE(CONTROL!$C$42, 12.6401, 12.6401)*CHOOSE(CONTROL!$C$21, $C$9, 100%, $E$9)</f>
        <v>12.6401</v>
      </c>
      <c r="H489" s="10">
        <f>CHOOSE(CONTROL!$C$42, 12.8641, 12.8641) * CHOOSE(CONTROL!$C$21, $C$9, 100%, $E$9)</f>
        <v>12.864100000000001</v>
      </c>
      <c r="I489" s="10">
        <f>CHOOSE(CONTROL!$C$42, 12.6583, 12.6583)* CHOOSE(CONTROL!$C$21, $C$9, 100%, $E$9)</f>
        <v>12.658300000000001</v>
      </c>
      <c r="J489" s="10">
        <f>CHOOSE(CONTROL!$C$42, 12.6165, 12.6165)* CHOOSE(CONTROL!$C$21, $C$9, 100%, $E$9)</f>
        <v>12.6165</v>
      </c>
      <c r="K489" s="10">
        <f>CHOOSE(CONTROL!$C$42, 12.4229, 12.4229) * CHOOSE(CONTROL!$C$21, $C$9, 100%, $E$9)</f>
        <v>12.4229</v>
      </c>
      <c r="L489" s="10">
        <f>CHOOSE(CONTROL!$C$42, 13.4511, 13.4511) * CHOOSE(CONTROL!$C$21, $C$9, 100%, $E$9)</f>
        <v>13.4511</v>
      </c>
      <c r="M489" s="10">
        <f>CHOOSE(CONTROL!$C$42, 12.4735, 12.4735) * CHOOSE(CONTROL!$C$21, $C$9, 100%, $E$9)</f>
        <v>12.4735</v>
      </c>
      <c r="N489" s="10">
        <f>CHOOSE(CONTROL!$C$42, 12.4895, 12.4895) * CHOOSE(CONTROL!$C$21, $C$9, 100%, $E$9)</f>
        <v>12.4895</v>
      </c>
      <c r="O489" s="10">
        <f>CHOOSE(CONTROL!$C$42, 12.7177, 12.7177) * CHOOSE(CONTROL!$C$21, $C$9, 100%, $E$9)</f>
        <v>12.717700000000001</v>
      </c>
      <c r="P489" s="10">
        <f>CHOOSE(CONTROL!$C$42, 12.5148, 12.5148) * CHOOSE(CONTROL!$C$21, $C$9, 100%, $E$9)</f>
        <v>12.514799999999999</v>
      </c>
      <c r="Q489" s="10">
        <f>CHOOSE(CONTROL!$C$42, 13.313, 13.313) * CHOOSE(CONTROL!$C$21, $C$9, 100%, $E$9)</f>
        <v>13.313000000000001</v>
      </c>
      <c r="R489" s="10">
        <f>CHOOSE(CONTROL!$C$42, 13.9332, 13.9332) * CHOOSE(CONTROL!$C$21, $C$9, 100%, $E$9)</f>
        <v>13.933199999999999</v>
      </c>
      <c r="S489" s="10">
        <f>CHOOSE(CONTROL!$C$42, 12.2922, 12.2922) * CHOOSE(CONTROL!$C$21, $C$9, 100%, $E$9)</f>
        <v>12.292199999999999</v>
      </c>
      <c r="T48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489" s="38">
        <f>(1000*CHOOSE(CONTROL!$C$42, 695, 695)*CHOOSE(CONTROL!$C$42, 0.5599, 0.5599)*CHOOSE(CONTROL!$C$42, 30, 30))/1000000</f>
        <v>11.673914999999997</v>
      </c>
      <c r="V489" s="38">
        <f>(1000*CHOOSE(CONTROL!$C$42, 500, 500)*CHOOSE(CONTROL!$C$42, 0.275, 0.275)*CHOOSE(CONTROL!$C$42, 30, 30))/1000000</f>
        <v>4.125</v>
      </c>
      <c r="W489" s="38">
        <f>(1000*CHOOSE(CONTROL!$C$42, 0.1146, 0.1146)*CHOOSE(CONTROL!$C$42, 121.5, 121.5)*CHOOSE(CONTROL!$C$42, 30, 30))/1000000</f>
        <v>0.417717</v>
      </c>
      <c r="X489" s="38">
        <f>(30*0.1790888*245000/1000000)+(30*0.2374*100000/1000000)</f>
        <v>2.0285026799999999</v>
      </c>
      <c r="Y489" s="38">
        <f>(1000*600*CHOOSE(CONTROL!$C$42, 1.0687, 1.0687)*CHOOSE(CONTROL!$C$42, 30, 30))/1000000</f>
        <v>19.236599999999999</v>
      </c>
      <c r="Z489" s="38"/>
      <c r="AA489" s="10"/>
      <c r="AB489" s="39"/>
      <c r="AC489" s="33">
        <f>(B489*194.205+C489*267.466+D489*133.845+E489*53.484+F489*40+G489*185+H489*0+I489*100+J489*300)/(194.205+267.466+133.845+53.484+0+40+185+100+300)</f>
        <v>12.682799408712716</v>
      </c>
      <c r="AD489" s="27">
        <f>(M489*'RAP TEMPLATE-GAS AVAILABILITY'!O488+N489*'RAP TEMPLATE-GAS AVAILABILITY'!P488+O489*'RAP TEMPLATE-GAS AVAILABILITY'!Q488+P489*'RAP TEMPLATE-GAS AVAILABILITY'!R488)/('RAP TEMPLATE-GAS AVAILABILITY'!O488+'RAP TEMPLATE-GAS AVAILABILITY'!P488+'RAP TEMPLATE-GAS AVAILABILITY'!Q488+'RAP TEMPLATE-GAS AVAILABILITY'!R488)</f>
        <v>12.551642446043164</v>
      </c>
    </row>
    <row r="490" spans="1:30" ht="15.75">
      <c r="A490" s="14">
        <v>56188</v>
      </c>
      <c r="B490" s="10">
        <f>CHOOSE(CONTROL!$C$42, 12.4196, 12.4196) * CHOOSE(CONTROL!$C$21, $C$9, 100%, $E$9)</f>
        <v>12.419600000000001</v>
      </c>
      <c r="C490" s="10">
        <f>CHOOSE(CONTROL!$C$42, 12.425, 12.425) * CHOOSE(CONTROL!$C$21, $C$9, 100%, $E$9)</f>
        <v>12.425000000000001</v>
      </c>
      <c r="D490" s="10">
        <f>CHOOSE(CONTROL!$C$42, 12.5869, 12.5869) * CHOOSE(CONTROL!$C$21, $C$9, 100%, $E$9)</f>
        <v>12.5869</v>
      </c>
      <c r="E490" s="10">
        <f>CHOOSE(CONTROL!$C$42, 12.6158, 12.6158) * CHOOSE(CONTROL!$C$21, $C$9, 100%, $E$9)</f>
        <v>12.6158</v>
      </c>
      <c r="F490" s="10">
        <f>CHOOSE(CONTROL!$C$42, 12.366, 12.366)*CHOOSE(CONTROL!$C$21, $C$9, 100%, $E$9)</f>
        <v>12.366</v>
      </c>
      <c r="G490" s="10">
        <f>CHOOSE(CONTROL!$C$42, 12.3818, 12.3818)*CHOOSE(CONTROL!$C$21, $C$9, 100%, $E$9)</f>
        <v>12.3818</v>
      </c>
      <c r="H490" s="10">
        <f>CHOOSE(CONTROL!$C$42, 12.6059, 12.6059) * CHOOSE(CONTROL!$C$21, $C$9, 100%, $E$9)</f>
        <v>12.6059</v>
      </c>
      <c r="I490" s="10">
        <f>CHOOSE(CONTROL!$C$42, 12.4001, 12.4001)* CHOOSE(CONTROL!$C$21, $C$9, 100%, $E$9)</f>
        <v>12.4001</v>
      </c>
      <c r="J490" s="10">
        <f>CHOOSE(CONTROL!$C$42, 12.3586, 12.3586)* CHOOSE(CONTROL!$C$21, $C$9, 100%, $E$9)</f>
        <v>12.358599999999999</v>
      </c>
      <c r="K490" s="10">
        <f>CHOOSE(CONTROL!$C$42, 12.1734, 12.1734) * CHOOSE(CONTROL!$C$21, $C$9, 100%, $E$9)</f>
        <v>12.173400000000001</v>
      </c>
      <c r="L490" s="10">
        <f>CHOOSE(CONTROL!$C$42, 13.1929, 13.1929) * CHOOSE(CONTROL!$C$21, $C$9, 100%, $E$9)</f>
        <v>13.1929</v>
      </c>
      <c r="M490" s="10">
        <f>CHOOSE(CONTROL!$C$42, 12.2192, 12.2192) * CHOOSE(CONTROL!$C$21, $C$9, 100%, $E$9)</f>
        <v>12.219200000000001</v>
      </c>
      <c r="N490" s="10">
        <f>CHOOSE(CONTROL!$C$42, 12.2348, 12.2348) * CHOOSE(CONTROL!$C$21, $C$9, 100%, $E$9)</f>
        <v>12.2348</v>
      </c>
      <c r="O490" s="10">
        <f>CHOOSE(CONTROL!$C$42, 12.4631, 12.4631) * CHOOSE(CONTROL!$C$21, $C$9, 100%, $E$9)</f>
        <v>12.463100000000001</v>
      </c>
      <c r="P490" s="10">
        <f>CHOOSE(CONTROL!$C$42, 12.2602, 12.2602) * CHOOSE(CONTROL!$C$21, $C$9, 100%, $E$9)</f>
        <v>12.260199999999999</v>
      </c>
      <c r="Q490" s="10">
        <f>CHOOSE(CONTROL!$C$42, 13.0584, 13.0584) * CHOOSE(CONTROL!$C$21, $C$9, 100%, $E$9)</f>
        <v>13.058400000000001</v>
      </c>
      <c r="R490" s="10">
        <f>CHOOSE(CONTROL!$C$42, 13.678, 13.678) * CHOOSE(CONTROL!$C$21, $C$9, 100%, $E$9)</f>
        <v>13.678000000000001</v>
      </c>
      <c r="S490" s="10">
        <f>CHOOSE(CONTROL!$C$42, 12.0422, 12.0422) * CHOOSE(CONTROL!$C$21, $C$9, 100%, $E$9)</f>
        <v>12.042199999999999</v>
      </c>
      <c r="T49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490" s="38">
        <f>(1000*CHOOSE(CONTROL!$C$42, 695, 695)*CHOOSE(CONTROL!$C$42, 0.5599, 0.5599)*CHOOSE(CONTROL!$C$42, 31, 31))/1000000</f>
        <v>12.063045499999998</v>
      </c>
      <c r="V490" s="38">
        <f>(1000*CHOOSE(CONTROL!$C$42, 500, 500)*CHOOSE(CONTROL!$C$42, 0.275, 0.275)*CHOOSE(CONTROL!$C$42, 31, 31))/1000000</f>
        <v>4.2625000000000002</v>
      </c>
      <c r="W490" s="38">
        <f>(1000*CHOOSE(CONTROL!$C$42, 0.1146, 0.1146)*CHOOSE(CONTROL!$C$42, 121.5, 121.5)*CHOOSE(CONTROL!$C$42, 31, 31))/1000000</f>
        <v>0.43164089999999994</v>
      </c>
      <c r="X490" s="38">
        <f>(31*0.1790888*245000/1000000)+(31*0.2374*100000/1000000)</f>
        <v>2.0961194359999999</v>
      </c>
      <c r="Y490" s="38">
        <f>(1000*600*CHOOSE(CONTROL!$C$42, 1.0687, 1.0687)*CHOOSE(CONTROL!$C$42, 31, 31))/1000000</f>
        <v>19.87782</v>
      </c>
      <c r="Z490" s="38"/>
      <c r="AA490" s="10"/>
      <c r="AB490" s="39"/>
      <c r="AC490" s="33">
        <f>(B490*131.881+C490*277.167+D490*79.08+E490*125.872+F490*40+G490*185+H490*0+I490*100+J490*300)/(131.881+277.167+79.08+125.872+0+40+185+100+300)</f>
        <v>12.427699977562551</v>
      </c>
      <c r="AD490" s="27">
        <f>(M490*'RAP TEMPLATE-GAS AVAILABILITY'!O489+N490*'RAP TEMPLATE-GAS AVAILABILITY'!P489+O490*'RAP TEMPLATE-GAS AVAILABILITY'!Q489+P490*'RAP TEMPLATE-GAS AVAILABILITY'!R489)/('RAP TEMPLATE-GAS AVAILABILITY'!O489+'RAP TEMPLATE-GAS AVAILABILITY'!P489+'RAP TEMPLATE-GAS AVAILABILITY'!Q489+'RAP TEMPLATE-GAS AVAILABILITY'!R489)</f>
        <v>12.297123021582735</v>
      </c>
    </row>
    <row r="491" spans="1:30" ht="15.75">
      <c r="A491" s="14">
        <v>56218</v>
      </c>
      <c r="B491" s="10">
        <f>CHOOSE(CONTROL!$C$42, 12.7468, 12.7468) * CHOOSE(CONTROL!$C$21, $C$9, 100%, $E$9)</f>
        <v>12.7468</v>
      </c>
      <c r="C491" s="10">
        <f>CHOOSE(CONTROL!$C$42, 12.7519, 12.7519) * CHOOSE(CONTROL!$C$21, $C$9, 100%, $E$9)</f>
        <v>12.751899999999999</v>
      </c>
      <c r="D491" s="10">
        <f>CHOOSE(CONTROL!$C$42, 12.7766, 12.7766) * CHOOSE(CONTROL!$C$21, $C$9, 100%, $E$9)</f>
        <v>12.7766</v>
      </c>
      <c r="E491" s="10">
        <f>CHOOSE(CONTROL!$C$42, 12.8104, 12.8104) * CHOOSE(CONTROL!$C$21, $C$9, 100%, $E$9)</f>
        <v>12.8104</v>
      </c>
      <c r="F491" s="10">
        <f>CHOOSE(CONTROL!$C$42, 12.7151, 12.7151)*CHOOSE(CONTROL!$C$21, $C$9, 100%, $E$9)</f>
        <v>12.7151</v>
      </c>
      <c r="G491" s="10">
        <f>CHOOSE(CONTROL!$C$42, 12.7311, 12.7311)*CHOOSE(CONTROL!$C$21, $C$9, 100%, $E$9)</f>
        <v>12.7311</v>
      </c>
      <c r="H491" s="10">
        <f>CHOOSE(CONTROL!$C$42, 12.7993, 12.7993) * CHOOSE(CONTROL!$C$21, $C$9, 100%, $E$9)</f>
        <v>12.799300000000001</v>
      </c>
      <c r="I491" s="10">
        <f>CHOOSE(CONTROL!$C$42, 12.7618, 12.7618)* CHOOSE(CONTROL!$C$21, $C$9, 100%, $E$9)</f>
        <v>12.761799999999999</v>
      </c>
      <c r="J491" s="10">
        <f>CHOOSE(CONTROL!$C$42, 12.7077, 12.7077)* CHOOSE(CONTROL!$C$21, $C$9, 100%, $E$9)</f>
        <v>12.707700000000001</v>
      </c>
      <c r="K491" s="10">
        <f>CHOOSE(CONTROL!$C$42, 12.526, 12.526) * CHOOSE(CONTROL!$C$21, $C$9, 100%, $E$9)</f>
        <v>12.526</v>
      </c>
      <c r="L491" s="10">
        <f>CHOOSE(CONTROL!$C$42, 13.3863, 13.3863) * CHOOSE(CONTROL!$C$21, $C$9, 100%, $E$9)</f>
        <v>13.3863</v>
      </c>
      <c r="M491" s="10">
        <f>CHOOSE(CONTROL!$C$42, 12.5635, 12.5635) * CHOOSE(CONTROL!$C$21, $C$9, 100%, $E$9)</f>
        <v>12.563499999999999</v>
      </c>
      <c r="N491" s="10">
        <f>CHOOSE(CONTROL!$C$42, 12.5793, 12.5793) * CHOOSE(CONTROL!$C$21, $C$9, 100%, $E$9)</f>
        <v>12.5793</v>
      </c>
      <c r="O491" s="10">
        <f>CHOOSE(CONTROL!$C$42, 12.6537, 12.6537) * CHOOSE(CONTROL!$C$21, $C$9, 100%, $E$9)</f>
        <v>12.653700000000001</v>
      </c>
      <c r="P491" s="10">
        <f>CHOOSE(CONTROL!$C$42, 12.6168, 12.6168) * CHOOSE(CONTROL!$C$21, $C$9, 100%, $E$9)</f>
        <v>12.6168</v>
      </c>
      <c r="Q491" s="10">
        <f>CHOOSE(CONTROL!$C$42, 13.249, 13.249) * CHOOSE(CONTROL!$C$21, $C$9, 100%, $E$9)</f>
        <v>13.249000000000001</v>
      </c>
      <c r="R491" s="10">
        <f>CHOOSE(CONTROL!$C$42, 13.8692, 13.8692) * CHOOSE(CONTROL!$C$21, $C$9, 100%, $E$9)</f>
        <v>13.869199999999999</v>
      </c>
      <c r="S491" s="10">
        <f>CHOOSE(CONTROL!$C$42, 12.3594, 12.3594) * CHOOSE(CONTROL!$C$21, $C$9, 100%, $E$9)</f>
        <v>12.359400000000001</v>
      </c>
      <c r="T49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491" s="38">
        <f>(1000*CHOOSE(CONTROL!$C$42, 695, 695)*CHOOSE(CONTROL!$C$42, 0.5599, 0.5599)*CHOOSE(CONTROL!$C$42, 30, 30))/1000000</f>
        <v>11.673914999999997</v>
      </c>
      <c r="V491" s="38">
        <f>(1000*CHOOSE(CONTROL!$C$42, 500, 500)*CHOOSE(CONTROL!$C$42, 0.275, 0.275)*CHOOSE(CONTROL!$C$42, 30, 30))/1000000</f>
        <v>4.125</v>
      </c>
      <c r="W491" s="38">
        <f>(1000*CHOOSE(CONTROL!$C$42, 0.1146, 0.1146)*CHOOSE(CONTROL!$C$42, 121.5, 121.5)*CHOOSE(CONTROL!$C$42, 30, 30))/1000000</f>
        <v>0.417717</v>
      </c>
      <c r="X491" s="38">
        <f>(30*0.1790888*100000/1000000)+(30*0.2374*100000/1000000)</f>
        <v>1.2494664</v>
      </c>
      <c r="Y491" s="38">
        <f>(1000*600*CHOOSE(CONTROL!$C$42, 1.0687, 1.0687)*CHOOSE(CONTROL!$C$42, 30, 30))/1000000</f>
        <v>19.236599999999999</v>
      </c>
      <c r="Z491" s="38"/>
      <c r="AA491" s="10"/>
      <c r="AB491" s="39"/>
      <c r="AC491" s="33">
        <f>(B491*122.58+C491*297.941+D491*89.177+E491*40.302+F491*40+G491*160+H491*0+I491*100+J491*300)/(122.58+297.941+89.177+40.302+0+40+160+100+300)</f>
        <v>12.740478418173915</v>
      </c>
      <c r="AD491" s="27">
        <f>(M491*'RAP TEMPLATE-GAS AVAILABILITY'!O490+N491*'RAP TEMPLATE-GAS AVAILABILITY'!P490+O491*'RAP TEMPLATE-GAS AVAILABILITY'!Q490+P491*'RAP TEMPLATE-GAS AVAILABILITY'!R490)/('RAP TEMPLATE-GAS AVAILABILITY'!O490+'RAP TEMPLATE-GAS AVAILABILITY'!P490+'RAP TEMPLATE-GAS AVAILABILITY'!Q490+'RAP TEMPLATE-GAS AVAILABILITY'!R490)</f>
        <v>12.612960431654676</v>
      </c>
    </row>
    <row r="492" spans="1:30" ht="15.75">
      <c r="A492" s="14">
        <v>56249</v>
      </c>
      <c r="B492" s="10">
        <f>CHOOSE(CONTROL!$C$42, 13.617, 13.617) * CHOOSE(CONTROL!$C$21, $C$9, 100%, $E$9)</f>
        <v>13.617000000000001</v>
      </c>
      <c r="C492" s="10">
        <f>CHOOSE(CONTROL!$C$42, 13.6221, 13.6221) * CHOOSE(CONTROL!$C$21, $C$9, 100%, $E$9)</f>
        <v>13.6221</v>
      </c>
      <c r="D492" s="10">
        <f>CHOOSE(CONTROL!$C$42, 13.6468, 13.6468) * CHOOSE(CONTROL!$C$21, $C$9, 100%, $E$9)</f>
        <v>13.646800000000001</v>
      </c>
      <c r="E492" s="10">
        <f>CHOOSE(CONTROL!$C$42, 13.6806, 13.6806) * CHOOSE(CONTROL!$C$21, $C$9, 100%, $E$9)</f>
        <v>13.6806</v>
      </c>
      <c r="F492" s="10">
        <f>CHOOSE(CONTROL!$C$42, 13.5873, 13.5873)*CHOOSE(CONTROL!$C$21, $C$9, 100%, $E$9)</f>
        <v>13.587300000000001</v>
      </c>
      <c r="G492" s="10">
        <f>CHOOSE(CONTROL!$C$42, 13.6037, 13.6037)*CHOOSE(CONTROL!$C$21, $C$9, 100%, $E$9)</f>
        <v>13.6037</v>
      </c>
      <c r="H492" s="10">
        <f>CHOOSE(CONTROL!$C$42, 13.6695, 13.6695) * CHOOSE(CONTROL!$C$21, $C$9, 100%, $E$9)</f>
        <v>13.669499999999999</v>
      </c>
      <c r="I492" s="10">
        <f>CHOOSE(CONTROL!$C$42, 13.632, 13.632)* CHOOSE(CONTROL!$C$21, $C$9, 100%, $E$9)</f>
        <v>13.632</v>
      </c>
      <c r="J492" s="10">
        <f>CHOOSE(CONTROL!$C$42, 13.5799, 13.5799)* CHOOSE(CONTROL!$C$21, $C$9, 100%, $E$9)</f>
        <v>13.5799</v>
      </c>
      <c r="K492" s="10">
        <f>CHOOSE(CONTROL!$C$42, 13.3731, 13.3731) * CHOOSE(CONTROL!$C$21, $C$9, 100%, $E$9)</f>
        <v>13.373100000000001</v>
      </c>
      <c r="L492" s="10">
        <f>CHOOSE(CONTROL!$C$42, 14.2565, 14.2565) * CHOOSE(CONTROL!$C$21, $C$9, 100%, $E$9)</f>
        <v>14.256500000000001</v>
      </c>
      <c r="M492" s="10">
        <f>CHOOSE(CONTROL!$C$42, 13.4234, 13.4234) * CHOOSE(CONTROL!$C$21, $C$9, 100%, $E$9)</f>
        <v>13.423400000000001</v>
      </c>
      <c r="N492" s="10">
        <f>CHOOSE(CONTROL!$C$42, 13.4397, 13.4397) * CHOOSE(CONTROL!$C$21, $C$9, 100%, $E$9)</f>
        <v>13.4397</v>
      </c>
      <c r="O492" s="10">
        <f>CHOOSE(CONTROL!$C$42, 13.5118, 13.5118) * CHOOSE(CONTROL!$C$21, $C$9, 100%, $E$9)</f>
        <v>13.511799999999999</v>
      </c>
      <c r="P492" s="10">
        <f>CHOOSE(CONTROL!$C$42, 13.4749, 13.4749) * CHOOSE(CONTROL!$C$21, $C$9, 100%, $E$9)</f>
        <v>13.4749</v>
      </c>
      <c r="Q492" s="10">
        <f>CHOOSE(CONTROL!$C$42, 14.1071, 14.1071) * CHOOSE(CONTROL!$C$21, $C$9, 100%, $E$9)</f>
        <v>14.107100000000001</v>
      </c>
      <c r="R492" s="10">
        <f>CHOOSE(CONTROL!$C$42, 14.7293, 14.7293) * CHOOSE(CONTROL!$C$21, $C$9, 100%, $E$9)</f>
        <v>14.7293</v>
      </c>
      <c r="S492" s="10">
        <f>CHOOSE(CONTROL!$C$42, 13.202, 13.202) * CHOOSE(CONTROL!$C$21, $C$9, 100%, $E$9)</f>
        <v>13.202</v>
      </c>
      <c r="T49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492" s="38">
        <f>(1000*CHOOSE(CONTROL!$C$42, 695, 695)*CHOOSE(CONTROL!$C$42, 0.5599, 0.5599)*CHOOSE(CONTROL!$C$42, 31, 31))/1000000</f>
        <v>12.063045499999998</v>
      </c>
      <c r="V492" s="38">
        <f>(1000*CHOOSE(CONTROL!$C$42, 500, 500)*CHOOSE(CONTROL!$C$42, 0.275, 0.275)*CHOOSE(CONTROL!$C$42, 31, 31))/1000000</f>
        <v>4.2625000000000002</v>
      </c>
      <c r="W492" s="38">
        <f>(1000*CHOOSE(CONTROL!$C$42, 0.1146, 0.1146)*CHOOSE(CONTROL!$C$42, 121.5, 121.5)*CHOOSE(CONTROL!$C$42, 31, 31))/1000000</f>
        <v>0.43164089999999994</v>
      </c>
      <c r="X492" s="38">
        <f>(31*0.1790888*100000/1000000)+(31*0.2374*100000/1000000)</f>
        <v>1.2911152800000001</v>
      </c>
      <c r="Y492" s="38">
        <f>(1000*600*CHOOSE(CONTROL!$C$42, 1.0687, 1.0687)*CHOOSE(CONTROL!$C$42, 31, 31))/1000000</f>
        <v>19.87782</v>
      </c>
      <c r="Z492" s="38"/>
      <c r="AA492" s="10"/>
      <c r="AB492" s="39"/>
      <c r="AC492" s="33">
        <f>(B492*122.58+C492*297.941+D492*89.177+E492*40.302+F492*40+G492*160+H492*0+I492*100+J492*300)/(122.58+297.941+89.177+40.302+0+40+160+100+300)</f>
        <v>13.611603635565217</v>
      </c>
      <c r="AD492" s="27">
        <f>(M492*'RAP TEMPLATE-GAS AVAILABILITY'!O491+N492*'RAP TEMPLATE-GAS AVAILABILITY'!P491+O492*'RAP TEMPLATE-GAS AVAILABILITY'!Q491+P492*'RAP TEMPLATE-GAS AVAILABILITY'!R491)/('RAP TEMPLATE-GAS AVAILABILITY'!O491+'RAP TEMPLATE-GAS AVAILABILITY'!P491+'RAP TEMPLATE-GAS AVAILABILITY'!Q491+'RAP TEMPLATE-GAS AVAILABILITY'!R491)</f>
        <v>13.471814388489209</v>
      </c>
    </row>
    <row r="493" spans="1:30" ht="15.75">
      <c r="A493" s="14">
        <v>56280</v>
      </c>
      <c r="B493" s="10">
        <f>CHOOSE(CONTROL!$C$42, 14.5371, 14.5371) * CHOOSE(CONTROL!$C$21, $C$9, 100%, $E$9)</f>
        <v>14.537100000000001</v>
      </c>
      <c r="C493" s="10">
        <f>CHOOSE(CONTROL!$C$42, 14.5422, 14.5422) * CHOOSE(CONTROL!$C$21, $C$9, 100%, $E$9)</f>
        <v>14.542199999999999</v>
      </c>
      <c r="D493" s="10">
        <f>CHOOSE(CONTROL!$C$42, 14.5747, 14.5747) * CHOOSE(CONTROL!$C$21, $C$9, 100%, $E$9)</f>
        <v>14.5747</v>
      </c>
      <c r="E493" s="10">
        <f>CHOOSE(CONTROL!$C$42, 14.6085, 14.6085) * CHOOSE(CONTROL!$C$21, $C$9, 100%, $E$9)</f>
        <v>14.608499999999999</v>
      </c>
      <c r="F493" s="10">
        <f>CHOOSE(CONTROL!$C$42, 14.5213, 14.5213)*CHOOSE(CONTROL!$C$21, $C$9, 100%, $E$9)</f>
        <v>14.5213</v>
      </c>
      <c r="G493" s="10">
        <f>CHOOSE(CONTROL!$C$42, 14.5394, 14.5394)*CHOOSE(CONTROL!$C$21, $C$9, 100%, $E$9)</f>
        <v>14.539400000000001</v>
      </c>
      <c r="H493" s="10">
        <f>CHOOSE(CONTROL!$C$42, 14.5974, 14.5974) * CHOOSE(CONTROL!$C$21, $C$9, 100%, $E$9)</f>
        <v>14.5974</v>
      </c>
      <c r="I493" s="10">
        <f>CHOOSE(CONTROL!$C$42, 14.5506, 14.5506)* CHOOSE(CONTROL!$C$21, $C$9, 100%, $E$9)</f>
        <v>14.550599999999999</v>
      </c>
      <c r="J493" s="10">
        <f>CHOOSE(CONTROL!$C$42, 14.5139, 14.5139)* CHOOSE(CONTROL!$C$21, $C$9, 100%, $E$9)</f>
        <v>14.5139</v>
      </c>
      <c r="K493" s="10">
        <f>CHOOSE(CONTROL!$C$42, 14.277, 14.277) * CHOOSE(CONTROL!$C$21, $C$9, 100%, $E$9)</f>
        <v>14.276999999999999</v>
      </c>
      <c r="L493" s="10">
        <f>CHOOSE(CONTROL!$C$42, 15.1844, 15.1844) * CHOOSE(CONTROL!$C$21, $C$9, 100%, $E$9)</f>
        <v>15.1844</v>
      </c>
      <c r="M493" s="10">
        <f>CHOOSE(CONTROL!$C$42, 14.3445, 14.3445) * CHOOSE(CONTROL!$C$21, $C$9, 100%, $E$9)</f>
        <v>14.3445</v>
      </c>
      <c r="N493" s="10">
        <f>CHOOSE(CONTROL!$C$42, 14.3623, 14.3623) * CHOOSE(CONTROL!$C$21, $C$9, 100%, $E$9)</f>
        <v>14.362299999999999</v>
      </c>
      <c r="O493" s="10">
        <f>CHOOSE(CONTROL!$C$42, 14.4267, 14.4267) * CHOOSE(CONTROL!$C$21, $C$9, 100%, $E$9)</f>
        <v>14.4267</v>
      </c>
      <c r="P493" s="10">
        <f>CHOOSE(CONTROL!$C$42, 14.3807, 14.3807) * CHOOSE(CONTROL!$C$21, $C$9, 100%, $E$9)</f>
        <v>14.380699999999999</v>
      </c>
      <c r="Q493" s="10">
        <f>CHOOSE(CONTROL!$C$42, 15.022, 15.022) * CHOOSE(CONTROL!$C$21, $C$9, 100%, $E$9)</f>
        <v>15.022</v>
      </c>
      <c r="R493" s="10">
        <f>CHOOSE(CONTROL!$C$42, 15.6466, 15.6466) * CHOOSE(CONTROL!$C$21, $C$9, 100%, $E$9)</f>
        <v>15.646599999999999</v>
      </c>
      <c r="S493" s="10">
        <f>CHOOSE(CONTROL!$C$42, 14.093, 14.093) * CHOOSE(CONTROL!$C$21, $C$9, 100%, $E$9)</f>
        <v>14.093</v>
      </c>
      <c r="T49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493" s="38">
        <f>(1000*CHOOSE(CONTROL!$C$42, 695, 695)*CHOOSE(CONTROL!$C$42, 0.5599, 0.5599)*CHOOSE(CONTROL!$C$42, 31, 31))/1000000</f>
        <v>12.063045499999998</v>
      </c>
      <c r="V493" s="38">
        <f>(1000*CHOOSE(CONTROL!$C$42, 500, 500)*CHOOSE(CONTROL!$C$42, 0.275, 0.275)*CHOOSE(CONTROL!$C$42, 31, 31))/1000000</f>
        <v>4.2625000000000002</v>
      </c>
      <c r="W493" s="38">
        <f>(1000*CHOOSE(CONTROL!$C$42, 0.1146, 0.1146)*CHOOSE(CONTROL!$C$42, 121.5, 121.5)*CHOOSE(CONTROL!$C$42, 31, 31))/1000000</f>
        <v>0.43164089999999994</v>
      </c>
      <c r="X493" s="38">
        <f>(31*0.1790888*100000/1000000)+(31*0.2374*100000/1000000)</f>
        <v>1.2911152800000001</v>
      </c>
      <c r="Y493" s="38">
        <f>(1000*600*CHOOSE(CONTROL!$C$42, 1.0653, 1.0653)*CHOOSE(CONTROL!$C$42, 31, 31))/1000000</f>
        <v>19.814579999999999</v>
      </c>
      <c r="Z493" s="38"/>
      <c r="AA493" s="10"/>
      <c r="AB493" s="39"/>
      <c r="AC493" s="33">
        <f>(B493*122.58+C493*297.941+D493*89.177+E493*40.302+F493*40+G493*160+H493*0+I493*100+J493*300)/(122.58+297.941+89.177+40.302+0+40+160+100+300)</f>
        <v>14.538731406173914</v>
      </c>
      <c r="AD493" s="27">
        <f>(M493*'RAP TEMPLATE-GAS AVAILABILITY'!O492+N493*'RAP TEMPLATE-GAS AVAILABILITY'!P492+O493*'RAP TEMPLATE-GAS AVAILABILITY'!Q492+P493*'RAP TEMPLATE-GAS AVAILABILITY'!R492)/('RAP TEMPLATE-GAS AVAILABILITY'!O492+'RAP TEMPLATE-GAS AVAILABILITY'!P492+'RAP TEMPLATE-GAS AVAILABILITY'!Q492+'RAP TEMPLATE-GAS AVAILABILITY'!R492)</f>
        <v>14.387989208633094</v>
      </c>
    </row>
    <row r="494" spans="1:30" ht="15.75">
      <c r="A494" s="14">
        <v>56308</v>
      </c>
      <c r="B494" s="10">
        <f>CHOOSE(CONTROL!$C$42, 14.7962, 14.7962) * CHOOSE(CONTROL!$C$21, $C$9, 100%, $E$9)</f>
        <v>14.796200000000001</v>
      </c>
      <c r="C494" s="10">
        <f>CHOOSE(CONTROL!$C$42, 14.8013, 14.8013) * CHOOSE(CONTROL!$C$21, $C$9, 100%, $E$9)</f>
        <v>14.801299999999999</v>
      </c>
      <c r="D494" s="10">
        <f>CHOOSE(CONTROL!$C$42, 14.8338, 14.8338) * CHOOSE(CONTROL!$C$21, $C$9, 100%, $E$9)</f>
        <v>14.8338</v>
      </c>
      <c r="E494" s="10">
        <f>CHOOSE(CONTROL!$C$42, 14.8676, 14.8676) * CHOOSE(CONTROL!$C$21, $C$9, 100%, $E$9)</f>
        <v>14.867599999999999</v>
      </c>
      <c r="F494" s="10">
        <f>CHOOSE(CONTROL!$C$42, 14.78, 14.78)*CHOOSE(CONTROL!$C$21, $C$9, 100%, $E$9)</f>
        <v>14.78</v>
      </c>
      <c r="G494" s="10">
        <f>CHOOSE(CONTROL!$C$42, 14.7979, 14.7979)*CHOOSE(CONTROL!$C$21, $C$9, 100%, $E$9)</f>
        <v>14.7979</v>
      </c>
      <c r="H494" s="10">
        <f>CHOOSE(CONTROL!$C$42, 14.8564, 14.8564) * CHOOSE(CONTROL!$C$21, $C$9, 100%, $E$9)</f>
        <v>14.856400000000001</v>
      </c>
      <c r="I494" s="10">
        <f>CHOOSE(CONTROL!$C$42, 14.8097, 14.8097)* CHOOSE(CONTROL!$C$21, $C$9, 100%, $E$9)</f>
        <v>14.809699999999999</v>
      </c>
      <c r="J494" s="10">
        <f>CHOOSE(CONTROL!$C$42, 14.7726, 14.7726)* CHOOSE(CONTROL!$C$21, $C$9, 100%, $E$9)</f>
        <v>14.772600000000001</v>
      </c>
      <c r="K494" s="10">
        <f>CHOOSE(CONTROL!$C$42, 14.527, 14.527) * CHOOSE(CONTROL!$C$21, $C$9, 100%, $E$9)</f>
        <v>14.526999999999999</v>
      </c>
      <c r="L494" s="10">
        <f>CHOOSE(CONTROL!$C$42, 15.4434, 15.4434) * CHOOSE(CONTROL!$C$21, $C$9, 100%, $E$9)</f>
        <v>15.4434</v>
      </c>
      <c r="M494" s="10">
        <f>CHOOSE(CONTROL!$C$42, 14.5995, 14.5995) * CHOOSE(CONTROL!$C$21, $C$9, 100%, $E$9)</f>
        <v>14.599500000000001</v>
      </c>
      <c r="N494" s="10">
        <f>CHOOSE(CONTROL!$C$42, 14.6172, 14.6172) * CHOOSE(CONTROL!$C$21, $C$9, 100%, $E$9)</f>
        <v>14.6172</v>
      </c>
      <c r="O494" s="10">
        <f>CHOOSE(CONTROL!$C$42, 14.6822, 14.6822) * CHOOSE(CONTROL!$C$21, $C$9, 100%, $E$9)</f>
        <v>14.6822</v>
      </c>
      <c r="P494" s="10">
        <f>CHOOSE(CONTROL!$C$42, 14.6361, 14.6361) * CHOOSE(CONTROL!$C$21, $C$9, 100%, $E$9)</f>
        <v>14.636100000000001</v>
      </c>
      <c r="Q494" s="10">
        <f>CHOOSE(CONTROL!$C$42, 15.2775, 15.2775) * CHOOSE(CONTROL!$C$21, $C$9, 100%, $E$9)</f>
        <v>15.2775</v>
      </c>
      <c r="R494" s="10">
        <f>CHOOSE(CONTROL!$C$42, 15.9027, 15.9027) * CHOOSE(CONTROL!$C$21, $C$9, 100%, $E$9)</f>
        <v>15.902699999999999</v>
      </c>
      <c r="S494" s="10">
        <f>CHOOSE(CONTROL!$C$42, 14.3438, 14.3438) * CHOOSE(CONTROL!$C$21, $C$9, 100%, $E$9)</f>
        <v>14.3438</v>
      </c>
      <c r="T49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494" s="38">
        <f>(1000*CHOOSE(CONTROL!$C$42, 695, 695)*CHOOSE(CONTROL!$C$42, 0.5599, 0.5599)*CHOOSE(CONTROL!$C$42, 28, 28))/1000000</f>
        <v>10.895653999999999</v>
      </c>
      <c r="V494" s="38">
        <f>(1000*CHOOSE(CONTROL!$C$42, 500, 500)*CHOOSE(CONTROL!$C$42, 0.275, 0.275)*CHOOSE(CONTROL!$C$42, 28, 28))/1000000</f>
        <v>3.85</v>
      </c>
      <c r="W494" s="38">
        <f>(1000*CHOOSE(CONTROL!$C$42, 0.1146, 0.1146)*CHOOSE(CONTROL!$C$42, 121.5, 121.5)*CHOOSE(CONTROL!$C$42, 28, 28))/1000000</f>
        <v>0.38986920000000003</v>
      </c>
      <c r="X494" s="38">
        <f>(28*0.1790888*100000/1000000)+(28*0.2374*100000/1000000)</f>
        <v>1.16616864</v>
      </c>
      <c r="Y494" s="38">
        <f>(1000*600*CHOOSE(CONTROL!$C$42, 1.0653, 1.0653)*CHOOSE(CONTROL!$C$42, 28, 28))/1000000</f>
        <v>17.897040000000001</v>
      </c>
      <c r="Z494" s="38"/>
      <c r="AA494" s="10"/>
      <c r="AB494" s="39"/>
      <c r="AC494" s="33">
        <f>(B494*122.58+C494*297.941+D494*89.177+E494*40.302+F494*40+G494*160+H494*0+I494*100+J494*300)/(122.58+297.941+89.177+40.302+0+40+160+100+300)</f>
        <v>14.797629667043477</v>
      </c>
      <c r="AD494" s="27">
        <f>(M494*'RAP TEMPLATE-GAS AVAILABILITY'!O493+N494*'RAP TEMPLATE-GAS AVAILABILITY'!P493+O494*'RAP TEMPLATE-GAS AVAILABILITY'!Q493+P494*'RAP TEMPLATE-GAS AVAILABILITY'!R493)/('RAP TEMPLATE-GAS AVAILABILITY'!O493+'RAP TEMPLATE-GAS AVAILABILITY'!P493+'RAP TEMPLATE-GAS AVAILABILITY'!Q493+'RAP TEMPLATE-GAS AVAILABILITY'!R493)</f>
        <v>14.643267625899281</v>
      </c>
    </row>
    <row r="495" spans="1:30" ht="15.75">
      <c r="A495" s="14">
        <v>56339</v>
      </c>
      <c r="B495" s="10">
        <f>CHOOSE(CONTROL!$C$42, 14.3757, 14.3757) * CHOOSE(CONTROL!$C$21, $C$9, 100%, $E$9)</f>
        <v>14.3757</v>
      </c>
      <c r="C495" s="10">
        <f>CHOOSE(CONTROL!$C$42, 14.3808, 14.3808) * CHOOSE(CONTROL!$C$21, $C$9, 100%, $E$9)</f>
        <v>14.380800000000001</v>
      </c>
      <c r="D495" s="10">
        <f>CHOOSE(CONTROL!$C$42, 14.4132, 14.4132) * CHOOSE(CONTROL!$C$21, $C$9, 100%, $E$9)</f>
        <v>14.4132</v>
      </c>
      <c r="E495" s="10">
        <f>CHOOSE(CONTROL!$C$42, 14.447, 14.447) * CHOOSE(CONTROL!$C$21, $C$9, 100%, $E$9)</f>
        <v>14.446999999999999</v>
      </c>
      <c r="F495" s="10">
        <f>CHOOSE(CONTROL!$C$42, 14.3579, 14.3579)*CHOOSE(CONTROL!$C$21, $C$9, 100%, $E$9)</f>
        <v>14.357900000000001</v>
      </c>
      <c r="G495" s="10">
        <f>CHOOSE(CONTROL!$C$42, 14.3755, 14.3755)*CHOOSE(CONTROL!$C$21, $C$9, 100%, $E$9)</f>
        <v>14.375500000000001</v>
      </c>
      <c r="H495" s="10">
        <f>CHOOSE(CONTROL!$C$42, 14.4359, 14.4359) * CHOOSE(CONTROL!$C$21, $C$9, 100%, $E$9)</f>
        <v>14.4359</v>
      </c>
      <c r="I495" s="10">
        <f>CHOOSE(CONTROL!$C$42, 14.3891, 14.3891)* CHOOSE(CONTROL!$C$21, $C$9, 100%, $E$9)</f>
        <v>14.389099999999999</v>
      </c>
      <c r="J495" s="10">
        <f>CHOOSE(CONTROL!$C$42, 14.3505, 14.3505)* CHOOSE(CONTROL!$C$21, $C$9, 100%, $E$9)</f>
        <v>14.3505</v>
      </c>
      <c r="K495" s="10">
        <f>CHOOSE(CONTROL!$C$42, 14.1165, 14.1165) * CHOOSE(CONTROL!$C$21, $C$9, 100%, $E$9)</f>
        <v>14.1165</v>
      </c>
      <c r="L495" s="10">
        <f>CHOOSE(CONTROL!$C$42, 15.0229, 15.0229) * CHOOSE(CONTROL!$C$21, $C$9, 100%, $E$9)</f>
        <v>15.0229</v>
      </c>
      <c r="M495" s="10">
        <f>CHOOSE(CONTROL!$C$42, 14.1834, 14.1834) * CHOOSE(CONTROL!$C$21, $C$9, 100%, $E$9)</f>
        <v>14.183400000000001</v>
      </c>
      <c r="N495" s="10">
        <f>CHOOSE(CONTROL!$C$42, 14.2007, 14.2007) * CHOOSE(CONTROL!$C$21, $C$9, 100%, $E$9)</f>
        <v>14.200699999999999</v>
      </c>
      <c r="O495" s="10">
        <f>CHOOSE(CONTROL!$C$42, 14.2675, 14.2675) * CHOOSE(CONTROL!$C$21, $C$9, 100%, $E$9)</f>
        <v>14.2675</v>
      </c>
      <c r="P495" s="10">
        <f>CHOOSE(CONTROL!$C$42, 14.2215, 14.2215) * CHOOSE(CONTROL!$C$21, $C$9, 100%, $E$9)</f>
        <v>14.221500000000001</v>
      </c>
      <c r="Q495" s="10">
        <f>CHOOSE(CONTROL!$C$42, 14.8628, 14.8628) * CHOOSE(CONTROL!$C$21, $C$9, 100%, $E$9)</f>
        <v>14.8628</v>
      </c>
      <c r="R495" s="10">
        <f>CHOOSE(CONTROL!$C$42, 15.487, 15.487) * CHOOSE(CONTROL!$C$21, $C$9, 100%, $E$9)</f>
        <v>15.487</v>
      </c>
      <c r="S495" s="10">
        <f>CHOOSE(CONTROL!$C$42, 13.9366, 13.9366) * CHOOSE(CONTROL!$C$21, $C$9, 100%, $E$9)</f>
        <v>13.9366</v>
      </c>
      <c r="T49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495" s="38">
        <f>(1000*CHOOSE(CONTROL!$C$42, 695, 695)*CHOOSE(CONTROL!$C$42, 0.5599, 0.5599)*CHOOSE(CONTROL!$C$42, 31, 31))/1000000</f>
        <v>12.063045499999998</v>
      </c>
      <c r="V495" s="38">
        <f>(1000*CHOOSE(CONTROL!$C$42, 500, 500)*CHOOSE(CONTROL!$C$42, 0.275, 0.275)*CHOOSE(CONTROL!$C$42, 31, 31))/1000000</f>
        <v>4.2625000000000002</v>
      </c>
      <c r="W495" s="38">
        <f>(1000*CHOOSE(CONTROL!$C$42, 0.1146, 0.1146)*CHOOSE(CONTROL!$C$42, 121.5, 121.5)*CHOOSE(CONTROL!$C$42, 31, 31))/1000000</f>
        <v>0.43164089999999994</v>
      </c>
      <c r="X495" s="38">
        <f>(31*0.1790888*100000/1000000)+(31*0.2374*100000/1000000)</f>
        <v>1.2911152800000001</v>
      </c>
      <c r="Y495" s="38">
        <f>(1000*600*CHOOSE(CONTROL!$C$42, 1.0653, 1.0653)*CHOOSE(CONTROL!$C$42, 31, 31))/1000000</f>
        <v>19.814579999999999</v>
      </c>
      <c r="Z495" s="38"/>
      <c r="AA495" s="10"/>
      <c r="AB495" s="39"/>
      <c r="AC495" s="33">
        <f>(B495*122.58+C495*297.941+D495*89.177+E495*40.302+F495*40+G495*160+H495*0+I495*100+J495*300)/(122.58+297.941+89.177+40.302+0+40+160+100+300)</f>
        <v>14.37637232104348</v>
      </c>
      <c r="AD495" s="27">
        <f>(M495*'RAP TEMPLATE-GAS AVAILABILITY'!O494+N495*'RAP TEMPLATE-GAS AVAILABILITY'!P494+O495*'RAP TEMPLATE-GAS AVAILABILITY'!Q494+P495*'RAP TEMPLATE-GAS AVAILABILITY'!R494)/('RAP TEMPLATE-GAS AVAILABILITY'!O494+'RAP TEMPLATE-GAS AVAILABILITY'!P494+'RAP TEMPLATE-GAS AVAILABILITY'!Q494+'RAP TEMPLATE-GAS AVAILABILITY'!R494)</f>
        <v>14.227994964028774</v>
      </c>
    </row>
    <row r="496" spans="1:30" ht="15.75">
      <c r="A496" s="14">
        <v>56369</v>
      </c>
      <c r="B496" s="10">
        <f>CHOOSE(CONTROL!$C$42, 14.3334, 14.3334) * CHOOSE(CONTROL!$C$21, $C$9, 100%, $E$9)</f>
        <v>14.333399999999999</v>
      </c>
      <c r="C496" s="10">
        <f>CHOOSE(CONTROL!$C$42, 14.3379, 14.3379) * CHOOSE(CONTROL!$C$21, $C$9, 100%, $E$9)</f>
        <v>14.337899999999999</v>
      </c>
      <c r="D496" s="10">
        <f>CHOOSE(CONTROL!$C$42, 14.498, 14.498) * CHOOSE(CONTROL!$C$21, $C$9, 100%, $E$9)</f>
        <v>14.497999999999999</v>
      </c>
      <c r="E496" s="10">
        <f>CHOOSE(CONTROL!$C$42, 14.5299, 14.5299) * CHOOSE(CONTROL!$C$21, $C$9, 100%, $E$9)</f>
        <v>14.5299</v>
      </c>
      <c r="F496" s="10">
        <f>CHOOSE(CONTROL!$C$42, 14.2795, 14.2795)*CHOOSE(CONTROL!$C$21, $C$9, 100%, $E$9)</f>
        <v>14.279500000000001</v>
      </c>
      <c r="G496" s="10">
        <f>CHOOSE(CONTROL!$C$42, 14.2953, 14.2953)*CHOOSE(CONTROL!$C$21, $C$9, 100%, $E$9)</f>
        <v>14.295299999999999</v>
      </c>
      <c r="H496" s="10">
        <f>CHOOSE(CONTROL!$C$42, 14.5193, 14.5193) * CHOOSE(CONTROL!$C$21, $C$9, 100%, $E$9)</f>
        <v>14.519299999999999</v>
      </c>
      <c r="I496" s="10">
        <f>CHOOSE(CONTROL!$C$42, 14.3135, 14.3135)* CHOOSE(CONTROL!$C$21, $C$9, 100%, $E$9)</f>
        <v>14.313499999999999</v>
      </c>
      <c r="J496" s="10">
        <f>CHOOSE(CONTROL!$C$42, 14.2721, 14.2721)* CHOOSE(CONTROL!$C$21, $C$9, 100%, $E$9)</f>
        <v>14.2721</v>
      </c>
      <c r="K496" s="10">
        <f>CHOOSE(CONTROL!$C$42, 14.0272, 14.0272) * CHOOSE(CONTROL!$C$21, $C$9, 100%, $E$9)</f>
        <v>14.027200000000001</v>
      </c>
      <c r="L496" s="10">
        <f>CHOOSE(CONTROL!$C$42, 15.1063, 15.1063) * CHOOSE(CONTROL!$C$21, $C$9, 100%, $E$9)</f>
        <v>15.106299999999999</v>
      </c>
      <c r="M496" s="10">
        <f>CHOOSE(CONTROL!$C$42, 14.106, 14.106) * CHOOSE(CONTROL!$C$21, $C$9, 100%, $E$9)</f>
        <v>14.106</v>
      </c>
      <c r="N496" s="10">
        <f>CHOOSE(CONTROL!$C$42, 14.1216, 14.1216) * CHOOSE(CONTROL!$C$21, $C$9, 100%, $E$9)</f>
        <v>14.121600000000001</v>
      </c>
      <c r="O496" s="10">
        <f>CHOOSE(CONTROL!$C$42, 14.3498, 14.3498) * CHOOSE(CONTROL!$C$21, $C$9, 100%, $E$9)</f>
        <v>14.3498</v>
      </c>
      <c r="P496" s="10">
        <f>CHOOSE(CONTROL!$C$42, 14.1469, 14.1469) * CHOOSE(CONTROL!$C$21, $C$9, 100%, $E$9)</f>
        <v>14.1469</v>
      </c>
      <c r="Q496" s="10">
        <f>CHOOSE(CONTROL!$C$42, 14.9451, 14.9451) * CHOOSE(CONTROL!$C$21, $C$9, 100%, $E$9)</f>
        <v>14.9451</v>
      </c>
      <c r="R496" s="10">
        <f>CHOOSE(CONTROL!$C$42, 15.5694, 15.5694) * CHOOSE(CONTROL!$C$21, $C$9, 100%, $E$9)</f>
        <v>15.5694</v>
      </c>
      <c r="S496" s="10">
        <f>CHOOSE(CONTROL!$C$42, 13.8949, 13.8949) * CHOOSE(CONTROL!$C$21, $C$9, 100%, $E$9)</f>
        <v>13.8949</v>
      </c>
      <c r="T49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496" s="38">
        <f>(1000*CHOOSE(CONTROL!$C$42, 695, 695)*CHOOSE(CONTROL!$C$42, 0.5599, 0.5599)*CHOOSE(CONTROL!$C$42, 30, 30))/1000000</f>
        <v>11.673914999999997</v>
      </c>
      <c r="V496" s="38">
        <f>(1000*CHOOSE(CONTROL!$C$42, 500, 500)*CHOOSE(CONTROL!$C$42, 0.275, 0.275)*CHOOSE(CONTROL!$C$42, 30, 30))/1000000</f>
        <v>4.125</v>
      </c>
      <c r="W496" s="38">
        <f>(1000*CHOOSE(CONTROL!$C$42, 0.1146, 0.1146)*CHOOSE(CONTROL!$C$42, 121.5, 121.5)*CHOOSE(CONTROL!$C$42, 30, 30))/1000000</f>
        <v>0.417717</v>
      </c>
      <c r="X496" s="38">
        <f>(30*0.1790888*245000/1000000)+(30*0.2374*100000/1000000)</f>
        <v>2.0285026799999999</v>
      </c>
      <c r="Y496" s="38">
        <f>(1000*600*CHOOSE(CONTROL!$C$42, 1.0653, 1.0653)*CHOOSE(CONTROL!$C$42, 30, 30))/1000000</f>
        <v>19.1754</v>
      </c>
      <c r="Z496" s="38"/>
      <c r="AA496" s="10"/>
      <c r="AB496" s="39"/>
      <c r="AC496" s="33">
        <f>(B496*141.293+C496*267.993+D496*115.016+E496*89.698+F496*40+G496*185+H496*0+I496*100+J496*300)/(141.293+267.993+115.016+89.698+0+40+185+100+300)</f>
        <v>14.340001096933012</v>
      </c>
      <c r="AD496" s="27">
        <f>(M496*'RAP TEMPLATE-GAS AVAILABILITY'!O495+N496*'RAP TEMPLATE-GAS AVAILABILITY'!P495+O496*'RAP TEMPLATE-GAS AVAILABILITY'!Q495+P496*'RAP TEMPLATE-GAS AVAILABILITY'!R495)/('RAP TEMPLATE-GAS AVAILABILITY'!O495+'RAP TEMPLATE-GAS AVAILABILITY'!P495+'RAP TEMPLATE-GAS AVAILABILITY'!Q495+'RAP TEMPLATE-GAS AVAILABILITY'!R495)</f>
        <v>14.183880575539568</v>
      </c>
    </row>
    <row r="497" spans="1:30" ht="15.75">
      <c r="A497" s="14">
        <v>56400</v>
      </c>
      <c r="B497" s="10">
        <f>CHOOSE(CONTROL!$C$42, 14.4618, 14.4618) * CHOOSE(CONTROL!$C$21, $C$9, 100%, $E$9)</f>
        <v>14.4618</v>
      </c>
      <c r="C497" s="10">
        <f>CHOOSE(CONTROL!$C$42, 14.4698, 14.4698) * CHOOSE(CONTROL!$C$21, $C$9, 100%, $E$9)</f>
        <v>14.469799999999999</v>
      </c>
      <c r="D497" s="10">
        <f>CHOOSE(CONTROL!$C$42, 14.6269, 14.6269) * CHOOSE(CONTROL!$C$21, $C$9, 100%, $E$9)</f>
        <v>14.626899999999999</v>
      </c>
      <c r="E497" s="10">
        <f>CHOOSE(CONTROL!$C$42, 14.6581, 14.6581) * CHOOSE(CONTROL!$C$21, $C$9, 100%, $E$9)</f>
        <v>14.658099999999999</v>
      </c>
      <c r="F497" s="10">
        <f>CHOOSE(CONTROL!$C$42, 14.406, 14.406)*CHOOSE(CONTROL!$C$21, $C$9, 100%, $E$9)</f>
        <v>14.406000000000001</v>
      </c>
      <c r="G497" s="10">
        <f>CHOOSE(CONTROL!$C$42, 14.4221, 14.4221)*CHOOSE(CONTROL!$C$21, $C$9, 100%, $E$9)</f>
        <v>14.4221</v>
      </c>
      <c r="H497" s="10">
        <f>CHOOSE(CONTROL!$C$42, 14.6464, 14.6464) * CHOOSE(CONTROL!$C$21, $C$9, 100%, $E$9)</f>
        <v>14.6464</v>
      </c>
      <c r="I497" s="10">
        <f>CHOOSE(CONTROL!$C$42, 14.4406, 14.4406)* CHOOSE(CONTROL!$C$21, $C$9, 100%, $E$9)</f>
        <v>14.4406</v>
      </c>
      <c r="J497" s="10">
        <f>CHOOSE(CONTROL!$C$42, 14.3986, 14.3986)* CHOOSE(CONTROL!$C$21, $C$9, 100%, $E$9)</f>
        <v>14.3986</v>
      </c>
      <c r="K497" s="10">
        <f>CHOOSE(CONTROL!$C$42, 14.149, 14.149) * CHOOSE(CONTROL!$C$21, $C$9, 100%, $E$9)</f>
        <v>14.148999999999999</v>
      </c>
      <c r="L497" s="10">
        <f>CHOOSE(CONTROL!$C$42, 15.2334, 15.2334) * CHOOSE(CONTROL!$C$21, $C$9, 100%, $E$9)</f>
        <v>15.2334</v>
      </c>
      <c r="M497" s="10">
        <f>CHOOSE(CONTROL!$C$42, 14.2307, 14.2307) * CHOOSE(CONTROL!$C$21, $C$9, 100%, $E$9)</f>
        <v>14.230700000000001</v>
      </c>
      <c r="N497" s="10">
        <f>CHOOSE(CONTROL!$C$42, 14.2466, 14.2466) * CHOOSE(CONTROL!$C$21, $C$9, 100%, $E$9)</f>
        <v>14.246600000000001</v>
      </c>
      <c r="O497" s="10">
        <f>CHOOSE(CONTROL!$C$42, 14.4751, 14.4751) * CHOOSE(CONTROL!$C$21, $C$9, 100%, $E$9)</f>
        <v>14.475099999999999</v>
      </c>
      <c r="P497" s="10">
        <f>CHOOSE(CONTROL!$C$42, 14.2722, 14.2722) * CHOOSE(CONTROL!$C$21, $C$9, 100%, $E$9)</f>
        <v>14.2722</v>
      </c>
      <c r="Q497" s="10">
        <f>CHOOSE(CONTROL!$C$42, 15.0704, 15.0704) * CHOOSE(CONTROL!$C$21, $C$9, 100%, $E$9)</f>
        <v>15.070399999999999</v>
      </c>
      <c r="R497" s="10">
        <f>CHOOSE(CONTROL!$C$42, 15.6951, 15.6951) * CHOOSE(CONTROL!$C$21, $C$9, 100%, $E$9)</f>
        <v>15.6951</v>
      </c>
      <c r="S497" s="10">
        <f>CHOOSE(CONTROL!$C$42, 14.018, 14.018) * CHOOSE(CONTROL!$C$21, $C$9, 100%, $E$9)</f>
        <v>14.018000000000001</v>
      </c>
      <c r="T49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497" s="38">
        <f>(1000*CHOOSE(CONTROL!$C$42, 695, 695)*CHOOSE(CONTROL!$C$42, 0.5599, 0.5599)*CHOOSE(CONTROL!$C$42, 31, 31))/1000000</f>
        <v>12.063045499999998</v>
      </c>
      <c r="V497" s="38">
        <f>(1000*CHOOSE(CONTROL!$C$42, 500, 500)*CHOOSE(CONTROL!$C$42, 0.275, 0.275)*CHOOSE(CONTROL!$C$42, 31, 31))/1000000</f>
        <v>4.2625000000000002</v>
      </c>
      <c r="W497" s="38">
        <f>(1000*CHOOSE(CONTROL!$C$42, 0.1146, 0.1146)*CHOOSE(CONTROL!$C$42, 121.5, 121.5)*CHOOSE(CONTROL!$C$42, 31, 31))/1000000</f>
        <v>0.43164089999999994</v>
      </c>
      <c r="X497" s="38">
        <f>(31*0.1790888*245000/1000000)+(31*0.2374*100000/1000000)</f>
        <v>2.0961194359999999</v>
      </c>
      <c r="Y497" s="38">
        <f>(1000*600*CHOOSE(CONTROL!$C$42, 1.0653, 1.0653)*CHOOSE(CONTROL!$C$42, 31, 31))/1000000</f>
        <v>19.814579999999999</v>
      </c>
      <c r="Z497" s="38"/>
      <c r="AA497" s="10"/>
      <c r="AB497" s="39"/>
      <c r="AC497" s="33">
        <f>(B497*194.205+C497*267.466+D497*133.845+E497*53.484+F497*40+G497*185+H497*0+I497*100+J497*300)/(194.205+267.466+133.845+53.484+0+40+185+100+300)</f>
        <v>14.465002469937204</v>
      </c>
      <c r="AD497" s="27">
        <f>(M497*'RAP TEMPLATE-GAS AVAILABILITY'!O496+N497*'RAP TEMPLATE-GAS AVAILABILITY'!P496+O497*'RAP TEMPLATE-GAS AVAILABILITY'!Q496+P497*'RAP TEMPLATE-GAS AVAILABILITY'!R496)/('RAP TEMPLATE-GAS AVAILABILITY'!O496+'RAP TEMPLATE-GAS AVAILABILITY'!P496+'RAP TEMPLATE-GAS AVAILABILITY'!Q496+'RAP TEMPLATE-GAS AVAILABILITY'!R496)</f>
        <v>14.308904316546762</v>
      </c>
    </row>
    <row r="498" spans="1:30" ht="15.75">
      <c r="A498" s="14">
        <v>56430</v>
      </c>
      <c r="B498" s="10">
        <f>CHOOSE(CONTROL!$C$42, 14.8724, 14.8724) * CHOOSE(CONTROL!$C$21, $C$9, 100%, $E$9)</f>
        <v>14.872400000000001</v>
      </c>
      <c r="C498" s="10">
        <f>CHOOSE(CONTROL!$C$42, 14.8804, 14.8804) * CHOOSE(CONTROL!$C$21, $C$9, 100%, $E$9)</f>
        <v>14.8804</v>
      </c>
      <c r="D498" s="10">
        <f>CHOOSE(CONTROL!$C$42, 15.0375, 15.0375) * CHOOSE(CONTROL!$C$21, $C$9, 100%, $E$9)</f>
        <v>15.0375</v>
      </c>
      <c r="E498" s="10">
        <f>CHOOSE(CONTROL!$C$42, 15.0687, 15.0687) * CHOOSE(CONTROL!$C$21, $C$9, 100%, $E$9)</f>
        <v>15.0687</v>
      </c>
      <c r="F498" s="10">
        <f>CHOOSE(CONTROL!$C$42, 14.8168, 14.8168)*CHOOSE(CONTROL!$C$21, $C$9, 100%, $E$9)</f>
        <v>14.816800000000001</v>
      </c>
      <c r="G498" s="10">
        <f>CHOOSE(CONTROL!$C$42, 14.8329, 14.8329)*CHOOSE(CONTROL!$C$21, $C$9, 100%, $E$9)</f>
        <v>14.8329</v>
      </c>
      <c r="H498" s="10">
        <f>CHOOSE(CONTROL!$C$42, 15.057, 15.057) * CHOOSE(CONTROL!$C$21, $C$9, 100%, $E$9)</f>
        <v>15.057</v>
      </c>
      <c r="I498" s="10">
        <f>CHOOSE(CONTROL!$C$42, 14.8512, 14.8512)* CHOOSE(CONTROL!$C$21, $C$9, 100%, $E$9)</f>
        <v>14.8512</v>
      </c>
      <c r="J498" s="10">
        <f>CHOOSE(CONTROL!$C$42, 14.8094, 14.8094)* CHOOSE(CONTROL!$C$21, $C$9, 100%, $E$9)</f>
        <v>14.8094</v>
      </c>
      <c r="K498" s="10">
        <f>CHOOSE(CONTROL!$C$42, 14.5472, 14.5472) * CHOOSE(CONTROL!$C$21, $C$9, 100%, $E$9)</f>
        <v>14.5472</v>
      </c>
      <c r="L498" s="10">
        <f>CHOOSE(CONTROL!$C$42, 15.644, 15.644) * CHOOSE(CONTROL!$C$21, $C$9, 100%, $E$9)</f>
        <v>15.644</v>
      </c>
      <c r="M498" s="10">
        <f>CHOOSE(CONTROL!$C$42, 14.6358, 14.6358) * CHOOSE(CONTROL!$C$21, $C$9, 100%, $E$9)</f>
        <v>14.6358</v>
      </c>
      <c r="N498" s="10">
        <f>CHOOSE(CONTROL!$C$42, 14.6517, 14.6517) * CHOOSE(CONTROL!$C$21, $C$9, 100%, $E$9)</f>
        <v>14.6517</v>
      </c>
      <c r="O498" s="10">
        <f>CHOOSE(CONTROL!$C$42, 14.88, 14.88) * CHOOSE(CONTROL!$C$21, $C$9, 100%, $E$9)</f>
        <v>14.88</v>
      </c>
      <c r="P498" s="10">
        <f>CHOOSE(CONTROL!$C$42, 14.6771, 14.6771) * CHOOSE(CONTROL!$C$21, $C$9, 100%, $E$9)</f>
        <v>14.677099999999999</v>
      </c>
      <c r="Q498" s="10">
        <f>CHOOSE(CONTROL!$C$42, 15.4753, 15.4753) * CHOOSE(CONTROL!$C$21, $C$9, 100%, $E$9)</f>
        <v>15.475300000000001</v>
      </c>
      <c r="R498" s="10">
        <f>CHOOSE(CONTROL!$C$42, 16.101, 16.101) * CHOOSE(CONTROL!$C$21, $C$9, 100%, $E$9)</f>
        <v>16.100999999999999</v>
      </c>
      <c r="S498" s="10">
        <f>CHOOSE(CONTROL!$C$42, 14.4156, 14.4156) * CHOOSE(CONTROL!$C$21, $C$9, 100%, $E$9)</f>
        <v>14.4156</v>
      </c>
      <c r="T49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498" s="38">
        <f>(1000*CHOOSE(CONTROL!$C$42, 695, 695)*CHOOSE(CONTROL!$C$42, 0.5599, 0.5599)*CHOOSE(CONTROL!$C$42, 30, 30))/1000000</f>
        <v>11.673914999999997</v>
      </c>
      <c r="V498" s="38">
        <f>(1000*CHOOSE(CONTROL!$C$42, 500, 500)*CHOOSE(CONTROL!$C$42, 0.275, 0.275)*CHOOSE(CONTROL!$C$42, 30, 30))/1000000</f>
        <v>4.125</v>
      </c>
      <c r="W498" s="38">
        <f>(1000*CHOOSE(CONTROL!$C$42, 0.1146, 0.1146)*CHOOSE(CONTROL!$C$42, 121.5, 121.5)*CHOOSE(CONTROL!$C$42, 30, 30))/1000000</f>
        <v>0.417717</v>
      </c>
      <c r="X498" s="38">
        <f>(30*0.1790888*245000/1000000)+(30*0.2374*100000/1000000)</f>
        <v>2.0285026799999999</v>
      </c>
      <c r="Y498" s="38">
        <f>(1000*600*CHOOSE(CONTROL!$C$42, 1.0653, 1.0653)*CHOOSE(CONTROL!$C$42, 30, 30))/1000000</f>
        <v>19.1754</v>
      </c>
      <c r="Z498" s="38"/>
      <c r="AA498" s="10"/>
      <c r="AB498" s="39"/>
      <c r="AC498" s="33">
        <f>(B498*194.205+C498*267.466+D498*133.845+E498*53.484+F498*40+G498*185+H498*0+I498*100+J498*300)/(194.205+267.466+133.845+53.484+0+40+185+100+300)</f>
        <v>14.875684887519624</v>
      </c>
      <c r="AD498" s="27">
        <f>(M498*'RAP TEMPLATE-GAS AVAILABILITY'!O497+N498*'RAP TEMPLATE-GAS AVAILABILITY'!P497+O498*'RAP TEMPLATE-GAS AVAILABILITY'!Q497+P498*'RAP TEMPLATE-GAS AVAILABILITY'!R497)/('RAP TEMPLATE-GAS AVAILABILITY'!O497+'RAP TEMPLATE-GAS AVAILABILITY'!P497+'RAP TEMPLATE-GAS AVAILABILITY'!Q497+'RAP TEMPLATE-GAS AVAILABILITY'!R497)</f>
        <v>14.71391942446043</v>
      </c>
    </row>
    <row r="499" spans="1:30" ht="15.75">
      <c r="A499" s="14">
        <v>56461</v>
      </c>
      <c r="B499" s="10">
        <f>CHOOSE(CONTROL!$C$42, 14.5869, 14.5869) * CHOOSE(CONTROL!$C$21, $C$9, 100%, $E$9)</f>
        <v>14.5869</v>
      </c>
      <c r="C499" s="10">
        <f>CHOOSE(CONTROL!$C$42, 14.5949, 14.5949) * CHOOSE(CONTROL!$C$21, $C$9, 100%, $E$9)</f>
        <v>14.594900000000001</v>
      </c>
      <c r="D499" s="10">
        <f>CHOOSE(CONTROL!$C$42, 14.7519, 14.7519) * CHOOSE(CONTROL!$C$21, $C$9, 100%, $E$9)</f>
        <v>14.751899999999999</v>
      </c>
      <c r="E499" s="10">
        <f>CHOOSE(CONTROL!$C$42, 14.7831, 14.7831) * CHOOSE(CONTROL!$C$21, $C$9, 100%, $E$9)</f>
        <v>14.783099999999999</v>
      </c>
      <c r="F499" s="10">
        <f>CHOOSE(CONTROL!$C$42, 14.5315, 14.5315)*CHOOSE(CONTROL!$C$21, $C$9, 100%, $E$9)</f>
        <v>14.531499999999999</v>
      </c>
      <c r="G499" s="10">
        <f>CHOOSE(CONTROL!$C$42, 14.5478, 14.5478)*CHOOSE(CONTROL!$C$21, $C$9, 100%, $E$9)</f>
        <v>14.547800000000001</v>
      </c>
      <c r="H499" s="10">
        <f>CHOOSE(CONTROL!$C$42, 14.7714, 14.7714) * CHOOSE(CONTROL!$C$21, $C$9, 100%, $E$9)</f>
        <v>14.7714</v>
      </c>
      <c r="I499" s="10">
        <f>CHOOSE(CONTROL!$C$42, 14.5656, 14.5656)* CHOOSE(CONTROL!$C$21, $C$9, 100%, $E$9)</f>
        <v>14.5656</v>
      </c>
      <c r="J499" s="10">
        <f>CHOOSE(CONTROL!$C$42, 14.5241, 14.5241)* CHOOSE(CONTROL!$C$21, $C$9, 100%, $E$9)</f>
        <v>14.524100000000001</v>
      </c>
      <c r="K499" s="10">
        <f>CHOOSE(CONTROL!$C$42, 14.2713, 14.2713) * CHOOSE(CONTROL!$C$21, $C$9, 100%, $E$9)</f>
        <v>14.2713</v>
      </c>
      <c r="L499" s="10">
        <f>CHOOSE(CONTROL!$C$42, 15.3584, 15.3584) * CHOOSE(CONTROL!$C$21, $C$9, 100%, $E$9)</f>
        <v>15.3584</v>
      </c>
      <c r="M499" s="10">
        <f>CHOOSE(CONTROL!$C$42, 14.3545, 14.3545) * CHOOSE(CONTROL!$C$21, $C$9, 100%, $E$9)</f>
        <v>14.3545</v>
      </c>
      <c r="N499" s="10">
        <f>CHOOSE(CONTROL!$C$42, 14.3705, 14.3705) * CHOOSE(CONTROL!$C$21, $C$9, 100%, $E$9)</f>
        <v>14.3705</v>
      </c>
      <c r="O499" s="10">
        <f>CHOOSE(CONTROL!$C$42, 14.5984, 14.5984) * CHOOSE(CONTROL!$C$21, $C$9, 100%, $E$9)</f>
        <v>14.5984</v>
      </c>
      <c r="P499" s="10">
        <f>CHOOSE(CONTROL!$C$42, 14.3955, 14.3955) * CHOOSE(CONTROL!$C$21, $C$9, 100%, $E$9)</f>
        <v>14.3955</v>
      </c>
      <c r="Q499" s="10">
        <f>CHOOSE(CONTROL!$C$42, 15.1937, 15.1937) * CHOOSE(CONTROL!$C$21, $C$9, 100%, $E$9)</f>
        <v>15.1937</v>
      </c>
      <c r="R499" s="10">
        <f>CHOOSE(CONTROL!$C$42, 15.8187, 15.8187) * CHOOSE(CONTROL!$C$21, $C$9, 100%, $E$9)</f>
        <v>15.8187</v>
      </c>
      <c r="S499" s="10">
        <f>CHOOSE(CONTROL!$C$42, 14.139, 14.139) * CHOOSE(CONTROL!$C$21, $C$9, 100%, $E$9)</f>
        <v>14.138999999999999</v>
      </c>
      <c r="T49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499" s="38">
        <f>(1000*CHOOSE(CONTROL!$C$42, 695, 695)*CHOOSE(CONTROL!$C$42, 0.5599, 0.5599)*CHOOSE(CONTROL!$C$42, 31, 31))/1000000</f>
        <v>12.063045499999998</v>
      </c>
      <c r="V499" s="38">
        <f>(1000*CHOOSE(CONTROL!$C$42, 500, 500)*CHOOSE(CONTROL!$C$42, 0.275, 0.275)*CHOOSE(CONTROL!$C$42, 31, 31))/1000000</f>
        <v>4.2625000000000002</v>
      </c>
      <c r="W499" s="38">
        <f>(1000*CHOOSE(CONTROL!$C$42, 0.1146, 0.1146)*CHOOSE(CONTROL!$C$42, 121.5, 121.5)*CHOOSE(CONTROL!$C$42, 31, 31))/1000000</f>
        <v>0.43164089999999994</v>
      </c>
      <c r="X499" s="38">
        <f>(31*0.1790888*245000/1000000)+(31*0.2374*100000/1000000)</f>
        <v>2.0961194359999999</v>
      </c>
      <c r="Y499" s="38">
        <f>(1000*600*CHOOSE(CONTROL!$C$42, 1.0653, 1.0653)*CHOOSE(CONTROL!$C$42, 31, 31))/1000000</f>
        <v>19.814579999999999</v>
      </c>
      <c r="Z499" s="38"/>
      <c r="AA499" s="10"/>
      <c r="AB499" s="39"/>
      <c r="AC499" s="33">
        <f>(B499*194.205+C499*267.466+D499*133.845+E499*53.484+F499*40+G499*185+H499*0+I499*100+J499*300)/(194.205+267.466+133.845+53.484+0+40+185+100+300)</f>
        <v>14.590273794191525</v>
      </c>
      <c r="AD499" s="27">
        <f>(M499*'RAP TEMPLATE-GAS AVAILABILITY'!O498+N499*'RAP TEMPLATE-GAS AVAILABILITY'!P498+O499*'RAP TEMPLATE-GAS AVAILABILITY'!Q498+P499*'RAP TEMPLATE-GAS AVAILABILITY'!R498)/('RAP TEMPLATE-GAS AVAILABILITY'!O498+'RAP TEMPLATE-GAS AVAILABILITY'!P498+'RAP TEMPLATE-GAS AVAILABILITY'!Q498+'RAP TEMPLATE-GAS AVAILABILITY'!R498)</f>
        <v>14.432515107913666</v>
      </c>
    </row>
    <row r="500" spans="1:30" ht="15.75">
      <c r="A500" s="14">
        <v>56492</v>
      </c>
      <c r="B500" s="10">
        <f>CHOOSE(CONTROL!$C$42, 13.8657, 13.8657) * CHOOSE(CONTROL!$C$21, $C$9, 100%, $E$9)</f>
        <v>13.8657</v>
      </c>
      <c r="C500" s="10">
        <f>CHOOSE(CONTROL!$C$42, 13.8737, 13.8737) * CHOOSE(CONTROL!$C$21, $C$9, 100%, $E$9)</f>
        <v>13.873699999999999</v>
      </c>
      <c r="D500" s="10">
        <f>CHOOSE(CONTROL!$C$42, 14.0307, 14.0307) * CHOOSE(CONTROL!$C$21, $C$9, 100%, $E$9)</f>
        <v>14.0307</v>
      </c>
      <c r="E500" s="10">
        <f>CHOOSE(CONTROL!$C$42, 14.0619, 14.0619) * CHOOSE(CONTROL!$C$21, $C$9, 100%, $E$9)</f>
        <v>14.0619</v>
      </c>
      <c r="F500" s="10">
        <f>CHOOSE(CONTROL!$C$42, 13.8102, 13.8102)*CHOOSE(CONTROL!$C$21, $C$9, 100%, $E$9)</f>
        <v>13.8102</v>
      </c>
      <c r="G500" s="10">
        <f>CHOOSE(CONTROL!$C$42, 13.8265, 13.8265)*CHOOSE(CONTROL!$C$21, $C$9, 100%, $E$9)</f>
        <v>13.826499999999999</v>
      </c>
      <c r="H500" s="10">
        <f>CHOOSE(CONTROL!$C$42, 14.0503, 14.0503) * CHOOSE(CONTROL!$C$21, $C$9, 100%, $E$9)</f>
        <v>14.0503</v>
      </c>
      <c r="I500" s="10">
        <f>CHOOSE(CONTROL!$C$42, 13.8444, 13.8444)* CHOOSE(CONTROL!$C$21, $C$9, 100%, $E$9)</f>
        <v>13.8444</v>
      </c>
      <c r="J500" s="10">
        <f>CHOOSE(CONTROL!$C$42, 13.8028, 13.8028)* CHOOSE(CONTROL!$C$21, $C$9, 100%, $E$9)</f>
        <v>13.8028</v>
      </c>
      <c r="K500" s="10">
        <f>CHOOSE(CONTROL!$C$42, 13.5724, 13.5724) * CHOOSE(CONTROL!$C$21, $C$9, 100%, $E$9)</f>
        <v>13.5724</v>
      </c>
      <c r="L500" s="10">
        <f>CHOOSE(CONTROL!$C$42, 14.6373, 14.6373) * CHOOSE(CONTROL!$C$21, $C$9, 100%, $E$9)</f>
        <v>14.6373</v>
      </c>
      <c r="M500" s="10">
        <f>CHOOSE(CONTROL!$C$42, 13.6433, 13.6433) * CHOOSE(CONTROL!$C$21, $C$9, 100%, $E$9)</f>
        <v>13.6433</v>
      </c>
      <c r="N500" s="10">
        <f>CHOOSE(CONTROL!$C$42, 13.6593, 13.6593) * CHOOSE(CONTROL!$C$21, $C$9, 100%, $E$9)</f>
        <v>13.6593</v>
      </c>
      <c r="O500" s="10">
        <f>CHOOSE(CONTROL!$C$42, 13.8873, 13.8873) * CHOOSE(CONTROL!$C$21, $C$9, 100%, $E$9)</f>
        <v>13.8873</v>
      </c>
      <c r="P500" s="10">
        <f>CHOOSE(CONTROL!$C$42, 13.6844, 13.6844) * CHOOSE(CONTROL!$C$21, $C$9, 100%, $E$9)</f>
        <v>13.6844</v>
      </c>
      <c r="Q500" s="10">
        <f>CHOOSE(CONTROL!$C$42, 14.4826, 14.4826) * CHOOSE(CONTROL!$C$21, $C$9, 100%, $E$9)</f>
        <v>14.4826</v>
      </c>
      <c r="R500" s="10">
        <f>CHOOSE(CONTROL!$C$42, 15.1058, 15.1058) * CHOOSE(CONTROL!$C$21, $C$9, 100%, $E$9)</f>
        <v>15.1058</v>
      </c>
      <c r="S500" s="10">
        <f>CHOOSE(CONTROL!$C$42, 13.4407, 13.4407) * CHOOSE(CONTROL!$C$21, $C$9, 100%, $E$9)</f>
        <v>13.4407</v>
      </c>
      <c r="T50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00" s="38">
        <f>(1000*CHOOSE(CONTROL!$C$42, 695, 695)*CHOOSE(CONTROL!$C$42, 0.5599, 0.5599)*CHOOSE(CONTROL!$C$42, 31, 31))/1000000</f>
        <v>12.063045499999998</v>
      </c>
      <c r="V500" s="38">
        <f>(1000*CHOOSE(CONTROL!$C$42, 500, 500)*CHOOSE(CONTROL!$C$42, 0.275, 0.275)*CHOOSE(CONTROL!$C$42, 31, 31))/1000000</f>
        <v>4.2625000000000002</v>
      </c>
      <c r="W500" s="38">
        <f>(1000*CHOOSE(CONTROL!$C$42, 0.1146, 0.1146)*CHOOSE(CONTROL!$C$42, 121.5, 121.5)*CHOOSE(CONTROL!$C$42, 31, 31))/1000000</f>
        <v>0.43164089999999994</v>
      </c>
      <c r="X500" s="38">
        <f>(31*0.1790888*245000/1000000)+(31*0.2374*100000/1000000)</f>
        <v>2.0961194359999999</v>
      </c>
      <c r="Y500" s="38">
        <f>(1000*600*CHOOSE(CONTROL!$C$42, 1.0653, 1.0653)*CHOOSE(CONTROL!$C$42, 31, 31))/1000000</f>
        <v>19.814579999999999</v>
      </c>
      <c r="Z500" s="38"/>
      <c r="AA500" s="10"/>
      <c r="AB500" s="39"/>
      <c r="AC500" s="33">
        <f>(B500*194.205+C500*267.466+D500*133.845+E500*53.484+F500*40+G500*185+H500*0+I500*100+J500*300)/(194.205+267.466+133.845+53.484+0+40+185+100+300)</f>
        <v>13.869032585400316</v>
      </c>
      <c r="AD500" s="27">
        <f>(M500*'RAP TEMPLATE-GAS AVAILABILITY'!O499+N500*'RAP TEMPLATE-GAS AVAILABILITY'!P499+O500*'RAP TEMPLATE-GAS AVAILABILITY'!Q499+P500*'RAP TEMPLATE-GAS AVAILABILITY'!R499)/('RAP TEMPLATE-GAS AVAILABILITY'!O499+'RAP TEMPLATE-GAS AVAILABILITY'!P499+'RAP TEMPLATE-GAS AVAILABILITY'!Q499+'RAP TEMPLATE-GAS AVAILABILITY'!R499)</f>
        <v>13.721357553956834</v>
      </c>
    </row>
    <row r="501" spans="1:30" ht="15.75">
      <c r="A501" s="14">
        <v>56522</v>
      </c>
      <c r="B501" s="10">
        <f>CHOOSE(CONTROL!$C$42, 12.9845, 12.9845) * CHOOSE(CONTROL!$C$21, $C$9, 100%, $E$9)</f>
        <v>12.984500000000001</v>
      </c>
      <c r="C501" s="10">
        <f>CHOOSE(CONTROL!$C$42, 12.9925, 12.9925) * CHOOSE(CONTROL!$C$21, $C$9, 100%, $E$9)</f>
        <v>12.9925</v>
      </c>
      <c r="D501" s="10">
        <f>CHOOSE(CONTROL!$C$42, 13.1495, 13.1495) * CHOOSE(CONTROL!$C$21, $C$9, 100%, $E$9)</f>
        <v>13.1495</v>
      </c>
      <c r="E501" s="10">
        <f>CHOOSE(CONTROL!$C$42, 13.1808, 13.1808) * CHOOSE(CONTROL!$C$21, $C$9, 100%, $E$9)</f>
        <v>13.1808</v>
      </c>
      <c r="F501" s="10">
        <f>CHOOSE(CONTROL!$C$42, 12.9289, 12.9289)*CHOOSE(CONTROL!$C$21, $C$9, 100%, $E$9)</f>
        <v>12.928900000000001</v>
      </c>
      <c r="G501" s="10">
        <f>CHOOSE(CONTROL!$C$42, 12.9451, 12.9451)*CHOOSE(CONTROL!$C$21, $C$9, 100%, $E$9)</f>
        <v>12.9451</v>
      </c>
      <c r="H501" s="10">
        <f>CHOOSE(CONTROL!$C$42, 13.1691, 13.1691) * CHOOSE(CONTROL!$C$21, $C$9, 100%, $E$9)</f>
        <v>13.1691</v>
      </c>
      <c r="I501" s="10">
        <f>CHOOSE(CONTROL!$C$42, 12.9633, 12.9633)* CHOOSE(CONTROL!$C$21, $C$9, 100%, $E$9)</f>
        <v>12.9633</v>
      </c>
      <c r="J501" s="10">
        <f>CHOOSE(CONTROL!$C$42, 12.9215, 12.9215)* CHOOSE(CONTROL!$C$21, $C$9, 100%, $E$9)</f>
        <v>12.9215</v>
      </c>
      <c r="K501" s="10">
        <f>CHOOSE(CONTROL!$C$42, 12.7183, 12.7183) * CHOOSE(CONTROL!$C$21, $C$9, 100%, $E$9)</f>
        <v>12.718299999999999</v>
      </c>
      <c r="L501" s="10">
        <f>CHOOSE(CONTROL!$C$42, 13.7561, 13.7561) * CHOOSE(CONTROL!$C$21, $C$9, 100%, $E$9)</f>
        <v>13.7561</v>
      </c>
      <c r="M501" s="10">
        <f>CHOOSE(CONTROL!$C$42, 12.7742, 12.7742) * CHOOSE(CONTROL!$C$21, $C$9, 100%, $E$9)</f>
        <v>12.7742</v>
      </c>
      <c r="N501" s="10">
        <f>CHOOSE(CONTROL!$C$42, 12.7902, 12.7902) * CHOOSE(CONTROL!$C$21, $C$9, 100%, $E$9)</f>
        <v>12.7902</v>
      </c>
      <c r="O501" s="10">
        <f>CHOOSE(CONTROL!$C$42, 13.0184, 13.0184) * CHOOSE(CONTROL!$C$21, $C$9, 100%, $E$9)</f>
        <v>13.0184</v>
      </c>
      <c r="P501" s="10">
        <f>CHOOSE(CONTROL!$C$42, 12.8155, 12.8155) * CHOOSE(CONTROL!$C$21, $C$9, 100%, $E$9)</f>
        <v>12.8155</v>
      </c>
      <c r="Q501" s="10">
        <f>CHOOSE(CONTROL!$C$42, 13.6137, 13.6137) * CHOOSE(CONTROL!$C$21, $C$9, 100%, $E$9)</f>
        <v>13.6137</v>
      </c>
      <c r="R501" s="10">
        <f>CHOOSE(CONTROL!$C$42, 14.2347, 14.2347) * CHOOSE(CONTROL!$C$21, $C$9, 100%, $E$9)</f>
        <v>14.2347</v>
      </c>
      <c r="S501" s="10">
        <f>CHOOSE(CONTROL!$C$42, 12.5875, 12.5875) * CHOOSE(CONTROL!$C$21, $C$9, 100%, $E$9)</f>
        <v>12.5875</v>
      </c>
      <c r="T50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01" s="38">
        <f>(1000*CHOOSE(CONTROL!$C$42, 695, 695)*CHOOSE(CONTROL!$C$42, 0.5599, 0.5599)*CHOOSE(CONTROL!$C$42, 30, 30))/1000000</f>
        <v>11.673914999999997</v>
      </c>
      <c r="V501" s="38">
        <f>(1000*CHOOSE(CONTROL!$C$42, 500, 500)*CHOOSE(CONTROL!$C$42, 0.275, 0.275)*CHOOSE(CONTROL!$C$42, 30, 30))/1000000</f>
        <v>4.125</v>
      </c>
      <c r="W501" s="38">
        <f>(1000*CHOOSE(CONTROL!$C$42, 0.1146, 0.1146)*CHOOSE(CONTROL!$C$42, 121.5, 121.5)*CHOOSE(CONTROL!$C$42, 30, 30))/1000000</f>
        <v>0.417717</v>
      </c>
      <c r="X501" s="38">
        <f>(30*0.1790888*245000/1000000)+(30*0.2374*100000/1000000)</f>
        <v>2.0285026799999999</v>
      </c>
      <c r="Y501" s="38">
        <f>(1000*600*CHOOSE(CONTROL!$C$42, 1.0653, 1.0653)*CHOOSE(CONTROL!$C$42, 30, 30))/1000000</f>
        <v>19.1754</v>
      </c>
      <c r="Z501" s="38"/>
      <c r="AA501" s="10"/>
      <c r="AB501" s="39"/>
      <c r="AC501" s="33">
        <f>(B501*194.205+C501*267.466+D501*133.845+E501*53.484+F501*40+G501*185+H501*0+I501*100+J501*300)/(194.205+267.466+133.845+53.484+0+40+185+100+300)</f>
        <v>12.987788902825745</v>
      </c>
      <c r="AD501" s="27">
        <f>(M501*'RAP TEMPLATE-GAS AVAILABILITY'!O500+N501*'RAP TEMPLATE-GAS AVAILABILITY'!P500+O501*'RAP TEMPLATE-GAS AVAILABILITY'!Q500+P501*'RAP TEMPLATE-GAS AVAILABILITY'!R500)/('RAP TEMPLATE-GAS AVAILABILITY'!O500+'RAP TEMPLATE-GAS AVAILABILITY'!P500+'RAP TEMPLATE-GAS AVAILABILITY'!Q500+'RAP TEMPLATE-GAS AVAILABILITY'!R500)</f>
        <v>12.852342446043163</v>
      </c>
    </row>
    <row r="502" spans="1:30" ht="15.75">
      <c r="A502" s="14">
        <v>56553</v>
      </c>
      <c r="B502" s="10">
        <f>CHOOSE(CONTROL!$C$42, 12.7184, 12.7184) * CHOOSE(CONTROL!$C$21, $C$9, 100%, $E$9)</f>
        <v>12.718400000000001</v>
      </c>
      <c r="C502" s="10">
        <f>CHOOSE(CONTROL!$C$42, 12.7237, 12.7237) * CHOOSE(CONTROL!$C$21, $C$9, 100%, $E$9)</f>
        <v>12.723699999999999</v>
      </c>
      <c r="D502" s="10">
        <f>CHOOSE(CONTROL!$C$42, 12.8857, 12.8857) * CHOOSE(CONTROL!$C$21, $C$9, 100%, $E$9)</f>
        <v>12.8857</v>
      </c>
      <c r="E502" s="10">
        <f>CHOOSE(CONTROL!$C$42, 12.9146, 12.9146) * CHOOSE(CONTROL!$C$21, $C$9, 100%, $E$9)</f>
        <v>12.9146</v>
      </c>
      <c r="F502" s="10">
        <f>CHOOSE(CONTROL!$C$42, 12.6648, 12.6648)*CHOOSE(CONTROL!$C$21, $C$9, 100%, $E$9)</f>
        <v>12.6648</v>
      </c>
      <c r="G502" s="10">
        <f>CHOOSE(CONTROL!$C$42, 12.6806, 12.6806)*CHOOSE(CONTROL!$C$21, $C$9, 100%, $E$9)</f>
        <v>12.6806</v>
      </c>
      <c r="H502" s="10">
        <f>CHOOSE(CONTROL!$C$42, 12.9047, 12.9047) * CHOOSE(CONTROL!$C$21, $C$9, 100%, $E$9)</f>
        <v>12.9047</v>
      </c>
      <c r="I502" s="10">
        <f>CHOOSE(CONTROL!$C$42, 12.6989, 12.6989)* CHOOSE(CONTROL!$C$21, $C$9, 100%, $E$9)</f>
        <v>12.6989</v>
      </c>
      <c r="J502" s="10">
        <f>CHOOSE(CONTROL!$C$42, 12.6574, 12.6574)* CHOOSE(CONTROL!$C$21, $C$9, 100%, $E$9)</f>
        <v>12.657400000000001</v>
      </c>
      <c r="K502" s="10">
        <f>CHOOSE(CONTROL!$C$42, 12.4628, 12.4628) * CHOOSE(CONTROL!$C$21, $C$9, 100%, $E$9)</f>
        <v>12.4628</v>
      </c>
      <c r="L502" s="10">
        <f>CHOOSE(CONTROL!$C$42, 13.4917, 13.4917) * CHOOSE(CONTROL!$C$21, $C$9, 100%, $E$9)</f>
        <v>13.4917</v>
      </c>
      <c r="M502" s="10">
        <f>CHOOSE(CONTROL!$C$42, 12.5138, 12.5138) * CHOOSE(CONTROL!$C$21, $C$9, 100%, $E$9)</f>
        <v>12.5138</v>
      </c>
      <c r="N502" s="10">
        <f>CHOOSE(CONTROL!$C$42, 12.5294, 12.5294) * CHOOSE(CONTROL!$C$21, $C$9, 100%, $E$9)</f>
        <v>12.529400000000001</v>
      </c>
      <c r="O502" s="10">
        <f>CHOOSE(CONTROL!$C$42, 12.7577, 12.7577) * CHOOSE(CONTROL!$C$21, $C$9, 100%, $E$9)</f>
        <v>12.7577</v>
      </c>
      <c r="P502" s="10">
        <f>CHOOSE(CONTROL!$C$42, 12.5548, 12.5548) * CHOOSE(CONTROL!$C$21, $C$9, 100%, $E$9)</f>
        <v>12.5548</v>
      </c>
      <c r="Q502" s="10">
        <f>CHOOSE(CONTROL!$C$42, 13.353, 13.353) * CHOOSE(CONTROL!$C$21, $C$9, 100%, $E$9)</f>
        <v>13.353</v>
      </c>
      <c r="R502" s="10">
        <f>CHOOSE(CONTROL!$C$42, 13.9734, 13.9734) * CHOOSE(CONTROL!$C$21, $C$9, 100%, $E$9)</f>
        <v>13.9734</v>
      </c>
      <c r="S502" s="10">
        <f>CHOOSE(CONTROL!$C$42, 12.3315, 12.3315) * CHOOSE(CONTROL!$C$21, $C$9, 100%, $E$9)</f>
        <v>12.3315</v>
      </c>
      <c r="T50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02" s="38">
        <f>(1000*CHOOSE(CONTROL!$C$42, 695, 695)*CHOOSE(CONTROL!$C$42, 0.5599, 0.5599)*CHOOSE(CONTROL!$C$42, 31, 31))/1000000</f>
        <v>12.063045499999998</v>
      </c>
      <c r="V502" s="38">
        <f>(1000*CHOOSE(CONTROL!$C$42, 500, 500)*CHOOSE(CONTROL!$C$42, 0.275, 0.275)*CHOOSE(CONTROL!$C$42, 31, 31))/1000000</f>
        <v>4.2625000000000002</v>
      </c>
      <c r="W502" s="38">
        <f>(1000*CHOOSE(CONTROL!$C$42, 0.1146, 0.1146)*CHOOSE(CONTROL!$C$42, 121.5, 121.5)*CHOOSE(CONTROL!$C$42, 31, 31))/1000000</f>
        <v>0.43164089999999994</v>
      </c>
      <c r="X502" s="38">
        <f>(31*0.1790888*245000/1000000)+(31*0.2374*100000/1000000)</f>
        <v>2.0961194359999999</v>
      </c>
      <c r="Y502" s="38">
        <f>(1000*600*CHOOSE(CONTROL!$C$42, 1.0653, 1.0653)*CHOOSE(CONTROL!$C$42, 31, 31))/1000000</f>
        <v>19.814579999999999</v>
      </c>
      <c r="Z502" s="38"/>
      <c r="AA502" s="10"/>
      <c r="AB502" s="39"/>
      <c r="AC502" s="33">
        <f>(B502*131.881+C502*277.167+D502*79.08+E502*125.872+F502*40+G502*185+H502*0+I502*100+J502*300)/(131.881+277.167+79.08+125.872+0+40+185+100+300)</f>
        <v>12.726477607344634</v>
      </c>
      <c r="AD502" s="27">
        <f>(M502*'RAP TEMPLATE-GAS AVAILABILITY'!O501+N502*'RAP TEMPLATE-GAS AVAILABILITY'!P501+O502*'RAP TEMPLATE-GAS AVAILABILITY'!Q501+P502*'RAP TEMPLATE-GAS AVAILABILITY'!R501)/('RAP TEMPLATE-GAS AVAILABILITY'!O501+'RAP TEMPLATE-GAS AVAILABILITY'!P501+'RAP TEMPLATE-GAS AVAILABILITY'!Q501+'RAP TEMPLATE-GAS AVAILABILITY'!R501)</f>
        <v>12.591723021582734</v>
      </c>
    </row>
    <row r="503" spans="1:30" ht="15.75">
      <c r="A503" s="14">
        <v>56583</v>
      </c>
      <c r="B503" s="10">
        <f>CHOOSE(CONTROL!$C$42, 13.0535, 13.0535) * CHOOSE(CONTROL!$C$21, $C$9, 100%, $E$9)</f>
        <v>13.0535</v>
      </c>
      <c r="C503" s="10">
        <f>CHOOSE(CONTROL!$C$42, 13.0586, 13.0586) * CHOOSE(CONTROL!$C$21, $C$9, 100%, $E$9)</f>
        <v>13.0586</v>
      </c>
      <c r="D503" s="10">
        <f>CHOOSE(CONTROL!$C$42, 13.0833, 13.0833) * CHOOSE(CONTROL!$C$21, $C$9, 100%, $E$9)</f>
        <v>13.083299999999999</v>
      </c>
      <c r="E503" s="10">
        <f>CHOOSE(CONTROL!$C$42, 13.1171, 13.1171) * CHOOSE(CONTROL!$C$21, $C$9, 100%, $E$9)</f>
        <v>13.117100000000001</v>
      </c>
      <c r="F503" s="10">
        <f>CHOOSE(CONTROL!$C$42, 13.0218, 13.0218)*CHOOSE(CONTROL!$C$21, $C$9, 100%, $E$9)</f>
        <v>13.021800000000001</v>
      </c>
      <c r="G503" s="10">
        <f>CHOOSE(CONTROL!$C$42, 13.0378, 13.0378)*CHOOSE(CONTROL!$C$21, $C$9, 100%, $E$9)</f>
        <v>13.037800000000001</v>
      </c>
      <c r="H503" s="10">
        <f>CHOOSE(CONTROL!$C$42, 13.1059, 13.1059) * CHOOSE(CONTROL!$C$21, $C$9, 100%, $E$9)</f>
        <v>13.1059</v>
      </c>
      <c r="I503" s="10">
        <f>CHOOSE(CONTROL!$C$42, 13.0685, 13.0685)* CHOOSE(CONTROL!$C$21, $C$9, 100%, $E$9)</f>
        <v>13.0685</v>
      </c>
      <c r="J503" s="10">
        <f>CHOOSE(CONTROL!$C$42, 13.0144, 13.0144)* CHOOSE(CONTROL!$C$21, $C$9, 100%, $E$9)</f>
        <v>13.0144</v>
      </c>
      <c r="K503" s="10">
        <f>CHOOSE(CONTROL!$C$42, 12.8231, 12.8231) * CHOOSE(CONTROL!$C$21, $C$9, 100%, $E$9)</f>
        <v>12.8231</v>
      </c>
      <c r="L503" s="10">
        <f>CHOOSE(CONTROL!$C$42, 13.6929, 13.6929) * CHOOSE(CONTROL!$C$21, $C$9, 100%, $E$9)</f>
        <v>13.6929</v>
      </c>
      <c r="M503" s="10">
        <f>CHOOSE(CONTROL!$C$42, 12.8659, 12.8659) * CHOOSE(CONTROL!$C$21, $C$9, 100%, $E$9)</f>
        <v>12.8659</v>
      </c>
      <c r="N503" s="10">
        <f>CHOOSE(CONTROL!$C$42, 12.8816, 12.8816) * CHOOSE(CONTROL!$C$21, $C$9, 100%, $E$9)</f>
        <v>12.881600000000001</v>
      </c>
      <c r="O503" s="10">
        <f>CHOOSE(CONTROL!$C$42, 12.9561, 12.9561) * CHOOSE(CONTROL!$C$21, $C$9, 100%, $E$9)</f>
        <v>12.956099999999999</v>
      </c>
      <c r="P503" s="10">
        <f>CHOOSE(CONTROL!$C$42, 12.9192, 12.9192) * CHOOSE(CONTROL!$C$21, $C$9, 100%, $E$9)</f>
        <v>12.9192</v>
      </c>
      <c r="Q503" s="10">
        <f>CHOOSE(CONTROL!$C$42, 13.5514, 13.5514) * CHOOSE(CONTROL!$C$21, $C$9, 100%, $E$9)</f>
        <v>13.551399999999999</v>
      </c>
      <c r="R503" s="10">
        <f>CHOOSE(CONTROL!$C$42, 14.1723, 14.1723) * CHOOSE(CONTROL!$C$21, $C$9, 100%, $E$9)</f>
        <v>14.1723</v>
      </c>
      <c r="S503" s="10">
        <f>CHOOSE(CONTROL!$C$42, 12.6563, 12.6563) * CHOOSE(CONTROL!$C$21, $C$9, 100%, $E$9)</f>
        <v>12.6563</v>
      </c>
      <c r="T50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03" s="38">
        <f>(1000*CHOOSE(CONTROL!$C$42, 695, 695)*CHOOSE(CONTROL!$C$42, 0.5599, 0.5599)*CHOOSE(CONTROL!$C$42, 30, 30))/1000000</f>
        <v>11.673914999999997</v>
      </c>
      <c r="V503" s="38">
        <f>(1000*CHOOSE(CONTROL!$C$42, 500, 500)*CHOOSE(CONTROL!$C$42, 0.275, 0.275)*CHOOSE(CONTROL!$C$42, 30, 30))/1000000</f>
        <v>4.125</v>
      </c>
      <c r="W503" s="38">
        <f>(1000*CHOOSE(CONTROL!$C$42, 0.1146, 0.1146)*CHOOSE(CONTROL!$C$42, 121.5, 121.5)*CHOOSE(CONTROL!$C$42, 30, 30))/1000000</f>
        <v>0.417717</v>
      </c>
      <c r="X503" s="38">
        <f>(30*0.1790888*100000/1000000)+(30*0.2374*100000/1000000)</f>
        <v>1.2494664</v>
      </c>
      <c r="Y503" s="38">
        <f>(1000*600*CHOOSE(CONTROL!$C$42, 1.0653, 1.0653)*CHOOSE(CONTROL!$C$42, 30, 30))/1000000</f>
        <v>19.1754</v>
      </c>
      <c r="Z503" s="38"/>
      <c r="AA503" s="10"/>
      <c r="AB503" s="39"/>
      <c r="AC503" s="33">
        <f>(B503*122.58+C503*297.941+D503*89.177+E503*40.302+F503*40+G503*160+H503*0+I503*100+J503*300)/(122.58+297.941+89.177+40.302+0+40+160+100+300)</f>
        <v>13.047178418173912</v>
      </c>
      <c r="AD503" s="27">
        <f>(M503*'RAP TEMPLATE-GAS AVAILABILITY'!O502+N503*'RAP TEMPLATE-GAS AVAILABILITY'!P502+O503*'RAP TEMPLATE-GAS AVAILABILITY'!Q502+P503*'RAP TEMPLATE-GAS AVAILABILITY'!R502)/('RAP TEMPLATE-GAS AVAILABILITY'!O502+'RAP TEMPLATE-GAS AVAILABILITY'!P502+'RAP TEMPLATE-GAS AVAILABILITY'!Q502+'RAP TEMPLATE-GAS AVAILABILITY'!R502)</f>
        <v>12.915354676258993</v>
      </c>
    </row>
    <row r="504" spans="1:30" ht="15.75">
      <c r="A504" s="14">
        <v>56614</v>
      </c>
      <c r="B504" s="10">
        <f>CHOOSE(CONTROL!$C$42, 13.9446, 13.9446) * CHOOSE(CONTROL!$C$21, $C$9, 100%, $E$9)</f>
        <v>13.944599999999999</v>
      </c>
      <c r="C504" s="10">
        <f>CHOOSE(CONTROL!$C$42, 13.9497, 13.9497) * CHOOSE(CONTROL!$C$21, $C$9, 100%, $E$9)</f>
        <v>13.9497</v>
      </c>
      <c r="D504" s="10">
        <f>CHOOSE(CONTROL!$C$42, 13.9743, 13.9743) * CHOOSE(CONTROL!$C$21, $C$9, 100%, $E$9)</f>
        <v>13.974299999999999</v>
      </c>
      <c r="E504" s="10">
        <f>CHOOSE(CONTROL!$C$42, 14.0081, 14.0081) * CHOOSE(CONTROL!$C$21, $C$9, 100%, $E$9)</f>
        <v>14.008100000000001</v>
      </c>
      <c r="F504" s="10">
        <f>CHOOSE(CONTROL!$C$42, 13.9148, 13.9148)*CHOOSE(CONTROL!$C$21, $C$9, 100%, $E$9)</f>
        <v>13.9148</v>
      </c>
      <c r="G504" s="10">
        <f>CHOOSE(CONTROL!$C$42, 13.9313, 13.9313)*CHOOSE(CONTROL!$C$21, $C$9, 100%, $E$9)</f>
        <v>13.9313</v>
      </c>
      <c r="H504" s="10">
        <f>CHOOSE(CONTROL!$C$42, 13.997, 13.997) * CHOOSE(CONTROL!$C$21, $C$9, 100%, $E$9)</f>
        <v>13.997</v>
      </c>
      <c r="I504" s="10">
        <f>CHOOSE(CONTROL!$C$42, 13.9595, 13.9595)* CHOOSE(CONTROL!$C$21, $C$9, 100%, $E$9)</f>
        <v>13.9595</v>
      </c>
      <c r="J504" s="10">
        <f>CHOOSE(CONTROL!$C$42, 13.9074, 13.9074)* CHOOSE(CONTROL!$C$21, $C$9, 100%, $E$9)</f>
        <v>13.907400000000001</v>
      </c>
      <c r="K504" s="10">
        <f>CHOOSE(CONTROL!$C$42, 13.6905, 13.6905) * CHOOSE(CONTROL!$C$21, $C$9, 100%, $E$9)</f>
        <v>13.6905</v>
      </c>
      <c r="L504" s="10">
        <f>CHOOSE(CONTROL!$C$42, 14.584, 14.584) * CHOOSE(CONTROL!$C$21, $C$9, 100%, $E$9)</f>
        <v>14.584</v>
      </c>
      <c r="M504" s="10">
        <f>CHOOSE(CONTROL!$C$42, 13.7464, 13.7464) * CHOOSE(CONTROL!$C$21, $C$9, 100%, $E$9)</f>
        <v>13.7464</v>
      </c>
      <c r="N504" s="10">
        <f>CHOOSE(CONTROL!$C$42, 13.7627, 13.7627) * CHOOSE(CONTROL!$C$21, $C$9, 100%, $E$9)</f>
        <v>13.762700000000001</v>
      </c>
      <c r="O504" s="10">
        <f>CHOOSE(CONTROL!$C$42, 13.8348, 13.8348) * CHOOSE(CONTROL!$C$21, $C$9, 100%, $E$9)</f>
        <v>13.8348</v>
      </c>
      <c r="P504" s="10">
        <f>CHOOSE(CONTROL!$C$42, 13.7979, 13.7979) * CHOOSE(CONTROL!$C$21, $C$9, 100%, $E$9)</f>
        <v>13.7979</v>
      </c>
      <c r="Q504" s="10">
        <f>CHOOSE(CONTROL!$C$42, 14.4301, 14.4301) * CHOOSE(CONTROL!$C$21, $C$9, 100%, $E$9)</f>
        <v>14.430099999999999</v>
      </c>
      <c r="R504" s="10">
        <f>CHOOSE(CONTROL!$C$42, 15.0532, 15.0532) * CHOOSE(CONTROL!$C$21, $C$9, 100%, $E$9)</f>
        <v>15.0532</v>
      </c>
      <c r="S504" s="10">
        <f>CHOOSE(CONTROL!$C$42, 13.5192, 13.5192) * CHOOSE(CONTROL!$C$21, $C$9, 100%, $E$9)</f>
        <v>13.5192</v>
      </c>
      <c r="T50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04" s="38">
        <f>(1000*CHOOSE(CONTROL!$C$42, 695, 695)*CHOOSE(CONTROL!$C$42, 0.5599, 0.5599)*CHOOSE(CONTROL!$C$42, 31, 31))/1000000</f>
        <v>12.063045499999998</v>
      </c>
      <c r="V504" s="38">
        <f>(1000*CHOOSE(CONTROL!$C$42, 500, 500)*CHOOSE(CONTROL!$C$42, 0.275, 0.275)*CHOOSE(CONTROL!$C$42, 31, 31))/1000000</f>
        <v>4.2625000000000002</v>
      </c>
      <c r="W504" s="38">
        <f>(1000*CHOOSE(CONTROL!$C$42, 0.1146, 0.1146)*CHOOSE(CONTROL!$C$42, 121.5, 121.5)*CHOOSE(CONTROL!$C$42, 31, 31))/1000000</f>
        <v>0.43164089999999994</v>
      </c>
      <c r="X504" s="38">
        <f>(31*0.1790888*100000/1000000)+(31*0.2374*100000/1000000)</f>
        <v>1.2911152800000001</v>
      </c>
      <c r="Y504" s="38">
        <f>(1000*600*CHOOSE(CONTROL!$C$42, 1.0653, 1.0653)*CHOOSE(CONTROL!$C$42, 31, 31))/1000000</f>
        <v>19.814579999999999</v>
      </c>
      <c r="Z504" s="38"/>
      <c r="AA504" s="10"/>
      <c r="AB504" s="39"/>
      <c r="AC504" s="33">
        <f>(B504*122.58+C504*297.941+D504*89.177+E504*40.302+F504*40+G504*160+H504*0+I504*100+J504*300)/(122.58+297.941+89.177+40.302+0+40+160+100+300)</f>
        <v>13.939154115652174</v>
      </c>
      <c r="AD504" s="27">
        <f>(M504*'RAP TEMPLATE-GAS AVAILABILITY'!O503+N504*'RAP TEMPLATE-GAS AVAILABILITY'!P503+O504*'RAP TEMPLATE-GAS AVAILABILITY'!Q503+P504*'RAP TEMPLATE-GAS AVAILABILITY'!R503)/('RAP TEMPLATE-GAS AVAILABILITY'!O503+'RAP TEMPLATE-GAS AVAILABILITY'!P503+'RAP TEMPLATE-GAS AVAILABILITY'!Q503+'RAP TEMPLATE-GAS AVAILABILITY'!R503)</f>
        <v>13.794814388489209</v>
      </c>
    </row>
    <row r="505" spans="1:30" ht="15.75">
      <c r="A505" s="13">
        <v>56645</v>
      </c>
      <c r="B505" s="10">
        <f>CHOOSE(CONTROL!$C$42, 14.8868, 14.8868) * CHOOSE(CONTROL!$C$21, $C$9, 100%, $E$9)</f>
        <v>14.886799999999999</v>
      </c>
      <c r="C505" s="10">
        <f>CHOOSE(CONTROL!$C$42, 14.8919, 14.8919) * CHOOSE(CONTROL!$C$21, $C$9, 100%, $E$9)</f>
        <v>14.8919</v>
      </c>
      <c r="D505" s="10">
        <f>CHOOSE(CONTROL!$C$42, 14.9244, 14.9244) * CHOOSE(CONTROL!$C$21, $C$9, 100%, $E$9)</f>
        <v>14.9244</v>
      </c>
      <c r="E505" s="10">
        <f>CHOOSE(CONTROL!$C$42, 14.9582, 14.9582) * CHOOSE(CONTROL!$C$21, $C$9, 100%, $E$9)</f>
        <v>14.9582</v>
      </c>
      <c r="F505" s="10">
        <f>CHOOSE(CONTROL!$C$42, 14.871, 14.871)*CHOOSE(CONTROL!$C$21, $C$9, 100%, $E$9)</f>
        <v>14.871</v>
      </c>
      <c r="G505" s="10">
        <f>CHOOSE(CONTROL!$C$42, 14.8891, 14.8891)*CHOOSE(CONTROL!$C$21, $C$9, 100%, $E$9)</f>
        <v>14.889099999999999</v>
      </c>
      <c r="H505" s="10">
        <f>CHOOSE(CONTROL!$C$42, 14.947, 14.947) * CHOOSE(CONTROL!$C$21, $C$9, 100%, $E$9)</f>
        <v>14.946999999999999</v>
      </c>
      <c r="I505" s="10">
        <f>CHOOSE(CONTROL!$C$42, 14.9003, 14.9003)* CHOOSE(CONTROL!$C$21, $C$9, 100%, $E$9)</f>
        <v>14.9003</v>
      </c>
      <c r="J505" s="10">
        <f>CHOOSE(CONTROL!$C$42, 14.8636, 14.8636)* CHOOSE(CONTROL!$C$21, $C$9, 100%, $E$9)</f>
        <v>14.8636</v>
      </c>
      <c r="K505" s="10">
        <f>CHOOSE(CONTROL!$C$42, 14.6158, 14.6158) * CHOOSE(CONTROL!$C$21, $C$9, 100%, $E$9)</f>
        <v>14.6158</v>
      </c>
      <c r="L505" s="10">
        <f>CHOOSE(CONTROL!$C$42, 15.534, 15.534) * CHOOSE(CONTROL!$C$21, $C$9, 100%, $E$9)</f>
        <v>15.534000000000001</v>
      </c>
      <c r="M505" s="10">
        <f>CHOOSE(CONTROL!$C$42, 14.6893, 14.6893) * CHOOSE(CONTROL!$C$21, $C$9, 100%, $E$9)</f>
        <v>14.689299999999999</v>
      </c>
      <c r="N505" s="10">
        <f>CHOOSE(CONTROL!$C$42, 14.7071, 14.7071) * CHOOSE(CONTROL!$C$21, $C$9, 100%, $E$9)</f>
        <v>14.707100000000001</v>
      </c>
      <c r="O505" s="10">
        <f>CHOOSE(CONTROL!$C$42, 14.7715, 14.7715) * CHOOSE(CONTROL!$C$21, $C$9, 100%, $E$9)</f>
        <v>14.7715</v>
      </c>
      <c r="P505" s="10">
        <f>CHOOSE(CONTROL!$C$42, 14.7255, 14.7255) * CHOOSE(CONTROL!$C$21, $C$9, 100%, $E$9)</f>
        <v>14.7255</v>
      </c>
      <c r="Q505" s="10">
        <f>CHOOSE(CONTROL!$C$42, 15.3668, 15.3668) * CHOOSE(CONTROL!$C$21, $C$9, 100%, $E$9)</f>
        <v>15.3668</v>
      </c>
      <c r="R505" s="10">
        <f>CHOOSE(CONTROL!$C$42, 15.9923, 15.9923) * CHOOSE(CONTROL!$C$21, $C$9, 100%, $E$9)</f>
        <v>15.9923</v>
      </c>
      <c r="S505" s="10">
        <f>CHOOSE(CONTROL!$C$42, 14.4316, 14.4316) * CHOOSE(CONTROL!$C$21, $C$9, 100%, $E$9)</f>
        <v>14.4316</v>
      </c>
      <c r="T50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05" s="38">
        <f>(1000*CHOOSE(CONTROL!$C$42, 695, 695)*CHOOSE(CONTROL!$C$42, 0.5599, 0.5599)*CHOOSE(CONTROL!$C$42, 31, 31))/1000000</f>
        <v>12.063045499999998</v>
      </c>
      <c r="V505" s="38">
        <f>(1000*CHOOSE(CONTROL!$C$42, 500, 500)*CHOOSE(CONTROL!$C$42, 0.275, 0.275)*CHOOSE(CONTROL!$C$42, 31, 31))/1000000</f>
        <v>4.2625000000000002</v>
      </c>
      <c r="W505" s="38">
        <f>(1000*CHOOSE(CONTROL!$C$42, 0.1146, 0.1146)*CHOOSE(CONTROL!$C$42, 121.5, 121.5)*CHOOSE(CONTROL!$C$42, 31, 31))/1000000</f>
        <v>0.43164089999999994</v>
      </c>
      <c r="X505" s="38">
        <f>(31*0.1790888*100000/1000000)+(31*0.2374*100000/1000000)</f>
        <v>1.2911152800000001</v>
      </c>
      <c r="Y505" s="38">
        <f>(1000*600*CHOOSE(CONTROL!$C$42, 1.0619, 1.0619)*CHOOSE(CONTROL!$C$42, 31, 31))/1000000</f>
        <v>19.751339999999999</v>
      </c>
      <c r="Z505" s="38"/>
      <c r="AA505" s="10"/>
      <c r="AB505" s="39"/>
      <c r="AC505" s="33">
        <f>(B505*122.58+C505*297.941+D505*89.177+E505*40.302+F505*40+G505*160+H505*0+I505*100+J505*300)/(122.58+297.941+89.177+40.302+0+40+160+100+300)</f>
        <v>14.888431406173913</v>
      </c>
      <c r="AD505" s="27">
        <f>(M505*'RAP TEMPLATE-GAS AVAILABILITY'!O504+N505*'RAP TEMPLATE-GAS AVAILABILITY'!P504+O505*'RAP TEMPLATE-GAS AVAILABILITY'!Q504+P505*'RAP TEMPLATE-GAS AVAILABILITY'!R504)/('RAP TEMPLATE-GAS AVAILABILITY'!O504+'RAP TEMPLATE-GAS AVAILABILITY'!P504+'RAP TEMPLATE-GAS AVAILABILITY'!Q504+'RAP TEMPLATE-GAS AVAILABILITY'!R504)</f>
        <v>14.732789208633092</v>
      </c>
    </row>
    <row r="506" spans="1:30" ht="15.75">
      <c r="A506" s="13">
        <v>56673</v>
      </c>
      <c r="B506" s="10">
        <f>CHOOSE(CONTROL!$C$42, 15.1521, 15.1521) * CHOOSE(CONTROL!$C$21, $C$9, 100%, $E$9)</f>
        <v>15.152100000000001</v>
      </c>
      <c r="C506" s="10">
        <f>CHOOSE(CONTROL!$C$42, 15.1572, 15.1572) * CHOOSE(CONTROL!$C$21, $C$9, 100%, $E$9)</f>
        <v>15.1572</v>
      </c>
      <c r="D506" s="10">
        <f>CHOOSE(CONTROL!$C$42, 15.1897, 15.1897) * CHOOSE(CONTROL!$C$21, $C$9, 100%, $E$9)</f>
        <v>15.1897</v>
      </c>
      <c r="E506" s="10">
        <f>CHOOSE(CONTROL!$C$42, 15.2235, 15.2235) * CHOOSE(CONTROL!$C$21, $C$9, 100%, $E$9)</f>
        <v>15.2235</v>
      </c>
      <c r="F506" s="10">
        <f>CHOOSE(CONTROL!$C$42, 15.1359, 15.1359)*CHOOSE(CONTROL!$C$21, $C$9, 100%, $E$9)</f>
        <v>15.135899999999999</v>
      </c>
      <c r="G506" s="10">
        <f>CHOOSE(CONTROL!$C$42, 15.1538, 15.1538)*CHOOSE(CONTROL!$C$21, $C$9, 100%, $E$9)</f>
        <v>15.1538</v>
      </c>
      <c r="H506" s="10">
        <f>CHOOSE(CONTROL!$C$42, 15.2123, 15.2123) * CHOOSE(CONTROL!$C$21, $C$9, 100%, $E$9)</f>
        <v>15.212300000000001</v>
      </c>
      <c r="I506" s="10">
        <f>CHOOSE(CONTROL!$C$42, 15.1656, 15.1656)* CHOOSE(CONTROL!$C$21, $C$9, 100%, $E$9)</f>
        <v>15.1656</v>
      </c>
      <c r="J506" s="10">
        <f>CHOOSE(CONTROL!$C$42, 15.1285, 15.1285)* CHOOSE(CONTROL!$C$21, $C$9, 100%, $E$9)</f>
        <v>15.128500000000001</v>
      </c>
      <c r="K506" s="10">
        <f>CHOOSE(CONTROL!$C$42, 14.8718, 14.8718) * CHOOSE(CONTROL!$C$21, $C$9, 100%, $E$9)</f>
        <v>14.8718</v>
      </c>
      <c r="L506" s="10">
        <f>CHOOSE(CONTROL!$C$42, 15.7993, 15.7993) * CHOOSE(CONTROL!$C$21, $C$9, 100%, $E$9)</f>
        <v>15.799300000000001</v>
      </c>
      <c r="M506" s="10">
        <f>CHOOSE(CONTROL!$C$42, 14.9504, 14.9504) * CHOOSE(CONTROL!$C$21, $C$9, 100%, $E$9)</f>
        <v>14.9504</v>
      </c>
      <c r="N506" s="10">
        <f>CHOOSE(CONTROL!$C$42, 14.9681, 14.9681) * CHOOSE(CONTROL!$C$21, $C$9, 100%, $E$9)</f>
        <v>14.9681</v>
      </c>
      <c r="O506" s="10">
        <f>CHOOSE(CONTROL!$C$42, 15.0331, 15.0331) * CHOOSE(CONTROL!$C$21, $C$9, 100%, $E$9)</f>
        <v>15.033099999999999</v>
      </c>
      <c r="P506" s="10">
        <f>CHOOSE(CONTROL!$C$42, 14.9871, 14.9871) * CHOOSE(CONTROL!$C$21, $C$9, 100%, $E$9)</f>
        <v>14.9871</v>
      </c>
      <c r="Q506" s="10">
        <f>CHOOSE(CONTROL!$C$42, 15.6284, 15.6284) * CHOOSE(CONTROL!$C$21, $C$9, 100%, $E$9)</f>
        <v>15.628399999999999</v>
      </c>
      <c r="R506" s="10">
        <f>CHOOSE(CONTROL!$C$42, 16.2545, 16.2545) * CHOOSE(CONTROL!$C$21, $C$9, 100%, $E$9)</f>
        <v>16.2545</v>
      </c>
      <c r="S506" s="10">
        <f>CHOOSE(CONTROL!$C$42, 14.6885, 14.6885) * CHOOSE(CONTROL!$C$21, $C$9, 100%, $E$9)</f>
        <v>14.688499999999999</v>
      </c>
      <c r="T50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06" s="38">
        <f>(1000*CHOOSE(CONTROL!$C$42, 695, 695)*CHOOSE(CONTROL!$C$42, 0.5599, 0.5599)*CHOOSE(CONTROL!$C$42, 28, 28))/1000000</f>
        <v>10.895653999999999</v>
      </c>
      <c r="V506" s="38">
        <f>(1000*CHOOSE(CONTROL!$C$42, 500, 500)*CHOOSE(CONTROL!$C$42, 0.275, 0.275)*CHOOSE(CONTROL!$C$42, 28, 28))/1000000</f>
        <v>3.85</v>
      </c>
      <c r="W506" s="38">
        <f>(1000*CHOOSE(CONTROL!$C$42, 0.1146, 0.1146)*CHOOSE(CONTROL!$C$42, 121.5, 121.5)*CHOOSE(CONTROL!$C$42, 28, 28))/1000000</f>
        <v>0.38986920000000003</v>
      </c>
      <c r="X506" s="38">
        <f>(28*0.1790888*100000/1000000)+(28*0.2374*100000/1000000)</f>
        <v>1.16616864</v>
      </c>
      <c r="Y506" s="38">
        <f>(1000*600*CHOOSE(CONTROL!$C$42, 1.0619, 1.0619)*CHOOSE(CONTROL!$C$42, 28, 28))/1000000</f>
        <v>17.839919999999999</v>
      </c>
      <c r="Z506" s="38"/>
      <c r="AA506" s="10"/>
      <c r="AB506" s="39"/>
      <c r="AC506" s="33">
        <f>(B506*122.58+C506*297.941+D506*89.177+E506*40.302+F506*40+G506*160+H506*0+I506*100+J506*300)/(122.58+297.941+89.177+40.302+0+40+160+100+300)</f>
        <v>15.153529667043477</v>
      </c>
      <c r="AD506" s="27">
        <f>(M506*'RAP TEMPLATE-GAS AVAILABILITY'!O505+N506*'RAP TEMPLATE-GAS AVAILABILITY'!P505+O506*'RAP TEMPLATE-GAS AVAILABILITY'!Q505+P506*'RAP TEMPLATE-GAS AVAILABILITY'!R505)/('RAP TEMPLATE-GAS AVAILABILITY'!O505+'RAP TEMPLATE-GAS AVAILABILITY'!P505+'RAP TEMPLATE-GAS AVAILABILITY'!Q505+'RAP TEMPLATE-GAS AVAILABILITY'!R505)</f>
        <v>14.994182014388489</v>
      </c>
    </row>
    <row r="507" spans="1:30" ht="15.75">
      <c r="A507" s="13">
        <v>56704</v>
      </c>
      <c r="B507" s="10">
        <f>CHOOSE(CONTROL!$C$42, 14.7215, 14.7215) * CHOOSE(CONTROL!$C$21, $C$9, 100%, $E$9)</f>
        <v>14.721500000000001</v>
      </c>
      <c r="C507" s="10">
        <f>CHOOSE(CONTROL!$C$42, 14.7266, 14.7266) * CHOOSE(CONTROL!$C$21, $C$9, 100%, $E$9)</f>
        <v>14.726599999999999</v>
      </c>
      <c r="D507" s="10">
        <f>CHOOSE(CONTROL!$C$42, 14.759, 14.759) * CHOOSE(CONTROL!$C$21, $C$9, 100%, $E$9)</f>
        <v>14.759</v>
      </c>
      <c r="E507" s="10">
        <f>CHOOSE(CONTROL!$C$42, 14.7928, 14.7928) * CHOOSE(CONTROL!$C$21, $C$9, 100%, $E$9)</f>
        <v>14.7928</v>
      </c>
      <c r="F507" s="10">
        <f>CHOOSE(CONTROL!$C$42, 14.7037, 14.7037)*CHOOSE(CONTROL!$C$21, $C$9, 100%, $E$9)</f>
        <v>14.7037</v>
      </c>
      <c r="G507" s="10">
        <f>CHOOSE(CONTROL!$C$42, 14.7213, 14.7213)*CHOOSE(CONTROL!$C$21, $C$9, 100%, $E$9)</f>
        <v>14.721299999999999</v>
      </c>
      <c r="H507" s="10">
        <f>CHOOSE(CONTROL!$C$42, 14.7817, 14.7817) * CHOOSE(CONTROL!$C$21, $C$9, 100%, $E$9)</f>
        <v>14.781700000000001</v>
      </c>
      <c r="I507" s="10">
        <f>CHOOSE(CONTROL!$C$42, 14.7349, 14.7349)* CHOOSE(CONTROL!$C$21, $C$9, 100%, $E$9)</f>
        <v>14.7349</v>
      </c>
      <c r="J507" s="10">
        <f>CHOOSE(CONTROL!$C$42, 14.6963, 14.6963)* CHOOSE(CONTROL!$C$21, $C$9, 100%, $E$9)</f>
        <v>14.696300000000001</v>
      </c>
      <c r="K507" s="10">
        <f>CHOOSE(CONTROL!$C$42, 14.4515, 14.4515) * CHOOSE(CONTROL!$C$21, $C$9, 100%, $E$9)</f>
        <v>14.451499999999999</v>
      </c>
      <c r="L507" s="10">
        <f>CHOOSE(CONTROL!$C$42, 15.3687, 15.3687) * CHOOSE(CONTROL!$C$21, $C$9, 100%, $E$9)</f>
        <v>15.3687</v>
      </c>
      <c r="M507" s="10">
        <f>CHOOSE(CONTROL!$C$42, 14.5243, 14.5243) * CHOOSE(CONTROL!$C$21, $C$9, 100%, $E$9)</f>
        <v>14.5243</v>
      </c>
      <c r="N507" s="10">
        <f>CHOOSE(CONTROL!$C$42, 14.5417, 14.5417) * CHOOSE(CONTROL!$C$21, $C$9, 100%, $E$9)</f>
        <v>14.541700000000001</v>
      </c>
      <c r="O507" s="10">
        <f>CHOOSE(CONTROL!$C$42, 14.6085, 14.6085) * CHOOSE(CONTROL!$C$21, $C$9, 100%, $E$9)</f>
        <v>14.608499999999999</v>
      </c>
      <c r="P507" s="10">
        <f>CHOOSE(CONTROL!$C$42, 14.5624, 14.5624) * CHOOSE(CONTROL!$C$21, $C$9, 100%, $E$9)</f>
        <v>14.5624</v>
      </c>
      <c r="Q507" s="10">
        <f>CHOOSE(CONTROL!$C$42, 15.2038, 15.2038) * CHOOSE(CONTROL!$C$21, $C$9, 100%, $E$9)</f>
        <v>15.203799999999999</v>
      </c>
      <c r="R507" s="10">
        <f>CHOOSE(CONTROL!$C$42, 15.8288, 15.8288) * CHOOSE(CONTROL!$C$21, $C$9, 100%, $E$9)</f>
        <v>15.828799999999999</v>
      </c>
      <c r="S507" s="10">
        <f>CHOOSE(CONTROL!$C$42, 14.2715, 14.2715) * CHOOSE(CONTROL!$C$21, $C$9, 100%, $E$9)</f>
        <v>14.2715</v>
      </c>
      <c r="T50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07" s="38">
        <f>(1000*CHOOSE(CONTROL!$C$42, 695, 695)*CHOOSE(CONTROL!$C$42, 0.5599, 0.5599)*CHOOSE(CONTROL!$C$42, 31, 31))/1000000</f>
        <v>12.063045499999998</v>
      </c>
      <c r="V507" s="38">
        <f>(1000*CHOOSE(CONTROL!$C$42, 500, 500)*CHOOSE(CONTROL!$C$42, 0.275, 0.275)*CHOOSE(CONTROL!$C$42, 31, 31))/1000000</f>
        <v>4.2625000000000002</v>
      </c>
      <c r="W507" s="38">
        <f>(1000*CHOOSE(CONTROL!$C$42, 0.1146, 0.1146)*CHOOSE(CONTROL!$C$42, 121.5, 121.5)*CHOOSE(CONTROL!$C$42, 31, 31))/1000000</f>
        <v>0.43164089999999994</v>
      </c>
      <c r="X507" s="38">
        <f>(31*0.1790888*100000/1000000)+(31*0.2374*100000/1000000)</f>
        <v>1.2911152800000001</v>
      </c>
      <c r="Y507" s="38">
        <f>(1000*600*CHOOSE(CONTROL!$C$42, 1.0619, 1.0619)*CHOOSE(CONTROL!$C$42, 31, 31))/1000000</f>
        <v>19.751339999999999</v>
      </c>
      <c r="Z507" s="38"/>
      <c r="AA507" s="10"/>
      <c r="AB507" s="39"/>
      <c r="AC507" s="33">
        <f>(B507*122.58+C507*297.941+D507*89.177+E507*40.302+F507*40+G507*160+H507*0+I507*100+J507*300)/(122.58+297.941+89.177+40.302+0+40+160+100+300)</f>
        <v>14.722172321043479</v>
      </c>
      <c r="AD507" s="27">
        <f>(M507*'RAP TEMPLATE-GAS AVAILABILITY'!O506+N507*'RAP TEMPLATE-GAS AVAILABILITY'!P506+O507*'RAP TEMPLATE-GAS AVAILABILITY'!Q506+P507*'RAP TEMPLATE-GAS AVAILABILITY'!R506)/('RAP TEMPLATE-GAS AVAILABILITY'!O506+'RAP TEMPLATE-GAS AVAILABILITY'!P506+'RAP TEMPLATE-GAS AVAILABILITY'!Q506+'RAP TEMPLATE-GAS AVAILABILITY'!R506)</f>
        <v>14.568946043165466</v>
      </c>
    </row>
    <row r="508" spans="1:30" ht="15.75">
      <c r="A508" s="13">
        <v>56734</v>
      </c>
      <c r="B508" s="10">
        <f>CHOOSE(CONTROL!$C$42, 14.6781, 14.6781) * CHOOSE(CONTROL!$C$21, $C$9, 100%, $E$9)</f>
        <v>14.678100000000001</v>
      </c>
      <c r="C508" s="10">
        <f>CHOOSE(CONTROL!$C$42, 14.6827, 14.6827) * CHOOSE(CONTROL!$C$21, $C$9, 100%, $E$9)</f>
        <v>14.682700000000001</v>
      </c>
      <c r="D508" s="10">
        <f>CHOOSE(CONTROL!$C$42, 14.8428, 14.8428) * CHOOSE(CONTROL!$C$21, $C$9, 100%, $E$9)</f>
        <v>14.8428</v>
      </c>
      <c r="E508" s="10">
        <f>CHOOSE(CONTROL!$C$42, 14.8746, 14.8746) * CHOOSE(CONTROL!$C$21, $C$9, 100%, $E$9)</f>
        <v>14.874599999999999</v>
      </c>
      <c r="F508" s="10">
        <f>CHOOSE(CONTROL!$C$42, 14.6242, 14.6242)*CHOOSE(CONTROL!$C$21, $C$9, 100%, $E$9)</f>
        <v>14.6242</v>
      </c>
      <c r="G508" s="10">
        <f>CHOOSE(CONTROL!$C$42, 14.64, 14.64)*CHOOSE(CONTROL!$C$21, $C$9, 100%, $E$9)</f>
        <v>14.64</v>
      </c>
      <c r="H508" s="10">
        <f>CHOOSE(CONTROL!$C$42, 14.8641, 14.8641) * CHOOSE(CONTROL!$C$21, $C$9, 100%, $E$9)</f>
        <v>14.864100000000001</v>
      </c>
      <c r="I508" s="10">
        <f>CHOOSE(CONTROL!$C$42, 14.6583, 14.6583)* CHOOSE(CONTROL!$C$21, $C$9, 100%, $E$9)</f>
        <v>14.658300000000001</v>
      </c>
      <c r="J508" s="10">
        <f>CHOOSE(CONTROL!$C$42, 14.6168, 14.6168)* CHOOSE(CONTROL!$C$21, $C$9, 100%, $E$9)</f>
        <v>14.6168</v>
      </c>
      <c r="K508" s="10">
        <f>CHOOSE(CONTROL!$C$42, 14.3612, 14.3612) * CHOOSE(CONTROL!$C$21, $C$9, 100%, $E$9)</f>
        <v>14.3612</v>
      </c>
      <c r="L508" s="10">
        <f>CHOOSE(CONTROL!$C$42, 15.4511, 15.4511) * CHOOSE(CONTROL!$C$21, $C$9, 100%, $E$9)</f>
        <v>15.4511</v>
      </c>
      <c r="M508" s="10">
        <f>CHOOSE(CONTROL!$C$42, 14.4459, 14.4459) * CHOOSE(CONTROL!$C$21, $C$9, 100%, $E$9)</f>
        <v>14.4459</v>
      </c>
      <c r="N508" s="10">
        <f>CHOOSE(CONTROL!$C$42, 14.4615, 14.4615) * CHOOSE(CONTROL!$C$21, $C$9, 100%, $E$9)</f>
        <v>14.461499999999999</v>
      </c>
      <c r="O508" s="10">
        <f>CHOOSE(CONTROL!$C$42, 14.6897, 14.6897) * CHOOSE(CONTROL!$C$21, $C$9, 100%, $E$9)</f>
        <v>14.6897</v>
      </c>
      <c r="P508" s="10">
        <f>CHOOSE(CONTROL!$C$42, 14.4868, 14.4868) * CHOOSE(CONTROL!$C$21, $C$9, 100%, $E$9)</f>
        <v>14.486800000000001</v>
      </c>
      <c r="Q508" s="10">
        <f>CHOOSE(CONTROL!$C$42, 15.285, 15.285) * CHOOSE(CONTROL!$C$21, $C$9, 100%, $E$9)</f>
        <v>15.285</v>
      </c>
      <c r="R508" s="10">
        <f>CHOOSE(CONTROL!$C$42, 15.9102, 15.9102) * CHOOSE(CONTROL!$C$21, $C$9, 100%, $E$9)</f>
        <v>15.9102</v>
      </c>
      <c r="S508" s="10">
        <f>CHOOSE(CONTROL!$C$42, 14.2287, 14.2287) * CHOOSE(CONTROL!$C$21, $C$9, 100%, $E$9)</f>
        <v>14.2287</v>
      </c>
      <c r="T50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08" s="38">
        <f>(1000*CHOOSE(CONTROL!$C$42, 695, 695)*CHOOSE(CONTROL!$C$42, 0.5599, 0.5599)*CHOOSE(CONTROL!$C$42, 30, 30))/1000000</f>
        <v>11.673914999999997</v>
      </c>
      <c r="V508" s="38">
        <f>(1000*CHOOSE(CONTROL!$C$42, 500, 500)*CHOOSE(CONTROL!$C$42, 0.275, 0.275)*CHOOSE(CONTROL!$C$42, 30, 30))/1000000</f>
        <v>4.125</v>
      </c>
      <c r="W508" s="38">
        <f>(1000*CHOOSE(CONTROL!$C$42, 0.1146, 0.1146)*CHOOSE(CONTROL!$C$42, 121.5, 121.5)*CHOOSE(CONTROL!$C$42, 30, 30))/1000000</f>
        <v>0.417717</v>
      </c>
      <c r="X508" s="38">
        <f>(30*0.1790888*245000/1000000)+(30*0.2374*100000/1000000)</f>
        <v>2.0285026799999999</v>
      </c>
      <c r="Y508" s="38">
        <f>(1000*600*CHOOSE(CONTROL!$C$42, 1.0619, 1.0619)*CHOOSE(CONTROL!$C$42, 30, 30))/1000000</f>
        <v>19.1142</v>
      </c>
      <c r="Z508" s="38"/>
      <c r="AA508" s="10"/>
      <c r="AB508" s="39"/>
      <c r="AC508" s="33">
        <f>(B508*141.293+C508*267.993+D508*115.016+E508*89.698+F508*40+G508*185+H508*0+I508*100+J508*300)/(141.293+267.993+115.016+89.698+0+40+185+100+300)</f>
        <v>14.684740080710251</v>
      </c>
      <c r="AD508" s="27">
        <f>(M508*'RAP TEMPLATE-GAS AVAILABILITY'!O507+N508*'RAP TEMPLATE-GAS AVAILABILITY'!P507+O508*'RAP TEMPLATE-GAS AVAILABILITY'!Q507+P508*'RAP TEMPLATE-GAS AVAILABILITY'!R507)/('RAP TEMPLATE-GAS AVAILABILITY'!O507+'RAP TEMPLATE-GAS AVAILABILITY'!P507+'RAP TEMPLATE-GAS AVAILABILITY'!Q507+'RAP TEMPLATE-GAS AVAILABILITY'!R507)</f>
        <v>14.523780575539568</v>
      </c>
    </row>
    <row r="509" spans="1:30" ht="15.75">
      <c r="A509" s="13">
        <v>56765</v>
      </c>
      <c r="B509" s="10">
        <f>CHOOSE(CONTROL!$C$42, 14.8096, 14.8096) * CHOOSE(CONTROL!$C$21, $C$9, 100%, $E$9)</f>
        <v>14.8096</v>
      </c>
      <c r="C509" s="10">
        <f>CHOOSE(CONTROL!$C$42, 14.8176, 14.8176) * CHOOSE(CONTROL!$C$21, $C$9, 100%, $E$9)</f>
        <v>14.817600000000001</v>
      </c>
      <c r="D509" s="10">
        <f>CHOOSE(CONTROL!$C$42, 14.9747, 14.9747) * CHOOSE(CONTROL!$C$21, $C$9, 100%, $E$9)</f>
        <v>14.9747</v>
      </c>
      <c r="E509" s="10">
        <f>CHOOSE(CONTROL!$C$42, 15.0059, 15.0059) * CHOOSE(CONTROL!$C$21, $C$9, 100%, $E$9)</f>
        <v>15.0059</v>
      </c>
      <c r="F509" s="10">
        <f>CHOOSE(CONTROL!$C$42, 14.7538, 14.7538)*CHOOSE(CONTROL!$C$21, $C$9, 100%, $E$9)</f>
        <v>14.7538</v>
      </c>
      <c r="G509" s="10">
        <f>CHOOSE(CONTROL!$C$42, 14.7699, 14.7699)*CHOOSE(CONTROL!$C$21, $C$9, 100%, $E$9)</f>
        <v>14.7699</v>
      </c>
      <c r="H509" s="10">
        <f>CHOOSE(CONTROL!$C$42, 14.9942, 14.9942) * CHOOSE(CONTROL!$C$21, $C$9, 100%, $E$9)</f>
        <v>14.994199999999999</v>
      </c>
      <c r="I509" s="10">
        <f>CHOOSE(CONTROL!$C$42, 14.7884, 14.7884)* CHOOSE(CONTROL!$C$21, $C$9, 100%, $E$9)</f>
        <v>14.788399999999999</v>
      </c>
      <c r="J509" s="10">
        <f>CHOOSE(CONTROL!$C$42, 14.7464, 14.7464)* CHOOSE(CONTROL!$C$21, $C$9, 100%, $E$9)</f>
        <v>14.7464</v>
      </c>
      <c r="K509" s="10">
        <f>CHOOSE(CONTROL!$C$42, 14.486, 14.486) * CHOOSE(CONTROL!$C$21, $C$9, 100%, $E$9)</f>
        <v>14.486000000000001</v>
      </c>
      <c r="L509" s="10">
        <f>CHOOSE(CONTROL!$C$42, 15.5812, 15.5812) * CHOOSE(CONTROL!$C$21, $C$9, 100%, $E$9)</f>
        <v>15.581200000000001</v>
      </c>
      <c r="M509" s="10">
        <f>CHOOSE(CONTROL!$C$42, 14.5737, 14.5737) * CHOOSE(CONTROL!$C$21, $C$9, 100%, $E$9)</f>
        <v>14.573700000000001</v>
      </c>
      <c r="N509" s="10">
        <f>CHOOSE(CONTROL!$C$42, 14.5896, 14.5896) * CHOOSE(CONTROL!$C$21, $C$9, 100%, $E$9)</f>
        <v>14.589600000000001</v>
      </c>
      <c r="O509" s="10">
        <f>CHOOSE(CONTROL!$C$42, 14.8181, 14.8181) * CHOOSE(CONTROL!$C$21, $C$9, 100%, $E$9)</f>
        <v>14.818099999999999</v>
      </c>
      <c r="P509" s="10">
        <f>CHOOSE(CONTROL!$C$42, 14.6152, 14.6152) * CHOOSE(CONTROL!$C$21, $C$9, 100%, $E$9)</f>
        <v>14.6152</v>
      </c>
      <c r="Q509" s="10">
        <f>CHOOSE(CONTROL!$C$42, 15.4134, 15.4134) * CHOOSE(CONTROL!$C$21, $C$9, 100%, $E$9)</f>
        <v>15.413399999999999</v>
      </c>
      <c r="R509" s="10">
        <f>CHOOSE(CONTROL!$C$42, 16.0389, 16.0389) * CHOOSE(CONTROL!$C$21, $C$9, 100%, $E$9)</f>
        <v>16.038900000000002</v>
      </c>
      <c r="S509" s="10">
        <f>CHOOSE(CONTROL!$C$42, 14.3548, 14.3548) * CHOOSE(CONTROL!$C$21, $C$9, 100%, $E$9)</f>
        <v>14.354799999999999</v>
      </c>
      <c r="T50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09" s="38">
        <f>(1000*CHOOSE(CONTROL!$C$42, 695, 695)*CHOOSE(CONTROL!$C$42, 0.5599, 0.5599)*CHOOSE(CONTROL!$C$42, 31, 31))/1000000</f>
        <v>12.063045499999998</v>
      </c>
      <c r="V509" s="38">
        <f>(1000*CHOOSE(CONTROL!$C$42, 500, 500)*CHOOSE(CONTROL!$C$42, 0.275, 0.275)*CHOOSE(CONTROL!$C$42, 31, 31))/1000000</f>
        <v>4.2625000000000002</v>
      </c>
      <c r="W509" s="38">
        <f>(1000*CHOOSE(CONTROL!$C$42, 0.1146, 0.1146)*CHOOSE(CONTROL!$C$42, 121.5, 121.5)*CHOOSE(CONTROL!$C$42, 31, 31))/1000000</f>
        <v>0.43164089999999994</v>
      </c>
      <c r="X509" s="38">
        <f>(31*0.1790888*245000/1000000)+(31*0.2374*100000/1000000)</f>
        <v>2.0961194359999999</v>
      </c>
      <c r="Y509" s="38">
        <f>(1000*600*CHOOSE(CONTROL!$C$42, 1.0619, 1.0619)*CHOOSE(CONTROL!$C$42, 31, 31))/1000000</f>
        <v>19.751339999999999</v>
      </c>
      <c r="Z509" s="38"/>
      <c r="AA509" s="10"/>
      <c r="AB509" s="39"/>
      <c r="AC509" s="33">
        <f>(B509*194.205+C509*267.466+D509*133.845+E509*53.484+F509*40+G509*185+H509*0+I509*100+J509*300)/(194.205+267.466+133.845+53.484+0+40+185+100+300)</f>
        <v>14.812802469937207</v>
      </c>
      <c r="AD509" s="27">
        <f>(M509*'RAP TEMPLATE-GAS AVAILABILITY'!O508+N509*'RAP TEMPLATE-GAS AVAILABILITY'!P508+O509*'RAP TEMPLATE-GAS AVAILABILITY'!Q508+P509*'RAP TEMPLATE-GAS AVAILABILITY'!R508)/('RAP TEMPLATE-GAS AVAILABILITY'!O508+'RAP TEMPLATE-GAS AVAILABILITY'!P508+'RAP TEMPLATE-GAS AVAILABILITY'!Q508+'RAP TEMPLATE-GAS AVAILABILITY'!R508)</f>
        <v>14.651904316546764</v>
      </c>
    </row>
    <row r="510" spans="1:30" ht="15.75">
      <c r="A510" s="13">
        <v>56795</v>
      </c>
      <c r="B510" s="10">
        <f>CHOOSE(CONTROL!$C$42, 15.2301, 15.2301) * CHOOSE(CONTROL!$C$21, $C$9, 100%, $E$9)</f>
        <v>15.2301</v>
      </c>
      <c r="C510" s="10">
        <f>CHOOSE(CONTROL!$C$42, 15.2381, 15.2381) * CHOOSE(CONTROL!$C$21, $C$9, 100%, $E$9)</f>
        <v>15.238099999999999</v>
      </c>
      <c r="D510" s="10">
        <f>CHOOSE(CONTROL!$C$42, 15.3952, 15.3952) * CHOOSE(CONTROL!$C$21, $C$9, 100%, $E$9)</f>
        <v>15.395200000000001</v>
      </c>
      <c r="E510" s="10">
        <f>CHOOSE(CONTROL!$C$42, 15.4264, 15.4264) * CHOOSE(CONTROL!$C$21, $C$9, 100%, $E$9)</f>
        <v>15.426399999999999</v>
      </c>
      <c r="F510" s="10">
        <f>CHOOSE(CONTROL!$C$42, 15.1744, 15.1744)*CHOOSE(CONTROL!$C$21, $C$9, 100%, $E$9)</f>
        <v>15.1744</v>
      </c>
      <c r="G510" s="10">
        <f>CHOOSE(CONTROL!$C$42, 15.1906, 15.1906)*CHOOSE(CONTROL!$C$21, $C$9, 100%, $E$9)</f>
        <v>15.1906</v>
      </c>
      <c r="H510" s="10">
        <f>CHOOSE(CONTROL!$C$42, 15.4147, 15.4147) * CHOOSE(CONTROL!$C$21, $C$9, 100%, $E$9)</f>
        <v>15.4147</v>
      </c>
      <c r="I510" s="10">
        <f>CHOOSE(CONTROL!$C$42, 15.2089, 15.2089)* CHOOSE(CONTROL!$C$21, $C$9, 100%, $E$9)</f>
        <v>15.2089</v>
      </c>
      <c r="J510" s="10">
        <f>CHOOSE(CONTROL!$C$42, 15.167, 15.167)* CHOOSE(CONTROL!$C$21, $C$9, 100%, $E$9)</f>
        <v>15.167</v>
      </c>
      <c r="K510" s="10">
        <f>CHOOSE(CONTROL!$C$42, 14.8937, 14.8937) * CHOOSE(CONTROL!$C$21, $C$9, 100%, $E$9)</f>
        <v>14.893700000000001</v>
      </c>
      <c r="L510" s="10">
        <f>CHOOSE(CONTROL!$C$42, 16.0017, 16.0017) * CHOOSE(CONTROL!$C$21, $C$9, 100%, $E$9)</f>
        <v>16.0017</v>
      </c>
      <c r="M510" s="10">
        <f>CHOOSE(CONTROL!$C$42, 14.9885, 14.9885) * CHOOSE(CONTROL!$C$21, $C$9, 100%, $E$9)</f>
        <v>14.9885</v>
      </c>
      <c r="N510" s="10">
        <f>CHOOSE(CONTROL!$C$42, 15.0044, 15.0044) * CHOOSE(CONTROL!$C$21, $C$9, 100%, $E$9)</f>
        <v>15.0044</v>
      </c>
      <c r="O510" s="10">
        <f>CHOOSE(CONTROL!$C$42, 15.2327, 15.2327) * CHOOSE(CONTROL!$C$21, $C$9, 100%, $E$9)</f>
        <v>15.232699999999999</v>
      </c>
      <c r="P510" s="10">
        <f>CHOOSE(CONTROL!$C$42, 15.0298, 15.0298) * CHOOSE(CONTROL!$C$21, $C$9, 100%, $E$9)</f>
        <v>15.0298</v>
      </c>
      <c r="Q510" s="10">
        <f>CHOOSE(CONTROL!$C$42, 15.828, 15.828) * CHOOSE(CONTROL!$C$21, $C$9, 100%, $E$9)</f>
        <v>15.827999999999999</v>
      </c>
      <c r="R510" s="10">
        <f>CHOOSE(CONTROL!$C$42, 16.4546, 16.4546) * CHOOSE(CONTROL!$C$21, $C$9, 100%, $E$9)</f>
        <v>16.454599999999999</v>
      </c>
      <c r="S510" s="10">
        <f>CHOOSE(CONTROL!$C$42, 14.7619, 14.7619) * CHOOSE(CONTROL!$C$21, $C$9, 100%, $E$9)</f>
        <v>14.761900000000001</v>
      </c>
      <c r="T51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10" s="38">
        <f>(1000*CHOOSE(CONTROL!$C$42, 695, 695)*CHOOSE(CONTROL!$C$42, 0.5599, 0.5599)*CHOOSE(CONTROL!$C$42, 30, 30))/1000000</f>
        <v>11.673914999999997</v>
      </c>
      <c r="V510" s="38">
        <f>(1000*CHOOSE(CONTROL!$C$42, 500, 500)*CHOOSE(CONTROL!$C$42, 0.275, 0.275)*CHOOSE(CONTROL!$C$42, 30, 30))/1000000</f>
        <v>4.125</v>
      </c>
      <c r="W510" s="38">
        <f>(1000*CHOOSE(CONTROL!$C$42, 0.1146, 0.1146)*CHOOSE(CONTROL!$C$42, 121.5, 121.5)*CHOOSE(CONTROL!$C$42, 30, 30))/1000000</f>
        <v>0.417717</v>
      </c>
      <c r="X510" s="38">
        <f>(30*0.1790888*245000/1000000)+(30*0.2374*100000/1000000)</f>
        <v>2.0285026799999999</v>
      </c>
      <c r="Y510" s="38">
        <f>(1000*600*CHOOSE(CONTROL!$C$42, 1.0619, 1.0619)*CHOOSE(CONTROL!$C$42, 30, 30))/1000000</f>
        <v>19.1142</v>
      </c>
      <c r="Z510" s="38"/>
      <c r="AA510" s="10"/>
      <c r="AB510" s="39"/>
      <c r="AC510" s="33">
        <f>(B510*194.205+C510*267.466+D510*133.845+E510*53.484+F510*40+G510*185+H510*0+I510*100+J510*300)/(194.205+267.466+133.845+53.484+0+40+185+100+300)</f>
        <v>15.233358199921508</v>
      </c>
      <c r="AD510" s="27">
        <f>(M510*'RAP TEMPLATE-GAS AVAILABILITY'!O509+N510*'RAP TEMPLATE-GAS AVAILABILITY'!P509+O510*'RAP TEMPLATE-GAS AVAILABILITY'!Q509+P510*'RAP TEMPLATE-GAS AVAILABILITY'!R509)/('RAP TEMPLATE-GAS AVAILABILITY'!O509+'RAP TEMPLATE-GAS AVAILABILITY'!P509+'RAP TEMPLATE-GAS AVAILABILITY'!Q509+'RAP TEMPLATE-GAS AVAILABILITY'!R509)</f>
        <v>15.066619424460431</v>
      </c>
    </row>
    <row r="511" spans="1:30" ht="15.75">
      <c r="A511" s="13">
        <v>56826</v>
      </c>
      <c r="B511" s="10">
        <f>CHOOSE(CONTROL!$C$42, 14.9377, 14.9377) * CHOOSE(CONTROL!$C$21, $C$9, 100%, $E$9)</f>
        <v>14.9377</v>
      </c>
      <c r="C511" s="10">
        <f>CHOOSE(CONTROL!$C$42, 14.9457, 14.9457) * CHOOSE(CONTROL!$C$21, $C$9, 100%, $E$9)</f>
        <v>14.9457</v>
      </c>
      <c r="D511" s="10">
        <f>CHOOSE(CONTROL!$C$42, 15.1027, 15.1027) * CHOOSE(CONTROL!$C$21, $C$9, 100%, $E$9)</f>
        <v>15.1027</v>
      </c>
      <c r="E511" s="10">
        <f>CHOOSE(CONTROL!$C$42, 15.1339, 15.1339) * CHOOSE(CONTROL!$C$21, $C$9, 100%, $E$9)</f>
        <v>15.133900000000001</v>
      </c>
      <c r="F511" s="10">
        <f>CHOOSE(CONTROL!$C$42, 14.8823, 14.8823)*CHOOSE(CONTROL!$C$21, $C$9, 100%, $E$9)</f>
        <v>14.882300000000001</v>
      </c>
      <c r="G511" s="10">
        <f>CHOOSE(CONTROL!$C$42, 14.8986, 14.8986)*CHOOSE(CONTROL!$C$21, $C$9, 100%, $E$9)</f>
        <v>14.8986</v>
      </c>
      <c r="H511" s="10">
        <f>CHOOSE(CONTROL!$C$42, 15.1223, 15.1223) * CHOOSE(CONTROL!$C$21, $C$9, 100%, $E$9)</f>
        <v>15.122299999999999</v>
      </c>
      <c r="I511" s="10">
        <f>CHOOSE(CONTROL!$C$42, 14.9164, 14.9164)* CHOOSE(CONTROL!$C$21, $C$9, 100%, $E$9)</f>
        <v>14.916399999999999</v>
      </c>
      <c r="J511" s="10">
        <f>CHOOSE(CONTROL!$C$42, 14.8749, 14.8749)* CHOOSE(CONTROL!$C$21, $C$9, 100%, $E$9)</f>
        <v>14.8749</v>
      </c>
      <c r="K511" s="10">
        <f>CHOOSE(CONTROL!$C$42, 14.6111, 14.6111) * CHOOSE(CONTROL!$C$21, $C$9, 100%, $E$9)</f>
        <v>14.6111</v>
      </c>
      <c r="L511" s="10">
        <f>CHOOSE(CONTROL!$C$42, 15.7093, 15.7093) * CHOOSE(CONTROL!$C$21, $C$9, 100%, $E$9)</f>
        <v>15.709300000000001</v>
      </c>
      <c r="M511" s="10">
        <f>CHOOSE(CONTROL!$C$42, 14.7004, 14.7004) * CHOOSE(CONTROL!$C$21, $C$9, 100%, $E$9)</f>
        <v>14.7004</v>
      </c>
      <c r="N511" s="10">
        <f>CHOOSE(CONTROL!$C$42, 14.7164, 14.7164) * CHOOSE(CONTROL!$C$21, $C$9, 100%, $E$9)</f>
        <v>14.7164</v>
      </c>
      <c r="O511" s="10">
        <f>CHOOSE(CONTROL!$C$42, 14.9443, 14.9443) * CHOOSE(CONTROL!$C$21, $C$9, 100%, $E$9)</f>
        <v>14.9443</v>
      </c>
      <c r="P511" s="10">
        <f>CHOOSE(CONTROL!$C$42, 14.7414, 14.7414) * CHOOSE(CONTROL!$C$21, $C$9, 100%, $E$9)</f>
        <v>14.741400000000001</v>
      </c>
      <c r="Q511" s="10">
        <f>CHOOSE(CONTROL!$C$42, 15.5396, 15.5396) * CHOOSE(CONTROL!$C$21, $C$9, 100%, $E$9)</f>
        <v>15.5396</v>
      </c>
      <c r="R511" s="10">
        <f>CHOOSE(CONTROL!$C$42, 16.1655, 16.1655) * CHOOSE(CONTROL!$C$21, $C$9, 100%, $E$9)</f>
        <v>16.165500000000002</v>
      </c>
      <c r="S511" s="10">
        <f>CHOOSE(CONTROL!$C$42, 14.4787, 14.4787) * CHOOSE(CONTROL!$C$21, $C$9, 100%, $E$9)</f>
        <v>14.4787</v>
      </c>
      <c r="T51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11" s="38">
        <f>(1000*CHOOSE(CONTROL!$C$42, 695, 695)*CHOOSE(CONTROL!$C$42, 0.5599, 0.5599)*CHOOSE(CONTROL!$C$42, 31, 31))/1000000</f>
        <v>12.063045499999998</v>
      </c>
      <c r="V511" s="38">
        <f>(1000*CHOOSE(CONTROL!$C$42, 500, 500)*CHOOSE(CONTROL!$C$42, 0.275, 0.275)*CHOOSE(CONTROL!$C$42, 31, 31))/1000000</f>
        <v>4.2625000000000002</v>
      </c>
      <c r="W511" s="38">
        <f>(1000*CHOOSE(CONTROL!$C$42, 0.1146, 0.1146)*CHOOSE(CONTROL!$C$42, 121.5, 121.5)*CHOOSE(CONTROL!$C$42, 31, 31))/1000000</f>
        <v>0.43164089999999994</v>
      </c>
      <c r="X511" s="38">
        <f>(31*0.1790888*245000/1000000)+(31*0.2374*100000/1000000)</f>
        <v>2.0961194359999999</v>
      </c>
      <c r="Y511" s="38">
        <f>(1000*600*CHOOSE(CONTROL!$C$42, 1.0619, 1.0619)*CHOOSE(CONTROL!$C$42, 31, 31))/1000000</f>
        <v>19.751339999999999</v>
      </c>
      <c r="Z511" s="38"/>
      <c r="AA511" s="10"/>
      <c r="AB511" s="39"/>
      <c r="AC511" s="33">
        <f>(B511*194.205+C511*267.466+D511*133.845+E511*53.484+F511*40+G511*185+H511*0+I511*100+J511*300)/(194.205+267.466+133.845+53.484+0+40+185+100+300)</f>
        <v>14.941073794191523</v>
      </c>
      <c r="AD511" s="27">
        <f>(M511*'RAP TEMPLATE-GAS AVAILABILITY'!O510+N511*'RAP TEMPLATE-GAS AVAILABILITY'!P510+O511*'RAP TEMPLATE-GAS AVAILABILITY'!Q510+P511*'RAP TEMPLATE-GAS AVAILABILITY'!R510)/('RAP TEMPLATE-GAS AVAILABILITY'!O510+'RAP TEMPLATE-GAS AVAILABILITY'!P510+'RAP TEMPLATE-GAS AVAILABILITY'!Q510+'RAP TEMPLATE-GAS AVAILABILITY'!R510)</f>
        <v>14.778415107913666</v>
      </c>
    </row>
    <row r="512" spans="1:30" ht="15.75">
      <c r="A512" s="13">
        <v>56857</v>
      </c>
      <c r="B512" s="10">
        <f>CHOOSE(CONTROL!$C$42, 14.1991, 14.1991) * CHOOSE(CONTROL!$C$21, $C$9, 100%, $E$9)</f>
        <v>14.1991</v>
      </c>
      <c r="C512" s="10">
        <f>CHOOSE(CONTROL!$C$42, 14.2071, 14.2071) * CHOOSE(CONTROL!$C$21, $C$9, 100%, $E$9)</f>
        <v>14.207100000000001</v>
      </c>
      <c r="D512" s="10">
        <f>CHOOSE(CONTROL!$C$42, 14.3642, 14.3642) * CHOOSE(CONTROL!$C$21, $C$9, 100%, $E$9)</f>
        <v>14.3642</v>
      </c>
      <c r="E512" s="10">
        <f>CHOOSE(CONTROL!$C$42, 14.3954, 14.3954) * CHOOSE(CONTROL!$C$21, $C$9, 100%, $E$9)</f>
        <v>14.3954</v>
      </c>
      <c r="F512" s="10">
        <f>CHOOSE(CONTROL!$C$42, 14.1437, 14.1437)*CHOOSE(CONTROL!$C$21, $C$9, 100%, $E$9)</f>
        <v>14.143700000000001</v>
      </c>
      <c r="G512" s="10">
        <f>CHOOSE(CONTROL!$C$42, 14.16, 14.16)*CHOOSE(CONTROL!$C$21, $C$9, 100%, $E$9)</f>
        <v>14.16</v>
      </c>
      <c r="H512" s="10">
        <f>CHOOSE(CONTROL!$C$42, 14.3837, 14.3837) * CHOOSE(CONTROL!$C$21, $C$9, 100%, $E$9)</f>
        <v>14.383699999999999</v>
      </c>
      <c r="I512" s="10">
        <f>CHOOSE(CONTROL!$C$42, 14.1779, 14.1779)* CHOOSE(CONTROL!$C$21, $C$9, 100%, $E$9)</f>
        <v>14.177899999999999</v>
      </c>
      <c r="J512" s="10">
        <f>CHOOSE(CONTROL!$C$42, 14.1363, 14.1363)* CHOOSE(CONTROL!$C$21, $C$9, 100%, $E$9)</f>
        <v>14.1363</v>
      </c>
      <c r="K512" s="10">
        <f>CHOOSE(CONTROL!$C$42, 13.8955, 13.8955) * CHOOSE(CONTROL!$C$21, $C$9, 100%, $E$9)</f>
        <v>13.8955</v>
      </c>
      <c r="L512" s="10">
        <f>CHOOSE(CONTROL!$C$42, 14.9707, 14.9707) * CHOOSE(CONTROL!$C$21, $C$9, 100%, $E$9)</f>
        <v>14.970700000000001</v>
      </c>
      <c r="M512" s="10">
        <f>CHOOSE(CONTROL!$C$42, 13.9721, 13.9721) * CHOOSE(CONTROL!$C$21, $C$9, 100%, $E$9)</f>
        <v>13.972099999999999</v>
      </c>
      <c r="N512" s="10">
        <f>CHOOSE(CONTROL!$C$42, 13.9881, 13.9881) * CHOOSE(CONTROL!$C$21, $C$9, 100%, $E$9)</f>
        <v>13.988099999999999</v>
      </c>
      <c r="O512" s="10">
        <f>CHOOSE(CONTROL!$C$42, 14.2161, 14.2161) * CHOOSE(CONTROL!$C$21, $C$9, 100%, $E$9)</f>
        <v>14.216100000000001</v>
      </c>
      <c r="P512" s="10">
        <f>CHOOSE(CONTROL!$C$42, 14.0132, 14.0132) * CHOOSE(CONTROL!$C$21, $C$9, 100%, $E$9)</f>
        <v>14.013199999999999</v>
      </c>
      <c r="Q512" s="10">
        <f>CHOOSE(CONTROL!$C$42, 14.8114, 14.8114) * CHOOSE(CONTROL!$C$21, $C$9, 100%, $E$9)</f>
        <v>14.811400000000001</v>
      </c>
      <c r="R512" s="10">
        <f>CHOOSE(CONTROL!$C$42, 15.4354, 15.4354) * CHOOSE(CONTROL!$C$21, $C$9, 100%, $E$9)</f>
        <v>15.4354</v>
      </c>
      <c r="S512" s="10">
        <f>CHOOSE(CONTROL!$C$42, 13.7636, 13.7636) * CHOOSE(CONTROL!$C$21, $C$9, 100%, $E$9)</f>
        <v>13.7636</v>
      </c>
      <c r="T51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12" s="38">
        <f>(1000*CHOOSE(CONTROL!$C$42, 695, 695)*CHOOSE(CONTROL!$C$42, 0.5599, 0.5599)*CHOOSE(CONTROL!$C$42, 31, 31))/1000000</f>
        <v>12.063045499999998</v>
      </c>
      <c r="V512" s="38">
        <f>(1000*CHOOSE(CONTROL!$C$42, 500, 500)*CHOOSE(CONTROL!$C$42, 0.275, 0.275)*CHOOSE(CONTROL!$C$42, 31, 31))/1000000</f>
        <v>4.2625000000000002</v>
      </c>
      <c r="W512" s="38">
        <f>(1000*CHOOSE(CONTROL!$C$42, 0.1146, 0.1146)*CHOOSE(CONTROL!$C$42, 121.5, 121.5)*CHOOSE(CONTROL!$C$42, 31, 31))/1000000</f>
        <v>0.43164089999999994</v>
      </c>
      <c r="X512" s="38">
        <f>(31*0.1790888*245000/1000000)+(31*0.2374*100000/1000000)</f>
        <v>2.0961194359999999</v>
      </c>
      <c r="Y512" s="38">
        <f>(1000*600*CHOOSE(CONTROL!$C$42, 1.0619, 1.0619)*CHOOSE(CONTROL!$C$42, 31, 31))/1000000</f>
        <v>19.751339999999999</v>
      </c>
      <c r="Z512" s="38"/>
      <c r="AA512" s="10"/>
      <c r="AB512" s="39"/>
      <c r="AC512" s="33">
        <f>(B512*194.205+C512*267.466+D512*133.845+E512*53.484+F512*40+G512*185+H512*0+I512*100+J512*300)/(194.205+267.466+133.845+53.484+0+40+185+100+300)</f>
        <v>14.202496347488225</v>
      </c>
      <c r="AD512" s="27">
        <f>(M512*'RAP TEMPLATE-GAS AVAILABILITY'!O511+N512*'RAP TEMPLATE-GAS AVAILABILITY'!P511+O512*'RAP TEMPLATE-GAS AVAILABILITY'!Q511+P512*'RAP TEMPLATE-GAS AVAILABILITY'!R511)/('RAP TEMPLATE-GAS AVAILABILITY'!O511+'RAP TEMPLATE-GAS AVAILABILITY'!P511+'RAP TEMPLATE-GAS AVAILABILITY'!Q511+'RAP TEMPLATE-GAS AVAILABILITY'!R511)</f>
        <v>14.050157553956833</v>
      </c>
    </row>
    <row r="513" spans="1:30" ht="15.75">
      <c r="A513" s="13">
        <v>56887</v>
      </c>
      <c r="B513" s="10">
        <f>CHOOSE(CONTROL!$C$42, 13.2968, 13.2968) * CHOOSE(CONTROL!$C$21, $C$9, 100%, $E$9)</f>
        <v>13.296799999999999</v>
      </c>
      <c r="C513" s="10">
        <f>CHOOSE(CONTROL!$C$42, 13.3048, 13.3048) * CHOOSE(CONTROL!$C$21, $C$9, 100%, $E$9)</f>
        <v>13.3048</v>
      </c>
      <c r="D513" s="10">
        <f>CHOOSE(CONTROL!$C$42, 13.4618, 13.4618) * CHOOSE(CONTROL!$C$21, $C$9, 100%, $E$9)</f>
        <v>13.4618</v>
      </c>
      <c r="E513" s="10">
        <f>CHOOSE(CONTROL!$C$42, 13.4931, 13.4931) * CHOOSE(CONTROL!$C$21, $C$9, 100%, $E$9)</f>
        <v>13.4931</v>
      </c>
      <c r="F513" s="10">
        <f>CHOOSE(CONTROL!$C$42, 13.2412, 13.2412)*CHOOSE(CONTROL!$C$21, $C$9, 100%, $E$9)</f>
        <v>13.241199999999999</v>
      </c>
      <c r="G513" s="10">
        <f>CHOOSE(CONTROL!$C$42, 13.2574, 13.2574)*CHOOSE(CONTROL!$C$21, $C$9, 100%, $E$9)</f>
        <v>13.257400000000001</v>
      </c>
      <c r="H513" s="10">
        <f>CHOOSE(CONTROL!$C$42, 13.4814, 13.4814) * CHOOSE(CONTROL!$C$21, $C$9, 100%, $E$9)</f>
        <v>13.481400000000001</v>
      </c>
      <c r="I513" s="10">
        <f>CHOOSE(CONTROL!$C$42, 13.2756, 13.2756)* CHOOSE(CONTROL!$C$21, $C$9, 100%, $E$9)</f>
        <v>13.275600000000001</v>
      </c>
      <c r="J513" s="10">
        <f>CHOOSE(CONTROL!$C$42, 13.2338, 13.2338)* CHOOSE(CONTROL!$C$21, $C$9, 100%, $E$9)</f>
        <v>13.2338</v>
      </c>
      <c r="K513" s="10">
        <f>CHOOSE(CONTROL!$C$42, 13.0209, 13.0209) * CHOOSE(CONTROL!$C$21, $C$9, 100%, $E$9)</f>
        <v>13.020899999999999</v>
      </c>
      <c r="L513" s="10">
        <f>CHOOSE(CONTROL!$C$42, 14.0684, 14.0684) * CHOOSE(CONTROL!$C$21, $C$9, 100%, $E$9)</f>
        <v>14.0684</v>
      </c>
      <c r="M513" s="10">
        <f>CHOOSE(CONTROL!$C$42, 13.0822, 13.0822) * CHOOSE(CONTROL!$C$21, $C$9, 100%, $E$9)</f>
        <v>13.0822</v>
      </c>
      <c r="N513" s="10">
        <f>CHOOSE(CONTROL!$C$42, 13.0981, 13.0981) * CHOOSE(CONTROL!$C$21, $C$9, 100%, $E$9)</f>
        <v>13.098100000000001</v>
      </c>
      <c r="O513" s="10">
        <f>CHOOSE(CONTROL!$C$42, 13.3263, 13.3263) * CHOOSE(CONTROL!$C$21, $C$9, 100%, $E$9)</f>
        <v>13.3263</v>
      </c>
      <c r="P513" s="10">
        <f>CHOOSE(CONTROL!$C$42, 13.1235, 13.1235) * CHOOSE(CONTROL!$C$21, $C$9, 100%, $E$9)</f>
        <v>13.1235</v>
      </c>
      <c r="Q513" s="10">
        <f>CHOOSE(CONTROL!$C$42, 13.9216, 13.9216) * CHOOSE(CONTROL!$C$21, $C$9, 100%, $E$9)</f>
        <v>13.9216</v>
      </c>
      <c r="R513" s="10">
        <f>CHOOSE(CONTROL!$C$42, 14.5434, 14.5434) * CHOOSE(CONTROL!$C$21, $C$9, 100%, $E$9)</f>
        <v>14.5434</v>
      </c>
      <c r="S513" s="10">
        <f>CHOOSE(CONTROL!$C$42, 12.8899, 12.8899) * CHOOSE(CONTROL!$C$21, $C$9, 100%, $E$9)</f>
        <v>12.889900000000001</v>
      </c>
      <c r="T51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13" s="38">
        <f>(1000*CHOOSE(CONTROL!$C$42, 695, 695)*CHOOSE(CONTROL!$C$42, 0.5599, 0.5599)*CHOOSE(CONTROL!$C$42, 30, 30))/1000000</f>
        <v>11.673914999999997</v>
      </c>
      <c r="V513" s="38">
        <f>(1000*CHOOSE(CONTROL!$C$42, 500, 500)*CHOOSE(CONTROL!$C$42, 0.275, 0.275)*CHOOSE(CONTROL!$C$42, 30, 30))/1000000</f>
        <v>4.125</v>
      </c>
      <c r="W513" s="38">
        <f>(1000*CHOOSE(CONTROL!$C$42, 0.1146, 0.1146)*CHOOSE(CONTROL!$C$42, 121.5, 121.5)*CHOOSE(CONTROL!$C$42, 30, 30))/1000000</f>
        <v>0.417717</v>
      </c>
      <c r="X513" s="38">
        <f>(30*0.1790888*245000/1000000)+(30*0.2374*100000/1000000)</f>
        <v>2.0285026799999999</v>
      </c>
      <c r="Y513" s="38">
        <f>(1000*600*CHOOSE(CONTROL!$C$42, 1.0619, 1.0619)*CHOOSE(CONTROL!$C$42, 30, 30))/1000000</f>
        <v>19.1142</v>
      </c>
      <c r="Z513" s="38"/>
      <c r="AA513" s="10"/>
      <c r="AB513" s="39"/>
      <c r="AC513" s="33">
        <f>(B513*194.205+C513*267.466+D513*133.845+E513*53.484+F513*40+G513*185+H513*0+I513*100+J513*300)/(194.205+267.466+133.845+53.484+0+40+185+100+300)</f>
        <v>13.300088902825747</v>
      </c>
      <c r="AD513" s="27">
        <f>(M513*'RAP TEMPLATE-GAS AVAILABILITY'!O512+N513*'RAP TEMPLATE-GAS AVAILABILITY'!P512+O513*'RAP TEMPLATE-GAS AVAILABILITY'!Q512+P513*'RAP TEMPLATE-GAS AVAILABILITY'!R512)/('RAP TEMPLATE-GAS AVAILABILITY'!O512+'RAP TEMPLATE-GAS AVAILABILITY'!P512+'RAP TEMPLATE-GAS AVAILABILITY'!Q512+'RAP TEMPLATE-GAS AVAILABILITY'!R512)</f>
        <v>13.160291366906476</v>
      </c>
    </row>
    <row r="514" spans="1:30" ht="15.75">
      <c r="A514" s="13">
        <v>56918</v>
      </c>
      <c r="B514" s="10">
        <f>CHOOSE(CONTROL!$C$42, 13.0244, 13.0244) * CHOOSE(CONTROL!$C$21, $C$9, 100%, $E$9)</f>
        <v>13.0244</v>
      </c>
      <c r="C514" s="10">
        <f>CHOOSE(CONTROL!$C$42, 13.0297, 13.0297) * CHOOSE(CONTROL!$C$21, $C$9, 100%, $E$9)</f>
        <v>13.0297</v>
      </c>
      <c r="D514" s="10">
        <f>CHOOSE(CONTROL!$C$42, 13.1916, 13.1916) * CHOOSE(CONTROL!$C$21, $C$9, 100%, $E$9)</f>
        <v>13.191599999999999</v>
      </c>
      <c r="E514" s="10">
        <f>CHOOSE(CONTROL!$C$42, 13.2206, 13.2206) * CHOOSE(CONTROL!$C$21, $C$9, 100%, $E$9)</f>
        <v>13.220599999999999</v>
      </c>
      <c r="F514" s="10">
        <f>CHOOSE(CONTROL!$C$42, 12.9708, 12.9708)*CHOOSE(CONTROL!$C$21, $C$9, 100%, $E$9)</f>
        <v>12.970800000000001</v>
      </c>
      <c r="G514" s="10">
        <f>CHOOSE(CONTROL!$C$42, 12.9866, 12.9866)*CHOOSE(CONTROL!$C$21, $C$9, 100%, $E$9)</f>
        <v>12.986599999999999</v>
      </c>
      <c r="H514" s="10">
        <f>CHOOSE(CONTROL!$C$42, 13.2107, 13.2107) * CHOOSE(CONTROL!$C$21, $C$9, 100%, $E$9)</f>
        <v>13.210699999999999</v>
      </c>
      <c r="I514" s="10">
        <f>CHOOSE(CONTROL!$C$42, 13.0049, 13.0049)* CHOOSE(CONTROL!$C$21, $C$9, 100%, $E$9)</f>
        <v>13.004899999999999</v>
      </c>
      <c r="J514" s="10">
        <f>CHOOSE(CONTROL!$C$42, 12.9634, 12.9634)* CHOOSE(CONTROL!$C$21, $C$9, 100%, $E$9)</f>
        <v>12.9634</v>
      </c>
      <c r="K514" s="10">
        <f>CHOOSE(CONTROL!$C$42, 12.7593, 12.7593) * CHOOSE(CONTROL!$C$21, $C$9, 100%, $E$9)</f>
        <v>12.7593</v>
      </c>
      <c r="L514" s="10">
        <f>CHOOSE(CONTROL!$C$42, 13.7977, 13.7977) * CHOOSE(CONTROL!$C$21, $C$9, 100%, $E$9)</f>
        <v>13.797700000000001</v>
      </c>
      <c r="M514" s="10">
        <f>CHOOSE(CONTROL!$C$42, 12.8155, 12.8155) * CHOOSE(CONTROL!$C$21, $C$9, 100%, $E$9)</f>
        <v>12.8155</v>
      </c>
      <c r="N514" s="10">
        <f>CHOOSE(CONTROL!$C$42, 12.8311, 12.8311) * CHOOSE(CONTROL!$C$21, $C$9, 100%, $E$9)</f>
        <v>12.831099999999999</v>
      </c>
      <c r="O514" s="10">
        <f>CHOOSE(CONTROL!$C$42, 13.0594, 13.0594) * CHOOSE(CONTROL!$C$21, $C$9, 100%, $E$9)</f>
        <v>13.0594</v>
      </c>
      <c r="P514" s="10">
        <f>CHOOSE(CONTROL!$C$42, 12.8565, 12.8565) * CHOOSE(CONTROL!$C$21, $C$9, 100%, $E$9)</f>
        <v>12.8565</v>
      </c>
      <c r="Q514" s="10">
        <f>CHOOSE(CONTROL!$C$42, 13.6547, 13.6547) * CHOOSE(CONTROL!$C$21, $C$9, 100%, $E$9)</f>
        <v>13.6547</v>
      </c>
      <c r="R514" s="10">
        <f>CHOOSE(CONTROL!$C$42, 14.2758, 14.2758) * CHOOSE(CONTROL!$C$21, $C$9, 100%, $E$9)</f>
        <v>14.2758</v>
      </c>
      <c r="S514" s="10">
        <f>CHOOSE(CONTROL!$C$42, 12.6278, 12.6278) * CHOOSE(CONTROL!$C$21, $C$9, 100%, $E$9)</f>
        <v>12.627800000000001</v>
      </c>
      <c r="T51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14" s="38">
        <f>(1000*CHOOSE(CONTROL!$C$42, 695, 695)*CHOOSE(CONTROL!$C$42, 0.5599, 0.5599)*CHOOSE(CONTROL!$C$42, 31, 31))/1000000</f>
        <v>12.063045499999998</v>
      </c>
      <c r="V514" s="38">
        <f>(1000*CHOOSE(CONTROL!$C$42, 500, 500)*CHOOSE(CONTROL!$C$42, 0.275, 0.275)*CHOOSE(CONTROL!$C$42, 31, 31))/1000000</f>
        <v>4.2625000000000002</v>
      </c>
      <c r="W514" s="38">
        <f>(1000*CHOOSE(CONTROL!$C$42, 0.1146, 0.1146)*CHOOSE(CONTROL!$C$42, 121.5, 121.5)*CHOOSE(CONTROL!$C$42, 31, 31))/1000000</f>
        <v>0.43164089999999994</v>
      </c>
      <c r="X514" s="38">
        <f>(31*0.1790888*245000/1000000)+(31*0.2374*100000/1000000)</f>
        <v>2.0961194359999999</v>
      </c>
      <c r="Y514" s="38">
        <f>(1000*600*CHOOSE(CONTROL!$C$42, 1.0619, 1.0619)*CHOOSE(CONTROL!$C$42, 31, 31))/1000000</f>
        <v>19.751339999999999</v>
      </c>
      <c r="Z514" s="38"/>
      <c r="AA514" s="10"/>
      <c r="AB514" s="39"/>
      <c r="AC514" s="33">
        <f>(B514*131.881+C514*277.167+D514*79.08+E514*125.872+F514*40+G514*185+H514*0+I514*100+J514*300)/(131.881+277.167+79.08+125.872+0+40+185+100+300)</f>
        <v>13.032471224778048</v>
      </c>
      <c r="AD514" s="27">
        <f>(M514*'RAP TEMPLATE-GAS AVAILABILITY'!O513+N514*'RAP TEMPLATE-GAS AVAILABILITY'!P513+O514*'RAP TEMPLATE-GAS AVAILABILITY'!Q513+P514*'RAP TEMPLATE-GAS AVAILABILITY'!R513)/('RAP TEMPLATE-GAS AVAILABILITY'!O513+'RAP TEMPLATE-GAS AVAILABILITY'!P513+'RAP TEMPLATE-GAS AVAILABILITY'!Q513+'RAP TEMPLATE-GAS AVAILABILITY'!R513)</f>
        <v>12.893423021582734</v>
      </c>
    </row>
    <row r="515" spans="1:30" ht="15.75">
      <c r="A515" s="13">
        <v>56948</v>
      </c>
      <c r="B515" s="10">
        <f>CHOOSE(CONTROL!$C$42, 13.3675, 13.3675) * CHOOSE(CONTROL!$C$21, $C$9, 100%, $E$9)</f>
        <v>13.3675</v>
      </c>
      <c r="C515" s="10">
        <f>CHOOSE(CONTROL!$C$42, 13.3726, 13.3726) * CHOOSE(CONTROL!$C$21, $C$9, 100%, $E$9)</f>
        <v>13.3726</v>
      </c>
      <c r="D515" s="10">
        <f>CHOOSE(CONTROL!$C$42, 13.3973, 13.3973) * CHOOSE(CONTROL!$C$21, $C$9, 100%, $E$9)</f>
        <v>13.3973</v>
      </c>
      <c r="E515" s="10">
        <f>CHOOSE(CONTROL!$C$42, 13.4311, 13.4311) * CHOOSE(CONTROL!$C$21, $C$9, 100%, $E$9)</f>
        <v>13.431100000000001</v>
      </c>
      <c r="F515" s="10">
        <f>CHOOSE(CONTROL!$C$42, 13.3358, 13.3358)*CHOOSE(CONTROL!$C$21, $C$9, 100%, $E$9)</f>
        <v>13.335800000000001</v>
      </c>
      <c r="G515" s="10">
        <f>CHOOSE(CONTROL!$C$42, 13.3518, 13.3518)*CHOOSE(CONTROL!$C$21, $C$9, 100%, $E$9)</f>
        <v>13.351800000000001</v>
      </c>
      <c r="H515" s="10">
        <f>CHOOSE(CONTROL!$C$42, 13.42, 13.42) * CHOOSE(CONTROL!$C$21, $C$9, 100%, $E$9)</f>
        <v>13.42</v>
      </c>
      <c r="I515" s="10">
        <f>CHOOSE(CONTROL!$C$42, 13.3825, 13.3825)* CHOOSE(CONTROL!$C$21, $C$9, 100%, $E$9)</f>
        <v>13.3825</v>
      </c>
      <c r="J515" s="10">
        <f>CHOOSE(CONTROL!$C$42, 13.3284, 13.3284)* CHOOSE(CONTROL!$C$21, $C$9, 100%, $E$9)</f>
        <v>13.3284</v>
      </c>
      <c r="K515" s="10">
        <f>CHOOSE(CONTROL!$C$42, 13.1273, 13.1273) * CHOOSE(CONTROL!$C$21, $C$9, 100%, $E$9)</f>
        <v>13.1273</v>
      </c>
      <c r="L515" s="10">
        <f>CHOOSE(CONTROL!$C$42, 14.007, 14.007) * CHOOSE(CONTROL!$C$21, $C$9, 100%, $E$9)</f>
        <v>14.007</v>
      </c>
      <c r="M515" s="10">
        <f>CHOOSE(CONTROL!$C$42, 13.1755, 13.1755) * CHOOSE(CONTROL!$C$21, $C$9, 100%, $E$9)</f>
        <v>13.1755</v>
      </c>
      <c r="N515" s="10">
        <f>CHOOSE(CONTROL!$C$42, 13.1913, 13.1913) * CHOOSE(CONTROL!$C$21, $C$9, 100%, $E$9)</f>
        <v>13.1913</v>
      </c>
      <c r="O515" s="10">
        <f>CHOOSE(CONTROL!$C$42, 13.2658, 13.2658) * CHOOSE(CONTROL!$C$21, $C$9, 100%, $E$9)</f>
        <v>13.2658</v>
      </c>
      <c r="P515" s="10">
        <f>CHOOSE(CONTROL!$C$42, 13.2289, 13.2289) * CHOOSE(CONTROL!$C$21, $C$9, 100%, $E$9)</f>
        <v>13.228899999999999</v>
      </c>
      <c r="Q515" s="10">
        <f>CHOOSE(CONTROL!$C$42, 13.8611, 13.8611) * CHOOSE(CONTROL!$C$21, $C$9, 100%, $E$9)</f>
        <v>13.8611</v>
      </c>
      <c r="R515" s="10">
        <f>CHOOSE(CONTROL!$C$42, 14.4827, 14.4827) * CHOOSE(CONTROL!$C$21, $C$9, 100%, $E$9)</f>
        <v>14.482699999999999</v>
      </c>
      <c r="S515" s="10">
        <f>CHOOSE(CONTROL!$C$42, 12.9604, 12.9604) * CHOOSE(CONTROL!$C$21, $C$9, 100%, $E$9)</f>
        <v>12.9604</v>
      </c>
      <c r="T51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15" s="38">
        <f>(1000*CHOOSE(CONTROL!$C$42, 695, 695)*CHOOSE(CONTROL!$C$42, 0.5599, 0.5599)*CHOOSE(CONTROL!$C$42, 30, 30))/1000000</f>
        <v>11.673914999999997</v>
      </c>
      <c r="V515" s="38">
        <f>(1000*CHOOSE(CONTROL!$C$42, 500, 500)*CHOOSE(CONTROL!$C$42, 0.275, 0.275)*CHOOSE(CONTROL!$C$42, 30, 30))/1000000</f>
        <v>4.125</v>
      </c>
      <c r="W515" s="38">
        <f>(1000*CHOOSE(CONTROL!$C$42, 0.1146, 0.1146)*CHOOSE(CONTROL!$C$42, 121.5, 121.5)*CHOOSE(CONTROL!$C$42, 30, 30))/1000000</f>
        <v>0.417717</v>
      </c>
      <c r="X515" s="38">
        <f>(30*0.1790888*100000/1000000)+(30*0.2374*100000/1000000)</f>
        <v>1.2494664</v>
      </c>
      <c r="Y515" s="38">
        <f>(1000*600*CHOOSE(CONTROL!$C$42, 1.0619, 1.0619)*CHOOSE(CONTROL!$C$42, 30, 30))/1000000</f>
        <v>19.1142</v>
      </c>
      <c r="Z515" s="38"/>
      <c r="AA515" s="10"/>
      <c r="AB515" s="39"/>
      <c r="AC515" s="33">
        <f>(B515*122.58+C515*297.941+D515*89.177+E515*40.302+F515*40+G515*160+H515*0+I515*100+J515*300)/(122.58+297.941+89.177+40.302+0+40+160+100+300)</f>
        <v>13.361178418173914</v>
      </c>
      <c r="AD515" s="27">
        <f>(M515*'RAP TEMPLATE-GAS AVAILABILITY'!O514+N515*'RAP TEMPLATE-GAS AVAILABILITY'!P514+O515*'RAP TEMPLATE-GAS AVAILABILITY'!Q514+P515*'RAP TEMPLATE-GAS AVAILABILITY'!R514)/('RAP TEMPLATE-GAS AVAILABILITY'!O514+'RAP TEMPLATE-GAS AVAILABILITY'!P514+'RAP TEMPLATE-GAS AVAILABILITY'!Q514+'RAP TEMPLATE-GAS AVAILABILITY'!R514)</f>
        <v>13.22502014388489</v>
      </c>
    </row>
    <row r="516" spans="1:30" ht="15.75">
      <c r="A516" s="13">
        <v>56979</v>
      </c>
      <c r="B516" s="10">
        <f>CHOOSE(CONTROL!$C$42, 14.28, 14.28) * CHOOSE(CONTROL!$C$21, $C$9, 100%, $E$9)</f>
        <v>14.28</v>
      </c>
      <c r="C516" s="10">
        <f>CHOOSE(CONTROL!$C$42, 14.2851, 14.2851) * CHOOSE(CONTROL!$C$21, $C$9, 100%, $E$9)</f>
        <v>14.2851</v>
      </c>
      <c r="D516" s="10">
        <f>CHOOSE(CONTROL!$C$42, 14.3098, 14.3098) * CHOOSE(CONTROL!$C$21, $C$9, 100%, $E$9)</f>
        <v>14.309799999999999</v>
      </c>
      <c r="E516" s="10">
        <f>CHOOSE(CONTROL!$C$42, 14.3436, 14.3436) * CHOOSE(CONTROL!$C$21, $C$9, 100%, $E$9)</f>
        <v>14.3436</v>
      </c>
      <c r="F516" s="10">
        <f>CHOOSE(CONTROL!$C$42, 14.2503, 14.2503)*CHOOSE(CONTROL!$C$21, $C$9, 100%, $E$9)</f>
        <v>14.250299999999999</v>
      </c>
      <c r="G516" s="10">
        <f>CHOOSE(CONTROL!$C$42, 14.2667, 14.2667)*CHOOSE(CONTROL!$C$21, $C$9, 100%, $E$9)</f>
        <v>14.2667</v>
      </c>
      <c r="H516" s="10">
        <f>CHOOSE(CONTROL!$C$42, 14.3325, 14.3325) * CHOOSE(CONTROL!$C$21, $C$9, 100%, $E$9)</f>
        <v>14.3325</v>
      </c>
      <c r="I516" s="10">
        <f>CHOOSE(CONTROL!$C$42, 14.295, 14.295)* CHOOSE(CONTROL!$C$21, $C$9, 100%, $E$9)</f>
        <v>14.295</v>
      </c>
      <c r="J516" s="10">
        <f>CHOOSE(CONTROL!$C$42, 14.2429, 14.2429)* CHOOSE(CONTROL!$C$21, $C$9, 100%, $E$9)</f>
        <v>14.242900000000001</v>
      </c>
      <c r="K516" s="10">
        <f>CHOOSE(CONTROL!$C$42, 14.0155, 14.0155) * CHOOSE(CONTROL!$C$21, $C$9, 100%, $E$9)</f>
        <v>14.015499999999999</v>
      </c>
      <c r="L516" s="10">
        <f>CHOOSE(CONTROL!$C$42, 14.9195, 14.9195) * CHOOSE(CONTROL!$C$21, $C$9, 100%, $E$9)</f>
        <v>14.919499999999999</v>
      </c>
      <c r="M516" s="10">
        <f>CHOOSE(CONTROL!$C$42, 14.0772, 14.0772) * CHOOSE(CONTROL!$C$21, $C$9, 100%, $E$9)</f>
        <v>14.077199999999999</v>
      </c>
      <c r="N516" s="10">
        <f>CHOOSE(CONTROL!$C$42, 14.0934, 14.0934) * CHOOSE(CONTROL!$C$21, $C$9, 100%, $E$9)</f>
        <v>14.093400000000001</v>
      </c>
      <c r="O516" s="10">
        <f>CHOOSE(CONTROL!$C$42, 14.1655, 14.1655) * CHOOSE(CONTROL!$C$21, $C$9, 100%, $E$9)</f>
        <v>14.1655</v>
      </c>
      <c r="P516" s="10">
        <f>CHOOSE(CONTROL!$C$42, 14.1286, 14.1286) * CHOOSE(CONTROL!$C$21, $C$9, 100%, $E$9)</f>
        <v>14.1286</v>
      </c>
      <c r="Q516" s="10">
        <f>CHOOSE(CONTROL!$C$42, 14.7608, 14.7608) * CHOOSE(CONTROL!$C$21, $C$9, 100%, $E$9)</f>
        <v>14.7608</v>
      </c>
      <c r="R516" s="10">
        <f>CHOOSE(CONTROL!$C$42, 15.3847, 15.3847) * CHOOSE(CONTROL!$C$21, $C$9, 100%, $E$9)</f>
        <v>15.3847</v>
      </c>
      <c r="S516" s="10">
        <f>CHOOSE(CONTROL!$C$42, 13.844, 13.844) * CHOOSE(CONTROL!$C$21, $C$9, 100%, $E$9)</f>
        <v>13.843999999999999</v>
      </c>
      <c r="T51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16" s="38">
        <f>(1000*CHOOSE(CONTROL!$C$42, 695, 695)*CHOOSE(CONTROL!$C$42, 0.5599, 0.5599)*CHOOSE(CONTROL!$C$42, 31, 31))/1000000</f>
        <v>12.063045499999998</v>
      </c>
      <c r="V516" s="38">
        <f>(1000*CHOOSE(CONTROL!$C$42, 500, 500)*CHOOSE(CONTROL!$C$42, 0.275, 0.275)*CHOOSE(CONTROL!$C$42, 31, 31))/1000000</f>
        <v>4.2625000000000002</v>
      </c>
      <c r="W516" s="38">
        <f>(1000*CHOOSE(CONTROL!$C$42, 0.1146, 0.1146)*CHOOSE(CONTROL!$C$42, 121.5, 121.5)*CHOOSE(CONTROL!$C$42, 31, 31))/1000000</f>
        <v>0.43164089999999994</v>
      </c>
      <c r="X516" s="38">
        <f>(31*0.1790888*100000/1000000)+(31*0.2374*100000/1000000)</f>
        <v>1.2911152800000001</v>
      </c>
      <c r="Y516" s="38">
        <f>(1000*600*CHOOSE(CONTROL!$C$42, 1.0619, 1.0619)*CHOOSE(CONTROL!$C$42, 31, 31))/1000000</f>
        <v>19.751339999999999</v>
      </c>
      <c r="Z516" s="38"/>
      <c r="AA516" s="10"/>
      <c r="AB516" s="39"/>
      <c r="AC516" s="33">
        <f>(B516*122.58+C516*297.941+D516*89.177+E516*40.302+F516*40+G516*160+H516*0+I516*100+J516*300)/(122.58+297.941+89.177+40.302+0+40+160+100+300)</f>
        <v>14.274603635565217</v>
      </c>
      <c r="AD516" s="27">
        <f>(M516*'RAP TEMPLATE-GAS AVAILABILITY'!O515+N516*'RAP TEMPLATE-GAS AVAILABILITY'!P515+O516*'RAP TEMPLATE-GAS AVAILABILITY'!Q515+P516*'RAP TEMPLATE-GAS AVAILABILITY'!R515)/('RAP TEMPLATE-GAS AVAILABILITY'!O515+'RAP TEMPLATE-GAS AVAILABILITY'!P515+'RAP TEMPLATE-GAS AVAILABILITY'!Q515+'RAP TEMPLATE-GAS AVAILABILITY'!R515)</f>
        <v>14.125548920863309</v>
      </c>
    </row>
    <row r="517" spans="1:30" ht="15.75">
      <c r="A517" s="13">
        <v>57010</v>
      </c>
      <c r="B517" s="10">
        <f>CHOOSE(CONTROL!$C$42, 15.2449, 15.2449) * CHOOSE(CONTROL!$C$21, $C$9, 100%, $E$9)</f>
        <v>15.244899999999999</v>
      </c>
      <c r="C517" s="10">
        <f>CHOOSE(CONTROL!$C$42, 15.25, 15.25) * CHOOSE(CONTROL!$C$21, $C$9, 100%, $E$9)</f>
        <v>15.25</v>
      </c>
      <c r="D517" s="10">
        <f>CHOOSE(CONTROL!$C$42, 15.2824, 15.2824) * CHOOSE(CONTROL!$C$21, $C$9, 100%, $E$9)</f>
        <v>15.282400000000001</v>
      </c>
      <c r="E517" s="10">
        <f>CHOOSE(CONTROL!$C$42, 15.3162, 15.3162) * CHOOSE(CONTROL!$C$21, $C$9, 100%, $E$9)</f>
        <v>15.3162</v>
      </c>
      <c r="F517" s="10">
        <f>CHOOSE(CONTROL!$C$42, 15.2291, 15.2291)*CHOOSE(CONTROL!$C$21, $C$9, 100%, $E$9)</f>
        <v>15.229100000000001</v>
      </c>
      <c r="G517" s="10">
        <f>CHOOSE(CONTROL!$C$42, 15.2471, 15.2471)*CHOOSE(CONTROL!$C$21, $C$9, 100%, $E$9)</f>
        <v>15.2471</v>
      </c>
      <c r="H517" s="10">
        <f>CHOOSE(CONTROL!$C$42, 15.3051, 15.3051) * CHOOSE(CONTROL!$C$21, $C$9, 100%, $E$9)</f>
        <v>15.305099999999999</v>
      </c>
      <c r="I517" s="10">
        <f>CHOOSE(CONTROL!$C$42, 15.2583, 15.2583)* CHOOSE(CONTROL!$C$21, $C$9, 100%, $E$9)</f>
        <v>15.2583</v>
      </c>
      <c r="J517" s="10">
        <f>CHOOSE(CONTROL!$C$42, 15.2217, 15.2217)* CHOOSE(CONTROL!$C$21, $C$9, 100%, $E$9)</f>
        <v>15.2217</v>
      </c>
      <c r="K517" s="10">
        <f>CHOOSE(CONTROL!$C$42, 14.9627, 14.9627) * CHOOSE(CONTROL!$C$21, $C$9, 100%, $E$9)</f>
        <v>14.9627</v>
      </c>
      <c r="L517" s="10">
        <f>CHOOSE(CONTROL!$C$42, 15.8921, 15.8921) * CHOOSE(CONTROL!$C$21, $C$9, 100%, $E$9)</f>
        <v>15.892099999999999</v>
      </c>
      <c r="M517" s="10">
        <f>CHOOSE(CONTROL!$C$42, 15.0424, 15.0424) * CHOOSE(CONTROL!$C$21, $C$9, 100%, $E$9)</f>
        <v>15.042400000000001</v>
      </c>
      <c r="N517" s="10">
        <f>CHOOSE(CONTROL!$C$42, 15.0602, 15.0602) * CHOOSE(CONTROL!$C$21, $C$9, 100%, $E$9)</f>
        <v>15.0602</v>
      </c>
      <c r="O517" s="10">
        <f>CHOOSE(CONTROL!$C$42, 15.1246, 15.1246) * CHOOSE(CONTROL!$C$21, $C$9, 100%, $E$9)</f>
        <v>15.124599999999999</v>
      </c>
      <c r="P517" s="10">
        <f>CHOOSE(CONTROL!$C$42, 15.0786, 15.0786) * CHOOSE(CONTROL!$C$21, $C$9, 100%, $E$9)</f>
        <v>15.0786</v>
      </c>
      <c r="Q517" s="10">
        <f>CHOOSE(CONTROL!$C$42, 15.7199, 15.7199) * CHOOSE(CONTROL!$C$21, $C$9, 100%, $E$9)</f>
        <v>15.719900000000001</v>
      </c>
      <c r="R517" s="10">
        <f>CHOOSE(CONTROL!$C$42, 16.3462, 16.3462) * CHOOSE(CONTROL!$C$21, $C$9, 100%, $E$9)</f>
        <v>16.3462</v>
      </c>
      <c r="S517" s="10">
        <f>CHOOSE(CONTROL!$C$42, 14.7783, 14.7783) * CHOOSE(CONTROL!$C$21, $C$9, 100%, $E$9)</f>
        <v>14.7783</v>
      </c>
      <c r="T51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17" s="38">
        <f>(1000*CHOOSE(CONTROL!$C$42, 695, 695)*CHOOSE(CONTROL!$C$42, 0.5599, 0.5599)*CHOOSE(CONTROL!$C$42, 31, 31))/1000000</f>
        <v>12.063045499999998</v>
      </c>
      <c r="V517" s="38">
        <f>(1000*CHOOSE(CONTROL!$C$42, 500, 500)*CHOOSE(CONTROL!$C$42, 0.275, 0.275)*CHOOSE(CONTROL!$C$42, 31, 31))/1000000</f>
        <v>4.2625000000000002</v>
      </c>
      <c r="W517" s="38">
        <f>(1000*CHOOSE(CONTROL!$C$42, 0.1146, 0.1146)*CHOOSE(CONTROL!$C$42, 121.5, 121.5)*CHOOSE(CONTROL!$C$42, 31, 31))/1000000</f>
        <v>0.43164089999999994</v>
      </c>
      <c r="X517" s="38">
        <f>(31*0.1790888*100000/1000000)+(31*0.2374*100000/1000000)</f>
        <v>1.2911152800000001</v>
      </c>
      <c r="Y517" s="38">
        <f>(1000*600*CHOOSE(CONTROL!$C$42, 1.0585, 1.0585)*CHOOSE(CONTROL!$C$42, 31, 31))/1000000</f>
        <v>19.688099999999999</v>
      </c>
      <c r="Z517" s="38"/>
      <c r="AA517" s="10"/>
      <c r="AB517" s="39"/>
      <c r="AC517" s="33">
        <f>(B517*122.58+C517*297.941+D517*89.177+E517*40.302+F517*40+G517*160+H517*0+I517*100+J517*300)/(122.58+297.941+89.177+40.302+0+40+160+100+300)</f>
        <v>15.246497538434785</v>
      </c>
      <c r="AD517" s="27">
        <f>(M517*'RAP TEMPLATE-GAS AVAILABILITY'!O516+N517*'RAP TEMPLATE-GAS AVAILABILITY'!P516+O517*'RAP TEMPLATE-GAS AVAILABILITY'!Q516+P517*'RAP TEMPLATE-GAS AVAILABILITY'!R516)/('RAP TEMPLATE-GAS AVAILABILITY'!O516+'RAP TEMPLATE-GAS AVAILABILITY'!P516+'RAP TEMPLATE-GAS AVAILABILITY'!Q516+'RAP TEMPLATE-GAS AVAILABILITY'!R516)</f>
        <v>15.085889208633095</v>
      </c>
    </row>
    <row r="518" spans="1:30" ht="15.75">
      <c r="A518" s="13">
        <v>57038</v>
      </c>
      <c r="B518" s="10">
        <f>CHOOSE(CONTROL!$C$42, 15.5166, 15.5166) * CHOOSE(CONTROL!$C$21, $C$9, 100%, $E$9)</f>
        <v>15.5166</v>
      </c>
      <c r="C518" s="10">
        <f>CHOOSE(CONTROL!$C$42, 15.5217, 15.5217) * CHOOSE(CONTROL!$C$21, $C$9, 100%, $E$9)</f>
        <v>15.521699999999999</v>
      </c>
      <c r="D518" s="10">
        <f>CHOOSE(CONTROL!$C$42, 15.5541, 15.5541) * CHOOSE(CONTROL!$C$21, $C$9, 100%, $E$9)</f>
        <v>15.5541</v>
      </c>
      <c r="E518" s="10">
        <f>CHOOSE(CONTROL!$C$42, 15.5879, 15.5879) * CHOOSE(CONTROL!$C$21, $C$9, 100%, $E$9)</f>
        <v>15.587899999999999</v>
      </c>
      <c r="F518" s="10">
        <f>CHOOSE(CONTROL!$C$42, 15.5003, 15.5003)*CHOOSE(CONTROL!$C$21, $C$9, 100%, $E$9)</f>
        <v>15.500299999999999</v>
      </c>
      <c r="G518" s="10">
        <f>CHOOSE(CONTROL!$C$42, 15.5182, 15.5182)*CHOOSE(CONTROL!$C$21, $C$9, 100%, $E$9)</f>
        <v>15.5182</v>
      </c>
      <c r="H518" s="10">
        <f>CHOOSE(CONTROL!$C$42, 15.5768, 15.5768) * CHOOSE(CONTROL!$C$21, $C$9, 100%, $E$9)</f>
        <v>15.5768</v>
      </c>
      <c r="I518" s="10">
        <f>CHOOSE(CONTROL!$C$42, 15.53, 15.53)* CHOOSE(CONTROL!$C$21, $C$9, 100%, $E$9)</f>
        <v>15.53</v>
      </c>
      <c r="J518" s="10">
        <f>CHOOSE(CONTROL!$C$42, 15.4929, 15.4929)* CHOOSE(CONTROL!$C$21, $C$9, 100%, $E$9)</f>
        <v>15.492900000000001</v>
      </c>
      <c r="K518" s="10">
        <f>CHOOSE(CONTROL!$C$42, 15.2249, 15.2249) * CHOOSE(CONTROL!$C$21, $C$9, 100%, $E$9)</f>
        <v>15.2249</v>
      </c>
      <c r="L518" s="10">
        <f>CHOOSE(CONTROL!$C$42, 16.1638, 16.1638) * CHOOSE(CONTROL!$C$21, $C$9, 100%, $E$9)</f>
        <v>16.163799999999998</v>
      </c>
      <c r="M518" s="10">
        <f>CHOOSE(CONTROL!$C$42, 15.3098, 15.3098) * CHOOSE(CONTROL!$C$21, $C$9, 100%, $E$9)</f>
        <v>15.309799999999999</v>
      </c>
      <c r="N518" s="10">
        <f>CHOOSE(CONTROL!$C$42, 15.3275, 15.3275) * CHOOSE(CONTROL!$C$21, $C$9, 100%, $E$9)</f>
        <v>15.327500000000001</v>
      </c>
      <c r="O518" s="10">
        <f>CHOOSE(CONTROL!$C$42, 15.3925, 15.3925) * CHOOSE(CONTROL!$C$21, $C$9, 100%, $E$9)</f>
        <v>15.3925</v>
      </c>
      <c r="P518" s="10">
        <f>CHOOSE(CONTROL!$C$42, 15.3464, 15.3464) * CHOOSE(CONTROL!$C$21, $C$9, 100%, $E$9)</f>
        <v>15.346399999999999</v>
      </c>
      <c r="Q518" s="10">
        <f>CHOOSE(CONTROL!$C$42, 15.9878, 15.9878) * CHOOSE(CONTROL!$C$21, $C$9, 100%, $E$9)</f>
        <v>15.9878</v>
      </c>
      <c r="R518" s="10">
        <f>CHOOSE(CONTROL!$C$42, 16.6148, 16.6148) * CHOOSE(CONTROL!$C$21, $C$9, 100%, $E$9)</f>
        <v>16.614799999999999</v>
      </c>
      <c r="S518" s="10">
        <f>CHOOSE(CONTROL!$C$42, 15.0414, 15.0414) * CHOOSE(CONTROL!$C$21, $C$9, 100%, $E$9)</f>
        <v>15.041399999999999</v>
      </c>
      <c r="T518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518" s="38">
        <f>(1000*CHOOSE(CONTROL!$C$42, 695, 695)*CHOOSE(CONTROL!$C$42, 0.5599, 0.5599)*CHOOSE(CONTROL!$C$42, 29, 29))/1000000</f>
        <v>11.284784499999999</v>
      </c>
      <c r="V518" s="38">
        <f>(1000*CHOOSE(CONTROL!$C$42, 500, 500)*CHOOSE(CONTROL!$C$42, 0.275, 0.275)*CHOOSE(CONTROL!$C$42, 29, 29))/1000000</f>
        <v>3.9874999999999998</v>
      </c>
      <c r="W518" s="38">
        <f>(1000*CHOOSE(CONTROL!$C$42, 0.1146, 0.1146)*CHOOSE(CONTROL!$C$42, 121.5, 121.5)*CHOOSE(CONTROL!$C$42, 29, 29))/1000000</f>
        <v>0.40379309999999996</v>
      </c>
      <c r="X518" s="38">
        <f>(29*0.1790888*100000/1000000)+(29*0.2374*100000/1000000)</f>
        <v>1.2078175199999999</v>
      </c>
      <c r="Y518" s="38">
        <f>(1000*600*CHOOSE(CONTROL!$C$42, 1.0585, 1.0585)*CHOOSE(CONTROL!$C$42, 29, 29))/1000000</f>
        <v>18.417899999999999</v>
      </c>
      <c r="Z518" s="38"/>
      <c r="AA518" s="10"/>
      <c r="AB518" s="39"/>
      <c r="AC518" s="33">
        <f>(B518*122.58+C518*297.941+D518*89.177+E518*40.302+F518*40+G518*160+H518*0+I518*100+J518*300)/(122.58+297.941+89.177+40.302+0+40+160+100+300)</f>
        <v>15.517966234086957</v>
      </c>
      <c r="AD518" s="27">
        <f>(M518*'RAP TEMPLATE-GAS AVAILABILITY'!O517+N518*'RAP TEMPLATE-GAS AVAILABILITY'!P517+O518*'RAP TEMPLATE-GAS AVAILABILITY'!Q517+P518*'RAP TEMPLATE-GAS AVAILABILITY'!R517)/('RAP TEMPLATE-GAS AVAILABILITY'!O517+'RAP TEMPLATE-GAS AVAILABILITY'!P517+'RAP TEMPLATE-GAS AVAILABILITY'!Q517+'RAP TEMPLATE-GAS AVAILABILITY'!R517)</f>
        <v>15.353567625899279</v>
      </c>
    </row>
    <row r="519" spans="1:30" ht="15.75">
      <c r="A519" s="13">
        <v>57070</v>
      </c>
      <c r="B519" s="10">
        <f>CHOOSE(CONTROL!$C$42, 15.0756, 15.0756) * CHOOSE(CONTROL!$C$21, $C$9, 100%, $E$9)</f>
        <v>15.0756</v>
      </c>
      <c r="C519" s="10">
        <f>CHOOSE(CONTROL!$C$42, 15.0807, 15.0807) * CHOOSE(CONTROL!$C$21, $C$9, 100%, $E$9)</f>
        <v>15.0807</v>
      </c>
      <c r="D519" s="10">
        <f>CHOOSE(CONTROL!$C$42, 15.1131, 15.1131) * CHOOSE(CONTROL!$C$21, $C$9, 100%, $E$9)</f>
        <v>15.113099999999999</v>
      </c>
      <c r="E519" s="10">
        <f>CHOOSE(CONTROL!$C$42, 15.1469, 15.1469) * CHOOSE(CONTROL!$C$21, $C$9, 100%, $E$9)</f>
        <v>15.1469</v>
      </c>
      <c r="F519" s="10">
        <f>CHOOSE(CONTROL!$C$42, 15.0578, 15.0578)*CHOOSE(CONTROL!$C$21, $C$9, 100%, $E$9)</f>
        <v>15.0578</v>
      </c>
      <c r="G519" s="10">
        <f>CHOOSE(CONTROL!$C$42, 15.0754, 15.0754)*CHOOSE(CONTROL!$C$21, $C$9, 100%, $E$9)</f>
        <v>15.0754</v>
      </c>
      <c r="H519" s="10">
        <f>CHOOSE(CONTROL!$C$42, 15.1358, 15.1358) * CHOOSE(CONTROL!$C$21, $C$9, 100%, $E$9)</f>
        <v>15.1358</v>
      </c>
      <c r="I519" s="10">
        <f>CHOOSE(CONTROL!$C$42, 15.089, 15.089)* CHOOSE(CONTROL!$C$21, $C$9, 100%, $E$9)</f>
        <v>15.089</v>
      </c>
      <c r="J519" s="10">
        <f>CHOOSE(CONTROL!$C$42, 15.0504, 15.0504)* CHOOSE(CONTROL!$C$21, $C$9, 100%, $E$9)</f>
        <v>15.0504</v>
      </c>
      <c r="K519" s="10">
        <f>CHOOSE(CONTROL!$C$42, 14.7945, 14.7945) * CHOOSE(CONTROL!$C$21, $C$9, 100%, $E$9)</f>
        <v>14.794499999999999</v>
      </c>
      <c r="L519" s="10">
        <f>CHOOSE(CONTROL!$C$42, 15.7228, 15.7228) * CHOOSE(CONTROL!$C$21, $C$9, 100%, $E$9)</f>
        <v>15.722799999999999</v>
      </c>
      <c r="M519" s="10">
        <f>CHOOSE(CONTROL!$C$42, 14.8735, 14.8735) * CHOOSE(CONTROL!$C$21, $C$9, 100%, $E$9)</f>
        <v>14.8735</v>
      </c>
      <c r="N519" s="10">
        <f>CHOOSE(CONTROL!$C$42, 14.8908, 14.8908) * CHOOSE(CONTROL!$C$21, $C$9, 100%, $E$9)</f>
        <v>14.8908</v>
      </c>
      <c r="O519" s="10">
        <f>CHOOSE(CONTROL!$C$42, 14.9577, 14.9577) * CHOOSE(CONTROL!$C$21, $C$9, 100%, $E$9)</f>
        <v>14.957700000000001</v>
      </c>
      <c r="P519" s="10">
        <f>CHOOSE(CONTROL!$C$42, 14.9116, 14.9116) * CHOOSE(CONTROL!$C$21, $C$9, 100%, $E$9)</f>
        <v>14.9116</v>
      </c>
      <c r="Q519" s="10">
        <f>CHOOSE(CONTROL!$C$42, 15.553, 15.553) * CHOOSE(CONTROL!$C$21, $C$9, 100%, $E$9)</f>
        <v>15.553000000000001</v>
      </c>
      <c r="R519" s="10">
        <f>CHOOSE(CONTROL!$C$42, 16.1789, 16.1789) * CHOOSE(CONTROL!$C$21, $C$9, 100%, $E$9)</f>
        <v>16.178899999999999</v>
      </c>
      <c r="S519" s="10">
        <f>CHOOSE(CONTROL!$C$42, 14.6144, 14.6144) * CHOOSE(CONTROL!$C$21, $C$9, 100%, $E$9)</f>
        <v>14.6144</v>
      </c>
      <c r="T51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19" s="38">
        <f>(1000*CHOOSE(CONTROL!$C$42, 695, 695)*CHOOSE(CONTROL!$C$42, 0.5599, 0.5599)*CHOOSE(CONTROL!$C$42, 31, 31))/1000000</f>
        <v>12.063045499999998</v>
      </c>
      <c r="V519" s="38">
        <f>(1000*CHOOSE(CONTROL!$C$42, 500, 500)*CHOOSE(CONTROL!$C$42, 0.275, 0.275)*CHOOSE(CONTROL!$C$42, 31, 31))/1000000</f>
        <v>4.2625000000000002</v>
      </c>
      <c r="W519" s="38">
        <f>(1000*CHOOSE(CONTROL!$C$42, 0.1146, 0.1146)*CHOOSE(CONTROL!$C$42, 121.5, 121.5)*CHOOSE(CONTROL!$C$42, 31, 31))/1000000</f>
        <v>0.43164089999999994</v>
      </c>
      <c r="X519" s="38">
        <f>(31*0.1790888*100000/1000000)+(31*0.2374*100000/1000000)</f>
        <v>1.2911152800000001</v>
      </c>
      <c r="Y519" s="38">
        <f>(1000*600*CHOOSE(CONTROL!$C$42, 1.0585, 1.0585)*CHOOSE(CONTROL!$C$42, 31, 31))/1000000</f>
        <v>19.688099999999999</v>
      </c>
      <c r="Z519" s="38"/>
      <c r="AA519" s="10"/>
      <c r="AB519" s="39"/>
      <c r="AC519" s="33">
        <f>(B519*122.58+C519*297.941+D519*89.177+E519*40.302+F519*40+G519*160+H519*0+I519*100+J519*300)/(122.58+297.941+89.177+40.302+0+40+160+100+300)</f>
        <v>15.076272321043479</v>
      </c>
      <c r="AD519" s="27">
        <f>(M519*'RAP TEMPLATE-GAS AVAILABILITY'!O518+N519*'RAP TEMPLATE-GAS AVAILABILITY'!P518+O519*'RAP TEMPLATE-GAS AVAILABILITY'!Q518+P519*'RAP TEMPLATE-GAS AVAILABILITY'!R518)/('RAP TEMPLATE-GAS AVAILABILITY'!O518+'RAP TEMPLATE-GAS AVAILABILITY'!P518+'RAP TEMPLATE-GAS AVAILABILITY'!Q518+'RAP TEMPLATE-GAS AVAILABILITY'!R518)</f>
        <v>14.918140287769784</v>
      </c>
    </row>
    <row r="520" spans="1:30" ht="15.75">
      <c r="A520" s="13">
        <v>57100</v>
      </c>
      <c r="B520" s="10">
        <f>CHOOSE(CONTROL!$C$42, 15.0312, 15.0312) * CHOOSE(CONTROL!$C$21, $C$9, 100%, $E$9)</f>
        <v>15.0312</v>
      </c>
      <c r="C520" s="10">
        <f>CHOOSE(CONTROL!$C$42, 15.0357, 15.0357) * CHOOSE(CONTROL!$C$21, $C$9, 100%, $E$9)</f>
        <v>15.0357</v>
      </c>
      <c r="D520" s="10">
        <f>CHOOSE(CONTROL!$C$42, 15.1958, 15.1958) * CHOOSE(CONTROL!$C$21, $C$9, 100%, $E$9)</f>
        <v>15.1958</v>
      </c>
      <c r="E520" s="10">
        <f>CHOOSE(CONTROL!$C$42, 15.2277, 15.2277) * CHOOSE(CONTROL!$C$21, $C$9, 100%, $E$9)</f>
        <v>15.2277</v>
      </c>
      <c r="F520" s="10">
        <f>CHOOSE(CONTROL!$C$42, 14.9773, 14.9773)*CHOOSE(CONTROL!$C$21, $C$9, 100%, $E$9)</f>
        <v>14.9773</v>
      </c>
      <c r="G520" s="10">
        <f>CHOOSE(CONTROL!$C$42, 14.9931, 14.9931)*CHOOSE(CONTROL!$C$21, $C$9, 100%, $E$9)</f>
        <v>14.9931</v>
      </c>
      <c r="H520" s="10">
        <f>CHOOSE(CONTROL!$C$42, 15.2171, 15.2171) * CHOOSE(CONTROL!$C$21, $C$9, 100%, $E$9)</f>
        <v>15.2171</v>
      </c>
      <c r="I520" s="10">
        <f>CHOOSE(CONTROL!$C$42, 15.0113, 15.0113)* CHOOSE(CONTROL!$C$21, $C$9, 100%, $E$9)</f>
        <v>15.0113</v>
      </c>
      <c r="J520" s="10">
        <f>CHOOSE(CONTROL!$C$42, 14.9699, 14.9699)* CHOOSE(CONTROL!$C$21, $C$9, 100%, $E$9)</f>
        <v>14.969900000000001</v>
      </c>
      <c r="K520" s="10">
        <f>CHOOSE(CONTROL!$C$42, 14.7032, 14.7032) * CHOOSE(CONTROL!$C$21, $C$9, 100%, $E$9)</f>
        <v>14.703200000000001</v>
      </c>
      <c r="L520" s="10">
        <f>CHOOSE(CONTROL!$C$42, 15.8041, 15.8041) * CHOOSE(CONTROL!$C$21, $C$9, 100%, $E$9)</f>
        <v>15.8041</v>
      </c>
      <c r="M520" s="10">
        <f>CHOOSE(CONTROL!$C$42, 14.7941, 14.7941) * CHOOSE(CONTROL!$C$21, $C$9, 100%, $E$9)</f>
        <v>14.7941</v>
      </c>
      <c r="N520" s="10">
        <f>CHOOSE(CONTROL!$C$42, 14.8097, 14.8097) * CHOOSE(CONTROL!$C$21, $C$9, 100%, $E$9)</f>
        <v>14.809699999999999</v>
      </c>
      <c r="O520" s="10">
        <f>CHOOSE(CONTROL!$C$42, 15.0379, 15.0379) * CHOOSE(CONTROL!$C$21, $C$9, 100%, $E$9)</f>
        <v>15.0379</v>
      </c>
      <c r="P520" s="10">
        <f>CHOOSE(CONTROL!$C$42, 14.835, 14.835) * CHOOSE(CONTROL!$C$21, $C$9, 100%, $E$9)</f>
        <v>14.835000000000001</v>
      </c>
      <c r="Q520" s="10">
        <f>CHOOSE(CONTROL!$C$42, 15.6332, 15.6332) * CHOOSE(CONTROL!$C$21, $C$9, 100%, $E$9)</f>
        <v>15.6332</v>
      </c>
      <c r="R520" s="10">
        <f>CHOOSE(CONTROL!$C$42, 16.2592, 16.2592) * CHOOSE(CONTROL!$C$21, $C$9, 100%, $E$9)</f>
        <v>16.2592</v>
      </c>
      <c r="S520" s="10">
        <f>CHOOSE(CONTROL!$C$42, 14.5706, 14.5706) * CHOOSE(CONTROL!$C$21, $C$9, 100%, $E$9)</f>
        <v>14.570600000000001</v>
      </c>
      <c r="T52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20" s="38">
        <f>(1000*CHOOSE(CONTROL!$C$42, 695, 695)*CHOOSE(CONTROL!$C$42, 0.5599, 0.5599)*CHOOSE(CONTROL!$C$42, 30, 30))/1000000</f>
        <v>11.673914999999997</v>
      </c>
      <c r="V520" s="38">
        <f>(1000*CHOOSE(CONTROL!$C$42, 500, 500)*CHOOSE(CONTROL!$C$42, 0.275, 0.275)*CHOOSE(CONTROL!$C$42, 30, 30))/1000000</f>
        <v>4.125</v>
      </c>
      <c r="W520" s="38">
        <f>(1000*CHOOSE(CONTROL!$C$42, 0.1146, 0.1146)*CHOOSE(CONTROL!$C$42, 121.5, 121.5)*CHOOSE(CONTROL!$C$42, 30, 30))/1000000</f>
        <v>0.417717</v>
      </c>
      <c r="X520" s="38">
        <f>(30*0.1790888*245000/1000000)+(30*0.2374*100000/1000000)</f>
        <v>2.0285026799999999</v>
      </c>
      <c r="Y520" s="38">
        <f>(1000*600*CHOOSE(CONTROL!$C$42, 1.0585, 1.0585)*CHOOSE(CONTROL!$C$42, 30, 30))/1000000</f>
        <v>19.053000000000001</v>
      </c>
      <c r="Z520" s="38"/>
      <c r="AA520" s="10"/>
      <c r="AB520" s="39"/>
      <c r="AC520" s="33">
        <f>(B520*141.293+C520*267.993+D520*115.016+E520*89.698+F520*40+G520*185+H520*0+I520*100+J520*300)/(141.293+267.993+115.016+89.698+0+40+185+100+300)</f>
        <v>15.037801096933013</v>
      </c>
      <c r="AD520" s="27">
        <f>(M520*'RAP TEMPLATE-GAS AVAILABILITY'!O519+N520*'RAP TEMPLATE-GAS AVAILABILITY'!P519+O520*'RAP TEMPLATE-GAS AVAILABILITY'!Q519+P520*'RAP TEMPLATE-GAS AVAILABILITY'!R519)/('RAP TEMPLATE-GAS AVAILABILITY'!O519+'RAP TEMPLATE-GAS AVAILABILITY'!P519+'RAP TEMPLATE-GAS AVAILABILITY'!Q519+'RAP TEMPLATE-GAS AVAILABILITY'!R519)</f>
        <v>14.871980575539569</v>
      </c>
    </row>
    <row r="521" spans="1:30" ht="15.75">
      <c r="A521" s="13">
        <v>57131</v>
      </c>
      <c r="B521" s="10">
        <f>CHOOSE(CONTROL!$C$42, 15.1658, 15.1658) * CHOOSE(CONTROL!$C$21, $C$9, 100%, $E$9)</f>
        <v>15.165800000000001</v>
      </c>
      <c r="C521" s="10">
        <f>CHOOSE(CONTROL!$C$42, 15.1738, 15.1738) * CHOOSE(CONTROL!$C$21, $C$9, 100%, $E$9)</f>
        <v>15.1738</v>
      </c>
      <c r="D521" s="10">
        <f>CHOOSE(CONTROL!$C$42, 15.3308, 15.3308) * CHOOSE(CONTROL!$C$21, $C$9, 100%, $E$9)</f>
        <v>15.3308</v>
      </c>
      <c r="E521" s="10">
        <f>CHOOSE(CONTROL!$C$42, 15.3621, 15.3621) * CHOOSE(CONTROL!$C$21, $C$9, 100%, $E$9)</f>
        <v>15.3621</v>
      </c>
      <c r="F521" s="10">
        <f>CHOOSE(CONTROL!$C$42, 15.1099, 15.1099)*CHOOSE(CONTROL!$C$21, $C$9, 100%, $E$9)</f>
        <v>15.1099</v>
      </c>
      <c r="G521" s="10">
        <f>CHOOSE(CONTROL!$C$42, 15.1261, 15.1261)*CHOOSE(CONTROL!$C$21, $C$9, 100%, $E$9)</f>
        <v>15.126099999999999</v>
      </c>
      <c r="H521" s="10">
        <f>CHOOSE(CONTROL!$C$42, 15.3504, 15.3504) * CHOOSE(CONTROL!$C$21, $C$9, 100%, $E$9)</f>
        <v>15.3504</v>
      </c>
      <c r="I521" s="10">
        <f>CHOOSE(CONTROL!$C$42, 15.1446, 15.1446)* CHOOSE(CONTROL!$C$21, $C$9, 100%, $E$9)</f>
        <v>15.144600000000001</v>
      </c>
      <c r="J521" s="10">
        <f>CHOOSE(CONTROL!$C$42, 15.1025, 15.1025)* CHOOSE(CONTROL!$C$21, $C$9, 100%, $E$9)</f>
        <v>15.102499999999999</v>
      </c>
      <c r="K521" s="10">
        <f>CHOOSE(CONTROL!$C$42, 14.831, 14.831) * CHOOSE(CONTROL!$C$21, $C$9, 100%, $E$9)</f>
        <v>14.831</v>
      </c>
      <c r="L521" s="10">
        <f>CHOOSE(CONTROL!$C$42, 15.9374, 15.9374) * CHOOSE(CONTROL!$C$21, $C$9, 100%, $E$9)</f>
        <v>15.9374</v>
      </c>
      <c r="M521" s="10">
        <f>CHOOSE(CONTROL!$C$42, 14.9249, 14.9249) * CHOOSE(CONTROL!$C$21, $C$9, 100%, $E$9)</f>
        <v>14.924899999999999</v>
      </c>
      <c r="N521" s="10">
        <f>CHOOSE(CONTROL!$C$42, 14.9408, 14.9408) * CHOOSE(CONTROL!$C$21, $C$9, 100%, $E$9)</f>
        <v>14.940799999999999</v>
      </c>
      <c r="O521" s="10">
        <f>CHOOSE(CONTROL!$C$42, 15.1693, 15.1693) * CHOOSE(CONTROL!$C$21, $C$9, 100%, $E$9)</f>
        <v>15.1693</v>
      </c>
      <c r="P521" s="10">
        <f>CHOOSE(CONTROL!$C$42, 14.9664, 14.9664) * CHOOSE(CONTROL!$C$21, $C$9, 100%, $E$9)</f>
        <v>14.9664</v>
      </c>
      <c r="Q521" s="10">
        <f>CHOOSE(CONTROL!$C$42, 15.7646, 15.7646) * CHOOSE(CONTROL!$C$21, $C$9, 100%, $E$9)</f>
        <v>15.7646</v>
      </c>
      <c r="R521" s="10">
        <f>CHOOSE(CONTROL!$C$42, 16.391, 16.391) * CHOOSE(CONTROL!$C$21, $C$9, 100%, $E$9)</f>
        <v>16.390999999999998</v>
      </c>
      <c r="S521" s="10">
        <f>CHOOSE(CONTROL!$C$42, 14.6996, 14.6996) * CHOOSE(CONTROL!$C$21, $C$9, 100%, $E$9)</f>
        <v>14.6996</v>
      </c>
      <c r="T52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21" s="38">
        <f>(1000*CHOOSE(CONTROL!$C$42, 695, 695)*CHOOSE(CONTROL!$C$42, 0.5599, 0.5599)*CHOOSE(CONTROL!$C$42, 31, 31))/1000000</f>
        <v>12.063045499999998</v>
      </c>
      <c r="V521" s="38">
        <f>(1000*CHOOSE(CONTROL!$C$42, 500, 500)*CHOOSE(CONTROL!$C$42, 0.275, 0.275)*CHOOSE(CONTROL!$C$42, 31, 31))/1000000</f>
        <v>4.2625000000000002</v>
      </c>
      <c r="W521" s="38">
        <f>(1000*CHOOSE(CONTROL!$C$42, 0.1146, 0.1146)*CHOOSE(CONTROL!$C$42, 121.5, 121.5)*CHOOSE(CONTROL!$C$42, 31, 31))/1000000</f>
        <v>0.43164089999999994</v>
      </c>
      <c r="X521" s="38">
        <f>(31*0.1790888*245000/1000000)+(31*0.2374*100000/1000000)</f>
        <v>2.0961194359999999</v>
      </c>
      <c r="Y521" s="38">
        <f>(1000*600*CHOOSE(CONTROL!$C$42, 1.0585, 1.0585)*CHOOSE(CONTROL!$C$42, 31, 31))/1000000</f>
        <v>19.688099999999999</v>
      </c>
      <c r="Z521" s="38"/>
      <c r="AA521" s="10"/>
      <c r="AB521" s="39"/>
      <c r="AC521" s="33">
        <f>(B521*194.205+C521*267.466+D521*133.845+E521*53.484+F521*40+G521*185+H521*0+I521*100+J521*300)/(194.205+267.466+133.845+53.484+0+40+185+100+300)</f>
        <v>15.16896527645212</v>
      </c>
      <c r="AD521" s="27">
        <f>(M521*'RAP TEMPLATE-GAS AVAILABILITY'!O520+N521*'RAP TEMPLATE-GAS AVAILABILITY'!P520+O521*'RAP TEMPLATE-GAS AVAILABILITY'!Q520+P521*'RAP TEMPLATE-GAS AVAILABILITY'!R520)/('RAP TEMPLATE-GAS AVAILABILITY'!O520+'RAP TEMPLATE-GAS AVAILABILITY'!P520+'RAP TEMPLATE-GAS AVAILABILITY'!Q520+'RAP TEMPLATE-GAS AVAILABILITY'!R520)</f>
        <v>15.003104316546759</v>
      </c>
    </row>
    <row r="522" spans="1:30" ht="15.75">
      <c r="A522" s="13">
        <v>57161</v>
      </c>
      <c r="B522" s="10">
        <f>CHOOSE(CONTROL!$C$42, 15.5964, 15.5964) * CHOOSE(CONTROL!$C$21, $C$9, 100%, $E$9)</f>
        <v>15.596399999999999</v>
      </c>
      <c r="C522" s="10">
        <f>CHOOSE(CONTROL!$C$42, 15.6044, 15.6044) * CHOOSE(CONTROL!$C$21, $C$9, 100%, $E$9)</f>
        <v>15.6044</v>
      </c>
      <c r="D522" s="10">
        <f>CHOOSE(CONTROL!$C$42, 15.7614, 15.7614) * CHOOSE(CONTROL!$C$21, $C$9, 100%, $E$9)</f>
        <v>15.7614</v>
      </c>
      <c r="E522" s="10">
        <f>CHOOSE(CONTROL!$C$42, 15.7926, 15.7926) * CHOOSE(CONTROL!$C$21, $C$9, 100%, $E$9)</f>
        <v>15.7926</v>
      </c>
      <c r="F522" s="10">
        <f>CHOOSE(CONTROL!$C$42, 15.5407, 15.5407)*CHOOSE(CONTROL!$C$21, $C$9, 100%, $E$9)</f>
        <v>15.540699999999999</v>
      </c>
      <c r="G522" s="10">
        <f>CHOOSE(CONTROL!$C$42, 15.5569, 15.5569)*CHOOSE(CONTROL!$C$21, $C$9, 100%, $E$9)</f>
        <v>15.556900000000001</v>
      </c>
      <c r="H522" s="10">
        <f>CHOOSE(CONTROL!$C$42, 15.781, 15.781) * CHOOSE(CONTROL!$C$21, $C$9, 100%, $E$9)</f>
        <v>15.781000000000001</v>
      </c>
      <c r="I522" s="10">
        <f>CHOOSE(CONTROL!$C$42, 15.5752, 15.5752)* CHOOSE(CONTROL!$C$21, $C$9, 100%, $E$9)</f>
        <v>15.575200000000001</v>
      </c>
      <c r="J522" s="10">
        <f>CHOOSE(CONTROL!$C$42, 15.5333, 15.5333)* CHOOSE(CONTROL!$C$21, $C$9, 100%, $E$9)</f>
        <v>15.533300000000001</v>
      </c>
      <c r="K522" s="10">
        <f>CHOOSE(CONTROL!$C$42, 15.2486, 15.2486) * CHOOSE(CONTROL!$C$21, $C$9, 100%, $E$9)</f>
        <v>15.2486</v>
      </c>
      <c r="L522" s="10">
        <f>CHOOSE(CONTROL!$C$42, 16.368, 16.368) * CHOOSE(CONTROL!$C$21, $C$9, 100%, $E$9)</f>
        <v>16.367999999999999</v>
      </c>
      <c r="M522" s="10">
        <f>CHOOSE(CONTROL!$C$42, 15.3496, 15.3496) * CHOOSE(CONTROL!$C$21, $C$9, 100%, $E$9)</f>
        <v>15.349600000000001</v>
      </c>
      <c r="N522" s="10">
        <f>CHOOSE(CONTROL!$C$42, 15.3656, 15.3656) * CHOOSE(CONTROL!$C$21, $C$9, 100%, $E$9)</f>
        <v>15.365600000000001</v>
      </c>
      <c r="O522" s="10">
        <f>CHOOSE(CONTROL!$C$42, 15.5938, 15.5938) * CHOOSE(CONTROL!$C$21, $C$9, 100%, $E$9)</f>
        <v>15.5938</v>
      </c>
      <c r="P522" s="10">
        <f>CHOOSE(CONTROL!$C$42, 15.391, 15.391) * CHOOSE(CONTROL!$C$21, $C$9, 100%, $E$9)</f>
        <v>15.391</v>
      </c>
      <c r="Q522" s="10">
        <f>CHOOSE(CONTROL!$C$42, 16.1891, 16.1891) * CHOOSE(CONTROL!$C$21, $C$9, 100%, $E$9)</f>
        <v>16.1891</v>
      </c>
      <c r="R522" s="10">
        <f>CHOOSE(CONTROL!$C$42, 16.8166, 16.8166) * CHOOSE(CONTROL!$C$21, $C$9, 100%, $E$9)</f>
        <v>16.816600000000001</v>
      </c>
      <c r="S522" s="10">
        <f>CHOOSE(CONTROL!$C$42, 15.1166, 15.1166) * CHOOSE(CONTROL!$C$21, $C$9, 100%, $E$9)</f>
        <v>15.1166</v>
      </c>
      <c r="T52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22" s="38">
        <f>(1000*CHOOSE(CONTROL!$C$42, 695, 695)*CHOOSE(CONTROL!$C$42, 0.5599, 0.5599)*CHOOSE(CONTROL!$C$42, 30, 30))/1000000</f>
        <v>11.673914999999997</v>
      </c>
      <c r="V522" s="38">
        <f>(1000*CHOOSE(CONTROL!$C$42, 500, 500)*CHOOSE(CONTROL!$C$42, 0.275, 0.275)*CHOOSE(CONTROL!$C$42, 30, 30))/1000000</f>
        <v>4.125</v>
      </c>
      <c r="W522" s="38">
        <f>(1000*CHOOSE(CONTROL!$C$42, 0.1146, 0.1146)*CHOOSE(CONTROL!$C$42, 121.5, 121.5)*CHOOSE(CONTROL!$C$42, 30, 30))/1000000</f>
        <v>0.417717</v>
      </c>
      <c r="X522" s="38">
        <f>(30*0.1790888*245000/1000000)+(30*0.2374*100000/1000000)</f>
        <v>2.0285026799999999</v>
      </c>
      <c r="Y522" s="38">
        <f>(1000*600*CHOOSE(CONTROL!$C$42, 1.0585, 1.0585)*CHOOSE(CONTROL!$C$42, 30, 30))/1000000</f>
        <v>19.053000000000001</v>
      </c>
      <c r="Z522" s="38"/>
      <c r="AA522" s="10"/>
      <c r="AB522" s="39"/>
      <c r="AC522" s="33">
        <f>(B522*194.205+C522*267.466+D522*133.845+E522*53.484+F522*40+G522*185+H522*0+I522*100+J522*300)/(194.205+267.466+133.845+53.484+0+40+185+100+300)</f>
        <v>15.599643495918372</v>
      </c>
      <c r="AD522" s="27">
        <f>(M522*'RAP TEMPLATE-GAS AVAILABILITY'!O521+N522*'RAP TEMPLATE-GAS AVAILABILITY'!P521+O522*'RAP TEMPLATE-GAS AVAILABILITY'!Q521+P522*'RAP TEMPLATE-GAS AVAILABILITY'!R521)/('RAP TEMPLATE-GAS AVAILABILITY'!O521+'RAP TEMPLATE-GAS AVAILABILITY'!P521+'RAP TEMPLATE-GAS AVAILABILITY'!Q521+'RAP TEMPLATE-GAS AVAILABILITY'!R521)</f>
        <v>15.427756834532373</v>
      </c>
    </row>
    <row r="523" spans="1:30" ht="15.75">
      <c r="A523" s="13">
        <v>57192</v>
      </c>
      <c r="B523" s="10">
        <f>CHOOSE(CONTROL!$C$42, 15.2969, 15.2969) * CHOOSE(CONTROL!$C$21, $C$9, 100%, $E$9)</f>
        <v>15.296900000000001</v>
      </c>
      <c r="C523" s="10">
        <f>CHOOSE(CONTROL!$C$42, 15.3049, 15.3049) * CHOOSE(CONTROL!$C$21, $C$9, 100%, $E$9)</f>
        <v>15.3049</v>
      </c>
      <c r="D523" s="10">
        <f>CHOOSE(CONTROL!$C$42, 15.462, 15.462) * CHOOSE(CONTROL!$C$21, $C$9, 100%, $E$9)</f>
        <v>15.462</v>
      </c>
      <c r="E523" s="10">
        <f>CHOOSE(CONTROL!$C$42, 15.4932, 15.4932) * CHOOSE(CONTROL!$C$21, $C$9, 100%, $E$9)</f>
        <v>15.4932</v>
      </c>
      <c r="F523" s="10">
        <f>CHOOSE(CONTROL!$C$42, 15.2416, 15.2416)*CHOOSE(CONTROL!$C$21, $C$9, 100%, $E$9)</f>
        <v>15.2416</v>
      </c>
      <c r="G523" s="10">
        <f>CHOOSE(CONTROL!$C$42, 15.2578, 15.2578)*CHOOSE(CONTROL!$C$21, $C$9, 100%, $E$9)</f>
        <v>15.2578</v>
      </c>
      <c r="H523" s="10">
        <f>CHOOSE(CONTROL!$C$42, 15.4815, 15.4815) * CHOOSE(CONTROL!$C$21, $C$9, 100%, $E$9)</f>
        <v>15.4815</v>
      </c>
      <c r="I523" s="10">
        <f>CHOOSE(CONTROL!$C$42, 15.2757, 15.2757)* CHOOSE(CONTROL!$C$21, $C$9, 100%, $E$9)</f>
        <v>15.275700000000001</v>
      </c>
      <c r="J523" s="10">
        <f>CHOOSE(CONTROL!$C$42, 15.2342, 15.2342)* CHOOSE(CONTROL!$C$21, $C$9, 100%, $E$9)</f>
        <v>15.2342</v>
      </c>
      <c r="K523" s="10">
        <f>CHOOSE(CONTROL!$C$42, 14.9591, 14.9591) * CHOOSE(CONTROL!$C$21, $C$9, 100%, $E$9)</f>
        <v>14.959099999999999</v>
      </c>
      <c r="L523" s="10">
        <f>CHOOSE(CONTROL!$C$42, 16.0685, 16.0685) * CHOOSE(CONTROL!$C$21, $C$9, 100%, $E$9)</f>
        <v>16.0685</v>
      </c>
      <c r="M523" s="10">
        <f>CHOOSE(CONTROL!$C$42, 15.0546, 15.0546) * CHOOSE(CONTROL!$C$21, $C$9, 100%, $E$9)</f>
        <v>15.054600000000001</v>
      </c>
      <c r="N523" s="10">
        <f>CHOOSE(CONTROL!$C$42, 15.0707, 15.0707) * CHOOSE(CONTROL!$C$21, $C$9, 100%, $E$9)</f>
        <v>15.0707</v>
      </c>
      <c r="O523" s="10">
        <f>CHOOSE(CONTROL!$C$42, 15.2985, 15.2985) * CHOOSE(CONTROL!$C$21, $C$9, 100%, $E$9)</f>
        <v>15.298500000000001</v>
      </c>
      <c r="P523" s="10">
        <f>CHOOSE(CONTROL!$C$42, 15.0957, 15.0957) * CHOOSE(CONTROL!$C$21, $C$9, 100%, $E$9)</f>
        <v>15.095700000000001</v>
      </c>
      <c r="Q523" s="10">
        <f>CHOOSE(CONTROL!$C$42, 15.8938, 15.8938) * CHOOSE(CONTROL!$C$21, $C$9, 100%, $E$9)</f>
        <v>15.893800000000001</v>
      </c>
      <c r="R523" s="10">
        <f>CHOOSE(CONTROL!$C$42, 16.5206, 16.5206) * CHOOSE(CONTROL!$C$21, $C$9, 100%, $E$9)</f>
        <v>16.520600000000002</v>
      </c>
      <c r="S523" s="10">
        <f>CHOOSE(CONTROL!$C$42, 14.8266, 14.8266) * CHOOSE(CONTROL!$C$21, $C$9, 100%, $E$9)</f>
        <v>14.826599999999999</v>
      </c>
      <c r="T52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23" s="38">
        <f>(1000*CHOOSE(CONTROL!$C$42, 695, 695)*CHOOSE(CONTROL!$C$42, 0.5599, 0.5599)*CHOOSE(CONTROL!$C$42, 31, 31))/1000000</f>
        <v>12.063045499999998</v>
      </c>
      <c r="V523" s="38">
        <f>(1000*CHOOSE(CONTROL!$C$42, 500, 500)*CHOOSE(CONTROL!$C$42, 0.275, 0.275)*CHOOSE(CONTROL!$C$42, 31, 31))/1000000</f>
        <v>4.2625000000000002</v>
      </c>
      <c r="W523" s="38">
        <f>(1000*CHOOSE(CONTROL!$C$42, 0.1146, 0.1146)*CHOOSE(CONTROL!$C$42, 121.5, 121.5)*CHOOSE(CONTROL!$C$42, 31, 31))/1000000</f>
        <v>0.43164089999999994</v>
      </c>
      <c r="X523" s="38">
        <f>(31*0.1790888*245000/1000000)+(31*0.2374*100000/1000000)</f>
        <v>2.0961194359999999</v>
      </c>
      <c r="Y523" s="38">
        <f>(1000*600*CHOOSE(CONTROL!$C$42, 1.0585, 1.0585)*CHOOSE(CONTROL!$C$42, 31, 31))/1000000</f>
        <v>19.688099999999999</v>
      </c>
      <c r="Z523" s="38"/>
      <c r="AA523" s="10"/>
      <c r="AB523" s="39"/>
      <c r="AC523" s="33">
        <f>(B523*194.205+C523*267.466+D523*133.845+E523*53.484+F523*40+G523*185+H523*0+I523*100+J523*300)/(194.205+267.466+133.845+53.484+0+40+185+100+300)</f>
        <v>15.300323035086342</v>
      </c>
      <c r="AD523" s="27">
        <f>(M523*'RAP TEMPLATE-GAS AVAILABILITY'!O522+N523*'RAP TEMPLATE-GAS AVAILABILITY'!P522+O523*'RAP TEMPLATE-GAS AVAILABILITY'!Q522+P523*'RAP TEMPLATE-GAS AVAILABILITY'!R522)/('RAP TEMPLATE-GAS AVAILABILITY'!O522+'RAP TEMPLATE-GAS AVAILABILITY'!P522+'RAP TEMPLATE-GAS AVAILABILITY'!Q522+'RAP TEMPLATE-GAS AVAILABILITY'!R522)</f>
        <v>15.13265251798561</v>
      </c>
    </row>
    <row r="524" spans="1:30" ht="15.75">
      <c r="A524" s="13">
        <v>57223</v>
      </c>
      <c r="B524" s="10">
        <f>CHOOSE(CONTROL!$C$42, 14.5406, 14.5406) * CHOOSE(CONTROL!$C$21, $C$9, 100%, $E$9)</f>
        <v>14.5406</v>
      </c>
      <c r="C524" s="10">
        <f>CHOOSE(CONTROL!$C$42, 14.5486, 14.5486) * CHOOSE(CONTROL!$C$21, $C$9, 100%, $E$9)</f>
        <v>14.5486</v>
      </c>
      <c r="D524" s="10">
        <f>CHOOSE(CONTROL!$C$42, 14.7057, 14.7057) * CHOOSE(CONTROL!$C$21, $C$9, 100%, $E$9)</f>
        <v>14.7057</v>
      </c>
      <c r="E524" s="10">
        <f>CHOOSE(CONTROL!$C$42, 14.7369, 14.7369) * CHOOSE(CONTROL!$C$21, $C$9, 100%, $E$9)</f>
        <v>14.7369</v>
      </c>
      <c r="F524" s="10">
        <f>CHOOSE(CONTROL!$C$42, 14.4852, 14.4852)*CHOOSE(CONTROL!$C$21, $C$9, 100%, $E$9)</f>
        <v>14.485200000000001</v>
      </c>
      <c r="G524" s="10">
        <f>CHOOSE(CONTROL!$C$42, 14.5015, 14.5015)*CHOOSE(CONTROL!$C$21, $C$9, 100%, $E$9)</f>
        <v>14.5015</v>
      </c>
      <c r="H524" s="10">
        <f>CHOOSE(CONTROL!$C$42, 14.7252, 14.7252) * CHOOSE(CONTROL!$C$21, $C$9, 100%, $E$9)</f>
        <v>14.725199999999999</v>
      </c>
      <c r="I524" s="10">
        <f>CHOOSE(CONTROL!$C$42, 14.5194, 14.5194)* CHOOSE(CONTROL!$C$21, $C$9, 100%, $E$9)</f>
        <v>14.519399999999999</v>
      </c>
      <c r="J524" s="10">
        <f>CHOOSE(CONTROL!$C$42, 14.4778, 14.4778)* CHOOSE(CONTROL!$C$21, $C$9, 100%, $E$9)</f>
        <v>14.4778</v>
      </c>
      <c r="K524" s="10">
        <f>CHOOSE(CONTROL!$C$42, 14.2263, 14.2263) * CHOOSE(CONTROL!$C$21, $C$9, 100%, $E$9)</f>
        <v>14.2263</v>
      </c>
      <c r="L524" s="10">
        <f>CHOOSE(CONTROL!$C$42, 15.3122, 15.3122) * CHOOSE(CONTROL!$C$21, $C$9, 100%, $E$9)</f>
        <v>15.312200000000001</v>
      </c>
      <c r="M524" s="10">
        <f>CHOOSE(CONTROL!$C$42, 14.3089, 14.3089) * CHOOSE(CONTROL!$C$21, $C$9, 100%, $E$9)</f>
        <v>14.3089</v>
      </c>
      <c r="N524" s="10">
        <f>CHOOSE(CONTROL!$C$42, 14.3249, 14.3249) * CHOOSE(CONTROL!$C$21, $C$9, 100%, $E$9)</f>
        <v>14.3249</v>
      </c>
      <c r="O524" s="10">
        <f>CHOOSE(CONTROL!$C$42, 14.5528, 14.5528) * CHOOSE(CONTROL!$C$21, $C$9, 100%, $E$9)</f>
        <v>14.5528</v>
      </c>
      <c r="P524" s="10">
        <f>CHOOSE(CONTROL!$C$42, 14.3499, 14.3499) * CHOOSE(CONTROL!$C$21, $C$9, 100%, $E$9)</f>
        <v>14.3499</v>
      </c>
      <c r="Q524" s="10">
        <f>CHOOSE(CONTROL!$C$42, 15.1481, 15.1481) * CHOOSE(CONTROL!$C$21, $C$9, 100%, $E$9)</f>
        <v>15.148099999999999</v>
      </c>
      <c r="R524" s="10">
        <f>CHOOSE(CONTROL!$C$42, 15.773, 15.773) * CHOOSE(CONTROL!$C$21, $C$9, 100%, $E$9)</f>
        <v>15.773</v>
      </c>
      <c r="S524" s="10">
        <f>CHOOSE(CONTROL!$C$42, 14.0943, 14.0943) * CHOOSE(CONTROL!$C$21, $C$9, 100%, $E$9)</f>
        <v>14.0943</v>
      </c>
      <c r="T52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24" s="38">
        <f>(1000*CHOOSE(CONTROL!$C$42, 695, 695)*CHOOSE(CONTROL!$C$42, 0.5599, 0.5599)*CHOOSE(CONTROL!$C$42, 31, 31))/1000000</f>
        <v>12.063045499999998</v>
      </c>
      <c r="V524" s="38">
        <f>(1000*CHOOSE(CONTROL!$C$42, 500, 500)*CHOOSE(CONTROL!$C$42, 0.275, 0.275)*CHOOSE(CONTROL!$C$42, 31, 31))/1000000</f>
        <v>4.2625000000000002</v>
      </c>
      <c r="W524" s="38">
        <f>(1000*CHOOSE(CONTROL!$C$42, 0.1146, 0.1146)*CHOOSE(CONTROL!$C$42, 121.5, 121.5)*CHOOSE(CONTROL!$C$42, 31, 31))/1000000</f>
        <v>0.43164089999999994</v>
      </c>
      <c r="X524" s="38">
        <f>(31*0.1790888*245000/1000000)+(31*0.2374*100000/1000000)</f>
        <v>2.0961194359999999</v>
      </c>
      <c r="Y524" s="38">
        <f>(1000*600*CHOOSE(CONTROL!$C$42, 1.0585, 1.0585)*CHOOSE(CONTROL!$C$42, 31, 31))/1000000</f>
        <v>19.688099999999999</v>
      </c>
      <c r="Z524" s="38"/>
      <c r="AA524" s="10"/>
      <c r="AB524" s="39"/>
      <c r="AC524" s="33">
        <f>(B524*194.205+C524*267.466+D524*133.845+E524*53.484+F524*40+G524*185+H524*0+I524*100+J524*300)/(194.205+267.466+133.845+53.484+0+40+185+100+300)</f>
        <v>14.543996347488228</v>
      </c>
      <c r="AD524" s="27">
        <f>(M524*'RAP TEMPLATE-GAS AVAILABILITY'!O523+N524*'RAP TEMPLATE-GAS AVAILABILITY'!P523+O524*'RAP TEMPLATE-GAS AVAILABILITY'!Q523+P524*'RAP TEMPLATE-GAS AVAILABILITY'!R523)/('RAP TEMPLATE-GAS AVAILABILITY'!O523+'RAP TEMPLATE-GAS AVAILABILITY'!P523+'RAP TEMPLATE-GAS AVAILABILITY'!Q523+'RAP TEMPLATE-GAS AVAILABILITY'!R523)</f>
        <v>14.386915107913667</v>
      </c>
    </row>
    <row r="525" spans="1:30" ht="15.75">
      <c r="A525" s="13">
        <v>57253</v>
      </c>
      <c r="B525" s="10">
        <f>CHOOSE(CONTROL!$C$42, 13.6166, 13.6166) * CHOOSE(CONTROL!$C$21, $C$9, 100%, $E$9)</f>
        <v>13.6166</v>
      </c>
      <c r="C525" s="10">
        <f>CHOOSE(CONTROL!$C$42, 13.6246, 13.6246) * CHOOSE(CONTROL!$C$21, $C$9, 100%, $E$9)</f>
        <v>13.624599999999999</v>
      </c>
      <c r="D525" s="10">
        <f>CHOOSE(CONTROL!$C$42, 13.7817, 13.7817) * CHOOSE(CONTROL!$C$21, $C$9, 100%, $E$9)</f>
        <v>13.781700000000001</v>
      </c>
      <c r="E525" s="10">
        <f>CHOOSE(CONTROL!$C$42, 13.8129, 13.8129) * CHOOSE(CONTROL!$C$21, $C$9, 100%, $E$9)</f>
        <v>13.812900000000001</v>
      </c>
      <c r="F525" s="10">
        <f>CHOOSE(CONTROL!$C$42, 13.561, 13.561)*CHOOSE(CONTROL!$C$21, $C$9, 100%, $E$9)</f>
        <v>13.561</v>
      </c>
      <c r="G525" s="10">
        <f>CHOOSE(CONTROL!$C$42, 13.5772, 13.5772)*CHOOSE(CONTROL!$C$21, $C$9, 100%, $E$9)</f>
        <v>13.577199999999999</v>
      </c>
      <c r="H525" s="10">
        <f>CHOOSE(CONTROL!$C$42, 13.8012, 13.8012) * CHOOSE(CONTROL!$C$21, $C$9, 100%, $E$9)</f>
        <v>13.8012</v>
      </c>
      <c r="I525" s="10">
        <f>CHOOSE(CONTROL!$C$42, 13.5954, 13.5954)* CHOOSE(CONTROL!$C$21, $C$9, 100%, $E$9)</f>
        <v>13.5954</v>
      </c>
      <c r="J525" s="10">
        <f>CHOOSE(CONTROL!$C$42, 13.5536, 13.5536)* CHOOSE(CONTROL!$C$21, $C$9, 100%, $E$9)</f>
        <v>13.553599999999999</v>
      </c>
      <c r="K525" s="10">
        <f>CHOOSE(CONTROL!$C$42, 13.3307, 13.3307) * CHOOSE(CONTROL!$C$21, $C$9, 100%, $E$9)</f>
        <v>13.3307</v>
      </c>
      <c r="L525" s="10">
        <f>CHOOSE(CONTROL!$C$42, 14.3882, 14.3882) * CHOOSE(CONTROL!$C$21, $C$9, 100%, $E$9)</f>
        <v>14.388199999999999</v>
      </c>
      <c r="M525" s="10">
        <f>CHOOSE(CONTROL!$C$42, 13.3975, 13.3975) * CHOOSE(CONTROL!$C$21, $C$9, 100%, $E$9)</f>
        <v>13.397500000000001</v>
      </c>
      <c r="N525" s="10">
        <f>CHOOSE(CONTROL!$C$42, 13.4135, 13.4135) * CHOOSE(CONTROL!$C$21, $C$9, 100%, $E$9)</f>
        <v>13.413500000000001</v>
      </c>
      <c r="O525" s="10">
        <f>CHOOSE(CONTROL!$C$42, 13.6417, 13.6417) * CHOOSE(CONTROL!$C$21, $C$9, 100%, $E$9)</f>
        <v>13.6417</v>
      </c>
      <c r="P525" s="10">
        <f>CHOOSE(CONTROL!$C$42, 13.4388, 13.4388) * CHOOSE(CONTROL!$C$21, $C$9, 100%, $E$9)</f>
        <v>13.438800000000001</v>
      </c>
      <c r="Q525" s="10">
        <f>CHOOSE(CONTROL!$C$42, 14.237, 14.237) * CHOOSE(CONTROL!$C$21, $C$9, 100%, $E$9)</f>
        <v>14.237</v>
      </c>
      <c r="R525" s="10">
        <f>CHOOSE(CONTROL!$C$42, 14.8596, 14.8596) * CHOOSE(CONTROL!$C$21, $C$9, 100%, $E$9)</f>
        <v>14.8596</v>
      </c>
      <c r="S525" s="10">
        <f>CHOOSE(CONTROL!$C$42, 13.1996, 13.1996) * CHOOSE(CONTROL!$C$21, $C$9, 100%, $E$9)</f>
        <v>13.1996</v>
      </c>
      <c r="T52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25" s="38">
        <f>(1000*CHOOSE(CONTROL!$C$42, 695, 695)*CHOOSE(CONTROL!$C$42, 0.5599, 0.5599)*CHOOSE(CONTROL!$C$42, 30, 30))/1000000</f>
        <v>11.673914999999997</v>
      </c>
      <c r="V525" s="38">
        <f>(1000*CHOOSE(CONTROL!$C$42, 500, 500)*CHOOSE(CONTROL!$C$42, 0.275, 0.275)*CHOOSE(CONTROL!$C$42, 30, 30))/1000000</f>
        <v>4.125</v>
      </c>
      <c r="W525" s="38">
        <f>(1000*CHOOSE(CONTROL!$C$42, 0.1146, 0.1146)*CHOOSE(CONTROL!$C$42, 121.5, 121.5)*CHOOSE(CONTROL!$C$42, 30, 30))/1000000</f>
        <v>0.417717</v>
      </c>
      <c r="X525" s="38">
        <f>(30*0.1790888*245000/1000000)+(30*0.2374*100000/1000000)</f>
        <v>2.0285026799999999</v>
      </c>
      <c r="Y525" s="38">
        <f>(1000*600*CHOOSE(CONTROL!$C$42, 1.0585, 1.0585)*CHOOSE(CONTROL!$C$42, 30, 30))/1000000</f>
        <v>19.053000000000001</v>
      </c>
      <c r="Z525" s="38"/>
      <c r="AA525" s="10"/>
      <c r="AB525" s="39"/>
      <c r="AC525" s="33">
        <f>(B525*194.205+C525*267.466+D525*133.845+E525*53.484+F525*40+G525*185+H525*0+I525*100+J525*300)/(194.205+267.466+133.845+53.484+0+40+185+100+300)</f>
        <v>13.619899408712714</v>
      </c>
      <c r="AD525" s="27">
        <f>(M525*'RAP TEMPLATE-GAS AVAILABILITY'!O524+N525*'RAP TEMPLATE-GAS AVAILABILITY'!P524+O525*'RAP TEMPLATE-GAS AVAILABILITY'!Q524+P525*'RAP TEMPLATE-GAS AVAILABILITY'!R524)/('RAP TEMPLATE-GAS AVAILABILITY'!O524+'RAP TEMPLATE-GAS AVAILABILITY'!P524+'RAP TEMPLATE-GAS AVAILABILITY'!Q524+'RAP TEMPLATE-GAS AVAILABILITY'!R524)</f>
        <v>13.475642446043167</v>
      </c>
    </row>
    <row r="526" spans="1:30" ht="15.75">
      <c r="A526" s="13">
        <v>57284</v>
      </c>
      <c r="B526" s="10">
        <f>CHOOSE(CONTROL!$C$42, 13.3377, 13.3377) * CHOOSE(CONTROL!$C$21, $C$9, 100%, $E$9)</f>
        <v>13.3377</v>
      </c>
      <c r="C526" s="10">
        <f>CHOOSE(CONTROL!$C$42, 13.343, 13.343) * CHOOSE(CONTROL!$C$21, $C$9, 100%, $E$9)</f>
        <v>13.343</v>
      </c>
      <c r="D526" s="10">
        <f>CHOOSE(CONTROL!$C$42, 13.505, 13.505) * CHOOSE(CONTROL!$C$21, $C$9, 100%, $E$9)</f>
        <v>13.505000000000001</v>
      </c>
      <c r="E526" s="10">
        <f>CHOOSE(CONTROL!$C$42, 13.5339, 13.5339) * CHOOSE(CONTROL!$C$21, $C$9, 100%, $E$9)</f>
        <v>13.533899999999999</v>
      </c>
      <c r="F526" s="10">
        <f>CHOOSE(CONTROL!$C$42, 13.2841, 13.2841)*CHOOSE(CONTROL!$C$21, $C$9, 100%, $E$9)</f>
        <v>13.2841</v>
      </c>
      <c r="G526" s="10">
        <f>CHOOSE(CONTROL!$C$42, 13.2999, 13.2999)*CHOOSE(CONTROL!$C$21, $C$9, 100%, $E$9)</f>
        <v>13.299899999999999</v>
      </c>
      <c r="H526" s="10">
        <f>CHOOSE(CONTROL!$C$42, 13.524, 13.524) * CHOOSE(CONTROL!$C$21, $C$9, 100%, $E$9)</f>
        <v>13.523999999999999</v>
      </c>
      <c r="I526" s="10">
        <f>CHOOSE(CONTROL!$C$42, 13.3182, 13.3182)* CHOOSE(CONTROL!$C$21, $C$9, 100%, $E$9)</f>
        <v>13.318199999999999</v>
      </c>
      <c r="J526" s="10">
        <f>CHOOSE(CONTROL!$C$42, 13.2767, 13.2767)* CHOOSE(CONTROL!$C$21, $C$9, 100%, $E$9)</f>
        <v>13.2767</v>
      </c>
      <c r="K526" s="10">
        <f>CHOOSE(CONTROL!$C$42, 13.0628, 13.0628) * CHOOSE(CONTROL!$C$21, $C$9, 100%, $E$9)</f>
        <v>13.062799999999999</v>
      </c>
      <c r="L526" s="10">
        <f>CHOOSE(CONTROL!$C$42, 14.111, 14.111) * CHOOSE(CONTROL!$C$21, $C$9, 100%, $E$9)</f>
        <v>14.111000000000001</v>
      </c>
      <c r="M526" s="10">
        <f>CHOOSE(CONTROL!$C$42, 13.1245, 13.1245) * CHOOSE(CONTROL!$C$21, $C$9, 100%, $E$9)</f>
        <v>13.124499999999999</v>
      </c>
      <c r="N526" s="10">
        <f>CHOOSE(CONTROL!$C$42, 13.1401, 13.1401) * CHOOSE(CONTROL!$C$21, $C$9, 100%, $E$9)</f>
        <v>13.1401</v>
      </c>
      <c r="O526" s="10">
        <f>CHOOSE(CONTROL!$C$42, 13.3684, 13.3684) * CHOOSE(CONTROL!$C$21, $C$9, 100%, $E$9)</f>
        <v>13.368399999999999</v>
      </c>
      <c r="P526" s="10">
        <f>CHOOSE(CONTROL!$C$42, 13.1655, 13.1655) * CHOOSE(CONTROL!$C$21, $C$9, 100%, $E$9)</f>
        <v>13.1655</v>
      </c>
      <c r="Q526" s="10">
        <f>CHOOSE(CONTROL!$C$42, 13.9637, 13.9637) * CHOOSE(CONTROL!$C$21, $C$9, 100%, $E$9)</f>
        <v>13.963699999999999</v>
      </c>
      <c r="R526" s="10">
        <f>CHOOSE(CONTROL!$C$42, 14.5856, 14.5856) * CHOOSE(CONTROL!$C$21, $C$9, 100%, $E$9)</f>
        <v>14.585599999999999</v>
      </c>
      <c r="S526" s="10">
        <f>CHOOSE(CONTROL!$C$42, 12.9311, 12.9311) * CHOOSE(CONTROL!$C$21, $C$9, 100%, $E$9)</f>
        <v>12.931100000000001</v>
      </c>
      <c r="T52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26" s="38">
        <f>(1000*CHOOSE(CONTROL!$C$42, 695, 695)*CHOOSE(CONTROL!$C$42, 0.5599, 0.5599)*CHOOSE(CONTROL!$C$42, 31, 31))/1000000</f>
        <v>12.063045499999998</v>
      </c>
      <c r="V526" s="38">
        <f>(1000*CHOOSE(CONTROL!$C$42, 500, 500)*CHOOSE(CONTROL!$C$42, 0.275, 0.275)*CHOOSE(CONTROL!$C$42, 31, 31))/1000000</f>
        <v>4.2625000000000002</v>
      </c>
      <c r="W526" s="38">
        <f>(1000*CHOOSE(CONTROL!$C$42, 0.1146, 0.1146)*CHOOSE(CONTROL!$C$42, 121.5, 121.5)*CHOOSE(CONTROL!$C$42, 31, 31))/1000000</f>
        <v>0.43164089999999994</v>
      </c>
      <c r="X526" s="38">
        <f>(31*0.1790888*245000/1000000)+(31*0.2374*100000/1000000)</f>
        <v>2.0961194359999999</v>
      </c>
      <c r="Y526" s="38">
        <f>(1000*600*CHOOSE(CONTROL!$C$42, 1.0585, 1.0585)*CHOOSE(CONTROL!$C$42, 31, 31))/1000000</f>
        <v>19.688099999999999</v>
      </c>
      <c r="Z526" s="38"/>
      <c r="AA526" s="10"/>
      <c r="AB526" s="39"/>
      <c r="AC526" s="33">
        <f>(B526*131.881+C526*277.167+D526*79.08+E526*125.872+F526*40+G526*185+H526*0+I526*100+J526*300)/(131.881+277.167+79.08+125.872+0+40+185+100+300)</f>
        <v>13.345777607344631</v>
      </c>
      <c r="AD526" s="27">
        <f>(M526*'RAP TEMPLATE-GAS AVAILABILITY'!O525+N526*'RAP TEMPLATE-GAS AVAILABILITY'!P525+O526*'RAP TEMPLATE-GAS AVAILABILITY'!Q525+P526*'RAP TEMPLATE-GAS AVAILABILITY'!R525)/('RAP TEMPLATE-GAS AVAILABILITY'!O525+'RAP TEMPLATE-GAS AVAILABILITY'!P525+'RAP TEMPLATE-GAS AVAILABILITY'!Q525+'RAP TEMPLATE-GAS AVAILABILITY'!R525)</f>
        <v>13.202423021582733</v>
      </c>
    </row>
    <row r="527" spans="1:30" ht="15.75">
      <c r="A527" s="13">
        <v>57314</v>
      </c>
      <c r="B527" s="10">
        <f>CHOOSE(CONTROL!$C$42, 13.6891, 13.6891) * CHOOSE(CONTROL!$C$21, $C$9, 100%, $E$9)</f>
        <v>13.6891</v>
      </c>
      <c r="C527" s="10">
        <f>CHOOSE(CONTROL!$C$42, 13.6942, 13.6942) * CHOOSE(CONTROL!$C$21, $C$9, 100%, $E$9)</f>
        <v>13.6942</v>
      </c>
      <c r="D527" s="10">
        <f>CHOOSE(CONTROL!$C$42, 13.7189, 13.7189) * CHOOSE(CONTROL!$C$21, $C$9, 100%, $E$9)</f>
        <v>13.7189</v>
      </c>
      <c r="E527" s="10">
        <f>CHOOSE(CONTROL!$C$42, 13.7527, 13.7527) * CHOOSE(CONTROL!$C$21, $C$9, 100%, $E$9)</f>
        <v>13.752700000000001</v>
      </c>
      <c r="F527" s="10">
        <f>CHOOSE(CONTROL!$C$42, 13.6574, 13.6574)*CHOOSE(CONTROL!$C$21, $C$9, 100%, $E$9)</f>
        <v>13.657400000000001</v>
      </c>
      <c r="G527" s="10">
        <f>CHOOSE(CONTROL!$C$42, 13.6734, 13.6734)*CHOOSE(CONTROL!$C$21, $C$9, 100%, $E$9)</f>
        <v>13.673400000000001</v>
      </c>
      <c r="H527" s="10">
        <f>CHOOSE(CONTROL!$C$42, 13.7415, 13.7415) * CHOOSE(CONTROL!$C$21, $C$9, 100%, $E$9)</f>
        <v>13.7415</v>
      </c>
      <c r="I527" s="10">
        <f>CHOOSE(CONTROL!$C$42, 13.7041, 13.7041)* CHOOSE(CONTROL!$C$21, $C$9, 100%, $E$9)</f>
        <v>13.7041</v>
      </c>
      <c r="J527" s="10">
        <f>CHOOSE(CONTROL!$C$42, 13.65, 13.65)* CHOOSE(CONTROL!$C$21, $C$9, 100%, $E$9)</f>
        <v>13.65</v>
      </c>
      <c r="K527" s="10">
        <f>CHOOSE(CONTROL!$C$42, 13.4389, 13.4389) * CHOOSE(CONTROL!$C$21, $C$9, 100%, $E$9)</f>
        <v>13.4389</v>
      </c>
      <c r="L527" s="10">
        <f>CHOOSE(CONTROL!$C$42, 14.3285, 14.3285) * CHOOSE(CONTROL!$C$21, $C$9, 100%, $E$9)</f>
        <v>14.3285</v>
      </c>
      <c r="M527" s="10">
        <f>CHOOSE(CONTROL!$C$42, 13.4926, 13.4926) * CHOOSE(CONTROL!$C$21, $C$9, 100%, $E$9)</f>
        <v>13.492599999999999</v>
      </c>
      <c r="N527" s="10">
        <f>CHOOSE(CONTROL!$C$42, 13.5084, 13.5084) * CHOOSE(CONTROL!$C$21, $C$9, 100%, $E$9)</f>
        <v>13.5084</v>
      </c>
      <c r="O527" s="10">
        <f>CHOOSE(CONTROL!$C$42, 13.5829, 13.5829) * CHOOSE(CONTROL!$C$21, $C$9, 100%, $E$9)</f>
        <v>13.5829</v>
      </c>
      <c r="P527" s="10">
        <f>CHOOSE(CONTROL!$C$42, 13.546, 13.546) * CHOOSE(CONTROL!$C$21, $C$9, 100%, $E$9)</f>
        <v>13.545999999999999</v>
      </c>
      <c r="Q527" s="10">
        <f>CHOOSE(CONTROL!$C$42, 14.1782, 14.1782) * CHOOSE(CONTROL!$C$21, $C$9, 100%, $E$9)</f>
        <v>14.1782</v>
      </c>
      <c r="R527" s="10">
        <f>CHOOSE(CONTROL!$C$42, 14.8006, 14.8006) * CHOOSE(CONTROL!$C$21, $C$9, 100%, $E$9)</f>
        <v>14.800599999999999</v>
      </c>
      <c r="S527" s="10">
        <f>CHOOSE(CONTROL!$C$42, 13.2718, 13.2718) * CHOOSE(CONTROL!$C$21, $C$9, 100%, $E$9)</f>
        <v>13.271800000000001</v>
      </c>
      <c r="T52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27" s="38">
        <f>(1000*CHOOSE(CONTROL!$C$42, 695, 695)*CHOOSE(CONTROL!$C$42, 0.5599, 0.5599)*CHOOSE(CONTROL!$C$42, 30, 30))/1000000</f>
        <v>11.673914999999997</v>
      </c>
      <c r="V527" s="38">
        <f>(1000*CHOOSE(CONTROL!$C$42, 500, 500)*CHOOSE(CONTROL!$C$42, 0.275, 0.275)*CHOOSE(CONTROL!$C$42, 30, 30))/1000000</f>
        <v>4.125</v>
      </c>
      <c r="W527" s="38">
        <f>(1000*CHOOSE(CONTROL!$C$42, 0.1146, 0.1146)*CHOOSE(CONTROL!$C$42, 121.5, 121.5)*CHOOSE(CONTROL!$C$42, 30, 30))/1000000</f>
        <v>0.417717</v>
      </c>
      <c r="X527" s="38">
        <f>(30*0.1790888*100000/1000000)+(30*0.2374*100000/1000000)</f>
        <v>1.2494664</v>
      </c>
      <c r="Y527" s="38">
        <f>(1000*600*CHOOSE(CONTROL!$C$42, 1.0585, 1.0585)*CHOOSE(CONTROL!$C$42, 30, 30))/1000000</f>
        <v>19.053000000000001</v>
      </c>
      <c r="Z527" s="38"/>
      <c r="AA527" s="10"/>
      <c r="AB527" s="39"/>
      <c r="AC527" s="33">
        <f>(B527*122.58+C527*297.941+D527*89.177+E527*40.302+F527*40+G527*160+H527*0+I527*100+J527*300)/(122.58+297.941+89.177+40.302+0+40+160+100+300)</f>
        <v>13.682778418173914</v>
      </c>
      <c r="AD527" s="27">
        <f>(M527*'RAP TEMPLATE-GAS AVAILABILITY'!O526+N527*'RAP TEMPLATE-GAS AVAILABILITY'!P526+O527*'RAP TEMPLATE-GAS AVAILABILITY'!Q526+P527*'RAP TEMPLATE-GAS AVAILABILITY'!R526)/('RAP TEMPLATE-GAS AVAILABILITY'!O526+'RAP TEMPLATE-GAS AVAILABILITY'!P526+'RAP TEMPLATE-GAS AVAILABILITY'!Q526+'RAP TEMPLATE-GAS AVAILABILITY'!R526)</f>
        <v>13.54212014388489</v>
      </c>
    </row>
    <row r="528" spans="1:30" ht="15.75">
      <c r="A528" s="13">
        <v>57345</v>
      </c>
      <c r="B528" s="10">
        <f>CHOOSE(CONTROL!$C$42, 14.6235, 14.6235) * CHOOSE(CONTROL!$C$21, $C$9, 100%, $E$9)</f>
        <v>14.6235</v>
      </c>
      <c r="C528" s="10">
        <f>CHOOSE(CONTROL!$C$42, 14.6286, 14.6286) * CHOOSE(CONTROL!$C$21, $C$9, 100%, $E$9)</f>
        <v>14.6286</v>
      </c>
      <c r="D528" s="10">
        <f>CHOOSE(CONTROL!$C$42, 14.6533, 14.6533) * CHOOSE(CONTROL!$C$21, $C$9, 100%, $E$9)</f>
        <v>14.6533</v>
      </c>
      <c r="E528" s="10">
        <f>CHOOSE(CONTROL!$C$42, 14.6871, 14.6871) * CHOOSE(CONTROL!$C$21, $C$9, 100%, $E$9)</f>
        <v>14.687099999999999</v>
      </c>
      <c r="F528" s="10">
        <f>CHOOSE(CONTROL!$C$42, 14.5938, 14.5938)*CHOOSE(CONTROL!$C$21, $C$9, 100%, $E$9)</f>
        <v>14.5938</v>
      </c>
      <c r="G528" s="10">
        <f>CHOOSE(CONTROL!$C$42, 14.6102, 14.6102)*CHOOSE(CONTROL!$C$21, $C$9, 100%, $E$9)</f>
        <v>14.610200000000001</v>
      </c>
      <c r="H528" s="10">
        <f>CHOOSE(CONTROL!$C$42, 14.676, 14.676) * CHOOSE(CONTROL!$C$21, $C$9, 100%, $E$9)</f>
        <v>14.676</v>
      </c>
      <c r="I528" s="10">
        <f>CHOOSE(CONTROL!$C$42, 14.6385, 14.6385)* CHOOSE(CONTROL!$C$21, $C$9, 100%, $E$9)</f>
        <v>14.638500000000001</v>
      </c>
      <c r="J528" s="10">
        <f>CHOOSE(CONTROL!$C$42, 14.5864, 14.5864)* CHOOSE(CONTROL!$C$21, $C$9, 100%, $E$9)</f>
        <v>14.586399999999999</v>
      </c>
      <c r="K528" s="10">
        <f>CHOOSE(CONTROL!$C$42, 14.3482, 14.3482) * CHOOSE(CONTROL!$C$21, $C$9, 100%, $E$9)</f>
        <v>14.3482</v>
      </c>
      <c r="L528" s="10">
        <f>CHOOSE(CONTROL!$C$42, 15.263, 15.263) * CHOOSE(CONTROL!$C$21, $C$9, 100%, $E$9)</f>
        <v>15.263</v>
      </c>
      <c r="M528" s="10">
        <f>CHOOSE(CONTROL!$C$42, 14.4159, 14.4159) * CHOOSE(CONTROL!$C$21, $C$9, 100%, $E$9)</f>
        <v>14.415900000000001</v>
      </c>
      <c r="N528" s="10">
        <f>CHOOSE(CONTROL!$C$42, 14.4321, 14.4321) * CHOOSE(CONTROL!$C$21, $C$9, 100%, $E$9)</f>
        <v>14.4321</v>
      </c>
      <c r="O528" s="10">
        <f>CHOOSE(CONTROL!$C$42, 14.5042, 14.5042) * CHOOSE(CONTROL!$C$21, $C$9, 100%, $E$9)</f>
        <v>14.504200000000001</v>
      </c>
      <c r="P528" s="10">
        <f>CHOOSE(CONTROL!$C$42, 14.4673, 14.4673) * CHOOSE(CONTROL!$C$21, $C$9, 100%, $E$9)</f>
        <v>14.4673</v>
      </c>
      <c r="Q528" s="10">
        <f>CHOOSE(CONTROL!$C$42, 15.0995, 15.0995) * CHOOSE(CONTROL!$C$21, $C$9, 100%, $E$9)</f>
        <v>15.099500000000001</v>
      </c>
      <c r="R528" s="10">
        <f>CHOOSE(CONTROL!$C$42, 15.7243, 15.7243) * CHOOSE(CONTROL!$C$21, $C$9, 100%, $E$9)</f>
        <v>15.724299999999999</v>
      </c>
      <c r="S528" s="10">
        <f>CHOOSE(CONTROL!$C$42, 14.1766, 14.1766) * CHOOSE(CONTROL!$C$21, $C$9, 100%, $E$9)</f>
        <v>14.176600000000001</v>
      </c>
      <c r="T52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28" s="38">
        <f>(1000*CHOOSE(CONTROL!$C$42, 695, 695)*CHOOSE(CONTROL!$C$42, 0.5599, 0.5599)*CHOOSE(CONTROL!$C$42, 31, 31))/1000000</f>
        <v>12.063045499999998</v>
      </c>
      <c r="V528" s="38">
        <f>(1000*CHOOSE(CONTROL!$C$42, 500, 500)*CHOOSE(CONTROL!$C$42, 0.275, 0.275)*CHOOSE(CONTROL!$C$42, 31, 31))/1000000</f>
        <v>4.2625000000000002</v>
      </c>
      <c r="W528" s="38">
        <f>(1000*CHOOSE(CONTROL!$C$42, 0.1146, 0.1146)*CHOOSE(CONTROL!$C$42, 121.5, 121.5)*CHOOSE(CONTROL!$C$42, 31, 31))/1000000</f>
        <v>0.43164089999999994</v>
      </c>
      <c r="X528" s="38">
        <f>(31*0.1790888*100000/1000000)+(31*0.2374*100000/1000000)</f>
        <v>1.2911152800000001</v>
      </c>
      <c r="Y528" s="38">
        <f>(1000*600*CHOOSE(CONTROL!$C$42, 1.0585, 1.0585)*CHOOSE(CONTROL!$C$42, 31, 31))/1000000</f>
        <v>19.688099999999999</v>
      </c>
      <c r="Z528" s="38"/>
      <c r="AA528" s="10"/>
      <c r="AB528" s="39"/>
      <c r="AC528" s="33">
        <f>(B528*122.58+C528*297.941+D528*89.177+E528*40.302+F528*40+G528*160+H528*0+I528*100+J528*300)/(122.58+297.941+89.177+40.302+0+40+160+100+300)</f>
        <v>14.618103635565216</v>
      </c>
      <c r="AD528" s="27">
        <f>(M528*'RAP TEMPLATE-GAS AVAILABILITY'!O527+N528*'RAP TEMPLATE-GAS AVAILABILITY'!P527+O528*'RAP TEMPLATE-GAS AVAILABILITY'!Q527+P528*'RAP TEMPLATE-GAS AVAILABILITY'!R527)/('RAP TEMPLATE-GAS AVAILABILITY'!O527+'RAP TEMPLATE-GAS AVAILABILITY'!P527+'RAP TEMPLATE-GAS AVAILABILITY'!Q527+'RAP TEMPLATE-GAS AVAILABILITY'!R527)</f>
        <v>14.46424892086331</v>
      </c>
    </row>
    <row r="529" spans="1:30" ht="15.75">
      <c r="A529" s="13">
        <v>57376</v>
      </c>
      <c r="B529" s="10">
        <f>CHOOSE(CONTROL!$C$42, 15.6116, 15.6116) * CHOOSE(CONTROL!$C$21, $C$9, 100%, $E$9)</f>
        <v>15.611599999999999</v>
      </c>
      <c r="C529" s="10">
        <f>CHOOSE(CONTROL!$C$42, 15.6167, 15.6167) * CHOOSE(CONTROL!$C$21, $C$9, 100%, $E$9)</f>
        <v>15.6167</v>
      </c>
      <c r="D529" s="10">
        <f>CHOOSE(CONTROL!$C$42, 15.6491, 15.6491) * CHOOSE(CONTROL!$C$21, $C$9, 100%, $E$9)</f>
        <v>15.649100000000001</v>
      </c>
      <c r="E529" s="10">
        <f>CHOOSE(CONTROL!$C$42, 15.6829, 15.6829) * CHOOSE(CONTROL!$C$21, $C$9, 100%, $E$9)</f>
        <v>15.6829</v>
      </c>
      <c r="F529" s="10">
        <f>CHOOSE(CONTROL!$C$42, 15.5958, 15.5958)*CHOOSE(CONTROL!$C$21, $C$9, 100%, $E$9)</f>
        <v>15.595800000000001</v>
      </c>
      <c r="G529" s="10">
        <f>CHOOSE(CONTROL!$C$42, 15.6138, 15.6138)*CHOOSE(CONTROL!$C$21, $C$9, 100%, $E$9)</f>
        <v>15.613799999999999</v>
      </c>
      <c r="H529" s="10">
        <f>CHOOSE(CONTROL!$C$42, 15.6718, 15.6718) * CHOOSE(CONTROL!$C$21, $C$9, 100%, $E$9)</f>
        <v>15.671799999999999</v>
      </c>
      <c r="I529" s="10">
        <f>CHOOSE(CONTROL!$C$42, 15.625, 15.625)* CHOOSE(CONTROL!$C$21, $C$9, 100%, $E$9)</f>
        <v>15.625</v>
      </c>
      <c r="J529" s="10">
        <f>CHOOSE(CONTROL!$C$42, 15.5884, 15.5884)* CHOOSE(CONTROL!$C$21, $C$9, 100%, $E$9)</f>
        <v>15.5884</v>
      </c>
      <c r="K529" s="10">
        <f>CHOOSE(CONTROL!$C$42, 15.3179, 15.3179) * CHOOSE(CONTROL!$C$21, $C$9, 100%, $E$9)</f>
        <v>15.3179</v>
      </c>
      <c r="L529" s="10">
        <f>CHOOSE(CONTROL!$C$42, 16.2588, 16.2588) * CHOOSE(CONTROL!$C$21, $C$9, 100%, $E$9)</f>
        <v>16.258800000000001</v>
      </c>
      <c r="M529" s="10">
        <f>CHOOSE(CONTROL!$C$42, 15.4039, 15.4039) * CHOOSE(CONTROL!$C$21, $C$9, 100%, $E$9)</f>
        <v>15.4039</v>
      </c>
      <c r="N529" s="10">
        <f>CHOOSE(CONTROL!$C$42, 15.4217, 15.4217) * CHOOSE(CONTROL!$C$21, $C$9, 100%, $E$9)</f>
        <v>15.4217</v>
      </c>
      <c r="O529" s="10">
        <f>CHOOSE(CONTROL!$C$42, 15.4862, 15.4862) * CHOOSE(CONTROL!$C$21, $C$9, 100%, $E$9)</f>
        <v>15.4862</v>
      </c>
      <c r="P529" s="10">
        <f>CHOOSE(CONTROL!$C$42, 15.4401, 15.4401) * CHOOSE(CONTROL!$C$21, $C$9, 100%, $E$9)</f>
        <v>15.440099999999999</v>
      </c>
      <c r="Q529" s="10">
        <f>CHOOSE(CONTROL!$C$42, 16.0815, 16.0815) * CHOOSE(CONTROL!$C$21, $C$9, 100%, $E$9)</f>
        <v>16.081499999999998</v>
      </c>
      <c r="R529" s="10">
        <f>CHOOSE(CONTROL!$C$42, 16.7087, 16.7087) * CHOOSE(CONTROL!$C$21, $C$9, 100%, $E$9)</f>
        <v>16.7087</v>
      </c>
      <c r="S529" s="10">
        <f>CHOOSE(CONTROL!$C$42, 15.1334, 15.1334) * CHOOSE(CONTROL!$C$21, $C$9, 100%, $E$9)</f>
        <v>15.1334</v>
      </c>
      <c r="T52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29" s="38">
        <f>(1000*CHOOSE(CONTROL!$C$42, 695, 695)*CHOOSE(CONTROL!$C$42, 0.5599, 0.5599)*CHOOSE(CONTROL!$C$42, 31, 31))/1000000</f>
        <v>12.063045499999998</v>
      </c>
      <c r="V529" s="38">
        <f>(1000*CHOOSE(CONTROL!$C$42, 500, 500)*CHOOSE(CONTROL!$C$42, 0.275, 0.275)*CHOOSE(CONTROL!$C$42, 31, 31))/1000000</f>
        <v>4.2625000000000002</v>
      </c>
      <c r="W529" s="38">
        <f>(1000*CHOOSE(CONTROL!$C$42, 0.1146, 0.1146)*CHOOSE(CONTROL!$C$42, 121.5, 121.5)*CHOOSE(CONTROL!$C$42, 31, 31))/1000000</f>
        <v>0.43164089999999994</v>
      </c>
      <c r="X529" s="38">
        <f>(31*0.1790888*100000/1000000)+(31*0.2374*100000/1000000)</f>
        <v>1.2911152800000001</v>
      </c>
      <c r="Y529" s="38">
        <f>(1000*600*CHOOSE(CONTROL!$C$42, 1.0585, 1.0585)*CHOOSE(CONTROL!$C$42, 31, 31))/1000000</f>
        <v>19.688099999999999</v>
      </c>
      <c r="Z529" s="38"/>
      <c r="AA529" s="10"/>
      <c r="AB529" s="39"/>
      <c r="AC529" s="33">
        <f>(B529*122.58+C529*297.941+D529*89.177+E529*40.302+F529*40+G529*160+H529*0+I529*100+J529*300)/(122.58+297.941+89.177+40.302+0+40+160+100+300)</f>
        <v>15.613197538434783</v>
      </c>
      <c r="AD529" s="27">
        <f>(M529*'RAP TEMPLATE-GAS AVAILABILITY'!O528+N529*'RAP TEMPLATE-GAS AVAILABILITY'!P528+O529*'RAP TEMPLATE-GAS AVAILABILITY'!Q528+P529*'RAP TEMPLATE-GAS AVAILABILITY'!R528)/('RAP TEMPLATE-GAS AVAILABILITY'!O528+'RAP TEMPLATE-GAS AVAILABILITY'!P528+'RAP TEMPLATE-GAS AVAILABILITY'!Q528+'RAP TEMPLATE-GAS AVAILABILITY'!R528)</f>
        <v>15.447434532374102</v>
      </c>
    </row>
    <row r="530" spans="1:30" ht="15.75">
      <c r="A530" s="13">
        <v>57404</v>
      </c>
      <c r="B530" s="10">
        <f>CHOOSE(CONTROL!$C$42, 15.8898, 15.8898) * CHOOSE(CONTROL!$C$21, $C$9, 100%, $E$9)</f>
        <v>15.889799999999999</v>
      </c>
      <c r="C530" s="10">
        <f>CHOOSE(CONTROL!$C$42, 15.8949, 15.8949) * CHOOSE(CONTROL!$C$21, $C$9, 100%, $E$9)</f>
        <v>15.8949</v>
      </c>
      <c r="D530" s="10">
        <f>CHOOSE(CONTROL!$C$42, 15.9273, 15.9273) * CHOOSE(CONTROL!$C$21, $C$9, 100%, $E$9)</f>
        <v>15.927300000000001</v>
      </c>
      <c r="E530" s="10">
        <f>CHOOSE(CONTROL!$C$42, 15.9611, 15.9611) * CHOOSE(CONTROL!$C$21, $C$9, 100%, $E$9)</f>
        <v>15.9611</v>
      </c>
      <c r="F530" s="10">
        <f>CHOOSE(CONTROL!$C$42, 15.8735, 15.8735)*CHOOSE(CONTROL!$C$21, $C$9, 100%, $E$9)</f>
        <v>15.8735</v>
      </c>
      <c r="G530" s="10">
        <f>CHOOSE(CONTROL!$C$42, 15.8915, 15.8915)*CHOOSE(CONTROL!$C$21, $C$9, 100%, $E$9)</f>
        <v>15.891500000000001</v>
      </c>
      <c r="H530" s="10">
        <f>CHOOSE(CONTROL!$C$42, 15.95, 15.95) * CHOOSE(CONTROL!$C$21, $C$9, 100%, $E$9)</f>
        <v>15.95</v>
      </c>
      <c r="I530" s="10">
        <f>CHOOSE(CONTROL!$C$42, 15.9032, 15.9032)* CHOOSE(CONTROL!$C$21, $C$9, 100%, $E$9)</f>
        <v>15.9032</v>
      </c>
      <c r="J530" s="10">
        <f>CHOOSE(CONTROL!$C$42, 15.8661, 15.8661)* CHOOSE(CONTROL!$C$21, $C$9, 100%, $E$9)</f>
        <v>15.866099999999999</v>
      </c>
      <c r="K530" s="10">
        <f>CHOOSE(CONTROL!$C$42, 15.5865, 15.5865) * CHOOSE(CONTROL!$C$21, $C$9, 100%, $E$9)</f>
        <v>15.586499999999999</v>
      </c>
      <c r="L530" s="10">
        <f>CHOOSE(CONTROL!$C$42, 16.537, 16.537) * CHOOSE(CONTROL!$C$21, $C$9, 100%, $E$9)</f>
        <v>16.536999999999999</v>
      </c>
      <c r="M530" s="10">
        <f>CHOOSE(CONTROL!$C$42, 15.6778, 15.6778) * CHOOSE(CONTROL!$C$21, $C$9, 100%, $E$9)</f>
        <v>15.6778</v>
      </c>
      <c r="N530" s="10">
        <f>CHOOSE(CONTROL!$C$42, 15.6955, 15.6955) * CHOOSE(CONTROL!$C$21, $C$9, 100%, $E$9)</f>
        <v>15.695499999999999</v>
      </c>
      <c r="O530" s="10">
        <f>CHOOSE(CONTROL!$C$42, 15.7605, 15.7605) * CHOOSE(CONTROL!$C$21, $C$9, 100%, $E$9)</f>
        <v>15.7605</v>
      </c>
      <c r="P530" s="10">
        <f>CHOOSE(CONTROL!$C$42, 15.7144, 15.7144) * CHOOSE(CONTROL!$C$21, $C$9, 100%, $E$9)</f>
        <v>15.714399999999999</v>
      </c>
      <c r="Q530" s="10">
        <f>CHOOSE(CONTROL!$C$42, 16.3558, 16.3558) * CHOOSE(CONTROL!$C$21, $C$9, 100%, $E$9)</f>
        <v>16.355799999999999</v>
      </c>
      <c r="R530" s="10">
        <f>CHOOSE(CONTROL!$C$42, 16.9837, 16.9837) * CHOOSE(CONTROL!$C$21, $C$9, 100%, $E$9)</f>
        <v>16.983699999999999</v>
      </c>
      <c r="S530" s="10">
        <f>CHOOSE(CONTROL!$C$42, 15.4027, 15.4027) * CHOOSE(CONTROL!$C$21, $C$9, 100%, $E$9)</f>
        <v>15.402699999999999</v>
      </c>
      <c r="T53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30" s="38">
        <f>(1000*CHOOSE(CONTROL!$C$42, 695, 695)*CHOOSE(CONTROL!$C$42, 0.5599, 0.5599)*CHOOSE(CONTROL!$C$42, 28, 28))/1000000</f>
        <v>10.895653999999999</v>
      </c>
      <c r="V530" s="38">
        <f>(1000*CHOOSE(CONTROL!$C$42, 500, 500)*CHOOSE(CONTROL!$C$42, 0.275, 0.275)*CHOOSE(CONTROL!$C$42, 28, 28))/1000000</f>
        <v>3.85</v>
      </c>
      <c r="W530" s="38">
        <f>(1000*CHOOSE(CONTROL!$C$42, 0.1146, 0.1146)*CHOOSE(CONTROL!$C$42, 121.5, 121.5)*CHOOSE(CONTROL!$C$42, 28, 28))/1000000</f>
        <v>0.38986920000000003</v>
      </c>
      <c r="X530" s="38">
        <f>(28*0.1790888*100000/1000000)+(28*0.2374*100000/1000000)</f>
        <v>1.16616864</v>
      </c>
      <c r="Y530" s="38">
        <f>(1000*600*CHOOSE(CONTROL!$C$42, 1.0585, 1.0585)*CHOOSE(CONTROL!$C$42, 28, 28))/1000000</f>
        <v>17.782800000000002</v>
      </c>
      <c r="Z530" s="38"/>
      <c r="AA530" s="10"/>
      <c r="AB530" s="39"/>
      <c r="AC530" s="33">
        <f>(B530*122.58+C530*297.941+D530*89.177+E530*40.302+F530*40+G530*160+H530*0+I530*100+J530*300)/(122.58+297.941+89.177+40.302+0+40+160+100+300)</f>
        <v>15.891180147130438</v>
      </c>
      <c r="AD530" s="27">
        <f>(M530*'RAP TEMPLATE-GAS AVAILABILITY'!O529+N530*'RAP TEMPLATE-GAS AVAILABILITY'!P529+O530*'RAP TEMPLATE-GAS AVAILABILITY'!Q529+P530*'RAP TEMPLATE-GAS AVAILABILITY'!R529)/('RAP TEMPLATE-GAS AVAILABILITY'!O529+'RAP TEMPLATE-GAS AVAILABILITY'!P529+'RAP TEMPLATE-GAS AVAILABILITY'!Q529+'RAP TEMPLATE-GAS AVAILABILITY'!R529)</f>
        <v>15.721567625899283</v>
      </c>
    </row>
    <row r="531" spans="1:30" ht="15.75">
      <c r="A531" s="13">
        <v>57435</v>
      </c>
      <c r="B531" s="10">
        <f>CHOOSE(CONTROL!$C$42, 15.4382, 15.4382) * CHOOSE(CONTROL!$C$21, $C$9, 100%, $E$9)</f>
        <v>15.4382</v>
      </c>
      <c r="C531" s="10">
        <f>CHOOSE(CONTROL!$C$42, 15.4433, 15.4433) * CHOOSE(CONTROL!$C$21, $C$9, 100%, $E$9)</f>
        <v>15.443300000000001</v>
      </c>
      <c r="D531" s="10">
        <f>CHOOSE(CONTROL!$C$42, 15.4757, 15.4757) * CHOOSE(CONTROL!$C$21, $C$9, 100%, $E$9)</f>
        <v>15.4757</v>
      </c>
      <c r="E531" s="10">
        <f>CHOOSE(CONTROL!$C$42, 15.5095, 15.5095) * CHOOSE(CONTROL!$C$21, $C$9, 100%, $E$9)</f>
        <v>15.509499999999999</v>
      </c>
      <c r="F531" s="10">
        <f>CHOOSE(CONTROL!$C$42, 15.4205, 15.4205)*CHOOSE(CONTROL!$C$21, $C$9, 100%, $E$9)</f>
        <v>15.420500000000001</v>
      </c>
      <c r="G531" s="10">
        <f>CHOOSE(CONTROL!$C$42, 15.438, 15.438)*CHOOSE(CONTROL!$C$21, $C$9, 100%, $E$9)</f>
        <v>15.438000000000001</v>
      </c>
      <c r="H531" s="10">
        <f>CHOOSE(CONTROL!$C$42, 15.4984, 15.4984) * CHOOSE(CONTROL!$C$21, $C$9, 100%, $E$9)</f>
        <v>15.4984</v>
      </c>
      <c r="I531" s="10">
        <f>CHOOSE(CONTROL!$C$42, 15.4517, 15.4517)* CHOOSE(CONTROL!$C$21, $C$9, 100%, $E$9)</f>
        <v>15.451700000000001</v>
      </c>
      <c r="J531" s="10">
        <f>CHOOSE(CONTROL!$C$42, 15.4131, 15.4131)* CHOOSE(CONTROL!$C$21, $C$9, 100%, $E$9)</f>
        <v>15.4131</v>
      </c>
      <c r="K531" s="10">
        <f>CHOOSE(CONTROL!$C$42, 15.1458, 15.1458) * CHOOSE(CONTROL!$C$21, $C$9, 100%, $E$9)</f>
        <v>15.145799999999999</v>
      </c>
      <c r="L531" s="10">
        <f>CHOOSE(CONTROL!$C$42, 16.0854, 16.0854) * CHOOSE(CONTROL!$C$21, $C$9, 100%, $E$9)</f>
        <v>16.0854</v>
      </c>
      <c r="M531" s="10">
        <f>CHOOSE(CONTROL!$C$42, 15.2311, 15.2311) * CHOOSE(CONTROL!$C$21, $C$9, 100%, $E$9)</f>
        <v>15.2311</v>
      </c>
      <c r="N531" s="10">
        <f>CHOOSE(CONTROL!$C$42, 15.2484, 15.2484) * CHOOSE(CONTROL!$C$21, $C$9, 100%, $E$9)</f>
        <v>15.2484</v>
      </c>
      <c r="O531" s="10">
        <f>CHOOSE(CONTROL!$C$42, 15.3152, 15.3152) * CHOOSE(CONTROL!$C$21, $C$9, 100%, $E$9)</f>
        <v>15.315200000000001</v>
      </c>
      <c r="P531" s="10">
        <f>CHOOSE(CONTROL!$C$42, 15.2692, 15.2692) * CHOOSE(CONTROL!$C$21, $C$9, 100%, $E$9)</f>
        <v>15.2692</v>
      </c>
      <c r="Q531" s="10">
        <f>CHOOSE(CONTROL!$C$42, 15.9105, 15.9105) * CHOOSE(CONTROL!$C$21, $C$9, 100%, $E$9)</f>
        <v>15.910500000000001</v>
      </c>
      <c r="R531" s="10">
        <f>CHOOSE(CONTROL!$C$42, 16.5373, 16.5373) * CHOOSE(CONTROL!$C$21, $C$9, 100%, $E$9)</f>
        <v>16.537299999999998</v>
      </c>
      <c r="S531" s="10">
        <f>CHOOSE(CONTROL!$C$42, 14.9655, 14.9655) * CHOOSE(CONTROL!$C$21, $C$9, 100%, $E$9)</f>
        <v>14.9655</v>
      </c>
      <c r="T53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31" s="38">
        <f>(1000*CHOOSE(CONTROL!$C$42, 695, 695)*CHOOSE(CONTROL!$C$42, 0.5599, 0.5599)*CHOOSE(CONTROL!$C$42, 31, 31))/1000000</f>
        <v>12.063045499999998</v>
      </c>
      <c r="V531" s="38">
        <f>(1000*CHOOSE(CONTROL!$C$42, 500, 500)*CHOOSE(CONTROL!$C$42, 0.275, 0.275)*CHOOSE(CONTROL!$C$42, 31, 31))/1000000</f>
        <v>4.2625000000000002</v>
      </c>
      <c r="W531" s="38">
        <f>(1000*CHOOSE(CONTROL!$C$42, 0.1146, 0.1146)*CHOOSE(CONTROL!$C$42, 121.5, 121.5)*CHOOSE(CONTROL!$C$42, 31, 31))/1000000</f>
        <v>0.43164089999999994</v>
      </c>
      <c r="X531" s="38">
        <f>(31*0.1790888*100000/1000000)+(31*0.2374*100000/1000000)</f>
        <v>1.2911152800000001</v>
      </c>
      <c r="Y531" s="38">
        <f>(1000*600*CHOOSE(CONTROL!$C$42, 1.0585, 1.0585)*CHOOSE(CONTROL!$C$42, 31, 31))/1000000</f>
        <v>19.688099999999999</v>
      </c>
      <c r="Z531" s="38"/>
      <c r="AA531" s="10"/>
      <c r="AB531" s="39"/>
      <c r="AC531" s="33">
        <f>(B531*122.58+C531*297.941+D531*89.177+E531*40.302+F531*40+G531*160+H531*0+I531*100+J531*300)/(122.58+297.941+89.177+40.302+0+40+160+100+300)</f>
        <v>15.438910581913044</v>
      </c>
      <c r="AD531" s="27">
        <f>(M531*'RAP TEMPLATE-GAS AVAILABILITY'!O530+N531*'RAP TEMPLATE-GAS AVAILABILITY'!P530+O531*'RAP TEMPLATE-GAS AVAILABILITY'!Q530+P531*'RAP TEMPLATE-GAS AVAILABILITY'!R530)/('RAP TEMPLATE-GAS AVAILABILITY'!O530+'RAP TEMPLATE-GAS AVAILABILITY'!P530+'RAP TEMPLATE-GAS AVAILABILITY'!Q530+'RAP TEMPLATE-GAS AVAILABILITY'!R530)</f>
        <v>15.275694964028776</v>
      </c>
    </row>
    <row r="532" spans="1:30" ht="15.75">
      <c r="A532" s="13">
        <v>57465</v>
      </c>
      <c r="B532" s="10">
        <f>CHOOSE(CONTROL!$C$42, 15.3927, 15.3927) * CHOOSE(CONTROL!$C$21, $C$9, 100%, $E$9)</f>
        <v>15.3927</v>
      </c>
      <c r="C532" s="10">
        <f>CHOOSE(CONTROL!$C$42, 15.3972, 15.3972) * CHOOSE(CONTROL!$C$21, $C$9, 100%, $E$9)</f>
        <v>15.3972</v>
      </c>
      <c r="D532" s="10">
        <f>CHOOSE(CONTROL!$C$42, 15.5574, 15.5574) * CHOOSE(CONTROL!$C$21, $C$9, 100%, $E$9)</f>
        <v>15.557399999999999</v>
      </c>
      <c r="E532" s="10">
        <f>CHOOSE(CONTROL!$C$42, 15.5892, 15.5892) * CHOOSE(CONTROL!$C$21, $C$9, 100%, $E$9)</f>
        <v>15.5892</v>
      </c>
      <c r="F532" s="10">
        <f>CHOOSE(CONTROL!$C$42, 15.3388, 15.3388)*CHOOSE(CONTROL!$C$21, $C$9, 100%, $E$9)</f>
        <v>15.338800000000001</v>
      </c>
      <c r="G532" s="10">
        <f>CHOOSE(CONTROL!$C$42, 15.3546, 15.3546)*CHOOSE(CONTROL!$C$21, $C$9, 100%, $E$9)</f>
        <v>15.3546</v>
      </c>
      <c r="H532" s="10">
        <f>CHOOSE(CONTROL!$C$42, 15.5787, 15.5787) * CHOOSE(CONTROL!$C$21, $C$9, 100%, $E$9)</f>
        <v>15.5787</v>
      </c>
      <c r="I532" s="10">
        <f>CHOOSE(CONTROL!$C$42, 15.3728, 15.3728)* CHOOSE(CONTROL!$C$21, $C$9, 100%, $E$9)</f>
        <v>15.3728</v>
      </c>
      <c r="J532" s="10">
        <f>CHOOSE(CONTROL!$C$42, 15.3314, 15.3314)* CHOOSE(CONTROL!$C$21, $C$9, 100%, $E$9)</f>
        <v>15.3314</v>
      </c>
      <c r="K532" s="10">
        <f>CHOOSE(CONTROL!$C$42, 15.0535, 15.0535) * CHOOSE(CONTROL!$C$21, $C$9, 100%, $E$9)</f>
        <v>15.0535</v>
      </c>
      <c r="L532" s="10">
        <f>CHOOSE(CONTROL!$C$42, 16.1657, 16.1657) * CHOOSE(CONTROL!$C$21, $C$9, 100%, $E$9)</f>
        <v>16.165700000000001</v>
      </c>
      <c r="M532" s="10">
        <f>CHOOSE(CONTROL!$C$42, 15.1505, 15.1505) * CHOOSE(CONTROL!$C$21, $C$9, 100%, $E$9)</f>
        <v>15.150499999999999</v>
      </c>
      <c r="N532" s="10">
        <f>CHOOSE(CONTROL!$C$42, 15.1661, 15.1661) * CHOOSE(CONTROL!$C$21, $C$9, 100%, $E$9)</f>
        <v>15.1661</v>
      </c>
      <c r="O532" s="10">
        <f>CHOOSE(CONTROL!$C$42, 15.3943, 15.3943) * CHOOSE(CONTROL!$C$21, $C$9, 100%, $E$9)</f>
        <v>15.394299999999999</v>
      </c>
      <c r="P532" s="10">
        <f>CHOOSE(CONTROL!$C$42, 15.1915, 15.1915) * CHOOSE(CONTROL!$C$21, $C$9, 100%, $E$9)</f>
        <v>15.1915</v>
      </c>
      <c r="Q532" s="10">
        <f>CHOOSE(CONTROL!$C$42, 15.9896, 15.9896) * CHOOSE(CONTROL!$C$21, $C$9, 100%, $E$9)</f>
        <v>15.989599999999999</v>
      </c>
      <c r="R532" s="10">
        <f>CHOOSE(CONTROL!$C$42, 16.6166, 16.6166) * CHOOSE(CONTROL!$C$21, $C$9, 100%, $E$9)</f>
        <v>16.616599999999998</v>
      </c>
      <c r="S532" s="10">
        <f>CHOOSE(CONTROL!$C$42, 14.9207, 14.9207) * CHOOSE(CONTROL!$C$21, $C$9, 100%, $E$9)</f>
        <v>14.9207</v>
      </c>
      <c r="T53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32" s="38">
        <f>(1000*CHOOSE(CONTROL!$C$42, 695, 695)*CHOOSE(CONTROL!$C$42, 0.5599, 0.5599)*CHOOSE(CONTROL!$C$42, 30, 30))/1000000</f>
        <v>11.673914999999997</v>
      </c>
      <c r="V532" s="38">
        <f>(1000*CHOOSE(CONTROL!$C$42, 500, 500)*CHOOSE(CONTROL!$C$42, 0.275, 0.275)*CHOOSE(CONTROL!$C$42, 30, 30))/1000000</f>
        <v>4.125</v>
      </c>
      <c r="W532" s="38">
        <f>(1000*CHOOSE(CONTROL!$C$42, 0.1146, 0.1146)*CHOOSE(CONTROL!$C$42, 121.5, 121.5)*CHOOSE(CONTROL!$C$42, 30, 30))/1000000</f>
        <v>0.417717</v>
      </c>
      <c r="X532" s="38">
        <f>(30*0.1790888*245000/1000000)+(30*0.2374*100000/1000000)</f>
        <v>2.0285026799999999</v>
      </c>
      <c r="Y532" s="38">
        <f>(1000*600*CHOOSE(CONTROL!$C$42, 1.0585, 1.0585)*CHOOSE(CONTROL!$C$42, 30, 30))/1000000</f>
        <v>19.053000000000001</v>
      </c>
      <c r="Z532" s="38"/>
      <c r="AA532" s="10"/>
      <c r="AB532" s="39"/>
      <c r="AC532" s="33">
        <f>(B532*141.293+C532*267.993+D532*115.016+E532*89.698+F532*40+G532*185+H532*0+I532*100+J532*300)/(141.293+267.993+115.016+89.698+0+40+185+100+300)</f>
        <v>15.399310379903149</v>
      </c>
      <c r="AD532" s="27">
        <f>(M532*'RAP TEMPLATE-GAS AVAILABILITY'!O531+N532*'RAP TEMPLATE-GAS AVAILABILITY'!P531+O532*'RAP TEMPLATE-GAS AVAILABILITY'!Q531+P532*'RAP TEMPLATE-GAS AVAILABILITY'!R531)/('RAP TEMPLATE-GAS AVAILABILITY'!O531+'RAP TEMPLATE-GAS AVAILABILITY'!P531+'RAP TEMPLATE-GAS AVAILABILITY'!Q531+'RAP TEMPLATE-GAS AVAILABILITY'!R531)</f>
        <v>15.228394964028778</v>
      </c>
    </row>
    <row r="533" spans="1:30" ht="15.75">
      <c r="A533" s="13">
        <v>57496</v>
      </c>
      <c r="B533" s="10">
        <f>CHOOSE(CONTROL!$C$42, 15.5305, 15.5305) * CHOOSE(CONTROL!$C$21, $C$9, 100%, $E$9)</f>
        <v>15.5305</v>
      </c>
      <c r="C533" s="10">
        <f>CHOOSE(CONTROL!$C$42, 15.5385, 15.5385) * CHOOSE(CONTROL!$C$21, $C$9, 100%, $E$9)</f>
        <v>15.538500000000001</v>
      </c>
      <c r="D533" s="10">
        <f>CHOOSE(CONTROL!$C$42, 15.6956, 15.6956) * CHOOSE(CONTROL!$C$21, $C$9, 100%, $E$9)</f>
        <v>15.695600000000001</v>
      </c>
      <c r="E533" s="10">
        <f>CHOOSE(CONTROL!$C$42, 15.7268, 15.7268) * CHOOSE(CONTROL!$C$21, $C$9, 100%, $E$9)</f>
        <v>15.726800000000001</v>
      </c>
      <c r="F533" s="10">
        <f>CHOOSE(CONTROL!$C$42, 15.4746, 15.4746)*CHOOSE(CONTROL!$C$21, $C$9, 100%, $E$9)</f>
        <v>15.474600000000001</v>
      </c>
      <c r="G533" s="10">
        <f>CHOOSE(CONTROL!$C$42, 15.4908, 15.4908)*CHOOSE(CONTROL!$C$21, $C$9, 100%, $E$9)</f>
        <v>15.4908</v>
      </c>
      <c r="H533" s="10">
        <f>CHOOSE(CONTROL!$C$42, 15.7151, 15.7151) * CHOOSE(CONTROL!$C$21, $C$9, 100%, $E$9)</f>
        <v>15.7151</v>
      </c>
      <c r="I533" s="10">
        <f>CHOOSE(CONTROL!$C$42, 15.5093, 15.5093)* CHOOSE(CONTROL!$C$21, $C$9, 100%, $E$9)</f>
        <v>15.5093</v>
      </c>
      <c r="J533" s="10">
        <f>CHOOSE(CONTROL!$C$42, 15.4672, 15.4672)* CHOOSE(CONTROL!$C$21, $C$9, 100%, $E$9)</f>
        <v>15.4672</v>
      </c>
      <c r="K533" s="10">
        <f>CHOOSE(CONTROL!$C$42, 15.1844, 15.1844) * CHOOSE(CONTROL!$C$21, $C$9, 100%, $E$9)</f>
        <v>15.1844</v>
      </c>
      <c r="L533" s="10">
        <f>CHOOSE(CONTROL!$C$42, 16.3021, 16.3021) * CHOOSE(CONTROL!$C$21, $C$9, 100%, $E$9)</f>
        <v>16.302099999999999</v>
      </c>
      <c r="M533" s="10">
        <f>CHOOSE(CONTROL!$C$42, 15.2845, 15.2845) * CHOOSE(CONTROL!$C$21, $C$9, 100%, $E$9)</f>
        <v>15.2845</v>
      </c>
      <c r="N533" s="10">
        <f>CHOOSE(CONTROL!$C$42, 15.3004, 15.3004) * CHOOSE(CONTROL!$C$21, $C$9, 100%, $E$9)</f>
        <v>15.3004</v>
      </c>
      <c r="O533" s="10">
        <f>CHOOSE(CONTROL!$C$42, 15.5289, 15.5289) * CHOOSE(CONTROL!$C$21, $C$9, 100%, $E$9)</f>
        <v>15.5289</v>
      </c>
      <c r="P533" s="10">
        <f>CHOOSE(CONTROL!$C$42, 15.326, 15.326) * CHOOSE(CONTROL!$C$21, $C$9, 100%, $E$9)</f>
        <v>15.326000000000001</v>
      </c>
      <c r="Q533" s="10">
        <f>CHOOSE(CONTROL!$C$42, 16.1242, 16.1242) * CHOOSE(CONTROL!$C$21, $C$9, 100%, $E$9)</f>
        <v>16.124199999999998</v>
      </c>
      <c r="R533" s="10">
        <f>CHOOSE(CONTROL!$C$42, 16.7515, 16.7515) * CHOOSE(CONTROL!$C$21, $C$9, 100%, $E$9)</f>
        <v>16.7515</v>
      </c>
      <c r="S533" s="10">
        <f>CHOOSE(CONTROL!$C$42, 15.0528, 15.0528) * CHOOSE(CONTROL!$C$21, $C$9, 100%, $E$9)</f>
        <v>15.0528</v>
      </c>
      <c r="T53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33" s="38">
        <f>(1000*CHOOSE(CONTROL!$C$42, 695, 695)*CHOOSE(CONTROL!$C$42, 0.5599, 0.5599)*CHOOSE(CONTROL!$C$42, 31, 31))/1000000</f>
        <v>12.063045499999998</v>
      </c>
      <c r="V533" s="38">
        <f>(1000*CHOOSE(CONTROL!$C$42, 500, 500)*CHOOSE(CONTROL!$C$42, 0.275, 0.275)*CHOOSE(CONTROL!$C$42, 31, 31))/1000000</f>
        <v>4.2625000000000002</v>
      </c>
      <c r="W533" s="38">
        <f>(1000*CHOOSE(CONTROL!$C$42, 0.1146, 0.1146)*CHOOSE(CONTROL!$C$42, 121.5, 121.5)*CHOOSE(CONTROL!$C$42, 31, 31))/1000000</f>
        <v>0.43164089999999994</v>
      </c>
      <c r="X533" s="38">
        <f>(31*0.1790888*245000/1000000)+(31*0.2374*100000/1000000)</f>
        <v>2.0961194359999999</v>
      </c>
      <c r="Y533" s="38">
        <f>(1000*600*CHOOSE(CONTROL!$C$42, 1.0585, 1.0585)*CHOOSE(CONTROL!$C$42, 31, 31))/1000000</f>
        <v>19.688099999999999</v>
      </c>
      <c r="Z533" s="38"/>
      <c r="AA533" s="10"/>
      <c r="AB533" s="39"/>
      <c r="AC533" s="33">
        <f>(B533*194.205+C533*267.466+D533*133.845+E533*53.484+F533*40+G533*185+H533*0+I533*100+J533*300)/(194.205+267.466+133.845+53.484+0+40+185+100+300)</f>
        <v>15.533675782339092</v>
      </c>
      <c r="AD533" s="27">
        <f>(M533*'RAP TEMPLATE-GAS AVAILABILITY'!O532+N533*'RAP TEMPLATE-GAS AVAILABILITY'!P532+O533*'RAP TEMPLATE-GAS AVAILABILITY'!Q532+P533*'RAP TEMPLATE-GAS AVAILABILITY'!R532)/('RAP TEMPLATE-GAS AVAILABILITY'!O532+'RAP TEMPLATE-GAS AVAILABILITY'!P532+'RAP TEMPLATE-GAS AVAILABILITY'!Q532+'RAP TEMPLATE-GAS AVAILABILITY'!R532)</f>
        <v>15.362704316546763</v>
      </c>
    </row>
    <row r="534" spans="1:30" ht="15.75">
      <c r="A534" s="13">
        <v>57526</v>
      </c>
      <c r="B534" s="10">
        <f>CHOOSE(CONTROL!$C$42, 15.9715, 15.9715) * CHOOSE(CONTROL!$C$21, $C$9, 100%, $E$9)</f>
        <v>15.971500000000001</v>
      </c>
      <c r="C534" s="10">
        <f>CHOOSE(CONTROL!$C$42, 15.9794, 15.9794) * CHOOSE(CONTROL!$C$21, $C$9, 100%, $E$9)</f>
        <v>15.9794</v>
      </c>
      <c r="D534" s="10">
        <f>CHOOSE(CONTROL!$C$42, 16.1365, 16.1365) * CHOOSE(CONTROL!$C$21, $C$9, 100%, $E$9)</f>
        <v>16.136500000000002</v>
      </c>
      <c r="E534" s="10">
        <f>CHOOSE(CONTROL!$C$42, 16.1677, 16.1677) * CHOOSE(CONTROL!$C$21, $C$9, 100%, $E$9)</f>
        <v>16.1677</v>
      </c>
      <c r="F534" s="10">
        <f>CHOOSE(CONTROL!$C$42, 15.9158, 15.9158)*CHOOSE(CONTROL!$C$21, $C$9, 100%, $E$9)</f>
        <v>15.915800000000001</v>
      </c>
      <c r="G534" s="10">
        <f>CHOOSE(CONTROL!$C$42, 15.9319, 15.9319)*CHOOSE(CONTROL!$C$21, $C$9, 100%, $E$9)</f>
        <v>15.931900000000001</v>
      </c>
      <c r="H534" s="10">
        <f>CHOOSE(CONTROL!$C$42, 16.156, 16.156) * CHOOSE(CONTROL!$C$21, $C$9, 100%, $E$9)</f>
        <v>16.155999999999999</v>
      </c>
      <c r="I534" s="10">
        <f>CHOOSE(CONTROL!$C$42, 15.9502, 15.9502)* CHOOSE(CONTROL!$C$21, $C$9, 100%, $E$9)</f>
        <v>15.950200000000001</v>
      </c>
      <c r="J534" s="10">
        <f>CHOOSE(CONTROL!$C$42, 15.9084, 15.9084)* CHOOSE(CONTROL!$C$21, $C$9, 100%, $E$9)</f>
        <v>15.9084</v>
      </c>
      <c r="K534" s="10">
        <f>CHOOSE(CONTROL!$C$42, 15.6119, 15.6119) * CHOOSE(CONTROL!$C$21, $C$9, 100%, $E$9)</f>
        <v>15.6119</v>
      </c>
      <c r="L534" s="10">
        <f>CHOOSE(CONTROL!$C$42, 16.743, 16.743) * CHOOSE(CONTROL!$C$21, $C$9, 100%, $E$9)</f>
        <v>16.742999999999999</v>
      </c>
      <c r="M534" s="10">
        <f>CHOOSE(CONTROL!$C$42, 15.7195, 15.7195) * CHOOSE(CONTROL!$C$21, $C$9, 100%, $E$9)</f>
        <v>15.7195</v>
      </c>
      <c r="N534" s="10">
        <f>CHOOSE(CONTROL!$C$42, 15.7354, 15.7354) * CHOOSE(CONTROL!$C$21, $C$9, 100%, $E$9)</f>
        <v>15.7354</v>
      </c>
      <c r="O534" s="10">
        <f>CHOOSE(CONTROL!$C$42, 15.9637, 15.9637) * CHOOSE(CONTROL!$C$21, $C$9, 100%, $E$9)</f>
        <v>15.963699999999999</v>
      </c>
      <c r="P534" s="10">
        <f>CHOOSE(CONTROL!$C$42, 15.7608, 15.7608) * CHOOSE(CONTROL!$C$21, $C$9, 100%, $E$9)</f>
        <v>15.7608</v>
      </c>
      <c r="Q534" s="10">
        <f>CHOOSE(CONTROL!$C$42, 16.559, 16.559) * CHOOSE(CONTROL!$C$21, $C$9, 100%, $E$9)</f>
        <v>16.559000000000001</v>
      </c>
      <c r="R534" s="10">
        <f>CHOOSE(CONTROL!$C$42, 17.1874, 17.1874) * CHOOSE(CONTROL!$C$21, $C$9, 100%, $E$9)</f>
        <v>17.1874</v>
      </c>
      <c r="S534" s="10">
        <f>CHOOSE(CONTROL!$C$42, 15.4798, 15.4798) * CHOOSE(CONTROL!$C$21, $C$9, 100%, $E$9)</f>
        <v>15.479799999999999</v>
      </c>
      <c r="T53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34" s="38">
        <f>(1000*CHOOSE(CONTROL!$C$42, 695, 695)*CHOOSE(CONTROL!$C$42, 0.5599, 0.5599)*CHOOSE(CONTROL!$C$42, 30, 30))/1000000</f>
        <v>11.673914999999997</v>
      </c>
      <c r="V534" s="38">
        <f>(1000*CHOOSE(CONTROL!$C$42, 500, 500)*CHOOSE(CONTROL!$C$42, 0.275, 0.275)*CHOOSE(CONTROL!$C$42, 30, 30))/1000000</f>
        <v>4.125</v>
      </c>
      <c r="W534" s="38">
        <f>(1000*CHOOSE(CONTROL!$C$42, 0.1146, 0.1146)*CHOOSE(CONTROL!$C$42, 121.5, 121.5)*CHOOSE(CONTROL!$C$42, 30, 30))/1000000</f>
        <v>0.417717</v>
      </c>
      <c r="X534" s="38">
        <f>(30*0.1790888*245000/1000000)+(30*0.2374*100000/1000000)</f>
        <v>2.0285026799999999</v>
      </c>
      <c r="Y534" s="38">
        <f>(1000*600*CHOOSE(CONTROL!$C$42, 1.0585, 1.0585)*CHOOSE(CONTROL!$C$42, 30, 30))/1000000</f>
        <v>19.053000000000001</v>
      </c>
      <c r="Z534" s="38"/>
      <c r="AA534" s="10"/>
      <c r="AB534" s="39"/>
      <c r="AC534" s="33">
        <f>(B534*194.205+C534*267.466+D534*133.845+E534*53.484+F534*40+G534*185+H534*0+I534*100+J534*300)/(194.205+267.466+133.845+53.484+0+40+185+100+300)</f>
        <v>15.974700131240189</v>
      </c>
      <c r="AD534" s="27">
        <f>(M534*'RAP TEMPLATE-GAS AVAILABILITY'!O533+N534*'RAP TEMPLATE-GAS AVAILABILITY'!P533+O534*'RAP TEMPLATE-GAS AVAILABILITY'!Q533+P534*'RAP TEMPLATE-GAS AVAILABILITY'!R533)/('RAP TEMPLATE-GAS AVAILABILITY'!O533+'RAP TEMPLATE-GAS AVAILABILITY'!P533+'RAP TEMPLATE-GAS AVAILABILITY'!Q533+'RAP TEMPLATE-GAS AVAILABILITY'!R533)</f>
        <v>15.79761942446043</v>
      </c>
    </row>
    <row r="535" spans="1:30" ht="15.75">
      <c r="A535" s="13">
        <v>57557</v>
      </c>
      <c r="B535" s="10">
        <f>CHOOSE(CONTROL!$C$42, 15.6648, 15.6648) * CHOOSE(CONTROL!$C$21, $C$9, 100%, $E$9)</f>
        <v>15.6648</v>
      </c>
      <c r="C535" s="10">
        <f>CHOOSE(CONTROL!$C$42, 15.6728, 15.6728) * CHOOSE(CONTROL!$C$21, $C$9, 100%, $E$9)</f>
        <v>15.672800000000001</v>
      </c>
      <c r="D535" s="10">
        <f>CHOOSE(CONTROL!$C$42, 15.8298, 15.8298) * CHOOSE(CONTROL!$C$21, $C$9, 100%, $E$9)</f>
        <v>15.829800000000001</v>
      </c>
      <c r="E535" s="10">
        <f>CHOOSE(CONTROL!$C$42, 15.861, 15.861) * CHOOSE(CONTROL!$C$21, $C$9, 100%, $E$9)</f>
        <v>15.861000000000001</v>
      </c>
      <c r="F535" s="10">
        <f>CHOOSE(CONTROL!$C$42, 15.6094, 15.6094)*CHOOSE(CONTROL!$C$21, $C$9, 100%, $E$9)</f>
        <v>15.609400000000001</v>
      </c>
      <c r="G535" s="10">
        <f>CHOOSE(CONTROL!$C$42, 15.6257, 15.6257)*CHOOSE(CONTROL!$C$21, $C$9, 100%, $E$9)</f>
        <v>15.6257</v>
      </c>
      <c r="H535" s="10">
        <f>CHOOSE(CONTROL!$C$42, 15.8494, 15.8494) * CHOOSE(CONTROL!$C$21, $C$9, 100%, $E$9)</f>
        <v>15.849399999999999</v>
      </c>
      <c r="I535" s="10">
        <f>CHOOSE(CONTROL!$C$42, 15.6436, 15.6436)* CHOOSE(CONTROL!$C$21, $C$9, 100%, $E$9)</f>
        <v>15.643599999999999</v>
      </c>
      <c r="J535" s="10">
        <f>CHOOSE(CONTROL!$C$42, 15.602, 15.602)* CHOOSE(CONTROL!$C$21, $C$9, 100%, $E$9)</f>
        <v>15.602</v>
      </c>
      <c r="K535" s="10">
        <f>CHOOSE(CONTROL!$C$42, 15.3155, 15.3155) * CHOOSE(CONTROL!$C$21, $C$9, 100%, $E$9)</f>
        <v>15.3155</v>
      </c>
      <c r="L535" s="10">
        <f>CHOOSE(CONTROL!$C$42, 16.4364, 16.4364) * CHOOSE(CONTROL!$C$21, $C$9, 100%, $E$9)</f>
        <v>16.436399999999999</v>
      </c>
      <c r="M535" s="10">
        <f>CHOOSE(CONTROL!$C$42, 15.4174, 15.4174) * CHOOSE(CONTROL!$C$21, $C$9, 100%, $E$9)</f>
        <v>15.417400000000001</v>
      </c>
      <c r="N535" s="10">
        <f>CHOOSE(CONTROL!$C$42, 15.4334, 15.4334) * CHOOSE(CONTROL!$C$21, $C$9, 100%, $E$9)</f>
        <v>15.433400000000001</v>
      </c>
      <c r="O535" s="10">
        <f>CHOOSE(CONTROL!$C$42, 15.6613, 15.6613) * CHOOSE(CONTROL!$C$21, $C$9, 100%, $E$9)</f>
        <v>15.661300000000001</v>
      </c>
      <c r="P535" s="10">
        <f>CHOOSE(CONTROL!$C$42, 15.4584, 15.4584) * CHOOSE(CONTROL!$C$21, $C$9, 100%, $E$9)</f>
        <v>15.458399999999999</v>
      </c>
      <c r="Q535" s="10">
        <f>CHOOSE(CONTROL!$C$42, 16.2566, 16.2566) * CHOOSE(CONTROL!$C$21, $C$9, 100%, $E$9)</f>
        <v>16.256599999999999</v>
      </c>
      <c r="R535" s="10">
        <f>CHOOSE(CONTROL!$C$42, 16.8842, 16.8842) * CHOOSE(CONTROL!$C$21, $C$9, 100%, $E$9)</f>
        <v>16.8842</v>
      </c>
      <c r="S535" s="10">
        <f>CHOOSE(CONTROL!$C$42, 15.1828, 15.1828) * CHOOSE(CONTROL!$C$21, $C$9, 100%, $E$9)</f>
        <v>15.1828</v>
      </c>
      <c r="T53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35" s="38">
        <f>(1000*CHOOSE(CONTROL!$C$42, 695, 695)*CHOOSE(CONTROL!$C$42, 0.5599, 0.5599)*CHOOSE(CONTROL!$C$42, 31, 31))/1000000</f>
        <v>12.063045499999998</v>
      </c>
      <c r="V535" s="38">
        <f>(1000*CHOOSE(CONTROL!$C$42, 500, 500)*CHOOSE(CONTROL!$C$42, 0.275, 0.275)*CHOOSE(CONTROL!$C$42, 31, 31))/1000000</f>
        <v>4.2625000000000002</v>
      </c>
      <c r="W535" s="38">
        <f>(1000*CHOOSE(CONTROL!$C$42, 0.1146, 0.1146)*CHOOSE(CONTROL!$C$42, 121.5, 121.5)*CHOOSE(CONTROL!$C$42, 31, 31))/1000000</f>
        <v>0.43164089999999994</v>
      </c>
      <c r="X535" s="38">
        <f>(31*0.1790888*245000/1000000)+(31*0.2374*100000/1000000)</f>
        <v>2.0961194359999999</v>
      </c>
      <c r="Y535" s="38">
        <f>(1000*600*CHOOSE(CONTROL!$C$42, 1.0585, 1.0585)*CHOOSE(CONTROL!$C$42, 31, 31))/1000000</f>
        <v>19.688099999999999</v>
      </c>
      <c r="Z535" s="38"/>
      <c r="AA535" s="10"/>
      <c r="AB535" s="39"/>
      <c r="AC535" s="33">
        <f>(B535*194.205+C535*267.466+D535*133.845+E535*53.484+F535*40+G535*185+H535*0+I535*100+J535*300)/(194.205+267.466+133.845+53.484+0+40+185+100+300)</f>
        <v>15.668181643485086</v>
      </c>
      <c r="AD535" s="27">
        <f>(M535*'RAP TEMPLATE-GAS AVAILABILITY'!O534+N535*'RAP TEMPLATE-GAS AVAILABILITY'!P534+O535*'RAP TEMPLATE-GAS AVAILABILITY'!Q534+P535*'RAP TEMPLATE-GAS AVAILABILITY'!R534)/('RAP TEMPLATE-GAS AVAILABILITY'!O534+'RAP TEMPLATE-GAS AVAILABILITY'!P534+'RAP TEMPLATE-GAS AVAILABILITY'!Q534+'RAP TEMPLATE-GAS AVAILABILITY'!R534)</f>
        <v>15.495415107913669</v>
      </c>
    </row>
    <row r="536" spans="1:30" ht="15.75">
      <c r="A536" s="13">
        <v>57588</v>
      </c>
      <c r="B536" s="10">
        <f>CHOOSE(CONTROL!$C$42, 14.8903, 14.8903) * CHOOSE(CONTROL!$C$21, $C$9, 100%, $E$9)</f>
        <v>14.8903</v>
      </c>
      <c r="C536" s="10">
        <f>CHOOSE(CONTROL!$C$42, 14.8983, 14.8983) * CHOOSE(CONTROL!$C$21, $C$9, 100%, $E$9)</f>
        <v>14.898300000000001</v>
      </c>
      <c r="D536" s="10">
        <f>CHOOSE(CONTROL!$C$42, 15.0554, 15.0554) * CHOOSE(CONTROL!$C$21, $C$9, 100%, $E$9)</f>
        <v>15.055400000000001</v>
      </c>
      <c r="E536" s="10">
        <f>CHOOSE(CONTROL!$C$42, 15.0866, 15.0866) * CHOOSE(CONTROL!$C$21, $C$9, 100%, $E$9)</f>
        <v>15.086600000000001</v>
      </c>
      <c r="F536" s="10">
        <f>CHOOSE(CONTROL!$C$42, 14.8349, 14.8349)*CHOOSE(CONTROL!$C$21, $C$9, 100%, $E$9)</f>
        <v>14.834899999999999</v>
      </c>
      <c r="G536" s="10">
        <f>CHOOSE(CONTROL!$C$42, 14.8512, 14.8512)*CHOOSE(CONTROL!$C$21, $C$9, 100%, $E$9)</f>
        <v>14.8512</v>
      </c>
      <c r="H536" s="10">
        <f>CHOOSE(CONTROL!$C$42, 15.0749, 15.0749) * CHOOSE(CONTROL!$C$21, $C$9, 100%, $E$9)</f>
        <v>15.0749</v>
      </c>
      <c r="I536" s="10">
        <f>CHOOSE(CONTROL!$C$42, 14.8691, 14.8691)* CHOOSE(CONTROL!$C$21, $C$9, 100%, $E$9)</f>
        <v>14.8691</v>
      </c>
      <c r="J536" s="10">
        <f>CHOOSE(CONTROL!$C$42, 14.8275, 14.8275)* CHOOSE(CONTROL!$C$21, $C$9, 100%, $E$9)</f>
        <v>14.827500000000001</v>
      </c>
      <c r="K536" s="10">
        <f>CHOOSE(CONTROL!$C$42, 14.5651, 14.5651) * CHOOSE(CONTROL!$C$21, $C$9, 100%, $E$9)</f>
        <v>14.565099999999999</v>
      </c>
      <c r="L536" s="10">
        <f>CHOOSE(CONTROL!$C$42, 15.6619, 15.6619) * CHOOSE(CONTROL!$C$21, $C$9, 100%, $E$9)</f>
        <v>15.661899999999999</v>
      </c>
      <c r="M536" s="10">
        <f>CHOOSE(CONTROL!$C$42, 14.6537, 14.6537) * CHOOSE(CONTROL!$C$21, $C$9, 100%, $E$9)</f>
        <v>14.653700000000001</v>
      </c>
      <c r="N536" s="10">
        <f>CHOOSE(CONTROL!$C$42, 14.6697, 14.6697) * CHOOSE(CONTROL!$C$21, $C$9, 100%, $E$9)</f>
        <v>14.669700000000001</v>
      </c>
      <c r="O536" s="10">
        <f>CHOOSE(CONTROL!$C$42, 14.8976, 14.8976) * CHOOSE(CONTROL!$C$21, $C$9, 100%, $E$9)</f>
        <v>14.897600000000001</v>
      </c>
      <c r="P536" s="10">
        <f>CHOOSE(CONTROL!$C$42, 14.6948, 14.6948) * CHOOSE(CONTROL!$C$21, $C$9, 100%, $E$9)</f>
        <v>14.694800000000001</v>
      </c>
      <c r="Q536" s="10">
        <f>CHOOSE(CONTROL!$C$42, 15.4929, 15.4929) * CHOOSE(CONTROL!$C$21, $C$9, 100%, $E$9)</f>
        <v>15.492900000000001</v>
      </c>
      <c r="R536" s="10">
        <f>CHOOSE(CONTROL!$C$42, 16.1187, 16.1187) * CHOOSE(CONTROL!$C$21, $C$9, 100%, $E$9)</f>
        <v>16.1187</v>
      </c>
      <c r="S536" s="10">
        <f>CHOOSE(CONTROL!$C$42, 14.4329, 14.4329) * CHOOSE(CONTROL!$C$21, $C$9, 100%, $E$9)</f>
        <v>14.4329</v>
      </c>
      <c r="T53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36" s="38">
        <f>(1000*CHOOSE(CONTROL!$C$42, 695, 695)*CHOOSE(CONTROL!$C$42, 0.5599, 0.5599)*CHOOSE(CONTROL!$C$42, 31, 31))/1000000</f>
        <v>12.063045499999998</v>
      </c>
      <c r="V536" s="38">
        <f>(1000*CHOOSE(CONTROL!$C$42, 500, 500)*CHOOSE(CONTROL!$C$42, 0.275, 0.275)*CHOOSE(CONTROL!$C$42, 31, 31))/1000000</f>
        <v>4.2625000000000002</v>
      </c>
      <c r="W536" s="38">
        <f>(1000*CHOOSE(CONTROL!$C$42, 0.1146, 0.1146)*CHOOSE(CONTROL!$C$42, 121.5, 121.5)*CHOOSE(CONTROL!$C$42, 31, 31))/1000000</f>
        <v>0.43164089999999994</v>
      </c>
      <c r="X536" s="38">
        <f>(31*0.1790888*245000/1000000)+(31*0.2374*100000/1000000)</f>
        <v>2.0961194359999999</v>
      </c>
      <c r="Y536" s="38">
        <f>(1000*600*CHOOSE(CONTROL!$C$42, 1.0585, 1.0585)*CHOOSE(CONTROL!$C$42, 31, 31))/1000000</f>
        <v>19.688099999999999</v>
      </c>
      <c r="Z536" s="38"/>
      <c r="AA536" s="10"/>
      <c r="AB536" s="39"/>
      <c r="AC536" s="33">
        <f>(B536*194.205+C536*267.466+D536*133.845+E536*53.484+F536*40+G536*185+H536*0+I536*100+J536*300)/(194.205+267.466+133.845+53.484+0+40+185+100+300)</f>
        <v>14.893696347488225</v>
      </c>
      <c r="AD536" s="27">
        <f>(M536*'RAP TEMPLATE-GAS AVAILABILITY'!O535+N536*'RAP TEMPLATE-GAS AVAILABILITY'!P535+O536*'RAP TEMPLATE-GAS AVAILABILITY'!Q535+P536*'RAP TEMPLATE-GAS AVAILABILITY'!R535)/('RAP TEMPLATE-GAS AVAILABILITY'!O535+'RAP TEMPLATE-GAS AVAILABILITY'!P535+'RAP TEMPLATE-GAS AVAILABILITY'!Q535+'RAP TEMPLATE-GAS AVAILABILITY'!R535)</f>
        <v>14.731729496402878</v>
      </c>
    </row>
    <row r="537" spans="1:30" ht="15.75">
      <c r="A537" s="13">
        <v>57618</v>
      </c>
      <c r="B537" s="10">
        <f>CHOOSE(CONTROL!$C$42, 13.9441, 13.9441) * CHOOSE(CONTROL!$C$21, $C$9, 100%, $E$9)</f>
        <v>13.944100000000001</v>
      </c>
      <c r="C537" s="10">
        <f>CHOOSE(CONTROL!$C$42, 13.9521, 13.9521) * CHOOSE(CONTROL!$C$21, $C$9, 100%, $E$9)</f>
        <v>13.9521</v>
      </c>
      <c r="D537" s="10">
        <f>CHOOSE(CONTROL!$C$42, 14.1092, 14.1092) * CHOOSE(CONTROL!$C$21, $C$9, 100%, $E$9)</f>
        <v>14.1092</v>
      </c>
      <c r="E537" s="10">
        <f>CHOOSE(CONTROL!$C$42, 14.1404, 14.1404) * CHOOSE(CONTROL!$C$21, $C$9, 100%, $E$9)</f>
        <v>14.1404</v>
      </c>
      <c r="F537" s="10">
        <f>CHOOSE(CONTROL!$C$42, 13.8885, 13.8885)*CHOOSE(CONTROL!$C$21, $C$9, 100%, $E$9)</f>
        <v>13.888500000000001</v>
      </c>
      <c r="G537" s="10">
        <f>CHOOSE(CONTROL!$C$42, 13.9047, 13.9047)*CHOOSE(CONTROL!$C$21, $C$9, 100%, $E$9)</f>
        <v>13.9047</v>
      </c>
      <c r="H537" s="10">
        <f>CHOOSE(CONTROL!$C$42, 14.1287, 14.1287) * CHOOSE(CONTROL!$C$21, $C$9, 100%, $E$9)</f>
        <v>14.1287</v>
      </c>
      <c r="I537" s="10">
        <f>CHOOSE(CONTROL!$C$42, 13.9229, 13.9229)* CHOOSE(CONTROL!$C$21, $C$9, 100%, $E$9)</f>
        <v>13.9229</v>
      </c>
      <c r="J537" s="10">
        <f>CHOOSE(CONTROL!$C$42, 13.8811, 13.8811)* CHOOSE(CONTROL!$C$21, $C$9, 100%, $E$9)</f>
        <v>13.8811</v>
      </c>
      <c r="K537" s="10">
        <f>CHOOSE(CONTROL!$C$42, 13.648, 13.648) * CHOOSE(CONTROL!$C$21, $C$9, 100%, $E$9)</f>
        <v>13.648</v>
      </c>
      <c r="L537" s="10">
        <f>CHOOSE(CONTROL!$C$42, 14.7157, 14.7157) * CHOOSE(CONTROL!$C$21, $C$9, 100%, $E$9)</f>
        <v>14.7157</v>
      </c>
      <c r="M537" s="10">
        <f>CHOOSE(CONTROL!$C$42, 13.7205, 13.7205) * CHOOSE(CONTROL!$C$21, $C$9, 100%, $E$9)</f>
        <v>13.720499999999999</v>
      </c>
      <c r="N537" s="10">
        <f>CHOOSE(CONTROL!$C$42, 13.7364, 13.7364) * CHOOSE(CONTROL!$C$21, $C$9, 100%, $E$9)</f>
        <v>13.7364</v>
      </c>
      <c r="O537" s="10">
        <f>CHOOSE(CONTROL!$C$42, 13.9646, 13.9646) * CHOOSE(CONTROL!$C$21, $C$9, 100%, $E$9)</f>
        <v>13.964600000000001</v>
      </c>
      <c r="P537" s="10">
        <f>CHOOSE(CONTROL!$C$42, 13.7617, 13.7617) * CHOOSE(CONTROL!$C$21, $C$9, 100%, $E$9)</f>
        <v>13.761699999999999</v>
      </c>
      <c r="Q537" s="10">
        <f>CHOOSE(CONTROL!$C$42, 14.5599, 14.5599) * CHOOSE(CONTROL!$C$21, $C$9, 100%, $E$9)</f>
        <v>14.559900000000001</v>
      </c>
      <c r="R537" s="10">
        <f>CHOOSE(CONTROL!$C$42, 15.1833, 15.1833) * CHOOSE(CONTROL!$C$21, $C$9, 100%, $E$9)</f>
        <v>15.183299999999999</v>
      </c>
      <c r="S537" s="10">
        <f>CHOOSE(CONTROL!$C$42, 13.5167, 13.5167) * CHOOSE(CONTROL!$C$21, $C$9, 100%, $E$9)</f>
        <v>13.5167</v>
      </c>
      <c r="T53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37" s="38">
        <f>(1000*CHOOSE(CONTROL!$C$42, 695, 695)*CHOOSE(CONTROL!$C$42, 0.5599, 0.5599)*CHOOSE(CONTROL!$C$42, 30, 30))/1000000</f>
        <v>11.673914999999997</v>
      </c>
      <c r="V537" s="38">
        <f>(1000*CHOOSE(CONTROL!$C$42, 500, 500)*CHOOSE(CONTROL!$C$42, 0.275, 0.275)*CHOOSE(CONTROL!$C$42, 30, 30))/1000000</f>
        <v>4.125</v>
      </c>
      <c r="W537" s="38">
        <f>(1000*CHOOSE(CONTROL!$C$42, 0.1146, 0.1146)*CHOOSE(CONTROL!$C$42, 121.5, 121.5)*CHOOSE(CONTROL!$C$42, 30, 30))/1000000</f>
        <v>0.417717</v>
      </c>
      <c r="X537" s="38">
        <f>(30*0.1790888*245000/1000000)+(30*0.2374*100000/1000000)</f>
        <v>2.0285026799999999</v>
      </c>
      <c r="Y537" s="38">
        <f>(1000*600*CHOOSE(CONTROL!$C$42, 1.0585, 1.0585)*CHOOSE(CONTROL!$C$42, 30, 30))/1000000</f>
        <v>19.053000000000001</v>
      </c>
      <c r="Z537" s="38"/>
      <c r="AA537" s="10"/>
      <c r="AB537" s="39"/>
      <c r="AC537" s="33">
        <f>(B537*194.205+C537*267.466+D537*133.845+E537*53.484+F537*40+G537*185+H537*0+I537*100+J537*300)/(194.205+267.466+133.845+53.484+0+40+185+100+300)</f>
        <v>13.947399408712714</v>
      </c>
      <c r="AD537" s="27">
        <f>(M537*'RAP TEMPLATE-GAS AVAILABILITY'!O536+N537*'RAP TEMPLATE-GAS AVAILABILITY'!P536+O537*'RAP TEMPLATE-GAS AVAILABILITY'!Q536+P537*'RAP TEMPLATE-GAS AVAILABILITY'!R536)/('RAP TEMPLATE-GAS AVAILABILITY'!O536+'RAP TEMPLATE-GAS AVAILABILITY'!P536+'RAP TEMPLATE-GAS AVAILABILITY'!Q536+'RAP TEMPLATE-GAS AVAILABILITY'!R536)</f>
        <v>13.798576978417266</v>
      </c>
    </row>
    <row r="538" spans="1:30" ht="15.75">
      <c r="A538" s="13">
        <v>57649</v>
      </c>
      <c r="B538" s="10">
        <f>CHOOSE(CONTROL!$C$42, 13.6585, 13.6585) * CHOOSE(CONTROL!$C$21, $C$9, 100%, $E$9)</f>
        <v>13.6585</v>
      </c>
      <c r="C538" s="10">
        <f>CHOOSE(CONTROL!$C$42, 13.6639, 13.6639) * CHOOSE(CONTROL!$C$21, $C$9, 100%, $E$9)</f>
        <v>13.6639</v>
      </c>
      <c r="D538" s="10">
        <f>CHOOSE(CONTROL!$C$42, 13.8258, 13.8258) * CHOOSE(CONTROL!$C$21, $C$9, 100%, $E$9)</f>
        <v>13.825799999999999</v>
      </c>
      <c r="E538" s="10">
        <f>CHOOSE(CONTROL!$C$42, 13.8547, 13.8547) * CHOOSE(CONTROL!$C$21, $C$9, 100%, $E$9)</f>
        <v>13.854699999999999</v>
      </c>
      <c r="F538" s="10">
        <f>CHOOSE(CONTROL!$C$42, 13.6049, 13.6049)*CHOOSE(CONTROL!$C$21, $C$9, 100%, $E$9)</f>
        <v>13.604900000000001</v>
      </c>
      <c r="G538" s="10">
        <f>CHOOSE(CONTROL!$C$42, 13.6207, 13.6207)*CHOOSE(CONTROL!$C$21, $C$9, 100%, $E$9)</f>
        <v>13.620699999999999</v>
      </c>
      <c r="H538" s="10">
        <f>CHOOSE(CONTROL!$C$42, 13.8449, 13.8449) * CHOOSE(CONTROL!$C$21, $C$9, 100%, $E$9)</f>
        <v>13.844900000000001</v>
      </c>
      <c r="I538" s="10">
        <f>CHOOSE(CONTROL!$C$42, 13.639, 13.639)* CHOOSE(CONTROL!$C$21, $C$9, 100%, $E$9)</f>
        <v>13.638999999999999</v>
      </c>
      <c r="J538" s="10">
        <f>CHOOSE(CONTROL!$C$42, 13.5975, 13.5975)* CHOOSE(CONTROL!$C$21, $C$9, 100%, $E$9)</f>
        <v>13.5975</v>
      </c>
      <c r="K538" s="10">
        <f>CHOOSE(CONTROL!$C$42, 13.3736, 13.3736) * CHOOSE(CONTROL!$C$21, $C$9, 100%, $E$9)</f>
        <v>13.3736</v>
      </c>
      <c r="L538" s="10">
        <f>CHOOSE(CONTROL!$C$42, 14.4319, 14.4319) * CHOOSE(CONTROL!$C$21, $C$9, 100%, $E$9)</f>
        <v>14.431900000000001</v>
      </c>
      <c r="M538" s="10">
        <f>CHOOSE(CONTROL!$C$42, 13.4409, 13.4409) * CHOOSE(CONTROL!$C$21, $C$9, 100%, $E$9)</f>
        <v>13.440899999999999</v>
      </c>
      <c r="N538" s="10">
        <f>CHOOSE(CONTROL!$C$42, 13.4564, 13.4564) * CHOOSE(CONTROL!$C$21, $C$9, 100%, $E$9)</f>
        <v>13.4564</v>
      </c>
      <c r="O538" s="10">
        <f>CHOOSE(CONTROL!$C$42, 13.6847, 13.6847) * CHOOSE(CONTROL!$C$21, $C$9, 100%, $E$9)</f>
        <v>13.684699999999999</v>
      </c>
      <c r="P538" s="10">
        <f>CHOOSE(CONTROL!$C$42, 13.4818, 13.4818) * CHOOSE(CONTROL!$C$21, $C$9, 100%, $E$9)</f>
        <v>13.4818</v>
      </c>
      <c r="Q538" s="10">
        <f>CHOOSE(CONTROL!$C$42, 14.28, 14.28) * CHOOSE(CONTROL!$C$21, $C$9, 100%, $E$9)</f>
        <v>14.28</v>
      </c>
      <c r="R538" s="10">
        <f>CHOOSE(CONTROL!$C$42, 14.9027, 14.9027) * CHOOSE(CONTROL!$C$21, $C$9, 100%, $E$9)</f>
        <v>14.902699999999999</v>
      </c>
      <c r="S538" s="10">
        <f>CHOOSE(CONTROL!$C$42, 13.2418, 13.2418) * CHOOSE(CONTROL!$C$21, $C$9, 100%, $E$9)</f>
        <v>13.2418</v>
      </c>
      <c r="T53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38" s="38">
        <f>(1000*CHOOSE(CONTROL!$C$42, 695, 695)*CHOOSE(CONTROL!$C$42, 0.5599, 0.5599)*CHOOSE(CONTROL!$C$42, 31, 31))/1000000</f>
        <v>12.063045499999998</v>
      </c>
      <c r="V538" s="38">
        <f>(1000*CHOOSE(CONTROL!$C$42, 500, 500)*CHOOSE(CONTROL!$C$42, 0.275, 0.275)*CHOOSE(CONTROL!$C$42, 31, 31))/1000000</f>
        <v>4.2625000000000002</v>
      </c>
      <c r="W538" s="38">
        <f>(1000*CHOOSE(CONTROL!$C$42, 0.1146, 0.1146)*CHOOSE(CONTROL!$C$42, 121.5, 121.5)*CHOOSE(CONTROL!$C$42, 31, 31))/1000000</f>
        <v>0.43164089999999994</v>
      </c>
      <c r="X538" s="38">
        <f>(31*0.1790888*245000/1000000)+(31*0.2374*100000/1000000)</f>
        <v>2.0961194359999999</v>
      </c>
      <c r="Y538" s="38">
        <f>(1000*600*CHOOSE(CONTROL!$C$42, 1.0585, 1.0585)*CHOOSE(CONTROL!$C$42, 31, 31))/1000000</f>
        <v>19.688099999999999</v>
      </c>
      <c r="Z538" s="38"/>
      <c r="AA538" s="10"/>
      <c r="AB538" s="39"/>
      <c r="AC538" s="33">
        <f>(B538*131.881+C538*277.167+D538*79.08+E538*125.872+F538*40+G538*185+H538*0+I538*100+J538*300)/(131.881+277.167+79.08+125.872+0+40+185+100+300)</f>
        <v>13.666599977562548</v>
      </c>
      <c r="AD538" s="27">
        <f>(M538*'RAP TEMPLATE-GAS AVAILABILITY'!O537+N538*'RAP TEMPLATE-GAS AVAILABILITY'!P537+O538*'RAP TEMPLATE-GAS AVAILABILITY'!Q537+P538*'RAP TEMPLATE-GAS AVAILABILITY'!R537)/('RAP TEMPLATE-GAS AVAILABILITY'!O537+'RAP TEMPLATE-GAS AVAILABILITY'!P537+'RAP TEMPLATE-GAS AVAILABILITY'!Q537+'RAP TEMPLATE-GAS AVAILABILITY'!R537)</f>
        <v>13.518757553956835</v>
      </c>
    </row>
    <row r="539" spans="1:30" ht="15.75">
      <c r="A539" s="13">
        <v>57679</v>
      </c>
      <c r="B539" s="10">
        <f>CHOOSE(CONTROL!$C$42, 14.0184, 14.0184) * CHOOSE(CONTROL!$C$21, $C$9, 100%, $E$9)</f>
        <v>14.0184</v>
      </c>
      <c r="C539" s="10">
        <f>CHOOSE(CONTROL!$C$42, 14.0235, 14.0235) * CHOOSE(CONTROL!$C$21, $C$9, 100%, $E$9)</f>
        <v>14.0235</v>
      </c>
      <c r="D539" s="10">
        <f>CHOOSE(CONTROL!$C$42, 14.0482, 14.0482) * CHOOSE(CONTROL!$C$21, $C$9, 100%, $E$9)</f>
        <v>14.0482</v>
      </c>
      <c r="E539" s="10">
        <f>CHOOSE(CONTROL!$C$42, 14.082, 14.082) * CHOOSE(CONTROL!$C$21, $C$9, 100%, $E$9)</f>
        <v>14.082000000000001</v>
      </c>
      <c r="F539" s="10">
        <f>CHOOSE(CONTROL!$C$42, 13.9867, 13.9867)*CHOOSE(CONTROL!$C$21, $C$9, 100%, $E$9)</f>
        <v>13.986700000000001</v>
      </c>
      <c r="G539" s="10">
        <f>CHOOSE(CONTROL!$C$42, 14.0027, 14.0027)*CHOOSE(CONTROL!$C$21, $C$9, 100%, $E$9)</f>
        <v>14.002700000000001</v>
      </c>
      <c r="H539" s="10">
        <f>CHOOSE(CONTROL!$C$42, 14.0708, 14.0708) * CHOOSE(CONTROL!$C$21, $C$9, 100%, $E$9)</f>
        <v>14.0708</v>
      </c>
      <c r="I539" s="10">
        <f>CHOOSE(CONTROL!$C$42, 14.0334, 14.0334)* CHOOSE(CONTROL!$C$21, $C$9, 100%, $E$9)</f>
        <v>14.0334</v>
      </c>
      <c r="J539" s="10">
        <f>CHOOSE(CONTROL!$C$42, 13.9793, 13.9793)* CHOOSE(CONTROL!$C$21, $C$9, 100%, $E$9)</f>
        <v>13.9793</v>
      </c>
      <c r="K539" s="10">
        <f>CHOOSE(CONTROL!$C$42, 13.7579, 13.7579) * CHOOSE(CONTROL!$C$21, $C$9, 100%, $E$9)</f>
        <v>13.757899999999999</v>
      </c>
      <c r="L539" s="10">
        <f>CHOOSE(CONTROL!$C$42, 14.6578, 14.6578) * CHOOSE(CONTROL!$C$21, $C$9, 100%, $E$9)</f>
        <v>14.6578</v>
      </c>
      <c r="M539" s="10">
        <f>CHOOSE(CONTROL!$C$42, 13.8173, 13.8173) * CHOOSE(CONTROL!$C$21, $C$9, 100%, $E$9)</f>
        <v>13.817299999999999</v>
      </c>
      <c r="N539" s="10">
        <f>CHOOSE(CONTROL!$C$42, 13.8331, 13.8331) * CHOOSE(CONTROL!$C$21, $C$9, 100%, $E$9)</f>
        <v>13.8331</v>
      </c>
      <c r="O539" s="10">
        <f>CHOOSE(CONTROL!$C$42, 13.9076, 13.9076) * CHOOSE(CONTROL!$C$21, $C$9, 100%, $E$9)</f>
        <v>13.9076</v>
      </c>
      <c r="P539" s="10">
        <f>CHOOSE(CONTROL!$C$42, 13.8707, 13.8707) * CHOOSE(CONTROL!$C$21, $C$9, 100%, $E$9)</f>
        <v>13.870699999999999</v>
      </c>
      <c r="Q539" s="10">
        <f>CHOOSE(CONTROL!$C$42, 14.5029, 14.5029) * CHOOSE(CONTROL!$C$21, $C$9, 100%, $E$9)</f>
        <v>14.5029</v>
      </c>
      <c r="R539" s="10">
        <f>CHOOSE(CONTROL!$C$42, 15.1261, 15.1261) * CHOOSE(CONTROL!$C$21, $C$9, 100%, $E$9)</f>
        <v>15.126099999999999</v>
      </c>
      <c r="S539" s="10">
        <f>CHOOSE(CONTROL!$C$42, 13.5907, 13.5907) * CHOOSE(CONTROL!$C$21, $C$9, 100%, $E$9)</f>
        <v>13.5907</v>
      </c>
      <c r="T53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39" s="38">
        <f>(1000*CHOOSE(CONTROL!$C$42, 695, 695)*CHOOSE(CONTROL!$C$42, 0.5599, 0.5599)*CHOOSE(CONTROL!$C$42, 30, 30))/1000000</f>
        <v>11.673914999999997</v>
      </c>
      <c r="V539" s="38">
        <f>(1000*CHOOSE(CONTROL!$C$42, 500, 500)*CHOOSE(CONTROL!$C$42, 0.275, 0.275)*CHOOSE(CONTROL!$C$42, 30, 30))/1000000</f>
        <v>4.125</v>
      </c>
      <c r="W539" s="38">
        <f>(1000*CHOOSE(CONTROL!$C$42, 0.1146, 0.1146)*CHOOSE(CONTROL!$C$42, 121.5, 121.5)*CHOOSE(CONTROL!$C$42, 30, 30))/1000000</f>
        <v>0.417717</v>
      </c>
      <c r="X539" s="38">
        <f>(30*0.1790888*100000/1000000)+(30*0.2374*100000/1000000)</f>
        <v>1.2494664</v>
      </c>
      <c r="Y539" s="38">
        <f>(1000*600*CHOOSE(CONTROL!$C$42, 1.0585, 1.0585)*CHOOSE(CONTROL!$C$42, 30, 30))/1000000</f>
        <v>19.053000000000001</v>
      </c>
      <c r="Z539" s="38"/>
      <c r="AA539" s="10"/>
      <c r="AB539" s="39"/>
      <c r="AC539" s="33">
        <f>(B539*122.58+C539*297.941+D539*89.177+E539*40.302+F539*40+G539*160+H539*0+I539*100+J539*300)/(122.58+297.941+89.177+40.302+0+40+160+100+300)</f>
        <v>14.012078418173914</v>
      </c>
      <c r="AD539" s="27">
        <f>(M539*'RAP TEMPLATE-GAS AVAILABILITY'!O538+N539*'RAP TEMPLATE-GAS AVAILABILITY'!P538+O539*'RAP TEMPLATE-GAS AVAILABILITY'!Q538+P539*'RAP TEMPLATE-GAS AVAILABILITY'!R538)/('RAP TEMPLATE-GAS AVAILABILITY'!O538+'RAP TEMPLATE-GAS AVAILABILITY'!P538+'RAP TEMPLATE-GAS AVAILABILITY'!Q538+'RAP TEMPLATE-GAS AVAILABILITY'!R538)</f>
        <v>13.866820143884892</v>
      </c>
    </row>
    <row r="540" spans="1:30" ht="15.75">
      <c r="A540" s="13">
        <v>57710</v>
      </c>
      <c r="B540" s="10">
        <f>CHOOSE(CONTROL!$C$42, 14.9753, 14.9753) * CHOOSE(CONTROL!$C$21, $C$9, 100%, $E$9)</f>
        <v>14.975300000000001</v>
      </c>
      <c r="C540" s="10">
        <f>CHOOSE(CONTROL!$C$42, 14.9804, 14.9804) * CHOOSE(CONTROL!$C$21, $C$9, 100%, $E$9)</f>
        <v>14.980399999999999</v>
      </c>
      <c r="D540" s="10">
        <f>CHOOSE(CONTROL!$C$42, 15.005, 15.005) * CHOOSE(CONTROL!$C$21, $C$9, 100%, $E$9)</f>
        <v>15.005000000000001</v>
      </c>
      <c r="E540" s="10">
        <f>CHOOSE(CONTROL!$C$42, 15.0388, 15.0388) * CHOOSE(CONTROL!$C$21, $C$9, 100%, $E$9)</f>
        <v>15.0388</v>
      </c>
      <c r="F540" s="10">
        <f>CHOOSE(CONTROL!$C$42, 14.9455, 14.9455)*CHOOSE(CONTROL!$C$21, $C$9, 100%, $E$9)</f>
        <v>14.945499999999999</v>
      </c>
      <c r="G540" s="10">
        <f>CHOOSE(CONTROL!$C$42, 14.962, 14.962)*CHOOSE(CONTROL!$C$21, $C$9, 100%, $E$9)</f>
        <v>14.962</v>
      </c>
      <c r="H540" s="10">
        <f>CHOOSE(CONTROL!$C$42, 15.0277, 15.0277) * CHOOSE(CONTROL!$C$21, $C$9, 100%, $E$9)</f>
        <v>15.027699999999999</v>
      </c>
      <c r="I540" s="10">
        <f>CHOOSE(CONTROL!$C$42, 14.9902, 14.9902)* CHOOSE(CONTROL!$C$21, $C$9, 100%, $E$9)</f>
        <v>14.9902</v>
      </c>
      <c r="J540" s="10">
        <f>CHOOSE(CONTROL!$C$42, 14.9381, 14.9381)* CHOOSE(CONTROL!$C$21, $C$9, 100%, $E$9)</f>
        <v>14.9381</v>
      </c>
      <c r="K540" s="10">
        <f>CHOOSE(CONTROL!$C$42, 14.689, 14.689) * CHOOSE(CONTROL!$C$21, $C$9, 100%, $E$9)</f>
        <v>14.689</v>
      </c>
      <c r="L540" s="10">
        <f>CHOOSE(CONTROL!$C$42, 15.6147, 15.6147) * CHOOSE(CONTROL!$C$21, $C$9, 100%, $E$9)</f>
        <v>15.614699999999999</v>
      </c>
      <c r="M540" s="10">
        <f>CHOOSE(CONTROL!$C$42, 14.7627, 14.7627) * CHOOSE(CONTROL!$C$21, $C$9, 100%, $E$9)</f>
        <v>14.762700000000001</v>
      </c>
      <c r="N540" s="10">
        <f>CHOOSE(CONTROL!$C$42, 14.779, 14.779) * CHOOSE(CONTROL!$C$21, $C$9, 100%, $E$9)</f>
        <v>14.779</v>
      </c>
      <c r="O540" s="10">
        <f>CHOOSE(CONTROL!$C$42, 14.8511, 14.8511) * CHOOSE(CONTROL!$C$21, $C$9, 100%, $E$9)</f>
        <v>14.851100000000001</v>
      </c>
      <c r="P540" s="10">
        <f>CHOOSE(CONTROL!$C$42, 14.8142, 14.8142) * CHOOSE(CONTROL!$C$21, $C$9, 100%, $E$9)</f>
        <v>14.8142</v>
      </c>
      <c r="Q540" s="10">
        <f>CHOOSE(CONTROL!$C$42, 15.4464, 15.4464) * CHOOSE(CONTROL!$C$21, $C$9, 100%, $E$9)</f>
        <v>15.446400000000001</v>
      </c>
      <c r="R540" s="10">
        <f>CHOOSE(CONTROL!$C$42, 16.072, 16.072) * CHOOSE(CONTROL!$C$21, $C$9, 100%, $E$9)</f>
        <v>16.071999999999999</v>
      </c>
      <c r="S540" s="10">
        <f>CHOOSE(CONTROL!$C$42, 14.5172, 14.5172) * CHOOSE(CONTROL!$C$21, $C$9, 100%, $E$9)</f>
        <v>14.517200000000001</v>
      </c>
      <c r="T54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40" s="38">
        <f>(1000*CHOOSE(CONTROL!$C$42, 695, 695)*CHOOSE(CONTROL!$C$42, 0.5599, 0.5599)*CHOOSE(CONTROL!$C$42, 31, 31))/1000000</f>
        <v>12.063045499999998</v>
      </c>
      <c r="V540" s="38">
        <f>(1000*CHOOSE(CONTROL!$C$42, 500, 500)*CHOOSE(CONTROL!$C$42, 0.275, 0.275)*CHOOSE(CONTROL!$C$42, 31, 31))/1000000</f>
        <v>4.2625000000000002</v>
      </c>
      <c r="W540" s="38">
        <f>(1000*CHOOSE(CONTROL!$C$42, 0.1146, 0.1146)*CHOOSE(CONTROL!$C$42, 121.5, 121.5)*CHOOSE(CONTROL!$C$42, 31, 31))/1000000</f>
        <v>0.43164089999999994</v>
      </c>
      <c r="X540" s="38">
        <f>(31*0.1790888*100000/1000000)+(31*0.2374*100000/1000000)</f>
        <v>1.2911152800000001</v>
      </c>
      <c r="Y540" s="38">
        <f>(1000*600*CHOOSE(CONTROL!$C$42, 1.0585, 1.0585)*CHOOSE(CONTROL!$C$42, 31, 31))/1000000</f>
        <v>19.688099999999999</v>
      </c>
      <c r="Z540" s="38"/>
      <c r="AA540" s="10"/>
      <c r="AB540" s="39"/>
      <c r="AC540" s="33">
        <f>(B540*122.58+C540*297.941+D540*89.177+E540*40.302+F540*40+G540*160+H540*0+I540*100+J540*300)/(122.58+297.941+89.177+40.302+0+40+160+100+300)</f>
        <v>14.969854115652176</v>
      </c>
      <c r="AD540" s="27">
        <f>(M540*'RAP TEMPLATE-GAS AVAILABILITY'!O539+N540*'RAP TEMPLATE-GAS AVAILABILITY'!P539+O540*'RAP TEMPLATE-GAS AVAILABILITY'!Q539+P540*'RAP TEMPLATE-GAS AVAILABILITY'!R539)/('RAP TEMPLATE-GAS AVAILABILITY'!O539+'RAP TEMPLATE-GAS AVAILABILITY'!P539+'RAP TEMPLATE-GAS AVAILABILITY'!Q539+'RAP TEMPLATE-GAS AVAILABILITY'!R539)</f>
        <v>14.811114388489212</v>
      </c>
    </row>
    <row r="541" spans="1:30" ht="15.75">
      <c r="A541" s="13">
        <v>57741</v>
      </c>
      <c r="B541" s="10">
        <f>CHOOSE(CONTROL!$C$42, 15.9871, 15.9871) * CHOOSE(CONTROL!$C$21, $C$9, 100%, $E$9)</f>
        <v>15.9871</v>
      </c>
      <c r="C541" s="10">
        <f>CHOOSE(CONTROL!$C$42, 15.9922, 15.9922) * CHOOSE(CONTROL!$C$21, $C$9, 100%, $E$9)</f>
        <v>15.9922</v>
      </c>
      <c r="D541" s="10">
        <f>CHOOSE(CONTROL!$C$42, 16.0246, 16.0246) * CHOOSE(CONTROL!$C$21, $C$9, 100%, $E$9)</f>
        <v>16.0246</v>
      </c>
      <c r="E541" s="10">
        <f>CHOOSE(CONTROL!$C$42, 16.0584, 16.0584) * CHOOSE(CONTROL!$C$21, $C$9, 100%, $E$9)</f>
        <v>16.058399999999999</v>
      </c>
      <c r="F541" s="10">
        <f>CHOOSE(CONTROL!$C$42, 15.9713, 15.9713)*CHOOSE(CONTROL!$C$21, $C$9, 100%, $E$9)</f>
        <v>15.971299999999999</v>
      </c>
      <c r="G541" s="10">
        <f>CHOOSE(CONTROL!$C$42, 15.9893, 15.9893)*CHOOSE(CONTROL!$C$21, $C$9, 100%, $E$9)</f>
        <v>15.9893</v>
      </c>
      <c r="H541" s="10">
        <f>CHOOSE(CONTROL!$C$42, 16.0473, 16.0473) * CHOOSE(CONTROL!$C$21, $C$9, 100%, $E$9)</f>
        <v>16.0473</v>
      </c>
      <c r="I541" s="10">
        <f>CHOOSE(CONTROL!$C$42, 16.0005, 16.0005)* CHOOSE(CONTROL!$C$21, $C$9, 100%, $E$9)</f>
        <v>16.000499999999999</v>
      </c>
      <c r="J541" s="10">
        <f>CHOOSE(CONTROL!$C$42, 15.9639, 15.9639)* CHOOSE(CONTROL!$C$21, $C$9, 100%, $E$9)</f>
        <v>15.963900000000001</v>
      </c>
      <c r="K541" s="10">
        <f>CHOOSE(CONTROL!$C$42, 15.6817, 15.6817) * CHOOSE(CONTROL!$C$21, $C$9, 100%, $E$9)</f>
        <v>15.681699999999999</v>
      </c>
      <c r="L541" s="10">
        <f>CHOOSE(CONTROL!$C$42, 16.6343, 16.6343) * CHOOSE(CONTROL!$C$21, $C$9, 100%, $E$9)</f>
        <v>16.6343</v>
      </c>
      <c r="M541" s="10">
        <f>CHOOSE(CONTROL!$C$42, 15.7742, 15.7742) * CHOOSE(CONTROL!$C$21, $C$9, 100%, $E$9)</f>
        <v>15.7742</v>
      </c>
      <c r="N541" s="10">
        <f>CHOOSE(CONTROL!$C$42, 15.792, 15.792) * CHOOSE(CONTROL!$C$21, $C$9, 100%, $E$9)</f>
        <v>15.792</v>
      </c>
      <c r="O541" s="10">
        <f>CHOOSE(CONTROL!$C$42, 15.8565, 15.8565) * CHOOSE(CONTROL!$C$21, $C$9, 100%, $E$9)</f>
        <v>15.8565</v>
      </c>
      <c r="P541" s="10">
        <f>CHOOSE(CONTROL!$C$42, 15.8104, 15.8104) * CHOOSE(CONTROL!$C$21, $C$9, 100%, $E$9)</f>
        <v>15.8104</v>
      </c>
      <c r="Q541" s="10">
        <f>CHOOSE(CONTROL!$C$42, 16.4518, 16.4518) * CHOOSE(CONTROL!$C$21, $C$9, 100%, $E$9)</f>
        <v>16.451799999999999</v>
      </c>
      <c r="R541" s="10">
        <f>CHOOSE(CONTROL!$C$42, 17.0799, 17.0799) * CHOOSE(CONTROL!$C$21, $C$9, 100%, $E$9)</f>
        <v>17.079899999999999</v>
      </c>
      <c r="S541" s="10">
        <f>CHOOSE(CONTROL!$C$42, 15.497, 15.497) * CHOOSE(CONTROL!$C$21, $C$9, 100%, $E$9)</f>
        <v>15.497</v>
      </c>
      <c r="T54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41" s="38">
        <f>(1000*CHOOSE(CONTROL!$C$42, 695, 695)*CHOOSE(CONTROL!$C$42, 0.5599, 0.5599)*CHOOSE(CONTROL!$C$42, 31, 31))/1000000</f>
        <v>12.063045499999998</v>
      </c>
      <c r="V541" s="38">
        <f>(1000*CHOOSE(CONTROL!$C$42, 500, 500)*CHOOSE(CONTROL!$C$42, 0.275, 0.275)*CHOOSE(CONTROL!$C$42, 31, 31))/1000000</f>
        <v>4.2625000000000002</v>
      </c>
      <c r="W541" s="38">
        <f>(1000*CHOOSE(CONTROL!$C$42, 0.1146, 0.1146)*CHOOSE(CONTROL!$C$42, 121.5, 121.5)*CHOOSE(CONTROL!$C$42, 31, 31))/1000000</f>
        <v>0.43164089999999994</v>
      </c>
      <c r="X541" s="38">
        <f>(31*0.1790888*100000/1000000)+(31*0.2374*100000/1000000)</f>
        <v>1.2911152800000001</v>
      </c>
      <c r="Y541" s="38">
        <f>(1000*600*CHOOSE(CONTROL!$C$42, 1.0585, 1.0585)*CHOOSE(CONTROL!$C$42, 31, 31))/1000000</f>
        <v>19.688099999999999</v>
      </c>
      <c r="Z541" s="38"/>
      <c r="AA541" s="10"/>
      <c r="AB541" s="39"/>
      <c r="AC541" s="33">
        <f>(B541*122.58+C541*297.941+D541*89.177+E541*40.302+F541*40+G541*160+H541*0+I541*100+J541*300)/(122.58+297.941+89.177+40.302+0+40+160+100+300)</f>
        <v>15.988697538434783</v>
      </c>
      <c r="AD541" s="27">
        <f>(M541*'RAP TEMPLATE-GAS AVAILABILITY'!O540+N541*'RAP TEMPLATE-GAS AVAILABILITY'!P540+O541*'RAP TEMPLATE-GAS AVAILABILITY'!Q540+P541*'RAP TEMPLATE-GAS AVAILABILITY'!R540)/('RAP TEMPLATE-GAS AVAILABILITY'!O540+'RAP TEMPLATE-GAS AVAILABILITY'!P540+'RAP TEMPLATE-GAS AVAILABILITY'!Q540+'RAP TEMPLATE-GAS AVAILABILITY'!R540)</f>
        <v>15.817734532374104</v>
      </c>
    </row>
    <row r="542" spans="1:30" ht="15.75">
      <c r="A542" s="13">
        <v>57769</v>
      </c>
      <c r="B542" s="10">
        <f>CHOOSE(CONTROL!$C$42, 16.272, 16.272) * CHOOSE(CONTROL!$C$21, $C$9, 100%, $E$9)</f>
        <v>16.271999999999998</v>
      </c>
      <c r="C542" s="10">
        <f>CHOOSE(CONTROL!$C$42, 16.2771, 16.2771) * CHOOSE(CONTROL!$C$21, $C$9, 100%, $E$9)</f>
        <v>16.277100000000001</v>
      </c>
      <c r="D542" s="10">
        <f>CHOOSE(CONTROL!$C$42, 16.3095, 16.3095) * CHOOSE(CONTROL!$C$21, $C$9, 100%, $E$9)</f>
        <v>16.3095</v>
      </c>
      <c r="E542" s="10">
        <f>CHOOSE(CONTROL!$C$42, 16.3433, 16.3433) * CHOOSE(CONTROL!$C$21, $C$9, 100%, $E$9)</f>
        <v>16.343299999999999</v>
      </c>
      <c r="F542" s="10">
        <f>CHOOSE(CONTROL!$C$42, 16.2557, 16.2557)*CHOOSE(CONTROL!$C$21, $C$9, 100%, $E$9)</f>
        <v>16.255700000000001</v>
      </c>
      <c r="G542" s="10">
        <f>CHOOSE(CONTROL!$C$42, 16.2736, 16.2736)*CHOOSE(CONTROL!$C$21, $C$9, 100%, $E$9)</f>
        <v>16.273599999999998</v>
      </c>
      <c r="H542" s="10">
        <f>CHOOSE(CONTROL!$C$42, 16.3322, 16.3322) * CHOOSE(CONTROL!$C$21, $C$9, 100%, $E$9)</f>
        <v>16.3322</v>
      </c>
      <c r="I542" s="10">
        <f>CHOOSE(CONTROL!$C$42, 16.2854, 16.2854)* CHOOSE(CONTROL!$C$21, $C$9, 100%, $E$9)</f>
        <v>16.285399999999999</v>
      </c>
      <c r="J542" s="10">
        <f>CHOOSE(CONTROL!$C$42, 16.2483, 16.2483)* CHOOSE(CONTROL!$C$21, $C$9, 100%, $E$9)</f>
        <v>16.2483</v>
      </c>
      <c r="K542" s="10">
        <f>CHOOSE(CONTROL!$C$42, 15.9567, 15.9567) * CHOOSE(CONTROL!$C$21, $C$9, 100%, $E$9)</f>
        <v>15.9567</v>
      </c>
      <c r="L542" s="10">
        <f>CHOOSE(CONTROL!$C$42, 16.9192, 16.9192) * CHOOSE(CONTROL!$C$21, $C$9, 100%, $E$9)</f>
        <v>16.9192</v>
      </c>
      <c r="M542" s="10">
        <f>CHOOSE(CONTROL!$C$42, 16.0547, 16.0547) * CHOOSE(CONTROL!$C$21, $C$9, 100%, $E$9)</f>
        <v>16.0547</v>
      </c>
      <c r="N542" s="10">
        <f>CHOOSE(CONTROL!$C$42, 16.0723, 16.0723) * CHOOSE(CONTROL!$C$21, $C$9, 100%, $E$9)</f>
        <v>16.072299999999998</v>
      </c>
      <c r="O542" s="10">
        <f>CHOOSE(CONTROL!$C$42, 16.1374, 16.1374) * CHOOSE(CONTROL!$C$21, $C$9, 100%, $E$9)</f>
        <v>16.1374</v>
      </c>
      <c r="P542" s="10">
        <f>CHOOSE(CONTROL!$C$42, 16.0913, 16.0913) * CHOOSE(CONTROL!$C$21, $C$9, 100%, $E$9)</f>
        <v>16.0913</v>
      </c>
      <c r="Q542" s="10">
        <f>CHOOSE(CONTROL!$C$42, 16.7327, 16.7327) * CHOOSE(CONTROL!$C$21, $C$9, 100%, $E$9)</f>
        <v>16.732700000000001</v>
      </c>
      <c r="R542" s="10">
        <f>CHOOSE(CONTROL!$C$42, 17.3615, 17.3615) * CHOOSE(CONTROL!$C$21, $C$9, 100%, $E$9)</f>
        <v>17.361499999999999</v>
      </c>
      <c r="S542" s="10">
        <f>CHOOSE(CONTROL!$C$42, 15.7728, 15.7728) * CHOOSE(CONTROL!$C$21, $C$9, 100%, $E$9)</f>
        <v>15.7728</v>
      </c>
      <c r="T54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42" s="38">
        <f>(1000*CHOOSE(CONTROL!$C$42, 695, 695)*CHOOSE(CONTROL!$C$42, 0.5599, 0.5599)*CHOOSE(CONTROL!$C$42, 28, 28))/1000000</f>
        <v>10.895653999999999</v>
      </c>
      <c r="V542" s="38">
        <f>(1000*CHOOSE(CONTROL!$C$42, 500, 500)*CHOOSE(CONTROL!$C$42, 0.275, 0.275)*CHOOSE(CONTROL!$C$42, 28, 28))/1000000</f>
        <v>3.85</v>
      </c>
      <c r="W542" s="38">
        <f>(1000*CHOOSE(CONTROL!$C$42, 0.1146, 0.1146)*CHOOSE(CONTROL!$C$42, 121.5, 121.5)*CHOOSE(CONTROL!$C$42, 28, 28))/1000000</f>
        <v>0.38986920000000003</v>
      </c>
      <c r="X542" s="38">
        <f>(28*0.1790888*100000/1000000)+(28*0.2374*100000/1000000)</f>
        <v>1.16616864</v>
      </c>
      <c r="Y542" s="38">
        <f>(1000*600*CHOOSE(CONTROL!$C$42, 1.0585, 1.0585)*CHOOSE(CONTROL!$C$42, 28, 28))/1000000</f>
        <v>17.782800000000002</v>
      </c>
      <c r="Z542" s="38"/>
      <c r="AA542" s="10"/>
      <c r="AB542" s="39"/>
      <c r="AC542" s="33">
        <f>(B542*122.58+C542*297.941+D542*89.177+E542*40.302+F542*40+G542*160+H542*0+I542*100+J542*300)/(122.58+297.941+89.177+40.302+0+40+160+100+300)</f>
        <v>16.273366234086957</v>
      </c>
      <c r="AD542" s="27">
        <f>(M542*'RAP TEMPLATE-GAS AVAILABILITY'!O541+N542*'RAP TEMPLATE-GAS AVAILABILITY'!P541+O542*'RAP TEMPLATE-GAS AVAILABILITY'!Q541+P542*'RAP TEMPLATE-GAS AVAILABILITY'!R541)/('RAP TEMPLATE-GAS AVAILABILITY'!O541+'RAP TEMPLATE-GAS AVAILABILITY'!P541+'RAP TEMPLATE-GAS AVAILABILITY'!Q541+'RAP TEMPLATE-GAS AVAILABILITY'!R541)</f>
        <v>16.098461870503598</v>
      </c>
    </row>
    <row r="543" spans="1:30" ht="15.75">
      <c r="A543" s="13">
        <v>57800</v>
      </c>
      <c r="B543" s="10">
        <f>CHOOSE(CONTROL!$C$42, 15.8095, 15.8095) * CHOOSE(CONTROL!$C$21, $C$9, 100%, $E$9)</f>
        <v>15.8095</v>
      </c>
      <c r="C543" s="10">
        <f>CHOOSE(CONTROL!$C$42, 15.8146, 15.8146) * CHOOSE(CONTROL!$C$21, $C$9, 100%, $E$9)</f>
        <v>15.8146</v>
      </c>
      <c r="D543" s="10">
        <f>CHOOSE(CONTROL!$C$42, 15.8471, 15.8471) * CHOOSE(CONTROL!$C$21, $C$9, 100%, $E$9)</f>
        <v>15.847099999999999</v>
      </c>
      <c r="E543" s="10">
        <f>CHOOSE(CONTROL!$C$42, 15.8809, 15.8809) * CHOOSE(CONTROL!$C$21, $C$9, 100%, $E$9)</f>
        <v>15.8809</v>
      </c>
      <c r="F543" s="10">
        <f>CHOOSE(CONTROL!$C$42, 15.7918, 15.7918)*CHOOSE(CONTROL!$C$21, $C$9, 100%, $E$9)</f>
        <v>15.7918</v>
      </c>
      <c r="G543" s="10">
        <f>CHOOSE(CONTROL!$C$42, 15.8094, 15.8094)*CHOOSE(CONTROL!$C$21, $C$9, 100%, $E$9)</f>
        <v>15.8094</v>
      </c>
      <c r="H543" s="10">
        <f>CHOOSE(CONTROL!$C$42, 15.8698, 15.8698) * CHOOSE(CONTROL!$C$21, $C$9, 100%, $E$9)</f>
        <v>15.8698</v>
      </c>
      <c r="I543" s="10">
        <f>CHOOSE(CONTROL!$C$42, 15.823, 15.823)* CHOOSE(CONTROL!$C$21, $C$9, 100%, $E$9)</f>
        <v>15.823</v>
      </c>
      <c r="J543" s="10">
        <f>CHOOSE(CONTROL!$C$42, 15.7844, 15.7844)* CHOOSE(CONTROL!$C$21, $C$9, 100%, $E$9)</f>
        <v>15.7844</v>
      </c>
      <c r="K543" s="10">
        <f>CHOOSE(CONTROL!$C$42, 15.5056, 15.5056) * CHOOSE(CONTROL!$C$21, $C$9, 100%, $E$9)</f>
        <v>15.505599999999999</v>
      </c>
      <c r="L543" s="10">
        <f>CHOOSE(CONTROL!$C$42, 16.4568, 16.4568) * CHOOSE(CONTROL!$C$21, $C$9, 100%, $E$9)</f>
        <v>16.456800000000001</v>
      </c>
      <c r="M543" s="10">
        <f>CHOOSE(CONTROL!$C$42, 15.5972, 15.5972) * CHOOSE(CONTROL!$C$21, $C$9, 100%, $E$9)</f>
        <v>15.597200000000001</v>
      </c>
      <c r="N543" s="10">
        <f>CHOOSE(CONTROL!$C$42, 15.6145, 15.6145) * CHOOSE(CONTROL!$C$21, $C$9, 100%, $E$9)</f>
        <v>15.6145</v>
      </c>
      <c r="O543" s="10">
        <f>CHOOSE(CONTROL!$C$42, 15.6814, 15.6814) * CHOOSE(CONTROL!$C$21, $C$9, 100%, $E$9)</f>
        <v>15.6814</v>
      </c>
      <c r="P543" s="10">
        <f>CHOOSE(CONTROL!$C$42, 15.6353, 15.6353) * CHOOSE(CONTROL!$C$21, $C$9, 100%, $E$9)</f>
        <v>15.635300000000001</v>
      </c>
      <c r="Q543" s="10">
        <f>CHOOSE(CONTROL!$C$42, 16.2767, 16.2767) * CHOOSE(CONTROL!$C$21, $C$9, 100%, $E$9)</f>
        <v>16.276700000000002</v>
      </c>
      <c r="R543" s="10">
        <f>CHOOSE(CONTROL!$C$42, 16.9044, 16.9044) * CHOOSE(CONTROL!$C$21, $C$9, 100%, $E$9)</f>
        <v>16.904399999999999</v>
      </c>
      <c r="S543" s="10">
        <f>CHOOSE(CONTROL!$C$42, 15.325, 15.325) * CHOOSE(CONTROL!$C$21, $C$9, 100%, $E$9)</f>
        <v>15.324999999999999</v>
      </c>
      <c r="T54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43" s="38">
        <f>(1000*CHOOSE(CONTROL!$C$42, 695, 695)*CHOOSE(CONTROL!$C$42, 0.5599, 0.5599)*CHOOSE(CONTROL!$C$42, 31, 31))/1000000</f>
        <v>12.063045499999998</v>
      </c>
      <c r="V543" s="38">
        <f>(1000*CHOOSE(CONTROL!$C$42, 500, 500)*CHOOSE(CONTROL!$C$42, 0.275, 0.275)*CHOOSE(CONTROL!$C$42, 31, 31))/1000000</f>
        <v>4.2625000000000002</v>
      </c>
      <c r="W543" s="38">
        <f>(1000*CHOOSE(CONTROL!$C$42, 0.1146, 0.1146)*CHOOSE(CONTROL!$C$42, 121.5, 121.5)*CHOOSE(CONTROL!$C$42, 31, 31))/1000000</f>
        <v>0.43164089999999994</v>
      </c>
      <c r="X543" s="38">
        <f>(31*0.1790888*100000/1000000)+(31*0.2374*100000/1000000)</f>
        <v>1.2911152800000001</v>
      </c>
      <c r="Y543" s="38">
        <f>(1000*600*CHOOSE(CONTROL!$C$42, 1.0585, 1.0585)*CHOOSE(CONTROL!$C$42, 31, 31))/1000000</f>
        <v>19.688099999999999</v>
      </c>
      <c r="Z543" s="38"/>
      <c r="AA543" s="10"/>
      <c r="AB543" s="39"/>
      <c r="AC543" s="33">
        <f>(B543*122.58+C543*297.941+D543*89.177+E543*40.302+F543*40+G543*160+H543*0+I543*100+J543*300)/(122.58+297.941+89.177+40.302+0+40+160+100+300)</f>
        <v>15.810235753999997</v>
      </c>
      <c r="AD543" s="27">
        <f>(M543*'RAP TEMPLATE-GAS AVAILABILITY'!O542+N543*'RAP TEMPLATE-GAS AVAILABILITY'!P542+O543*'RAP TEMPLATE-GAS AVAILABILITY'!Q542+P543*'RAP TEMPLATE-GAS AVAILABILITY'!R542)/('RAP TEMPLATE-GAS AVAILABILITY'!O542+'RAP TEMPLATE-GAS AVAILABILITY'!P542+'RAP TEMPLATE-GAS AVAILABILITY'!Q542+'RAP TEMPLATE-GAS AVAILABILITY'!R542)</f>
        <v>15.641840287769783</v>
      </c>
    </row>
    <row r="544" spans="1:30" ht="15.75">
      <c r="A544" s="13">
        <v>57830</v>
      </c>
      <c r="B544" s="10">
        <f>CHOOSE(CONTROL!$C$42, 15.7629, 15.7629) * CHOOSE(CONTROL!$C$21, $C$9, 100%, $E$9)</f>
        <v>15.7629</v>
      </c>
      <c r="C544" s="10">
        <f>CHOOSE(CONTROL!$C$42, 15.7674, 15.7674) * CHOOSE(CONTROL!$C$21, $C$9, 100%, $E$9)</f>
        <v>15.7674</v>
      </c>
      <c r="D544" s="10">
        <f>CHOOSE(CONTROL!$C$42, 15.9276, 15.9276) * CHOOSE(CONTROL!$C$21, $C$9, 100%, $E$9)</f>
        <v>15.9276</v>
      </c>
      <c r="E544" s="10">
        <f>CHOOSE(CONTROL!$C$42, 15.9594, 15.9594) * CHOOSE(CONTROL!$C$21, $C$9, 100%, $E$9)</f>
        <v>15.9594</v>
      </c>
      <c r="F544" s="10">
        <f>CHOOSE(CONTROL!$C$42, 15.709, 15.709)*CHOOSE(CONTROL!$C$21, $C$9, 100%, $E$9)</f>
        <v>15.709</v>
      </c>
      <c r="G544" s="10">
        <f>CHOOSE(CONTROL!$C$42, 15.7248, 15.7248)*CHOOSE(CONTROL!$C$21, $C$9, 100%, $E$9)</f>
        <v>15.7248</v>
      </c>
      <c r="H544" s="10">
        <f>CHOOSE(CONTROL!$C$42, 15.9489, 15.9489) * CHOOSE(CONTROL!$C$21, $C$9, 100%, $E$9)</f>
        <v>15.9489</v>
      </c>
      <c r="I544" s="10">
        <f>CHOOSE(CONTROL!$C$42, 15.7431, 15.7431)* CHOOSE(CONTROL!$C$21, $C$9, 100%, $E$9)</f>
        <v>15.7431</v>
      </c>
      <c r="J544" s="10">
        <f>CHOOSE(CONTROL!$C$42, 15.7016, 15.7016)* CHOOSE(CONTROL!$C$21, $C$9, 100%, $E$9)</f>
        <v>15.701599999999999</v>
      </c>
      <c r="K544" s="10">
        <f>CHOOSE(CONTROL!$C$42, 15.4121, 15.4121) * CHOOSE(CONTROL!$C$21, $C$9, 100%, $E$9)</f>
        <v>15.412100000000001</v>
      </c>
      <c r="L544" s="10">
        <f>CHOOSE(CONTROL!$C$42, 16.5359, 16.5359) * CHOOSE(CONTROL!$C$21, $C$9, 100%, $E$9)</f>
        <v>16.535900000000002</v>
      </c>
      <c r="M544" s="10">
        <f>CHOOSE(CONTROL!$C$42, 15.5156, 15.5156) * CHOOSE(CONTROL!$C$21, $C$9, 100%, $E$9)</f>
        <v>15.515599999999999</v>
      </c>
      <c r="N544" s="10">
        <f>CHOOSE(CONTROL!$C$42, 15.5312, 15.5312) * CHOOSE(CONTROL!$C$21, $C$9, 100%, $E$9)</f>
        <v>15.5312</v>
      </c>
      <c r="O544" s="10">
        <f>CHOOSE(CONTROL!$C$42, 15.7594, 15.7594) * CHOOSE(CONTROL!$C$21, $C$9, 100%, $E$9)</f>
        <v>15.759399999999999</v>
      </c>
      <c r="P544" s="10">
        <f>CHOOSE(CONTROL!$C$42, 15.5565, 15.5565) * CHOOSE(CONTROL!$C$21, $C$9, 100%, $E$9)</f>
        <v>15.5565</v>
      </c>
      <c r="Q544" s="10">
        <f>CHOOSE(CONTROL!$C$42, 16.3547, 16.3547) * CHOOSE(CONTROL!$C$21, $C$9, 100%, $E$9)</f>
        <v>16.354700000000001</v>
      </c>
      <c r="R544" s="10">
        <f>CHOOSE(CONTROL!$C$42, 16.9826, 16.9826) * CHOOSE(CONTROL!$C$21, $C$9, 100%, $E$9)</f>
        <v>16.982600000000001</v>
      </c>
      <c r="S544" s="10">
        <f>CHOOSE(CONTROL!$C$42, 15.2792, 15.2792) * CHOOSE(CONTROL!$C$21, $C$9, 100%, $E$9)</f>
        <v>15.279199999999999</v>
      </c>
      <c r="T54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44" s="38">
        <f>(1000*CHOOSE(CONTROL!$C$42, 695, 695)*CHOOSE(CONTROL!$C$42, 0.5599, 0.5599)*CHOOSE(CONTROL!$C$42, 30, 30))/1000000</f>
        <v>11.673914999999997</v>
      </c>
      <c r="V544" s="38">
        <f>(1000*CHOOSE(CONTROL!$C$42, 500, 500)*CHOOSE(CONTROL!$C$42, 0.275, 0.275)*CHOOSE(CONTROL!$C$42, 30, 30))/1000000</f>
        <v>4.125</v>
      </c>
      <c r="W544" s="38">
        <f>(1000*CHOOSE(CONTROL!$C$42, 0.1146, 0.1146)*CHOOSE(CONTROL!$C$42, 121.5, 121.5)*CHOOSE(CONTROL!$C$42, 30, 30))/1000000</f>
        <v>0.417717</v>
      </c>
      <c r="X544" s="38">
        <f>(30*0.1790888*245000/1000000)+(30*0.2374*100000/1000000)</f>
        <v>2.0285026799999999</v>
      </c>
      <c r="Y544" s="38">
        <f>(1000*600*CHOOSE(CONTROL!$C$42, 1.0585, 1.0585)*CHOOSE(CONTROL!$C$42, 30, 30))/1000000</f>
        <v>19.053000000000001</v>
      </c>
      <c r="Z544" s="38"/>
      <c r="AA544" s="10"/>
      <c r="AB544" s="39"/>
      <c r="AC544" s="33">
        <f>(B544*141.293+C544*267.993+D544*115.016+E544*89.698+F544*40+G544*185+H544*0+I544*100+J544*300)/(141.293+267.993+115.016+89.698+0+40+185+100+300)</f>
        <v>15.769518450928169</v>
      </c>
      <c r="AD544" s="27">
        <f>(M544*'RAP TEMPLATE-GAS AVAILABILITY'!O543+N544*'RAP TEMPLATE-GAS AVAILABILITY'!P543+O544*'RAP TEMPLATE-GAS AVAILABILITY'!Q543+P544*'RAP TEMPLATE-GAS AVAILABILITY'!R543)/('RAP TEMPLATE-GAS AVAILABILITY'!O543+'RAP TEMPLATE-GAS AVAILABILITY'!P543+'RAP TEMPLATE-GAS AVAILABILITY'!Q543+'RAP TEMPLATE-GAS AVAILABILITY'!R543)</f>
        <v>15.593480575539568</v>
      </c>
    </row>
    <row r="545" spans="1:30" ht="15.75">
      <c r="A545" s="13">
        <v>57861</v>
      </c>
      <c r="B545" s="10">
        <f>CHOOSE(CONTROL!$C$42, 15.904, 15.904) * CHOOSE(CONTROL!$C$21, $C$9, 100%, $E$9)</f>
        <v>15.904</v>
      </c>
      <c r="C545" s="10">
        <f>CHOOSE(CONTROL!$C$42, 15.912, 15.912) * CHOOSE(CONTROL!$C$21, $C$9, 100%, $E$9)</f>
        <v>15.912000000000001</v>
      </c>
      <c r="D545" s="10">
        <f>CHOOSE(CONTROL!$C$42, 16.0691, 16.0691) * CHOOSE(CONTROL!$C$21, $C$9, 100%, $E$9)</f>
        <v>16.069099999999999</v>
      </c>
      <c r="E545" s="10">
        <f>CHOOSE(CONTROL!$C$42, 16.1003, 16.1003) * CHOOSE(CONTROL!$C$21, $C$9, 100%, $E$9)</f>
        <v>16.100300000000001</v>
      </c>
      <c r="F545" s="10">
        <f>CHOOSE(CONTROL!$C$42, 15.8481, 15.8481)*CHOOSE(CONTROL!$C$21, $C$9, 100%, $E$9)</f>
        <v>15.848100000000001</v>
      </c>
      <c r="G545" s="10">
        <f>CHOOSE(CONTROL!$C$42, 15.8643, 15.8643)*CHOOSE(CONTROL!$C$21, $C$9, 100%, $E$9)</f>
        <v>15.8643</v>
      </c>
      <c r="H545" s="10">
        <f>CHOOSE(CONTROL!$C$42, 16.0886, 16.0886) * CHOOSE(CONTROL!$C$21, $C$9, 100%, $E$9)</f>
        <v>16.0886</v>
      </c>
      <c r="I545" s="10">
        <f>CHOOSE(CONTROL!$C$42, 15.8828, 15.8828)* CHOOSE(CONTROL!$C$21, $C$9, 100%, $E$9)</f>
        <v>15.8828</v>
      </c>
      <c r="J545" s="10">
        <f>CHOOSE(CONTROL!$C$42, 15.8407, 15.8407)* CHOOSE(CONTROL!$C$21, $C$9, 100%, $E$9)</f>
        <v>15.8407</v>
      </c>
      <c r="K545" s="10">
        <f>CHOOSE(CONTROL!$C$42, 15.5462, 15.5462) * CHOOSE(CONTROL!$C$21, $C$9, 100%, $E$9)</f>
        <v>15.546200000000001</v>
      </c>
      <c r="L545" s="10">
        <f>CHOOSE(CONTROL!$C$42, 16.6756, 16.6756) * CHOOSE(CONTROL!$C$21, $C$9, 100%, $E$9)</f>
        <v>16.675599999999999</v>
      </c>
      <c r="M545" s="10">
        <f>CHOOSE(CONTROL!$C$42, 15.6528, 15.6528) * CHOOSE(CONTROL!$C$21, $C$9, 100%, $E$9)</f>
        <v>15.652799999999999</v>
      </c>
      <c r="N545" s="10">
        <f>CHOOSE(CONTROL!$C$42, 15.6687, 15.6687) * CHOOSE(CONTROL!$C$21, $C$9, 100%, $E$9)</f>
        <v>15.668699999999999</v>
      </c>
      <c r="O545" s="10">
        <f>CHOOSE(CONTROL!$C$42, 15.8972, 15.8972) * CHOOSE(CONTROL!$C$21, $C$9, 100%, $E$9)</f>
        <v>15.8972</v>
      </c>
      <c r="P545" s="10">
        <f>CHOOSE(CONTROL!$C$42, 15.6943, 15.6943) * CHOOSE(CONTROL!$C$21, $C$9, 100%, $E$9)</f>
        <v>15.6943</v>
      </c>
      <c r="Q545" s="10">
        <f>CHOOSE(CONTROL!$C$42, 16.4925, 16.4925) * CHOOSE(CONTROL!$C$21, $C$9, 100%, $E$9)</f>
        <v>16.4925</v>
      </c>
      <c r="R545" s="10">
        <f>CHOOSE(CONTROL!$C$42, 17.1207, 17.1207) * CHOOSE(CONTROL!$C$21, $C$9, 100%, $E$9)</f>
        <v>17.120699999999999</v>
      </c>
      <c r="S545" s="10">
        <f>CHOOSE(CONTROL!$C$42, 15.4144, 15.4144) * CHOOSE(CONTROL!$C$21, $C$9, 100%, $E$9)</f>
        <v>15.414400000000001</v>
      </c>
      <c r="T54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45" s="38">
        <f>(1000*CHOOSE(CONTROL!$C$42, 695, 695)*CHOOSE(CONTROL!$C$42, 0.5599, 0.5599)*CHOOSE(CONTROL!$C$42, 31, 31))/1000000</f>
        <v>12.063045499999998</v>
      </c>
      <c r="V545" s="38">
        <f>(1000*CHOOSE(CONTROL!$C$42, 500, 500)*CHOOSE(CONTROL!$C$42, 0.275, 0.275)*CHOOSE(CONTROL!$C$42, 31, 31))/1000000</f>
        <v>4.2625000000000002</v>
      </c>
      <c r="W545" s="38">
        <f>(1000*CHOOSE(CONTROL!$C$42, 0.1146, 0.1146)*CHOOSE(CONTROL!$C$42, 121.5, 121.5)*CHOOSE(CONTROL!$C$42, 31, 31))/1000000</f>
        <v>0.43164089999999994</v>
      </c>
      <c r="X545" s="38">
        <f>(31*0.1790888*245000/1000000)+(31*0.2374*100000/1000000)</f>
        <v>2.0961194359999999</v>
      </c>
      <c r="Y545" s="38">
        <f>(1000*600*CHOOSE(CONTROL!$C$42, 1.0585, 1.0585)*CHOOSE(CONTROL!$C$42, 31, 31))/1000000</f>
        <v>19.688099999999999</v>
      </c>
      <c r="Z545" s="38"/>
      <c r="AA545" s="10"/>
      <c r="AB545" s="39"/>
      <c r="AC545" s="33">
        <f>(B545*194.205+C545*267.466+D545*133.845+E545*53.484+F545*40+G545*185+H545*0+I545*100+J545*300)/(194.205+267.466+133.845+53.484+0+40+185+100+300)</f>
        <v>15.90717578233909</v>
      </c>
      <c r="AD545" s="27">
        <f>(M545*'RAP TEMPLATE-GAS AVAILABILITY'!O544+N545*'RAP TEMPLATE-GAS AVAILABILITY'!P544+O545*'RAP TEMPLATE-GAS AVAILABILITY'!Q544+P545*'RAP TEMPLATE-GAS AVAILABILITY'!R544)/('RAP TEMPLATE-GAS AVAILABILITY'!O544+'RAP TEMPLATE-GAS AVAILABILITY'!P544+'RAP TEMPLATE-GAS AVAILABILITY'!Q544+'RAP TEMPLATE-GAS AVAILABILITY'!R544)</f>
        <v>15.731004316546761</v>
      </c>
    </row>
    <row r="546" spans="1:30" ht="15.75">
      <c r="A546" s="13">
        <v>57891</v>
      </c>
      <c r="B546" s="10">
        <f>CHOOSE(CONTROL!$C$42, 16.3555, 16.3555) * CHOOSE(CONTROL!$C$21, $C$9, 100%, $E$9)</f>
        <v>16.355499999999999</v>
      </c>
      <c r="C546" s="10">
        <f>CHOOSE(CONTROL!$C$42, 16.3635, 16.3635) * CHOOSE(CONTROL!$C$21, $C$9, 100%, $E$9)</f>
        <v>16.363499999999998</v>
      </c>
      <c r="D546" s="10">
        <f>CHOOSE(CONTROL!$C$42, 16.5206, 16.5206) * CHOOSE(CONTROL!$C$21, $C$9, 100%, $E$9)</f>
        <v>16.520600000000002</v>
      </c>
      <c r="E546" s="10">
        <f>CHOOSE(CONTROL!$C$42, 16.5518, 16.5518) * CHOOSE(CONTROL!$C$21, $C$9, 100%, $E$9)</f>
        <v>16.5518</v>
      </c>
      <c r="F546" s="10">
        <f>CHOOSE(CONTROL!$C$42, 16.2998, 16.2998)*CHOOSE(CONTROL!$C$21, $C$9, 100%, $E$9)</f>
        <v>16.299800000000001</v>
      </c>
      <c r="G546" s="10">
        <f>CHOOSE(CONTROL!$C$42, 16.316, 16.316)*CHOOSE(CONTROL!$C$21, $C$9, 100%, $E$9)</f>
        <v>16.315999999999999</v>
      </c>
      <c r="H546" s="10">
        <f>CHOOSE(CONTROL!$C$42, 16.5401, 16.5401) * CHOOSE(CONTROL!$C$21, $C$9, 100%, $E$9)</f>
        <v>16.540099999999999</v>
      </c>
      <c r="I546" s="10">
        <f>CHOOSE(CONTROL!$C$42, 16.3343, 16.3343)* CHOOSE(CONTROL!$C$21, $C$9, 100%, $E$9)</f>
        <v>16.334299999999999</v>
      </c>
      <c r="J546" s="10">
        <f>CHOOSE(CONTROL!$C$42, 16.2924, 16.2924)* CHOOSE(CONTROL!$C$21, $C$9, 100%, $E$9)</f>
        <v>16.292400000000001</v>
      </c>
      <c r="K546" s="10">
        <f>CHOOSE(CONTROL!$C$42, 15.984, 15.984) * CHOOSE(CONTROL!$C$21, $C$9, 100%, $E$9)</f>
        <v>15.984</v>
      </c>
      <c r="L546" s="10">
        <f>CHOOSE(CONTROL!$C$42, 17.1271, 17.1271) * CHOOSE(CONTROL!$C$21, $C$9, 100%, $E$9)</f>
        <v>17.127099999999999</v>
      </c>
      <c r="M546" s="10">
        <f>CHOOSE(CONTROL!$C$42, 16.0982, 16.0982) * CHOOSE(CONTROL!$C$21, $C$9, 100%, $E$9)</f>
        <v>16.098199999999999</v>
      </c>
      <c r="N546" s="10">
        <f>CHOOSE(CONTROL!$C$42, 16.1141, 16.1141) * CHOOSE(CONTROL!$C$21, $C$9, 100%, $E$9)</f>
        <v>16.114100000000001</v>
      </c>
      <c r="O546" s="10">
        <f>CHOOSE(CONTROL!$C$42, 16.3424, 16.3424) * CHOOSE(CONTROL!$C$21, $C$9, 100%, $E$9)</f>
        <v>16.342400000000001</v>
      </c>
      <c r="P546" s="10">
        <f>CHOOSE(CONTROL!$C$42, 16.1395, 16.1395) * CHOOSE(CONTROL!$C$21, $C$9, 100%, $E$9)</f>
        <v>16.139500000000002</v>
      </c>
      <c r="Q546" s="10">
        <f>CHOOSE(CONTROL!$C$42, 16.9377, 16.9377) * CHOOSE(CONTROL!$C$21, $C$9, 100%, $E$9)</f>
        <v>16.9377</v>
      </c>
      <c r="R546" s="10">
        <f>CHOOSE(CONTROL!$C$42, 17.567, 17.567) * CHOOSE(CONTROL!$C$21, $C$9, 100%, $E$9)</f>
        <v>17.567</v>
      </c>
      <c r="S546" s="10">
        <f>CHOOSE(CONTROL!$C$42, 15.8517, 15.8517) * CHOOSE(CONTROL!$C$21, $C$9, 100%, $E$9)</f>
        <v>15.851699999999999</v>
      </c>
      <c r="T54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46" s="38">
        <f>(1000*CHOOSE(CONTROL!$C$42, 695, 695)*CHOOSE(CONTROL!$C$42, 0.5599, 0.5599)*CHOOSE(CONTROL!$C$42, 30, 30))/1000000</f>
        <v>11.673914999999997</v>
      </c>
      <c r="V546" s="38">
        <f>(1000*CHOOSE(CONTROL!$C$42, 500, 500)*CHOOSE(CONTROL!$C$42, 0.275, 0.275)*CHOOSE(CONTROL!$C$42, 30, 30))/1000000</f>
        <v>4.125</v>
      </c>
      <c r="W546" s="38">
        <f>(1000*CHOOSE(CONTROL!$C$42, 0.1146, 0.1146)*CHOOSE(CONTROL!$C$42, 121.5, 121.5)*CHOOSE(CONTROL!$C$42, 30, 30))/1000000</f>
        <v>0.417717</v>
      </c>
      <c r="X546" s="38">
        <f>(30*0.1790888*245000/1000000)+(30*0.2374*100000/1000000)</f>
        <v>2.0285026799999999</v>
      </c>
      <c r="Y546" s="38">
        <f>(1000*600*CHOOSE(CONTROL!$C$42, 1.0585, 1.0585)*CHOOSE(CONTROL!$C$42, 30, 30))/1000000</f>
        <v>19.053000000000001</v>
      </c>
      <c r="Z546" s="38"/>
      <c r="AA546" s="10"/>
      <c r="AB546" s="39"/>
      <c r="AC546" s="33">
        <f>(B546*194.205+C546*267.466+D546*133.845+E546*53.484+F546*40+G546*185+H546*0+I546*100+J546*300)/(194.205+267.466+133.845+53.484+0+40+185+100+300)</f>
        <v>16.358758199921507</v>
      </c>
      <c r="AD546" s="27">
        <f>(M546*'RAP TEMPLATE-GAS AVAILABILITY'!O545+N546*'RAP TEMPLATE-GAS AVAILABILITY'!P545+O546*'RAP TEMPLATE-GAS AVAILABILITY'!Q545+P546*'RAP TEMPLATE-GAS AVAILABILITY'!R545)/('RAP TEMPLATE-GAS AVAILABILITY'!O545+'RAP TEMPLATE-GAS AVAILABILITY'!P545+'RAP TEMPLATE-GAS AVAILABILITY'!Q545+'RAP TEMPLATE-GAS AVAILABILITY'!R545)</f>
        <v>16.176319424460434</v>
      </c>
    </row>
    <row r="547" spans="1:30" ht="15.75">
      <c r="A547" s="13">
        <v>57922</v>
      </c>
      <c r="B547" s="10">
        <f>CHOOSE(CONTROL!$C$42, 16.0415, 16.0415) * CHOOSE(CONTROL!$C$21, $C$9, 100%, $E$9)</f>
        <v>16.041499999999999</v>
      </c>
      <c r="C547" s="10">
        <f>CHOOSE(CONTROL!$C$42, 16.0495, 16.0495) * CHOOSE(CONTROL!$C$21, $C$9, 100%, $E$9)</f>
        <v>16.049499999999998</v>
      </c>
      <c r="D547" s="10">
        <f>CHOOSE(CONTROL!$C$42, 16.2065, 16.2065) * CHOOSE(CONTROL!$C$21, $C$9, 100%, $E$9)</f>
        <v>16.206499999999998</v>
      </c>
      <c r="E547" s="10">
        <f>CHOOSE(CONTROL!$C$42, 16.2378, 16.2378) * CHOOSE(CONTROL!$C$21, $C$9, 100%, $E$9)</f>
        <v>16.2378</v>
      </c>
      <c r="F547" s="10">
        <f>CHOOSE(CONTROL!$C$42, 15.9861, 15.9861)*CHOOSE(CONTROL!$C$21, $C$9, 100%, $E$9)</f>
        <v>15.9861</v>
      </c>
      <c r="G547" s="10">
        <f>CHOOSE(CONTROL!$C$42, 16.0024, 16.0024)*CHOOSE(CONTROL!$C$21, $C$9, 100%, $E$9)</f>
        <v>16.002400000000002</v>
      </c>
      <c r="H547" s="10">
        <f>CHOOSE(CONTROL!$C$42, 16.2261, 16.2261) * CHOOSE(CONTROL!$C$21, $C$9, 100%, $E$9)</f>
        <v>16.226099999999999</v>
      </c>
      <c r="I547" s="10">
        <f>CHOOSE(CONTROL!$C$42, 16.0203, 16.0203)* CHOOSE(CONTROL!$C$21, $C$9, 100%, $E$9)</f>
        <v>16.020299999999999</v>
      </c>
      <c r="J547" s="10">
        <f>CHOOSE(CONTROL!$C$42, 15.9787, 15.9787)* CHOOSE(CONTROL!$C$21, $C$9, 100%, $E$9)</f>
        <v>15.9787</v>
      </c>
      <c r="K547" s="10">
        <f>CHOOSE(CONTROL!$C$42, 15.6805, 15.6805) * CHOOSE(CONTROL!$C$21, $C$9, 100%, $E$9)</f>
        <v>15.6805</v>
      </c>
      <c r="L547" s="10">
        <f>CHOOSE(CONTROL!$C$42, 16.8131, 16.8131) * CHOOSE(CONTROL!$C$21, $C$9, 100%, $E$9)</f>
        <v>16.813099999999999</v>
      </c>
      <c r="M547" s="10">
        <f>CHOOSE(CONTROL!$C$42, 15.7888, 15.7888) * CHOOSE(CONTROL!$C$21, $C$9, 100%, $E$9)</f>
        <v>15.7888</v>
      </c>
      <c r="N547" s="10">
        <f>CHOOSE(CONTROL!$C$42, 15.8049, 15.8049) * CHOOSE(CONTROL!$C$21, $C$9, 100%, $E$9)</f>
        <v>15.8049</v>
      </c>
      <c r="O547" s="10">
        <f>CHOOSE(CONTROL!$C$42, 16.0327, 16.0327) * CHOOSE(CONTROL!$C$21, $C$9, 100%, $E$9)</f>
        <v>16.032699999999998</v>
      </c>
      <c r="P547" s="10">
        <f>CHOOSE(CONTROL!$C$42, 15.8299, 15.8299) * CHOOSE(CONTROL!$C$21, $C$9, 100%, $E$9)</f>
        <v>15.8299</v>
      </c>
      <c r="Q547" s="10">
        <f>CHOOSE(CONTROL!$C$42, 16.628, 16.628) * CHOOSE(CONTROL!$C$21, $C$9, 100%, $E$9)</f>
        <v>16.628</v>
      </c>
      <c r="R547" s="10">
        <f>CHOOSE(CONTROL!$C$42, 17.2566, 17.2566) * CHOOSE(CONTROL!$C$21, $C$9, 100%, $E$9)</f>
        <v>17.256599999999999</v>
      </c>
      <c r="S547" s="10">
        <f>CHOOSE(CONTROL!$C$42, 15.5476, 15.5476) * CHOOSE(CONTROL!$C$21, $C$9, 100%, $E$9)</f>
        <v>15.547599999999999</v>
      </c>
      <c r="T54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47" s="38">
        <f>(1000*CHOOSE(CONTROL!$C$42, 695, 695)*CHOOSE(CONTROL!$C$42, 0.5599, 0.5599)*CHOOSE(CONTROL!$C$42, 31, 31))/1000000</f>
        <v>12.063045499999998</v>
      </c>
      <c r="V547" s="38">
        <f>(1000*CHOOSE(CONTROL!$C$42, 500, 500)*CHOOSE(CONTROL!$C$42, 0.275, 0.275)*CHOOSE(CONTROL!$C$42, 31, 31))/1000000</f>
        <v>4.2625000000000002</v>
      </c>
      <c r="W547" s="38">
        <f>(1000*CHOOSE(CONTROL!$C$42, 0.1146, 0.1146)*CHOOSE(CONTROL!$C$42, 121.5, 121.5)*CHOOSE(CONTROL!$C$42, 31, 31))/1000000</f>
        <v>0.43164089999999994</v>
      </c>
      <c r="X547" s="38">
        <f>(31*0.1790888*245000/1000000)+(31*0.2374*100000/1000000)</f>
        <v>2.0961194359999999</v>
      </c>
      <c r="Y547" s="38">
        <f>(1000*600*CHOOSE(CONTROL!$C$42, 1.0585, 1.0585)*CHOOSE(CONTROL!$C$42, 31, 31))/1000000</f>
        <v>19.688099999999999</v>
      </c>
      <c r="Z547" s="38"/>
      <c r="AA547" s="10"/>
      <c r="AB547" s="39"/>
      <c r="AC547" s="33">
        <f>(B547*194.205+C547*267.466+D547*133.845+E547*53.484+F547*40+G547*185+H547*0+I547*100+J547*300)/(194.205+267.466+133.845+53.484+0+40+185+100+300)</f>
        <v>16.044885841601257</v>
      </c>
      <c r="AD547" s="27">
        <f>(M547*'RAP TEMPLATE-GAS AVAILABILITY'!O546+N547*'RAP TEMPLATE-GAS AVAILABILITY'!P546+O547*'RAP TEMPLATE-GAS AVAILABILITY'!Q546+P547*'RAP TEMPLATE-GAS AVAILABILITY'!R546)/('RAP TEMPLATE-GAS AVAILABILITY'!O546+'RAP TEMPLATE-GAS AVAILABILITY'!P546+'RAP TEMPLATE-GAS AVAILABILITY'!Q546+'RAP TEMPLATE-GAS AVAILABILITY'!R546)</f>
        <v>15.866852517985611</v>
      </c>
    </row>
    <row r="548" spans="1:30" ht="15.75">
      <c r="A548" s="13">
        <v>57953</v>
      </c>
      <c r="B548" s="10">
        <f>CHOOSE(CONTROL!$C$42, 15.2484, 15.2484) * CHOOSE(CONTROL!$C$21, $C$9, 100%, $E$9)</f>
        <v>15.2484</v>
      </c>
      <c r="C548" s="10">
        <f>CHOOSE(CONTROL!$C$42, 15.2564, 15.2564) * CHOOSE(CONTROL!$C$21, $C$9, 100%, $E$9)</f>
        <v>15.256399999999999</v>
      </c>
      <c r="D548" s="10">
        <f>CHOOSE(CONTROL!$C$42, 15.4135, 15.4135) * CHOOSE(CONTROL!$C$21, $C$9, 100%, $E$9)</f>
        <v>15.413500000000001</v>
      </c>
      <c r="E548" s="10">
        <f>CHOOSE(CONTROL!$C$42, 15.4447, 15.4447) * CHOOSE(CONTROL!$C$21, $C$9, 100%, $E$9)</f>
        <v>15.444699999999999</v>
      </c>
      <c r="F548" s="10">
        <f>CHOOSE(CONTROL!$C$42, 15.193, 15.193)*CHOOSE(CONTROL!$C$21, $C$9, 100%, $E$9)</f>
        <v>15.193</v>
      </c>
      <c r="G548" s="10">
        <f>CHOOSE(CONTROL!$C$42, 15.2093, 15.2093)*CHOOSE(CONTROL!$C$21, $C$9, 100%, $E$9)</f>
        <v>15.209300000000001</v>
      </c>
      <c r="H548" s="10">
        <f>CHOOSE(CONTROL!$C$42, 15.433, 15.433) * CHOOSE(CONTROL!$C$21, $C$9, 100%, $E$9)</f>
        <v>15.433</v>
      </c>
      <c r="I548" s="10">
        <f>CHOOSE(CONTROL!$C$42, 15.2272, 15.2272)* CHOOSE(CONTROL!$C$21, $C$9, 100%, $E$9)</f>
        <v>15.2272</v>
      </c>
      <c r="J548" s="10">
        <f>CHOOSE(CONTROL!$C$42, 15.1856, 15.1856)* CHOOSE(CONTROL!$C$21, $C$9, 100%, $E$9)</f>
        <v>15.185600000000001</v>
      </c>
      <c r="K548" s="10">
        <f>CHOOSE(CONTROL!$C$42, 14.912, 14.912) * CHOOSE(CONTROL!$C$21, $C$9, 100%, $E$9)</f>
        <v>14.912000000000001</v>
      </c>
      <c r="L548" s="10">
        <f>CHOOSE(CONTROL!$C$42, 16.02, 16.02) * CHOOSE(CONTROL!$C$21, $C$9, 100%, $E$9)</f>
        <v>16.02</v>
      </c>
      <c r="M548" s="10">
        <f>CHOOSE(CONTROL!$C$42, 15.0068, 15.0068) * CHOOSE(CONTROL!$C$21, $C$9, 100%, $E$9)</f>
        <v>15.0068</v>
      </c>
      <c r="N548" s="10">
        <f>CHOOSE(CONTROL!$C$42, 15.0228, 15.0228) * CHOOSE(CONTROL!$C$21, $C$9, 100%, $E$9)</f>
        <v>15.0228</v>
      </c>
      <c r="O548" s="10">
        <f>CHOOSE(CONTROL!$C$42, 15.2508, 15.2508) * CHOOSE(CONTROL!$C$21, $C$9, 100%, $E$9)</f>
        <v>15.2508</v>
      </c>
      <c r="P548" s="10">
        <f>CHOOSE(CONTROL!$C$42, 15.0479, 15.0479) * CHOOSE(CONTROL!$C$21, $C$9, 100%, $E$9)</f>
        <v>15.0479</v>
      </c>
      <c r="Q548" s="10">
        <f>CHOOSE(CONTROL!$C$42, 15.8461, 15.8461) * CHOOSE(CONTROL!$C$21, $C$9, 100%, $E$9)</f>
        <v>15.8461</v>
      </c>
      <c r="R548" s="10">
        <f>CHOOSE(CONTROL!$C$42, 16.4727, 16.4727) * CHOOSE(CONTROL!$C$21, $C$9, 100%, $E$9)</f>
        <v>16.4727</v>
      </c>
      <c r="S548" s="10">
        <f>CHOOSE(CONTROL!$C$42, 14.7797, 14.7797) * CHOOSE(CONTROL!$C$21, $C$9, 100%, $E$9)</f>
        <v>14.7797</v>
      </c>
      <c r="T54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48" s="38">
        <f>(1000*CHOOSE(CONTROL!$C$42, 695, 695)*CHOOSE(CONTROL!$C$42, 0.5599, 0.5599)*CHOOSE(CONTROL!$C$42, 31, 31))/1000000</f>
        <v>12.063045499999998</v>
      </c>
      <c r="V548" s="38">
        <f>(1000*CHOOSE(CONTROL!$C$42, 500, 500)*CHOOSE(CONTROL!$C$42, 0.275, 0.275)*CHOOSE(CONTROL!$C$42, 31, 31))/1000000</f>
        <v>4.2625000000000002</v>
      </c>
      <c r="W548" s="38">
        <f>(1000*CHOOSE(CONTROL!$C$42, 0.1146, 0.1146)*CHOOSE(CONTROL!$C$42, 121.5, 121.5)*CHOOSE(CONTROL!$C$42, 31, 31))/1000000</f>
        <v>0.43164089999999994</v>
      </c>
      <c r="X548" s="38">
        <f>(31*0.1790888*245000/1000000)+(31*0.2374*100000/1000000)</f>
        <v>2.0961194359999999</v>
      </c>
      <c r="Y548" s="38">
        <f>(1000*600*CHOOSE(CONTROL!$C$42, 1.0585, 1.0585)*CHOOSE(CONTROL!$C$42, 31, 31))/1000000</f>
        <v>19.688099999999999</v>
      </c>
      <c r="Z548" s="38"/>
      <c r="AA548" s="10"/>
      <c r="AB548" s="39"/>
      <c r="AC548" s="33">
        <f>(B548*194.205+C548*267.466+D548*133.845+E548*53.484+F548*40+G548*185+H548*0+I548*100+J548*300)/(194.205+267.466+133.845+53.484+0+40+185+100+300)</f>
        <v>15.251796347488227</v>
      </c>
      <c r="AD548" s="27">
        <f>(M548*'RAP TEMPLATE-GAS AVAILABILITY'!O547+N548*'RAP TEMPLATE-GAS AVAILABILITY'!P547+O548*'RAP TEMPLATE-GAS AVAILABILITY'!Q547+P548*'RAP TEMPLATE-GAS AVAILABILITY'!R547)/('RAP TEMPLATE-GAS AVAILABILITY'!O547+'RAP TEMPLATE-GAS AVAILABILITY'!P547+'RAP TEMPLATE-GAS AVAILABILITY'!Q547+'RAP TEMPLATE-GAS AVAILABILITY'!R547)</f>
        <v>15.084857553956837</v>
      </c>
    </row>
    <row r="549" spans="1:30" ht="15.75">
      <c r="A549" s="13">
        <v>57983</v>
      </c>
      <c r="B549" s="10">
        <f>CHOOSE(CONTROL!$C$42, 14.2795, 14.2795) * CHOOSE(CONTROL!$C$21, $C$9, 100%, $E$9)</f>
        <v>14.279500000000001</v>
      </c>
      <c r="C549" s="10">
        <f>CHOOSE(CONTROL!$C$42, 14.2875, 14.2875) * CHOOSE(CONTROL!$C$21, $C$9, 100%, $E$9)</f>
        <v>14.2875</v>
      </c>
      <c r="D549" s="10">
        <f>CHOOSE(CONTROL!$C$42, 14.4445, 14.4445) * CHOOSE(CONTROL!$C$21, $C$9, 100%, $E$9)</f>
        <v>14.4445</v>
      </c>
      <c r="E549" s="10">
        <f>CHOOSE(CONTROL!$C$42, 14.4758, 14.4758) * CHOOSE(CONTROL!$C$21, $C$9, 100%, $E$9)</f>
        <v>14.4758</v>
      </c>
      <c r="F549" s="10">
        <f>CHOOSE(CONTROL!$C$42, 14.2239, 14.2239)*CHOOSE(CONTROL!$C$21, $C$9, 100%, $E$9)</f>
        <v>14.2239</v>
      </c>
      <c r="G549" s="10">
        <f>CHOOSE(CONTROL!$C$42, 14.24, 14.24)*CHOOSE(CONTROL!$C$21, $C$9, 100%, $E$9)</f>
        <v>14.24</v>
      </c>
      <c r="H549" s="10">
        <f>CHOOSE(CONTROL!$C$42, 14.4641, 14.4641) * CHOOSE(CONTROL!$C$21, $C$9, 100%, $E$9)</f>
        <v>14.4641</v>
      </c>
      <c r="I549" s="10">
        <f>CHOOSE(CONTROL!$C$42, 14.2583, 14.2583)* CHOOSE(CONTROL!$C$21, $C$9, 100%, $E$9)</f>
        <v>14.2583</v>
      </c>
      <c r="J549" s="10">
        <f>CHOOSE(CONTROL!$C$42, 14.2165, 14.2165)* CHOOSE(CONTROL!$C$21, $C$9, 100%, $E$9)</f>
        <v>14.2165</v>
      </c>
      <c r="K549" s="10">
        <f>CHOOSE(CONTROL!$C$42, 13.9729, 13.9729) * CHOOSE(CONTROL!$C$21, $C$9, 100%, $E$9)</f>
        <v>13.972899999999999</v>
      </c>
      <c r="L549" s="10">
        <f>CHOOSE(CONTROL!$C$42, 15.0511, 15.0511) * CHOOSE(CONTROL!$C$21, $C$9, 100%, $E$9)</f>
        <v>15.0511</v>
      </c>
      <c r="M549" s="10">
        <f>CHOOSE(CONTROL!$C$42, 14.0512, 14.0512) * CHOOSE(CONTROL!$C$21, $C$9, 100%, $E$9)</f>
        <v>14.0512</v>
      </c>
      <c r="N549" s="10">
        <f>CHOOSE(CONTROL!$C$42, 14.0671, 14.0671) * CHOOSE(CONTROL!$C$21, $C$9, 100%, $E$9)</f>
        <v>14.0671</v>
      </c>
      <c r="O549" s="10">
        <f>CHOOSE(CONTROL!$C$42, 14.2953, 14.2953) * CHOOSE(CONTROL!$C$21, $C$9, 100%, $E$9)</f>
        <v>14.295299999999999</v>
      </c>
      <c r="P549" s="10">
        <f>CHOOSE(CONTROL!$C$42, 14.0924, 14.0924) * CHOOSE(CONTROL!$C$21, $C$9, 100%, $E$9)</f>
        <v>14.0924</v>
      </c>
      <c r="Q549" s="10">
        <f>CHOOSE(CONTROL!$C$42, 14.8906, 14.8906) * CHOOSE(CONTROL!$C$21, $C$9, 100%, $E$9)</f>
        <v>14.890599999999999</v>
      </c>
      <c r="R549" s="10">
        <f>CHOOSE(CONTROL!$C$42, 15.5148, 15.5148) * CHOOSE(CONTROL!$C$21, $C$9, 100%, $E$9)</f>
        <v>15.514799999999999</v>
      </c>
      <c r="S549" s="10">
        <f>CHOOSE(CONTROL!$C$42, 13.8414, 13.8414) * CHOOSE(CONTROL!$C$21, $C$9, 100%, $E$9)</f>
        <v>13.8414</v>
      </c>
      <c r="T54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49" s="38">
        <f>(1000*CHOOSE(CONTROL!$C$42, 695, 695)*CHOOSE(CONTROL!$C$42, 0.5599, 0.5599)*CHOOSE(CONTROL!$C$42, 30, 30))/1000000</f>
        <v>11.673914999999997</v>
      </c>
      <c r="V549" s="38">
        <f>(1000*CHOOSE(CONTROL!$C$42, 500, 500)*CHOOSE(CONTROL!$C$42, 0.275, 0.275)*CHOOSE(CONTROL!$C$42, 30, 30))/1000000</f>
        <v>4.125</v>
      </c>
      <c r="W549" s="38">
        <f>(1000*CHOOSE(CONTROL!$C$42, 0.1146, 0.1146)*CHOOSE(CONTROL!$C$42, 121.5, 121.5)*CHOOSE(CONTROL!$C$42, 30, 30))/1000000</f>
        <v>0.417717</v>
      </c>
      <c r="X549" s="38">
        <f>(30*0.1790888*245000/1000000)+(30*0.2374*100000/1000000)</f>
        <v>2.0285026799999999</v>
      </c>
      <c r="Y549" s="38">
        <f>(1000*600*CHOOSE(CONTROL!$C$42, 1.0585, 1.0585)*CHOOSE(CONTROL!$C$42, 30, 30))/1000000</f>
        <v>19.053000000000001</v>
      </c>
      <c r="Z549" s="38"/>
      <c r="AA549" s="10"/>
      <c r="AB549" s="39"/>
      <c r="AC549" s="33">
        <f>(B549*194.205+C549*267.466+D549*133.845+E549*53.484+F549*40+G549*185+H549*0+I549*100+J549*300)/(194.205+267.466+133.845+53.484+0+40+185+100+300)</f>
        <v>14.282774381632652</v>
      </c>
      <c r="AD549" s="27">
        <f>(M549*'RAP TEMPLATE-GAS AVAILABILITY'!O548+N549*'RAP TEMPLATE-GAS AVAILABILITY'!P548+O549*'RAP TEMPLATE-GAS AVAILABILITY'!Q548+P549*'RAP TEMPLATE-GAS AVAILABILITY'!R548)/('RAP TEMPLATE-GAS AVAILABILITY'!O548+'RAP TEMPLATE-GAS AVAILABILITY'!P548+'RAP TEMPLATE-GAS AVAILABILITY'!Q548+'RAP TEMPLATE-GAS AVAILABILITY'!R548)</f>
        <v>14.129276978417263</v>
      </c>
    </row>
    <row r="550" spans="1:30" ht="15.75">
      <c r="A550" s="13">
        <v>58014</v>
      </c>
      <c r="B550" s="10">
        <f>CHOOSE(CONTROL!$C$42, 13.9871, 13.9871) * CHOOSE(CONTROL!$C$21, $C$9, 100%, $E$9)</f>
        <v>13.9871</v>
      </c>
      <c r="C550" s="10">
        <f>CHOOSE(CONTROL!$C$42, 13.9924, 13.9924) * CHOOSE(CONTROL!$C$21, $C$9, 100%, $E$9)</f>
        <v>13.9924</v>
      </c>
      <c r="D550" s="10">
        <f>CHOOSE(CONTROL!$C$42, 14.1544, 14.1544) * CHOOSE(CONTROL!$C$21, $C$9, 100%, $E$9)</f>
        <v>14.154400000000001</v>
      </c>
      <c r="E550" s="10">
        <f>CHOOSE(CONTROL!$C$42, 14.1833, 14.1833) * CHOOSE(CONTROL!$C$21, $C$9, 100%, $E$9)</f>
        <v>14.183299999999999</v>
      </c>
      <c r="F550" s="10">
        <f>CHOOSE(CONTROL!$C$42, 13.9335, 13.9335)*CHOOSE(CONTROL!$C$21, $C$9, 100%, $E$9)</f>
        <v>13.9335</v>
      </c>
      <c r="G550" s="10">
        <f>CHOOSE(CONTROL!$C$42, 13.9493, 13.9493)*CHOOSE(CONTROL!$C$21, $C$9, 100%, $E$9)</f>
        <v>13.949299999999999</v>
      </c>
      <c r="H550" s="10">
        <f>CHOOSE(CONTROL!$C$42, 14.1734, 14.1734) * CHOOSE(CONTROL!$C$21, $C$9, 100%, $E$9)</f>
        <v>14.173400000000001</v>
      </c>
      <c r="I550" s="10">
        <f>CHOOSE(CONTROL!$C$42, 13.9676, 13.9676)* CHOOSE(CONTROL!$C$21, $C$9, 100%, $E$9)</f>
        <v>13.967599999999999</v>
      </c>
      <c r="J550" s="10">
        <f>CHOOSE(CONTROL!$C$42, 13.9261, 13.9261)* CHOOSE(CONTROL!$C$21, $C$9, 100%, $E$9)</f>
        <v>13.9261</v>
      </c>
      <c r="K550" s="10">
        <f>CHOOSE(CONTROL!$C$42, 13.6919, 13.6919) * CHOOSE(CONTROL!$C$21, $C$9, 100%, $E$9)</f>
        <v>13.6919</v>
      </c>
      <c r="L550" s="10">
        <f>CHOOSE(CONTROL!$C$42, 14.7604, 14.7604) * CHOOSE(CONTROL!$C$21, $C$9, 100%, $E$9)</f>
        <v>14.760400000000001</v>
      </c>
      <c r="M550" s="10">
        <f>CHOOSE(CONTROL!$C$42, 13.7648, 13.7648) * CHOOSE(CONTROL!$C$21, $C$9, 100%, $E$9)</f>
        <v>13.764799999999999</v>
      </c>
      <c r="N550" s="10">
        <f>CHOOSE(CONTROL!$C$42, 13.7804, 13.7804) * CHOOSE(CONTROL!$C$21, $C$9, 100%, $E$9)</f>
        <v>13.7804</v>
      </c>
      <c r="O550" s="10">
        <f>CHOOSE(CONTROL!$C$42, 14.0087, 14.0087) * CHOOSE(CONTROL!$C$21, $C$9, 100%, $E$9)</f>
        <v>14.008699999999999</v>
      </c>
      <c r="P550" s="10">
        <f>CHOOSE(CONTROL!$C$42, 13.8058, 13.8058) * CHOOSE(CONTROL!$C$21, $C$9, 100%, $E$9)</f>
        <v>13.8058</v>
      </c>
      <c r="Q550" s="10">
        <f>CHOOSE(CONTROL!$C$42, 14.604, 14.604) * CHOOSE(CONTROL!$C$21, $C$9, 100%, $E$9)</f>
        <v>14.603999999999999</v>
      </c>
      <c r="R550" s="10">
        <f>CHOOSE(CONTROL!$C$42, 15.2275, 15.2275) * CHOOSE(CONTROL!$C$21, $C$9, 100%, $E$9)</f>
        <v>15.227499999999999</v>
      </c>
      <c r="S550" s="10">
        <f>CHOOSE(CONTROL!$C$42, 13.56, 13.56) * CHOOSE(CONTROL!$C$21, $C$9, 100%, $E$9)</f>
        <v>13.56</v>
      </c>
      <c r="T55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50" s="38">
        <f>(1000*CHOOSE(CONTROL!$C$42, 695, 695)*CHOOSE(CONTROL!$C$42, 0.5599, 0.5599)*CHOOSE(CONTROL!$C$42, 31, 31))/1000000</f>
        <v>12.063045499999998</v>
      </c>
      <c r="V550" s="38">
        <f>(1000*CHOOSE(CONTROL!$C$42, 500, 500)*CHOOSE(CONTROL!$C$42, 0.275, 0.275)*CHOOSE(CONTROL!$C$42, 31, 31))/1000000</f>
        <v>4.2625000000000002</v>
      </c>
      <c r="W550" s="38">
        <f>(1000*CHOOSE(CONTROL!$C$42, 0.1146, 0.1146)*CHOOSE(CONTROL!$C$42, 121.5, 121.5)*CHOOSE(CONTROL!$C$42, 31, 31))/1000000</f>
        <v>0.43164089999999994</v>
      </c>
      <c r="X550" s="38">
        <f>(31*0.1790888*245000/1000000)+(31*0.2374*100000/1000000)</f>
        <v>2.0961194359999999</v>
      </c>
      <c r="Y550" s="38">
        <f>(1000*600*CHOOSE(CONTROL!$C$42, 1.0585, 1.0585)*CHOOSE(CONTROL!$C$42, 31, 31))/1000000</f>
        <v>19.688099999999999</v>
      </c>
      <c r="Z550" s="38"/>
      <c r="AA550" s="10"/>
      <c r="AB550" s="39"/>
      <c r="AC550" s="33">
        <f>(B550*131.881+C550*277.167+D550*79.08+E550*125.872+F550*40+G550*185+H550*0+I550*100+J550*300)/(131.881+277.167+79.08+125.872+0+40+185+100+300)</f>
        <v>13.995177607344631</v>
      </c>
      <c r="AD550" s="27">
        <f>(M550*'RAP TEMPLATE-GAS AVAILABILITY'!O549+N550*'RAP TEMPLATE-GAS AVAILABILITY'!P549+O550*'RAP TEMPLATE-GAS AVAILABILITY'!Q549+P550*'RAP TEMPLATE-GAS AVAILABILITY'!R549)/('RAP TEMPLATE-GAS AVAILABILITY'!O549+'RAP TEMPLATE-GAS AVAILABILITY'!P549+'RAP TEMPLATE-GAS AVAILABILITY'!Q549+'RAP TEMPLATE-GAS AVAILABILITY'!R549)</f>
        <v>13.842723021582733</v>
      </c>
    </row>
    <row r="551" spans="1:30" ht="15.75">
      <c r="A551" s="13">
        <v>58044</v>
      </c>
      <c r="B551" s="10">
        <f>CHOOSE(CONTROL!$C$42, 14.3556, 14.3556) * CHOOSE(CONTROL!$C$21, $C$9, 100%, $E$9)</f>
        <v>14.355600000000001</v>
      </c>
      <c r="C551" s="10">
        <f>CHOOSE(CONTROL!$C$42, 14.3607, 14.3607) * CHOOSE(CONTROL!$C$21, $C$9, 100%, $E$9)</f>
        <v>14.3607</v>
      </c>
      <c r="D551" s="10">
        <f>CHOOSE(CONTROL!$C$42, 14.3854, 14.3854) * CHOOSE(CONTROL!$C$21, $C$9, 100%, $E$9)</f>
        <v>14.385400000000001</v>
      </c>
      <c r="E551" s="10">
        <f>CHOOSE(CONTROL!$C$42, 14.4192, 14.4192) * CHOOSE(CONTROL!$C$21, $C$9, 100%, $E$9)</f>
        <v>14.4192</v>
      </c>
      <c r="F551" s="10">
        <f>CHOOSE(CONTROL!$C$42, 14.3239, 14.3239)*CHOOSE(CONTROL!$C$21, $C$9, 100%, $E$9)</f>
        <v>14.3239</v>
      </c>
      <c r="G551" s="10">
        <f>CHOOSE(CONTROL!$C$42, 14.3399, 14.3399)*CHOOSE(CONTROL!$C$21, $C$9, 100%, $E$9)</f>
        <v>14.3399</v>
      </c>
      <c r="H551" s="10">
        <f>CHOOSE(CONTROL!$C$42, 14.4081, 14.4081) * CHOOSE(CONTROL!$C$21, $C$9, 100%, $E$9)</f>
        <v>14.408099999999999</v>
      </c>
      <c r="I551" s="10">
        <f>CHOOSE(CONTROL!$C$42, 14.3706, 14.3706)* CHOOSE(CONTROL!$C$21, $C$9, 100%, $E$9)</f>
        <v>14.3706</v>
      </c>
      <c r="J551" s="10">
        <f>CHOOSE(CONTROL!$C$42, 14.3165, 14.3165)* CHOOSE(CONTROL!$C$21, $C$9, 100%, $E$9)</f>
        <v>14.3165</v>
      </c>
      <c r="K551" s="10">
        <f>CHOOSE(CONTROL!$C$42, 14.0846, 14.0846) * CHOOSE(CONTROL!$C$21, $C$9, 100%, $E$9)</f>
        <v>14.0846</v>
      </c>
      <c r="L551" s="10">
        <f>CHOOSE(CONTROL!$C$42, 14.9951, 14.9951) * CHOOSE(CONTROL!$C$21, $C$9, 100%, $E$9)</f>
        <v>14.995100000000001</v>
      </c>
      <c r="M551" s="10">
        <f>CHOOSE(CONTROL!$C$42, 14.1498, 14.1498) * CHOOSE(CONTROL!$C$21, $C$9, 100%, $E$9)</f>
        <v>14.149800000000001</v>
      </c>
      <c r="N551" s="10">
        <f>CHOOSE(CONTROL!$C$42, 14.1656, 14.1656) * CHOOSE(CONTROL!$C$21, $C$9, 100%, $E$9)</f>
        <v>14.1656</v>
      </c>
      <c r="O551" s="10">
        <f>CHOOSE(CONTROL!$C$42, 14.2401, 14.2401) * CHOOSE(CONTROL!$C$21, $C$9, 100%, $E$9)</f>
        <v>14.2401</v>
      </c>
      <c r="P551" s="10">
        <f>CHOOSE(CONTROL!$C$42, 14.2032, 14.2032) * CHOOSE(CONTROL!$C$21, $C$9, 100%, $E$9)</f>
        <v>14.203200000000001</v>
      </c>
      <c r="Q551" s="10">
        <f>CHOOSE(CONTROL!$C$42, 14.8354, 14.8354) * CHOOSE(CONTROL!$C$21, $C$9, 100%, $E$9)</f>
        <v>14.8354</v>
      </c>
      <c r="R551" s="10">
        <f>CHOOSE(CONTROL!$C$42, 15.4595, 15.4595) * CHOOSE(CONTROL!$C$21, $C$9, 100%, $E$9)</f>
        <v>15.4595</v>
      </c>
      <c r="S551" s="10">
        <f>CHOOSE(CONTROL!$C$42, 13.9172, 13.9172) * CHOOSE(CONTROL!$C$21, $C$9, 100%, $E$9)</f>
        <v>13.917199999999999</v>
      </c>
      <c r="T55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51" s="38">
        <f>(1000*CHOOSE(CONTROL!$C$42, 695, 695)*CHOOSE(CONTROL!$C$42, 0.5599, 0.5599)*CHOOSE(CONTROL!$C$42, 30, 30))/1000000</f>
        <v>11.673914999999997</v>
      </c>
      <c r="V551" s="38">
        <f>(1000*CHOOSE(CONTROL!$C$42, 500, 500)*CHOOSE(CONTROL!$C$42, 0.275, 0.275)*CHOOSE(CONTROL!$C$42, 30, 30))/1000000</f>
        <v>4.125</v>
      </c>
      <c r="W551" s="38">
        <f>(1000*CHOOSE(CONTROL!$C$42, 0.1146, 0.1146)*CHOOSE(CONTROL!$C$42, 121.5, 121.5)*CHOOSE(CONTROL!$C$42, 30, 30))/1000000</f>
        <v>0.417717</v>
      </c>
      <c r="X551" s="38">
        <f>(30*0.1790888*100000/1000000)+(30*0.2374*100000/1000000)</f>
        <v>1.2494664</v>
      </c>
      <c r="Y551" s="38">
        <f>(1000*600*CHOOSE(CONTROL!$C$42, 1.0585, 1.0585)*CHOOSE(CONTROL!$C$42, 30, 30))/1000000</f>
        <v>19.053000000000001</v>
      </c>
      <c r="Z551" s="38"/>
      <c r="AA551" s="10"/>
      <c r="AB551" s="39"/>
      <c r="AC551" s="33">
        <f>(B551*122.58+C551*297.941+D551*89.177+E551*40.302+F551*40+G551*160+H551*0+I551*100+J551*300)/(122.58+297.941+89.177+40.302+0+40+160+100+300)</f>
        <v>14.34927841817391</v>
      </c>
      <c r="AD551" s="27">
        <f>(M551*'RAP TEMPLATE-GAS AVAILABILITY'!O550+N551*'RAP TEMPLATE-GAS AVAILABILITY'!P550+O551*'RAP TEMPLATE-GAS AVAILABILITY'!Q550+P551*'RAP TEMPLATE-GAS AVAILABILITY'!R550)/('RAP TEMPLATE-GAS AVAILABILITY'!O550+'RAP TEMPLATE-GAS AVAILABILITY'!P550+'RAP TEMPLATE-GAS AVAILABILITY'!Q550+'RAP TEMPLATE-GAS AVAILABILITY'!R550)</f>
        <v>14.199320143884892</v>
      </c>
    </row>
    <row r="552" spans="1:30" ht="15.75">
      <c r="A552" s="13">
        <v>58075</v>
      </c>
      <c r="B552" s="10">
        <f>CHOOSE(CONTROL!$C$42, 15.3355, 15.3355) * CHOOSE(CONTROL!$C$21, $C$9, 100%, $E$9)</f>
        <v>15.3355</v>
      </c>
      <c r="C552" s="10">
        <f>CHOOSE(CONTROL!$C$42, 15.3406, 15.3406) * CHOOSE(CONTROL!$C$21, $C$9, 100%, $E$9)</f>
        <v>15.3406</v>
      </c>
      <c r="D552" s="10">
        <f>CHOOSE(CONTROL!$C$42, 15.3652, 15.3652) * CHOOSE(CONTROL!$C$21, $C$9, 100%, $E$9)</f>
        <v>15.3652</v>
      </c>
      <c r="E552" s="10">
        <f>CHOOSE(CONTROL!$C$42, 15.399, 15.399) * CHOOSE(CONTROL!$C$21, $C$9, 100%, $E$9)</f>
        <v>15.398999999999999</v>
      </c>
      <c r="F552" s="10">
        <f>CHOOSE(CONTROL!$C$42, 15.3057, 15.3057)*CHOOSE(CONTROL!$C$21, $C$9, 100%, $E$9)</f>
        <v>15.3057</v>
      </c>
      <c r="G552" s="10">
        <f>CHOOSE(CONTROL!$C$42, 15.3222, 15.3222)*CHOOSE(CONTROL!$C$21, $C$9, 100%, $E$9)</f>
        <v>15.3222</v>
      </c>
      <c r="H552" s="10">
        <f>CHOOSE(CONTROL!$C$42, 15.3879, 15.3879) * CHOOSE(CONTROL!$C$21, $C$9, 100%, $E$9)</f>
        <v>15.3879</v>
      </c>
      <c r="I552" s="10">
        <f>CHOOSE(CONTROL!$C$42, 15.3504, 15.3504)* CHOOSE(CONTROL!$C$21, $C$9, 100%, $E$9)</f>
        <v>15.3504</v>
      </c>
      <c r="J552" s="10">
        <f>CHOOSE(CONTROL!$C$42, 15.2983, 15.2983)* CHOOSE(CONTROL!$C$21, $C$9, 100%, $E$9)</f>
        <v>15.298299999999999</v>
      </c>
      <c r="K552" s="10">
        <f>CHOOSE(CONTROL!$C$42, 15.038, 15.038) * CHOOSE(CONTROL!$C$21, $C$9, 100%, $E$9)</f>
        <v>15.038</v>
      </c>
      <c r="L552" s="10">
        <f>CHOOSE(CONTROL!$C$42, 15.9749, 15.9749) * CHOOSE(CONTROL!$C$21, $C$9, 100%, $E$9)</f>
        <v>15.9749</v>
      </c>
      <c r="M552" s="10">
        <f>CHOOSE(CONTROL!$C$42, 15.1179, 15.1179) * CHOOSE(CONTROL!$C$21, $C$9, 100%, $E$9)</f>
        <v>15.117900000000001</v>
      </c>
      <c r="N552" s="10">
        <f>CHOOSE(CONTROL!$C$42, 15.1342, 15.1342) * CHOOSE(CONTROL!$C$21, $C$9, 100%, $E$9)</f>
        <v>15.1342</v>
      </c>
      <c r="O552" s="10">
        <f>CHOOSE(CONTROL!$C$42, 15.2063, 15.2063) * CHOOSE(CONTROL!$C$21, $C$9, 100%, $E$9)</f>
        <v>15.206300000000001</v>
      </c>
      <c r="P552" s="10">
        <f>CHOOSE(CONTROL!$C$42, 15.1694, 15.1694) * CHOOSE(CONTROL!$C$21, $C$9, 100%, $E$9)</f>
        <v>15.1694</v>
      </c>
      <c r="Q552" s="10">
        <f>CHOOSE(CONTROL!$C$42, 15.8016, 15.8016) * CHOOSE(CONTROL!$C$21, $C$9, 100%, $E$9)</f>
        <v>15.801600000000001</v>
      </c>
      <c r="R552" s="10">
        <f>CHOOSE(CONTROL!$C$42, 16.4281, 16.4281) * CHOOSE(CONTROL!$C$21, $C$9, 100%, $E$9)</f>
        <v>16.428100000000001</v>
      </c>
      <c r="S552" s="10">
        <f>CHOOSE(CONTROL!$C$42, 14.866, 14.866) * CHOOSE(CONTROL!$C$21, $C$9, 100%, $E$9)</f>
        <v>14.866</v>
      </c>
      <c r="T55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52" s="38">
        <f>(1000*CHOOSE(CONTROL!$C$42, 695, 695)*CHOOSE(CONTROL!$C$42, 0.5599, 0.5599)*CHOOSE(CONTROL!$C$42, 31, 31))/1000000</f>
        <v>12.063045499999998</v>
      </c>
      <c r="V552" s="38">
        <f>(1000*CHOOSE(CONTROL!$C$42, 500, 500)*CHOOSE(CONTROL!$C$42, 0.275, 0.275)*CHOOSE(CONTROL!$C$42, 31, 31))/1000000</f>
        <v>4.2625000000000002</v>
      </c>
      <c r="W552" s="38">
        <f>(1000*CHOOSE(CONTROL!$C$42, 0.1146, 0.1146)*CHOOSE(CONTROL!$C$42, 121.5, 121.5)*CHOOSE(CONTROL!$C$42, 31, 31))/1000000</f>
        <v>0.43164089999999994</v>
      </c>
      <c r="X552" s="38">
        <f>(31*0.1790888*100000/1000000)+(31*0.2374*100000/1000000)</f>
        <v>1.2911152800000001</v>
      </c>
      <c r="Y552" s="38">
        <f>(1000*600*CHOOSE(CONTROL!$C$42, 1.0585, 1.0585)*CHOOSE(CONTROL!$C$42, 31, 31))/1000000</f>
        <v>19.688099999999999</v>
      </c>
      <c r="Z552" s="38"/>
      <c r="AA552" s="10"/>
      <c r="AB552" s="39"/>
      <c r="AC552" s="33">
        <f>(B552*122.58+C552*297.941+D552*89.177+E552*40.302+F552*40+G552*160+H552*0+I552*100+J552*300)/(122.58+297.941+89.177+40.302+0+40+160+100+300)</f>
        <v>15.330054115652171</v>
      </c>
      <c r="AD552" s="27">
        <f>(M552*'RAP TEMPLATE-GAS AVAILABILITY'!O551+N552*'RAP TEMPLATE-GAS AVAILABILITY'!P551+O552*'RAP TEMPLATE-GAS AVAILABILITY'!Q551+P552*'RAP TEMPLATE-GAS AVAILABILITY'!R551)/('RAP TEMPLATE-GAS AVAILABILITY'!O551+'RAP TEMPLATE-GAS AVAILABILITY'!P551+'RAP TEMPLATE-GAS AVAILABILITY'!Q551+'RAP TEMPLATE-GAS AVAILABILITY'!R551)</f>
        <v>15.16631438848921</v>
      </c>
    </row>
    <row r="553" spans="1:30" ht="15.75">
      <c r="A553" s="13">
        <v>58106</v>
      </c>
      <c r="B553" s="10">
        <f>CHOOSE(CONTROL!$C$42, 16.3716, 16.3716) * CHOOSE(CONTROL!$C$21, $C$9, 100%, $E$9)</f>
        <v>16.371600000000001</v>
      </c>
      <c r="C553" s="10">
        <f>CHOOSE(CONTROL!$C$42, 16.3767, 16.3767) * CHOOSE(CONTROL!$C$21, $C$9, 100%, $E$9)</f>
        <v>16.3767</v>
      </c>
      <c r="D553" s="10">
        <f>CHOOSE(CONTROL!$C$42, 16.4091, 16.4091) * CHOOSE(CONTROL!$C$21, $C$9, 100%, $E$9)</f>
        <v>16.409099999999999</v>
      </c>
      <c r="E553" s="10">
        <f>CHOOSE(CONTROL!$C$42, 16.4429, 16.4429) * CHOOSE(CONTROL!$C$21, $C$9, 100%, $E$9)</f>
        <v>16.442900000000002</v>
      </c>
      <c r="F553" s="10">
        <f>CHOOSE(CONTROL!$C$42, 16.3558, 16.3558)*CHOOSE(CONTROL!$C$21, $C$9, 100%, $E$9)</f>
        <v>16.355799999999999</v>
      </c>
      <c r="G553" s="10">
        <f>CHOOSE(CONTROL!$C$42, 16.3738, 16.3738)*CHOOSE(CONTROL!$C$21, $C$9, 100%, $E$9)</f>
        <v>16.373799999999999</v>
      </c>
      <c r="H553" s="10">
        <f>CHOOSE(CONTROL!$C$42, 16.4318, 16.4318) * CHOOSE(CONTROL!$C$21, $C$9, 100%, $E$9)</f>
        <v>16.431799999999999</v>
      </c>
      <c r="I553" s="10">
        <f>CHOOSE(CONTROL!$C$42, 16.3851, 16.3851)* CHOOSE(CONTROL!$C$21, $C$9, 100%, $E$9)</f>
        <v>16.385100000000001</v>
      </c>
      <c r="J553" s="10">
        <f>CHOOSE(CONTROL!$C$42, 16.3484, 16.3484)* CHOOSE(CONTROL!$C$21, $C$9, 100%, $E$9)</f>
        <v>16.348400000000002</v>
      </c>
      <c r="K553" s="10">
        <f>CHOOSE(CONTROL!$C$42, 16.0542, 16.0542) * CHOOSE(CONTROL!$C$21, $C$9, 100%, $E$9)</f>
        <v>16.054200000000002</v>
      </c>
      <c r="L553" s="10">
        <f>CHOOSE(CONTROL!$C$42, 17.0188, 17.0188) * CHOOSE(CONTROL!$C$21, $C$9, 100%, $E$9)</f>
        <v>17.018799999999999</v>
      </c>
      <c r="M553" s="10">
        <f>CHOOSE(CONTROL!$C$42, 16.1534, 16.1534) * CHOOSE(CONTROL!$C$21, $C$9, 100%, $E$9)</f>
        <v>16.153400000000001</v>
      </c>
      <c r="N553" s="10">
        <f>CHOOSE(CONTROL!$C$42, 16.1711, 16.1711) * CHOOSE(CONTROL!$C$21, $C$9, 100%, $E$9)</f>
        <v>16.171099999999999</v>
      </c>
      <c r="O553" s="10">
        <f>CHOOSE(CONTROL!$C$42, 16.2356, 16.2356) * CHOOSE(CONTROL!$C$21, $C$9, 100%, $E$9)</f>
        <v>16.235600000000002</v>
      </c>
      <c r="P553" s="10">
        <f>CHOOSE(CONTROL!$C$42, 16.1895, 16.1895) * CHOOSE(CONTROL!$C$21, $C$9, 100%, $E$9)</f>
        <v>16.189499999999999</v>
      </c>
      <c r="Q553" s="10">
        <f>CHOOSE(CONTROL!$C$42, 16.8309, 16.8309) * CHOOSE(CONTROL!$C$21, $C$9, 100%, $E$9)</f>
        <v>16.8309</v>
      </c>
      <c r="R553" s="10">
        <f>CHOOSE(CONTROL!$C$42, 17.46, 17.46) * CHOOSE(CONTROL!$C$21, $C$9, 100%, $E$9)</f>
        <v>17.46</v>
      </c>
      <c r="S553" s="10">
        <f>CHOOSE(CONTROL!$C$42, 15.8693, 15.8693) * CHOOSE(CONTROL!$C$21, $C$9, 100%, $E$9)</f>
        <v>15.869300000000001</v>
      </c>
      <c r="T55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53" s="38">
        <f>(1000*CHOOSE(CONTROL!$C$42, 695, 695)*CHOOSE(CONTROL!$C$42, 0.5599, 0.5599)*CHOOSE(CONTROL!$C$42, 31, 31))/1000000</f>
        <v>12.063045499999998</v>
      </c>
      <c r="V553" s="38">
        <f>(1000*CHOOSE(CONTROL!$C$42, 500, 500)*CHOOSE(CONTROL!$C$42, 0.275, 0.275)*CHOOSE(CONTROL!$C$42, 31, 31))/1000000</f>
        <v>4.2625000000000002</v>
      </c>
      <c r="W553" s="38">
        <f>(1000*CHOOSE(CONTROL!$C$42, 0.1146, 0.1146)*CHOOSE(CONTROL!$C$42, 121.5, 121.5)*CHOOSE(CONTROL!$C$42, 31, 31))/1000000</f>
        <v>0.43164089999999994</v>
      </c>
      <c r="X553" s="38">
        <f>(31*0.1790888*100000/1000000)+(31*0.2374*100000/1000000)</f>
        <v>1.2911152800000001</v>
      </c>
      <c r="Y553" s="38">
        <f>(1000*600*CHOOSE(CONTROL!$C$42, 1.0585, 1.0585)*CHOOSE(CONTROL!$C$42, 31, 31))/1000000</f>
        <v>19.688099999999999</v>
      </c>
      <c r="Z553" s="38"/>
      <c r="AA553" s="10"/>
      <c r="AB553" s="39"/>
      <c r="AC553" s="33">
        <f>(B553*122.58+C553*297.941+D553*89.177+E553*40.302+F553*40+G553*160+H553*0+I553*100+J553*300)/(122.58+297.941+89.177+40.302+0+40+160+100+300)</f>
        <v>16.373206234086954</v>
      </c>
      <c r="AD553" s="27">
        <f>(M553*'RAP TEMPLATE-GAS AVAILABILITY'!O552+N553*'RAP TEMPLATE-GAS AVAILABILITY'!P552+O553*'RAP TEMPLATE-GAS AVAILABILITY'!Q552+P553*'RAP TEMPLATE-GAS AVAILABILITY'!R552)/('RAP TEMPLATE-GAS AVAILABILITY'!O552+'RAP TEMPLATE-GAS AVAILABILITY'!P552+'RAP TEMPLATE-GAS AVAILABILITY'!Q552+'RAP TEMPLATE-GAS AVAILABILITY'!R552)</f>
        <v>16.196869064748203</v>
      </c>
    </row>
    <row r="554" spans="1:30" ht="15.75">
      <c r="A554" s="13">
        <v>58134</v>
      </c>
      <c r="B554" s="10">
        <f>CHOOSE(CONTROL!$C$42, 16.6633, 16.6633) * CHOOSE(CONTROL!$C$21, $C$9, 100%, $E$9)</f>
        <v>16.6633</v>
      </c>
      <c r="C554" s="10">
        <f>CHOOSE(CONTROL!$C$42, 16.6684, 16.6684) * CHOOSE(CONTROL!$C$21, $C$9, 100%, $E$9)</f>
        <v>16.668399999999998</v>
      </c>
      <c r="D554" s="10">
        <f>CHOOSE(CONTROL!$C$42, 16.7009, 16.7009) * CHOOSE(CONTROL!$C$21, $C$9, 100%, $E$9)</f>
        <v>16.700900000000001</v>
      </c>
      <c r="E554" s="10">
        <f>CHOOSE(CONTROL!$C$42, 16.7347, 16.7347) * CHOOSE(CONTROL!$C$21, $C$9, 100%, $E$9)</f>
        <v>16.7347</v>
      </c>
      <c r="F554" s="10">
        <f>CHOOSE(CONTROL!$C$42, 16.6471, 16.6471)*CHOOSE(CONTROL!$C$21, $C$9, 100%, $E$9)</f>
        <v>16.647099999999998</v>
      </c>
      <c r="G554" s="10">
        <f>CHOOSE(CONTROL!$C$42, 16.665, 16.665)*CHOOSE(CONTROL!$C$21, $C$9, 100%, $E$9)</f>
        <v>16.664999999999999</v>
      </c>
      <c r="H554" s="10">
        <f>CHOOSE(CONTROL!$C$42, 16.7236, 16.7236) * CHOOSE(CONTROL!$C$21, $C$9, 100%, $E$9)</f>
        <v>16.723600000000001</v>
      </c>
      <c r="I554" s="10">
        <f>CHOOSE(CONTROL!$C$42, 16.6768, 16.6768)* CHOOSE(CONTROL!$C$21, $C$9, 100%, $E$9)</f>
        <v>16.6768</v>
      </c>
      <c r="J554" s="10">
        <f>CHOOSE(CONTROL!$C$42, 16.6397, 16.6397)* CHOOSE(CONTROL!$C$21, $C$9, 100%, $E$9)</f>
        <v>16.639700000000001</v>
      </c>
      <c r="K554" s="10">
        <f>CHOOSE(CONTROL!$C$42, 16.3359, 16.3359) * CHOOSE(CONTROL!$C$21, $C$9, 100%, $E$9)</f>
        <v>16.335899999999999</v>
      </c>
      <c r="L554" s="10">
        <f>CHOOSE(CONTROL!$C$42, 17.3106, 17.3106) * CHOOSE(CONTROL!$C$21, $C$9, 100%, $E$9)</f>
        <v>17.310600000000001</v>
      </c>
      <c r="M554" s="10">
        <f>CHOOSE(CONTROL!$C$42, 16.4406, 16.4406) * CHOOSE(CONTROL!$C$21, $C$9, 100%, $E$9)</f>
        <v>16.4406</v>
      </c>
      <c r="N554" s="10">
        <f>CHOOSE(CONTROL!$C$42, 16.4582, 16.4582) * CHOOSE(CONTROL!$C$21, $C$9, 100%, $E$9)</f>
        <v>16.458200000000001</v>
      </c>
      <c r="O554" s="10">
        <f>CHOOSE(CONTROL!$C$42, 16.5233, 16.5233) * CHOOSE(CONTROL!$C$21, $C$9, 100%, $E$9)</f>
        <v>16.523299999999999</v>
      </c>
      <c r="P554" s="10">
        <f>CHOOSE(CONTROL!$C$42, 16.4772, 16.4772) * CHOOSE(CONTROL!$C$21, $C$9, 100%, $E$9)</f>
        <v>16.4772</v>
      </c>
      <c r="Q554" s="10">
        <f>CHOOSE(CONTROL!$C$42, 17.1186, 17.1186) * CHOOSE(CONTROL!$C$21, $C$9, 100%, $E$9)</f>
        <v>17.118600000000001</v>
      </c>
      <c r="R554" s="10">
        <f>CHOOSE(CONTROL!$C$42, 17.7484, 17.7484) * CHOOSE(CONTROL!$C$21, $C$9, 100%, $E$9)</f>
        <v>17.7484</v>
      </c>
      <c r="S554" s="10">
        <f>CHOOSE(CONTROL!$C$42, 16.1518, 16.1518) * CHOOSE(CONTROL!$C$21, $C$9, 100%, $E$9)</f>
        <v>16.151800000000001</v>
      </c>
      <c r="T55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54" s="38">
        <f>(1000*CHOOSE(CONTROL!$C$42, 695, 695)*CHOOSE(CONTROL!$C$42, 0.5599, 0.5599)*CHOOSE(CONTROL!$C$42, 28, 28))/1000000</f>
        <v>10.895653999999999</v>
      </c>
      <c r="V554" s="38">
        <f>(1000*CHOOSE(CONTROL!$C$42, 500, 500)*CHOOSE(CONTROL!$C$42, 0.275, 0.275)*CHOOSE(CONTROL!$C$42, 28, 28))/1000000</f>
        <v>3.85</v>
      </c>
      <c r="W554" s="38">
        <f>(1000*CHOOSE(CONTROL!$C$42, 0.1146, 0.1146)*CHOOSE(CONTROL!$C$42, 121.5, 121.5)*CHOOSE(CONTROL!$C$42, 28, 28))/1000000</f>
        <v>0.38986920000000003</v>
      </c>
      <c r="X554" s="38">
        <f>(28*0.1790888*100000/1000000)+(28*0.2374*100000/1000000)</f>
        <v>1.16616864</v>
      </c>
      <c r="Y554" s="38">
        <f>(1000*600*CHOOSE(CONTROL!$C$42, 1.0585, 1.0585)*CHOOSE(CONTROL!$C$42, 28, 28))/1000000</f>
        <v>17.782800000000002</v>
      </c>
      <c r="Z554" s="38"/>
      <c r="AA554" s="10"/>
      <c r="AB554" s="39"/>
      <c r="AC554" s="33">
        <f>(B554*122.58+C554*297.941+D554*89.177+E554*40.302+F554*40+G554*160+H554*0+I554*100+J554*300)/(122.58+297.941+89.177+40.302+0+40+160+100+300)</f>
        <v>16.664729667043478</v>
      </c>
      <c r="AD554" s="27">
        <f>(M554*'RAP TEMPLATE-GAS AVAILABILITY'!O553+N554*'RAP TEMPLATE-GAS AVAILABILITY'!P553+O554*'RAP TEMPLATE-GAS AVAILABILITY'!Q553+P554*'RAP TEMPLATE-GAS AVAILABILITY'!R553)/('RAP TEMPLATE-GAS AVAILABILITY'!O553+'RAP TEMPLATE-GAS AVAILABILITY'!P553+'RAP TEMPLATE-GAS AVAILABILITY'!Q553+'RAP TEMPLATE-GAS AVAILABILITY'!R553)</f>
        <v>16.484361870503598</v>
      </c>
    </row>
    <row r="555" spans="1:30" ht="15.75">
      <c r="A555" s="13">
        <v>58165</v>
      </c>
      <c r="B555" s="10">
        <f>CHOOSE(CONTROL!$C$42, 16.1898, 16.1898) * CHOOSE(CONTROL!$C$21, $C$9, 100%, $E$9)</f>
        <v>16.189800000000002</v>
      </c>
      <c r="C555" s="10">
        <f>CHOOSE(CONTROL!$C$42, 16.1949, 16.1949) * CHOOSE(CONTROL!$C$21, $C$9, 100%, $E$9)</f>
        <v>16.194900000000001</v>
      </c>
      <c r="D555" s="10">
        <f>CHOOSE(CONTROL!$C$42, 16.2273, 16.2273) * CHOOSE(CONTROL!$C$21, $C$9, 100%, $E$9)</f>
        <v>16.2273</v>
      </c>
      <c r="E555" s="10">
        <f>CHOOSE(CONTROL!$C$42, 16.2611, 16.2611) * CHOOSE(CONTROL!$C$21, $C$9, 100%, $E$9)</f>
        <v>16.261099999999999</v>
      </c>
      <c r="F555" s="10">
        <f>CHOOSE(CONTROL!$C$42, 16.172, 16.172)*CHOOSE(CONTROL!$C$21, $C$9, 100%, $E$9)</f>
        <v>16.172000000000001</v>
      </c>
      <c r="G555" s="10">
        <f>CHOOSE(CONTROL!$C$42, 16.1896, 16.1896)*CHOOSE(CONTROL!$C$21, $C$9, 100%, $E$9)</f>
        <v>16.189599999999999</v>
      </c>
      <c r="H555" s="10">
        <f>CHOOSE(CONTROL!$C$42, 16.25, 16.25) * CHOOSE(CONTROL!$C$21, $C$9, 100%, $E$9)</f>
        <v>16.25</v>
      </c>
      <c r="I555" s="10">
        <f>CHOOSE(CONTROL!$C$42, 16.2032, 16.2032)* CHOOSE(CONTROL!$C$21, $C$9, 100%, $E$9)</f>
        <v>16.203199999999999</v>
      </c>
      <c r="J555" s="10">
        <f>CHOOSE(CONTROL!$C$42, 16.1646, 16.1646)* CHOOSE(CONTROL!$C$21, $C$9, 100%, $E$9)</f>
        <v>16.1646</v>
      </c>
      <c r="K555" s="10">
        <f>CHOOSE(CONTROL!$C$42, 15.874, 15.874) * CHOOSE(CONTROL!$C$21, $C$9, 100%, $E$9)</f>
        <v>15.874000000000001</v>
      </c>
      <c r="L555" s="10">
        <f>CHOOSE(CONTROL!$C$42, 16.837, 16.837) * CHOOSE(CONTROL!$C$21, $C$9, 100%, $E$9)</f>
        <v>16.837</v>
      </c>
      <c r="M555" s="10">
        <f>CHOOSE(CONTROL!$C$42, 15.9722, 15.9722) * CHOOSE(CONTROL!$C$21, $C$9, 100%, $E$9)</f>
        <v>15.972200000000001</v>
      </c>
      <c r="N555" s="10">
        <f>CHOOSE(CONTROL!$C$42, 15.9895, 15.9895) * CHOOSE(CONTROL!$C$21, $C$9, 100%, $E$9)</f>
        <v>15.9895</v>
      </c>
      <c r="O555" s="10">
        <f>CHOOSE(CONTROL!$C$42, 16.0563, 16.0563) * CHOOSE(CONTROL!$C$21, $C$9, 100%, $E$9)</f>
        <v>16.0563</v>
      </c>
      <c r="P555" s="10">
        <f>CHOOSE(CONTROL!$C$42, 16.0103, 16.0103) * CHOOSE(CONTROL!$C$21, $C$9, 100%, $E$9)</f>
        <v>16.010300000000001</v>
      </c>
      <c r="Q555" s="10">
        <f>CHOOSE(CONTROL!$C$42, 16.6516, 16.6516) * CHOOSE(CONTROL!$C$21, $C$9, 100%, $E$9)</f>
        <v>16.651599999999998</v>
      </c>
      <c r="R555" s="10">
        <f>CHOOSE(CONTROL!$C$42, 17.2803, 17.2803) * CHOOSE(CONTROL!$C$21, $C$9, 100%, $E$9)</f>
        <v>17.2803</v>
      </c>
      <c r="S555" s="10">
        <f>CHOOSE(CONTROL!$C$42, 15.6932, 15.6932) * CHOOSE(CONTROL!$C$21, $C$9, 100%, $E$9)</f>
        <v>15.693199999999999</v>
      </c>
      <c r="T55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55" s="38">
        <f>(1000*CHOOSE(CONTROL!$C$42, 695, 695)*CHOOSE(CONTROL!$C$42, 0.5599, 0.5599)*CHOOSE(CONTROL!$C$42, 31, 31))/1000000</f>
        <v>12.063045499999998</v>
      </c>
      <c r="V555" s="38">
        <f>(1000*CHOOSE(CONTROL!$C$42, 500, 500)*CHOOSE(CONTROL!$C$42, 0.275, 0.275)*CHOOSE(CONTROL!$C$42, 31, 31))/1000000</f>
        <v>4.2625000000000002</v>
      </c>
      <c r="W555" s="38">
        <f>(1000*CHOOSE(CONTROL!$C$42, 0.1146, 0.1146)*CHOOSE(CONTROL!$C$42, 121.5, 121.5)*CHOOSE(CONTROL!$C$42, 31, 31))/1000000</f>
        <v>0.43164089999999994</v>
      </c>
      <c r="X555" s="38">
        <f>(31*0.1790888*100000/1000000)+(31*0.2374*100000/1000000)</f>
        <v>1.2911152800000001</v>
      </c>
      <c r="Y555" s="38">
        <f>(1000*600*CHOOSE(CONTROL!$C$42, 1.0585, 1.0585)*CHOOSE(CONTROL!$C$42, 31, 31))/1000000</f>
        <v>19.688099999999999</v>
      </c>
      <c r="Z555" s="38"/>
      <c r="AA555" s="10"/>
      <c r="AB555" s="39"/>
      <c r="AC555" s="33">
        <f>(B555*122.58+C555*297.941+D555*89.177+E555*40.302+F555*40+G555*160+H555*0+I555*100+J555*300)/(122.58+297.941+89.177+40.302+0+40+160+100+300)</f>
        <v>16.190472321043476</v>
      </c>
      <c r="AD555" s="27">
        <f>(M555*'RAP TEMPLATE-GAS AVAILABILITY'!O554+N555*'RAP TEMPLATE-GAS AVAILABILITY'!P554+O555*'RAP TEMPLATE-GAS AVAILABILITY'!Q554+P555*'RAP TEMPLATE-GAS AVAILABILITY'!R554)/('RAP TEMPLATE-GAS AVAILABILITY'!O554+'RAP TEMPLATE-GAS AVAILABILITY'!P554+'RAP TEMPLATE-GAS AVAILABILITY'!Q554+'RAP TEMPLATE-GAS AVAILABILITY'!R554)</f>
        <v>16.016794964028779</v>
      </c>
    </row>
    <row r="556" spans="1:30" ht="15.75">
      <c r="A556" s="13">
        <v>58195</v>
      </c>
      <c r="B556" s="10">
        <f>CHOOSE(CONTROL!$C$42, 16.142, 16.142) * CHOOSE(CONTROL!$C$21, $C$9, 100%, $E$9)</f>
        <v>16.141999999999999</v>
      </c>
      <c r="C556" s="10">
        <f>CHOOSE(CONTROL!$C$42, 16.1466, 16.1466) * CHOOSE(CONTROL!$C$21, $C$9, 100%, $E$9)</f>
        <v>16.146599999999999</v>
      </c>
      <c r="D556" s="10">
        <f>CHOOSE(CONTROL!$C$42, 16.3067, 16.3067) * CHOOSE(CONTROL!$C$21, $C$9, 100%, $E$9)</f>
        <v>16.306699999999999</v>
      </c>
      <c r="E556" s="10">
        <f>CHOOSE(CONTROL!$C$42, 16.3385, 16.3385) * CHOOSE(CONTROL!$C$21, $C$9, 100%, $E$9)</f>
        <v>16.3385</v>
      </c>
      <c r="F556" s="10">
        <f>CHOOSE(CONTROL!$C$42, 16.0881, 16.0881)*CHOOSE(CONTROL!$C$21, $C$9, 100%, $E$9)</f>
        <v>16.088100000000001</v>
      </c>
      <c r="G556" s="10">
        <f>CHOOSE(CONTROL!$C$42, 16.104, 16.104)*CHOOSE(CONTROL!$C$21, $C$9, 100%, $E$9)</f>
        <v>16.103999999999999</v>
      </c>
      <c r="H556" s="10">
        <f>CHOOSE(CONTROL!$C$42, 16.328, 16.328) * CHOOSE(CONTROL!$C$21, $C$9, 100%, $E$9)</f>
        <v>16.327999999999999</v>
      </c>
      <c r="I556" s="10">
        <f>CHOOSE(CONTROL!$C$42, 16.1222, 16.1222)* CHOOSE(CONTROL!$C$21, $C$9, 100%, $E$9)</f>
        <v>16.122199999999999</v>
      </c>
      <c r="J556" s="10">
        <f>CHOOSE(CONTROL!$C$42, 16.0807, 16.0807)* CHOOSE(CONTROL!$C$21, $C$9, 100%, $E$9)</f>
        <v>16.0807</v>
      </c>
      <c r="K556" s="10">
        <f>CHOOSE(CONTROL!$C$42, 15.7794, 15.7794) * CHOOSE(CONTROL!$C$21, $C$9, 100%, $E$9)</f>
        <v>15.779400000000001</v>
      </c>
      <c r="L556" s="10">
        <f>CHOOSE(CONTROL!$C$42, 16.915, 16.915) * CHOOSE(CONTROL!$C$21, $C$9, 100%, $E$9)</f>
        <v>16.914999999999999</v>
      </c>
      <c r="M556" s="10">
        <f>CHOOSE(CONTROL!$C$42, 15.8894, 15.8894) * CHOOSE(CONTROL!$C$21, $C$9, 100%, $E$9)</f>
        <v>15.8894</v>
      </c>
      <c r="N556" s="10">
        <f>CHOOSE(CONTROL!$C$42, 15.905, 15.905) * CHOOSE(CONTROL!$C$21, $C$9, 100%, $E$9)</f>
        <v>15.904999999999999</v>
      </c>
      <c r="O556" s="10">
        <f>CHOOSE(CONTROL!$C$42, 16.1332, 16.1332) * CHOOSE(CONTROL!$C$21, $C$9, 100%, $E$9)</f>
        <v>16.133199999999999</v>
      </c>
      <c r="P556" s="10">
        <f>CHOOSE(CONTROL!$C$42, 15.9303, 15.9303) * CHOOSE(CONTROL!$C$21, $C$9, 100%, $E$9)</f>
        <v>15.930300000000001</v>
      </c>
      <c r="Q556" s="10">
        <f>CHOOSE(CONTROL!$C$42, 16.7285, 16.7285) * CHOOSE(CONTROL!$C$21, $C$9, 100%, $E$9)</f>
        <v>16.7285</v>
      </c>
      <c r="R556" s="10">
        <f>CHOOSE(CONTROL!$C$42, 17.3573, 17.3573) * CHOOSE(CONTROL!$C$21, $C$9, 100%, $E$9)</f>
        <v>17.357299999999999</v>
      </c>
      <c r="S556" s="10">
        <f>CHOOSE(CONTROL!$C$42, 15.6462, 15.6462) * CHOOSE(CONTROL!$C$21, $C$9, 100%, $E$9)</f>
        <v>15.6462</v>
      </c>
      <c r="T55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56" s="38">
        <f>(1000*CHOOSE(CONTROL!$C$42, 695, 695)*CHOOSE(CONTROL!$C$42, 0.5599, 0.5599)*CHOOSE(CONTROL!$C$42, 30, 30))/1000000</f>
        <v>11.673914999999997</v>
      </c>
      <c r="V556" s="38">
        <f>(1000*CHOOSE(CONTROL!$C$42, 500, 500)*CHOOSE(CONTROL!$C$42, 0.275, 0.275)*CHOOSE(CONTROL!$C$42, 30, 30))/1000000</f>
        <v>4.125</v>
      </c>
      <c r="W556" s="38">
        <f>(1000*CHOOSE(CONTROL!$C$42, 0.1146, 0.1146)*CHOOSE(CONTROL!$C$42, 121.5, 121.5)*CHOOSE(CONTROL!$C$42, 30, 30))/1000000</f>
        <v>0.417717</v>
      </c>
      <c r="X556" s="38">
        <f>(30*0.1790888*245000/1000000)+(30*0.2374*100000/1000000)</f>
        <v>2.0285026799999999</v>
      </c>
      <c r="Y556" s="38">
        <f>(1000*600*CHOOSE(CONTROL!$C$42, 1.0585, 1.0585)*CHOOSE(CONTROL!$C$42, 30, 30))/1000000</f>
        <v>19.053000000000001</v>
      </c>
      <c r="Z556" s="38"/>
      <c r="AA556" s="10"/>
      <c r="AB556" s="39"/>
      <c r="AC556" s="33">
        <f>(B556*141.293+C556*267.993+D556*115.016+E556*89.698+F556*40+G556*185+H556*0+I556*100+J556*300)/(141.293+267.993+115.016+89.698+0+40+185+100+300)</f>
        <v>16.148655012106534</v>
      </c>
      <c r="AD556" s="27">
        <f>(M556*'RAP TEMPLATE-GAS AVAILABILITY'!O555+N556*'RAP TEMPLATE-GAS AVAILABILITY'!P555+O556*'RAP TEMPLATE-GAS AVAILABILITY'!Q555+P556*'RAP TEMPLATE-GAS AVAILABILITY'!R555)/('RAP TEMPLATE-GAS AVAILABILITY'!O555+'RAP TEMPLATE-GAS AVAILABILITY'!P555+'RAP TEMPLATE-GAS AVAILABILITY'!Q555+'RAP TEMPLATE-GAS AVAILABILITY'!R555)</f>
        <v>15.967280575539569</v>
      </c>
    </row>
    <row r="557" spans="1:30" ht="15.75">
      <c r="A557" s="13">
        <v>58226</v>
      </c>
      <c r="B557" s="10">
        <f>CHOOSE(CONTROL!$C$42, 16.2865, 16.2865) * CHOOSE(CONTROL!$C$21, $C$9, 100%, $E$9)</f>
        <v>16.2865</v>
      </c>
      <c r="C557" s="10">
        <f>CHOOSE(CONTROL!$C$42, 16.2945, 16.2945) * CHOOSE(CONTROL!$C$21, $C$9, 100%, $E$9)</f>
        <v>16.294499999999999</v>
      </c>
      <c r="D557" s="10">
        <f>CHOOSE(CONTROL!$C$42, 16.4515, 16.4515) * CHOOSE(CONTROL!$C$21, $C$9, 100%, $E$9)</f>
        <v>16.451499999999999</v>
      </c>
      <c r="E557" s="10">
        <f>CHOOSE(CONTROL!$C$42, 16.4827, 16.4827) * CHOOSE(CONTROL!$C$21, $C$9, 100%, $E$9)</f>
        <v>16.482700000000001</v>
      </c>
      <c r="F557" s="10">
        <f>CHOOSE(CONTROL!$C$42, 16.2306, 16.2306)*CHOOSE(CONTROL!$C$21, $C$9, 100%, $E$9)</f>
        <v>16.230599999999999</v>
      </c>
      <c r="G557" s="10">
        <f>CHOOSE(CONTROL!$C$42, 16.2467, 16.2467)*CHOOSE(CONTROL!$C$21, $C$9, 100%, $E$9)</f>
        <v>16.246700000000001</v>
      </c>
      <c r="H557" s="10">
        <f>CHOOSE(CONTROL!$C$42, 16.4711, 16.4711) * CHOOSE(CONTROL!$C$21, $C$9, 100%, $E$9)</f>
        <v>16.4711</v>
      </c>
      <c r="I557" s="10">
        <f>CHOOSE(CONTROL!$C$42, 16.2652, 16.2652)* CHOOSE(CONTROL!$C$21, $C$9, 100%, $E$9)</f>
        <v>16.2652</v>
      </c>
      <c r="J557" s="10">
        <f>CHOOSE(CONTROL!$C$42, 16.2232, 16.2232)* CHOOSE(CONTROL!$C$21, $C$9, 100%, $E$9)</f>
        <v>16.223199999999999</v>
      </c>
      <c r="K557" s="10">
        <f>CHOOSE(CONTROL!$C$42, 15.9167, 15.9167) * CHOOSE(CONTROL!$C$21, $C$9, 100%, $E$9)</f>
        <v>15.916700000000001</v>
      </c>
      <c r="L557" s="10">
        <f>CHOOSE(CONTROL!$C$42, 17.0581, 17.0581) * CHOOSE(CONTROL!$C$21, $C$9, 100%, $E$9)</f>
        <v>17.0581</v>
      </c>
      <c r="M557" s="10">
        <f>CHOOSE(CONTROL!$C$42, 16.0299, 16.0299) * CHOOSE(CONTROL!$C$21, $C$9, 100%, $E$9)</f>
        <v>16.029900000000001</v>
      </c>
      <c r="N557" s="10">
        <f>CHOOSE(CONTROL!$C$42, 16.0458, 16.0458) * CHOOSE(CONTROL!$C$21, $C$9, 100%, $E$9)</f>
        <v>16.0458</v>
      </c>
      <c r="O557" s="10">
        <f>CHOOSE(CONTROL!$C$42, 16.2743, 16.2743) * CHOOSE(CONTROL!$C$21, $C$9, 100%, $E$9)</f>
        <v>16.2743</v>
      </c>
      <c r="P557" s="10">
        <f>CHOOSE(CONTROL!$C$42, 16.0714, 16.0714) * CHOOSE(CONTROL!$C$21, $C$9, 100%, $E$9)</f>
        <v>16.071400000000001</v>
      </c>
      <c r="Q557" s="10">
        <f>CHOOSE(CONTROL!$C$42, 16.8696, 16.8696) * CHOOSE(CONTROL!$C$21, $C$9, 100%, $E$9)</f>
        <v>16.869599999999998</v>
      </c>
      <c r="R557" s="10">
        <f>CHOOSE(CONTROL!$C$42, 17.4988, 17.4988) * CHOOSE(CONTROL!$C$21, $C$9, 100%, $E$9)</f>
        <v>17.498799999999999</v>
      </c>
      <c r="S557" s="10">
        <f>CHOOSE(CONTROL!$C$42, 15.7848, 15.7848) * CHOOSE(CONTROL!$C$21, $C$9, 100%, $E$9)</f>
        <v>15.784800000000001</v>
      </c>
      <c r="T55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57" s="38">
        <f>(1000*CHOOSE(CONTROL!$C$42, 695, 695)*CHOOSE(CONTROL!$C$42, 0.5599, 0.5599)*CHOOSE(CONTROL!$C$42, 31, 31))/1000000</f>
        <v>12.063045499999998</v>
      </c>
      <c r="V557" s="38">
        <f>(1000*CHOOSE(CONTROL!$C$42, 500, 500)*CHOOSE(CONTROL!$C$42, 0.275, 0.275)*CHOOSE(CONTROL!$C$42, 31, 31))/1000000</f>
        <v>4.2625000000000002</v>
      </c>
      <c r="W557" s="38">
        <f>(1000*CHOOSE(CONTROL!$C$42, 0.1146, 0.1146)*CHOOSE(CONTROL!$C$42, 121.5, 121.5)*CHOOSE(CONTROL!$C$42, 31, 31))/1000000</f>
        <v>0.43164089999999994</v>
      </c>
      <c r="X557" s="38">
        <f>(31*0.1790888*245000/1000000)+(31*0.2374*100000/1000000)</f>
        <v>2.0961194359999999</v>
      </c>
      <c r="Y557" s="38">
        <f>(1000*600*CHOOSE(CONTROL!$C$42, 1.0585, 1.0585)*CHOOSE(CONTROL!$C$42, 31, 31))/1000000</f>
        <v>19.688099999999999</v>
      </c>
      <c r="Z557" s="38"/>
      <c r="AA557" s="10"/>
      <c r="AB557" s="39"/>
      <c r="AC557" s="33">
        <f>(B557*194.205+C557*267.466+D557*133.845+E557*53.484+F557*40+G557*185+H557*0+I557*100+J557*300)/(194.205+267.466+133.845+53.484+0+40+185+100+300)</f>
        <v>16.289638707849292</v>
      </c>
      <c r="AD557" s="27">
        <f>(M557*'RAP TEMPLATE-GAS AVAILABILITY'!O556+N557*'RAP TEMPLATE-GAS AVAILABILITY'!P556+O557*'RAP TEMPLATE-GAS AVAILABILITY'!Q556+P557*'RAP TEMPLATE-GAS AVAILABILITY'!R556)/('RAP TEMPLATE-GAS AVAILABILITY'!O556+'RAP TEMPLATE-GAS AVAILABILITY'!P556+'RAP TEMPLATE-GAS AVAILABILITY'!Q556+'RAP TEMPLATE-GAS AVAILABILITY'!R556)</f>
        <v>16.108104316546761</v>
      </c>
    </row>
    <row r="558" spans="1:30" ht="15.75">
      <c r="A558" s="13">
        <v>58256</v>
      </c>
      <c r="B558" s="10">
        <f>CHOOSE(CONTROL!$C$42, 16.7488, 16.7488) * CHOOSE(CONTROL!$C$21, $C$9, 100%, $E$9)</f>
        <v>16.748799999999999</v>
      </c>
      <c r="C558" s="10">
        <f>CHOOSE(CONTROL!$C$42, 16.7568, 16.7568) * CHOOSE(CONTROL!$C$21, $C$9, 100%, $E$9)</f>
        <v>16.756799999999998</v>
      </c>
      <c r="D558" s="10">
        <f>CHOOSE(CONTROL!$C$42, 16.9139, 16.9139) * CHOOSE(CONTROL!$C$21, $C$9, 100%, $E$9)</f>
        <v>16.913900000000002</v>
      </c>
      <c r="E558" s="10">
        <f>CHOOSE(CONTROL!$C$42, 16.9451, 16.9451) * CHOOSE(CONTROL!$C$21, $C$9, 100%, $E$9)</f>
        <v>16.9451</v>
      </c>
      <c r="F558" s="10">
        <f>CHOOSE(CONTROL!$C$42, 16.6932, 16.6932)*CHOOSE(CONTROL!$C$21, $C$9, 100%, $E$9)</f>
        <v>16.693200000000001</v>
      </c>
      <c r="G558" s="10">
        <f>CHOOSE(CONTROL!$C$42, 16.7093, 16.7093)*CHOOSE(CONTROL!$C$21, $C$9, 100%, $E$9)</f>
        <v>16.709299999999999</v>
      </c>
      <c r="H558" s="10">
        <f>CHOOSE(CONTROL!$C$42, 16.9334, 16.9334) * CHOOSE(CONTROL!$C$21, $C$9, 100%, $E$9)</f>
        <v>16.933399999999999</v>
      </c>
      <c r="I558" s="10">
        <f>CHOOSE(CONTROL!$C$42, 16.7276, 16.7276)* CHOOSE(CONTROL!$C$21, $C$9, 100%, $E$9)</f>
        <v>16.727599999999999</v>
      </c>
      <c r="J558" s="10">
        <f>CHOOSE(CONTROL!$C$42, 16.6858, 16.6858)* CHOOSE(CONTROL!$C$21, $C$9, 100%, $E$9)</f>
        <v>16.6858</v>
      </c>
      <c r="K558" s="10">
        <f>CHOOSE(CONTROL!$C$42, 16.3651, 16.3651) * CHOOSE(CONTROL!$C$21, $C$9, 100%, $E$9)</f>
        <v>16.365100000000002</v>
      </c>
      <c r="L558" s="10">
        <f>CHOOSE(CONTROL!$C$42, 17.5204, 17.5204) * CHOOSE(CONTROL!$C$21, $C$9, 100%, $E$9)</f>
        <v>17.520399999999999</v>
      </c>
      <c r="M558" s="10">
        <f>CHOOSE(CONTROL!$C$42, 16.486, 16.486) * CHOOSE(CONTROL!$C$21, $C$9, 100%, $E$9)</f>
        <v>16.486000000000001</v>
      </c>
      <c r="N558" s="10">
        <f>CHOOSE(CONTROL!$C$42, 16.502, 16.502) * CHOOSE(CONTROL!$C$21, $C$9, 100%, $E$9)</f>
        <v>16.501999999999999</v>
      </c>
      <c r="O558" s="10">
        <f>CHOOSE(CONTROL!$C$42, 16.7302, 16.7302) * CHOOSE(CONTROL!$C$21, $C$9, 100%, $E$9)</f>
        <v>16.7302</v>
      </c>
      <c r="P558" s="10">
        <f>CHOOSE(CONTROL!$C$42, 16.5273, 16.5273) * CHOOSE(CONTROL!$C$21, $C$9, 100%, $E$9)</f>
        <v>16.5273</v>
      </c>
      <c r="Q558" s="10">
        <f>CHOOSE(CONTROL!$C$42, 17.3255, 17.3255) * CHOOSE(CONTROL!$C$21, $C$9, 100%, $E$9)</f>
        <v>17.325500000000002</v>
      </c>
      <c r="R558" s="10">
        <f>CHOOSE(CONTROL!$C$42, 17.9558, 17.9558) * CHOOSE(CONTROL!$C$21, $C$9, 100%, $E$9)</f>
        <v>17.9558</v>
      </c>
      <c r="S558" s="10">
        <f>CHOOSE(CONTROL!$C$42, 16.2325, 16.2325) * CHOOSE(CONTROL!$C$21, $C$9, 100%, $E$9)</f>
        <v>16.232500000000002</v>
      </c>
      <c r="T55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58" s="38">
        <f>(1000*CHOOSE(CONTROL!$C$42, 695, 695)*CHOOSE(CONTROL!$C$42, 0.5599, 0.5599)*CHOOSE(CONTROL!$C$42, 30, 30))/1000000</f>
        <v>11.673914999999997</v>
      </c>
      <c r="V558" s="38">
        <f>(1000*CHOOSE(CONTROL!$C$42, 500, 500)*CHOOSE(CONTROL!$C$42, 0.275, 0.275)*CHOOSE(CONTROL!$C$42, 30, 30))/1000000</f>
        <v>4.125</v>
      </c>
      <c r="W558" s="38">
        <f>(1000*CHOOSE(CONTROL!$C$42, 0.1146, 0.1146)*CHOOSE(CONTROL!$C$42, 121.5, 121.5)*CHOOSE(CONTROL!$C$42, 30, 30))/1000000</f>
        <v>0.417717</v>
      </c>
      <c r="X558" s="38">
        <f>(30*0.1790888*245000/1000000)+(30*0.2374*100000/1000000)</f>
        <v>2.0285026799999999</v>
      </c>
      <c r="Y558" s="38">
        <f>(1000*600*CHOOSE(CONTROL!$C$42, 1.0585, 1.0585)*CHOOSE(CONTROL!$C$42, 30, 30))/1000000</f>
        <v>19.053000000000001</v>
      </c>
      <c r="Z558" s="38"/>
      <c r="AA558" s="10"/>
      <c r="AB558" s="39"/>
      <c r="AC558" s="33">
        <f>(B558*194.205+C558*267.466+D558*133.845+E558*53.484+F558*40+G558*185+H558*0+I558*100+J558*300)/(194.205+267.466+133.845+53.484+0+40+185+100+300)</f>
        <v>16.752084887519622</v>
      </c>
      <c r="AD558" s="27">
        <f>(M558*'RAP TEMPLATE-GAS AVAILABILITY'!O557+N558*'RAP TEMPLATE-GAS AVAILABILITY'!P557+O558*'RAP TEMPLATE-GAS AVAILABILITY'!Q557+P558*'RAP TEMPLATE-GAS AVAILABILITY'!R557)/('RAP TEMPLATE-GAS AVAILABILITY'!O557+'RAP TEMPLATE-GAS AVAILABILITY'!P557+'RAP TEMPLATE-GAS AVAILABILITY'!Q557+'RAP TEMPLATE-GAS AVAILABILITY'!R557)</f>
        <v>16.564142446043164</v>
      </c>
    </row>
    <row r="559" spans="1:30" ht="15.75">
      <c r="A559" s="13">
        <v>58287</v>
      </c>
      <c r="B559" s="10">
        <f>CHOOSE(CONTROL!$C$42, 16.4273, 16.4273) * CHOOSE(CONTROL!$C$21, $C$9, 100%, $E$9)</f>
        <v>16.427299999999999</v>
      </c>
      <c r="C559" s="10">
        <f>CHOOSE(CONTROL!$C$42, 16.4353, 16.4353) * CHOOSE(CONTROL!$C$21, $C$9, 100%, $E$9)</f>
        <v>16.435300000000002</v>
      </c>
      <c r="D559" s="10">
        <f>CHOOSE(CONTROL!$C$42, 16.5923, 16.5923) * CHOOSE(CONTROL!$C$21, $C$9, 100%, $E$9)</f>
        <v>16.592300000000002</v>
      </c>
      <c r="E559" s="10">
        <f>CHOOSE(CONTROL!$C$42, 16.6235, 16.6235) * CHOOSE(CONTROL!$C$21, $C$9, 100%, $E$9)</f>
        <v>16.6235</v>
      </c>
      <c r="F559" s="10">
        <f>CHOOSE(CONTROL!$C$42, 16.3719, 16.3719)*CHOOSE(CONTROL!$C$21, $C$9, 100%, $E$9)</f>
        <v>16.3719</v>
      </c>
      <c r="G559" s="10">
        <f>CHOOSE(CONTROL!$C$42, 16.3882, 16.3882)*CHOOSE(CONTROL!$C$21, $C$9, 100%, $E$9)</f>
        <v>16.388200000000001</v>
      </c>
      <c r="H559" s="10">
        <f>CHOOSE(CONTROL!$C$42, 16.6118, 16.6118) * CHOOSE(CONTROL!$C$21, $C$9, 100%, $E$9)</f>
        <v>16.611799999999999</v>
      </c>
      <c r="I559" s="10">
        <f>CHOOSE(CONTROL!$C$42, 16.406, 16.406)* CHOOSE(CONTROL!$C$21, $C$9, 100%, $E$9)</f>
        <v>16.405999999999999</v>
      </c>
      <c r="J559" s="10">
        <f>CHOOSE(CONTROL!$C$42, 16.3645, 16.3645)* CHOOSE(CONTROL!$C$21, $C$9, 100%, $E$9)</f>
        <v>16.3645</v>
      </c>
      <c r="K559" s="10">
        <f>CHOOSE(CONTROL!$C$42, 16.0542, 16.0542) * CHOOSE(CONTROL!$C$21, $C$9, 100%, $E$9)</f>
        <v>16.054200000000002</v>
      </c>
      <c r="L559" s="10">
        <f>CHOOSE(CONTROL!$C$42, 17.1988, 17.1988) * CHOOSE(CONTROL!$C$21, $C$9, 100%, $E$9)</f>
        <v>17.198799999999999</v>
      </c>
      <c r="M559" s="10">
        <f>CHOOSE(CONTROL!$C$42, 16.1692, 16.1692) * CHOOSE(CONTROL!$C$21, $C$9, 100%, $E$9)</f>
        <v>16.1692</v>
      </c>
      <c r="N559" s="10">
        <f>CHOOSE(CONTROL!$C$42, 16.1853, 16.1853) * CHOOSE(CONTROL!$C$21, $C$9, 100%, $E$9)</f>
        <v>16.185300000000002</v>
      </c>
      <c r="O559" s="10">
        <f>CHOOSE(CONTROL!$C$42, 16.4131, 16.4131) * CHOOSE(CONTROL!$C$21, $C$9, 100%, $E$9)</f>
        <v>16.4131</v>
      </c>
      <c r="P559" s="10">
        <f>CHOOSE(CONTROL!$C$42, 16.2102, 16.2102) * CHOOSE(CONTROL!$C$21, $C$9, 100%, $E$9)</f>
        <v>16.2102</v>
      </c>
      <c r="Q559" s="10">
        <f>CHOOSE(CONTROL!$C$42, 17.0084, 17.0084) * CHOOSE(CONTROL!$C$21, $C$9, 100%, $E$9)</f>
        <v>17.008400000000002</v>
      </c>
      <c r="R559" s="10">
        <f>CHOOSE(CONTROL!$C$42, 17.6379, 17.6379) * CHOOSE(CONTROL!$C$21, $C$9, 100%, $E$9)</f>
        <v>17.637899999999998</v>
      </c>
      <c r="S559" s="10">
        <f>CHOOSE(CONTROL!$C$42, 15.9211, 15.9211) * CHOOSE(CONTROL!$C$21, $C$9, 100%, $E$9)</f>
        <v>15.921099999999999</v>
      </c>
      <c r="T55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59" s="38">
        <f>(1000*CHOOSE(CONTROL!$C$42, 695, 695)*CHOOSE(CONTROL!$C$42, 0.5599, 0.5599)*CHOOSE(CONTROL!$C$42, 31, 31))/1000000</f>
        <v>12.063045499999998</v>
      </c>
      <c r="V559" s="38">
        <f>(1000*CHOOSE(CONTROL!$C$42, 500, 500)*CHOOSE(CONTROL!$C$42, 0.275, 0.275)*CHOOSE(CONTROL!$C$42, 31, 31))/1000000</f>
        <v>4.2625000000000002</v>
      </c>
      <c r="W559" s="38">
        <f>(1000*CHOOSE(CONTROL!$C$42, 0.1146, 0.1146)*CHOOSE(CONTROL!$C$42, 121.5, 121.5)*CHOOSE(CONTROL!$C$42, 31, 31))/1000000</f>
        <v>0.43164089999999994</v>
      </c>
      <c r="X559" s="38">
        <f>(31*0.1790888*245000/1000000)+(31*0.2374*100000/1000000)</f>
        <v>2.0961194359999999</v>
      </c>
      <c r="Y559" s="38">
        <f>(1000*600*CHOOSE(CONTROL!$C$42, 1.0585, 1.0585)*CHOOSE(CONTROL!$C$42, 31, 31))/1000000</f>
        <v>19.688099999999999</v>
      </c>
      <c r="Z559" s="38"/>
      <c r="AA559" s="10"/>
      <c r="AB559" s="39"/>
      <c r="AC559" s="33">
        <f>(B559*194.205+C559*267.466+D559*133.845+E559*53.484+F559*40+G559*185+H559*0+I559*100+J559*300)/(194.205+267.466+133.845+53.484+0+40+185+100+300)</f>
        <v>16.430673794191527</v>
      </c>
      <c r="AD559" s="27">
        <f>(M559*'RAP TEMPLATE-GAS AVAILABILITY'!O558+N559*'RAP TEMPLATE-GAS AVAILABILITY'!P558+O559*'RAP TEMPLATE-GAS AVAILABILITY'!Q558+P559*'RAP TEMPLATE-GAS AVAILABILITY'!R558)/('RAP TEMPLATE-GAS AVAILABILITY'!O558+'RAP TEMPLATE-GAS AVAILABILITY'!P558+'RAP TEMPLATE-GAS AVAILABILITY'!Q558+'RAP TEMPLATE-GAS AVAILABILITY'!R558)</f>
        <v>16.247238129496402</v>
      </c>
    </row>
    <row r="560" spans="1:30" ht="15.75">
      <c r="A560" s="13">
        <v>58318</v>
      </c>
      <c r="B560" s="10">
        <f>CHOOSE(CONTROL!$C$42, 15.6152, 15.6152) * CHOOSE(CONTROL!$C$21, $C$9, 100%, $E$9)</f>
        <v>15.6152</v>
      </c>
      <c r="C560" s="10">
        <f>CHOOSE(CONTROL!$C$42, 15.6231, 15.6231) * CHOOSE(CONTROL!$C$21, $C$9, 100%, $E$9)</f>
        <v>15.623100000000001</v>
      </c>
      <c r="D560" s="10">
        <f>CHOOSE(CONTROL!$C$42, 15.7802, 15.7802) * CHOOSE(CONTROL!$C$21, $C$9, 100%, $E$9)</f>
        <v>15.780200000000001</v>
      </c>
      <c r="E560" s="10">
        <f>CHOOSE(CONTROL!$C$42, 15.8114, 15.8114) * CHOOSE(CONTROL!$C$21, $C$9, 100%, $E$9)</f>
        <v>15.811400000000001</v>
      </c>
      <c r="F560" s="10">
        <f>CHOOSE(CONTROL!$C$42, 15.5597, 15.5597)*CHOOSE(CONTROL!$C$21, $C$9, 100%, $E$9)</f>
        <v>15.559699999999999</v>
      </c>
      <c r="G560" s="10">
        <f>CHOOSE(CONTROL!$C$42, 15.576, 15.576)*CHOOSE(CONTROL!$C$21, $C$9, 100%, $E$9)</f>
        <v>15.576000000000001</v>
      </c>
      <c r="H560" s="10">
        <f>CHOOSE(CONTROL!$C$42, 15.7997, 15.7997) * CHOOSE(CONTROL!$C$21, $C$9, 100%, $E$9)</f>
        <v>15.7997</v>
      </c>
      <c r="I560" s="10">
        <f>CHOOSE(CONTROL!$C$42, 15.5939, 15.5939)* CHOOSE(CONTROL!$C$21, $C$9, 100%, $E$9)</f>
        <v>15.5939</v>
      </c>
      <c r="J560" s="10">
        <f>CHOOSE(CONTROL!$C$42, 15.5523, 15.5523)* CHOOSE(CONTROL!$C$21, $C$9, 100%, $E$9)</f>
        <v>15.552300000000001</v>
      </c>
      <c r="K560" s="10">
        <f>CHOOSE(CONTROL!$C$42, 15.2673, 15.2673) * CHOOSE(CONTROL!$C$21, $C$9, 100%, $E$9)</f>
        <v>15.267300000000001</v>
      </c>
      <c r="L560" s="10">
        <f>CHOOSE(CONTROL!$C$42, 16.3867, 16.3867) * CHOOSE(CONTROL!$C$21, $C$9, 100%, $E$9)</f>
        <v>16.386700000000001</v>
      </c>
      <c r="M560" s="10">
        <f>CHOOSE(CONTROL!$C$42, 15.3684, 15.3684) * CHOOSE(CONTROL!$C$21, $C$9, 100%, $E$9)</f>
        <v>15.368399999999999</v>
      </c>
      <c r="N560" s="10">
        <f>CHOOSE(CONTROL!$C$42, 15.3844, 15.3844) * CHOOSE(CONTROL!$C$21, $C$9, 100%, $E$9)</f>
        <v>15.384399999999999</v>
      </c>
      <c r="O560" s="10">
        <f>CHOOSE(CONTROL!$C$42, 15.6123, 15.6123) * CHOOSE(CONTROL!$C$21, $C$9, 100%, $E$9)</f>
        <v>15.612299999999999</v>
      </c>
      <c r="P560" s="10">
        <f>CHOOSE(CONTROL!$C$42, 15.4095, 15.4095) * CHOOSE(CONTROL!$C$21, $C$9, 100%, $E$9)</f>
        <v>15.4095</v>
      </c>
      <c r="Q560" s="10">
        <f>CHOOSE(CONTROL!$C$42, 16.2076, 16.2076) * CHOOSE(CONTROL!$C$21, $C$9, 100%, $E$9)</f>
        <v>16.207599999999999</v>
      </c>
      <c r="R560" s="10">
        <f>CHOOSE(CONTROL!$C$42, 16.8352, 16.8352) * CHOOSE(CONTROL!$C$21, $C$9, 100%, $E$9)</f>
        <v>16.8352</v>
      </c>
      <c r="S560" s="10">
        <f>CHOOSE(CONTROL!$C$42, 15.1347, 15.1347) * CHOOSE(CONTROL!$C$21, $C$9, 100%, $E$9)</f>
        <v>15.1347</v>
      </c>
      <c r="T56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60" s="38">
        <f>(1000*CHOOSE(CONTROL!$C$42, 695, 695)*CHOOSE(CONTROL!$C$42, 0.5599, 0.5599)*CHOOSE(CONTROL!$C$42, 31, 31))/1000000</f>
        <v>12.063045499999998</v>
      </c>
      <c r="V560" s="38">
        <f>(1000*CHOOSE(CONTROL!$C$42, 500, 500)*CHOOSE(CONTROL!$C$42, 0.275, 0.275)*CHOOSE(CONTROL!$C$42, 31, 31))/1000000</f>
        <v>4.2625000000000002</v>
      </c>
      <c r="W560" s="38">
        <f>(1000*CHOOSE(CONTROL!$C$42, 0.1146, 0.1146)*CHOOSE(CONTROL!$C$42, 121.5, 121.5)*CHOOSE(CONTROL!$C$42, 31, 31))/1000000</f>
        <v>0.43164089999999994</v>
      </c>
      <c r="X560" s="38">
        <f>(31*0.1790888*245000/1000000)+(31*0.2374*100000/1000000)</f>
        <v>2.0961194359999999</v>
      </c>
      <c r="Y560" s="38">
        <f>(1000*600*CHOOSE(CONTROL!$C$42, 1.0585, 1.0585)*CHOOSE(CONTROL!$C$42, 31, 31))/1000000</f>
        <v>19.688099999999999</v>
      </c>
      <c r="Z560" s="38"/>
      <c r="AA560" s="10"/>
      <c r="AB560" s="39"/>
      <c r="AC560" s="33">
        <f>(B560*194.205+C560*267.466+D560*133.845+E560*53.484+F560*40+G560*185+H560*0+I560*100+J560*300)/(194.205+267.466+133.845+53.484+0+40+185+100+300)</f>
        <v>15.61851159120879</v>
      </c>
      <c r="AD560" s="27">
        <f>(M560*'RAP TEMPLATE-GAS AVAILABILITY'!O559+N560*'RAP TEMPLATE-GAS AVAILABILITY'!P559+O560*'RAP TEMPLATE-GAS AVAILABILITY'!Q559+P560*'RAP TEMPLATE-GAS AVAILABILITY'!R559)/('RAP TEMPLATE-GAS AVAILABILITY'!O559+'RAP TEMPLATE-GAS AVAILABILITY'!P559+'RAP TEMPLATE-GAS AVAILABILITY'!Q559+'RAP TEMPLATE-GAS AVAILABILITY'!R559)</f>
        <v>15.446429496402878</v>
      </c>
    </row>
    <row r="561" spans="1:30" ht="15.75">
      <c r="A561" s="13">
        <v>58348</v>
      </c>
      <c r="B561" s="10">
        <f>CHOOSE(CONTROL!$C$42, 14.6229, 14.6229) * CHOOSE(CONTROL!$C$21, $C$9, 100%, $E$9)</f>
        <v>14.6229</v>
      </c>
      <c r="C561" s="10">
        <f>CHOOSE(CONTROL!$C$42, 14.6309, 14.6309) * CHOOSE(CONTROL!$C$21, $C$9, 100%, $E$9)</f>
        <v>14.6309</v>
      </c>
      <c r="D561" s="10">
        <f>CHOOSE(CONTROL!$C$42, 14.788, 14.788) * CHOOSE(CONTROL!$C$21, $C$9, 100%, $E$9)</f>
        <v>14.788</v>
      </c>
      <c r="E561" s="10">
        <f>CHOOSE(CONTROL!$C$42, 14.8192, 14.8192) * CHOOSE(CONTROL!$C$21, $C$9, 100%, $E$9)</f>
        <v>14.8192</v>
      </c>
      <c r="F561" s="10">
        <f>CHOOSE(CONTROL!$C$42, 14.5673, 14.5673)*CHOOSE(CONTROL!$C$21, $C$9, 100%, $E$9)</f>
        <v>14.567299999999999</v>
      </c>
      <c r="G561" s="10">
        <f>CHOOSE(CONTROL!$C$42, 14.5835, 14.5835)*CHOOSE(CONTROL!$C$21, $C$9, 100%, $E$9)</f>
        <v>14.583500000000001</v>
      </c>
      <c r="H561" s="10">
        <f>CHOOSE(CONTROL!$C$42, 14.8075, 14.8075) * CHOOSE(CONTROL!$C$21, $C$9, 100%, $E$9)</f>
        <v>14.807499999999999</v>
      </c>
      <c r="I561" s="10">
        <f>CHOOSE(CONTROL!$C$42, 14.6017, 14.6017)* CHOOSE(CONTROL!$C$21, $C$9, 100%, $E$9)</f>
        <v>14.601699999999999</v>
      </c>
      <c r="J561" s="10">
        <f>CHOOSE(CONTROL!$C$42, 14.5599, 14.5599)* CHOOSE(CONTROL!$C$21, $C$9, 100%, $E$9)</f>
        <v>14.559900000000001</v>
      </c>
      <c r="K561" s="10">
        <f>CHOOSE(CONTROL!$C$42, 14.3056, 14.3056) * CHOOSE(CONTROL!$C$21, $C$9, 100%, $E$9)</f>
        <v>14.3056</v>
      </c>
      <c r="L561" s="10">
        <f>CHOOSE(CONTROL!$C$42, 15.3945, 15.3945) * CHOOSE(CONTROL!$C$21, $C$9, 100%, $E$9)</f>
        <v>15.394500000000001</v>
      </c>
      <c r="M561" s="10">
        <f>CHOOSE(CONTROL!$C$42, 14.3898, 14.3898) * CHOOSE(CONTROL!$C$21, $C$9, 100%, $E$9)</f>
        <v>14.389799999999999</v>
      </c>
      <c r="N561" s="10">
        <f>CHOOSE(CONTROL!$C$42, 14.4057, 14.4057) * CHOOSE(CONTROL!$C$21, $C$9, 100%, $E$9)</f>
        <v>14.4057</v>
      </c>
      <c r="O561" s="10">
        <f>CHOOSE(CONTROL!$C$42, 14.634, 14.634) * CHOOSE(CONTROL!$C$21, $C$9, 100%, $E$9)</f>
        <v>14.634</v>
      </c>
      <c r="P561" s="10">
        <f>CHOOSE(CONTROL!$C$42, 14.4311, 14.4311) * CHOOSE(CONTROL!$C$21, $C$9, 100%, $E$9)</f>
        <v>14.431100000000001</v>
      </c>
      <c r="Q561" s="10">
        <f>CHOOSE(CONTROL!$C$42, 15.2293, 15.2293) * CHOOSE(CONTROL!$C$21, $C$9, 100%, $E$9)</f>
        <v>15.2293</v>
      </c>
      <c r="R561" s="10">
        <f>CHOOSE(CONTROL!$C$42, 15.8543, 15.8543) * CHOOSE(CONTROL!$C$21, $C$9, 100%, $E$9)</f>
        <v>15.8543</v>
      </c>
      <c r="S561" s="10">
        <f>CHOOSE(CONTROL!$C$42, 14.174, 14.174) * CHOOSE(CONTROL!$C$21, $C$9, 100%, $E$9)</f>
        <v>14.173999999999999</v>
      </c>
      <c r="T56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61" s="38">
        <f>(1000*CHOOSE(CONTROL!$C$42, 695, 695)*CHOOSE(CONTROL!$C$42, 0.5599, 0.5599)*CHOOSE(CONTROL!$C$42, 30, 30))/1000000</f>
        <v>11.673914999999997</v>
      </c>
      <c r="V561" s="38">
        <f>(1000*CHOOSE(CONTROL!$C$42, 500, 500)*CHOOSE(CONTROL!$C$42, 0.275, 0.275)*CHOOSE(CONTROL!$C$42, 30, 30))/1000000</f>
        <v>4.125</v>
      </c>
      <c r="W561" s="38">
        <f>(1000*CHOOSE(CONTROL!$C$42, 0.1146, 0.1146)*CHOOSE(CONTROL!$C$42, 121.5, 121.5)*CHOOSE(CONTROL!$C$42, 30, 30))/1000000</f>
        <v>0.417717</v>
      </c>
      <c r="X561" s="38">
        <f>(30*0.1790888*245000/1000000)+(30*0.2374*100000/1000000)</f>
        <v>2.0285026799999999</v>
      </c>
      <c r="Y561" s="38">
        <f>(1000*600*CHOOSE(CONTROL!$C$42, 1.0585, 1.0585)*CHOOSE(CONTROL!$C$42, 30, 30))/1000000</f>
        <v>19.053000000000001</v>
      </c>
      <c r="Z561" s="38"/>
      <c r="AA561" s="10"/>
      <c r="AB561" s="39"/>
      <c r="AC561" s="33">
        <f>(B561*194.205+C561*267.466+D561*133.845+E561*53.484+F561*40+G561*185+H561*0+I561*100+J561*300)/(194.205+267.466+133.845+53.484+0+40+185+100+300)</f>
        <v>14.626199408712717</v>
      </c>
      <c r="AD561" s="27">
        <f>(M561*'RAP TEMPLATE-GAS AVAILABILITY'!O560+N561*'RAP TEMPLATE-GAS AVAILABILITY'!P560+O561*'RAP TEMPLATE-GAS AVAILABILITY'!Q560+P561*'RAP TEMPLATE-GAS AVAILABILITY'!R560)/('RAP TEMPLATE-GAS AVAILABILITY'!O560+'RAP TEMPLATE-GAS AVAILABILITY'!P560+'RAP TEMPLATE-GAS AVAILABILITY'!Q560+'RAP TEMPLATE-GAS AVAILABILITY'!R560)</f>
        <v>14.467919424460433</v>
      </c>
    </row>
    <row r="562" spans="1:30" ht="15.75">
      <c r="A562" s="13">
        <v>58379</v>
      </c>
      <c r="B562" s="10">
        <f>CHOOSE(CONTROL!$C$42, 14.3236, 14.3236) * CHOOSE(CONTROL!$C$21, $C$9, 100%, $E$9)</f>
        <v>14.323600000000001</v>
      </c>
      <c r="C562" s="10">
        <f>CHOOSE(CONTROL!$C$42, 14.3289, 14.3289) * CHOOSE(CONTROL!$C$21, $C$9, 100%, $E$9)</f>
        <v>14.328900000000001</v>
      </c>
      <c r="D562" s="10">
        <f>CHOOSE(CONTROL!$C$42, 14.4908, 14.4908) * CHOOSE(CONTROL!$C$21, $C$9, 100%, $E$9)</f>
        <v>14.4908</v>
      </c>
      <c r="E562" s="10">
        <f>CHOOSE(CONTROL!$C$42, 14.5197, 14.5197) * CHOOSE(CONTROL!$C$21, $C$9, 100%, $E$9)</f>
        <v>14.5197</v>
      </c>
      <c r="F562" s="10">
        <f>CHOOSE(CONTROL!$C$42, 14.2699, 14.2699)*CHOOSE(CONTROL!$C$21, $C$9, 100%, $E$9)</f>
        <v>14.2699</v>
      </c>
      <c r="G562" s="10">
        <f>CHOOSE(CONTROL!$C$42, 14.2858, 14.2858)*CHOOSE(CONTROL!$C$21, $C$9, 100%, $E$9)</f>
        <v>14.2858</v>
      </c>
      <c r="H562" s="10">
        <f>CHOOSE(CONTROL!$C$42, 14.5099, 14.5099) * CHOOSE(CONTROL!$C$21, $C$9, 100%, $E$9)</f>
        <v>14.5099</v>
      </c>
      <c r="I562" s="10">
        <f>CHOOSE(CONTROL!$C$42, 14.3041, 14.3041)* CHOOSE(CONTROL!$C$21, $C$9, 100%, $E$9)</f>
        <v>14.3041</v>
      </c>
      <c r="J562" s="10">
        <f>CHOOSE(CONTROL!$C$42, 14.2625, 14.2625)* CHOOSE(CONTROL!$C$21, $C$9, 100%, $E$9)</f>
        <v>14.262499999999999</v>
      </c>
      <c r="K562" s="10">
        <f>CHOOSE(CONTROL!$C$42, 14.0179, 14.0179) * CHOOSE(CONTROL!$C$21, $C$9, 100%, $E$9)</f>
        <v>14.017899999999999</v>
      </c>
      <c r="L562" s="10">
        <f>CHOOSE(CONTROL!$C$42, 15.0969, 15.0969) * CHOOSE(CONTROL!$C$21, $C$9, 100%, $E$9)</f>
        <v>15.0969</v>
      </c>
      <c r="M562" s="10">
        <f>CHOOSE(CONTROL!$C$42, 14.0966, 14.0966) * CHOOSE(CONTROL!$C$21, $C$9, 100%, $E$9)</f>
        <v>14.0966</v>
      </c>
      <c r="N562" s="10">
        <f>CHOOSE(CONTROL!$C$42, 14.1122, 14.1122) * CHOOSE(CONTROL!$C$21, $C$9, 100%, $E$9)</f>
        <v>14.1122</v>
      </c>
      <c r="O562" s="10">
        <f>CHOOSE(CONTROL!$C$42, 14.3405, 14.3405) * CHOOSE(CONTROL!$C$21, $C$9, 100%, $E$9)</f>
        <v>14.3405</v>
      </c>
      <c r="P562" s="10">
        <f>CHOOSE(CONTROL!$C$42, 14.1376, 14.1376) * CHOOSE(CONTROL!$C$21, $C$9, 100%, $E$9)</f>
        <v>14.137600000000001</v>
      </c>
      <c r="Q562" s="10">
        <f>CHOOSE(CONTROL!$C$42, 14.9358, 14.9358) * CHOOSE(CONTROL!$C$21, $C$9, 100%, $E$9)</f>
        <v>14.9358</v>
      </c>
      <c r="R562" s="10">
        <f>CHOOSE(CONTROL!$C$42, 15.5601, 15.5601) * CHOOSE(CONTROL!$C$21, $C$9, 100%, $E$9)</f>
        <v>15.5601</v>
      </c>
      <c r="S562" s="10">
        <f>CHOOSE(CONTROL!$C$42, 13.8858, 13.8858) * CHOOSE(CONTROL!$C$21, $C$9, 100%, $E$9)</f>
        <v>13.8858</v>
      </c>
      <c r="T56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62" s="38">
        <f>(1000*CHOOSE(CONTROL!$C$42, 695, 695)*CHOOSE(CONTROL!$C$42, 0.5599, 0.5599)*CHOOSE(CONTROL!$C$42, 31, 31))/1000000</f>
        <v>12.063045499999998</v>
      </c>
      <c r="V562" s="38">
        <f>(1000*CHOOSE(CONTROL!$C$42, 500, 500)*CHOOSE(CONTROL!$C$42, 0.275, 0.275)*CHOOSE(CONTROL!$C$42, 31, 31))/1000000</f>
        <v>4.2625000000000002</v>
      </c>
      <c r="W562" s="38">
        <f>(1000*CHOOSE(CONTROL!$C$42, 0.1146, 0.1146)*CHOOSE(CONTROL!$C$42, 121.5, 121.5)*CHOOSE(CONTROL!$C$42, 31, 31))/1000000</f>
        <v>0.43164089999999994</v>
      </c>
      <c r="X562" s="38">
        <f>(31*0.1790888*245000/1000000)+(31*0.2374*100000/1000000)</f>
        <v>2.0961194359999999</v>
      </c>
      <c r="Y562" s="38">
        <f>(1000*600*CHOOSE(CONTROL!$C$42, 1.0585, 1.0585)*CHOOSE(CONTROL!$C$42, 31, 31))/1000000</f>
        <v>19.688099999999999</v>
      </c>
      <c r="Z562" s="38"/>
      <c r="AA562" s="10"/>
      <c r="AB562" s="39"/>
      <c r="AC562" s="33">
        <f>(B562*131.881+C562*277.167+D562*79.08+E562*125.872+F562*40+G562*185+H562*0+I562*100+J562*300)/(131.881+277.167+79.08+125.872+0+40+185+100+300)</f>
        <v>14.331633624132365</v>
      </c>
      <c r="AD562" s="27">
        <f>(M562*'RAP TEMPLATE-GAS AVAILABILITY'!O561+N562*'RAP TEMPLATE-GAS AVAILABILITY'!P561+O562*'RAP TEMPLATE-GAS AVAILABILITY'!Q561+P562*'RAP TEMPLATE-GAS AVAILABILITY'!R561)/('RAP TEMPLATE-GAS AVAILABILITY'!O561+'RAP TEMPLATE-GAS AVAILABILITY'!P561+'RAP TEMPLATE-GAS AVAILABILITY'!Q561+'RAP TEMPLATE-GAS AVAILABILITY'!R561)</f>
        <v>14.174523021582736</v>
      </c>
    </row>
    <row r="563" spans="1:30" ht="15.75">
      <c r="A563" s="13">
        <v>58409</v>
      </c>
      <c r="B563" s="10">
        <f>CHOOSE(CONTROL!$C$42, 14.7009, 14.7009) * CHOOSE(CONTROL!$C$21, $C$9, 100%, $E$9)</f>
        <v>14.700900000000001</v>
      </c>
      <c r="C563" s="10">
        <f>CHOOSE(CONTROL!$C$42, 14.706, 14.706) * CHOOSE(CONTROL!$C$21, $C$9, 100%, $E$9)</f>
        <v>14.706</v>
      </c>
      <c r="D563" s="10">
        <f>CHOOSE(CONTROL!$C$42, 14.7307, 14.7307) * CHOOSE(CONTROL!$C$21, $C$9, 100%, $E$9)</f>
        <v>14.730700000000001</v>
      </c>
      <c r="E563" s="10">
        <f>CHOOSE(CONTROL!$C$42, 14.7645, 14.7645) * CHOOSE(CONTROL!$C$21, $C$9, 100%, $E$9)</f>
        <v>14.7645</v>
      </c>
      <c r="F563" s="10">
        <f>CHOOSE(CONTROL!$C$42, 14.6692, 14.6692)*CHOOSE(CONTROL!$C$21, $C$9, 100%, $E$9)</f>
        <v>14.6692</v>
      </c>
      <c r="G563" s="10">
        <f>CHOOSE(CONTROL!$C$42, 14.6852, 14.6852)*CHOOSE(CONTROL!$C$21, $C$9, 100%, $E$9)</f>
        <v>14.6852</v>
      </c>
      <c r="H563" s="10">
        <f>CHOOSE(CONTROL!$C$42, 14.7534, 14.7534) * CHOOSE(CONTROL!$C$21, $C$9, 100%, $E$9)</f>
        <v>14.753399999999999</v>
      </c>
      <c r="I563" s="10">
        <f>CHOOSE(CONTROL!$C$42, 14.7159, 14.7159)* CHOOSE(CONTROL!$C$21, $C$9, 100%, $E$9)</f>
        <v>14.7159</v>
      </c>
      <c r="J563" s="10">
        <f>CHOOSE(CONTROL!$C$42, 14.6618, 14.6618)* CHOOSE(CONTROL!$C$21, $C$9, 100%, $E$9)</f>
        <v>14.661799999999999</v>
      </c>
      <c r="K563" s="10">
        <f>CHOOSE(CONTROL!$C$42, 14.4191, 14.4191) * CHOOSE(CONTROL!$C$21, $C$9, 100%, $E$9)</f>
        <v>14.4191</v>
      </c>
      <c r="L563" s="10">
        <f>CHOOSE(CONTROL!$C$42, 15.3404, 15.3404) * CHOOSE(CONTROL!$C$21, $C$9, 100%, $E$9)</f>
        <v>15.340400000000001</v>
      </c>
      <c r="M563" s="10">
        <f>CHOOSE(CONTROL!$C$42, 14.4903, 14.4903) * CHOOSE(CONTROL!$C$21, $C$9, 100%, $E$9)</f>
        <v>14.4903</v>
      </c>
      <c r="N563" s="10">
        <f>CHOOSE(CONTROL!$C$42, 14.5061, 14.5061) * CHOOSE(CONTROL!$C$21, $C$9, 100%, $E$9)</f>
        <v>14.5061</v>
      </c>
      <c r="O563" s="10">
        <f>CHOOSE(CONTROL!$C$42, 14.5806, 14.5806) * CHOOSE(CONTROL!$C$21, $C$9, 100%, $E$9)</f>
        <v>14.5806</v>
      </c>
      <c r="P563" s="10">
        <f>CHOOSE(CONTROL!$C$42, 14.5437, 14.5437) * CHOOSE(CONTROL!$C$21, $C$9, 100%, $E$9)</f>
        <v>14.543699999999999</v>
      </c>
      <c r="Q563" s="10">
        <f>CHOOSE(CONTROL!$C$42, 15.1759, 15.1759) * CHOOSE(CONTROL!$C$21, $C$9, 100%, $E$9)</f>
        <v>15.1759</v>
      </c>
      <c r="R563" s="10">
        <f>CHOOSE(CONTROL!$C$42, 15.8008, 15.8008) * CHOOSE(CONTROL!$C$21, $C$9, 100%, $E$9)</f>
        <v>15.800800000000001</v>
      </c>
      <c r="S563" s="10">
        <f>CHOOSE(CONTROL!$C$42, 14.2516, 14.2516) * CHOOSE(CONTROL!$C$21, $C$9, 100%, $E$9)</f>
        <v>14.2516</v>
      </c>
      <c r="T56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63" s="38">
        <f>(1000*CHOOSE(CONTROL!$C$42, 695, 695)*CHOOSE(CONTROL!$C$42, 0.5599, 0.5599)*CHOOSE(CONTROL!$C$42, 30, 30))/1000000</f>
        <v>11.673914999999997</v>
      </c>
      <c r="V563" s="38">
        <f>(1000*CHOOSE(CONTROL!$C$42, 500, 500)*CHOOSE(CONTROL!$C$42, 0.275, 0.275)*CHOOSE(CONTROL!$C$42, 30, 30))/1000000</f>
        <v>4.125</v>
      </c>
      <c r="W563" s="38">
        <f>(1000*CHOOSE(CONTROL!$C$42, 0.1146, 0.1146)*CHOOSE(CONTROL!$C$42, 121.5, 121.5)*CHOOSE(CONTROL!$C$42, 30, 30))/1000000</f>
        <v>0.417717</v>
      </c>
      <c r="X563" s="38">
        <f>(30*0.1790888*100000/1000000)+(30*0.2374*100000/1000000)</f>
        <v>1.2494664</v>
      </c>
      <c r="Y563" s="38">
        <f>(1000*600*CHOOSE(CONTROL!$C$42, 1.0585, 1.0585)*CHOOSE(CONTROL!$C$42, 30, 30))/1000000</f>
        <v>19.053000000000001</v>
      </c>
      <c r="Z563" s="38"/>
      <c r="AA563" s="10"/>
      <c r="AB563" s="39"/>
      <c r="AC563" s="33">
        <f>(B563*122.58+C563*297.941+D563*89.177+E563*40.302+F563*40+G563*160+H563*0+I563*100+J563*300)/(122.58+297.941+89.177+40.302+0+40+160+100+300)</f>
        <v>14.694578418173911</v>
      </c>
      <c r="AD563" s="27">
        <f>(M563*'RAP TEMPLATE-GAS AVAILABILITY'!O562+N563*'RAP TEMPLATE-GAS AVAILABILITY'!P562+O563*'RAP TEMPLATE-GAS AVAILABILITY'!Q562+P563*'RAP TEMPLATE-GAS AVAILABILITY'!R562)/('RAP TEMPLATE-GAS AVAILABILITY'!O562+'RAP TEMPLATE-GAS AVAILABILITY'!P562+'RAP TEMPLATE-GAS AVAILABILITY'!Q562+'RAP TEMPLATE-GAS AVAILABILITY'!R562)</f>
        <v>14.53982014388489</v>
      </c>
    </row>
    <row r="564" spans="1:30" ht="15.75">
      <c r="A564" s="13">
        <v>58440</v>
      </c>
      <c r="B564" s="10">
        <f>CHOOSE(CONTROL!$C$42, 15.7043, 15.7043) * CHOOSE(CONTROL!$C$21, $C$9, 100%, $E$9)</f>
        <v>15.7043</v>
      </c>
      <c r="C564" s="10">
        <f>CHOOSE(CONTROL!$C$42, 15.7094, 15.7094) * CHOOSE(CONTROL!$C$21, $C$9, 100%, $E$9)</f>
        <v>15.7094</v>
      </c>
      <c r="D564" s="10">
        <f>CHOOSE(CONTROL!$C$42, 15.7341, 15.7341) * CHOOSE(CONTROL!$C$21, $C$9, 100%, $E$9)</f>
        <v>15.7341</v>
      </c>
      <c r="E564" s="10">
        <f>CHOOSE(CONTROL!$C$42, 15.7679, 15.7679) * CHOOSE(CONTROL!$C$21, $C$9, 100%, $E$9)</f>
        <v>15.767899999999999</v>
      </c>
      <c r="F564" s="10">
        <f>CHOOSE(CONTROL!$C$42, 15.6746, 15.6746)*CHOOSE(CONTROL!$C$21, $C$9, 100%, $E$9)</f>
        <v>15.6746</v>
      </c>
      <c r="G564" s="10">
        <f>CHOOSE(CONTROL!$C$42, 15.6911, 15.6911)*CHOOSE(CONTROL!$C$21, $C$9, 100%, $E$9)</f>
        <v>15.6911</v>
      </c>
      <c r="H564" s="10">
        <f>CHOOSE(CONTROL!$C$42, 15.7568, 15.7568) * CHOOSE(CONTROL!$C$21, $C$9, 100%, $E$9)</f>
        <v>15.7568</v>
      </c>
      <c r="I564" s="10">
        <f>CHOOSE(CONTROL!$C$42, 15.7193, 15.7193)* CHOOSE(CONTROL!$C$21, $C$9, 100%, $E$9)</f>
        <v>15.7193</v>
      </c>
      <c r="J564" s="10">
        <f>CHOOSE(CONTROL!$C$42, 15.6672, 15.6672)* CHOOSE(CONTROL!$C$21, $C$9, 100%, $E$9)</f>
        <v>15.667199999999999</v>
      </c>
      <c r="K564" s="10">
        <f>CHOOSE(CONTROL!$C$42, 15.3953, 15.3953) * CHOOSE(CONTROL!$C$21, $C$9, 100%, $E$9)</f>
        <v>15.395300000000001</v>
      </c>
      <c r="L564" s="10">
        <f>CHOOSE(CONTROL!$C$42, 16.3438, 16.3438) * CHOOSE(CONTROL!$C$21, $C$9, 100%, $E$9)</f>
        <v>16.343800000000002</v>
      </c>
      <c r="M564" s="10">
        <f>CHOOSE(CONTROL!$C$42, 15.4816, 15.4816) * CHOOSE(CONTROL!$C$21, $C$9, 100%, $E$9)</f>
        <v>15.4816</v>
      </c>
      <c r="N564" s="10">
        <f>CHOOSE(CONTROL!$C$42, 15.4979, 15.4979) * CHOOSE(CONTROL!$C$21, $C$9, 100%, $E$9)</f>
        <v>15.4979</v>
      </c>
      <c r="O564" s="10">
        <f>CHOOSE(CONTROL!$C$42, 15.57, 15.57) * CHOOSE(CONTROL!$C$21, $C$9, 100%, $E$9)</f>
        <v>15.57</v>
      </c>
      <c r="P564" s="10">
        <f>CHOOSE(CONTROL!$C$42, 15.5331, 15.5331) * CHOOSE(CONTROL!$C$21, $C$9, 100%, $E$9)</f>
        <v>15.533099999999999</v>
      </c>
      <c r="Q564" s="10">
        <f>CHOOSE(CONTROL!$C$42, 16.1653, 16.1653) * CHOOSE(CONTROL!$C$21, $C$9, 100%, $E$9)</f>
        <v>16.165299999999998</v>
      </c>
      <c r="R564" s="10">
        <f>CHOOSE(CONTROL!$C$42, 16.7927, 16.7927) * CHOOSE(CONTROL!$C$21, $C$9, 100%, $E$9)</f>
        <v>16.7927</v>
      </c>
      <c r="S564" s="10">
        <f>CHOOSE(CONTROL!$C$42, 15.2232, 15.2232) * CHOOSE(CONTROL!$C$21, $C$9, 100%, $E$9)</f>
        <v>15.2232</v>
      </c>
      <c r="T56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64" s="38">
        <f>(1000*CHOOSE(CONTROL!$C$42, 695, 695)*CHOOSE(CONTROL!$C$42, 0.5599, 0.5599)*CHOOSE(CONTROL!$C$42, 31, 31))/1000000</f>
        <v>12.063045499999998</v>
      </c>
      <c r="V564" s="38">
        <f>(1000*CHOOSE(CONTROL!$C$42, 500, 500)*CHOOSE(CONTROL!$C$42, 0.275, 0.275)*CHOOSE(CONTROL!$C$42, 31, 31))/1000000</f>
        <v>4.2625000000000002</v>
      </c>
      <c r="W564" s="38">
        <f>(1000*CHOOSE(CONTROL!$C$42, 0.1146, 0.1146)*CHOOSE(CONTROL!$C$42, 121.5, 121.5)*CHOOSE(CONTROL!$C$42, 31, 31))/1000000</f>
        <v>0.43164089999999994</v>
      </c>
      <c r="X564" s="38">
        <f>(31*0.1790888*100000/1000000)+(31*0.2374*100000/1000000)</f>
        <v>1.2911152800000001</v>
      </c>
      <c r="Y564" s="38">
        <f>(1000*600*CHOOSE(CONTROL!$C$42, 1.0585, 1.0585)*CHOOSE(CONTROL!$C$42, 31, 31))/1000000</f>
        <v>19.688099999999999</v>
      </c>
      <c r="Z564" s="38"/>
      <c r="AA564" s="10"/>
      <c r="AB564" s="39"/>
      <c r="AC564" s="33">
        <f>(B564*122.58+C564*297.941+D564*89.177+E564*40.302+F564*40+G564*160+H564*0+I564*100+J564*300)/(122.58+297.941+89.177+40.302+0+40+160+100+300)</f>
        <v>15.698917548608696</v>
      </c>
      <c r="AD564" s="27">
        <f>(M564*'RAP TEMPLATE-GAS AVAILABILITY'!O563+N564*'RAP TEMPLATE-GAS AVAILABILITY'!P563+O564*'RAP TEMPLATE-GAS AVAILABILITY'!Q563+P564*'RAP TEMPLATE-GAS AVAILABILITY'!R563)/('RAP TEMPLATE-GAS AVAILABILITY'!O563+'RAP TEMPLATE-GAS AVAILABILITY'!P563+'RAP TEMPLATE-GAS AVAILABILITY'!Q563+'RAP TEMPLATE-GAS AVAILABILITY'!R563)</f>
        <v>15.530014388489207</v>
      </c>
    </row>
    <row r="565" spans="1:30" ht="15.75">
      <c r="A565" s="13">
        <v>58471</v>
      </c>
      <c r="B565" s="10">
        <f>CHOOSE(CONTROL!$C$42, 16.7654, 16.7654) * CHOOSE(CONTROL!$C$21, $C$9, 100%, $E$9)</f>
        <v>16.7654</v>
      </c>
      <c r="C565" s="10">
        <f>CHOOSE(CONTROL!$C$42, 16.7705, 16.7705) * CHOOSE(CONTROL!$C$21, $C$9, 100%, $E$9)</f>
        <v>16.770499999999998</v>
      </c>
      <c r="D565" s="10">
        <f>CHOOSE(CONTROL!$C$42, 16.8029, 16.8029) * CHOOSE(CONTROL!$C$21, $C$9, 100%, $E$9)</f>
        <v>16.802900000000001</v>
      </c>
      <c r="E565" s="10">
        <f>CHOOSE(CONTROL!$C$42, 16.8367, 16.8367) * CHOOSE(CONTROL!$C$21, $C$9, 100%, $E$9)</f>
        <v>16.8367</v>
      </c>
      <c r="F565" s="10">
        <f>CHOOSE(CONTROL!$C$42, 16.7496, 16.7496)*CHOOSE(CONTROL!$C$21, $C$9, 100%, $E$9)</f>
        <v>16.749600000000001</v>
      </c>
      <c r="G565" s="10">
        <f>CHOOSE(CONTROL!$C$42, 16.7676, 16.7676)*CHOOSE(CONTROL!$C$21, $C$9, 100%, $E$9)</f>
        <v>16.767600000000002</v>
      </c>
      <c r="H565" s="10">
        <f>CHOOSE(CONTROL!$C$42, 16.8256, 16.8256) * CHOOSE(CONTROL!$C$21, $C$9, 100%, $E$9)</f>
        <v>16.825600000000001</v>
      </c>
      <c r="I565" s="10">
        <f>CHOOSE(CONTROL!$C$42, 16.7788, 16.7788)* CHOOSE(CONTROL!$C$21, $C$9, 100%, $E$9)</f>
        <v>16.7788</v>
      </c>
      <c r="J565" s="10">
        <f>CHOOSE(CONTROL!$C$42, 16.7422, 16.7422)* CHOOSE(CONTROL!$C$21, $C$9, 100%, $E$9)</f>
        <v>16.7422</v>
      </c>
      <c r="K565" s="10">
        <f>CHOOSE(CONTROL!$C$42, 16.4357, 16.4357) * CHOOSE(CONTROL!$C$21, $C$9, 100%, $E$9)</f>
        <v>16.435700000000001</v>
      </c>
      <c r="L565" s="10">
        <f>CHOOSE(CONTROL!$C$42, 17.4126, 17.4126) * CHOOSE(CONTROL!$C$21, $C$9, 100%, $E$9)</f>
        <v>17.412600000000001</v>
      </c>
      <c r="M565" s="10">
        <f>CHOOSE(CONTROL!$C$42, 16.5416, 16.5416) * CHOOSE(CONTROL!$C$21, $C$9, 100%, $E$9)</f>
        <v>16.541599999999999</v>
      </c>
      <c r="N565" s="10">
        <f>CHOOSE(CONTROL!$C$42, 16.5594, 16.5594) * CHOOSE(CONTROL!$C$21, $C$9, 100%, $E$9)</f>
        <v>16.5594</v>
      </c>
      <c r="O565" s="10">
        <f>CHOOSE(CONTROL!$C$42, 16.6239, 16.6239) * CHOOSE(CONTROL!$C$21, $C$9, 100%, $E$9)</f>
        <v>16.623899999999999</v>
      </c>
      <c r="P565" s="10">
        <f>CHOOSE(CONTROL!$C$42, 16.5778, 16.5778) * CHOOSE(CONTROL!$C$21, $C$9, 100%, $E$9)</f>
        <v>16.5778</v>
      </c>
      <c r="Q565" s="10">
        <f>CHOOSE(CONTROL!$C$42, 17.2192, 17.2192) * CHOOSE(CONTROL!$C$21, $C$9, 100%, $E$9)</f>
        <v>17.219200000000001</v>
      </c>
      <c r="R565" s="10">
        <f>CHOOSE(CONTROL!$C$42, 17.8492, 17.8492) * CHOOSE(CONTROL!$C$21, $C$9, 100%, $E$9)</f>
        <v>17.8492</v>
      </c>
      <c r="S565" s="10">
        <f>CHOOSE(CONTROL!$C$42, 16.2506, 16.2506) * CHOOSE(CONTROL!$C$21, $C$9, 100%, $E$9)</f>
        <v>16.250599999999999</v>
      </c>
      <c r="T56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65" s="38">
        <f>(1000*CHOOSE(CONTROL!$C$42, 695, 695)*CHOOSE(CONTROL!$C$42, 0.5599, 0.5599)*CHOOSE(CONTROL!$C$42, 31, 31))/1000000</f>
        <v>12.063045499999998</v>
      </c>
      <c r="V565" s="38">
        <f>(1000*CHOOSE(CONTROL!$C$42, 500, 500)*CHOOSE(CONTROL!$C$42, 0.275, 0.275)*CHOOSE(CONTROL!$C$42, 31, 31))/1000000</f>
        <v>4.2625000000000002</v>
      </c>
      <c r="W565" s="38">
        <f>(1000*CHOOSE(CONTROL!$C$42, 0.1146, 0.1146)*CHOOSE(CONTROL!$C$42, 121.5, 121.5)*CHOOSE(CONTROL!$C$42, 31, 31))/1000000</f>
        <v>0.43164089999999994</v>
      </c>
      <c r="X565" s="38">
        <f>(31*0.1790888*100000/1000000)+(31*0.2374*100000/1000000)</f>
        <v>1.2911152800000001</v>
      </c>
      <c r="Y565" s="38">
        <f>(1000*600*CHOOSE(CONTROL!$C$42, 1.0585, 1.0585)*CHOOSE(CONTROL!$C$42, 31, 31))/1000000</f>
        <v>19.688099999999999</v>
      </c>
      <c r="Z565" s="38"/>
      <c r="AA565" s="10"/>
      <c r="AB565" s="39"/>
      <c r="AC565" s="33">
        <f>(B565*122.58+C565*297.941+D565*89.177+E565*40.302+F565*40+G565*160+H565*0+I565*100+J565*300)/(122.58+297.941+89.177+40.302+0+40+160+100+300)</f>
        <v>16.766997538434783</v>
      </c>
      <c r="AD565" s="27">
        <f>(M565*'RAP TEMPLATE-GAS AVAILABILITY'!O564+N565*'RAP TEMPLATE-GAS AVAILABILITY'!P564+O565*'RAP TEMPLATE-GAS AVAILABILITY'!Q564+P565*'RAP TEMPLATE-GAS AVAILABILITY'!R564)/('RAP TEMPLATE-GAS AVAILABILITY'!O564+'RAP TEMPLATE-GAS AVAILABILITY'!P564+'RAP TEMPLATE-GAS AVAILABILITY'!Q564+'RAP TEMPLATE-GAS AVAILABILITY'!R564)</f>
        <v>16.585134532374099</v>
      </c>
    </row>
    <row r="566" spans="1:30" ht="15.75">
      <c r="A566" s="13">
        <v>58499</v>
      </c>
      <c r="B566" s="10">
        <f>CHOOSE(CONTROL!$C$42, 17.0641, 17.0641) * CHOOSE(CONTROL!$C$21, $C$9, 100%, $E$9)</f>
        <v>17.0641</v>
      </c>
      <c r="C566" s="10">
        <f>CHOOSE(CONTROL!$C$42, 17.0692, 17.0692) * CHOOSE(CONTROL!$C$21, $C$9, 100%, $E$9)</f>
        <v>17.069199999999999</v>
      </c>
      <c r="D566" s="10">
        <f>CHOOSE(CONTROL!$C$42, 17.1016, 17.1016) * CHOOSE(CONTROL!$C$21, $C$9, 100%, $E$9)</f>
        <v>17.101600000000001</v>
      </c>
      <c r="E566" s="10">
        <f>CHOOSE(CONTROL!$C$42, 17.1354, 17.1354) * CHOOSE(CONTROL!$C$21, $C$9, 100%, $E$9)</f>
        <v>17.135400000000001</v>
      </c>
      <c r="F566" s="10">
        <f>CHOOSE(CONTROL!$C$42, 17.0478, 17.0478)*CHOOSE(CONTROL!$C$21, $C$9, 100%, $E$9)</f>
        <v>17.047799999999999</v>
      </c>
      <c r="G566" s="10">
        <f>CHOOSE(CONTROL!$C$42, 17.0658, 17.0658)*CHOOSE(CONTROL!$C$21, $C$9, 100%, $E$9)</f>
        <v>17.065799999999999</v>
      </c>
      <c r="H566" s="10">
        <f>CHOOSE(CONTROL!$C$42, 17.1243, 17.1243) * CHOOSE(CONTROL!$C$21, $C$9, 100%, $E$9)</f>
        <v>17.124300000000002</v>
      </c>
      <c r="I566" s="10">
        <f>CHOOSE(CONTROL!$C$42, 17.0775, 17.0775)* CHOOSE(CONTROL!$C$21, $C$9, 100%, $E$9)</f>
        <v>17.077500000000001</v>
      </c>
      <c r="J566" s="10">
        <f>CHOOSE(CONTROL!$C$42, 17.0404, 17.0404)* CHOOSE(CONTROL!$C$21, $C$9, 100%, $E$9)</f>
        <v>17.040400000000002</v>
      </c>
      <c r="K566" s="10">
        <f>CHOOSE(CONTROL!$C$42, 16.7241, 16.7241) * CHOOSE(CONTROL!$C$21, $C$9, 100%, $E$9)</f>
        <v>16.7241</v>
      </c>
      <c r="L566" s="10">
        <f>CHOOSE(CONTROL!$C$42, 17.7113, 17.7113) * CHOOSE(CONTROL!$C$21, $C$9, 100%, $E$9)</f>
        <v>17.711300000000001</v>
      </c>
      <c r="M566" s="10">
        <f>CHOOSE(CONTROL!$C$42, 16.8357, 16.8357) * CHOOSE(CONTROL!$C$21, $C$9, 100%, $E$9)</f>
        <v>16.835699999999999</v>
      </c>
      <c r="N566" s="10">
        <f>CHOOSE(CONTROL!$C$42, 16.8534, 16.8534) * CHOOSE(CONTROL!$C$21, $C$9, 100%, $E$9)</f>
        <v>16.853400000000001</v>
      </c>
      <c r="O566" s="10">
        <f>CHOOSE(CONTROL!$C$42, 16.9184, 16.9184) * CHOOSE(CONTROL!$C$21, $C$9, 100%, $E$9)</f>
        <v>16.918399999999998</v>
      </c>
      <c r="P566" s="10">
        <f>CHOOSE(CONTROL!$C$42, 16.8724, 16.8724) * CHOOSE(CONTROL!$C$21, $C$9, 100%, $E$9)</f>
        <v>16.872399999999999</v>
      </c>
      <c r="Q566" s="10">
        <f>CHOOSE(CONTROL!$C$42, 17.5137, 17.5137) * CHOOSE(CONTROL!$C$21, $C$9, 100%, $E$9)</f>
        <v>17.5137</v>
      </c>
      <c r="R566" s="10">
        <f>CHOOSE(CONTROL!$C$42, 18.1445, 18.1445) * CHOOSE(CONTROL!$C$21, $C$9, 100%, $E$9)</f>
        <v>18.144500000000001</v>
      </c>
      <c r="S566" s="10">
        <f>CHOOSE(CONTROL!$C$42, 16.5398, 16.5398) * CHOOSE(CONTROL!$C$21, $C$9, 100%, $E$9)</f>
        <v>16.5398</v>
      </c>
      <c r="T566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566" s="38">
        <f>(1000*CHOOSE(CONTROL!$C$42, 695, 695)*CHOOSE(CONTROL!$C$42, 0.5599, 0.5599)*CHOOSE(CONTROL!$C$42, 29, 29))/1000000</f>
        <v>11.284784499999999</v>
      </c>
      <c r="V566" s="38">
        <f>(1000*CHOOSE(CONTROL!$C$42, 500, 500)*CHOOSE(CONTROL!$C$42, 0.275, 0.275)*CHOOSE(CONTROL!$C$42, 29, 29))/1000000</f>
        <v>3.9874999999999998</v>
      </c>
      <c r="W566" s="38">
        <f>(1000*CHOOSE(CONTROL!$C$42, 0.1146, 0.1146)*CHOOSE(CONTROL!$C$42, 121.5, 121.5)*CHOOSE(CONTROL!$C$42, 29, 29))/1000000</f>
        <v>0.40379309999999996</v>
      </c>
      <c r="X566" s="38">
        <f>(29*0.1790888*100000/1000000)+(29*0.2374*100000/1000000)</f>
        <v>1.2078175199999999</v>
      </c>
      <c r="Y566" s="38">
        <f>(1000*600*CHOOSE(CONTROL!$C$42, 1.0585, 1.0585)*CHOOSE(CONTROL!$C$42, 29, 29))/1000000</f>
        <v>18.417899999999999</v>
      </c>
      <c r="Z566" s="38"/>
      <c r="AA566" s="10"/>
      <c r="AB566" s="39"/>
      <c r="AC566" s="33">
        <f>(B566*122.58+C566*297.941+D566*89.177+E566*40.302+F566*40+G566*160+H566*0+I566*100+J566*300)/(122.58+297.941+89.177+40.302+0+40+160+100+300)</f>
        <v>17.065480147130437</v>
      </c>
      <c r="AD566" s="27">
        <f>(M566*'RAP TEMPLATE-GAS AVAILABILITY'!O565+N566*'RAP TEMPLATE-GAS AVAILABILITY'!P565+O566*'RAP TEMPLATE-GAS AVAILABILITY'!Q565+P566*'RAP TEMPLATE-GAS AVAILABILITY'!R565)/('RAP TEMPLATE-GAS AVAILABILITY'!O565+'RAP TEMPLATE-GAS AVAILABILITY'!P565+'RAP TEMPLATE-GAS AVAILABILITY'!Q565+'RAP TEMPLATE-GAS AVAILABILITY'!R565)</f>
        <v>16.87948201438849</v>
      </c>
    </row>
    <row r="567" spans="1:30" ht="15.75">
      <c r="A567" s="13">
        <v>58531</v>
      </c>
      <c r="B567" s="10">
        <f>CHOOSE(CONTROL!$C$42, 16.5792, 16.5792) * CHOOSE(CONTROL!$C$21, $C$9, 100%, $E$9)</f>
        <v>16.5792</v>
      </c>
      <c r="C567" s="10">
        <f>CHOOSE(CONTROL!$C$42, 16.5843, 16.5843) * CHOOSE(CONTROL!$C$21, $C$9, 100%, $E$9)</f>
        <v>16.584299999999999</v>
      </c>
      <c r="D567" s="10">
        <f>CHOOSE(CONTROL!$C$42, 16.6167, 16.6167) * CHOOSE(CONTROL!$C$21, $C$9, 100%, $E$9)</f>
        <v>16.616700000000002</v>
      </c>
      <c r="E567" s="10">
        <f>CHOOSE(CONTROL!$C$42, 16.6505, 16.6505) * CHOOSE(CONTROL!$C$21, $C$9, 100%, $E$9)</f>
        <v>16.650500000000001</v>
      </c>
      <c r="F567" s="10">
        <f>CHOOSE(CONTROL!$C$42, 16.5614, 16.5614)*CHOOSE(CONTROL!$C$21, $C$9, 100%, $E$9)</f>
        <v>16.561399999999999</v>
      </c>
      <c r="G567" s="10">
        <f>CHOOSE(CONTROL!$C$42, 16.579, 16.579)*CHOOSE(CONTROL!$C$21, $C$9, 100%, $E$9)</f>
        <v>16.579000000000001</v>
      </c>
      <c r="H567" s="10">
        <f>CHOOSE(CONTROL!$C$42, 16.6394, 16.6394) * CHOOSE(CONTROL!$C$21, $C$9, 100%, $E$9)</f>
        <v>16.639399999999998</v>
      </c>
      <c r="I567" s="10">
        <f>CHOOSE(CONTROL!$C$42, 16.5926, 16.5926)* CHOOSE(CONTROL!$C$21, $C$9, 100%, $E$9)</f>
        <v>16.592600000000001</v>
      </c>
      <c r="J567" s="10">
        <f>CHOOSE(CONTROL!$C$42, 16.554, 16.554)* CHOOSE(CONTROL!$C$21, $C$9, 100%, $E$9)</f>
        <v>16.553999999999998</v>
      </c>
      <c r="K567" s="10">
        <f>CHOOSE(CONTROL!$C$42, 16.2512, 16.2512) * CHOOSE(CONTROL!$C$21, $C$9, 100%, $E$9)</f>
        <v>16.251200000000001</v>
      </c>
      <c r="L567" s="10">
        <f>CHOOSE(CONTROL!$C$42, 17.2264, 17.2264) * CHOOSE(CONTROL!$C$21, $C$9, 100%, $E$9)</f>
        <v>17.226400000000002</v>
      </c>
      <c r="M567" s="10">
        <f>CHOOSE(CONTROL!$C$42, 16.3561, 16.3561) * CHOOSE(CONTROL!$C$21, $C$9, 100%, $E$9)</f>
        <v>16.356100000000001</v>
      </c>
      <c r="N567" s="10">
        <f>CHOOSE(CONTROL!$C$42, 16.3734, 16.3734) * CHOOSE(CONTROL!$C$21, $C$9, 100%, $E$9)</f>
        <v>16.3734</v>
      </c>
      <c r="O567" s="10">
        <f>CHOOSE(CONTROL!$C$42, 16.4403, 16.4403) * CHOOSE(CONTROL!$C$21, $C$9, 100%, $E$9)</f>
        <v>16.440300000000001</v>
      </c>
      <c r="P567" s="10">
        <f>CHOOSE(CONTROL!$C$42, 16.3942, 16.3942) * CHOOSE(CONTROL!$C$21, $C$9, 100%, $E$9)</f>
        <v>16.394200000000001</v>
      </c>
      <c r="Q567" s="10">
        <f>CHOOSE(CONTROL!$C$42, 17.0356, 17.0356) * CHOOSE(CONTROL!$C$21, $C$9, 100%, $E$9)</f>
        <v>17.035599999999999</v>
      </c>
      <c r="R567" s="10">
        <f>CHOOSE(CONTROL!$C$42, 17.6652, 17.6652) * CHOOSE(CONTROL!$C$21, $C$9, 100%, $E$9)</f>
        <v>17.665199999999999</v>
      </c>
      <c r="S567" s="10">
        <f>CHOOSE(CONTROL!$C$42, 16.0703, 16.0703) * CHOOSE(CONTROL!$C$21, $C$9, 100%, $E$9)</f>
        <v>16.0703</v>
      </c>
      <c r="T56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67" s="38">
        <f>(1000*CHOOSE(CONTROL!$C$42, 695, 695)*CHOOSE(CONTROL!$C$42, 0.5599, 0.5599)*CHOOSE(CONTROL!$C$42, 31, 31))/1000000</f>
        <v>12.063045499999998</v>
      </c>
      <c r="V567" s="38">
        <f>(1000*CHOOSE(CONTROL!$C$42, 500, 500)*CHOOSE(CONTROL!$C$42, 0.275, 0.275)*CHOOSE(CONTROL!$C$42, 31, 31))/1000000</f>
        <v>4.2625000000000002</v>
      </c>
      <c r="W567" s="38">
        <f>(1000*CHOOSE(CONTROL!$C$42, 0.1146, 0.1146)*CHOOSE(CONTROL!$C$42, 121.5, 121.5)*CHOOSE(CONTROL!$C$42, 31, 31))/1000000</f>
        <v>0.43164089999999994</v>
      </c>
      <c r="X567" s="38">
        <f>(31*0.1790888*100000/1000000)+(31*0.2374*100000/1000000)</f>
        <v>1.2911152800000001</v>
      </c>
      <c r="Y567" s="38">
        <f>(1000*600*CHOOSE(CONTROL!$C$42, 1.0585, 1.0585)*CHOOSE(CONTROL!$C$42, 31, 31))/1000000</f>
        <v>19.688099999999999</v>
      </c>
      <c r="Z567" s="38"/>
      <c r="AA567" s="10"/>
      <c r="AB567" s="39"/>
      <c r="AC567" s="33">
        <f>(B567*122.58+C567*297.941+D567*89.177+E567*40.302+F567*40+G567*160+H567*0+I567*100+J567*300)/(122.58+297.941+89.177+40.302+0+40+160+100+300)</f>
        <v>16.579872321043478</v>
      </c>
      <c r="AD567" s="27">
        <f>(M567*'RAP TEMPLATE-GAS AVAILABILITY'!O566+N567*'RAP TEMPLATE-GAS AVAILABILITY'!P566+O567*'RAP TEMPLATE-GAS AVAILABILITY'!Q566+P567*'RAP TEMPLATE-GAS AVAILABILITY'!R566)/('RAP TEMPLATE-GAS AVAILABILITY'!O566+'RAP TEMPLATE-GAS AVAILABILITY'!P566+'RAP TEMPLATE-GAS AVAILABILITY'!Q566+'RAP TEMPLATE-GAS AVAILABILITY'!R566)</f>
        <v>16.400740287769786</v>
      </c>
    </row>
    <row r="568" spans="1:30" ht="15.75">
      <c r="A568" s="13">
        <v>58561</v>
      </c>
      <c r="B568" s="10">
        <f>CHOOSE(CONTROL!$C$42, 16.5303, 16.5303) * CHOOSE(CONTROL!$C$21, $C$9, 100%, $E$9)</f>
        <v>16.5303</v>
      </c>
      <c r="C568" s="10">
        <f>CHOOSE(CONTROL!$C$42, 16.5348, 16.5348) * CHOOSE(CONTROL!$C$21, $C$9, 100%, $E$9)</f>
        <v>16.534800000000001</v>
      </c>
      <c r="D568" s="10">
        <f>CHOOSE(CONTROL!$C$42, 16.6949, 16.6949) * CHOOSE(CONTROL!$C$21, $C$9, 100%, $E$9)</f>
        <v>16.694900000000001</v>
      </c>
      <c r="E568" s="10">
        <f>CHOOSE(CONTROL!$C$42, 16.7268, 16.7268) * CHOOSE(CONTROL!$C$21, $C$9, 100%, $E$9)</f>
        <v>16.726800000000001</v>
      </c>
      <c r="F568" s="10">
        <f>CHOOSE(CONTROL!$C$42, 16.4764, 16.4764)*CHOOSE(CONTROL!$C$21, $C$9, 100%, $E$9)</f>
        <v>16.476400000000002</v>
      </c>
      <c r="G568" s="10">
        <f>CHOOSE(CONTROL!$C$42, 16.4922, 16.4922)*CHOOSE(CONTROL!$C$21, $C$9, 100%, $E$9)</f>
        <v>16.4922</v>
      </c>
      <c r="H568" s="10">
        <f>CHOOSE(CONTROL!$C$42, 16.7162, 16.7162) * CHOOSE(CONTROL!$C$21, $C$9, 100%, $E$9)</f>
        <v>16.716200000000001</v>
      </c>
      <c r="I568" s="10">
        <f>CHOOSE(CONTROL!$C$42, 16.5104, 16.5104)* CHOOSE(CONTROL!$C$21, $C$9, 100%, $E$9)</f>
        <v>16.510400000000001</v>
      </c>
      <c r="J568" s="10">
        <f>CHOOSE(CONTROL!$C$42, 16.469, 16.469)* CHOOSE(CONTROL!$C$21, $C$9, 100%, $E$9)</f>
        <v>16.469000000000001</v>
      </c>
      <c r="K568" s="10">
        <f>CHOOSE(CONTROL!$C$42, 16.1555, 16.1555) * CHOOSE(CONTROL!$C$21, $C$9, 100%, $E$9)</f>
        <v>16.1555</v>
      </c>
      <c r="L568" s="10">
        <f>CHOOSE(CONTROL!$C$42, 17.3032, 17.3032) * CHOOSE(CONTROL!$C$21, $C$9, 100%, $E$9)</f>
        <v>17.3032</v>
      </c>
      <c r="M568" s="10">
        <f>CHOOSE(CONTROL!$C$42, 16.2722, 16.2722) * CHOOSE(CONTROL!$C$21, $C$9, 100%, $E$9)</f>
        <v>16.272200000000002</v>
      </c>
      <c r="N568" s="10">
        <f>CHOOSE(CONTROL!$C$42, 16.2878, 16.2878) * CHOOSE(CONTROL!$C$21, $C$9, 100%, $E$9)</f>
        <v>16.287800000000001</v>
      </c>
      <c r="O568" s="10">
        <f>CHOOSE(CONTROL!$C$42, 16.516, 16.516) * CHOOSE(CONTROL!$C$21, $C$9, 100%, $E$9)</f>
        <v>16.515999999999998</v>
      </c>
      <c r="P568" s="10">
        <f>CHOOSE(CONTROL!$C$42, 16.3131, 16.3131) * CHOOSE(CONTROL!$C$21, $C$9, 100%, $E$9)</f>
        <v>16.313099999999999</v>
      </c>
      <c r="Q568" s="10">
        <f>CHOOSE(CONTROL!$C$42, 17.1113, 17.1113) * CHOOSE(CONTROL!$C$21, $C$9, 100%, $E$9)</f>
        <v>17.1113</v>
      </c>
      <c r="R568" s="10">
        <f>CHOOSE(CONTROL!$C$42, 17.7411, 17.7411) * CHOOSE(CONTROL!$C$21, $C$9, 100%, $E$9)</f>
        <v>17.741099999999999</v>
      </c>
      <c r="S568" s="10">
        <f>CHOOSE(CONTROL!$C$42, 16.0222, 16.0222) * CHOOSE(CONTROL!$C$21, $C$9, 100%, $E$9)</f>
        <v>16.022200000000002</v>
      </c>
      <c r="T56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68" s="38">
        <f>(1000*CHOOSE(CONTROL!$C$42, 695, 695)*CHOOSE(CONTROL!$C$42, 0.5599, 0.5599)*CHOOSE(CONTROL!$C$42, 30, 30))/1000000</f>
        <v>11.673914999999997</v>
      </c>
      <c r="V568" s="38">
        <f>(1000*CHOOSE(CONTROL!$C$42, 500, 500)*CHOOSE(CONTROL!$C$42, 0.275, 0.275)*CHOOSE(CONTROL!$C$42, 30, 30))/1000000</f>
        <v>4.125</v>
      </c>
      <c r="W568" s="38">
        <f>(1000*CHOOSE(CONTROL!$C$42, 0.1146, 0.1146)*CHOOSE(CONTROL!$C$42, 121.5, 121.5)*CHOOSE(CONTROL!$C$42, 30, 30))/1000000</f>
        <v>0.417717</v>
      </c>
      <c r="X568" s="38">
        <f>(30*0.1790888*245000/1000000)+(30*0.2374*100000/1000000)</f>
        <v>2.0285026799999999</v>
      </c>
      <c r="Y568" s="38">
        <f>(1000*600*CHOOSE(CONTROL!$C$42, 1.0585, 1.0585)*CHOOSE(CONTROL!$C$42, 30, 30))/1000000</f>
        <v>19.053000000000001</v>
      </c>
      <c r="Z568" s="38"/>
      <c r="AA568" s="10"/>
      <c r="AB568" s="39"/>
      <c r="AC568" s="33">
        <f>(B568*141.293+C568*267.993+D568*115.016+E568*89.698+F568*40+G568*185+H568*0+I568*100+J568*300)/(141.293+267.993+115.016+89.698+0+40+185+100+300)</f>
        <v>16.536901096933015</v>
      </c>
      <c r="AD568" s="27">
        <f>(M568*'RAP TEMPLATE-GAS AVAILABILITY'!O567+N568*'RAP TEMPLATE-GAS AVAILABILITY'!P567+O568*'RAP TEMPLATE-GAS AVAILABILITY'!Q567+P568*'RAP TEMPLATE-GAS AVAILABILITY'!R567)/('RAP TEMPLATE-GAS AVAILABILITY'!O567+'RAP TEMPLATE-GAS AVAILABILITY'!P567+'RAP TEMPLATE-GAS AVAILABILITY'!Q567+'RAP TEMPLATE-GAS AVAILABILITY'!R567)</f>
        <v>16.350080575539568</v>
      </c>
    </row>
    <row r="569" spans="1:30" ht="15.75">
      <c r="A569" s="13">
        <v>58592</v>
      </c>
      <c r="B569" s="10">
        <f>CHOOSE(CONTROL!$C$42, 16.6781, 16.6781) * CHOOSE(CONTROL!$C$21, $C$9, 100%, $E$9)</f>
        <v>16.678100000000001</v>
      </c>
      <c r="C569" s="10">
        <f>CHOOSE(CONTROL!$C$42, 16.6861, 16.6861) * CHOOSE(CONTROL!$C$21, $C$9, 100%, $E$9)</f>
        <v>16.6861</v>
      </c>
      <c r="D569" s="10">
        <f>CHOOSE(CONTROL!$C$42, 16.8432, 16.8432) * CHOOSE(CONTROL!$C$21, $C$9, 100%, $E$9)</f>
        <v>16.8432</v>
      </c>
      <c r="E569" s="10">
        <f>CHOOSE(CONTROL!$C$42, 16.8744, 16.8744) * CHOOSE(CONTROL!$C$21, $C$9, 100%, $E$9)</f>
        <v>16.874400000000001</v>
      </c>
      <c r="F569" s="10">
        <f>CHOOSE(CONTROL!$C$42, 16.6222, 16.6222)*CHOOSE(CONTROL!$C$21, $C$9, 100%, $E$9)</f>
        <v>16.622199999999999</v>
      </c>
      <c r="G569" s="10">
        <f>CHOOSE(CONTROL!$C$42, 16.6384, 16.6384)*CHOOSE(CONTROL!$C$21, $C$9, 100%, $E$9)</f>
        <v>16.638400000000001</v>
      </c>
      <c r="H569" s="10">
        <f>CHOOSE(CONTROL!$C$42, 16.8627, 16.8627) * CHOOSE(CONTROL!$C$21, $C$9, 100%, $E$9)</f>
        <v>16.8627</v>
      </c>
      <c r="I569" s="10">
        <f>CHOOSE(CONTROL!$C$42, 16.6569, 16.6569)* CHOOSE(CONTROL!$C$21, $C$9, 100%, $E$9)</f>
        <v>16.6569</v>
      </c>
      <c r="J569" s="10">
        <f>CHOOSE(CONTROL!$C$42, 16.6148, 16.6148)* CHOOSE(CONTROL!$C$21, $C$9, 100%, $E$9)</f>
        <v>16.614799999999999</v>
      </c>
      <c r="K569" s="10">
        <f>CHOOSE(CONTROL!$C$42, 16.2961, 16.2961) * CHOOSE(CONTROL!$C$21, $C$9, 100%, $E$9)</f>
        <v>16.296099999999999</v>
      </c>
      <c r="L569" s="10">
        <f>CHOOSE(CONTROL!$C$42, 17.4497, 17.4497) * CHOOSE(CONTROL!$C$21, $C$9, 100%, $E$9)</f>
        <v>17.4497</v>
      </c>
      <c r="M569" s="10">
        <f>CHOOSE(CONTROL!$C$42, 16.4161, 16.4161) * CHOOSE(CONTROL!$C$21, $C$9, 100%, $E$9)</f>
        <v>16.4161</v>
      </c>
      <c r="N569" s="10">
        <f>CHOOSE(CONTROL!$C$42, 16.432, 16.432) * CHOOSE(CONTROL!$C$21, $C$9, 100%, $E$9)</f>
        <v>16.431999999999999</v>
      </c>
      <c r="O569" s="10">
        <f>CHOOSE(CONTROL!$C$42, 16.6605, 16.6605) * CHOOSE(CONTROL!$C$21, $C$9, 100%, $E$9)</f>
        <v>16.660499999999999</v>
      </c>
      <c r="P569" s="10">
        <f>CHOOSE(CONTROL!$C$42, 16.4576, 16.4576) * CHOOSE(CONTROL!$C$21, $C$9, 100%, $E$9)</f>
        <v>16.457599999999999</v>
      </c>
      <c r="Q569" s="10">
        <f>CHOOSE(CONTROL!$C$42, 17.2558, 17.2558) * CHOOSE(CONTROL!$C$21, $C$9, 100%, $E$9)</f>
        <v>17.255800000000001</v>
      </c>
      <c r="R569" s="10">
        <f>CHOOSE(CONTROL!$C$42, 17.8859, 17.8859) * CHOOSE(CONTROL!$C$21, $C$9, 100%, $E$9)</f>
        <v>17.885899999999999</v>
      </c>
      <c r="S569" s="10">
        <f>CHOOSE(CONTROL!$C$42, 16.164, 16.164) * CHOOSE(CONTROL!$C$21, $C$9, 100%, $E$9)</f>
        <v>16.164000000000001</v>
      </c>
      <c r="T56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69" s="38">
        <f>(1000*CHOOSE(CONTROL!$C$42, 695, 695)*CHOOSE(CONTROL!$C$42, 0.5599, 0.5599)*CHOOSE(CONTROL!$C$42, 31, 31))/1000000</f>
        <v>12.063045499999998</v>
      </c>
      <c r="V569" s="38">
        <f>(1000*CHOOSE(CONTROL!$C$42, 500, 500)*CHOOSE(CONTROL!$C$42, 0.275, 0.275)*CHOOSE(CONTROL!$C$42, 31, 31))/1000000</f>
        <v>4.2625000000000002</v>
      </c>
      <c r="W569" s="38">
        <f>(1000*CHOOSE(CONTROL!$C$42, 0.1146, 0.1146)*CHOOSE(CONTROL!$C$42, 121.5, 121.5)*CHOOSE(CONTROL!$C$42, 31, 31))/1000000</f>
        <v>0.43164089999999994</v>
      </c>
      <c r="X569" s="38">
        <f>(31*0.1790888*245000/1000000)+(31*0.2374*100000/1000000)</f>
        <v>2.0961194359999999</v>
      </c>
      <c r="Y569" s="38">
        <f>(1000*600*CHOOSE(CONTROL!$C$42, 1.0585, 1.0585)*CHOOSE(CONTROL!$C$42, 31, 31))/1000000</f>
        <v>19.688099999999999</v>
      </c>
      <c r="Z569" s="38"/>
      <c r="AA569" s="10"/>
      <c r="AB569" s="39"/>
      <c r="AC569" s="33">
        <f>(B569*194.205+C569*267.466+D569*133.845+E569*53.484+F569*40+G569*185+H569*0+I569*100+J569*300)/(194.205+267.466+133.845+53.484+0+40+185+100+300)</f>
        <v>16.681275782339089</v>
      </c>
      <c r="AD569" s="27">
        <f>(M569*'RAP TEMPLATE-GAS AVAILABILITY'!O568+N569*'RAP TEMPLATE-GAS AVAILABILITY'!P568+O569*'RAP TEMPLATE-GAS AVAILABILITY'!Q568+P569*'RAP TEMPLATE-GAS AVAILABILITY'!R568)/('RAP TEMPLATE-GAS AVAILABILITY'!O568+'RAP TEMPLATE-GAS AVAILABILITY'!P568+'RAP TEMPLATE-GAS AVAILABILITY'!Q568+'RAP TEMPLATE-GAS AVAILABILITY'!R568)</f>
        <v>16.494304316546764</v>
      </c>
    </row>
    <row r="570" spans="1:30" ht="15.75">
      <c r="A570" s="13">
        <v>58622</v>
      </c>
      <c r="B570" s="10">
        <f>CHOOSE(CONTROL!$C$42, 17.1516, 17.1516) * CHOOSE(CONTROL!$C$21, $C$9, 100%, $E$9)</f>
        <v>17.151599999999998</v>
      </c>
      <c r="C570" s="10">
        <f>CHOOSE(CONTROL!$C$42, 17.1596, 17.1596) * CHOOSE(CONTROL!$C$21, $C$9, 100%, $E$9)</f>
        <v>17.159600000000001</v>
      </c>
      <c r="D570" s="10">
        <f>CHOOSE(CONTROL!$C$42, 17.3166, 17.3166) * CHOOSE(CONTROL!$C$21, $C$9, 100%, $E$9)</f>
        <v>17.316600000000001</v>
      </c>
      <c r="E570" s="10">
        <f>CHOOSE(CONTROL!$C$42, 17.3479, 17.3479) * CHOOSE(CONTROL!$C$21, $C$9, 100%, $E$9)</f>
        <v>17.347899999999999</v>
      </c>
      <c r="F570" s="10">
        <f>CHOOSE(CONTROL!$C$42, 17.0959, 17.0959)*CHOOSE(CONTROL!$C$21, $C$9, 100%, $E$9)</f>
        <v>17.0959</v>
      </c>
      <c r="G570" s="10">
        <f>CHOOSE(CONTROL!$C$42, 17.1121, 17.1121)*CHOOSE(CONTROL!$C$21, $C$9, 100%, $E$9)</f>
        <v>17.112100000000002</v>
      </c>
      <c r="H570" s="10">
        <f>CHOOSE(CONTROL!$C$42, 17.3362, 17.3362) * CHOOSE(CONTROL!$C$21, $C$9, 100%, $E$9)</f>
        <v>17.336200000000002</v>
      </c>
      <c r="I570" s="10">
        <f>CHOOSE(CONTROL!$C$42, 17.1304, 17.1304)* CHOOSE(CONTROL!$C$21, $C$9, 100%, $E$9)</f>
        <v>17.130400000000002</v>
      </c>
      <c r="J570" s="10">
        <f>CHOOSE(CONTROL!$C$42, 17.0885, 17.0885)* CHOOSE(CONTROL!$C$21, $C$9, 100%, $E$9)</f>
        <v>17.0885</v>
      </c>
      <c r="K570" s="10">
        <f>CHOOSE(CONTROL!$C$42, 16.7553, 16.7553) * CHOOSE(CONTROL!$C$21, $C$9, 100%, $E$9)</f>
        <v>16.755299999999998</v>
      </c>
      <c r="L570" s="10">
        <f>CHOOSE(CONTROL!$C$42, 17.9232, 17.9232) * CHOOSE(CONTROL!$C$21, $C$9, 100%, $E$9)</f>
        <v>17.923200000000001</v>
      </c>
      <c r="M570" s="10">
        <f>CHOOSE(CONTROL!$C$42, 16.8831, 16.8831) * CHOOSE(CONTROL!$C$21, $C$9, 100%, $E$9)</f>
        <v>16.883099999999999</v>
      </c>
      <c r="N570" s="10">
        <f>CHOOSE(CONTROL!$C$42, 16.8991, 16.8991) * CHOOSE(CONTROL!$C$21, $C$9, 100%, $E$9)</f>
        <v>16.899100000000001</v>
      </c>
      <c r="O570" s="10">
        <f>CHOOSE(CONTROL!$C$42, 17.1274, 17.1274) * CHOOSE(CONTROL!$C$21, $C$9, 100%, $E$9)</f>
        <v>17.127400000000002</v>
      </c>
      <c r="P570" s="10">
        <f>CHOOSE(CONTROL!$C$42, 16.9245, 16.9245) * CHOOSE(CONTROL!$C$21, $C$9, 100%, $E$9)</f>
        <v>16.924499999999998</v>
      </c>
      <c r="Q570" s="10">
        <f>CHOOSE(CONTROL!$C$42, 17.7227, 17.7227) * CHOOSE(CONTROL!$C$21, $C$9, 100%, $E$9)</f>
        <v>17.7227</v>
      </c>
      <c r="R570" s="10">
        <f>CHOOSE(CONTROL!$C$42, 18.354, 18.354) * CHOOSE(CONTROL!$C$21, $C$9, 100%, $E$9)</f>
        <v>18.353999999999999</v>
      </c>
      <c r="S570" s="10">
        <f>CHOOSE(CONTROL!$C$42, 16.6225, 16.6225) * CHOOSE(CONTROL!$C$21, $C$9, 100%, $E$9)</f>
        <v>16.622499999999999</v>
      </c>
      <c r="T57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70" s="38">
        <f>(1000*CHOOSE(CONTROL!$C$42, 695, 695)*CHOOSE(CONTROL!$C$42, 0.5599, 0.5599)*CHOOSE(CONTROL!$C$42, 30, 30))/1000000</f>
        <v>11.673914999999997</v>
      </c>
      <c r="V570" s="38">
        <f>(1000*CHOOSE(CONTROL!$C$42, 500, 500)*CHOOSE(CONTROL!$C$42, 0.275, 0.275)*CHOOSE(CONTROL!$C$42, 30, 30))/1000000</f>
        <v>4.125</v>
      </c>
      <c r="W570" s="38">
        <f>(1000*CHOOSE(CONTROL!$C$42, 0.1146, 0.1146)*CHOOSE(CONTROL!$C$42, 121.5, 121.5)*CHOOSE(CONTROL!$C$42, 30, 30))/1000000</f>
        <v>0.417717</v>
      </c>
      <c r="X570" s="38">
        <f>(30*0.1790888*245000/1000000)+(30*0.2374*100000/1000000)</f>
        <v>2.0285026799999999</v>
      </c>
      <c r="Y570" s="38">
        <f>(1000*600*CHOOSE(CONTROL!$C$42, 1.0585, 1.0585)*CHOOSE(CONTROL!$C$42, 30, 30))/1000000</f>
        <v>19.053000000000001</v>
      </c>
      <c r="Z570" s="38"/>
      <c r="AA570" s="10"/>
      <c r="AB570" s="39"/>
      <c r="AC570" s="33">
        <f>(B570*194.205+C570*267.466+D570*133.845+E570*53.484+F570*40+G570*185+H570*0+I570*100+J570*300)/(194.205+267.466+133.845+53.484+0+40+185+100+300)</f>
        <v>17.154847694034537</v>
      </c>
      <c r="AD570" s="27">
        <f>(M570*'RAP TEMPLATE-GAS AVAILABILITY'!O569+N570*'RAP TEMPLATE-GAS AVAILABILITY'!P569+O570*'RAP TEMPLATE-GAS AVAILABILITY'!Q569+P570*'RAP TEMPLATE-GAS AVAILABILITY'!R569)/('RAP TEMPLATE-GAS AVAILABILITY'!O569+'RAP TEMPLATE-GAS AVAILABILITY'!P569+'RAP TEMPLATE-GAS AVAILABILITY'!Q569+'RAP TEMPLATE-GAS AVAILABILITY'!R569)</f>
        <v>16.961284892086333</v>
      </c>
    </row>
    <row r="571" spans="1:30" ht="15.75">
      <c r="A571" s="13">
        <v>58653</v>
      </c>
      <c r="B571" s="10">
        <f>CHOOSE(CONTROL!$C$42, 16.8223, 16.8223) * CHOOSE(CONTROL!$C$21, $C$9, 100%, $E$9)</f>
        <v>16.822299999999998</v>
      </c>
      <c r="C571" s="10">
        <f>CHOOSE(CONTROL!$C$42, 16.8303, 16.8303) * CHOOSE(CONTROL!$C$21, $C$9, 100%, $E$9)</f>
        <v>16.830300000000001</v>
      </c>
      <c r="D571" s="10">
        <f>CHOOSE(CONTROL!$C$42, 16.9873, 16.9873) * CHOOSE(CONTROL!$C$21, $C$9, 100%, $E$9)</f>
        <v>16.987300000000001</v>
      </c>
      <c r="E571" s="10">
        <f>CHOOSE(CONTROL!$C$42, 17.0186, 17.0186) * CHOOSE(CONTROL!$C$21, $C$9, 100%, $E$9)</f>
        <v>17.018599999999999</v>
      </c>
      <c r="F571" s="10">
        <f>CHOOSE(CONTROL!$C$42, 16.7669, 16.7669)*CHOOSE(CONTROL!$C$21, $C$9, 100%, $E$9)</f>
        <v>16.7669</v>
      </c>
      <c r="G571" s="10">
        <f>CHOOSE(CONTROL!$C$42, 16.7832, 16.7832)*CHOOSE(CONTROL!$C$21, $C$9, 100%, $E$9)</f>
        <v>16.783200000000001</v>
      </c>
      <c r="H571" s="10">
        <f>CHOOSE(CONTROL!$C$42, 17.0069, 17.0069) * CHOOSE(CONTROL!$C$21, $C$9, 100%, $E$9)</f>
        <v>17.006900000000002</v>
      </c>
      <c r="I571" s="10">
        <f>CHOOSE(CONTROL!$C$42, 16.8011, 16.8011)* CHOOSE(CONTROL!$C$21, $C$9, 100%, $E$9)</f>
        <v>16.801100000000002</v>
      </c>
      <c r="J571" s="10">
        <f>CHOOSE(CONTROL!$C$42, 16.7595, 16.7595)* CHOOSE(CONTROL!$C$21, $C$9, 100%, $E$9)</f>
        <v>16.759499999999999</v>
      </c>
      <c r="K571" s="10">
        <f>CHOOSE(CONTROL!$C$42, 16.4369, 16.4369) * CHOOSE(CONTROL!$C$21, $C$9, 100%, $E$9)</f>
        <v>16.436900000000001</v>
      </c>
      <c r="L571" s="10">
        <f>CHOOSE(CONTROL!$C$42, 17.5939, 17.5939) * CHOOSE(CONTROL!$C$21, $C$9, 100%, $E$9)</f>
        <v>17.593900000000001</v>
      </c>
      <c r="M571" s="10">
        <f>CHOOSE(CONTROL!$C$42, 16.5587, 16.5587) * CHOOSE(CONTROL!$C$21, $C$9, 100%, $E$9)</f>
        <v>16.558700000000002</v>
      </c>
      <c r="N571" s="10">
        <f>CHOOSE(CONTROL!$C$42, 16.5748, 16.5748) * CHOOSE(CONTROL!$C$21, $C$9, 100%, $E$9)</f>
        <v>16.5748</v>
      </c>
      <c r="O571" s="10">
        <f>CHOOSE(CONTROL!$C$42, 16.8026, 16.8026) * CHOOSE(CONTROL!$C$21, $C$9, 100%, $E$9)</f>
        <v>16.802600000000002</v>
      </c>
      <c r="P571" s="10">
        <f>CHOOSE(CONTROL!$C$42, 16.5998, 16.5998) * CHOOSE(CONTROL!$C$21, $C$9, 100%, $E$9)</f>
        <v>16.599799999999998</v>
      </c>
      <c r="Q571" s="10">
        <f>CHOOSE(CONTROL!$C$42, 17.3979, 17.3979) * CHOOSE(CONTROL!$C$21, $C$9, 100%, $E$9)</f>
        <v>17.3979</v>
      </c>
      <c r="R571" s="10">
        <f>CHOOSE(CONTROL!$C$42, 18.0284, 18.0284) * CHOOSE(CONTROL!$C$21, $C$9, 100%, $E$9)</f>
        <v>18.028400000000001</v>
      </c>
      <c r="S571" s="10">
        <f>CHOOSE(CONTROL!$C$42, 16.3036, 16.3036) * CHOOSE(CONTROL!$C$21, $C$9, 100%, $E$9)</f>
        <v>16.303599999999999</v>
      </c>
      <c r="T57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71" s="38">
        <f>(1000*CHOOSE(CONTROL!$C$42, 695, 695)*CHOOSE(CONTROL!$C$42, 0.5599, 0.5599)*CHOOSE(CONTROL!$C$42, 31, 31))/1000000</f>
        <v>12.063045499999998</v>
      </c>
      <c r="V571" s="38">
        <f>(1000*CHOOSE(CONTROL!$C$42, 500, 500)*CHOOSE(CONTROL!$C$42, 0.275, 0.275)*CHOOSE(CONTROL!$C$42, 31, 31))/1000000</f>
        <v>4.2625000000000002</v>
      </c>
      <c r="W571" s="38">
        <f>(1000*CHOOSE(CONTROL!$C$42, 0.1146, 0.1146)*CHOOSE(CONTROL!$C$42, 121.5, 121.5)*CHOOSE(CONTROL!$C$42, 31, 31))/1000000</f>
        <v>0.43164089999999994</v>
      </c>
      <c r="X571" s="38">
        <f>(31*0.1790888*245000/1000000)+(31*0.2374*100000/1000000)</f>
        <v>2.0961194359999999</v>
      </c>
      <c r="Y571" s="38">
        <f>(1000*600*CHOOSE(CONTROL!$C$42, 1.0585, 1.0585)*CHOOSE(CONTROL!$C$42, 31, 31))/1000000</f>
        <v>19.688099999999999</v>
      </c>
      <c r="Z571" s="38"/>
      <c r="AA571" s="10"/>
      <c r="AB571" s="39"/>
      <c r="AC571" s="33">
        <f>(B571*194.205+C571*267.466+D571*133.845+E571*53.484+F571*40+G571*185+H571*0+I571*100+J571*300)/(194.205+267.466+133.845+53.484+0+40+185+100+300)</f>
        <v>16.825685841601253</v>
      </c>
      <c r="AD571" s="27">
        <f>(M571*'RAP TEMPLATE-GAS AVAILABILITY'!O570+N571*'RAP TEMPLATE-GAS AVAILABILITY'!P570+O571*'RAP TEMPLATE-GAS AVAILABILITY'!Q570+P571*'RAP TEMPLATE-GAS AVAILABILITY'!R570)/('RAP TEMPLATE-GAS AVAILABILITY'!O570+'RAP TEMPLATE-GAS AVAILABILITY'!P570+'RAP TEMPLATE-GAS AVAILABILITY'!Q570+'RAP TEMPLATE-GAS AVAILABILITY'!R570)</f>
        <v>16.636752517985613</v>
      </c>
    </row>
    <row r="572" spans="1:30" ht="15.75">
      <c r="A572" s="13">
        <v>58684</v>
      </c>
      <c r="B572" s="10">
        <f>CHOOSE(CONTROL!$C$42, 15.9907, 15.9907) * CHOOSE(CONTROL!$C$21, $C$9, 100%, $E$9)</f>
        <v>15.9907</v>
      </c>
      <c r="C572" s="10">
        <f>CHOOSE(CONTROL!$C$42, 15.9987, 15.9987) * CHOOSE(CONTROL!$C$21, $C$9, 100%, $E$9)</f>
        <v>15.998699999999999</v>
      </c>
      <c r="D572" s="10">
        <f>CHOOSE(CONTROL!$C$42, 16.1557, 16.1557) * CHOOSE(CONTROL!$C$21, $C$9, 100%, $E$9)</f>
        <v>16.1557</v>
      </c>
      <c r="E572" s="10">
        <f>CHOOSE(CONTROL!$C$42, 16.1869, 16.1869) * CHOOSE(CONTROL!$C$21, $C$9, 100%, $E$9)</f>
        <v>16.186900000000001</v>
      </c>
      <c r="F572" s="10">
        <f>CHOOSE(CONTROL!$C$42, 15.9352, 15.9352)*CHOOSE(CONTROL!$C$21, $C$9, 100%, $E$9)</f>
        <v>15.9352</v>
      </c>
      <c r="G572" s="10">
        <f>CHOOSE(CONTROL!$C$42, 15.9515, 15.9515)*CHOOSE(CONTROL!$C$21, $C$9, 100%, $E$9)</f>
        <v>15.951499999999999</v>
      </c>
      <c r="H572" s="10">
        <f>CHOOSE(CONTROL!$C$42, 16.1753, 16.1753) * CHOOSE(CONTROL!$C$21, $C$9, 100%, $E$9)</f>
        <v>16.1753</v>
      </c>
      <c r="I572" s="10">
        <f>CHOOSE(CONTROL!$C$42, 15.9694, 15.9694)* CHOOSE(CONTROL!$C$21, $C$9, 100%, $E$9)</f>
        <v>15.9694</v>
      </c>
      <c r="J572" s="10">
        <f>CHOOSE(CONTROL!$C$42, 15.9278, 15.9278)* CHOOSE(CONTROL!$C$21, $C$9, 100%, $E$9)</f>
        <v>15.9278</v>
      </c>
      <c r="K572" s="10">
        <f>CHOOSE(CONTROL!$C$42, 15.6311, 15.6311) * CHOOSE(CONTROL!$C$21, $C$9, 100%, $E$9)</f>
        <v>15.6311</v>
      </c>
      <c r="L572" s="10">
        <f>CHOOSE(CONTROL!$C$42, 16.7623, 16.7623) * CHOOSE(CONTROL!$C$21, $C$9, 100%, $E$9)</f>
        <v>16.7623</v>
      </c>
      <c r="M572" s="10">
        <f>CHOOSE(CONTROL!$C$42, 15.7387, 15.7387) * CHOOSE(CONTROL!$C$21, $C$9, 100%, $E$9)</f>
        <v>15.7387</v>
      </c>
      <c r="N572" s="10">
        <f>CHOOSE(CONTROL!$C$42, 15.7547, 15.7547) * CHOOSE(CONTROL!$C$21, $C$9, 100%, $E$9)</f>
        <v>15.7547</v>
      </c>
      <c r="O572" s="10">
        <f>CHOOSE(CONTROL!$C$42, 15.9826, 15.9826) * CHOOSE(CONTROL!$C$21, $C$9, 100%, $E$9)</f>
        <v>15.9826</v>
      </c>
      <c r="P572" s="10">
        <f>CHOOSE(CONTROL!$C$42, 15.7797, 15.7797) * CHOOSE(CONTROL!$C$21, $C$9, 100%, $E$9)</f>
        <v>15.7797</v>
      </c>
      <c r="Q572" s="10">
        <f>CHOOSE(CONTROL!$C$42, 16.5779, 16.5779) * CHOOSE(CONTROL!$C$21, $C$9, 100%, $E$9)</f>
        <v>16.5779</v>
      </c>
      <c r="R572" s="10">
        <f>CHOOSE(CONTROL!$C$42, 17.2064, 17.2064) * CHOOSE(CONTROL!$C$21, $C$9, 100%, $E$9)</f>
        <v>17.206399999999999</v>
      </c>
      <c r="S572" s="10">
        <f>CHOOSE(CONTROL!$C$42, 15.4984, 15.4984) * CHOOSE(CONTROL!$C$21, $C$9, 100%, $E$9)</f>
        <v>15.4984</v>
      </c>
      <c r="T57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72" s="38">
        <f>(1000*CHOOSE(CONTROL!$C$42, 695, 695)*CHOOSE(CONTROL!$C$42, 0.5599, 0.5599)*CHOOSE(CONTROL!$C$42, 31, 31))/1000000</f>
        <v>12.063045499999998</v>
      </c>
      <c r="V572" s="38">
        <f>(1000*CHOOSE(CONTROL!$C$42, 500, 500)*CHOOSE(CONTROL!$C$42, 0.275, 0.275)*CHOOSE(CONTROL!$C$42, 31, 31))/1000000</f>
        <v>4.2625000000000002</v>
      </c>
      <c r="W572" s="38">
        <f>(1000*CHOOSE(CONTROL!$C$42, 0.1146, 0.1146)*CHOOSE(CONTROL!$C$42, 121.5, 121.5)*CHOOSE(CONTROL!$C$42, 31, 31))/1000000</f>
        <v>0.43164089999999994</v>
      </c>
      <c r="X572" s="38">
        <f>(31*0.1790888*245000/1000000)+(31*0.2374*100000/1000000)</f>
        <v>2.0961194359999999</v>
      </c>
      <c r="Y572" s="38">
        <f>(1000*600*CHOOSE(CONTROL!$C$42, 1.0585, 1.0585)*CHOOSE(CONTROL!$C$42, 31, 31))/1000000</f>
        <v>19.688099999999999</v>
      </c>
      <c r="Z572" s="38"/>
      <c r="AA572" s="10"/>
      <c r="AB572" s="39"/>
      <c r="AC572" s="33">
        <f>(B572*194.205+C572*267.466+D572*133.845+E572*53.484+F572*40+G572*185+H572*0+I572*100+J572*300)/(194.205+267.466+133.845+53.484+0+40+185+100+300)</f>
        <v>15.994032585400316</v>
      </c>
      <c r="AD572" s="27">
        <f>(M572*'RAP TEMPLATE-GAS AVAILABILITY'!O571+N572*'RAP TEMPLATE-GAS AVAILABILITY'!P571+O572*'RAP TEMPLATE-GAS AVAILABILITY'!Q571+P572*'RAP TEMPLATE-GAS AVAILABILITY'!R571)/('RAP TEMPLATE-GAS AVAILABILITY'!O571+'RAP TEMPLATE-GAS AVAILABILITY'!P571+'RAP TEMPLATE-GAS AVAILABILITY'!Q571+'RAP TEMPLATE-GAS AVAILABILITY'!R571)</f>
        <v>15.816715107913669</v>
      </c>
    </row>
    <row r="573" spans="1:30" ht="15.75">
      <c r="A573" s="13">
        <v>58714</v>
      </c>
      <c r="B573" s="10">
        <f>CHOOSE(CONTROL!$C$42, 14.9746, 14.9746) * CHOOSE(CONTROL!$C$21, $C$9, 100%, $E$9)</f>
        <v>14.974600000000001</v>
      </c>
      <c r="C573" s="10">
        <f>CHOOSE(CONTROL!$C$42, 14.9826, 14.9826) * CHOOSE(CONTROL!$C$21, $C$9, 100%, $E$9)</f>
        <v>14.9826</v>
      </c>
      <c r="D573" s="10">
        <f>CHOOSE(CONTROL!$C$42, 15.1396, 15.1396) * CHOOSE(CONTROL!$C$21, $C$9, 100%, $E$9)</f>
        <v>15.1396</v>
      </c>
      <c r="E573" s="10">
        <f>CHOOSE(CONTROL!$C$42, 15.1709, 15.1709) * CHOOSE(CONTROL!$C$21, $C$9, 100%, $E$9)</f>
        <v>15.1709</v>
      </c>
      <c r="F573" s="10">
        <f>CHOOSE(CONTROL!$C$42, 14.919, 14.919)*CHOOSE(CONTROL!$C$21, $C$9, 100%, $E$9)</f>
        <v>14.919</v>
      </c>
      <c r="G573" s="10">
        <f>CHOOSE(CONTROL!$C$42, 14.9352, 14.9352)*CHOOSE(CONTROL!$C$21, $C$9, 100%, $E$9)</f>
        <v>14.9352</v>
      </c>
      <c r="H573" s="10">
        <f>CHOOSE(CONTROL!$C$42, 15.1592, 15.1592) * CHOOSE(CONTROL!$C$21, $C$9, 100%, $E$9)</f>
        <v>15.1592</v>
      </c>
      <c r="I573" s="10">
        <f>CHOOSE(CONTROL!$C$42, 14.9534, 14.9534)* CHOOSE(CONTROL!$C$21, $C$9, 100%, $E$9)</f>
        <v>14.9534</v>
      </c>
      <c r="J573" s="10">
        <f>CHOOSE(CONTROL!$C$42, 14.9116, 14.9116)* CHOOSE(CONTROL!$C$21, $C$9, 100%, $E$9)</f>
        <v>14.9116</v>
      </c>
      <c r="K573" s="10">
        <f>CHOOSE(CONTROL!$C$42, 14.6463, 14.6463) * CHOOSE(CONTROL!$C$21, $C$9, 100%, $E$9)</f>
        <v>14.6463</v>
      </c>
      <c r="L573" s="10">
        <f>CHOOSE(CONTROL!$C$42, 15.7462, 15.7462) * CHOOSE(CONTROL!$C$21, $C$9, 100%, $E$9)</f>
        <v>15.7462</v>
      </c>
      <c r="M573" s="10">
        <f>CHOOSE(CONTROL!$C$42, 14.7366, 14.7366) * CHOOSE(CONTROL!$C$21, $C$9, 100%, $E$9)</f>
        <v>14.736599999999999</v>
      </c>
      <c r="N573" s="10">
        <f>CHOOSE(CONTROL!$C$42, 14.7525, 14.7525) * CHOOSE(CONTROL!$C$21, $C$9, 100%, $E$9)</f>
        <v>14.7525</v>
      </c>
      <c r="O573" s="10">
        <f>CHOOSE(CONTROL!$C$42, 14.9807, 14.9807) * CHOOSE(CONTROL!$C$21, $C$9, 100%, $E$9)</f>
        <v>14.980700000000001</v>
      </c>
      <c r="P573" s="10">
        <f>CHOOSE(CONTROL!$C$42, 14.7778, 14.7778) * CHOOSE(CONTROL!$C$21, $C$9, 100%, $E$9)</f>
        <v>14.777799999999999</v>
      </c>
      <c r="Q573" s="10">
        <f>CHOOSE(CONTROL!$C$42, 15.576, 15.576) * CHOOSE(CONTROL!$C$21, $C$9, 100%, $E$9)</f>
        <v>15.576000000000001</v>
      </c>
      <c r="R573" s="10">
        <f>CHOOSE(CONTROL!$C$42, 16.202, 16.202) * CHOOSE(CONTROL!$C$21, $C$9, 100%, $E$9)</f>
        <v>16.202000000000002</v>
      </c>
      <c r="S573" s="10">
        <f>CHOOSE(CONTROL!$C$42, 14.5145, 14.5145) * CHOOSE(CONTROL!$C$21, $C$9, 100%, $E$9)</f>
        <v>14.5145</v>
      </c>
      <c r="T57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73" s="38">
        <f>(1000*CHOOSE(CONTROL!$C$42, 695, 695)*CHOOSE(CONTROL!$C$42, 0.5599, 0.5599)*CHOOSE(CONTROL!$C$42, 30, 30))/1000000</f>
        <v>11.673914999999997</v>
      </c>
      <c r="V573" s="38">
        <f>(1000*CHOOSE(CONTROL!$C$42, 500, 500)*CHOOSE(CONTROL!$C$42, 0.275, 0.275)*CHOOSE(CONTROL!$C$42, 30, 30))/1000000</f>
        <v>4.125</v>
      </c>
      <c r="W573" s="38">
        <f>(1000*CHOOSE(CONTROL!$C$42, 0.1146, 0.1146)*CHOOSE(CONTROL!$C$42, 121.5, 121.5)*CHOOSE(CONTROL!$C$42, 30, 30))/1000000</f>
        <v>0.417717</v>
      </c>
      <c r="X573" s="38">
        <f>(30*0.1790888*245000/1000000)+(30*0.2374*100000/1000000)</f>
        <v>2.0285026799999999</v>
      </c>
      <c r="Y573" s="38">
        <f>(1000*600*CHOOSE(CONTROL!$C$42, 1.0585, 1.0585)*CHOOSE(CONTROL!$C$42, 30, 30))/1000000</f>
        <v>19.053000000000001</v>
      </c>
      <c r="Z573" s="38"/>
      <c r="AA573" s="10"/>
      <c r="AB573" s="39"/>
      <c r="AC573" s="33">
        <f>(B573*194.205+C573*267.466+D573*133.845+E573*53.484+F573*40+G573*185+H573*0+I573*100+J573*300)/(194.205+267.466+133.845+53.484+0+40+185+100+300)</f>
        <v>14.977888902825745</v>
      </c>
      <c r="AD573" s="27">
        <f>(M573*'RAP TEMPLATE-GAS AVAILABILITY'!O572+N573*'RAP TEMPLATE-GAS AVAILABILITY'!P572+O573*'RAP TEMPLATE-GAS AVAILABILITY'!Q572+P573*'RAP TEMPLATE-GAS AVAILABILITY'!R572)/('RAP TEMPLATE-GAS AVAILABILITY'!O572+'RAP TEMPLATE-GAS AVAILABILITY'!P572+'RAP TEMPLATE-GAS AVAILABILITY'!Q572+'RAP TEMPLATE-GAS AVAILABILITY'!R572)</f>
        <v>14.814676978417268</v>
      </c>
    </row>
    <row r="574" spans="1:30" ht="15.75">
      <c r="A574" s="13">
        <v>58745</v>
      </c>
      <c r="B574" s="10">
        <f>CHOOSE(CONTROL!$C$42, 14.6681, 14.6681) * CHOOSE(CONTROL!$C$21, $C$9, 100%, $E$9)</f>
        <v>14.668100000000001</v>
      </c>
      <c r="C574" s="10">
        <f>CHOOSE(CONTROL!$C$42, 14.6734, 14.6734) * CHOOSE(CONTROL!$C$21, $C$9, 100%, $E$9)</f>
        <v>14.673400000000001</v>
      </c>
      <c r="D574" s="10">
        <f>CHOOSE(CONTROL!$C$42, 14.8354, 14.8354) * CHOOSE(CONTROL!$C$21, $C$9, 100%, $E$9)</f>
        <v>14.8354</v>
      </c>
      <c r="E574" s="10">
        <f>CHOOSE(CONTROL!$C$42, 14.8643, 14.8643) * CHOOSE(CONTROL!$C$21, $C$9, 100%, $E$9)</f>
        <v>14.8643</v>
      </c>
      <c r="F574" s="10">
        <f>CHOOSE(CONTROL!$C$42, 14.6145, 14.6145)*CHOOSE(CONTROL!$C$21, $C$9, 100%, $E$9)</f>
        <v>14.6145</v>
      </c>
      <c r="G574" s="10">
        <f>CHOOSE(CONTROL!$C$42, 14.6303, 14.6303)*CHOOSE(CONTROL!$C$21, $C$9, 100%, $E$9)</f>
        <v>14.6303</v>
      </c>
      <c r="H574" s="10">
        <f>CHOOSE(CONTROL!$C$42, 14.8544, 14.8544) * CHOOSE(CONTROL!$C$21, $C$9, 100%, $E$9)</f>
        <v>14.8544</v>
      </c>
      <c r="I574" s="10">
        <f>CHOOSE(CONTROL!$C$42, 14.6486, 14.6486)* CHOOSE(CONTROL!$C$21, $C$9, 100%, $E$9)</f>
        <v>14.6486</v>
      </c>
      <c r="J574" s="10">
        <f>CHOOSE(CONTROL!$C$42, 14.6071, 14.6071)* CHOOSE(CONTROL!$C$21, $C$9, 100%, $E$9)</f>
        <v>14.607100000000001</v>
      </c>
      <c r="K574" s="10">
        <f>CHOOSE(CONTROL!$C$42, 14.3517, 14.3517) * CHOOSE(CONTROL!$C$21, $C$9, 100%, $E$9)</f>
        <v>14.351699999999999</v>
      </c>
      <c r="L574" s="10">
        <f>CHOOSE(CONTROL!$C$42, 15.4414, 15.4414) * CHOOSE(CONTROL!$C$21, $C$9, 100%, $E$9)</f>
        <v>15.4414</v>
      </c>
      <c r="M574" s="10">
        <f>CHOOSE(CONTROL!$C$42, 14.4363, 14.4363) * CHOOSE(CONTROL!$C$21, $C$9, 100%, $E$9)</f>
        <v>14.436299999999999</v>
      </c>
      <c r="N574" s="10">
        <f>CHOOSE(CONTROL!$C$42, 14.4519, 14.4519) * CHOOSE(CONTROL!$C$21, $C$9, 100%, $E$9)</f>
        <v>14.4519</v>
      </c>
      <c r="O574" s="10">
        <f>CHOOSE(CONTROL!$C$42, 14.6802, 14.6802) * CHOOSE(CONTROL!$C$21, $C$9, 100%, $E$9)</f>
        <v>14.680199999999999</v>
      </c>
      <c r="P574" s="10">
        <f>CHOOSE(CONTROL!$C$42, 14.4773, 14.4773) * CHOOSE(CONTROL!$C$21, $C$9, 100%, $E$9)</f>
        <v>14.4773</v>
      </c>
      <c r="Q574" s="10">
        <f>CHOOSE(CONTROL!$C$42, 15.2755, 15.2755) * CHOOSE(CONTROL!$C$21, $C$9, 100%, $E$9)</f>
        <v>15.275499999999999</v>
      </c>
      <c r="R574" s="10">
        <f>CHOOSE(CONTROL!$C$42, 15.9007, 15.9007) * CHOOSE(CONTROL!$C$21, $C$9, 100%, $E$9)</f>
        <v>15.900700000000001</v>
      </c>
      <c r="S574" s="10">
        <f>CHOOSE(CONTROL!$C$42, 14.2194, 14.2194) * CHOOSE(CONTROL!$C$21, $C$9, 100%, $E$9)</f>
        <v>14.2194</v>
      </c>
      <c r="T57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74" s="38">
        <f>(1000*CHOOSE(CONTROL!$C$42, 695, 695)*CHOOSE(CONTROL!$C$42, 0.5599, 0.5599)*CHOOSE(CONTROL!$C$42, 31, 31))/1000000</f>
        <v>12.063045499999998</v>
      </c>
      <c r="V574" s="38">
        <f>(1000*CHOOSE(CONTROL!$C$42, 500, 500)*CHOOSE(CONTROL!$C$42, 0.275, 0.275)*CHOOSE(CONTROL!$C$42, 31, 31))/1000000</f>
        <v>4.2625000000000002</v>
      </c>
      <c r="W574" s="38">
        <f>(1000*CHOOSE(CONTROL!$C$42, 0.1146, 0.1146)*CHOOSE(CONTROL!$C$42, 121.5, 121.5)*CHOOSE(CONTROL!$C$42, 31, 31))/1000000</f>
        <v>0.43164089999999994</v>
      </c>
      <c r="X574" s="38">
        <f>(31*0.1790888*245000/1000000)+(31*0.2374*100000/1000000)</f>
        <v>2.0961194359999999</v>
      </c>
      <c r="Y574" s="38">
        <f>(1000*600*CHOOSE(CONTROL!$C$42, 1.0585, 1.0585)*CHOOSE(CONTROL!$C$42, 31, 31))/1000000</f>
        <v>19.688099999999999</v>
      </c>
      <c r="Z574" s="38"/>
      <c r="AA574" s="10"/>
      <c r="AB574" s="39"/>
      <c r="AC574" s="33">
        <f>(B574*131.881+C574*277.167+D574*79.08+E574*125.872+F574*40+G574*185+H574*0+I574*100+J574*300)/(131.881+277.167+79.08+125.872+0+40+185+100+300)</f>
        <v>14.676177607344632</v>
      </c>
      <c r="AD574" s="27">
        <f>(M574*'RAP TEMPLATE-GAS AVAILABILITY'!O573+N574*'RAP TEMPLATE-GAS AVAILABILITY'!P573+O574*'RAP TEMPLATE-GAS AVAILABILITY'!Q573+P574*'RAP TEMPLATE-GAS AVAILABILITY'!R573)/('RAP TEMPLATE-GAS AVAILABILITY'!O573+'RAP TEMPLATE-GAS AVAILABILITY'!P573+'RAP TEMPLATE-GAS AVAILABILITY'!Q573+'RAP TEMPLATE-GAS AVAILABILITY'!R573)</f>
        <v>14.514223021582731</v>
      </c>
    </row>
    <row r="575" spans="1:30" ht="15.75">
      <c r="A575" s="13">
        <v>58775</v>
      </c>
      <c r="B575" s="10">
        <f>CHOOSE(CONTROL!$C$42, 15.0545, 15.0545) * CHOOSE(CONTROL!$C$21, $C$9, 100%, $E$9)</f>
        <v>15.054500000000001</v>
      </c>
      <c r="C575" s="10">
        <f>CHOOSE(CONTROL!$C$42, 15.0596, 15.0596) * CHOOSE(CONTROL!$C$21, $C$9, 100%, $E$9)</f>
        <v>15.0596</v>
      </c>
      <c r="D575" s="10">
        <f>CHOOSE(CONTROL!$C$42, 15.0843, 15.0843) * CHOOSE(CONTROL!$C$21, $C$9, 100%, $E$9)</f>
        <v>15.084300000000001</v>
      </c>
      <c r="E575" s="10">
        <f>CHOOSE(CONTROL!$C$42, 15.1181, 15.1181) * CHOOSE(CONTROL!$C$21, $C$9, 100%, $E$9)</f>
        <v>15.1181</v>
      </c>
      <c r="F575" s="10">
        <f>CHOOSE(CONTROL!$C$42, 15.0229, 15.0229)*CHOOSE(CONTROL!$C$21, $C$9, 100%, $E$9)</f>
        <v>15.0229</v>
      </c>
      <c r="G575" s="10">
        <f>CHOOSE(CONTROL!$C$42, 15.0389, 15.0389)*CHOOSE(CONTROL!$C$21, $C$9, 100%, $E$9)</f>
        <v>15.0389</v>
      </c>
      <c r="H575" s="10">
        <f>CHOOSE(CONTROL!$C$42, 15.107, 15.107) * CHOOSE(CONTROL!$C$21, $C$9, 100%, $E$9)</f>
        <v>15.106999999999999</v>
      </c>
      <c r="I575" s="10">
        <f>CHOOSE(CONTROL!$C$42, 15.0695, 15.0695)* CHOOSE(CONTROL!$C$21, $C$9, 100%, $E$9)</f>
        <v>15.0695</v>
      </c>
      <c r="J575" s="10">
        <f>CHOOSE(CONTROL!$C$42, 15.0155, 15.0155)* CHOOSE(CONTROL!$C$21, $C$9, 100%, $E$9)</f>
        <v>15.015499999999999</v>
      </c>
      <c r="K575" s="10">
        <f>CHOOSE(CONTROL!$C$42, 14.7617, 14.7617) * CHOOSE(CONTROL!$C$21, $C$9, 100%, $E$9)</f>
        <v>14.761699999999999</v>
      </c>
      <c r="L575" s="10">
        <f>CHOOSE(CONTROL!$C$42, 15.694, 15.694) * CHOOSE(CONTROL!$C$21, $C$9, 100%, $E$9)</f>
        <v>15.694000000000001</v>
      </c>
      <c r="M575" s="10">
        <f>CHOOSE(CONTROL!$C$42, 14.839, 14.839) * CHOOSE(CONTROL!$C$21, $C$9, 100%, $E$9)</f>
        <v>14.839</v>
      </c>
      <c r="N575" s="10">
        <f>CHOOSE(CONTROL!$C$42, 14.8548, 14.8548) * CHOOSE(CONTROL!$C$21, $C$9, 100%, $E$9)</f>
        <v>14.854799999999999</v>
      </c>
      <c r="O575" s="10">
        <f>CHOOSE(CONTROL!$C$42, 14.9293, 14.9293) * CHOOSE(CONTROL!$C$21, $C$9, 100%, $E$9)</f>
        <v>14.9293</v>
      </c>
      <c r="P575" s="10">
        <f>CHOOSE(CONTROL!$C$42, 14.8924, 14.8924) * CHOOSE(CONTROL!$C$21, $C$9, 100%, $E$9)</f>
        <v>14.8924</v>
      </c>
      <c r="Q575" s="10">
        <f>CHOOSE(CONTROL!$C$42, 15.5246, 15.5246) * CHOOSE(CONTROL!$C$21, $C$9, 100%, $E$9)</f>
        <v>15.5246</v>
      </c>
      <c r="R575" s="10">
        <f>CHOOSE(CONTROL!$C$42, 16.1504, 16.1504) * CHOOSE(CONTROL!$C$21, $C$9, 100%, $E$9)</f>
        <v>16.150400000000001</v>
      </c>
      <c r="S575" s="10">
        <f>CHOOSE(CONTROL!$C$42, 14.594, 14.594) * CHOOSE(CONTROL!$C$21, $C$9, 100%, $E$9)</f>
        <v>14.593999999999999</v>
      </c>
      <c r="T57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75" s="38">
        <f>(1000*CHOOSE(CONTROL!$C$42, 695, 695)*CHOOSE(CONTROL!$C$42, 0.5599, 0.5599)*CHOOSE(CONTROL!$C$42, 30, 30))/1000000</f>
        <v>11.673914999999997</v>
      </c>
      <c r="V575" s="38">
        <f>(1000*CHOOSE(CONTROL!$C$42, 500, 500)*CHOOSE(CONTROL!$C$42, 0.275, 0.275)*CHOOSE(CONTROL!$C$42, 30, 30))/1000000</f>
        <v>4.125</v>
      </c>
      <c r="W575" s="38">
        <f>(1000*CHOOSE(CONTROL!$C$42, 0.1146, 0.1146)*CHOOSE(CONTROL!$C$42, 121.5, 121.5)*CHOOSE(CONTROL!$C$42, 30, 30))/1000000</f>
        <v>0.417717</v>
      </c>
      <c r="X575" s="38">
        <f>(30*0.1790888*100000/1000000)+(30*0.2374*100000/1000000)</f>
        <v>1.2494664</v>
      </c>
      <c r="Y575" s="38">
        <f>(1000*600*CHOOSE(CONTROL!$C$42, 1.0585, 1.0585)*CHOOSE(CONTROL!$C$42, 30, 30))/1000000</f>
        <v>19.053000000000001</v>
      </c>
      <c r="Z575" s="38"/>
      <c r="AA575" s="10"/>
      <c r="AB575" s="39"/>
      <c r="AC575" s="33">
        <f>(B575*122.58+C575*297.941+D575*89.177+E575*40.302+F575*40+G575*160+H575*0+I575*100+J575*300)/(122.58+297.941+89.177+40.302+0+40+160+100+300)</f>
        <v>15.048221896434782</v>
      </c>
      <c r="AD575" s="27">
        <f>(M575*'RAP TEMPLATE-GAS AVAILABILITY'!O574+N575*'RAP TEMPLATE-GAS AVAILABILITY'!P574+O575*'RAP TEMPLATE-GAS AVAILABILITY'!Q574+P575*'RAP TEMPLATE-GAS AVAILABILITY'!R574)/('RAP TEMPLATE-GAS AVAILABILITY'!O574+'RAP TEMPLATE-GAS AVAILABILITY'!P574+'RAP TEMPLATE-GAS AVAILABILITY'!Q574+'RAP TEMPLATE-GAS AVAILABILITY'!R574)</f>
        <v>14.888520143884891</v>
      </c>
    </row>
    <row r="576" spans="1:30" ht="15.75">
      <c r="A576" s="13">
        <v>58806</v>
      </c>
      <c r="B576" s="10">
        <f>CHOOSE(CONTROL!$C$42, 16.082, 16.082) * CHOOSE(CONTROL!$C$21, $C$9, 100%, $E$9)</f>
        <v>16.082000000000001</v>
      </c>
      <c r="C576" s="10">
        <f>CHOOSE(CONTROL!$C$42, 16.0871, 16.0871) * CHOOSE(CONTROL!$C$21, $C$9, 100%, $E$9)</f>
        <v>16.0871</v>
      </c>
      <c r="D576" s="10">
        <f>CHOOSE(CONTROL!$C$42, 16.1118, 16.1118) * CHOOSE(CONTROL!$C$21, $C$9, 100%, $E$9)</f>
        <v>16.111799999999999</v>
      </c>
      <c r="E576" s="10">
        <f>CHOOSE(CONTROL!$C$42, 16.1456, 16.1456) * CHOOSE(CONTROL!$C$21, $C$9, 100%, $E$9)</f>
        <v>16.145600000000002</v>
      </c>
      <c r="F576" s="10">
        <f>CHOOSE(CONTROL!$C$42, 16.0523, 16.0523)*CHOOSE(CONTROL!$C$21, $C$9, 100%, $E$9)</f>
        <v>16.052299999999999</v>
      </c>
      <c r="G576" s="10">
        <f>CHOOSE(CONTROL!$C$42, 16.0688, 16.0688)*CHOOSE(CONTROL!$C$21, $C$9, 100%, $E$9)</f>
        <v>16.0688</v>
      </c>
      <c r="H576" s="10">
        <f>CHOOSE(CONTROL!$C$42, 16.1345, 16.1345) * CHOOSE(CONTROL!$C$21, $C$9, 100%, $E$9)</f>
        <v>16.134499999999999</v>
      </c>
      <c r="I576" s="10">
        <f>CHOOSE(CONTROL!$C$42, 16.097, 16.097)* CHOOSE(CONTROL!$C$21, $C$9, 100%, $E$9)</f>
        <v>16.097000000000001</v>
      </c>
      <c r="J576" s="10">
        <f>CHOOSE(CONTROL!$C$42, 16.0449, 16.0449)* CHOOSE(CONTROL!$C$21, $C$9, 100%, $E$9)</f>
        <v>16.044899999999998</v>
      </c>
      <c r="K576" s="10">
        <f>CHOOSE(CONTROL!$C$42, 15.7613, 15.7613) * CHOOSE(CONTROL!$C$21, $C$9, 100%, $E$9)</f>
        <v>15.7613</v>
      </c>
      <c r="L576" s="10">
        <f>CHOOSE(CONTROL!$C$42, 16.7215, 16.7215) * CHOOSE(CONTROL!$C$21, $C$9, 100%, $E$9)</f>
        <v>16.721499999999999</v>
      </c>
      <c r="M576" s="10">
        <f>CHOOSE(CONTROL!$C$42, 15.8541, 15.8541) * CHOOSE(CONTROL!$C$21, $C$9, 100%, $E$9)</f>
        <v>15.854100000000001</v>
      </c>
      <c r="N576" s="10">
        <f>CHOOSE(CONTROL!$C$42, 15.8703, 15.8703) * CHOOSE(CONTROL!$C$21, $C$9, 100%, $E$9)</f>
        <v>15.8703</v>
      </c>
      <c r="O576" s="10">
        <f>CHOOSE(CONTROL!$C$42, 15.9424, 15.9424) * CHOOSE(CONTROL!$C$21, $C$9, 100%, $E$9)</f>
        <v>15.942399999999999</v>
      </c>
      <c r="P576" s="10">
        <f>CHOOSE(CONTROL!$C$42, 15.9055, 15.9055) * CHOOSE(CONTROL!$C$21, $C$9, 100%, $E$9)</f>
        <v>15.9055</v>
      </c>
      <c r="Q576" s="10">
        <f>CHOOSE(CONTROL!$C$42, 16.5377, 16.5377) * CHOOSE(CONTROL!$C$21, $C$9, 100%, $E$9)</f>
        <v>16.537700000000001</v>
      </c>
      <c r="R576" s="10">
        <f>CHOOSE(CONTROL!$C$42, 17.1661, 17.1661) * CHOOSE(CONTROL!$C$21, $C$9, 100%, $E$9)</f>
        <v>17.1661</v>
      </c>
      <c r="S576" s="10">
        <f>CHOOSE(CONTROL!$C$42, 15.5889, 15.5889) * CHOOSE(CONTROL!$C$21, $C$9, 100%, $E$9)</f>
        <v>15.588900000000001</v>
      </c>
      <c r="T57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76" s="38">
        <f>(1000*CHOOSE(CONTROL!$C$42, 695, 695)*CHOOSE(CONTROL!$C$42, 0.5599, 0.5599)*CHOOSE(CONTROL!$C$42, 31, 31))/1000000</f>
        <v>12.063045499999998</v>
      </c>
      <c r="V576" s="38">
        <f>(1000*CHOOSE(CONTROL!$C$42, 500, 500)*CHOOSE(CONTROL!$C$42, 0.275, 0.275)*CHOOSE(CONTROL!$C$42, 31, 31))/1000000</f>
        <v>4.2625000000000002</v>
      </c>
      <c r="W576" s="38">
        <f>(1000*CHOOSE(CONTROL!$C$42, 0.1146, 0.1146)*CHOOSE(CONTROL!$C$42, 121.5, 121.5)*CHOOSE(CONTROL!$C$42, 31, 31))/1000000</f>
        <v>0.43164089999999994</v>
      </c>
      <c r="X576" s="38">
        <f>(31*0.1790888*100000/1000000)+(31*0.2374*100000/1000000)</f>
        <v>1.2911152800000001</v>
      </c>
      <c r="Y576" s="38">
        <f>(1000*600*CHOOSE(CONTROL!$C$42, 1.0585, 1.0585)*CHOOSE(CONTROL!$C$42, 31, 31))/1000000</f>
        <v>19.688099999999999</v>
      </c>
      <c r="Z576" s="38"/>
      <c r="AA576" s="10"/>
      <c r="AB576" s="39"/>
      <c r="AC576" s="33">
        <f>(B576*122.58+C576*297.941+D576*89.177+E576*40.302+F576*40+G576*160+H576*0+I576*100+J576*300)/(122.58+297.941+89.177+40.302+0+40+160+100+300)</f>
        <v>16.076617548608695</v>
      </c>
      <c r="AD576" s="27">
        <f>(M576*'RAP TEMPLATE-GAS AVAILABILITY'!O575+N576*'RAP TEMPLATE-GAS AVAILABILITY'!P575+O576*'RAP TEMPLATE-GAS AVAILABILITY'!Q575+P576*'RAP TEMPLATE-GAS AVAILABILITY'!R575)/('RAP TEMPLATE-GAS AVAILABILITY'!O575+'RAP TEMPLATE-GAS AVAILABILITY'!P575+'RAP TEMPLATE-GAS AVAILABILITY'!Q575+'RAP TEMPLATE-GAS AVAILABILITY'!R575)</f>
        <v>15.902448920863309</v>
      </c>
    </row>
    <row r="577" spans="1:30" ht="15.75">
      <c r="A577" s="13">
        <v>58837</v>
      </c>
      <c r="B577" s="10">
        <f>CHOOSE(CONTROL!$C$42, 17.1686, 17.1686) * CHOOSE(CONTROL!$C$21, $C$9, 100%, $E$9)</f>
        <v>17.168600000000001</v>
      </c>
      <c r="C577" s="10">
        <f>CHOOSE(CONTROL!$C$42, 17.1737, 17.1737) * CHOOSE(CONTROL!$C$21, $C$9, 100%, $E$9)</f>
        <v>17.1737</v>
      </c>
      <c r="D577" s="10">
        <f>CHOOSE(CONTROL!$C$42, 17.2061, 17.2061) * CHOOSE(CONTROL!$C$21, $C$9, 100%, $E$9)</f>
        <v>17.206099999999999</v>
      </c>
      <c r="E577" s="10">
        <f>CHOOSE(CONTROL!$C$42, 17.2399, 17.2399) * CHOOSE(CONTROL!$C$21, $C$9, 100%, $E$9)</f>
        <v>17.239899999999999</v>
      </c>
      <c r="F577" s="10">
        <f>CHOOSE(CONTROL!$C$42, 17.1528, 17.1528)*CHOOSE(CONTROL!$C$21, $C$9, 100%, $E$9)</f>
        <v>17.152799999999999</v>
      </c>
      <c r="G577" s="10">
        <f>CHOOSE(CONTROL!$C$42, 17.1708, 17.1708)*CHOOSE(CONTROL!$C$21, $C$9, 100%, $E$9)</f>
        <v>17.1708</v>
      </c>
      <c r="H577" s="10">
        <f>CHOOSE(CONTROL!$C$42, 17.2288, 17.2288) * CHOOSE(CONTROL!$C$21, $C$9, 100%, $E$9)</f>
        <v>17.2288</v>
      </c>
      <c r="I577" s="10">
        <f>CHOOSE(CONTROL!$C$42, 17.182, 17.182)* CHOOSE(CONTROL!$C$21, $C$9, 100%, $E$9)</f>
        <v>17.181999999999999</v>
      </c>
      <c r="J577" s="10">
        <f>CHOOSE(CONTROL!$C$42, 17.1454, 17.1454)* CHOOSE(CONTROL!$C$21, $C$9, 100%, $E$9)</f>
        <v>17.145399999999999</v>
      </c>
      <c r="K577" s="10">
        <f>CHOOSE(CONTROL!$C$42, 16.8263, 16.8263) * CHOOSE(CONTROL!$C$21, $C$9, 100%, $E$9)</f>
        <v>16.8263</v>
      </c>
      <c r="L577" s="10">
        <f>CHOOSE(CONTROL!$C$42, 17.8158, 17.8158) * CHOOSE(CONTROL!$C$21, $C$9, 100%, $E$9)</f>
        <v>17.815799999999999</v>
      </c>
      <c r="M577" s="10">
        <f>CHOOSE(CONTROL!$C$42, 16.9392, 16.9392) * CHOOSE(CONTROL!$C$21, $C$9, 100%, $E$9)</f>
        <v>16.9392</v>
      </c>
      <c r="N577" s="10">
        <f>CHOOSE(CONTROL!$C$42, 16.957, 16.957) * CHOOSE(CONTROL!$C$21, $C$9, 100%, $E$9)</f>
        <v>16.957000000000001</v>
      </c>
      <c r="O577" s="10">
        <f>CHOOSE(CONTROL!$C$42, 17.0215, 17.0215) * CHOOSE(CONTROL!$C$21, $C$9, 100%, $E$9)</f>
        <v>17.0215</v>
      </c>
      <c r="P577" s="10">
        <f>CHOOSE(CONTROL!$C$42, 16.9754, 16.9754) * CHOOSE(CONTROL!$C$21, $C$9, 100%, $E$9)</f>
        <v>16.9754</v>
      </c>
      <c r="Q577" s="10">
        <f>CHOOSE(CONTROL!$C$42, 17.6168, 17.6168) * CHOOSE(CONTROL!$C$21, $C$9, 100%, $E$9)</f>
        <v>17.616800000000001</v>
      </c>
      <c r="R577" s="10">
        <f>CHOOSE(CONTROL!$C$42, 18.2478, 18.2478) * CHOOSE(CONTROL!$C$21, $C$9, 100%, $E$9)</f>
        <v>18.247800000000002</v>
      </c>
      <c r="S577" s="10">
        <f>CHOOSE(CONTROL!$C$42, 16.641, 16.641) * CHOOSE(CONTROL!$C$21, $C$9, 100%, $E$9)</f>
        <v>16.640999999999998</v>
      </c>
      <c r="T57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77" s="38">
        <f>(1000*CHOOSE(CONTROL!$C$42, 695, 695)*CHOOSE(CONTROL!$C$42, 0.5599, 0.5599)*CHOOSE(CONTROL!$C$42, 31, 31))/1000000</f>
        <v>12.063045499999998</v>
      </c>
      <c r="V577" s="38">
        <f>(1000*CHOOSE(CONTROL!$C$42, 500, 500)*CHOOSE(CONTROL!$C$42, 0.275, 0.275)*CHOOSE(CONTROL!$C$42, 31, 31))/1000000</f>
        <v>4.2625000000000002</v>
      </c>
      <c r="W577" s="38">
        <f>(1000*CHOOSE(CONTROL!$C$42, 0.1146, 0.1146)*CHOOSE(CONTROL!$C$42, 121.5, 121.5)*CHOOSE(CONTROL!$C$42, 31, 31))/1000000</f>
        <v>0.43164089999999994</v>
      </c>
      <c r="X577" s="38">
        <f>(31*0.1790888*100000/1000000)+(31*0.2374*100000/1000000)</f>
        <v>1.2911152800000001</v>
      </c>
      <c r="Y577" s="38">
        <f>(1000*600*CHOOSE(CONTROL!$C$42, 1.0585, 1.0585)*CHOOSE(CONTROL!$C$42, 31, 31))/1000000</f>
        <v>19.688099999999999</v>
      </c>
      <c r="Z577" s="38"/>
      <c r="AA577" s="10"/>
      <c r="AB577" s="39"/>
      <c r="AC577" s="33">
        <f>(B577*122.58+C577*297.941+D577*89.177+E577*40.302+F577*40+G577*160+H577*0+I577*100+J577*300)/(122.58+297.941+89.177+40.302+0+40+160+100+300)</f>
        <v>17.170197538434778</v>
      </c>
      <c r="AD577" s="27">
        <f>(M577*'RAP TEMPLATE-GAS AVAILABILITY'!O576+N577*'RAP TEMPLATE-GAS AVAILABILITY'!P576+O577*'RAP TEMPLATE-GAS AVAILABILITY'!Q576+P577*'RAP TEMPLATE-GAS AVAILABILITY'!R576)/('RAP TEMPLATE-GAS AVAILABILITY'!O576+'RAP TEMPLATE-GAS AVAILABILITY'!P576+'RAP TEMPLATE-GAS AVAILABILITY'!Q576+'RAP TEMPLATE-GAS AVAILABILITY'!R576)</f>
        <v>16.982734532374103</v>
      </c>
    </row>
    <row r="578" spans="1:30" ht="15.75">
      <c r="A578" s="13">
        <v>58865</v>
      </c>
      <c r="B578" s="10">
        <f>CHOOSE(CONTROL!$C$42, 17.4745, 17.4745) * CHOOSE(CONTROL!$C$21, $C$9, 100%, $E$9)</f>
        <v>17.474499999999999</v>
      </c>
      <c r="C578" s="10">
        <f>CHOOSE(CONTROL!$C$42, 17.4796, 17.4796) * CHOOSE(CONTROL!$C$21, $C$9, 100%, $E$9)</f>
        <v>17.479600000000001</v>
      </c>
      <c r="D578" s="10">
        <f>CHOOSE(CONTROL!$C$42, 17.512, 17.512) * CHOOSE(CONTROL!$C$21, $C$9, 100%, $E$9)</f>
        <v>17.512</v>
      </c>
      <c r="E578" s="10">
        <f>CHOOSE(CONTROL!$C$42, 17.5458, 17.5458) * CHOOSE(CONTROL!$C$21, $C$9, 100%, $E$9)</f>
        <v>17.5458</v>
      </c>
      <c r="F578" s="10">
        <f>CHOOSE(CONTROL!$C$42, 17.4582, 17.4582)*CHOOSE(CONTROL!$C$21, $C$9, 100%, $E$9)</f>
        <v>17.458200000000001</v>
      </c>
      <c r="G578" s="10">
        <f>CHOOSE(CONTROL!$C$42, 17.4762, 17.4762)*CHOOSE(CONTROL!$C$21, $C$9, 100%, $E$9)</f>
        <v>17.476199999999999</v>
      </c>
      <c r="H578" s="10">
        <f>CHOOSE(CONTROL!$C$42, 17.5347, 17.5347) * CHOOSE(CONTROL!$C$21, $C$9, 100%, $E$9)</f>
        <v>17.534700000000001</v>
      </c>
      <c r="I578" s="10">
        <f>CHOOSE(CONTROL!$C$42, 17.4879, 17.4879)* CHOOSE(CONTROL!$C$21, $C$9, 100%, $E$9)</f>
        <v>17.4879</v>
      </c>
      <c r="J578" s="10">
        <f>CHOOSE(CONTROL!$C$42, 17.4508, 17.4508)* CHOOSE(CONTROL!$C$21, $C$9, 100%, $E$9)</f>
        <v>17.450800000000001</v>
      </c>
      <c r="K578" s="10">
        <f>CHOOSE(CONTROL!$C$42, 17.1217, 17.1217) * CHOOSE(CONTROL!$C$21, $C$9, 100%, $E$9)</f>
        <v>17.121700000000001</v>
      </c>
      <c r="L578" s="10">
        <f>CHOOSE(CONTROL!$C$42, 18.1217, 18.1217) * CHOOSE(CONTROL!$C$21, $C$9, 100%, $E$9)</f>
        <v>18.121700000000001</v>
      </c>
      <c r="M578" s="10">
        <f>CHOOSE(CONTROL!$C$42, 17.2404, 17.2404) * CHOOSE(CONTROL!$C$21, $C$9, 100%, $E$9)</f>
        <v>17.240400000000001</v>
      </c>
      <c r="N578" s="10">
        <f>CHOOSE(CONTROL!$C$42, 17.2581, 17.2581) * CHOOSE(CONTROL!$C$21, $C$9, 100%, $E$9)</f>
        <v>17.258099999999999</v>
      </c>
      <c r="O578" s="10">
        <f>CHOOSE(CONTROL!$C$42, 17.3231, 17.3231) * CHOOSE(CONTROL!$C$21, $C$9, 100%, $E$9)</f>
        <v>17.3231</v>
      </c>
      <c r="P578" s="10">
        <f>CHOOSE(CONTROL!$C$42, 17.277, 17.277) * CHOOSE(CONTROL!$C$21, $C$9, 100%, $E$9)</f>
        <v>17.277000000000001</v>
      </c>
      <c r="Q578" s="10">
        <f>CHOOSE(CONTROL!$C$42, 17.9184, 17.9184) * CHOOSE(CONTROL!$C$21, $C$9, 100%, $E$9)</f>
        <v>17.918399999999998</v>
      </c>
      <c r="R578" s="10">
        <f>CHOOSE(CONTROL!$C$42, 18.5502, 18.5502) * CHOOSE(CONTROL!$C$21, $C$9, 100%, $E$9)</f>
        <v>18.5502</v>
      </c>
      <c r="S578" s="10">
        <f>CHOOSE(CONTROL!$C$42, 16.9372, 16.9372) * CHOOSE(CONTROL!$C$21, $C$9, 100%, $E$9)</f>
        <v>16.937200000000001</v>
      </c>
      <c r="T57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78" s="38">
        <f>(1000*CHOOSE(CONTROL!$C$42, 695, 695)*CHOOSE(CONTROL!$C$42, 0.5599, 0.5599)*CHOOSE(CONTROL!$C$42, 28, 28))/1000000</f>
        <v>10.895653999999999</v>
      </c>
      <c r="V578" s="38">
        <f>(1000*CHOOSE(CONTROL!$C$42, 500, 500)*CHOOSE(CONTROL!$C$42, 0.275, 0.275)*CHOOSE(CONTROL!$C$42, 28, 28))/1000000</f>
        <v>3.85</v>
      </c>
      <c r="W578" s="38">
        <f>(1000*CHOOSE(CONTROL!$C$42, 0.1146, 0.1146)*CHOOSE(CONTROL!$C$42, 121.5, 121.5)*CHOOSE(CONTROL!$C$42, 28, 28))/1000000</f>
        <v>0.38986920000000003</v>
      </c>
      <c r="X578" s="38">
        <f>(28*0.1790888*100000/1000000)+(28*0.2374*100000/1000000)</f>
        <v>1.16616864</v>
      </c>
      <c r="Y578" s="38">
        <f>(1000*600*CHOOSE(CONTROL!$C$42, 1.0585, 1.0585)*CHOOSE(CONTROL!$C$42, 28, 28))/1000000</f>
        <v>17.782800000000002</v>
      </c>
      <c r="Z578" s="38"/>
      <c r="AA578" s="10"/>
      <c r="AB578" s="39"/>
      <c r="AC578" s="33">
        <f>(B578*122.58+C578*297.941+D578*89.177+E578*40.302+F578*40+G578*160+H578*0+I578*100+J578*300)/(122.58+297.941+89.177+40.302+0+40+160+100+300)</f>
        <v>17.475880147130436</v>
      </c>
      <c r="AD578" s="27">
        <f>(M578*'RAP TEMPLATE-GAS AVAILABILITY'!O577+N578*'RAP TEMPLATE-GAS AVAILABILITY'!P577+O578*'RAP TEMPLATE-GAS AVAILABILITY'!Q577+P578*'RAP TEMPLATE-GAS AVAILABILITY'!R577)/('RAP TEMPLATE-GAS AVAILABILITY'!O577+'RAP TEMPLATE-GAS AVAILABILITY'!P577+'RAP TEMPLATE-GAS AVAILABILITY'!Q577+'RAP TEMPLATE-GAS AVAILABILITY'!R577)</f>
        <v>17.284167625899283</v>
      </c>
    </row>
    <row r="579" spans="1:30" ht="15.75">
      <c r="A579" s="13">
        <v>58893</v>
      </c>
      <c r="B579" s="10">
        <f>CHOOSE(CONTROL!$C$42, 16.9779, 16.9779) * CHOOSE(CONTROL!$C$21, $C$9, 100%, $E$9)</f>
        <v>16.977900000000002</v>
      </c>
      <c r="C579" s="10">
        <f>CHOOSE(CONTROL!$C$42, 16.983, 16.983) * CHOOSE(CONTROL!$C$21, $C$9, 100%, $E$9)</f>
        <v>16.983000000000001</v>
      </c>
      <c r="D579" s="10">
        <f>CHOOSE(CONTROL!$C$42, 17.0155, 17.0155) * CHOOSE(CONTROL!$C$21, $C$9, 100%, $E$9)</f>
        <v>17.015499999999999</v>
      </c>
      <c r="E579" s="10">
        <f>CHOOSE(CONTROL!$C$42, 17.0493, 17.0493) * CHOOSE(CONTROL!$C$21, $C$9, 100%, $E$9)</f>
        <v>17.049299999999999</v>
      </c>
      <c r="F579" s="10">
        <f>CHOOSE(CONTROL!$C$42, 16.9602, 16.9602)*CHOOSE(CONTROL!$C$21, $C$9, 100%, $E$9)</f>
        <v>16.9602</v>
      </c>
      <c r="G579" s="10">
        <f>CHOOSE(CONTROL!$C$42, 16.9778, 16.9778)*CHOOSE(CONTROL!$C$21, $C$9, 100%, $E$9)</f>
        <v>16.977799999999998</v>
      </c>
      <c r="H579" s="10">
        <f>CHOOSE(CONTROL!$C$42, 17.0381, 17.0381) * CHOOSE(CONTROL!$C$21, $C$9, 100%, $E$9)</f>
        <v>17.0381</v>
      </c>
      <c r="I579" s="10">
        <f>CHOOSE(CONTROL!$C$42, 16.9914, 16.9914)* CHOOSE(CONTROL!$C$21, $C$9, 100%, $E$9)</f>
        <v>16.991399999999999</v>
      </c>
      <c r="J579" s="10">
        <f>CHOOSE(CONTROL!$C$42, 16.9528, 16.9528)* CHOOSE(CONTROL!$C$21, $C$9, 100%, $E$9)</f>
        <v>16.9528</v>
      </c>
      <c r="K579" s="10">
        <f>CHOOSE(CONTROL!$C$42, 16.6375, 16.6375) * CHOOSE(CONTROL!$C$21, $C$9, 100%, $E$9)</f>
        <v>16.637499999999999</v>
      </c>
      <c r="L579" s="10">
        <f>CHOOSE(CONTROL!$C$42, 17.6251, 17.6251) * CHOOSE(CONTROL!$C$21, $C$9, 100%, $E$9)</f>
        <v>17.6251</v>
      </c>
      <c r="M579" s="10">
        <f>CHOOSE(CONTROL!$C$42, 16.7493, 16.7493) * CHOOSE(CONTROL!$C$21, $C$9, 100%, $E$9)</f>
        <v>16.749300000000002</v>
      </c>
      <c r="N579" s="10">
        <f>CHOOSE(CONTROL!$C$42, 16.7666, 16.7666) * CHOOSE(CONTROL!$C$21, $C$9, 100%, $E$9)</f>
        <v>16.7666</v>
      </c>
      <c r="O579" s="10">
        <f>CHOOSE(CONTROL!$C$42, 16.8335, 16.8335) * CHOOSE(CONTROL!$C$21, $C$9, 100%, $E$9)</f>
        <v>16.833500000000001</v>
      </c>
      <c r="P579" s="10">
        <f>CHOOSE(CONTROL!$C$42, 16.7874, 16.7874) * CHOOSE(CONTROL!$C$21, $C$9, 100%, $E$9)</f>
        <v>16.787400000000002</v>
      </c>
      <c r="Q579" s="10">
        <f>CHOOSE(CONTROL!$C$42, 17.4288, 17.4288) * CHOOSE(CONTROL!$C$21, $C$9, 100%, $E$9)</f>
        <v>17.428799999999999</v>
      </c>
      <c r="R579" s="10">
        <f>CHOOSE(CONTROL!$C$42, 18.0593, 18.0593) * CHOOSE(CONTROL!$C$21, $C$9, 100%, $E$9)</f>
        <v>18.0593</v>
      </c>
      <c r="S579" s="10">
        <f>CHOOSE(CONTROL!$C$42, 16.4564, 16.4564) * CHOOSE(CONTROL!$C$21, $C$9, 100%, $E$9)</f>
        <v>16.456399999999999</v>
      </c>
      <c r="T57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79" s="38">
        <f>(1000*CHOOSE(CONTROL!$C$42, 695, 695)*CHOOSE(CONTROL!$C$42, 0.5599, 0.5599)*CHOOSE(CONTROL!$C$42, 31, 31))/1000000</f>
        <v>12.063045499999998</v>
      </c>
      <c r="V579" s="38">
        <f>(1000*CHOOSE(CONTROL!$C$42, 500, 500)*CHOOSE(CONTROL!$C$42, 0.275, 0.275)*CHOOSE(CONTROL!$C$42, 31, 31))/1000000</f>
        <v>4.2625000000000002</v>
      </c>
      <c r="W579" s="38">
        <f>(1000*CHOOSE(CONTROL!$C$42, 0.1146, 0.1146)*CHOOSE(CONTROL!$C$42, 121.5, 121.5)*CHOOSE(CONTROL!$C$42, 31, 31))/1000000</f>
        <v>0.43164089999999994</v>
      </c>
      <c r="X579" s="38">
        <f>(31*0.1790888*100000/1000000)+(31*0.2374*100000/1000000)</f>
        <v>1.2911152800000001</v>
      </c>
      <c r="Y579" s="38">
        <f>(1000*600*CHOOSE(CONTROL!$C$42, 1.0585, 1.0585)*CHOOSE(CONTROL!$C$42, 31, 31))/1000000</f>
        <v>19.688099999999999</v>
      </c>
      <c r="Z579" s="38"/>
      <c r="AA579" s="10"/>
      <c r="AB579" s="39"/>
      <c r="AC579" s="33">
        <f>(B579*122.58+C579*297.941+D579*89.177+E579*40.302+F579*40+G579*160+H579*0+I579*100+J579*300)/(122.58+297.941+89.177+40.302+0+40+160+100+300)</f>
        <v>16.978635753999999</v>
      </c>
      <c r="AD579" s="27">
        <f>(M579*'RAP TEMPLATE-GAS AVAILABILITY'!O578+N579*'RAP TEMPLATE-GAS AVAILABILITY'!P578+O579*'RAP TEMPLATE-GAS AVAILABILITY'!Q578+P579*'RAP TEMPLATE-GAS AVAILABILITY'!R578)/('RAP TEMPLATE-GAS AVAILABILITY'!O578+'RAP TEMPLATE-GAS AVAILABILITY'!P578+'RAP TEMPLATE-GAS AVAILABILITY'!Q578+'RAP TEMPLATE-GAS AVAILABILITY'!R578)</f>
        <v>16.793940287769786</v>
      </c>
    </row>
    <row r="580" spans="1:30" ht="15.75">
      <c r="A580" s="13">
        <v>58926</v>
      </c>
      <c r="B580" s="10">
        <f>CHOOSE(CONTROL!$C$42, 16.9278, 16.9278) * CHOOSE(CONTROL!$C$21, $C$9, 100%, $E$9)</f>
        <v>16.927800000000001</v>
      </c>
      <c r="C580" s="10">
        <f>CHOOSE(CONTROL!$C$42, 16.9323, 16.9323) * CHOOSE(CONTROL!$C$21, $C$9, 100%, $E$9)</f>
        <v>16.932300000000001</v>
      </c>
      <c r="D580" s="10">
        <f>CHOOSE(CONTROL!$C$42, 17.0925, 17.0925) * CHOOSE(CONTROL!$C$21, $C$9, 100%, $E$9)</f>
        <v>17.092500000000001</v>
      </c>
      <c r="E580" s="10">
        <f>CHOOSE(CONTROL!$C$42, 17.1243, 17.1243) * CHOOSE(CONTROL!$C$21, $C$9, 100%, $E$9)</f>
        <v>17.124300000000002</v>
      </c>
      <c r="F580" s="10">
        <f>CHOOSE(CONTROL!$C$42, 16.8739, 16.8739)*CHOOSE(CONTROL!$C$21, $C$9, 100%, $E$9)</f>
        <v>16.873899999999999</v>
      </c>
      <c r="G580" s="10">
        <f>CHOOSE(CONTROL!$C$42, 16.8897, 16.8897)*CHOOSE(CONTROL!$C$21, $C$9, 100%, $E$9)</f>
        <v>16.889700000000001</v>
      </c>
      <c r="H580" s="10">
        <f>CHOOSE(CONTROL!$C$42, 17.1138, 17.1138) * CHOOSE(CONTROL!$C$21, $C$9, 100%, $E$9)</f>
        <v>17.113800000000001</v>
      </c>
      <c r="I580" s="10">
        <f>CHOOSE(CONTROL!$C$42, 16.908, 16.908)* CHOOSE(CONTROL!$C$21, $C$9, 100%, $E$9)</f>
        <v>16.908000000000001</v>
      </c>
      <c r="J580" s="10">
        <f>CHOOSE(CONTROL!$C$42, 16.8665, 16.8665)* CHOOSE(CONTROL!$C$21, $C$9, 100%, $E$9)</f>
        <v>16.866499999999998</v>
      </c>
      <c r="K580" s="10">
        <f>CHOOSE(CONTROL!$C$42, 16.5407, 16.5407) * CHOOSE(CONTROL!$C$21, $C$9, 100%, $E$9)</f>
        <v>16.540700000000001</v>
      </c>
      <c r="L580" s="10">
        <f>CHOOSE(CONTROL!$C$42, 17.7008, 17.7008) * CHOOSE(CONTROL!$C$21, $C$9, 100%, $E$9)</f>
        <v>17.700800000000001</v>
      </c>
      <c r="M580" s="10">
        <f>CHOOSE(CONTROL!$C$42, 16.6642, 16.6642) * CHOOSE(CONTROL!$C$21, $C$9, 100%, $E$9)</f>
        <v>16.664200000000001</v>
      </c>
      <c r="N580" s="10">
        <f>CHOOSE(CONTROL!$C$42, 16.6798, 16.6798) * CHOOSE(CONTROL!$C$21, $C$9, 100%, $E$9)</f>
        <v>16.6798</v>
      </c>
      <c r="O580" s="10">
        <f>CHOOSE(CONTROL!$C$42, 16.908, 16.908) * CHOOSE(CONTROL!$C$21, $C$9, 100%, $E$9)</f>
        <v>16.908000000000001</v>
      </c>
      <c r="P580" s="10">
        <f>CHOOSE(CONTROL!$C$42, 16.7051, 16.7051) * CHOOSE(CONTROL!$C$21, $C$9, 100%, $E$9)</f>
        <v>16.705100000000002</v>
      </c>
      <c r="Q580" s="10">
        <f>CHOOSE(CONTROL!$C$42, 17.5033, 17.5033) * CHOOSE(CONTROL!$C$21, $C$9, 100%, $E$9)</f>
        <v>17.503299999999999</v>
      </c>
      <c r="R580" s="10">
        <f>CHOOSE(CONTROL!$C$42, 18.1341, 18.1341) * CHOOSE(CONTROL!$C$21, $C$9, 100%, $E$9)</f>
        <v>18.1341</v>
      </c>
      <c r="S580" s="10">
        <f>CHOOSE(CONTROL!$C$42, 16.4071, 16.4071) * CHOOSE(CONTROL!$C$21, $C$9, 100%, $E$9)</f>
        <v>16.4071</v>
      </c>
      <c r="T58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80" s="38">
        <f>(1000*CHOOSE(CONTROL!$C$42, 695, 695)*CHOOSE(CONTROL!$C$42, 0.5599, 0.5599)*CHOOSE(CONTROL!$C$42, 30, 30))/1000000</f>
        <v>11.673914999999997</v>
      </c>
      <c r="V580" s="38">
        <f>(1000*CHOOSE(CONTROL!$C$42, 500, 500)*CHOOSE(CONTROL!$C$42, 0.275, 0.275)*CHOOSE(CONTROL!$C$42, 30, 30))/1000000</f>
        <v>4.125</v>
      </c>
      <c r="W580" s="38">
        <f>(1000*CHOOSE(CONTROL!$C$42, 0.1146, 0.1146)*CHOOSE(CONTROL!$C$42, 121.5, 121.5)*CHOOSE(CONTROL!$C$42, 30, 30))/1000000</f>
        <v>0.417717</v>
      </c>
      <c r="X580" s="38">
        <f>(30*0.1790888*245000/1000000)+(30*0.2374*100000/1000000)</f>
        <v>2.0285026799999999</v>
      </c>
      <c r="Y580" s="38">
        <f>(1000*600*CHOOSE(CONTROL!$C$42, 1.0585, 1.0585)*CHOOSE(CONTROL!$C$42, 30, 30))/1000000</f>
        <v>19.053000000000001</v>
      </c>
      <c r="Z580" s="38"/>
      <c r="AA580" s="10"/>
      <c r="AB580" s="39"/>
      <c r="AC580" s="33">
        <f>(B580*141.293+C580*267.993+D580*115.016+E580*89.698+F580*40+G580*185+H580*0+I580*100+J580*300)/(141.293+267.993+115.016+89.698+0+40+185+100+300)</f>
        <v>16.93441845092817</v>
      </c>
      <c r="AD580" s="27">
        <f>(M580*'RAP TEMPLATE-GAS AVAILABILITY'!O579+N580*'RAP TEMPLATE-GAS AVAILABILITY'!P579+O580*'RAP TEMPLATE-GAS AVAILABILITY'!Q579+P580*'RAP TEMPLATE-GAS AVAILABILITY'!R579)/('RAP TEMPLATE-GAS AVAILABILITY'!O579+'RAP TEMPLATE-GAS AVAILABILITY'!P579+'RAP TEMPLATE-GAS AVAILABILITY'!Q579+'RAP TEMPLATE-GAS AVAILABILITY'!R579)</f>
        <v>16.742080575539571</v>
      </c>
    </row>
    <row r="581" spans="1:30" ht="15.75">
      <c r="A581" s="13">
        <v>58957</v>
      </c>
      <c r="B581" s="10">
        <f>CHOOSE(CONTROL!$C$42, 17.0792, 17.0792) * CHOOSE(CONTROL!$C$21, $C$9, 100%, $E$9)</f>
        <v>17.0792</v>
      </c>
      <c r="C581" s="10">
        <f>CHOOSE(CONTROL!$C$42, 17.0872, 17.0872) * CHOOSE(CONTROL!$C$21, $C$9, 100%, $E$9)</f>
        <v>17.087199999999999</v>
      </c>
      <c r="D581" s="10">
        <f>CHOOSE(CONTROL!$C$42, 17.2442, 17.2442) * CHOOSE(CONTROL!$C$21, $C$9, 100%, $E$9)</f>
        <v>17.244199999999999</v>
      </c>
      <c r="E581" s="10">
        <f>CHOOSE(CONTROL!$C$42, 17.2754, 17.2754) * CHOOSE(CONTROL!$C$21, $C$9, 100%, $E$9)</f>
        <v>17.275400000000001</v>
      </c>
      <c r="F581" s="10">
        <f>CHOOSE(CONTROL!$C$42, 17.0233, 17.0233)*CHOOSE(CONTROL!$C$21, $C$9, 100%, $E$9)</f>
        <v>17.023299999999999</v>
      </c>
      <c r="G581" s="10">
        <f>CHOOSE(CONTROL!$C$42, 17.0394, 17.0394)*CHOOSE(CONTROL!$C$21, $C$9, 100%, $E$9)</f>
        <v>17.039400000000001</v>
      </c>
      <c r="H581" s="10">
        <f>CHOOSE(CONTROL!$C$42, 17.2638, 17.2638) * CHOOSE(CONTROL!$C$21, $C$9, 100%, $E$9)</f>
        <v>17.2638</v>
      </c>
      <c r="I581" s="10">
        <f>CHOOSE(CONTROL!$C$42, 17.058, 17.058)* CHOOSE(CONTROL!$C$21, $C$9, 100%, $E$9)</f>
        <v>17.058</v>
      </c>
      <c r="J581" s="10">
        <f>CHOOSE(CONTROL!$C$42, 17.0159, 17.0159)* CHOOSE(CONTROL!$C$21, $C$9, 100%, $E$9)</f>
        <v>17.015899999999998</v>
      </c>
      <c r="K581" s="10">
        <f>CHOOSE(CONTROL!$C$42, 16.6847, 16.6847) * CHOOSE(CONTROL!$C$21, $C$9, 100%, $E$9)</f>
        <v>16.684699999999999</v>
      </c>
      <c r="L581" s="10">
        <f>CHOOSE(CONTROL!$C$42, 17.8508, 17.8508) * CHOOSE(CONTROL!$C$21, $C$9, 100%, $E$9)</f>
        <v>17.8508</v>
      </c>
      <c r="M581" s="10">
        <f>CHOOSE(CONTROL!$C$42, 16.8115, 16.8115) * CHOOSE(CONTROL!$C$21, $C$9, 100%, $E$9)</f>
        <v>16.811499999999999</v>
      </c>
      <c r="N581" s="10">
        <f>CHOOSE(CONTROL!$C$42, 16.8274, 16.8274) * CHOOSE(CONTROL!$C$21, $C$9, 100%, $E$9)</f>
        <v>16.827400000000001</v>
      </c>
      <c r="O581" s="10">
        <f>CHOOSE(CONTROL!$C$42, 17.0559, 17.0559) * CHOOSE(CONTROL!$C$21, $C$9, 100%, $E$9)</f>
        <v>17.055900000000001</v>
      </c>
      <c r="P581" s="10">
        <f>CHOOSE(CONTROL!$C$42, 16.8531, 16.8531) * CHOOSE(CONTROL!$C$21, $C$9, 100%, $E$9)</f>
        <v>16.853100000000001</v>
      </c>
      <c r="Q581" s="10">
        <f>CHOOSE(CONTROL!$C$42, 17.6512, 17.6512) * CHOOSE(CONTROL!$C$21, $C$9, 100%, $E$9)</f>
        <v>17.651199999999999</v>
      </c>
      <c r="R581" s="10">
        <f>CHOOSE(CONTROL!$C$42, 18.2824, 18.2824) * CHOOSE(CONTROL!$C$21, $C$9, 100%, $E$9)</f>
        <v>18.282399999999999</v>
      </c>
      <c r="S581" s="10">
        <f>CHOOSE(CONTROL!$C$42, 16.5524, 16.5524) * CHOOSE(CONTROL!$C$21, $C$9, 100%, $E$9)</f>
        <v>16.552399999999999</v>
      </c>
      <c r="T58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81" s="38">
        <f>(1000*CHOOSE(CONTROL!$C$42, 695, 695)*CHOOSE(CONTROL!$C$42, 0.5599, 0.5599)*CHOOSE(CONTROL!$C$42, 31, 31))/1000000</f>
        <v>12.063045499999998</v>
      </c>
      <c r="V581" s="38">
        <f>(1000*CHOOSE(CONTROL!$C$42, 500, 500)*CHOOSE(CONTROL!$C$42, 0.275, 0.275)*CHOOSE(CONTROL!$C$42, 31, 31))/1000000</f>
        <v>4.2625000000000002</v>
      </c>
      <c r="W581" s="38">
        <f>(1000*CHOOSE(CONTROL!$C$42, 0.1146, 0.1146)*CHOOSE(CONTROL!$C$42, 121.5, 121.5)*CHOOSE(CONTROL!$C$42, 31, 31))/1000000</f>
        <v>0.43164089999999994</v>
      </c>
      <c r="X581" s="38">
        <f>(31*0.1790888*245000/1000000)+(31*0.2374*100000/1000000)</f>
        <v>2.0961194359999999</v>
      </c>
      <c r="Y581" s="38">
        <f>(1000*600*CHOOSE(CONTROL!$C$42, 1.0585, 1.0585)*CHOOSE(CONTROL!$C$42, 31, 31))/1000000</f>
        <v>19.688099999999999</v>
      </c>
      <c r="Z581" s="38"/>
      <c r="AA581" s="10"/>
      <c r="AB581" s="39"/>
      <c r="AC581" s="33">
        <f>(B581*194.205+C581*267.466+D581*133.845+E581*53.484+F581*40+G581*185+H581*0+I581*100+J581*300)/(194.205+267.466+133.845+53.484+0+40+185+100+300)</f>
        <v>17.082346557142859</v>
      </c>
      <c r="AD581" s="27">
        <f>(M581*'RAP TEMPLATE-GAS AVAILABILITY'!O580+N581*'RAP TEMPLATE-GAS AVAILABILITY'!P580+O581*'RAP TEMPLATE-GAS AVAILABILITY'!Q580+P581*'RAP TEMPLATE-GAS AVAILABILITY'!R580)/('RAP TEMPLATE-GAS AVAILABILITY'!O580+'RAP TEMPLATE-GAS AVAILABILITY'!P580+'RAP TEMPLATE-GAS AVAILABILITY'!Q580+'RAP TEMPLATE-GAS AVAILABILITY'!R580)</f>
        <v>16.889718705035971</v>
      </c>
    </row>
    <row r="582" spans="1:30" ht="15.75">
      <c r="A582" s="13">
        <v>58987</v>
      </c>
      <c r="B582" s="10">
        <f>CHOOSE(CONTROL!$C$42, 17.564, 17.564) * CHOOSE(CONTROL!$C$21, $C$9, 100%, $E$9)</f>
        <v>17.564</v>
      </c>
      <c r="C582" s="10">
        <f>CHOOSE(CONTROL!$C$42, 17.572, 17.572) * CHOOSE(CONTROL!$C$21, $C$9, 100%, $E$9)</f>
        <v>17.571999999999999</v>
      </c>
      <c r="D582" s="10">
        <f>CHOOSE(CONTROL!$C$42, 17.7291, 17.7291) * CHOOSE(CONTROL!$C$21, $C$9, 100%, $E$9)</f>
        <v>17.729099999999999</v>
      </c>
      <c r="E582" s="10">
        <f>CHOOSE(CONTROL!$C$42, 17.7603, 17.7603) * CHOOSE(CONTROL!$C$21, $C$9, 100%, $E$9)</f>
        <v>17.760300000000001</v>
      </c>
      <c r="F582" s="10">
        <f>CHOOSE(CONTROL!$C$42, 17.5084, 17.5084)*CHOOSE(CONTROL!$C$21, $C$9, 100%, $E$9)</f>
        <v>17.508400000000002</v>
      </c>
      <c r="G582" s="10">
        <f>CHOOSE(CONTROL!$C$42, 17.5245, 17.5245)*CHOOSE(CONTROL!$C$21, $C$9, 100%, $E$9)</f>
        <v>17.5245</v>
      </c>
      <c r="H582" s="10">
        <f>CHOOSE(CONTROL!$C$42, 17.7486, 17.7486) * CHOOSE(CONTROL!$C$21, $C$9, 100%, $E$9)</f>
        <v>17.7486</v>
      </c>
      <c r="I582" s="10">
        <f>CHOOSE(CONTROL!$C$42, 17.5428, 17.5428)* CHOOSE(CONTROL!$C$21, $C$9, 100%, $E$9)</f>
        <v>17.5428</v>
      </c>
      <c r="J582" s="10">
        <f>CHOOSE(CONTROL!$C$42, 17.501, 17.501)* CHOOSE(CONTROL!$C$21, $C$9, 100%, $E$9)</f>
        <v>17.501000000000001</v>
      </c>
      <c r="K582" s="10">
        <f>CHOOSE(CONTROL!$C$42, 17.1548, 17.1548) * CHOOSE(CONTROL!$C$21, $C$9, 100%, $E$9)</f>
        <v>17.154800000000002</v>
      </c>
      <c r="L582" s="10">
        <f>CHOOSE(CONTROL!$C$42, 18.3356, 18.3356) * CHOOSE(CONTROL!$C$21, $C$9, 100%, $E$9)</f>
        <v>18.335599999999999</v>
      </c>
      <c r="M582" s="10">
        <f>CHOOSE(CONTROL!$C$42, 17.2898, 17.2898) * CHOOSE(CONTROL!$C$21, $C$9, 100%, $E$9)</f>
        <v>17.2898</v>
      </c>
      <c r="N582" s="10">
        <f>CHOOSE(CONTROL!$C$42, 17.3058, 17.3058) * CHOOSE(CONTROL!$C$21, $C$9, 100%, $E$9)</f>
        <v>17.305800000000001</v>
      </c>
      <c r="O582" s="10">
        <f>CHOOSE(CONTROL!$C$42, 17.534, 17.534) * CHOOSE(CONTROL!$C$21, $C$9, 100%, $E$9)</f>
        <v>17.533999999999999</v>
      </c>
      <c r="P582" s="10">
        <f>CHOOSE(CONTROL!$C$42, 17.3312, 17.3312) * CHOOSE(CONTROL!$C$21, $C$9, 100%, $E$9)</f>
        <v>17.331199999999999</v>
      </c>
      <c r="Q582" s="10">
        <f>CHOOSE(CONTROL!$C$42, 18.1293, 18.1293) * CHOOSE(CONTROL!$C$21, $C$9, 100%, $E$9)</f>
        <v>18.129300000000001</v>
      </c>
      <c r="R582" s="10">
        <f>CHOOSE(CONTROL!$C$42, 18.7617, 18.7617) * CHOOSE(CONTROL!$C$21, $C$9, 100%, $E$9)</f>
        <v>18.761700000000001</v>
      </c>
      <c r="S582" s="10">
        <f>CHOOSE(CONTROL!$C$42, 17.0219, 17.0219) * CHOOSE(CONTROL!$C$21, $C$9, 100%, $E$9)</f>
        <v>17.021899999999999</v>
      </c>
      <c r="T58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82" s="38">
        <f>(1000*CHOOSE(CONTROL!$C$42, 695, 695)*CHOOSE(CONTROL!$C$42, 0.5599, 0.5599)*CHOOSE(CONTROL!$C$42, 30, 30))/1000000</f>
        <v>11.673914999999997</v>
      </c>
      <c r="V582" s="38">
        <f>(1000*CHOOSE(CONTROL!$C$42, 500, 500)*CHOOSE(CONTROL!$C$42, 0.275, 0.275)*CHOOSE(CONTROL!$C$42, 30, 30))/1000000</f>
        <v>4.125</v>
      </c>
      <c r="W582" s="38">
        <f>(1000*CHOOSE(CONTROL!$C$42, 0.1146, 0.1146)*CHOOSE(CONTROL!$C$42, 121.5, 121.5)*CHOOSE(CONTROL!$C$42, 30, 30))/1000000</f>
        <v>0.417717</v>
      </c>
      <c r="X582" s="38">
        <f>(30*0.1790888*245000/1000000)+(30*0.2374*100000/1000000)</f>
        <v>2.0285026799999999</v>
      </c>
      <c r="Y582" s="38">
        <f>(1000*600*CHOOSE(CONTROL!$C$42, 1.0585, 1.0585)*CHOOSE(CONTROL!$C$42, 30, 30))/1000000</f>
        <v>19.053000000000001</v>
      </c>
      <c r="Z582" s="38"/>
      <c r="AA582" s="10"/>
      <c r="AB582" s="39"/>
      <c r="AC582" s="33">
        <f>(B582*194.205+C582*267.466+D582*133.845+E582*53.484+F582*40+G582*185+H582*0+I582*100+J582*300)/(194.205+267.466+133.845+53.484+0+40+185+100+300)</f>
        <v>17.567284887519623</v>
      </c>
      <c r="AD582" s="27">
        <f>(M582*'RAP TEMPLATE-GAS AVAILABILITY'!O581+N582*'RAP TEMPLATE-GAS AVAILABILITY'!P581+O582*'RAP TEMPLATE-GAS AVAILABILITY'!Q581+P582*'RAP TEMPLATE-GAS AVAILABILITY'!R581)/('RAP TEMPLATE-GAS AVAILABILITY'!O581+'RAP TEMPLATE-GAS AVAILABILITY'!P581+'RAP TEMPLATE-GAS AVAILABILITY'!Q581+'RAP TEMPLATE-GAS AVAILABILITY'!R581)</f>
        <v>17.367956834532375</v>
      </c>
    </row>
    <row r="583" spans="1:30" ht="15.75">
      <c r="A583" s="13">
        <v>59018</v>
      </c>
      <c r="B583" s="10">
        <f>CHOOSE(CONTROL!$C$42, 17.2268, 17.2268) * CHOOSE(CONTROL!$C$21, $C$9, 100%, $E$9)</f>
        <v>17.226800000000001</v>
      </c>
      <c r="C583" s="10">
        <f>CHOOSE(CONTROL!$C$42, 17.2348, 17.2348) * CHOOSE(CONTROL!$C$21, $C$9, 100%, $E$9)</f>
        <v>17.2348</v>
      </c>
      <c r="D583" s="10">
        <f>CHOOSE(CONTROL!$C$42, 17.3919, 17.3919) * CHOOSE(CONTROL!$C$21, $C$9, 100%, $E$9)</f>
        <v>17.3919</v>
      </c>
      <c r="E583" s="10">
        <f>CHOOSE(CONTROL!$C$42, 17.4231, 17.4231) * CHOOSE(CONTROL!$C$21, $C$9, 100%, $E$9)</f>
        <v>17.423100000000002</v>
      </c>
      <c r="F583" s="10">
        <f>CHOOSE(CONTROL!$C$42, 17.1715, 17.1715)*CHOOSE(CONTROL!$C$21, $C$9, 100%, $E$9)</f>
        <v>17.171500000000002</v>
      </c>
      <c r="G583" s="10">
        <f>CHOOSE(CONTROL!$C$42, 17.1877, 17.1877)*CHOOSE(CONTROL!$C$21, $C$9, 100%, $E$9)</f>
        <v>17.1877</v>
      </c>
      <c r="H583" s="10">
        <f>CHOOSE(CONTROL!$C$42, 17.4114, 17.4114) * CHOOSE(CONTROL!$C$21, $C$9, 100%, $E$9)</f>
        <v>17.4114</v>
      </c>
      <c r="I583" s="10">
        <f>CHOOSE(CONTROL!$C$42, 17.2056, 17.2056)* CHOOSE(CONTROL!$C$21, $C$9, 100%, $E$9)</f>
        <v>17.2056</v>
      </c>
      <c r="J583" s="10">
        <f>CHOOSE(CONTROL!$C$42, 17.1641, 17.1641)* CHOOSE(CONTROL!$C$21, $C$9, 100%, $E$9)</f>
        <v>17.164100000000001</v>
      </c>
      <c r="K583" s="10">
        <f>CHOOSE(CONTROL!$C$42, 16.8288, 16.8288) * CHOOSE(CONTROL!$C$21, $C$9, 100%, $E$9)</f>
        <v>16.828800000000001</v>
      </c>
      <c r="L583" s="10">
        <f>CHOOSE(CONTROL!$C$42, 17.9984, 17.9984) * CHOOSE(CONTROL!$C$21, $C$9, 100%, $E$9)</f>
        <v>17.9984</v>
      </c>
      <c r="M583" s="10">
        <f>CHOOSE(CONTROL!$C$42, 16.9576, 16.9576) * CHOOSE(CONTROL!$C$21, $C$9, 100%, $E$9)</f>
        <v>16.957599999999999</v>
      </c>
      <c r="N583" s="10">
        <f>CHOOSE(CONTROL!$C$42, 16.9737, 16.9737) * CHOOSE(CONTROL!$C$21, $C$9, 100%, $E$9)</f>
        <v>16.973700000000001</v>
      </c>
      <c r="O583" s="10">
        <f>CHOOSE(CONTROL!$C$42, 17.2015, 17.2015) * CHOOSE(CONTROL!$C$21, $C$9, 100%, $E$9)</f>
        <v>17.201499999999999</v>
      </c>
      <c r="P583" s="10">
        <f>CHOOSE(CONTROL!$C$42, 16.9986, 16.9986) * CHOOSE(CONTROL!$C$21, $C$9, 100%, $E$9)</f>
        <v>16.9986</v>
      </c>
      <c r="Q583" s="10">
        <f>CHOOSE(CONTROL!$C$42, 17.7968, 17.7968) * CHOOSE(CONTROL!$C$21, $C$9, 100%, $E$9)</f>
        <v>17.796800000000001</v>
      </c>
      <c r="R583" s="10">
        <f>CHOOSE(CONTROL!$C$42, 18.4283, 18.4283) * CHOOSE(CONTROL!$C$21, $C$9, 100%, $E$9)</f>
        <v>18.4283</v>
      </c>
      <c r="S583" s="10">
        <f>CHOOSE(CONTROL!$C$42, 16.6953, 16.6953) * CHOOSE(CONTROL!$C$21, $C$9, 100%, $E$9)</f>
        <v>16.6953</v>
      </c>
      <c r="T58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83" s="38">
        <f>(1000*CHOOSE(CONTROL!$C$42, 695, 695)*CHOOSE(CONTROL!$C$42, 0.5599, 0.5599)*CHOOSE(CONTROL!$C$42, 31, 31))/1000000</f>
        <v>12.063045499999998</v>
      </c>
      <c r="V583" s="38">
        <f>(1000*CHOOSE(CONTROL!$C$42, 500, 500)*CHOOSE(CONTROL!$C$42, 0.275, 0.275)*CHOOSE(CONTROL!$C$42, 31, 31))/1000000</f>
        <v>4.2625000000000002</v>
      </c>
      <c r="W583" s="38">
        <f>(1000*CHOOSE(CONTROL!$C$42, 0.1146, 0.1146)*CHOOSE(CONTROL!$C$42, 121.5, 121.5)*CHOOSE(CONTROL!$C$42, 31, 31))/1000000</f>
        <v>0.43164089999999994</v>
      </c>
      <c r="X583" s="38">
        <f>(31*0.1790888*245000/1000000)+(31*0.2374*100000/1000000)</f>
        <v>2.0961194359999999</v>
      </c>
      <c r="Y583" s="38">
        <f>(1000*600*CHOOSE(CONTROL!$C$42, 1.0585, 1.0585)*CHOOSE(CONTROL!$C$42, 31, 31))/1000000</f>
        <v>19.688099999999999</v>
      </c>
      <c r="Z583" s="38"/>
      <c r="AA583" s="10"/>
      <c r="AB583" s="39"/>
      <c r="AC583" s="33">
        <f>(B583*194.205+C583*267.466+D583*133.845+E583*53.484+F583*40+G583*185+H583*0+I583*100+J583*300)/(194.205+267.466+133.845+53.484+0+40+185+100+300)</f>
        <v>17.230223035086347</v>
      </c>
      <c r="AD583" s="27">
        <f>(M583*'RAP TEMPLATE-GAS AVAILABILITY'!O582+N583*'RAP TEMPLATE-GAS AVAILABILITY'!P582+O583*'RAP TEMPLATE-GAS AVAILABILITY'!Q582+P583*'RAP TEMPLATE-GAS AVAILABILITY'!R582)/('RAP TEMPLATE-GAS AVAILABILITY'!O582+'RAP TEMPLATE-GAS AVAILABILITY'!P582+'RAP TEMPLATE-GAS AVAILABILITY'!Q582+'RAP TEMPLATE-GAS AVAILABILITY'!R582)</f>
        <v>17.035638129496402</v>
      </c>
    </row>
    <row r="584" spans="1:30" ht="15.75">
      <c r="A584" s="13">
        <v>59049</v>
      </c>
      <c r="B584" s="10">
        <f>CHOOSE(CONTROL!$C$42, 16.3752, 16.3752) * CHOOSE(CONTROL!$C$21, $C$9, 100%, $E$9)</f>
        <v>16.3752</v>
      </c>
      <c r="C584" s="10">
        <f>CHOOSE(CONTROL!$C$42, 16.3832, 16.3832) * CHOOSE(CONTROL!$C$21, $C$9, 100%, $E$9)</f>
        <v>16.383199999999999</v>
      </c>
      <c r="D584" s="10">
        <f>CHOOSE(CONTROL!$C$42, 16.5403, 16.5403) * CHOOSE(CONTROL!$C$21, $C$9, 100%, $E$9)</f>
        <v>16.540299999999998</v>
      </c>
      <c r="E584" s="10">
        <f>CHOOSE(CONTROL!$C$42, 16.5715, 16.5715) * CHOOSE(CONTROL!$C$21, $C$9, 100%, $E$9)</f>
        <v>16.5715</v>
      </c>
      <c r="F584" s="10">
        <f>CHOOSE(CONTROL!$C$42, 16.3198, 16.3198)*CHOOSE(CONTROL!$C$21, $C$9, 100%, $E$9)</f>
        <v>16.319800000000001</v>
      </c>
      <c r="G584" s="10">
        <f>CHOOSE(CONTROL!$C$42, 16.336, 16.336)*CHOOSE(CONTROL!$C$21, $C$9, 100%, $E$9)</f>
        <v>16.335999999999999</v>
      </c>
      <c r="H584" s="10">
        <f>CHOOSE(CONTROL!$C$42, 16.5598, 16.5598) * CHOOSE(CONTROL!$C$21, $C$9, 100%, $E$9)</f>
        <v>16.559799999999999</v>
      </c>
      <c r="I584" s="10">
        <f>CHOOSE(CONTROL!$C$42, 16.354, 16.354)* CHOOSE(CONTROL!$C$21, $C$9, 100%, $E$9)</f>
        <v>16.353999999999999</v>
      </c>
      <c r="J584" s="10">
        <f>CHOOSE(CONTROL!$C$42, 16.3124, 16.3124)* CHOOSE(CONTROL!$C$21, $C$9, 100%, $E$9)</f>
        <v>16.3124</v>
      </c>
      <c r="K584" s="10">
        <f>CHOOSE(CONTROL!$C$42, 16.0036, 16.0036) * CHOOSE(CONTROL!$C$21, $C$9, 100%, $E$9)</f>
        <v>16.003599999999999</v>
      </c>
      <c r="L584" s="10">
        <f>CHOOSE(CONTROL!$C$42, 17.1468, 17.1468) * CHOOSE(CONTROL!$C$21, $C$9, 100%, $E$9)</f>
        <v>17.146799999999999</v>
      </c>
      <c r="M584" s="10">
        <f>CHOOSE(CONTROL!$C$42, 16.1178, 16.1178) * CHOOSE(CONTROL!$C$21, $C$9, 100%, $E$9)</f>
        <v>16.117799999999999</v>
      </c>
      <c r="N584" s="10">
        <f>CHOOSE(CONTROL!$C$42, 16.1339, 16.1339) * CHOOSE(CONTROL!$C$21, $C$9, 100%, $E$9)</f>
        <v>16.133900000000001</v>
      </c>
      <c r="O584" s="10">
        <f>CHOOSE(CONTROL!$C$42, 16.3618, 16.3618) * CHOOSE(CONTROL!$C$21, $C$9, 100%, $E$9)</f>
        <v>16.361799999999999</v>
      </c>
      <c r="P584" s="10">
        <f>CHOOSE(CONTROL!$C$42, 16.1589, 16.1589) * CHOOSE(CONTROL!$C$21, $C$9, 100%, $E$9)</f>
        <v>16.158899999999999</v>
      </c>
      <c r="Q584" s="10">
        <f>CHOOSE(CONTROL!$C$42, 16.9571, 16.9571) * CHOOSE(CONTROL!$C$21, $C$9, 100%, $E$9)</f>
        <v>16.957100000000001</v>
      </c>
      <c r="R584" s="10">
        <f>CHOOSE(CONTROL!$C$42, 17.5865, 17.5865) * CHOOSE(CONTROL!$C$21, $C$9, 100%, $E$9)</f>
        <v>17.586500000000001</v>
      </c>
      <c r="S584" s="10">
        <f>CHOOSE(CONTROL!$C$42, 15.8707, 15.8707) * CHOOSE(CONTROL!$C$21, $C$9, 100%, $E$9)</f>
        <v>15.870699999999999</v>
      </c>
      <c r="T58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84" s="38">
        <f>(1000*CHOOSE(CONTROL!$C$42, 695, 695)*CHOOSE(CONTROL!$C$42, 0.5599, 0.5599)*CHOOSE(CONTROL!$C$42, 31, 31))/1000000</f>
        <v>12.063045499999998</v>
      </c>
      <c r="V584" s="38">
        <f>(1000*CHOOSE(CONTROL!$C$42, 500, 500)*CHOOSE(CONTROL!$C$42, 0.275, 0.275)*CHOOSE(CONTROL!$C$42, 31, 31))/1000000</f>
        <v>4.2625000000000002</v>
      </c>
      <c r="W584" s="38">
        <f>(1000*CHOOSE(CONTROL!$C$42, 0.1146, 0.1146)*CHOOSE(CONTROL!$C$42, 121.5, 121.5)*CHOOSE(CONTROL!$C$42, 31, 31))/1000000</f>
        <v>0.43164089999999994</v>
      </c>
      <c r="X584" s="38">
        <f>(31*0.1790888*245000/1000000)+(31*0.2374*100000/1000000)</f>
        <v>2.0961194359999999</v>
      </c>
      <c r="Y584" s="38">
        <f>(1000*600*CHOOSE(CONTROL!$C$42, 1.0585, 1.0585)*CHOOSE(CONTROL!$C$42, 31, 31))/1000000</f>
        <v>19.688099999999999</v>
      </c>
      <c r="Z584" s="38"/>
      <c r="AA584" s="10"/>
      <c r="AB584" s="39"/>
      <c r="AC584" s="33">
        <f>(B584*194.205+C584*267.466+D584*133.845+E584*53.484+F584*40+G584*185+H584*0+I584*100+J584*300)/(194.205+267.466+133.845+53.484+0+40+185+100+300)</f>
        <v>16.378581826295132</v>
      </c>
      <c r="AD584" s="27">
        <f>(M584*'RAP TEMPLATE-GAS AVAILABILITY'!O583+N584*'RAP TEMPLATE-GAS AVAILABILITY'!P583+O584*'RAP TEMPLATE-GAS AVAILABILITY'!Q583+P584*'RAP TEMPLATE-GAS AVAILABILITY'!R583)/('RAP TEMPLATE-GAS AVAILABILITY'!O583+'RAP TEMPLATE-GAS AVAILABILITY'!P583+'RAP TEMPLATE-GAS AVAILABILITY'!Q583+'RAP TEMPLATE-GAS AVAILABILITY'!R583)</f>
        <v>16.195880575539565</v>
      </c>
    </row>
    <row r="585" spans="1:30" ht="15.75">
      <c r="A585" s="13">
        <v>59079</v>
      </c>
      <c r="B585" s="10">
        <f>CHOOSE(CONTROL!$C$42, 15.3347, 15.3347) * CHOOSE(CONTROL!$C$21, $C$9, 100%, $E$9)</f>
        <v>15.3347</v>
      </c>
      <c r="C585" s="10">
        <f>CHOOSE(CONTROL!$C$42, 15.3427, 15.3427) * CHOOSE(CONTROL!$C$21, $C$9, 100%, $E$9)</f>
        <v>15.342700000000001</v>
      </c>
      <c r="D585" s="10">
        <f>CHOOSE(CONTROL!$C$42, 15.4998, 15.4998) * CHOOSE(CONTROL!$C$21, $C$9, 100%, $E$9)</f>
        <v>15.4998</v>
      </c>
      <c r="E585" s="10">
        <f>CHOOSE(CONTROL!$C$42, 15.531, 15.531) * CHOOSE(CONTROL!$C$21, $C$9, 100%, $E$9)</f>
        <v>15.531000000000001</v>
      </c>
      <c r="F585" s="10">
        <f>CHOOSE(CONTROL!$C$42, 15.2791, 15.2791)*CHOOSE(CONTROL!$C$21, $C$9, 100%, $E$9)</f>
        <v>15.2791</v>
      </c>
      <c r="G585" s="10">
        <f>CHOOSE(CONTROL!$C$42, 15.2953, 15.2953)*CHOOSE(CONTROL!$C$21, $C$9, 100%, $E$9)</f>
        <v>15.295299999999999</v>
      </c>
      <c r="H585" s="10">
        <f>CHOOSE(CONTROL!$C$42, 15.5193, 15.5193) * CHOOSE(CONTROL!$C$21, $C$9, 100%, $E$9)</f>
        <v>15.519299999999999</v>
      </c>
      <c r="I585" s="10">
        <f>CHOOSE(CONTROL!$C$42, 15.3135, 15.3135)* CHOOSE(CONTROL!$C$21, $C$9, 100%, $E$9)</f>
        <v>15.313499999999999</v>
      </c>
      <c r="J585" s="10">
        <f>CHOOSE(CONTROL!$C$42, 15.2717, 15.2717)* CHOOSE(CONTROL!$C$21, $C$9, 100%, $E$9)</f>
        <v>15.271699999999999</v>
      </c>
      <c r="K585" s="10">
        <f>CHOOSE(CONTROL!$C$42, 14.9952, 14.9952) * CHOOSE(CONTROL!$C$21, $C$9, 100%, $E$9)</f>
        <v>14.995200000000001</v>
      </c>
      <c r="L585" s="10">
        <f>CHOOSE(CONTROL!$C$42, 16.1063, 16.1063) * CHOOSE(CONTROL!$C$21, $C$9, 100%, $E$9)</f>
        <v>16.106300000000001</v>
      </c>
      <c r="M585" s="10">
        <f>CHOOSE(CONTROL!$C$42, 15.0917, 15.0917) * CHOOSE(CONTROL!$C$21, $C$9, 100%, $E$9)</f>
        <v>15.091699999999999</v>
      </c>
      <c r="N585" s="10">
        <f>CHOOSE(CONTROL!$C$42, 15.1076, 15.1076) * CHOOSE(CONTROL!$C$21, $C$9, 100%, $E$9)</f>
        <v>15.1076</v>
      </c>
      <c r="O585" s="10">
        <f>CHOOSE(CONTROL!$C$42, 15.3358, 15.3358) * CHOOSE(CONTROL!$C$21, $C$9, 100%, $E$9)</f>
        <v>15.335800000000001</v>
      </c>
      <c r="P585" s="10">
        <f>CHOOSE(CONTROL!$C$42, 15.1329, 15.1329) * CHOOSE(CONTROL!$C$21, $C$9, 100%, $E$9)</f>
        <v>15.132899999999999</v>
      </c>
      <c r="Q585" s="10">
        <f>CHOOSE(CONTROL!$C$42, 15.9311, 15.9311) * CHOOSE(CONTROL!$C$21, $C$9, 100%, $E$9)</f>
        <v>15.931100000000001</v>
      </c>
      <c r="R585" s="10">
        <f>CHOOSE(CONTROL!$C$42, 16.558, 16.558) * CHOOSE(CONTROL!$C$21, $C$9, 100%, $E$9)</f>
        <v>16.558</v>
      </c>
      <c r="S585" s="10">
        <f>CHOOSE(CONTROL!$C$42, 14.8632, 14.8632) * CHOOSE(CONTROL!$C$21, $C$9, 100%, $E$9)</f>
        <v>14.863200000000001</v>
      </c>
      <c r="T58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85" s="38">
        <f>(1000*CHOOSE(CONTROL!$C$42, 695, 695)*CHOOSE(CONTROL!$C$42, 0.5599, 0.5599)*CHOOSE(CONTROL!$C$42, 30, 30))/1000000</f>
        <v>11.673914999999997</v>
      </c>
      <c r="V585" s="38">
        <f>(1000*CHOOSE(CONTROL!$C$42, 500, 500)*CHOOSE(CONTROL!$C$42, 0.275, 0.275)*CHOOSE(CONTROL!$C$42, 30, 30))/1000000</f>
        <v>4.125</v>
      </c>
      <c r="W585" s="38">
        <f>(1000*CHOOSE(CONTROL!$C$42, 0.1146, 0.1146)*CHOOSE(CONTROL!$C$42, 121.5, 121.5)*CHOOSE(CONTROL!$C$42, 30, 30))/1000000</f>
        <v>0.417717</v>
      </c>
      <c r="X585" s="38">
        <f>(30*0.1790888*245000/1000000)+(30*0.2374*100000/1000000)</f>
        <v>2.0285026799999999</v>
      </c>
      <c r="Y585" s="38">
        <f>(1000*600*CHOOSE(CONTROL!$C$42, 1.0585, 1.0585)*CHOOSE(CONTROL!$C$42, 30, 30))/1000000</f>
        <v>19.053000000000001</v>
      </c>
      <c r="Z585" s="38"/>
      <c r="AA585" s="10"/>
      <c r="AB585" s="39"/>
      <c r="AC585" s="33">
        <f>(B585*194.205+C585*267.466+D585*133.845+E585*53.484+F585*40+G585*185+H585*0+I585*100+J585*300)/(194.205+267.466+133.845+53.484+0+40+185+100+300)</f>
        <v>15.337999408712715</v>
      </c>
      <c r="AD585" s="27">
        <f>(M585*'RAP TEMPLATE-GAS AVAILABILITY'!O584+N585*'RAP TEMPLATE-GAS AVAILABILITY'!P584+O585*'RAP TEMPLATE-GAS AVAILABILITY'!Q584+P585*'RAP TEMPLATE-GAS AVAILABILITY'!R584)/('RAP TEMPLATE-GAS AVAILABILITY'!O584+'RAP TEMPLATE-GAS AVAILABILITY'!P584+'RAP TEMPLATE-GAS AVAILABILITY'!Q584+'RAP TEMPLATE-GAS AVAILABILITY'!R584)</f>
        <v>15.169776978417264</v>
      </c>
    </row>
    <row r="586" spans="1:30" ht="15.75">
      <c r="A586" s="13">
        <v>59110</v>
      </c>
      <c r="B586" s="10">
        <f>CHOOSE(CONTROL!$C$42, 15.0209, 15.0209) * CHOOSE(CONTROL!$C$21, $C$9, 100%, $E$9)</f>
        <v>15.020899999999999</v>
      </c>
      <c r="C586" s="10">
        <f>CHOOSE(CONTROL!$C$42, 15.0263, 15.0263) * CHOOSE(CONTROL!$C$21, $C$9, 100%, $E$9)</f>
        <v>15.026300000000001</v>
      </c>
      <c r="D586" s="10">
        <f>CHOOSE(CONTROL!$C$42, 15.1882, 15.1882) * CHOOSE(CONTROL!$C$21, $C$9, 100%, $E$9)</f>
        <v>15.1882</v>
      </c>
      <c r="E586" s="10">
        <f>CHOOSE(CONTROL!$C$42, 15.2171, 15.2171) * CHOOSE(CONTROL!$C$21, $C$9, 100%, $E$9)</f>
        <v>15.2171</v>
      </c>
      <c r="F586" s="10">
        <f>CHOOSE(CONTROL!$C$42, 14.9673, 14.9673)*CHOOSE(CONTROL!$C$21, $C$9, 100%, $E$9)</f>
        <v>14.9673</v>
      </c>
      <c r="G586" s="10">
        <f>CHOOSE(CONTROL!$C$42, 14.9831, 14.9831)*CHOOSE(CONTROL!$C$21, $C$9, 100%, $E$9)</f>
        <v>14.9831</v>
      </c>
      <c r="H586" s="10">
        <f>CHOOSE(CONTROL!$C$42, 15.2072, 15.2072) * CHOOSE(CONTROL!$C$21, $C$9, 100%, $E$9)</f>
        <v>15.2072</v>
      </c>
      <c r="I586" s="10">
        <f>CHOOSE(CONTROL!$C$42, 15.0014, 15.0014)* CHOOSE(CONTROL!$C$21, $C$9, 100%, $E$9)</f>
        <v>15.0014</v>
      </c>
      <c r="J586" s="10">
        <f>CHOOSE(CONTROL!$C$42, 14.9599, 14.9599)* CHOOSE(CONTROL!$C$21, $C$9, 100%, $E$9)</f>
        <v>14.959899999999999</v>
      </c>
      <c r="K586" s="10">
        <f>CHOOSE(CONTROL!$C$42, 14.6935, 14.6935) * CHOOSE(CONTROL!$C$21, $C$9, 100%, $E$9)</f>
        <v>14.6935</v>
      </c>
      <c r="L586" s="10">
        <f>CHOOSE(CONTROL!$C$42, 15.7942, 15.7942) * CHOOSE(CONTROL!$C$21, $C$9, 100%, $E$9)</f>
        <v>15.7942</v>
      </c>
      <c r="M586" s="10">
        <f>CHOOSE(CONTROL!$C$42, 14.7842, 14.7842) * CHOOSE(CONTROL!$C$21, $C$9, 100%, $E$9)</f>
        <v>14.7842</v>
      </c>
      <c r="N586" s="10">
        <f>CHOOSE(CONTROL!$C$42, 14.7998, 14.7998) * CHOOSE(CONTROL!$C$21, $C$9, 100%, $E$9)</f>
        <v>14.799799999999999</v>
      </c>
      <c r="O586" s="10">
        <f>CHOOSE(CONTROL!$C$42, 15.0281, 15.0281) * CHOOSE(CONTROL!$C$21, $C$9, 100%, $E$9)</f>
        <v>15.0281</v>
      </c>
      <c r="P586" s="10">
        <f>CHOOSE(CONTROL!$C$42, 14.8252, 14.8252) * CHOOSE(CONTROL!$C$21, $C$9, 100%, $E$9)</f>
        <v>14.825200000000001</v>
      </c>
      <c r="Q586" s="10">
        <f>CHOOSE(CONTROL!$C$42, 15.6234, 15.6234) * CHOOSE(CONTROL!$C$21, $C$9, 100%, $E$9)</f>
        <v>15.6234</v>
      </c>
      <c r="R586" s="10">
        <f>CHOOSE(CONTROL!$C$42, 16.2495, 16.2495) * CHOOSE(CONTROL!$C$21, $C$9, 100%, $E$9)</f>
        <v>16.249500000000001</v>
      </c>
      <c r="S586" s="10">
        <f>CHOOSE(CONTROL!$C$42, 14.561, 14.561) * CHOOSE(CONTROL!$C$21, $C$9, 100%, $E$9)</f>
        <v>14.561</v>
      </c>
      <c r="T58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86" s="38">
        <f>(1000*CHOOSE(CONTROL!$C$42, 695, 695)*CHOOSE(CONTROL!$C$42, 0.5599, 0.5599)*CHOOSE(CONTROL!$C$42, 31, 31))/1000000</f>
        <v>12.063045499999998</v>
      </c>
      <c r="V586" s="38">
        <f>(1000*CHOOSE(CONTROL!$C$42, 500, 500)*CHOOSE(CONTROL!$C$42, 0.275, 0.275)*CHOOSE(CONTROL!$C$42, 31, 31))/1000000</f>
        <v>4.2625000000000002</v>
      </c>
      <c r="W586" s="38">
        <f>(1000*CHOOSE(CONTROL!$C$42, 0.1146, 0.1146)*CHOOSE(CONTROL!$C$42, 121.5, 121.5)*CHOOSE(CONTROL!$C$42, 31, 31))/1000000</f>
        <v>0.43164089999999994</v>
      </c>
      <c r="X586" s="38">
        <f>(31*0.1790888*245000/1000000)+(31*0.2374*100000/1000000)</f>
        <v>2.0961194359999999</v>
      </c>
      <c r="Y586" s="38">
        <f>(1000*600*CHOOSE(CONTROL!$C$42, 1.0585, 1.0585)*CHOOSE(CONTROL!$C$42, 31, 31))/1000000</f>
        <v>19.688099999999999</v>
      </c>
      <c r="Z586" s="38"/>
      <c r="AA586" s="10"/>
      <c r="AB586" s="39"/>
      <c r="AC586" s="33">
        <f>(B586*131.881+C586*277.167+D586*79.08+E586*125.872+F586*40+G586*185+H586*0+I586*100+J586*300)/(131.881+277.167+79.08+125.872+0+40+185+100+300)</f>
        <v>15.028999977562551</v>
      </c>
      <c r="AD586" s="27">
        <f>(M586*'RAP TEMPLATE-GAS AVAILABILITY'!O585+N586*'RAP TEMPLATE-GAS AVAILABILITY'!P585+O586*'RAP TEMPLATE-GAS AVAILABILITY'!Q585+P586*'RAP TEMPLATE-GAS AVAILABILITY'!R585)/('RAP TEMPLATE-GAS AVAILABILITY'!O585+'RAP TEMPLATE-GAS AVAILABILITY'!P585+'RAP TEMPLATE-GAS AVAILABILITY'!Q585+'RAP TEMPLATE-GAS AVAILABILITY'!R585)</f>
        <v>14.862123021582732</v>
      </c>
    </row>
    <row r="587" spans="1:30" ht="15.75">
      <c r="A587" s="13">
        <v>59140</v>
      </c>
      <c r="B587" s="10">
        <f>CHOOSE(CONTROL!$C$42, 15.4166, 15.4166) * CHOOSE(CONTROL!$C$21, $C$9, 100%, $E$9)</f>
        <v>15.416600000000001</v>
      </c>
      <c r="C587" s="10">
        <f>CHOOSE(CONTROL!$C$42, 15.4217, 15.4217) * CHOOSE(CONTROL!$C$21, $C$9, 100%, $E$9)</f>
        <v>15.4217</v>
      </c>
      <c r="D587" s="10">
        <f>CHOOSE(CONTROL!$C$42, 15.4464, 15.4464) * CHOOSE(CONTROL!$C$21, $C$9, 100%, $E$9)</f>
        <v>15.446400000000001</v>
      </c>
      <c r="E587" s="10">
        <f>CHOOSE(CONTROL!$C$42, 15.4802, 15.4802) * CHOOSE(CONTROL!$C$21, $C$9, 100%, $E$9)</f>
        <v>15.4802</v>
      </c>
      <c r="F587" s="10">
        <f>CHOOSE(CONTROL!$C$42, 15.385, 15.385)*CHOOSE(CONTROL!$C$21, $C$9, 100%, $E$9)</f>
        <v>15.385</v>
      </c>
      <c r="G587" s="10">
        <f>CHOOSE(CONTROL!$C$42, 15.401, 15.401)*CHOOSE(CONTROL!$C$21, $C$9, 100%, $E$9)</f>
        <v>15.401</v>
      </c>
      <c r="H587" s="10">
        <f>CHOOSE(CONTROL!$C$42, 15.4691, 15.4691) * CHOOSE(CONTROL!$C$21, $C$9, 100%, $E$9)</f>
        <v>15.469099999999999</v>
      </c>
      <c r="I587" s="10">
        <f>CHOOSE(CONTROL!$C$42, 15.4316, 15.4316)* CHOOSE(CONTROL!$C$21, $C$9, 100%, $E$9)</f>
        <v>15.4316</v>
      </c>
      <c r="J587" s="10">
        <f>CHOOSE(CONTROL!$C$42, 15.3776, 15.3776)* CHOOSE(CONTROL!$C$21, $C$9, 100%, $E$9)</f>
        <v>15.377599999999999</v>
      </c>
      <c r="K587" s="10">
        <f>CHOOSE(CONTROL!$C$42, 15.1125, 15.1125) * CHOOSE(CONTROL!$C$21, $C$9, 100%, $E$9)</f>
        <v>15.112500000000001</v>
      </c>
      <c r="L587" s="10">
        <f>CHOOSE(CONTROL!$C$42, 16.0561, 16.0561) * CHOOSE(CONTROL!$C$21, $C$9, 100%, $E$9)</f>
        <v>16.056100000000001</v>
      </c>
      <c r="M587" s="10">
        <f>CHOOSE(CONTROL!$C$42, 15.1961, 15.1961) * CHOOSE(CONTROL!$C$21, $C$9, 100%, $E$9)</f>
        <v>15.196099999999999</v>
      </c>
      <c r="N587" s="10">
        <f>CHOOSE(CONTROL!$C$42, 15.2118, 15.2118) * CHOOSE(CONTROL!$C$21, $C$9, 100%, $E$9)</f>
        <v>15.2118</v>
      </c>
      <c r="O587" s="10">
        <f>CHOOSE(CONTROL!$C$42, 15.2863, 15.2863) * CHOOSE(CONTROL!$C$21, $C$9, 100%, $E$9)</f>
        <v>15.286300000000001</v>
      </c>
      <c r="P587" s="10">
        <f>CHOOSE(CONTROL!$C$42, 15.2494, 15.2494) * CHOOSE(CONTROL!$C$21, $C$9, 100%, $E$9)</f>
        <v>15.2494</v>
      </c>
      <c r="Q587" s="10">
        <f>CHOOSE(CONTROL!$C$42, 15.8816, 15.8816) * CHOOSE(CONTROL!$C$21, $C$9, 100%, $E$9)</f>
        <v>15.881600000000001</v>
      </c>
      <c r="R587" s="10">
        <f>CHOOSE(CONTROL!$C$42, 16.5083, 16.5083) * CHOOSE(CONTROL!$C$21, $C$9, 100%, $E$9)</f>
        <v>16.508299999999998</v>
      </c>
      <c r="S587" s="10">
        <f>CHOOSE(CONTROL!$C$42, 14.9446, 14.9446) * CHOOSE(CONTROL!$C$21, $C$9, 100%, $E$9)</f>
        <v>14.944599999999999</v>
      </c>
      <c r="T58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87" s="38">
        <f>(1000*CHOOSE(CONTROL!$C$42, 695, 695)*CHOOSE(CONTROL!$C$42, 0.5599, 0.5599)*CHOOSE(CONTROL!$C$42, 30, 30))/1000000</f>
        <v>11.673914999999997</v>
      </c>
      <c r="V587" s="38">
        <f>(1000*CHOOSE(CONTROL!$C$42, 500, 500)*CHOOSE(CONTROL!$C$42, 0.275, 0.275)*CHOOSE(CONTROL!$C$42, 30, 30))/1000000</f>
        <v>4.125</v>
      </c>
      <c r="W587" s="38">
        <f>(1000*CHOOSE(CONTROL!$C$42, 0.1146, 0.1146)*CHOOSE(CONTROL!$C$42, 121.5, 121.5)*CHOOSE(CONTROL!$C$42, 30, 30))/1000000</f>
        <v>0.417717</v>
      </c>
      <c r="X587" s="38">
        <f>(30*0.1790888*100000/1000000)+(30*0.2374*100000/1000000)</f>
        <v>1.2494664</v>
      </c>
      <c r="Y587" s="38">
        <f>(1000*600*CHOOSE(CONTROL!$C$42, 1.0585, 1.0585)*CHOOSE(CONTROL!$C$42, 30, 30))/1000000</f>
        <v>19.053000000000001</v>
      </c>
      <c r="Z587" s="38"/>
      <c r="AA587" s="10"/>
      <c r="AB587" s="39"/>
      <c r="AC587" s="33">
        <f>(B587*122.58+C587*297.941+D587*89.177+E587*40.302+F587*40+G587*160+H587*0+I587*100+J587*300)/(122.58+297.941+89.177+40.302+0+40+160+100+300)</f>
        <v>15.41032189643478</v>
      </c>
      <c r="AD587" s="27">
        <f>(M587*'RAP TEMPLATE-GAS AVAILABILITY'!O586+N587*'RAP TEMPLATE-GAS AVAILABILITY'!P586+O587*'RAP TEMPLATE-GAS AVAILABILITY'!Q586+P587*'RAP TEMPLATE-GAS AVAILABILITY'!R586)/('RAP TEMPLATE-GAS AVAILABILITY'!O586+'RAP TEMPLATE-GAS AVAILABILITY'!P586+'RAP TEMPLATE-GAS AVAILABILITY'!Q586+'RAP TEMPLATE-GAS AVAILABILITY'!R586)</f>
        <v>15.245554676258992</v>
      </c>
    </row>
    <row r="588" spans="1:30" ht="15.75">
      <c r="A588" s="13">
        <v>59171</v>
      </c>
      <c r="B588" s="10">
        <f>CHOOSE(CONTROL!$C$42, 16.4688, 16.4688) * CHOOSE(CONTROL!$C$21, $C$9, 100%, $E$9)</f>
        <v>16.468800000000002</v>
      </c>
      <c r="C588" s="10">
        <f>CHOOSE(CONTROL!$C$42, 16.4739, 16.4739) * CHOOSE(CONTROL!$C$21, $C$9, 100%, $E$9)</f>
        <v>16.4739</v>
      </c>
      <c r="D588" s="10">
        <f>CHOOSE(CONTROL!$C$42, 16.4986, 16.4986) * CHOOSE(CONTROL!$C$21, $C$9, 100%, $E$9)</f>
        <v>16.4986</v>
      </c>
      <c r="E588" s="10">
        <f>CHOOSE(CONTROL!$C$42, 16.5324, 16.5324) * CHOOSE(CONTROL!$C$21, $C$9, 100%, $E$9)</f>
        <v>16.532399999999999</v>
      </c>
      <c r="F588" s="10">
        <f>CHOOSE(CONTROL!$C$42, 16.4391, 16.4391)*CHOOSE(CONTROL!$C$21, $C$9, 100%, $E$9)</f>
        <v>16.4391</v>
      </c>
      <c r="G588" s="10">
        <f>CHOOSE(CONTROL!$C$42, 16.4556, 16.4556)*CHOOSE(CONTROL!$C$21, $C$9, 100%, $E$9)</f>
        <v>16.4556</v>
      </c>
      <c r="H588" s="10">
        <f>CHOOSE(CONTROL!$C$42, 16.5213, 16.5213) * CHOOSE(CONTROL!$C$21, $C$9, 100%, $E$9)</f>
        <v>16.5213</v>
      </c>
      <c r="I588" s="10">
        <f>CHOOSE(CONTROL!$C$42, 16.4838, 16.4838)* CHOOSE(CONTROL!$C$21, $C$9, 100%, $E$9)</f>
        <v>16.483799999999999</v>
      </c>
      <c r="J588" s="10">
        <f>CHOOSE(CONTROL!$C$42, 16.4317, 16.4317)* CHOOSE(CONTROL!$C$21, $C$9, 100%, $E$9)</f>
        <v>16.431699999999999</v>
      </c>
      <c r="K588" s="10">
        <f>CHOOSE(CONTROL!$C$42, 16.136, 16.136) * CHOOSE(CONTROL!$C$21, $C$9, 100%, $E$9)</f>
        <v>16.135999999999999</v>
      </c>
      <c r="L588" s="10">
        <f>CHOOSE(CONTROL!$C$42, 17.1083, 17.1083) * CHOOSE(CONTROL!$C$21, $C$9, 100%, $E$9)</f>
        <v>17.1083</v>
      </c>
      <c r="M588" s="10">
        <f>CHOOSE(CONTROL!$C$42, 16.2355, 16.2355) * CHOOSE(CONTROL!$C$21, $C$9, 100%, $E$9)</f>
        <v>16.235499999999998</v>
      </c>
      <c r="N588" s="10">
        <f>CHOOSE(CONTROL!$C$42, 16.2517, 16.2517) * CHOOSE(CONTROL!$C$21, $C$9, 100%, $E$9)</f>
        <v>16.2517</v>
      </c>
      <c r="O588" s="10">
        <f>CHOOSE(CONTROL!$C$42, 16.3238, 16.3238) * CHOOSE(CONTROL!$C$21, $C$9, 100%, $E$9)</f>
        <v>16.323799999999999</v>
      </c>
      <c r="P588" s="10">
        <f>CHOOSE(CONTROL!$C$42, 16.2869, 16.2869) * CHOOSE(CONTROL!$C$21, $C$9, 100%, $E$9)</f>
        <v>16.286899999999999</v>
      </c>
      <c r="Q588" s="10">
        <f>CHOOSE(CONTROL!$C$42, 16.9191, 16.9191) * CHOOSE(CONTROL!$C$21, $C$9, 100%, $E$9)</f>
        <v>16.9191</v>
      </c>
      <c r="R588" s="10">
        <f>CHOOSE(CONTROL!$C$42, 17.5484, 17.5484) * CHOOSE(CONTROL!$C$21, $C$9, 100%, $E$9)</f>
        <v>17.548400000000001</v>
      </c>
      <c r="S588" s="10">
        <f>CHOOSE(CONTROL!$C$42, 15.9634, 15.9634) * CHOOSE(CONTROL!$C$21, $C$9, 100%, $E$9)</f>
        <v>15.9634</v>
      </c>
      <c r="T58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588" s="38">
        <f>(1000*CHOOSE(CONTROL!$C$42, 695, 695)*CHOOSE(CONTROL!$C$42, 0.5599, 0.5599)*CHOOSE(CONTROL!$C$42, 31, 31))/1000000</f>
        <v>12.063045499999998</v>
      </c>
      <c r="V588" s="38">
        <f>(1000*CHOOSE(CONTROL!$C$42, 500, 500)*CHOOSE(CONTROL!$C$42, 0.275, 0.275)*CHOOSE(CONTROL!$C$42, 31, 31))/1000000</f>
        <v>4.2625000000000002</v>
      </c>
      <c r="W588" s="38">
        <f>(1000*CHOOSE(CONTROL!$C$42, 0.1146, 0.1146)*CHOOSE(CONTROL!$C$42, 121.5, 121.5)*CHOOSE(CONTROL!$C$42, 31, 31))/1000000</f>
        <v>0.43164089999999994</v>
      </c>
      <c r="X588" s="38">
        <f>(31*0.1790888*100000/1000000)+(31*0.2374*100000/1000000)</f>
        <v>1.2911152800000001</v>
      </c>
      <c r="Y588" s="38">
        <f>(1000*600*CHOOSE(CONTROL!$C$42, 1.0585, 1.0585)*CHOOSE(CONTROL!$C$42, 31, 31))/1000000</f>
        <v>19.688099999999999</v>
      </c>
      <c r="Z588" s="38"/>
      <c r="AA588" s="10"/>
      <c r="AB588" s="39"/>
      <c r="AC588" s="33">
        <f>(B588*122.58+C588*297.941+D588*89.177+E588*40.302+F588*40+G588*160+H588*0+I588*100+J588*300)/(122.58+297.941+89.177+40.302+0+40+160+100+300)</f>
        <v>16.463417548608696</v>
      </c>
      <c r="AD588" s="27">
        <f>(M588*'RAP TEMPLATE-GAS AVAILABILITY'!O587+N588*'RAP TEMPLATE-GAS AVAILABILITY'!P587+O588*'RAP TEMPLATE-GAS AVAILABILITY'!Q587+P588*'RAP TEMPLATE-GAS AVAILABILITY'!R587)/('RAP TEMPLATE-GAS AVAILABILITY'!O587+'RAP TEMPLATE-GAS AVAILABILITY'!P587+'RAP TEMPLATE-GAS AVAILABILITY'!Q587+'RAP TEMPLATE-GAS AVAILABILITY'!R587)</f>
        <v>16.28384892086331</v>
      </c>
    </row>
    <row r="589" spans="1:30" ht="15.75">
      <c r="A589" s="13">
        <v>59202</v>
      </c>
      <c r="B589" s="10">
        <f>CHOOSE(CONTROL!$C$42, 17.5815, 17.5815) * CHOOSE(CONTROL!$C$21, $C$9, 100%, $E$9)</f>
        <v>17.581499999999998</v>
      </c>
      <c r="C589" s="10">
        <f>CHOOSE(CONTROL!$C$42, 17.5866, 17.5866) * CHOOSE(CONTROL!$C$21, $C$9, 100%, $E$9)</f>
        <v>17.586600000000001</v>
      </c>
      <c r="D589" s="10">
        <f>CHOOSE(CONTROL!$C$42, 17.619, 17.619) * CHOOSE(CONTROL!$C$21, $C$9, 100%, $E$9)</f>
        <v>17.619</v>
      </c>
      <c r="E589" s="10">
        <f>CHOOSE(CONTROL!$C$42, 17.6528, 17.6528) * CHOOSE(CONTROL!$C$21, $C$9, 100%, $E$9)</f>
        <v>17.652799999999999</v>
      </c>
      <c r="F589" s="10">
        <f>CHOOSE(CONTROL!$C$42, 17.5657, 17.5657)*CHOOSE(CONTROL!$C$21, $C$9, 100%, $E$9)</f>
        <v>17.5657</v>
      </c>
      <c r="G589" s="10">
        <f>CHOOSE(CONTROL!$C$42, 17.5837, 17.5837)*CHOOSE(CONTROL!$C$21, $C$9, 100%, $E$9)</f>
        <v>17.5837</v>
      </c>
      <c r="H589" s="10">
        <f>CHOOSE(CONTROL!$C$42, 17.6417, 17.6417) * CHOOSE(CONTROL!$C$21, $C$9, 100%, $E$9)</f>
        <v>17.6417</v>
      </c>
      <c r="I589" s="10">
        <f>CHOOSE(CONTROL!$C$42, 17.5949, 17.5949)* CHOOSE(CONTROL!$C$21, $C$9, 100%, $E$9)</f>
        <v>17.594899999999999</v>
      </c>
      <c r="J589" s="10">
        <f>CHOOSE(CONTROL!$C$42, 17.5583, 17.5583)* CHOOSE(CONTROL!$C$21, $C$9, 100%, $E$9)</f>
        <v>17.558299999999999</v>
      </c>
      <c r="K589" s="10">
        <f>CHOOSE(CONTROL!$C$42, 17.2263, 17.2263) * CHOOSE(CONTROL!$C$21, $C$9, 100%, $E$9)</f>
        <v>17.226299999999998</v>
      </c>
      <c r="L589" s="10">
        <f>CHOOSE(CONTROL!$C$42, 18.2287, 18.2287) * CHOOSE(CONTROL!$C$21, $C$9, 100%, $E$9)</f>
        <v>18.2287</v>
      </c>
      <c r="M589" s="10">
        <f>CHOOSE(CONTROL!$C$42, 17.3464, 17.3464) * CHOOSE(CONTROL!$C$21, $C$9, 100%, $E$9)</f>
        <v>17.346399999999999</v>
      </c>
      <c r="N589" s="10">
        <f>CHOOSE(CONTROL!$C$42, 17.3641, 17.3641) * CHOOSE(CONTROL!$C$21, $C$9, 100%, $E$9)</f>
        <v>17.364100000000001</v>
      </c>
      <c r="O589" s="10">
        <f>CHOOSE(CONTROL!$C$42, 17.4286, 17.4286) * CHOOSE(CONTROL!$C$21, $C$9, 100%, $E$9)</f>
        <v>17.428599999999999</v>
      </c>
      <c r="P589" s="10">
        <f>CHOOSE(CONTROL!$C$42, 17.3825, 17.3825) * CHOOSE(CONTROL!$C$21, $C$9, 100%, $E$9)</f>
        <v>17.3825</v>
      </c>
      <c r="Q589" s="10">
        <f>CHOOSE(CONTROL!$C$42, 18.0239, 18.0239) * CHOOSE(CONTROL!$C$21, $C$9, 100%, $E$9)</f>
        <v>18.023900000000001</v>
      </c>
      <c r="R589" s="10">
        <f>CHOOSE(CONTROL!$C$42, 18.656, 18.656) * CHOOSE(CONTROL!$C$21, $C$9, 100%, $E$9)</f>
        <v>18.655999999999999</v>
      </c>
      <c r="S589" s="10">
        <f>CHOOSE(CONTROL!$C$42, 17.0408, 17.0408) * CHOOSE(CONTROL!$C$21, $C$9, 100%, $E$9)</f>
        <v>17.040800000000001</v>
      </c>
      <c r="T58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589" s="38">
        <f>(1000*CHOOSE(CONTROL!$C$42, 695, 695)*CHOOSE(CONTROL!$C$42, 0.5599, 0.5599)*CHOOSE(CONTROL!$C$42, 31, 31))/1000000</f>
        <v>12.063045499999998</v>
      </c>
      <c r="V589" s="38">
        <f>(1000*CHOOSE(CONTROL!$C$42, 500, 500)*CHOOSE(CONTROL!$C$42, 0.275, 0.275)*CHOOSE(CONTROL!$C$42, 31, 31))/1000000</f>
        <v>4.2625000000000002</v>
      </c>
      <c r="W589" s="38">
        <f>(1000*CHOOSE(CONTROL!$C$42, 0.1146, 0.1146)*CHOOSE(CONTROL!$C$42, 121.5, 121.5)*CHOOSE(CONTROL!$C$42, 31, 31))/1000000</f>
        <v>0.43164089999999994</v>
      </c>
      <c r="X589" s="38">
        <f>(31*0.1790888*100000/1000000)+(31*0.2374*100000/1000000)</f>
        <v>1.2911152800000001</v>
      </c>
      <c r="Y589" s="38">
        <f>(1000*600*CHOOSE(CONTROL!$C$42, 1.0585, 1.0585)*CHOOSE(CONTROL!$C$42, 31, 31))/1000000</f>
        <v>19.688099999999999</v>
      </c>
      <c r="Z589" s="38"/>
      <c r="AA589" s="10"/>
      <c r="AB589" s="39"/>
      <c r="AC589" s="33">
        <f>(B589*122.58+C589*297.941+D589*89.177+E589*40.302+F589*40+G589*160+H589*0+I589*100+J589*300)/(122.58+297.941+89.177+40.302+0+40+160+100+300)</f>
        <v>17.583097538434782</v>
      </c>
      <c r="AD589" s="27">
        <f>(M589*'RAP TEMPLATE-GAS AVAILABILITY'!O588+N589*'RAP TEMPLATE-GAS AVAILABILITY'!P588+O589*'RAP TEMPLATE-GAS AVAILABILITY'!Q588+P589*'RAP TEMPLATE-GAS AVAILABILITY'!R588)/('RAP TEMPLATE-GAS AVAILABILITY'!O588+'RAP TEMPLATE-GAS AVAILABILITY'!P588+'RAP TEMPLATE-GAS AVAILABILITY'!Q588+'RAP TEMPLATE-GAS AVAILABILITY'!R588)</f>
        <v>17.389869064748201</v>
      </c>
    </row>
    <row r="590" spans="1:30" ht="15.75">
      <c r="A590" s="13">
        <v>59230</v>
      </c>
      <c r="B590" s="10">
        <f>CHOOSE(CONTROL!$C$42, 17.8948, 17.8948) * CHOOSE(CONTROL!$C$21, $C$9, 100%, $E$9)</f>
        <v>17.8948</v>
      </c>
      <c r="C590" s="10">
        <f>CHOOSE(CONTROL!$C$42, 17.8999, 17.8999) * CHOOSE(CONTROL!$C$21, $C$9, 100%, $E$9)</f>
        <v>17.899899999999999</v>
      </c>
      <c r="D590" s="10">
        <f>CHOOSE(CONTROL!$C$42, 17.9323, 17.9323) * CHOOSE(CONTROL!$C$21, $C$9, 100%, $E$9)</f>
        <v>17.932300000000001</v>
      </c>
      <c r="E590" s="10">
        <f>CHOOSE(CONTROL!$C$42, 17.9661, 17.9661) * CHOOSE(CONTROL!$C$21, $C$9, 100%, $E$9)</f>
        <v>17.966100000000001</v>
      </c>
      <c r="F590" s="10">
        <f>CHOOSE(CONTROL!$C$42, 17.8785, 17.8785)*CHOOSE(CONTROL!$C$21, $C$9, 100%, $E$9)</f>
        <v>17.878499999999999</v>
      </c>
      <c r="G590" s="10">
        <f>CHOOSE(CONTROL!$C$42, 17.8964, 17.8964)*CHOOSE(CONTROL!$C$21, $C$9, 100%, $E$9)</f>
        <v>17.8964</v>
      </c>
      <c r="H590" s="10">
        <f>CHOOSE(CONTROL!$C$42, 17.955, 17.955) * CHOOSE(CONTROL!$C$21, $C$9, 100%, $E$9)</f>
        <v>17.954999999999998</v>
      </c>
      <c r="I590" s="10">
        <f>CHOOSE(CONTROL!$C$42, 17.9082, 17.9082)* CHOOSE(CONTROL!$C$21, $C$9, 100%, $E$9)</f>
        <v>17.908200000000001</v>
      </c>
      <c r="J590" s="10">
        <f>CHOOSE(CONTROL!$C$42, 17.8711, 17.8711)* CHOOSE(CONTROL!$C$21, $C$9, 100%, $E$9)</f>
        <v>17.871099999999998</v>
      </c>
      <c r="K590" s="10">
        <f>CHOOSE(CONTROL!$C$42, 17.5288, 17.5288) * CHOOSE(CONTROL!$C$21, $C$9, 100%, $E$9)</f>
        <v>17.5288</v>
      </c>
      <c r="L590" s="10">
        <f>CHOOSE(CONTROL!$C$42, 18.542, 18.542) * CHOOSE(CONTROL!$C$21, $C$9, 100%, $E$9)</f>
        <v>18.542000000000002</v>
      </c>
      <c r="M590" s="10">
        <f>CHOOSE(CONTROL!$C$42, 17.6548, 17.6548) * CHOOSE(CONTROL!$C$21, $C$9, 100%, $E$9)</f>
        <v>17.654800000000002</v>
      </c>
      <c r="N590" s="10">
        <f>CHOOSE(CONTROL!$C$42, 17.6725, 17.6725) * CHOOSE(CONTROL!$C$21, $C$9, 100%, $E$9)</f>
        <v>17.672499999999999</v>
      </c>
      <c r="O590" s="10">
        <f>CHOOSE(CONTROL!$C$42, 17.7375, 17.7375) * CHOOSE(CONTROL!$C$21, $C$9, 100%, $E$9)</f>
        <v>17.737500000000001</v>
      </c>
      <c r="P590" s="10">
        <f>CHOOSE(CONTROL!$C$42, 17.6914, 17.6914) * CHOOSE(CONTROL!$C$21, $C$9, 100%, $E$9)</f>
        <v>17.691400000000002</v>
      </c>
      <c r="Q590" s="10">
        <f>CHOOSE(CONTROL!$C$42, 18.3328, 18.3328) * CHOOSE(CONTROL!$C$21, $C$9, 100%, $E$9)</f>
        <v>18.332799999999999</v>
      </c>
      <c r="R590" s="10">
        <f>CHOOSE(CONTROL!$C$42, 18.9656, 18.9656) * CHOOSE(CONTROL!$C$21, $C$9, 100%, $E$9)</f>
        <v>18.965599999999998</v>
      </c>
      <c r="S590" s="10">
        <f>CHOOSE(CONTROL!$C$42, 17.3442, 17.3442) * CHOOSE(CONTROL!$C$21, $C$9, 100%, $E$9)</f>
        <v>17.344200000000001</v>
      </c>
      <c r="T59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590" s="38">
        <f>(1000*CHOOSE(CONTROL!$C$42, 695, 695)*CHOOSE(CONTROL!$C$42, 0.5599, 0.5599)*CHOOSE(CONTROL!$C$42, 28, 28))/1000000</f>
        <v>10.895653999999999</v>
      </c>
      <c r="V590" s="38">
        <f>(1000*CHOOSE(CONTROL!$C$42, 500, 500)*CHOOSE(CONTROL!$C$42, 0.275, 0.275)*CHOOSE(CONTROL!$C$42, 28, 28))/1000000</f>
        <v>3.85</v>
      </c>
      <c r="W590" s="38">
        <f>(1000*CHOOSE(CONTROL!$C$42, 0.1146, 0.1146)*CHOOSE(CONTROL!$C$42, 121.5, 121.5)*CHOOSE(CONTROL!$C$42, 28, 28))/1000000</f>
        <v>0.38986920000000003</v>
      </c>
      <c r="X590" s="38">
        <f>(28*0.1790888*100000/1000000)+(28*0.2374*100000/1000000)</f>
        <v>1.16616864</v>
      </c>
      <c r="Y590" s="38">
        <f>(1000*600*CHOOSE(CONTROL!$C$42, 1.0585, 1.0585)*CHOOSE(CONTROL!$C$42, 28, 28))/1000000</f>
        <v>17.782800000000002</v>
      </c>
      <c r="Z590" s="38"/>
      <c r="AA590" s="10"/>
      <c r="AB590" s="39"/>
      <c r="AC590" s="33">
        <f>(B590*122.58+C590*297.941+D590*89.177+E590*40.302+F590*40+G590*160+H590*0+I590*100+J590*300)/(122.58+297.941+89.177+40.302+0+40+160+100+300)</f>
        <v>17.896166234086959</v>
      </c>
      <c r="AD590" s="27">
        <f>(M590*'RAP TEMPLATE-GAS AVAILABILITY'!O589+N590*'RAP TEMPLATE-GAS AVAILABILITY'!P589+O590*'RAP TEMPLATE-GAS AVAILABILITY'!Q589+P590*'RAP TEMPLATE-GAS AVAILABILITY'!R589)/('RAP TEMPLATE-GAS AVAILABILITY'!O589+'RAP TEMPLATE-GAS AVAILABILITY'!P589+'RAP TEMPLATE-GAS AVAILABILITY'!Q589+'RAP TEMPLATE-GAS AVAILABILITY'!R589)</f>
        <v>17.69856762589928</v>
      </c>
    </row>
    <row r="591" spans="1:30" ht="15.75">
      <c r="A591" s="13">
        <v>59261</v>
      </c>
      <c r="B591" s="10">
        <f>CHOOSE(CONTROL!$C$42, 17.3863, 17.3863) * CHOOSE(CONTROL!$C$21, $C$9, 100%, $E$9)</f>
        <v>17.386299999999999</v>
      </c>
      <c r="C591" s="10">
        <f>CHOOSE(CONTROL!$C$42, 17.3914, 17.3914) * CHOOSE(CONTROL!$C$21, $C$9, 100%, $E$9)</f>
        <v>17.391400000000001</v>
      </c>
      <c r="D591" s="10">
        <f>CHOOSE(CONTROL!$C$42, 17.4238, 17.4238) * CHOOSE(CONTROL!$C$21, $C$9, 100%, $E$9)</f>
        <v>17.4238</v>
      </c>
      <c r="E591" s="10">
        <f>CHOOSE(CONTROL!$C$42, 17.4576, 17.4576) * CHOOSE(CONTROL!$C$21, $C$9, 100%, $E$9)</f>
        <v>17.457599999999999</v>
      </c>
      <c r="F591" s="10">
        <f>CHOOSE(CONTROL!$C$42, 17.3685, 17.3685)*CHOOSE(CONTROL!$C$21, $C$9, 100%, $E$9)</f>
        <v>17.368500000000001</v>
      </c>
      <c r="G591" s="10">
        <f>CHOOSE(CONTROL!$C$42, 17.3861, 17.3861)*CHOOSE(CONTROL!$C$21, $C$9, 100%, $E$9)</f>
        <v>17.386099999999999</v>
      </c>
      <c r="H591" s="10">
        <f>CHOOSE(CONTROL!$C$42, 17.4465, 17.4465) * CHOOSE(CONTROL!$C$21, $C$9, 100%, $E$9)</f>
        <v>17.4465</v>
      </c>
      <c r="I591" s="10">
        <f>CHOOSE(CONTROL!$C$42, 17.3997, 17.3997)* CHOOSE(CONTROL!$C$21, $C$9, 100%, $E$9)</f>
        <v>17.399699999999999</v>
      </c>
      <c r="J591" s="10">
        <f>CHOOSE(CONTROL!$C$42, 17.3611, 17.3611)* CHOOSE(CONTROL!$C$21, $C$9, 100%, $E$9)</f>
        <v>17.3611</v>
      </c>
      <c r="K591" s="10">
        <f>CHOOSE(CONTROL!$C$42, 17.0331, 17.0331) * CHOOSE(CONTROL!$C$21, $C$9, 100%, $E$9)</f>
        <v>17.033100000000001</v>
      </c>
      <c r="L591" s="10">
        <f>CHOOSE(CONTROL!$C$42, 18.0335, 18.0335) * CHOOSE(CONTROL!$C$21, $C$9, 100%, $E$9)</f>
        <v>18.0335</v>
      </c>
      <c r="M591" s="10">
        <f>CHOOSE(CONTROL!$C$42, 17.1519, 17.1519) * CHOOSE(CONTROL!$C$21, $C$9, 100%, $E$9)</f>
        <v>17.151900000000001</v>
      </c>
      <c r="N591" s="10">
        <f>CHOOSE(CONTROL!$C$42, 17.1693, 17.1693) * CHOOSE(CONTROL!$C$21, $C$9, 100%, $E$9)</f>
        <v>17.1693</v>
      </c>
      <c r="O591" s="10">
        <f>CHOOSE(CONTROL!$C$42, 17.2361, 17.2361) * CHOOSE(CONTROL!$C$21, $C$9, 100%, $E$9)</f>
        <v>17.2361</v>
      </c>
      <c r="P591" s="10">
        <f>CHOOSE(CONTROL!$C$42, 17.19, 17.19) * CHOOSE(CONTROL!$C$21, $C$9, 100%, $E$9)</f>
        <v>17.190000000000001</v>
      </c>
      <c r="Q591" s="10">
        <f>CHOOSE(CONTROL!$C$42, 17.8314, 17.8314) * CHOOSE(CONTROL!$C$21, $C$9, 100%, $E$9)</f>
        <v>17.831399999999999</v>
      </c>
      <c r="R591" s="10">
        <f>CHOOSE(CONTROL!$C$42, 18.463, 18.463) * CHOOSE(CONTROL!$C$21, $C$9, 100%, $E$9)</f>
        <v>18.463000000000001</v>
      </c>
      <c r="S591" s="10">
        <f>CHOOSE(CONTROL!$C$42, 16.8518, 16.8518) * CHOOSE(CONTROL!$C$21, $C$9, 100%, $E$9)</f>
        <v>16.851800000000001</v>
      </c>
      <c r="T59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591" s="38">
        <f>(1000*CHOOSE(CONTROL!$C$42, 695, 695)*CHOOSE(CONTROL!$C$42, 0.5599, 0.5599)*CHOOSE(CONTROL!$C$42, 31, 31))/1000000</f>
        <v>12.063045499999998</v>
      </c>
      <c r="V591" s="38">
        <f>(1000*CHOOSE(CONTROL!$C$42, 500, 500)*CHOOSE(CONTROL!$C$42, 0.275, 0.275)*CHOOSE(CONTROL!$C$42, 31, 31))/1000000</f>
        <v>4.2625000000000002</v>
      </c>
      <c r="W591" s="38">
        <f>(1000*CHOOSE(CONTROL!$C$42, 0.1146, 0.1146)*CHOOSE(CONTROL!$C$42, 121.5, 121.5)*CHOOSE(CONTROL!$C$42, 31, 31))/1000000</f>
        <v>0.43164089999999994</v>
      </c>
      <c r="X591" s="38">
        <f>(31*0.1790888*100000/1000000)+(31*0.2374*100000/1000000)</f>
        <v>1.2911152800000001</v>
      </c>
      <c r="Y591" s="38">
        <f>(1000*600*CHOOSE(CONTROL!$C$42, 1.0585, 1.0585)*CHOOSE(CONTROL!$C$42, 31, 31))/1000000</f>
        <v>19.688099999999999</v>
      </c>
      <c r="Z591" s="38"/>
      <c r="AA591" s="10"/>
      <c r="AB591" s="39"/>
      <c r="AC591" s="33">
        <f>(B591*122.58+C591*297.941+D591*89.177+E591*40.302+F591*40+G591*160+H591*0+I591*100+J591*300)/(122.58+297.941+89.177+40.302+0+40+160+100+300)</f>
        <v>17.386972321043476</v>
      </c>
      <c r="AD591" s="27">
        <f>(M591*'RAP TEMPLATE-GAS AVAILABILITY'!O590+N591*'RAP TEMPLATE-GAS AVAILABILITY'!P590+O591*'RAP TEMPLATE-GAS AVAILABILITY'!Q590+P591*'RAP TEMPLATE-GAS AVAILABILITY'!R590)/('RAP TEMPLATE-GAS AVAILABILITY'!O590+'RAP TEMPLATE-GAS AVAILABILITY'!P590+'RAP TEMPLATE-GAS AVAILABILITY'!Q590+'RAP TEMPLATE-GAS AVAILABILITY'!R590)</f>
        <v>17.196546043165469</v>
      </c>
    </row>
    <row r="592" spans="1:30" ht="15.75">
      <c r="A592" s="13">
        <v>59291</v>
      </c>
      <c r="B592" s="10">
        <f>CHOOSE(CONTROL!$C$42, 17.3349, 17.3349) * CHOOSE(CONTROL!$C$21, $C$9, 100%, $E$9)</f>
        <v>17.334900000000001</v>
      </c>
      <c r="C592" s="10">
        <f>CHOOSE(CONTROL!$C$42, 17.3394, 17.3394) * CHOOSE(CONTROL!$C$21, $C$9, 100%, $E$9)</f>
        <v>17.339400000000001</v>
      </c>
      <c r="D592" s="10">
        <f>CHOOSE(CONTROL!$C$42, 17.4996, 17.4996) * CHOOSE(CONTROL!$C$21, $C$9, 100%, $E$9)</f>
        <v>17.499600000000001</v>
      </c>
      <c r="E592" s="10">
        <f>CHOOSE(CONTROL!$C$42, 17.5314, 17.5314) * CHOOSE(CONTROL!$C$21, $C$9, 100%, $E$9)</f>
        <v>17.531400000000001</v>
      </c>
      <c r="F592" s="10">
        <f>CHOOSE(CONTROL!$C$42, 17.281, 17.281)*CHOOSE(CONTROL!$C$21, $C$9, 100%, $E$9)</f>
        <v>17.280999999999999</v>
      </c>
      <c r="G592" s="10">
        <f>CHOOSE(CONTROL!$C$42, 17.2968, 17.2968)*CHOOSE(CONTROL!$C$21, $C$9, 100%, $E$9)</f>
        <v>17.296800000000001</v>
      </c>
      <c r="H592" s="10">
        <f>CHOOSE(CONTROL!$C$42, 17.5209, 17.5209) * CHOOSE(CONTROL!$C$21, $C$9, 100%, $E$9)</f>
        <v>17.520900000000001</v>
      </c>
      <c r="I592" s="10">
        <f>CHOOSE(CONTROL!$C$42, 17.3151, 17.3151)* CHOOSE(CONTROL!$C$21, $C$9, 100%, $E$9)</f>
        <v>17.315100000000001</v>
      </c>
      <c r="J592" s="10">
        <f>CHOOSE(CONTROL!$C$42, 17.2736, 17.2736)* CHOOSE(CONTROL!$C$21, $C$9, 100%, $E$9)</f>
        <v>17.273599999999998</v>
      </c>
      <c r="K592" s="10">
        <f>CHOOSE(CONTROL!$C$42, 16.9351, 16.9351) * CHOOSE(CONTROL!$C$21, $C$9, 100%, $E$9)</f>
        <v>16.935099999999998</v>
      </c>
      <c r="L592" s="10">
        <f>CHOOSE(CONTROL!$C$42, 18.1079, 18.1079) * CHOOSE(CONTROL!$C$21, $C$9, 100%, $E$9)</f>
        <v>18.107900000000001</v>
      </c>
      <c r="M592" s="10">
        <f>CHOOSE(CONTROL!$C$42, 17.0657, 17.0657) * CHOOSE(CONTROL!$C$21, $C$9, 100%, $E$9)</f>
        <v>17.0657</v>
      </c>
      <c r="N592" s="10">
        <f>CHOOSE(CONTROL!$C$42, 17.0813, 17.0813) * CHOOSE(CONTROL!$C$21, $C$9, 100%, $E$9)</f>
        <v>17.081299999999999</v>
      </c>
      <c r="O592" s="10">
        <f>CHOOSE(CONTROL!$C$42, 17.3095, 17.3095) * CHOOSE(CONTROL!$C$21, $C$9, 100%, $E$9)</f>
        <v>17.3095</v>
      </c>
      <c r="P592" s="10">
        <f>CHOOSE(CONTROL!$C$42, 17.1066, 17.1066) * CHOOSE(CONTROL!$C$21, $C$9, 100%, $E$9)</f>
        <v>17.1066</v>
      </c>
      <c r="Q592" s="10">
        <f>CHOOSE(CONTROL!$C$42, 17.9048, 17.9048) * CHOOSE(CONTROL!$C$21, $C$9, 100%, $E$9)</f>
        <v>17.904800000000002</v>
      </c>
      <c r="R592" s="10">
        <f>CHOOSE(CONTROL!$C$42, 18.5365, 18.5365) * CHOOSE(CONTROL!$C$21, $C$9, 100%, $E$9)</f>
        <v>18.5365</v>
      </c>
      <c r="S592" s="10">
        <f>CHOOSE(CONTROL!$C$42, 16.8013, 16.8013) * CHOOSE(CONTROL!$C$21, $C$9, 100%, $E$9)</f>
        <v>16.801300000000001</v>
      </c>
      <c r="T59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592" s="38">
        <f>(1000*CHOOSE(CONTROL!$C$42, 695, 695)*CHOOSE(CONTROL!$C$42, 0.5599, 0.5599)*CHOOSE(CONTROL!$C$42, 30, 30))/1000000</f>
        <v>11.673914999999997</v>
      </c>
      <c r="V592" s="38">
        <f>(1000*CHOOSE(CONTROL!$C$42, 500, 500)*CHOOSE(CONTROL!$C$42, 0.275, 0.275)*CHOOSE(CONTROL!$C$42, 30, 30))/1000000</f>
        <v>4.125</v>
      </c>
      <c r="W592" s="38">
        <f>(1000*CHOOSE(CONTROL!$C$42, 0.1146, 0.1146)*CHOOSE(CONTROL!$C$42, 121.5, 121.5)*CHOOSE(CONTROL!$C$42, 30, 30))/1000000</f>
        <v>0.417717</v>
      </c>
      <c r="X592" s="38">
        <f>(30*0.1790888*245000/1000000)+(30*0.2374*100000/1000000)</f>
        <v>2.0285026799999999</v>
      </c>
      <c r="Y592" s="38">
        <f>(1000*600*CHOOSE(CONTROL!$C$42, 1.0585, 1.0585)*CHOOSE(CONTROL!$C$42, 30, 30))/1000000</f>
        <v>19.053000000000001</v>
      </c>
      <c r="Z592" s="38"/>
      <c r="AA592" s="10"/>
      <c r="AB592" s="39"/>
      <c r="AC592" s="33">
        <f>(B592*141.293+C592*267.993+D592*115.016+E592*89.698+F592*40+G592*185+H592*0+I592*100+J592*300)/(141.293+267.993+115.016+89.698+0+40+185+100+300)</f>
        <v>17.34151845092817</v>
      </c>
      <c r="AD592" s="27">
        <f>(M592*'RAP TEMPLATE-GAS AVAILABILITY'!O591+N592*'RAP TEMPLATE-GAS AVAILABILITY'!P591+O592*'RAP TEMPLATE-GAS AVAILABILITY'!Q591+P592*'RAP TEMPLATE-GAS AVAILABILITY'!R591)/('RAP TEMPLATE-GAS AVAILABILITY'!O591+'RAP TEMPLATE-GAS AVAILABILITY'!P591+'RAP TEMPLATE-GAS AVAILABILITY'!Q591+'RAP TEMPLATE-GAS AVAILABILITY'!R591)</f>
        <v>17.182982014388489</v>
      </c>
    </row>
    <row r="593" spans="1:30" ht="15.75">
      <c r="A593" s="13">
        <v>59322</v>
      </c>
      <c r="B593" s="10">
        <f>CHOOSE(CONTROL!$C$42, 17.4899, 17.4899) * CHOOSE(CONTROL!$C$21, $C$9, 100%, $E$9)</f>
        <v>17.489899999999999</v>
      </c>
      <c r="C593" s="10">
        <f>CHOOSE(CONTROL!$C$42, 17.4979, 17.4979) * CHOOSE(CONTROL!$C$21, $C$9, 100%, $E$9)</f>
        <v>17.497900000000001</v>
      </c>
      <c r="D593" s="10">
        <f>CHOOSE(CONTROL!$C$42, 17.6549, 17.6549) * CHOOSE(CONTROL!$C$21, $C$9, 100%, $E$9)</f>
        <v>17.654900000000001</v>
      </c>
      <c r="E593" s="10">
        <f>CHOOSE(CONTROL!$C$42, 17.6861, 17.6861) * CHOOSE(CONTROL!$C$21, $C$9, 100%, $E$9)</f>
        <v>17.6861</v>
      </c>
      <c r="F593" s="10">
        <f>CHOOSE(CONTROL!$C$42, 17.434, 17.434)*CHOOSE(CONTROL!$C$21, $C$9, 100%, $E$9)</f>
        <v>17.434000000000001</v>
      </c>
      <c r="G593" s="10">
        <f>CHOOSE(CONTROL!$C$42, 17.4501, 17.4501)*CHOOSE(CONTROL!$C$21, $C$9, 100%, $E$9)</f>
        <v>17.450099999999999</v>
      </c>
      <c r="H593" s="10">
        <f>CHOOSE(CONTROL!$C$42, 17.6745, 17.6745) * CHOOSE(CONTROL!$C$21, $C$9, 100%, $E$9)</f>
        <v>17.674499999999998</v>
      </c>
      <c r="I593" s="10">
        <f>CHOOSE(CONTROL!$C$42, 17.4686, 17.4686)* CHOOSE(CONTROL!$C$21, $C$9, 100%, $E$9)</f>
        <v>17.468599999999999</v>
      </c>
      <c r="J593" s="10">
        <f>CHOOSE(CONTROL!$C$42, 17.4266, 17.4266)* CHOOSE(CONTROL!$C$21, $C$9, 100%, $E$9)</f>
        <v>17.426600000000001</v>
      </c>
      <c r="K593" s="10">
        <f>CHOOSE(CONTROL!$C$42, 17.0826, 17.0826) * CHOOSE(CONTROL!$C$21, $C$9, 100%, $E$9)</f>
        <v>17.082599999999999</v>
      </c>
      <c r="L593" s="10">
        <f>CHOOSE(CONTROL!$C$42, 18.2615, 18.2615) * CHOOSE(CONTROL!$C$21, $C$9, 100%, $E$9)</f>
        <v>18.261500000000002</v>
      </c>
      <c r="M593" s="10">
        <f>CHOOSE(CONTROL!$C$42, 17.2165, 17.2165) * CHOOSE(CONTROL!$C$21, $C$9, 100%, $E$9)</f>
        <v>17.2165</v>
      </c>
      <c r="N593" s="10">
        <f>CHOOSE(CONTROL!$C$42, 17.2324, 17.2324) * CHOOSE(CONTROL!$C$21, $C$9, 100%, $E$9)</f>
        <v>17.232399999999998</v>
      </c>
      <c r="O593" s="10">
        <f>CHOOSE(CONTROL!$C$42, 17.4609, 17.4609) * CHOOSE(CONTROL!$C$21, $C$9, 100%, $E$9)</f>
        <v>17.460899999999999</v>
      </c>
      <c r="P593" s="10">
        <f>CHOOSE(CONTROL!$C$42, 17.258, 17.258) * CHOOSE(CONTROL!$C$21, $C$9, 100%, $E$9)</f>
        <v>17.257999999999999</v>
      </c>
      <c r="Q593" s="10">
        <f>CHOOSE(CONTROL!$C$42, 18.0562, 18.0562) * CHOOSE(CONTROL!$C$21, $C$9, 100%, $E$9)</f>
        <v>18.0562</v>
      </c>
      <c r="R593" s="10">
        <f>CHOOSE(CONTROL!$C$42, 18.6884, 18.6884) * CHOOSE(CONTROL!$C$21, $C$9, 100%, $E$9)</f>
        <v>18.688400000000001</v>
      </c>
      <c r="S593" s="10">
        <f>CHOOSE(CONTROL!$C$42, 16.95, 16.95) * CHOOSE(CONTROL!$C$21, $C$9, 100%, $E$9)</f>
        <v>16.95</v>
      </c>
      <c r="T59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593" s="38">
        <f>(1000*CHOOSE(CONTROL!$C$42, 695, 695)*CHOOSE(CONTROL!$C$42, 0.5599, 0.5599)*CHOOSE(CONTROL!$C$42, 31, 31))/1000000</f>
        <v>12.063045499999998</v>
      </c>
      <c r="V593" s="38">
        <f>(1000*CHOOSE(CONTROL!$C$42, 500, 500)*CHOOSE(CONTROL!$C$42, 0.275, 0.275)*CHOOSE(CONTROL!$C$42, 31, 31))/1000000</f>
        <v>4.2625000000000002</v>
      </c>
      <c r="W593" s="38">
        <f>(1000*CHOOSE(CONTROL!$C$42, 0.1146, 0.1146)*CHOOSE(CONTROL!$C$42, 121.5, 121.5)*CHOOSE(CONTROL!$C$42, 31, 31))/1000000</f>
        <v>0.43164089999999994</v>
      </c>
      <c r="X593" s="38">
        <f>(31*0.1790888*245000/1000000)+(31*0.2374*100000/1000000)</f>
        <v>2.0961194359999999</v>
      </c>
      <c r="Y593" s="38">
        <f>(1000*600*CHOOSE(CONTROL!$C$42, 1.0585, 1.0585)*CHOOSE(CONTROL!$C$42, 31, 31))/1000000</f>
        <v>19.688099999999999</v>
      </c>
      <c r="Z593" s="38"/>
      <c r="AA593" s="10"/>
      <c r="AB593" s="39"/>
      <c r="AC593" s="33">
        <f>(B593*194.205+C593*267.466+D593*133.845+E593*53.484+F593*40+G593*185+H593*0+I593*100+J593*300)/(194.205+267.466+133.845+53.484+0+40+185+100+300)</f>
        <v>17.493038707849294</v>
      </c>
      <c r="AD593" s="27">
        <f>(M593*'RAP TEMPLATE-GAS AVAILABILITY'!O592+N593*'RAP TEMPLATE-GAS AVAILABILITY'!P592+O593*'RAP TEMPLATE-GAS AVAILABILITY'!Q592+P593*'RAP TEMPLATE-GAS AVAILABILITY'!R592)/('RAP TEMPLATE-GAS AVAILABILITY'!O592+'RAP TEMPLATE-GAS AVAILABILITY'!P592+'RAP TEMPLATE-GAS AVAILABILITY'!Q592+'RAP TEMPLATE-GAS AVAILABILITY'!R592)</f>
        <v>17.334157553956835</v>
      </c>
    </row>
    <row r="594" spans="1:30" ht="15.75">
      <c r="A594" s="13">
        <v>59352</v>
      </c>
      <c r="B594" s="10">
        <f>CHOOSE(CONTROL!$C$42, 17.9864, 17.9864) * CHOOSE(CONTROL!$C$21, $C$9, 100%, $E$9)</f>
        <v>17.9864</v>
      </c>
      <c r="C594" s="10">
        <f>CHOOSE(CONTROL!$C$42, 17.9944, 17.9944) * CHOOSE(CONTROL!$C$21, $C$9, 100%, $E$9)</f>
        <v>17.994399999999999</v>
      </c>
      <c r="D594" s="10">
        <f>CHOOSE(CONTROL!$C$42, 18.1514, 18.1514) * CHOOSE(CONTROL!$C$21, $C$9, 100%, $E$9)</f>
        <v>18.151399999999999</v>
      </c>
      <c r="E594" s="10">
        <f>CHOOSE(CONTROL!$C$42, 18.1827, 18.1827) * CHOOSE(CONTROL!$C$21, $C$9, 100%, $E$9)</f>
        <v>18.182700000000001</v>
      </c>
      <c r="F594" s="10">
        <f>CHOOSE(CONTROL!$C$42, 17.9307, 17.9307)*CHOOSE(CONTROL!$C$21, $C$9, 100%, $E$9)</f>
        <v>17.930700000000002</v>
      </c>
      <c r="G594" s="10">
        <f>CHOOSE(CONTROL!$C$42, 17.9469, 17.9469)*CHOOSE(CONTROL!$C$21, $C$9, 100%, $E$9)</f>
        <v>17.946899999999999</v>
      </c>
      <c r="H594" s="10">
        <f>CHOOSE(CONTROL!$C$42, 18.171, 18.171) * CHOOSE(CONTROL!$C$21, $C$9, 100%, $E$9)</f>
        <v>18.170999999999999</v>
      </c>
      <c r="I594" s="10">
        <f>CHOOSE(CONTROL!$C$42, 17.9652, 17.9652)* CHOOSE(CONTROL!$C$21, $C$9, 100%, $E$9)</f>
        <v>17.965199999999999</v>
      </c>
      <c r="J594" s="10">
        <f>CHOOSE(CONTROL!$C$42, 17.9233, 17.9233)* CHOOSE(CONTROL!$C$21, $C$9, 100%, $E$9)</f>
        <v>17.923300000000001</v>
      </c>
      <c r="K594" s="10">
        <f>CHOOSE(CONTROL!$C$42, 17.564, 17.564) * CHOOSE(CONTROL!$C$21, $C$9, 100%, $E$9)</f>
        <v>17.564</v>
      </c>
      <c r="L594" s="10">
        <f>CHOOSE(CONTROL!$C$42, 18.758, 18.758) * CHOOSE(CONTROL!$C$21, $C$9, 100%, $E$9)</f>
        <v>18.757999999999999</v>
      </c>
      <c r="M594" s="10">
        <f>CHOOSE(CONTROL!$C$42, 17.7063, 17.7063) * CHOOSE(CONTROL!$C$21, $C$9, 100%, $E$9)</f>
        <v>17.706299999999999</v>
      </c>
      <c r="N594" s="10">
        <f>CHOOSE(CONTROL!$C$42, 17.7222, 17.7222) * CHOOSE(CONTROL!$C$21, $C$9, 100%, $E$9)</f>
        <v>17.722200000000001</v>
      </c>
      <c r="O594" s="10">
        <f>CHOOSE(CONTROL!$C$42, 17.9505, 17.9505) * CHOOSE(CONTROL!$C$21, $C$9, 100%, $E$9)</f>
        <v>17.950500000000002</v>
      </c>
      <c r="P594" s="10">
        <f>CHOOSE(CONTROL!$C$42, 17.7476, 17.7476) * CHOOSE(CONTROL!$C$21, $C$9, 100%, $E$9)</f>
        <v>17.747599999999998</v>
      </c>
      <c r="Q594" s="10">
        <f>CHOOSE(CONTROL!$C$42, 18.5458, 18.5458) * CHOOSE(CONTROL!$C$21, $C$9, 100%, $E$9)</f>
        <v>18.5458</v>
      </c>
      <c r="R594" s="10">
        <f>CHOOSE(CONTROL!$C$42, 19.1792, 19.1792) * CHOOSE(CONTROL!$C$21, $C$9, 100%, $E$9)</f>
        <v>19.179200000000002</v>
      </c>
      <c r="S594" s="10">
        <f>CHOOSE(CONTROL!$C$42, 17.4308, 17.4308) * CHOOSE(CONTROL!$C$21, $C$9, 100%, $E$9)</f>
        <v>17.430800000000001</v>
      </c>
      <c r="T59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594" s="38">
        <f>(1000*CHOOSE(CONTROL!$C$42, 695, 695)*CHOOSE(CONTROL!$C$42, 0.5599, 0.5599)*CHOOSE(CONTROL!$C$42, 30, 30))/1000000</f>
        <v>11.673914999999997</v>
      </c>
      <c r="V594" s="38">
        <f>(1000*CHOOSE(CONTROL!$C$42, 500, 500)*CHOOSE(CONTROL!$C$42, 0.275, 0.275)*CHOOSE(CONTROL!$C$42, 30, 30))/1000000</f>
        <v>4.125</v>
      </c>
      <c r="W594" s="38">
        <f>(1000*CHOOSE(CONTROL!$C$42, 0.1146, 0.1146)*CHOOSE(CONTROL!$C$42, 121.5, 121.5)*CHOOSE(CONTROL!$C$42, 30, 30))/1000000</f>
        <v>0.417717</v>
      </c>
      <c r="X594" s="38">
        <f>(30*0.1790888*245000/1000000)+(30*0.2374*100000/1000000)</f>
        <v>2.0285026799999999</v>
      </c>
      <c r="Y594" s="38">
        <f>(1000*600*CHOOSE(CONTROL!$C$42, 1.0585, 1.0585)*CHOOSE(CONTROL!$C$42, 30, 30))/1000000</f>
        <v>19.053000000000001</v>
      </c>
      <c r="Z594" s="38"/>
      <c r="AA594" s="10"/>
      <c r="AB594" s="39"/>
      <c r="AC594" s="33">
        <f>(B594*194.205+C594*267.466+D594*133.845+E594*53.484+F594*40+G594*185+H594*0+I594*100+J594*300)/(194.205+267.466+133.845+53.484+0+40+185+100+300)</f>
        <v>17.989647694034538</v>
      </c>
      <c r="AD594" s="27">
        <f>(M594*'RAP TEMPLATE-GAS AVAILABILITY'!O593+N594*'RAP TEMPLATE-GAS AVAILABILITY'!P593+O594*'RAP TEMPLATE-GAS AVAILABILITY'!Q593+P594*'RAP TEMPLATE-GAS AVAILABILITY'!R593)/('RAP TEMPLATE-GAS AVAILABILITY'!O593+'RAP TEMPLATE-GAS AVAILABILITY'!P593+'RAP TEMPLATE-GAS AVAILABILITY'!Q593+'RAP TEMPLATE-GAS AVAILABILITY'!R593)</f>
        <v>17.823838129496401</v>
      </c>
    </row>
    <row r="595" spans="1:30" ht="15.75">
      <c r="A595" s="13">
        <v>59383</v>
      </c>
      <c r="B595" s="10">
        <f>CHOOSE(CONTROL!$C$42, 17.6411, 17.6411) * CHOOSE(CONTROL!$C$21, $C$9, 100%, $E$9)</f>
        <v>17.641100000000002</v>
      </c>
      <c r="C595" s="10">
        <f>CHOOSE(CONTROL!$C$42, 17.6491, 17.6491) * CHOOSE(CONTROL!$C$21, $C$9, 100%, $E$9)</f>
        <v>17.649100000000001</v>
      </c>
      <c r="D595" s="10">
        <f>CHOOSE(CONTROL!$C$42, 17.8061, 17.8061) * CHOOSE(CONTROL!$C$21, $C$9, 100%, $E$9)</f>
        <v>17.806100000000001</v>
      </c>
      <c r="E595" s="10">
        <f>CHOOSE(CONTROL!$C$42, 17.8373, 17.8373) * CHOOSE(CONTROL!$C$21, $C$9, 100%, $E$9)</f>
        <v>17.837299999999999</v>
      </c>
      <c r="F595" s="10">
        <f>CHOOSE(CONTROL!$C$42, 17.5857, 17.5857)*CHOOSE(CONTROL!$C$21, $C$9, 100%, $E$9)</f>
        <v>17.585699999999999</v>
      </c>
      <c r="G595" s="10">
        <f>CHOOSE(CONTROL!$C$42, 17.602, 17.602)*CHOOSE(CONTROL!$C$21, $C$9, 100%, $E$9)</f>
        <v>17.602</v>
      </c>
      <c r="H595" s="10">
        <f>CHOOSE(CONTROL!$C$42, 17.8256, 17.8256) * CHOOSE(CONTROL!$C$21, $C$9, 100%, $E$9)</f>
        <v>17.825600000000001</v>
      </c>
      <c r="I595" s="10">
        <f>CHOOSE(CONTROL!$C$42, 17.6198, 17.6198)* CHOOSE(CONTROL!$C$21, $C$9, 100%, $E$9)</f>
        <v>17.619800000000001</v>
      </c>
      <c r="J595" s="10">
        <f>CHOOSE(CONTROL!$C$42, 17.5783, 17.5783)* CHOOSE(CONTROL!$C$21, $C$9, 100%, $E$9)</f>
        <v>17.578299999999999</v>
      </c>
      <c r="K595" s="10">
        <f>CHOOSE(CONTROL!$C$42, 17.2301, 17.2301) * CHOOSE(CONTROL!$C$21, $C$9, 100%, $E$9)</f>
        <v>17.2301</v>
      </c>
      <c r="L595" s="10">
        <f>CHOOSE(CONTROL!$C$42, 18.4126, 18.4126) * CHOOSE(CONTROL!$C$21, $C$9, 100%, $E$9)</f>
        <v>18.412600000000001</v>
      </c>
      <c r="M595" s="10">
        <f>CHOOSE(CONTROL!$C$42, 17.3661, 17.3661) * CHOOSE(CONTROL!$C$21, $C$9, 100%, $E$9)</f>
        <v>17.366099999999999</v>
      </c>
      <c r="N595" s="10">
        <f>CHOOSE(CONTROL!$C$42, 17.3821, 17.3821) * CHOOSE(CONTROL!$C$21, $C$9, 100%, $E$9)</f>
        <v>17.382100000000001</v>
      </c>
      <c r="O595" s="10">
        <f>CHOOSE(CONTROL!$C$42, 17.61, 17.61) * CHOOSE(CONTROL!$C$21, $C$9, 100%, $E$9)</f>
        <v>17.61</v>
      </c>
      <c r="P595" s="10">
        <f>CHOOSE(CONTROL!$C$42, 17.4071, 17.4071) * CHOOSE(CONTROL!$C$21, $C$9, 100%, $E$9)</f>
        <v>17.4071</v>
      </c>
      <c r="Q595" s="10">
        <f>CHOOSE(CONTROL!$C$42, 18.2053, 18.2053) * CHOOSE(CONTROL!$C$21, $C$9, 100%, $E$9)</f>
        <v>18.205300000000001</v>
      </c>
      <c r="R595" s="10">
        <f>CHOOSE(CONTROL!$C$42, 18.8378, 18.8378) * CHOOSE(CONTROL!$C$21, $C$9, 100%, $E$9)</f>
        <v>18.837800000000001</v>
      </c>
      <c r="S595" s="10">
        <f>CHOOSE(CONTROL!$C$42, 17.0964, 17.0964) * CHOOSE(CONTROL!$C$21, $C$9, 100%, $E$9)</f>
        <v>17.096399999999999</v>
      </c>
      <c r="T59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595" s="38">
        <f>(1000*CHOOSE(CONTROL!$C$42, 695, 695)*CHOOSE(CONTROL!$C$42, 0.5599, 0.5599)*CHOOSE(CONTROL!$C$42, 31, 31))/1000000</f>
        <v>12.063045499999998</v>
      </c>
      <c r="V595" s="38">
        <f>(1000*CHOOSE(CONTROL!$C$42, 500, 500)*CHOOSE(CONTROL!$C$42, 0.275, 0.275)*CHOOSE(CONTROL!$C$42, 31, 31))/1000000</f>
        <v>4.2625000000000002</v>
      </c>
      <c r="W595" s="38">
        <f>(1000*CHOOSE(CONTROL!$C$42, 0.1146, 0.1146)*CHOOSE(CONTROL!$C$42, 121.5, 121.5)*CHOOSE(CONTROL!$C$42, 31, 31))/1000000</f>
        <v>0.43164089999999994</v>
      </c>
      <c r="X595" s="38">
        <f>(31*0.1790888*245000/1000000)+(31*0.2374*100000/1000000)</f>
        <v>2.0961194359999999</v>
      </c>
      <c r="Y595" s="38">
        <f>(1000*600*CHOOSE(CONTROL!$C$42, 1.0585, 1.0585)*CHOOSE(CONTROL!$C$42, 31, 31))/1000000</f>
        <v>19.688099999999999</v>
      </c>
      <c r="Z595" s="38"/>
      <c r="AA595" s="10"/>
      <c r="AB595" s="39"/>
      <c r="AC595" s="33">
        <f>(B595*194.205+C595*267.466+D595*133.845+E595*53.484+F595*40+G595*185+H595*0+I595*100+J595*300)/(194.205+267.466+133.845+53.484+0+40+185+100+300)</f>
        <v>17.644473794191526</v>
      </c>
      <c r="AD595" s="27">
        <f>(M595*'RAP TEMPLATE-GAS AVAILABILITY'!O594+N595*'RAP TEMPLATE-GAS AVAILABILITY'!P594+O595*'RAP TEMPLATE-GAS AVAILABILITY'!Q594+P595*'RAP TEMPLATE-GAS AVAILABILITY'!R594)/('RAP TEMPLATE-GAS AVAILABILITY'!O594+'RAP TEMPLATE-GAS AVAILABILITY'!P594+'RAP TEMPLATE-GAS AVAILABILITY'!Q594+'RAP TEMPLATE-GAS AVAILABILITY'!R594)</f>
        <v>17.483464748201435</v>
      </c>
    </row>
    <row r="596" spans="1:30" ht="15.75">
      <c r="A596" s="13">
        <v>59414</v>
      </c>
      <c r="B596" s="10">
        <f>CHOOSE(CONTROL!$C$42, 16.769, 16.769) * CHOOSE(CONTROL!$C$21, $C$9, 100%, $E$9)</f>
        <v>16.768999999999998</v>
      </c>
      <c r="C596" s="10">
        <f>CHOOSE(CONTROL!$C$42, 16.777, 16.777) * CHOOSE(CONTROL!$C$21, $C$9, 100%, $E$9)</f>
        <v>16.777000000000001</v>
      </c>
      <c r="D596" s="10">
        <f>CHOOSE(CONTROL!$C$42, 16.934, 16.934) * CHOOSE(CONTROL!$C$21, $C$9, 100%, $E$9)</f>
        <v>16.934000000000001</v>
      </c>
      <c r="E596" s="10">
        <f>CHOOSE(CONTROL!$C$42, 16.9653, 16.9653) * CHOOSE(CONTROL!$C$21, $C$9, 100%, $E$9)</f>
        <v>16.965299999999999</v>
      </c>
      <c r="F596" s="10">
        <f>CHOOSE(CONTROL!$C$42, 16.7136, 16.7136)*CHOOSE(CONTROL!$C$21, $C$9, 100%, $E$9)</f>
        <v>16.7136</v>
      </c>
      <c r="G596" s="10">
        <f>CHOOSE(CONTROL!$C$42, 16.7298, 16.7298)*CHOOSE(CONTROL!$C$21, $C$9, 100%, $E$9)</f>
        <v>16.729800000000001</v>
      </c>
      <c r="H596" s="10">
        <f>CHOOSE(CONTROL!$C$42, 16.9536, 16.9536) * CHOOSE(CONTROL!$C$21, $C$9, 100%, $E$9)</f>
        <v>16.953600000000002</v>
      </c>
      <c r="I596" s="10">
        <f>CHOOSE(CONTROL!$C$42, 16.7478, 16.7478)* CHOOSE(CONTROL!$C$21, $C$9, 100%, $E$9)</f>
        <v>16.747800000000002</v>
      </c>
      <c r="J596" s="10">
        <f>CHOOSE(CONTROL!$C$42, 16.7062, 16.7062)* CHOOSE(CONTROL!$C$21, $C$9, 100%, $E$9)</f>
        <v>16.706199999999999</v>
      </c>
      <c r="K596" s="10">
        <f>CHOOSE(CONTROL!$C$42, 16.3851, 16.3851) * CHOOSE(CONTROL!$C$21, $C$9, 100%, $E$9)</f>
        <v>16.385100000000001</v>
      </c>
      <c r="L596" s="10">
        <f>CHOOSE(CONTROL!$C$42, 17.5406, 17.5406) * CHOOSE(CONTROL!$C$21, $C$9, 100%, $E$9)</f>
        <v>17.540600000000001</v>
      </c>
      <c r="M596" s="10">
        <f>CHOOSE(CONTROL!$C$42, 16.5061, 16.5061) * CHOOSE(CONTROL!$C$21, $C$9, 100%, $E$9)</f>
        <v>16.5061</v>
      </c>
      <c r="N596" s="10">
        <f>CHOOSE(CONTROL!$C$42, 16.5221, 16.5221) * CHOOSE(CONTROL!$C$21, $C$9, 100%, $E$9)</f>
        <v>16.522099999999998</v>
      </c>
      <c r="O596" s="10">
        <f>CHOOSE(CONTROL!$C$42, 16.7501, 16.7501) * CHOOSE(CONTROL!$C$21, $C$9, 100%, $E$9)</f>
        <v>16.7501</v>
      </c>
      <c r="P596" s="10">
        <f>CHOOSE(CONTROL!$C$42, 16.5472, 16.5472) * CHOOSE(CONTROL!$C$21, $C$9, 100%, $E$9)</f>
        <v>16.5472</v>
      </c>
      <c r="Q596" s="10">
        <f>CHOOSE(CONTROL!$C$42, 17.3454, 17.3454) * CHOOSE(CONTROL!$C$21, $C$9, 100%, $E$9)</f>
        <v>17.345400000000001</v>
      </c>
      <c r="R596" s="10">
        <f>CHOOSE(CONTROL!$C$42, 17.9758, 17.9758) * CHOOSE(CONTROL!$C$21, $C$9, 100%, $E$9)</f>
        <v>17.9758</v>
      </c>
      <c r="S596" s="10">
        <f>CHOOSE(CONTROL!$C$42, 16.252, 16.252) * CHOOSE(CONTROL!$C$21, $C$9, 100%, $E$9)</f>
        <v>16.251999999999999</v>
      </c>
      <c r="T59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596" s="38">
        <f>(1000*CHOOSE(CONTROL!$C$42, 695, 695)*CHOOSE(CONTROL!$C$42, 0.5599, 0.5599)*CHOOSE(CONTROL!$C$42, 31, 31))/1000000</f>
        <v>12.063045499999998</v>
      </c>
      <c r="V596" s="38">
        <f>(1000*CHOOSE(CONTROL!$C$42, 500, 500)*CHOOSE(CONTROL!$C$42, 0.275, 0.275)*CHOOSE(CONTROL!$C$42, 31, 31))/1000000</f>
        <v>4.2625000000000002</v>
      </c>
      <c r="W596" s="38">
        <f>(1000*CHOOSE(CONTROL!$C$42, 0.1146, 0.1146)*CHOOSE(CONTROL!$C$42, 121.5, 121.5)*CHOOSE(CONTROL!$C$42, 31, 31))/1000000</f>
        <v>0.43164089999999994</v>
      </c>
      <c r="X596" s="38">
        <f>(31*0.1790888*245000/1000000)+(31*0.2374*100000/1000000)</f>
        <v>2.0961194359999999</v>
      </c>
      <c r="Y596" s="38">
        <f>(1000*600*CHOOSE(CONTROL!$C$42, 1.0585, 1.0585)*CHOOSE(CONTROL!$C$42, 31, 31))/1000000</f>
        <v>19.688099999999999</v>
      </c>
      <c r="Z596" s="38"/>
      <c r="AA596" s="10"/>
      <c r="AB596" s="39"/>
      <c r="AC596" s="33">
        <f>(B596*194.205+C596*267.466+D596*133.845+E596*53.484+F596*40+G596*185+H596*0+I596*100+J596*300)/(194.205+267.466+133.845+53.484+0+40+185+100+300)</f>
        <v>16.772371320408165</v>
      </c>
      <c r="AD596" s="27">
        <f>(M596*'RAP TEMPLATE-GAS AVAILABILITY'!O595+N596*'RAP TEMPLATE-GAS AVAILABILITY'!P595+O596*'RAP TEMPLATE-GAS AVAILABILITY'!Q595+P596*'RAP TEMPLATE-GAS AVAILABILITY'!R595)/('RAP TEMPLATE-GAS AVAILABILITY'!O595+'RAP TEMPLATE-GAS AVAILABILITY'!P595+'RAP TEMPLATE-GAS AVAILABILITY'!Q595+'RAP TEMPLATE-GAS AVAILABILITY'!R595)</f>
        <v>16.623524460431653</v>
      </c>
    </row>
    <row r="597" spans="1:30" ht="15.75">
      <c r="A597" s="13">
        <v>59444</v>
      </c>
      <c r="B597" s="10">
        <f>CHOOSE(CONTROL!$C$42, 15.7035, 15.7035) * CHOOSE(CONTROL!$C$21, $C$9, 100%, $E$9)</f>
        <v>15.7035</v>
      </c>
      <c r="C597" s="10">
        <f>CHOOSE(CONTROL!$C$42, 15.7115, 15.7115) * CHOOSE(CONTROL!$C$21, $C$9, 100%, $E$9)</f>
        <v>15.711499999999999</v>
      </c>
      <c r="D597" s="10">
        <f>CHOOSE(CONTROL!$C$42, 15.8685, 15.8685) * CHOOSE(CONTROL!$C$21, $C$9, 100%, $E$9)</f>
        <v>15.868499999999999</v>
      </c>
      <c r="E597" s="10">
        <f>CHOOSE(CONTROL!$C$42, 15.8998, 15.8998) * CHOOSE(CONTROL!$C$21, $C$9, 100%, $E$9)</f>
        <v>15.899800000000001</v>
      </c>
      <c r="F597" s="10">
        <f>CHOOSE(CONTROL!$C$42, 15.6479, 15.6479)*CHOOSE(CONTROL!$C$21, $C$9, 100%, $E$9)</f>
        <v>15.6479</v>
      </c>
      <c r="G597" s="10">
        <f>CHOOSE(CONTROL!$C$42, 15.6641, 15.6641)*CHOOSE(CONTROL!$C$21, $C$9, 100%, $E$9)</f>
        <v>15.664099999999999</v>
      </c>
      <c r="H597" s="10">
        <f>CHOOSE(CONTROL!$C$42, 15.8881, 15.8881) * CHOOSE(CONTROL!$C$21, $C$9, 100%, $E$9)</f>
        <v>15.8881</v>
      </c>
      <c r="I597" s="10">
        <f>CHOOSE(CONTROL!$C$42, 15.6823, 15.6823)* CHOOSE(CONTROL!$C$21, $C$9, 100%, $E$9)</f>
        <v>15.6823</v>
      </c>
      <c r="J597" s="10">
        <f>CHOOSE(CONTROL!$C$42, 15.6405, 15.6405)* CHOOSE(CONTROL!$C$21, $C$9, 100%, $E$9)</f>
        <v>15.640499999999999</v>
      </c>
      <c r="K597" s="10">
        <f>CHOOSE(CONTROL!$C$42, 15.3525, 15.3525) * CHOOSE(CONTROL!$C$21, $C$9, 100%, $E$9)</f>
        <v>15.352499999999999</v>
      </c>
      <c r="L597" s="10">
        <f>CHOOSE(CONTROL!$C$42, 16.4751, 16.4751) * CHOOSE(CONTROL!$C$21, $C$9, 100%, $E$9)</f>
        <v>16.475100000000001</v>
      </c>
      <c r="M597" s="10">
        <f>CHOOSE(CONTROL!$C$42, 15.4553, 15.4553) * CHOOSE(CONTROL!$C$21, $C$9, 100%, $E$9)</f>
        <v>15.455299999999999</v>
      </c>
      <c r="N597" s="10">
        <f>CHOOSE(CONTROL!$C$42, 15.4713, 15.4713) * CHOOSE(CONTROL!$C$21, $C$9, 100%, $E$9)</f>
        <v>15.471299999999999</v>
      </c>
      <c r="O597" s="10">
        <f>CHOOSE(CONTROL!$C$42, 15.6995, 15.6995) * CHOOSE(CONTROL!$C$21, $C$9, 100%, $E$9)</f>
        <v>15.6995</v>
      </c>
      <c r="P597" s="10">
        <f>CHOOSE(CONTROL!$C$42, 15.4966, 15.4966) * CHOOSE(CONTROL!$C$21, $C$9, 100%, $E$9)</f>
        <v>15.496600000000001</v>
      </c>
      <c r="Q597" s="10">
        <f>CHOOSE(CONTROL!$C$42, 16.2948, 16.2948) * CHOOSE(CONTROL!$C$21, $C$9, 100%, $E$9)</f>
        <v>16.294799999999999</v>
      </c>
      <c r="R597" s="10">
        <f>CHOOSE(CONTROL!$C$42, 16.9225, 16.9225) * CHOOSE(CONTROL!$C$21, $C$9, 100%, $E$9)</f>
        <v>16.922499999999999</v>
      </c>
      <c r="S597" s="10">
        <f>CHOOSE(CONTROL!$C$42, 15.2203, 15.2203) * CHOOSE(CONTROL!$C$21, $C$9, 100%, $E$9)</f>
        <v>15.2203</v>
      </c>
      <c r="T59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597" s="38">
        <f>(1000*CHOOSE(CONTROL!$C$42, 695, 695)*CHOOSE(CONTROL!$C$42, 0.5599, 0.5599)*CHOOSE(CONTROL!$C$42, 30, 30))/1000000</f>
        <v>11.673914999999997</v>
      </c>
      <c r="V597" s="38">
        <f>(1000*CHOOSE(CONTROL!$C$42, 500, 500)*CHOOSE(CONTROL!$C$42, 0.275, 0.275)*CHOOSE(CONTROL!$C$42, 30, 30))/1000000</f>
        <v>4.125</v>
      </c>
      <c r="W597" s="38">
        <f>(1000*CHOOSE(CONTROL!$C$42, 0.1146, 0.1146)*CHOOSE(CONTROL!$C$42, 121.5, 121.5)*CHOOSE(CONTROL!$C$42, 30, 30))/1000000</f>
        <v>0.417717</v>
      </c>
      <c r="X597" s="38">
        <f>(30*0.1790888*245000/1000000)+(30*0.2374*100000/1000000)</f>
        <v>2.0285026799999999</v>
      </c>
      <c r="Y597" s="38">
        <f>(1000*600*CHOOSE(CONTROL!$C$42, 1.0585, 1.0585)*CHOOSE(CONTROL!$C$42, 30, 30))/1000000</f>
        <v>19.053000000000001</v>
      </c>
      <c r="Z597" s="38"/>
      <c r="AA597" s="10"/>
      <c r="AB597" s="39"/>
      <c r="AC597" s="33">
        <f>(B597*194.205+C597*267.466+D597*133.845+E597*53.484+F597*40+G597*185+H597*0+I597*100+J597*300)/(194.205+267.466+133.845+53.484+0+40+185+100+300)</f>
        <v>15.706788902825746</v>
      </c>
      <c r="AD597" s="27">
        <f>(M597*'RAP TEMPLATE-GAS AVAILABILITY'!O596+N597*'RAP TEMPLATE-GAS AVAILABILITY'!P596+O597*'RAP TEMPLATE-GAS AVAILABILITY'!Q596+P597*'RAP TEMPLATE-GAS AVAILABILITY'!R596)/('RAP TEMPLATE-GAS AVAILABILITY'!O596+'RAP TEMPLATE-GAS AVAILABILITY'!P596+'RAP TEMPLATE-GAS AVAILABILITY'!Q596+'RAP TEMPLATE-GAS AVAILABILITY'!R596)</f>
        <v>15.572843884892084</v>
      </c>
    </row>
    <row r="598" spans="1:30" ht="15.75">
      <c r="A598" s="13">
        <v>59475</v>
      </c>
      <c r="B598" s="10">
        <f>CHOOSE(CONTROL!$C$42, 15.3822, 15.3822) * CHOOSE(CONTROL!$C$21, $C$9, 100%, $E$9)</f>
        <v>15.382199999999999</v>
      </c>
      <c r="C598" s="10">
        <f>CHOOSE(CONTROL!$C$42, 15.3876, 15.3876) * CHOOSE(CONTROL!$C$21, $C$9, 100%, $E$9)</f>
        <v>15.387600000000001</v>
      </c>
      <c r="D598" s="10">
        <f>CHOOSE(CONTROL!$C$42, 15.5495, 15.5495) * CHOOSE(CONTROL!$C$21, $C$9, 100%, $E$9)</f>
        <v>15.5495</v>
      </c>
      <c r="E598" s="10">
        <f>CHOOSE(CONTROL!$C$42, 15.5784, 15.5784) * CHOOSE(CONTROL!$C$21, $C$9, 100%, $E$9)</f>
        <v>15.5784</v>
      </c>
      <c r="F598" s="10">
        <f>CHOOSE(CONTROL!$C$42, 15.3286, 15.3286)*CHOOSE(CONTROL!$C$21, $C$9, 100%, $E$9)</f>
        <v>15.3286</v>
      </c>
      <c r="G598" s="10">
        <f>CHOOSE(CONTROL!$C$42, 15.3444, 15.3444)*CHOOSE(CONTROL!$C$21, $C$9, 100%, $E$9)</f>
        <v>15.3444</v>
      </c>
      <c r="H598" s="10">
        <f>CHOOSE(CONTROL!$C$42, 15.5685, 15.5685) * CHOOSE(CONTROL!$C$21, $C$9, 100%, $E$9)</f>
        <v>15.5685</v>
      </c>
      <c r="I598" s="10">
        <f>CHOOSE(CONTROL!$C$42, 15.3627, 15.3627)* CHOOSE(CONTROL!$C$21, $C$9, 100%, $E$9)</f>
        <v>15.3627</v>
      </c>
      <c r="J598" s="10">
        <f>CHOOSE(CONTROL!$C$42, 15.3212, 15.3212)* CHOOSE(CONTROL!$C$21, $C$9, 100%, $E$9)</f>
        <v>15.321199999999999</v>
      </c>
      <c r="K598" s="10">
        <f>CHOOSE(CONTROL!$C$42, 15.0435, 15.0435) * CHOOSE(CONTROL!$C$21, $C$9, 100%, $E$9)</f>
        <v>15.0435</v>
      </c>
      <c r="L598" s="10">
        <f>CHOOSE(CONTROL!$C$42, 16.1555, 16.1555) * CHOOSE(CONTROL!$C$21, $C$9, 100%, $E$9)</f>
        <v>16.1555</v>
      </c>
      <c r="M598" s="10">
        <f>CHOOSE(CONTROL!$C$42, 15.1405, 15.1405) * CHOOSE(CONTROL!$C$21, $C$9, 100%, $E$9)</f>
        <v>15.140499999999999</v>
      </c>
      <c r="N598" s="10">
        <f>CHOOSE(CONTROL!$C$42, 15.1561, 15.1561) * CHOOSE(CONTROL!$C$21, $C$9, 100%, $E$9)</f>
        <v>15.1561</v>
      </c>
      <c r="O598" s="10">
        <f>CHOOSE(CONTROL!$C$42, 15.3843, 15.3843) * CHOOSE(CONTROL!$C$21, $C$9, 100%, $E$9)</f>
        <v>15.3843</v>
      </c>
      <c r="P598" s="10">
        <f>CHOOSE(CONTROL!$C$42, 15.1815, 15.1815) * CHOOSE(CONTROL!$C$21, $C$9, 100%, $E$9)</f>
        <v>15.1815</v>
      </c>
      <c r="Q598" s="10">
        <f>CHOOSE(CONTROL!$C$42, 15.9796, 15.9796) * CHOOSE(CONTROL!$C$21, $C$9, 100%, $E$9)</f>
        <v>15.9796</v>
      </c>
      <c r="R598" s="10">
        <f>CHOOSE(CONTROL!$C$42, 16.6066, 16.6066) * CHOOSE(CONTROL!$C$21, $C$9, 100%, $E$9)</f>
        <v>16.6066</v>
      </c>
      <c r="S598" s="10">
        <f>CHOOSE(CONTROL!$C$42, 14.9108, 14.9108) * CHOOSE(CONTROL!$C$21, $C$9, 100%, $E$9)</f>
        <v>14.9108</v>
      </c>
      <c r="T59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598" s="38">
        <f>(1000*CHOOSE(CONTROL!$C$42, 695, 695)*CHOOSE(CONTROL!$C$42, 0.5599, 0.5599)*CHOOSE(CONTROL!$C$42, 31, 31))/1000000</f>
        <v>12.063045499999998</v>
      </c>
      <c r="V598" s="38">
        <f>(1000*CHOOSE(CONTROL!$C$42, 500, 500)*CHOOSE(CONTROL!$C$42, 0.275, 0.275)*CHOOSE(CONTROL!$C$42, 31, 31))/1000000</f>
        <v>4.2625000000000002</v>
      </c>
      <c r="W598" s="38">
        <f>(1000*CHOOSE(CONTROL!$C$42, 0.1146, 0.1146)*CHOOSE(CONTROL!$C$42, 121.5, 121.5)*CHOOSE(CONTROL!$C$42, 31, 31))/1000000</f>
        <v>0.43164089999999994</v>
      </c>
      <c r="X598" s="38">
        <f>(31*0.1790888*245000/1000000)+(31*0.2374*100000/1000000)</f>
        <v>2.0961194359999999</v>
      </c>
      <c r="Y598" s="38">
        <f>(1000*600*CHOOSE(CONTROL!$C$42, 1.0585, 1.0585)*CHOOSE(CONTROL!$C$42, 31, 31))/1000000</f>
        <v>19.688099999999999</v>
      </c>
      <c r="Z598" s="38"/>
      <c r="AA598" s="10"/>
      <c r="AB598" s="39"/>
      <c r="AC598" s="33">
        <f>(B598*131.881+C598*277.167+D598*79.08+E598*125.872+F598*40+G598*185+H598*0+I598*100+J598*300)/(131.881+277.167+79.08+125.872+0+40+185+100+300)</f>
        <v>15.390299977562549</v>
      </c>
      <c r="AD598" s="27">
        <f>(M598*'RAP TEMPLATE-GAS AVAILABILITY'!O597+N598*'RAP TEMPLATE-GAS AVAILABILITY'!P597+O598*'RAP TEMPLATE-GAS AVAILABILITY'!Q597+P598*'RAP TEMPLATE-GAS AVAILABILITY'!R597)/('RAP TEMPLATE-GAS AVAILABILITY'!O597+'RAP TEMPLATE-GAS AVAILABILITY'!P597+'RAP TEMPLATE-GAS AVAILABILITY'!Q597+'RAP TEMPLATE-GAS AVAILABILITY'!R597)</f>
        <v>15.257796402877698</v>
      </c>
    </row>
    <row r="599" spans="1:30" ht="15.75">
      <c r="A599" s="13">
        <v>59505</v>
      </c>
      <c r="B599" s="10">
        <f>CHOOSE(CONTROL!$C$42, 15.7875, 15.7875) * CHOOSE(CONTROL!$C$21, $C$9, 100%, $E$9)</f>
        <v>15.7875</v>
      </c>
      <c r="C599" s="10">
        <f>CHOOSE(CONTROL!$C$42, 15.7925, 15.7925) * CHOOSE(CONTROL!$C$21, $C$9, 100%, $E$9)</f>
        <v>15.7925</v>
      </c>
      <c r="D599" s="10">
        <f>CHOOSE(CONTROL!$C$42, 15.8172, 15.8172) * CHOOSE(CONTROL!$C$21, $C$9, 100%, $E$9)</f>
        <v>15.8172</v>
      </c>
      <c r="E599" s="10">
        <f>CHOOSE(CONTROL!$C$42, 15.851, 15.851) * CHOOSE(CONTROL!$C$21, $C$9, 100%, $E$9)</f>
        <v>15.851000000000001</v>
      </c>
      <c r="F599" s="10">
        <f>CHOOSE(CONTROL!$C$42, 15.7558, 15.7558)*CHOOSE(CONTROL!$C$21, $C$9, 100%, $E$9)</f>
        <v>15.755800000000001</v>
      </c>
      <c r="G599" s="10">
        <f>CHOOSE(CONTROL!$C$42, 15.7718, 15.7718)*CHOOSE(CONTROL!$C$21, $C$9, 100%, $E$9)</f>
        <v>15.771800000000001</v>
      </c>
      <c r="H599" s="10">
        <f>CHOOSE(CONTROL!$C$42, 15.8399, 15.8399) * CHOOSE(CONTROL!$C$21, $C$9, 100%, $E$9)</f>
        <v>15.8399</v>
      </c>
      <c r="I599" s="10">
        <f>CHOOSE(CONTROL!$C$42, 15.8024, 15.8024)* CHOOSE(CONTROL!$C$21, $C$9, 100%, $E$9)</f>
        <v>15.8024</v>
      </c>
      <c r="J599" s="10">
        <f>CHOOSE(CONTROL!$C$42, 15.7484, 15.7484)* CHOOSE(CONTROL!$C$21, $C$9, 100%, $E$9)</f>
        <v>15.7484</v>
      </c>
      <c r="K599" s="10">
        <f>CHOOSE(CONTROL!$C$42, 15.4717, 15.4717) * CHOOSE(CONTROL!$C$21, $C$9, 100%, $E$9)</f>
        <v>15.4717</v>
      </c>
      <c r="L599" s="10">
        <f>CHOOSE(CONTROL!$C$42, 16.4269, 16.4269) * CHOOSE(CONTROL!$C$21, $C$9, 100%, $E$9)</f>
        <v>16.4269</v>
      </c>
      <c r="M599" s="10">
        <f>CHOOSE(CONTROL!$C$42, 15.5617, 15.5617) * CHOOSE(CONTROL!$C$21, $C$9, 100%, $E$9)</f>
        <v>15.5617</v>
      </c>
      <c r="N599" s="10">
        <f>CHOOSE(CONTROL!$C$42, 15.5775, 15.5775) * CHOOSE(CONTROL!$C$21, $C$9, 100%, $E$9)</f>
        <v>15.577500000000001</v>
      </c>
      <c r="O599" s="10">
        <f>CHOOSE(CONTROL!$C$42, 15.652, 15.652) * CHOOSE(CONTROL!$C$21, $C$9, 100%, $E$9)</f>
        <v>15.651999999999999</v>
      </c>
      <c r="P599" s="10">
        <f>CHOOSE(CONTROL!$C$42, 15.6151, 15.6151) * CHOOSE(CONTROL!$C$21, $C$9, 100%, $E$9)</f>
        <v>15.6151</v>
      </c>
      <c r="Q599" s="10">
        <f>CHOOSE(CONTROL!$C$42, 16.2473, 16.2473) * CHOOSE(CONTROL!$C$21, $C$9, 100%, $E$9)</f>
        <v>16.247299999999999</v>
      </c>
      <c r="R599" s="10">
        <f>CHOOSE(CONTROL!$C$42, 16.8749, 16.8749) * CHOOSE(CONTROL!$C$21, $C$9, 100%, $E$9)</f>
        <v>16.8749</v>
      </c>
      <c r="S599" s="10">
        <f>CHOOSE(CONTROL!$C$42, 15.3036, 15.3036) * CHOOSE(CONTROL!$C$21, $C$9, 100%, $E$9)</f>
        <v>15.303599999999999</v>
      </c>
      <c r="T59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599" s="38">
        <f>(1000*CHOOSE(CONTROL!$C$42, 695, 695)*CHOOSE(CONTROL!$C$42, 0.5599, 0.5599)*CHOOSE(CONTROL!$C$42, 30, 30))/1000000</f>
        <v>11.673914999999997</v>
      </c>
      <c r="V599" s="38">
        <f>(1000*CHOOSE(CONTROL!$C$42, 500, 500)*CHOOSE(CONTROL!$C$42, 0.275, 0.275)*CHOOSE(CONTROL!$C$42, 30, 30))/1000000</f>
        <v>4.125</v>
      </c>
      <c r="W599" s="38">
        <f>(1000*CHOOSE(CONTROL!$C$42, 0.1146, 0.1146)*CHOOSE(CONTROL!$C$42, 121.5, 121.5)*CHOOSE(CONTROL!$C$42, 30, 30))/1000000</f>
        <v>0.417717</v>
      </c>
      <c r="X599" s="38">
        <f>(30*0.1790888*100000/1000000)+(30*0.2374*100000/1000000)</f>
        <v>1.2494664</v>
      </c>
      <c r="Y599" s="38">
        <f>(1000*600*CHOOSE(CONTROL!$C$42, 1.0585, 1.0585)*CHOOSE(CONTROL!$C$42, 30, 30))/1000000</f>
        <v>19.053000000000001</v>
      </c>
      <c r="Z599" s="38"/>
      <c r="AA599" s="10"/>
      <c r="AB599" s="39"/>
      <c r="AC599" s="33">
        <f>(B599*122.58+C599*297.941+D599*89.177+E599*40.302+F599*40+G599*160+H599*0+I599*100+J599*300)/(122.58+297.941+89.177+40.302+0+40+160+100+300)</f>
        <v>15.781132555565216</v>
      </c>
      <c r="AD599" s="27">
        <f>(M599*'RAP TEMPLATE-GAS AVAILABILITY'!O598+N599*'RAP TEMPLATE-GAS AVAILABILITY'!P598+O599*'RAP TEMPLATE-GAS AVAILABILITY'!Q598+P599*'RAP TEMPLATE-GAS AVAILABILITY'!R598)/('RAP TEMPLATE-GAS AVAILABILITY'!O598+'RAP TEMPLATE-GAS AVAILABILITY'!P598+'RAP TEMPLATE-GAS AVAILABILITY'!Q598+'RAP TEMPLATE-GAS AVAILABILITY'!R598)</f>
        <v>15.611220143884893</v>
      </c>
    </row>
    <row r="600" spans="1:30" ht="15.75">
      <c r="A600" s="13">
        <v>59536</v>
      </c>
      <c r="B600" s="10">
        <f>CHOOSE(CONTROL!$C$42, 16.8649, 16.8649) * CHOOSE(CONTROL!$C$21, $C$9, 100%, $E$9)</f>
        <v>16.864899999999999</v>
      </c>
      <c r="C600" s="10">
        <f>CHOOSE(CONTROL!$C$42, 16.87, 16.87) * CHOOSE(CONTROL!$C$21, $C$9, 100%, $E$9)</f>
        <v>16.87</v>
      </c>
      <c r="D600" s="10">
        <f>CHOOSE(CONTROL!$C$42, 16.8947, 16.8947) * CHOOSE(CONTROL!$C$21, $C$9, 100%, $E$9)</f>
        <v>16.8947</v>
      </c>
      <c r="E600" s="10">
        <f>CHOOSE(CONTROL!$C$42, 16.9285, 16.9285) * CHOOSE(CONTROL!$C$21, $C$9, 100%, $E$9)</f>
        <v>16.9285</v>
      </c>
      <c r="F600" s="10">
        <f>CHOOSE(CONTROL!$C$42, 16.8352, 16.8352)*CHOOSE(CONTROL!$C$21, $C$9, 100%, $E$9)</f>
        <v>16.8352</v>
      </c>
      <c r="G600" s="10">
        <f>CHOOSE(CONTROL!$C$42, 16.8517, 16.8517)*CHOOSE(CONTROL!$C$21, $C$9, 100%, $E$9)</f>
        <v>16.851700000000001</v>
      </c>
      <c r="H600" s="10">
        <f>CHOOSE(CONTROL!$C$42, 16.9174, 16.9174) * CHOOSE(CONTROL!$C$21, $C$9, 100%, $E$9)</f>
        <v>16.917400000000001</v>
      </c>
      <c r="I600" s="10">
        <f>CHOOSE(CONTROL!$C$42, 16.8799, 16.8799)* CHOOSE(CONTROL!$C$21, $C$9, 100%, $E$9)</f>
        <v>16.879899999999999</v>
      </c>
      <c r="J600" s="10">
        <f>CHOOSE(CONTROL!$C$42, 16.8278, 16.8278)* CHOOSE(CONTROL!$C$21, $C$9, 100%, $E$9)</f>
        <v>16.8278</v>
      </c>
      <c r="K600" s="10">
        <f>CHOOSE(CONTROL!$C$42, 16.5197, 16.5197) * CHOOSE(CONTROL!$C$21, $C$9, 100%, $E$9)</f>
        <v>16.5197</v>
      </c>
      <c r="L600" s="10">
        <f>CHOOSE(CONTROL!$C$42, 17.5044, 17.5044) * CHOOSE(CONTROL!$C$21, $C$9, 100%, $E$9)</f>
        <v>17.5044</v>
      </c>
      <c r="M600" s="10">
        <f>CHOOSE(CONTROL!$C$42, 16.6261, 16.6261) * CHOOSE(CONTROL!$C$21, $C$9, 100%, $E$9)</f>
        <v>16.626100000000001</v>
      </c>
      <c r="N600" s="10">
        <f>CHOOSE(CONTROL!$C$42, 16.6423, 16.6423) * CHOOSE(CONTROL!$C$21, $C$9, 100%, $E$9)</f>
        <v>16.642299999999999</v>
      </c>
      <c r="O600" s="10">
        <f>CHOOSE(CONTROL!$C$42, 16.7144, 16.7144) * CHOOSE(CONTROL!$C$21, $C$9, 100%, $E$9)</f>
        <v>16.714400000000001</v>
      </c>
      <c r="P600" s="10">
        <f>CHOOSE(CONTROL!$C$42, 16.6775, 16.6775) * CHOOSE(CONTROL!$C$21, $C$9, 100%, $E$9)</f>
        <v>16.677499999999998</v>
      </c>
      <c r="Q600" s="10">
        <f>CHOOSE(CONTROL!$C$42, 17.3097, 17.3097) * CHOOSE(CONTROL!$C$21, $C$9, 100%, $E$9)</f>
        <v>17.309699999999999</v>
      </c>
      <c r="R600" s="10">
        <f>CHOOSE(CONTROL!$C$42, 17.94, 17.94) * CHOOSE(CONTROL!$C$21, $C$9, 100%, $E$9)</f>
        <v>17.940000000000001</v>
      </c>
      <c r="S600" s="10">
        <f>CHOOSE(CONTROL!$C$42, 16.347, 16.347) * CHOOSE(CONTROL!$C$21, $C$9, 100%, $E$9)</f>
        <v>16.347000000000001</v>
      </c>
      <c r="T60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00" s="38">
        <f>(1000*CHOOSE(CONTROL!$C$42, 695, 695)*CHOOSE(CONTROL!$C$42, 0.5599, 0.5599)*CHOOSE(CONTROL!$C$42, 31, 31))/1000000</f>
        <v>12.063045499999998</v>
      </c>
      <c r="V600" s="38">
        <f>(1000*CHOOSE(CONTROL!$C$42, 500, 500)*CHOOSE(CONTROL!$C$42, 0.275, 0.275)*CHOOSE(CONTROL!$C$42, 31, 31))/1000000</f>
        <v>4.2625000000000002</v>
      </c>
      <c r="W600" s="38">
        <f>(1000*CHOOSE(CONTROL!$C$42, 0.1146, 0.1146)*CHOOSE(CONTROL!$C$42, 121.5, 121.5)*CHOOSE(CONTROL!$C$42, 31, 31))/1000000</f>
        <v>0.43164089999999994</v>
      </c>
      <c r="X600" s="38">
        <f>(31*0.1790888*100000/1000000)+(31*0.2374*100000/1000000)</f>
        <v>1.2911152800000001</v>
      </c>
      <c r="Y600" s="38">
        <f>(1000*600*CHOOSE(CONTROL!$C$42, 1.0585, 1.0585)*CHOOSE(CONTROL!$C$42, 31, 31))/1000000</f>
        <v>19.688099999999999</v>
      </c>
      <c r="Z600" s="38"/>
      <c r="AA600" s="10"/>
      <c r="AB600" s="39"/>
      <c r="AC600" s="33">
        <f>(B600*122.58+C600*297.941+D600*89.177+E600*40.302+F600*40+G600*160+H600*0+I600*100+J600*300)/(122.58+297.941+89.177+40.302+0+40+160+100+300)</f>
        <v>16.859517548608697</v>
      </c>
      <c r="AD600" s="27">
        <f>(M600*'RAP TEMPLATE-GAS AVAILABILITY'!O599+N600*'RAP TEMPLATE-GAS AVAILABILITY'!P599+O600*'RAP TEMPLATE-GAS AVAILABILITY'!Q599+P600*'RAP TEMPLATE-GAS AVAILABILITY'!R599)/('RAP TEMPLATE-GAS AVAILABILITY'!O599+'RAP TEMPLATE-GAS AVAILABILITY'!P599+'RAP TEMPLATE-GAS AVAILABILITY'!Q599+'RAP TEMPLATE-GAS AVAILABILITY'!R599)</f>
        <v>16.674448920863309</v>
      </c>
    </row>
    <row r="601" spans="1:30" ht="15.75">
      <c r="A601" s="13">
        <v>59567</v>
      </c>
      <c r="B601" s="10">
        <f>CHOOSE(CONTROL!$C$42, 18.0043, 18.0043) * CHOOSE(CONTROL!$C$21, $C$9, 100%, $E$9)</f>
        <v>18.004300000000001</v>
      </c>
      <c r="C601" s="10">
        <f>CHOOSE(CONTROL!$C$42, 18.0094, 18.0094) * CHOOSE(CONTROL!$C$21, $C$9, 100%, $E$9)</f>
        <v>18.009399999999999</v>
      </c>
      <c r="D601" s="10">
        <f>CHOOSE(CONTROL!$C$42, 18.0419, 18.0419) * CHOOSE(CONTROL!$C$21, $C$9, 100%, $E$9)</f>
        <v>18.041899999999998</v>
      </c>
      <c r="E601" s="10">
        <f>CHOOSE(CONTROL!$C$42, 18.0757, 18.0757) * CHOOSE(CONTROL!$C$21, $C$9, 100%, $E$9)</f>
        <v>18.075700000000001</v>
      </c>
      <c r="F601" s="10">
        <f>CHOOSE(CONTROL!$C$42, 17.9885, 17.9885)*CHOOSE(CONTROL!$C$21, $C$9, 100%, $E$9)</f>
        <v>17.988499999999998</v>
      </c>
      <c r="G601" s="10">
        <f>CHOOSE(CONTROL!$C$42, 18.0065, 18.0065)*CHOOSE(CONTROL!$C$21, $C$9, 100%, $E$9)</f>
        <v>18.006499999999999</v>
      </c>
      <c r="H601" s="10">
        <f>CHOOSE(CONTROL!$C$42, 18.0645, 18.0645) * CHOOSE(CONTROL!$C$21, $C$9, 100%, $E$9)</f>
        <v>18.064499999999999</v>
      </c>
      <c r="I601" s="10">
        <f>CHOOSE(CONTROL!$C$42, 18.0178, 18.0178)* CHOOSE(CONTROL!$C$21, $C$9, 100%, $E$9)</f>
        <v>18.017800000000001</v>
      </c>
      <c r="J601" s="10">
        <f>CHOOSE(CONTROL!$C$42, 17.9811, 17.9811)* CHOOSE(CONTROL!$C$21, $C$9, 100%, $E$9)</f>
        <v>17.981100000000001</v>
      </c>
      <c r="K601" s="10">
        <f>CHOOSE(CONTROL!$C$42, 17.636, 17.636) * CHOOSE(CONTROL!$C$21, $C$9, 100%, $E$9)</f>
        <v>17.635999999999999</v>
      </c>
      <c r="L601" s="10">
        <f>CHOOSE(CONTROL!$C$42, 18.6515, 18.6515) * CHOOSE(CONTROL!$C$21, $C$9, 100%, $E$9)</f>
        <v>18.651499999999999</v>
      </c>
      <c r="M601" s="10">
        <f>CHOOSE(CONTROL!$C$42, 17.7633, 17.7633) * CHOOSE(CONTROL!$C$21, $C$9, 100%, $E$9)</f>
        <v>17.763300000000001</v>
      </c>
      <c r="N601" s="10">
        <f>CHOOSE(CONTROL!$C$42, 17.7811, 17.7811) * CHOOSE(CONTROL!$C$21, $C$9, 100%, $E$9)</f>
        <v>17.781099999999999</v>
      </c>
      <c r="O601" s="10">
        <f>CHOOSE(CONTROL!$C$42, 17.8455, 17.8455) * CHOOSE(CONTROL!$C$21, $C$9, 100%, $E$9)</f>
        <v>17.845500000000001</v>
      </c>
      <c r="P601" s="10">
        <f>CHOOSE(CONTROL!$C$42, 17.7995, 17.7995) * CHOOSE(CONTROL!$C$21, $C$9, 100%, $E$9)</f>
        <v>17.799499999999998</v>
      </c>
      <c r="Q601" s="10">
        <f>CHOOSE(CONTROL!$C$42, 18.4408, 18.4408) * CHOOSE(CONTROL!$C$21, $C$9, 100%, $E$9)</f>
        <v>18.440799999999999</v>
      </c>
      <c r="R601" s="10">
        <f>CHOOSE(CONTROL!$C$42, 19.0739, 19.0739) * CHOOSE(CONTROL!$C$21, $C$9, 100%, $E$9)</f>
        <v>19.073899999999998</v>
      </c>
      <c r="S601" s="10">
        <f>CHOOSE(CONTROL!$C$42, 17.4502, 17.4502) * CHOOSE(CONTROL!$C$21, $C$9, 100%, $E$9)</f>
        <v>17.450199999999999</v>
      </c>
      <c r="T60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01" s="38">
        <f>(1000*CHOOSE(CONTROL!$C$42, 695, 695)*CHOOSE(CONTROL!$C$42, 0.5599, 0.5599)*CHOOSE(CONTROL!$C$42, 31, 31))/1000000</f>
        <v>12.063045499999998</v>
      </c>
      <c r="V601" s="38">
        <f>(1000*CHOOSE(CONTROL!$C$42, 500, 500)*CHOOSE(CONTROL!$C$42, 0.275, 0.275)*CHOOSE(CONTROL!$C$42, 31, 31))/1000000</f>
        <v>4.2625000000000002</v>
      </c>
      <c r="W601" s="38">
        <f>(1000*CHOOSE(CONTROL!$C$42, 0.1146, 0.1146)*CHOOSE(CONTROL!$C$42, 121.5, 121.5)*CHOOSE(CONTROL!$C$42, 31, 31))/1000000</f>
        <v>0.43164089999999994</v>
      </c>
      <c r="X601" s="38">
        <f>(31*0.1790888*100000/1000000)+(31*0.2374*100000/1000000)</f>
        <v>1.2911152800000001</v>
      </c>
      <c r="Y601" s="38">
        <f>(1000*600*CHOOSE(CONTROL!$C$42, 1.0585, 1.0585)*CHOOSE(CONTROL!$C$42, 31, 31))/1000000</f>
        <v>19.688099999999999</v>
      </c>
      <c r="Z601" s="38"/>
      <c r="AA601" s="10"/>
      <c r="AB601" s="39"/>
      <c r="AC601" s="33">
        <f>(B601*122.58+C601*297.941+D601*89.177+E601*40.302+F601*40+G601*160+H601*0+I601*100+J601*300)/(122.58+297.941+89.177+40.302+0+40+160+100+300)</f>
        <v>18.005917493130436</v>
      </c>
      <c r="AD601" s="27">
        <f>(M601*'RAP TEMPLATE-GAS AVAILABILITY'!O600+N601*'RAP TEMPLATE-GAS AVAILABILITY'!P600+O601*'RAP TEMPLATE-GAS AVAILABILITY'!Q600+P601*'RAP TEMPLATE-GAS AVAILABILITY'!R600)/('RAP TEMPLATE-GAS AVAILABILITY'!O600+'RAP TEMPLATE-GAS AVAILABILITY'!P600+'RAP TEMPLATE-GAS AVAILABILITY'!Q600+'RAP TEMPLATE-GAS AVAILABILITY'!R600)</f>
        <v>17.806789208633091</v>
      </c>
    </row>
    <row r="602" spans="1:30" ht="15.75">
      <c r="A602" s="13">
        <v>59595</v>
      </c>
      <c r="B602" s="10">
        <f>CHOOSE(CONTROL!$C$42, 18.3251, 18.3251) * CHOOSE(CONTROL!$C$21, $C$9, 100%, $E$9)</f>
        <v>18.325099999999999</v>
      </c>
      <c r="C602" s="10">
        <f>CHOOSE(CONTROL!$C$42, 18.3302, 18.3302) * CHOOSE(CONTROL!$C$21, $C$9, 100%, $E$9)</f>
        <v>18.330200000000001</v>
      </c>
      <c r="D602" s="10">
        <f>CHOOSE(CONTROL!$C$42, 18.3626, 18.3626) * CHOOSE(CONTROL!$C$21, $C$9, 100%, $E$9)</f>
        <v>18.3626</v>
      </c>
      <c r="E602" s="10">
        <f>CHOOSE(CONTROL!$C$42, 18.3965, 18.3965) * CHOOSE(CONTROL!$C$21, $C$9, 100%, $E$9)</f>
        <v>18.3965</v>
      </c>
      <c r="F602" s="10">
        <f>CHOOSE(CONTROL!$C$42, 18.3088, 18.3088)*CHOOSE(CONTROL!$C$21, $C$9, 100%, $E$9)</f>
        <v>18.308800000000002</v>
      </c>
      <c r="G602" s="10">
        <f>CHOOSE(CONTROL!$C$42, 18.3268, 18.3268)*CHOOSE(CONTROL!$C$21, $C$9, 100%, $E$9)</f>
        <v>18.326799999999999</v>
      </c>
      <c r="H602" s="10">
        <f>CHOOSE(CONTROL!$C$42, 18.3853, 18.3853) * CHOOSE(CONTROL!$C$21, $C$9, 100%, $E$9)</f>
        <v>18.385300000000001</v>
      </c>
      <c r="I602" s="10">
        <f>CHOOSE(CONTROL!$C$42, 18.3386, 18.3386)* CHOOSE(CONTROL!$C$21, $C$9, 100%, $E$9)</f>
        <v>18.3386</v>
      </c>
      <c r="J602" s="10">
        <f>CHOOSE(CONTROL!$C$42, 18.3014, 18.3014)* CHOOSE(CONTROL!$C$21, $C$9, 100%, $E$9)</f>
        <v>18.301400000000001</v>
      </c>
      <c r="K602" s="10">
        <f>CHOOSE(CONTROL!$C$42, 17.9458, 17.9458) * CHOOSE(CONTROL!$C$21, $C$9, 100%, $E$9)</f>
        <v>17.945799999999998</v>
      </c>
      <c r="L602" s="10">
        <f>CHOOSE(CONTROL!$C$42, 18.9723, 18.9723) * CHOOSE(CONTROL!$C$21, $C$9, 100%, $E$9)</f>
        <v>18.972300000000001</v>
      </c>
      <c r="M602" s="10">
        <f>CHOOSE(CONTROL!$C$42, 18.0791, 18.0791) * CHOOSE(CONTROL!$C$21, $C$9, 100%, $E$9)</f>
        <v>18.0791</v>
      </c>
      <c r="N602" s="10">
        <f>CHOOSE(CONTROL!$C$42, 18.0968, 18.0968) * CHOOSE(CONTROL!$C$21, $C$9, 100%, $E$9)</f>
        <v>18.096800000000002</v>
      </c>
      <c r="O602" s="10">
        <f>CHOOSE(CONTROL!$C$42, 18.1619, 18.1619) * CHOOSE(CONTROL!$C$21, $C$9, 100%, $E$9)</f>
        <v>18.161899999999999</v>
      </c>
      <c r="P602" s="10">
        <f>CHOOSE(CONTROL!$C$42, 18.1158, 18.1158) * CHOOSE(CONTROL!$C$21, $C$9, 100%, $E$9)</f>
        <v>18.1158</v>
      </c>
      <c r="Q602" s="10">
        <f>CHOOSE(CONTROL!$C$42, 18.7572, 18.7572) * CHOOSE(CONTROL!$C$21, $C$9, 100%, $E$9)</f>
        <v>18.757200000000001</v>
      </c>
      <c r="R602" s="10">
        <f>CHOOSE(CONTROL!$C$42, 19.3911, 19.3911) * CHOOSE(CONTROL!$C$21, $C$9, 100%, $E$9)</f>
        <v>19.391100000000002</v>
      </c>
      <c r="S602" s="10">
        <f>CHOOSE(CONTROL!$C$42, 17.7609, 17.7609) * CHOOSE(CONTROL!$C$21, $C$9, 100%, $E$9)</f>
        <v>17.760899999999999</v>
      </c>
      <c r="T60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02" s="38">
        <f>(1000*CHOOSE(CONTROL!$C$42, 695, 695)*CHOOSE(CONTROL!$C$42, 0.5599, 0.5599)*CHOOSE(CONTROL!$C$42, 28, 28))/1000000</f>
        <v>10.895653999999999</v>
      </c>
      <c r="V602" s="38">
        <f>(1000*CHOOSE(CONTROL!$C$42, 500, 500)*CHOOSE(CONTROL!$C$42, 0.275, 0.275)*CHOOSE(CONTROL!$C$42, 28, 28))/1000000</f>
        <v>3.85</v>
      </c>
      <c r="W602" s="38">
        <f>(1000*CHOOSE(CONTROL!$C$42, 0.1146, 0.1146)*CHOOSE(CONTROL!$C$42, 121.5, 121.5)*CHOOSE(CONTROL!$C$42, 28, 28))/1000000</f>
        <v>0.38986920000000003</v>
      </c>
      <c r="X602" s="38">
        <f>(28*0.1790888*100000/1000000)+(28*0.2374*100000/1000000)</f>
        <v>1.16616864</v>
      </c>
      <c r="Y602" s="38">
        <f>(1000*600*CHOOSE(CONTROL!$C$42, 1.0585, 1.0585)*CHOOSE(CONTROL!$C$42, 28, 28))/1000000</f>
        <v>17.782800000000002</v>
      </c>
      <c r="Z602" s="38"/>
      <c r="AA602" s="10"/>
      <c r="AB602" s="39"/>
      <c r="AC602" s="33">
        <f>(B602*122.58+C602*297.941+D602*89.177+E602*40.302+F602*40+G602*160+H602*0+I602*100+J602*300)/(122.58+297.941+89.177+40.302+0+40+160+100+300)</f>
        <v>18.326492347304345</v>
      </c>
      <c r="AD602" s="27">
        <f>(M602*'RAP TEMPLATE-GAS AVAILABILITY'!O601+N602*'RAP TEMPLATE-GAS AVAILABILITY'!P601+O602*'RAP TEMPLATE-GAS AVAILABILITY'!Q601+P602*'RAP TEMPLATE-GAS AVAILABILITY'!R601)/('RAP TEMPLATE-GAS AVAILABILITY'!O601+'RAP TEMPLATE-GAS AVAILABILITY'!P601+'RAP TEMPLATE-GAS AVAILABILITY'!Q601+'RAP TEMPLATE-GAS AVAILABILITY'!R601)</f>
        <v>18.122927338129497</v>
      </c>
    </row>
    <row r="603" spans="1:30" ht="15.75">
      <c r="A603" s="13">
        <v>59626</v>
      </c>
      <c r="B603" s="10">
        <f>CHOOSE(CONTROL!$C$42, 17.8044, 17.8044) * CHOOSE(CONTROL!$C$21, $C$9, 100%, $E$9)</f>
        <v>17.804400000000001</v>
      </c>
      <c r="C603" s="10">
        <f>CHOOSE(CONTROL!$C$42, 17.8095, 17.8095) * CHOOSE(CONTROL!$C$21, $C$9, 100%, $E$9)</f>
        <v>17.8095</v>
      </c>
      <c r="D603" s="10">
        <f>CHOOSE(CONTROL!$C$42, 17.8419, 17.8419) * CHOOSE(CONTROL!$C$21, $C$9, 100%, $E$9)</f>
        <v>17.841899999999999</v>
      </c>
      <c r="E603" s="10">
        <f>CHOOSE(CONTROL!$C$42, 17.8757, 17.8757) * CHOOSE(CONTROL!$C$21, $C$9, 100%, $E$9)</f>
        <v>17.875699999999998</v>
      </c>
      <c r="F603" s="10">
        <f>CHOOSE(CONTROL!$C$42, 17.7866, 17.7866)*CHOOSE(CONTROL!$C$21, $C$9, 100%, $E$9)</f>
        <v>17.7866</v>
      </c>
      <c r="G603" s="10">
        <f>CHOOSE(CONTROL!$C$42, 17.8042, 17.8042)*CHOOSE(CONTROL!$C$21, $C$9, 100%, $E$9)</f>
        <v>17.804200000000002</v>
      </c>
      <c r="H603" s="10">
        <f>CHOOSE(CONTROL!$C$42, 17.8646, 17.8646) * CHOOSE(CONTROL!$C$21, $C$9, 100%, $E$9)</f>
        <v>17.864599999999999</v>
      </c>
      <c r="I603" s="10">
        <f>CHOOSE(CONTROL!$C$42, 17.8178, 17.8178)* CHOOSE(CONTROL!$C$21, $C$9, 100%, $E$9)</f>
        <v>17.817799999999998</v>
      </c>
      <c r="J603" s="10">
        <f>CHOOSE(CONTROL!$C$42, 17.7792, 17.7792)* CHOOSE(CONTROL!$C$21, $C$9, 100%, $E$9)</f>
        <v>17.779199999999999</v>
      </c>
      <c r="K603" s="10">
        <f>CHOOSE(CONTROL!$C$42, 17.4381, 17.4381) * CHOOSE(CONTROL!$C$21, $C$9, 100%, $E$9)</f>
        <v>17.438099999999999</v>
      </c>
      <c r="L603" s="10">
        <f>CHOOSE(CONTROL!$C$42, 18.4516, 18.4516) * CHOOSE(CONTROL!$C$21, $C$9, 100%, $E$9)</f>
        <v>18.451599999999999</v>
      </c>
      <c r="M603" s="10">
        <f>CHOOSE(CONTROL!$C$42, 17.5642, 17.5642) * CHOOSE(CONTROL!$C$21, $C$9, 100%, $E$9)</f>
        <v>17.5642</v>
      </c>
      <c r="N603" s="10">
        <f>CHOOSE(CONTROL!$C$42, 17.5816, 17.5816) * CHOOSE(CONTROL!$C$21, $C$9, 100%, $E$9)</f>
        <v>17.581600000000002</v>
      </c>
      <c r="O603" s="10">
        <f>CHOOSE(CONTROL!$C$42, 17.6484, 17.6484) * CHOOSE(CONTROL!$C$21, $C$9, 100%, $E$9)</f>
        <v>17.648399999999999</v>
      </c>
      <c r="P603" s="10">
        <f>CHOOSE(CONTROL!$C$42, 17.6023, 17.6023) * CHOOSE(CONTROL!$C$21, $C$9, 100%, $E$9)</f>
        <v>17.6023</v>
      </c>
      <c r="Q603" s="10">
        <f>CHOOSE(CONTROL!$C$42, 18.2437, 18.2437) * CHOOSE(CONTROL!$C$21, $C$9, 100%, $E$9)</f>
        <v>18.2437</v>
      </c>
      <c r="R603" s="10">
        <f>CHOOSE(CONTROL!$C$42, 18.8763, 18.8763) * CHOOSE(CONTROL!$C$21, $C$9, 100%, $E$9)</f>
        <v>18.876300000000001</v>
      </c>
      <c r="S603" s="10">
        <f>CHOOSE(CONTROL!$C$42, 17.2567, 17.2567) * CHOOSE(CONTROL!$C$21, $C$9, 100%, $E$9)</f>
        <v>17.256699999999999</v>
      </c>
      <c r="T60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03" s="38">
        <f>(1000*CHOOSE(CONTROL!$C$42, 695, 695)*CHOOSE(CONTROL!$C$42, 0.5599, 0.5599)*CHOOSE(CONTROL!$C$42, 31, 31))/1000000</f>
        <v>12.063045499999998</v>
      </c>
      <c r="V603" s="38">
        <f>(1000*CHOOSE(CONTROL!$C$42, 500, 500)*CHOOSE(CONTROL!$C$42, 0.275, 0.275)*CHOOSE(CONTROL!$C$42, 31, 31))/1000000</f>
        <v>4.2625000000000002</v>
      </c>
      <c r="W603" s="38">
        <f>(1000*CHOOSE(CONTROL!$C$42, 0.1146, 0.1146)*CHOOSE(CONTROL!$C$42, 121.5, 121.5)*CHOOSE(CONTROL!$C$42, 31, 31))/1000000</f>
        <v>0.43164089999999994</v>
      </c>
      <c r="X603" s="38">
        <f>(31*0.1790888*100000/1000000)+(31*0.2374*100000/1000000)</f>
        <v>1.2911152800000001</v>
      </c>
      <c r="Y603" s="38">
        <f>(1000*600*CHOOSE(CONTROL!$C$42, 1.0585, 1.0585)*CHOOSE(CONTROL!$C$42, 31, 31))/1000000</f>
        <v>19.688099999999999</v>
      </c>
      <c r="Z603" s="38"/>
      <c r="AA603" s="10"/>
      <c r="AB603" s="39"/>
      <c r="AC603" s="33">
        <f>(B603*122.58+C603*297.941+D603*89.177+E603*40.302+F603*40+G603*160+H603*0+I603*100+J603*300)/(122.58+297.941+89.177+40.302+0+40+160+100+300)</f>
        <v>17.805072321043479</v>
      </c>
      <c r="AD603" s="27">
        <f>(M603*'RAP TEMPLATE-GAS AVAILABILITY'!O602+N603*'RAP TEMPLATE-GAS AVAILABILITY'!P602+O603*'RAP TEMPLATE-GAS AVAILABILITY'!Q602+P603*'RAP TEMPLATE-GAS AVAILABILITY'!R602)/('RAP TEMPLATE-GAS AVAILABILITY'!O602+'RAP TEMPLATE-GAS AVAILABILITY'!P602+'RAP TEMPLATE-GAS AVAILABILITY'!Q602+'RAP TEMPLATE-GAS AVAILABILITY'!R602)</f>
        <v>17.608846043165464</v>
      </c>
    </row>
    <row r="604" spans="1:30" ht="15.75">
      <c r="A604" s="13">
        <v>59656</v>
      </c>
      <c r="B604" s="10">
        <f>CHOOSE(CONTROL!$C$42, 17.7518, 17.7518) * CHOOSE(CONTROL!$C$21, $C$9, 100%, $E$9)</f>
        <v>17.751799999999999</v>
      </c>
      <c r="C604" s="10">
        <f>CHOOSE(CONTROL!$C$42, 17.7563, 17.7563) * CHOOSE(CONTROL!$C$21, $C$9, 100%, $E$9)</f>
        <v>17.7563</v>
      </c>
      <c r="D604" s="10">
        <f>CHOOSE(CONTROL!$C$42, 17.9165, 17.9165) * CHOOSE(CONTROL!$C$21, $C$9, 100%, $E$9)</f>
        <v>17.916499999999999</v>
      </c>
      <c r="E604" s="10">
        <f>CHOOSE(CONTROL!$C$42, 17.9483, 17.9483) * CHOOSE(CONTROL!$C$21, $C$9, 100%, $E$9)</f>
        <v>17.9483</v>
      </c>
      <c r="F604" s="10">
        <f>CHOOSE(CONTROL!$C$42, 17.6979, 17.6979)*CHOOSE(CONTROL!$C$21, $C$9, 100%, $E$9)</f>
        <v>17.697900000000001</v>
      </c>
      <c r="G604" s="10">
        <f>CHOOSE(CONTROL!$C$42, 17.7137, 17.7137)*CHOOSE(CONTROL!$C$21, $C$9, 100%, $E$9)</f>
        <v>17.713699999999999</v>
      </c>
      <c r="H604" s="10">
        <f>CHOOSE(CONTROL!$C$42, 17.9378, 17.9378) * CHOOSE(CONTROL!$C$21, $C$9, 100%, $E$9)</f>
        <v>17.937799999999999</v>
      </c>
      <c r="I604" s="10">
        <f>CHOOSE(CONTROL!$C$42, 17.7319, 17.7319)* CHOOSE(CONTROL!$C$21, $C$9, 100%, $E$9)</f>
        <v>17.7319</v>
      </c>
      <c r="J604" s="10">
        <f>CHOOSE(CONTROL!$C$42, 17.6905, 17.6905)* CHOOSE(CONTROL!$C$21, $C$9, 100%, $E$9)</f>
        <v>17.6905</v>
      </c>
      <c r="K604" s="10">
        <f>CHOOSE(CONTROL!$C$42, 17.3389, 17.3389) * CHOOSE(CONTROL!$C$21, $C$9, 100%, $E$9)</f>
        <v>17.338899999999999</v>
      </c>
      <c r="L604" s="10">
        <f>CHOOSE(CONTROL!$C$42, 18.5248, 18.5248) * CHOOSE(CONTROL!$C$21, $C$9, 100%, $E$9)</f>
        <v>18.524799999999999</v>
      </c>
      <c r="M604" s="10">
        <f>CHOOSE(CONTROL!$C$42, 17.4767, 17.4767) * CHOOSE(CONTROL!$C$21, $C$9, 100%, $E$9)</f>
        <v>17.476700000000001</v>
      </c>
      <c r="N604" s="10">
        <f>CHOOSE(CONTROL!$C$42, 17.4923, 17.4923) * CHOOSE(CONTROL!$C$21, $C$9, 100%, $E$9)</f>
        <v>17.4923</v>
      </c>
      <c r="O604" s="10">
        <f>CHOOSE(CONTROL!$C$42, 17.7205, 17.7205) * CHOOSE(CONTROL!$C$21, $C$9, 100%, $E$9)</f>
        <v>17.720500000000001</v>
      </c>
      <c r="P604" s="10">
        <f>CHOOSE(CONTROL!$C$42, 17.5176, 17.5176) * CHOOSE(CONTROL!$C$21, $C$9, 100%, $E$9)</f>
        <v>17.517600000000002</v>
      </c>
      <c r="Q604" s="10">
        <f>CHOOSE(CONTROL!$C$42, 18.3158, 18.3158) * CHOOSE(CONTROL!$C$21, $C$9, 100%, $E$9)</f>
        <v>18.315799999999999</v>
      </c>
      <c r="R604" s="10">
        <f>CHOOSE(CONTROL!$C$42, 18.9486, 18.9486) * CHOOSE(CONTROL!$C$21, $C$9, 100%, $E$9)</f>
        <v>18.948599999999999</v>
      </c>
      <c r="S604" s="10">
        <f>CHOOSE(CONTROL!$C$42, 17.205, 17.205) * CHOOSE(CONTROL!$C$21, $C$9, 100%, $E$9)</f>
        <v>17.204999999999998</v>
      </c>
      <c r="T60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04" s="38">
        <f>(1000*CHOOSE(CONTROL!$C$42, 695, 695)*CHOOSE(CONTROL!$C$42, 0.5599, 0.5599)*CHOOSE(CONTROL!$C$42, 30, 30))/1000000</f>
        <v>11.673914999999997</v>
      </c>
      <c r="V604" s="38">
        <f>(1000*CHOOSE(CONTROL!$C$42, 500, 500)*CHOOSE(CONTROL!$C$42, 0.275, 0.275)*CHOOSE(CONTROL!$C$42, 30, 30))/1000000</f>
        <v>4.125</v>
      </c>
      <c r="W604" s="38">
        <f>(1000*CHOOSE(CONTROL!$C$42, 0.1146, 0.1146)*CHOOSE(CONTROL!$C$42, 121.5, 121.5)*CHOOSE(CONTROL!$C$42, 30, 30))/1000000</f>
        <v>0.417717</v>
      </c>
      <c r="X604" s="38">
        <f>(30*0.1790888*245000/1000000)+(30*0.2374*100000/1000000)</f>
        <v>2.0285026799999999</v>
      </c>
      <c r="Y604" s="38">
        <f>(1000*600*CHOOSE(CONTROL!$C$42, 1.0585, 1.0585)*CHOOSE(CONTROL!$C$42, 30, 30))/1000000</f>
        <v>19.053000000000001</v>
      </c>
      <c r="Z604" s="38"/>
      <c r="AA604" s="10"/>
      <c r="AB604" s="39"/>
      <c r="AC604" s="33">
        <f>(B604*141.293+C604*267.993+D604*115.016+E604*89.698+F604*40+G604*185+H604*0+I604*100+J604*300)/(141.293+267.993+115.016+89.698+0+40+185+100+300)</f>
        <v>17.758410379903147</v>
      </c>
      <c r="AD604" s="27">
        <f>(M604*'RAP TEMPLATE-GAS AVAILABILITY'!O603+N604*'RAP TEMPLATE-GAS AVAILABILITY'!P603+O604*'RAP TEMPLATE-GAS AVAILABILITY'!Q603+P604*'RAP TEMPLATE-GAS AVAILABILITY'!R603)/('RAP TEMPLATE-GAS AVAILABILITY'!O603+'RAP TEMPLATE-GAS AVAILABILITY'!P603+'RAP TEMPLATE-GAS AVAILABILITY'!Q603+'RAP TEMPLATE-GAS AVAILABILITY'!R603)</f>
        <v>17.593982014388491</v>
      </c>
    </row>
    <row r="605" spans="1:30" ht="15.75">
      <c r="A605" s="13">
        <v>59687</v>
      </c>
      <c r="B605" s="10">
        <f>CHOOSE(CONTROL!$C$42, 17.9104, 17.9104) * CHOOSE(CONTROL!$C$21, $C$9, 100%, $E$9)</f>
        <v>17.910399999999999</v>
      </c>
      <c r="C605" s="10">
        <f>CHOOSE(CONTROL!$C$42, 17.9184, 17.9184) * CHOOSE(CONTROL!$C$21, $C$9, 100%, $E$9)</f>
        <v>17.918399999999998</v>
      </c>
      <c r="D605" s="10">
        <f>CHOOSE(CONTROL!$C$42, 18.0755, 18.0755) * CHOOSE(CONTROL!$C$21, $C$9, 100%, $E$9)</f>
        <v>18.075500000000002</v>
      </c>
      <c r="E605" s="10">
        <f>CHOOSE(CONTROL!$C$42, 18.1067, 18.1067) * CHOOSE(CONTROL!$C$21, $C$9, 100%, $E$9)</f>
        <v>18.1067</v>
      </c>
      <c r="F605" s="10">
        <f>CHOOSE(CONTROL!$C$42, 17.8546, 17.8546)*CHOOSE(CONTROL!$C$21, $C$9, 100%, $E$9)</f>
        <v>17.854600000000001</v>
      </c>
      <c r="G605" s="10">
        <f>CHOOSE(CONTROL!$C$42, 17.8707, 17.8707)*CHOOSE(CONTROL!$C$21, $C$9, 100%, $E$9)</f>
        <v>17.870699999999999</v>
      </c>
      <c r="H605" s="10">
        <f>CHOOSE(CONTROL!$C$42, 18.095, 18.095) * CHOOSE(CONTROL!$C$21, $C$9, 100%, $E$9)</f>
        <v>18.094999999999999</v>
      </c>
      <c r="I605" s="10">
        <f>CHOOSE(CONTROL!$C$42, 17.8892, 17.8892)* CHOOSE(CONTROL!$C$21, $C$9, 100%, $E$9)</f>
        <v>17.889199999999999</v>
      </c>
      <c r="J605" s="10">
        <f>CHOOSE(CONTROL!$C$42, 17.8472, 17.8472)* CHOOSE(CONTROL!$C$21, $C$9, 100%, $E$9)</f>
        <v>17.847200000000001</v>
      </c>
      <c r="K605" s="10">
        <f>CHOOSE(CONTROL!$C$42, 17.49, 17.49) * CHOOSE(CONTROL!$C$21, $C$9, 100%, $E$9)</f>
        <v>17.489999999999998</v>
      </c>
      <c r="L605" s="10">
        <f>CHOOSE(CONTROL!$C$42, 18.682, 18.682) * CHOOSE(CONTROL!$C$21, $C$9, 100%, $E$9)</f>
        <v>18.681999999999999</v>
      </c>
      <c r="M605" s="10">
        <f>CHOOSE(CONTROL!$C$42, 17.6312, 17.6312) * CHOOSE(CONTROL!$C$21, $C$9, 100%, $E$9)</f>
        <v>17.6312</v>
      </c>
      <c r="N605" s="10">
        <f>CHOOSE(CONTROL!$C$42, 17.6471, 17.6471) * CHOOSE(CONTROL!$C$21, $C$9, 100%, $E$9)</f>
        <v>17.647099999999998</v>
      </c>
      <c r="O605" s="10">
        <f>CHOOSE(CONTROL!$C$42, 17.8756, 17.8756) * CHOOSE(CONTROL!$C$21, $C$9, 100%, $E$9)</f>
        <v>17.875599999999999</v>
      </c>
      <c r="P605" s="10">
        <f>CHOOSE(CONTROL!$C$42, 17.6727, 17.6727) * CHOOSE(CONTROL!$C$21, $C$9, 100%, $E$9)</f>
        <v>17.672699999999999</v>
      </c>
      <c r="Q605" s="10">
        <f>CHOOSE(CONTROL!$C$42, 18.4709, 18.4709) * CHOOSE(CONTROL!$C$21, $C$9, 100%, $E$9)</f>
        <v>18.4709</v>
      </c>
      <c r="R605" s="10">
        <f>CHOOSE(CONTROL!$C$42, 19.1041, 19.1041) * CHOOSE(CONTROL!$C$21, $C$9, 100%, $E$9)</f>
        <v>19.104099999999999</v>
      </c>
      <c r="S605" s="10">
        <f>CHOOSE(CONTROL!$C$42, 17.3573, 17.3573) * CHOOSE(CONTROL!$C$21, $C$9, 100%, $E$9)</f>
        <v>17.357299999999999</v>
      </c>
      <c r="T60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05" s="38">
        <f>(1000*CHOOSE(CONTROL!$C$42, 695, 695)*CHOOSE(CONTROL!$C$42, 0.5599, 0.5599)*CHOOSE(CONTROL!$C$42, 31, 31))/1000000</f>
        <v>12.063045499999998</v>
      </c>
      <c r="V605" s="38">
        <f>(1000*CHOOSE(CONTROL!$C$42, 500, 500)*CHOOSE(CONTROL!$C$42, 0.275, 0.275)*CHOOSE(CONTROL!$C$42, 31, 31))/1000000</f>
        <v>4.2625000000000002</v>
      </c>
      <c r="W605" s="38">
        <f>(1000*CHOOSE(CONTROL!$C$42, 0.1146, 0.1146)*CHOOSE(CONTROL!$C$42, 121.5, 121.5)*CHOOSE(CONTROL!$C$42, 31, 31))/1000000</f>
        <v>0.43164089999999994</v>
      </c>
      <c r="X605" s="38">
        <f>(31*0.1790888*245000/1000000)+(31*0.2374*100000/1000000)</f>
        <v>2.0961194359999999</v>
      </c>
      <c r="Y605" s="38">
        <f>(1000*600*CHOOSE(CONTROL!$C$42, 1.0585, 1.0585)*CHOOSE(CONTROL!$C$42, 31, 31))/1000000</f>
        <v>19.688099999999999</v>
      </c>
      <c r="Z605" s="38"/>
      <c r="AA605" s="10"/>
      <c r="AB605" s="39"/>
      <c r="AC605" s="33">
        <f>(B605*194.205+C605*267.466+D605*133.845+E605*53.484+F605*40+G605*185+H605*0+I605*100+J605*300)/(194.205+267.466+133.845+53.484+0+40+185+100+300)</f>
        <v>17.913602469937207</v>
      </c>
      <c r="AD605" s="27">
        <f>(M605*'RAP TEMPLATE-GAS AVAILABILITY'!O604+N605*'RAP TEMPLATE-GAS AVAILABILITY'!P604+O605*'RAP TEMPLATE-GAS AVAILABILITY'!Q604+P605*'RAP TEMPLATE-GAS AVAILABILITY'!R604)/('RAP TEMPLATE-GAS AVAILABILITY'!O604+'RAP TEMPLATE-GAS AVAILABILITY'!P604+'RAP TEMPLATE-GAS AVAILABILITY'!Q604+'RAP TEMPLATE-GAS AVAILABILITY'!R604)</f>
        <v>17.748857553956835</v>
      </c>
    </row>
    <row r="606" spans="1:30" ht="15.75">
      <c r="A606" s="13">
        <v>59717</v>
      </c>
      <c r="B606" s="10">
        <f>CHOOSE(CONTROL!$C$42, 18.4189, 18.4189) * CHOOSE(CONTROL!$C$21, $C$9, 100%, $E$9)</f>
        <v>18.418900000000001</v>
      </c>
      <c r="C606" s="10">
        <f>CHOOSE(CONTROL!$C$42, 18.4269, 18.4269) * CHOOSE(CONTROL!$C$21, $C$9, 100%, $E$9)</f>
        <v>18.4269</v>
      </c>
      <c r="D606" s="10">
        <f>CHOOSE(CONTROL!$C$42, 18.5839, 18.5839) * CHOOSE(CONTROL!$C$21, $C$9, 100%, $E$9)</f>
        <v>18.5839</v>
      </c>
      <c r="E606" s="10">
        <f>CHOOSE(CONTROL!$C$42, 18.6151, 18.6151) * CHOOSE(CONTROL!$C$21, $C$9, 100%, $E$9)</f>
        <v>18.615100000000002</v>
      </c>
      <c r="F606" s="10">
        <f>CHOOSE(CONTROL!$C$42, 18.3632, 18.3632)*CHOOSE(CONTROL!$C$21, $C$9, 100%, $E$9)</f>
        <v>18.363199999999999</v>
      </c>
      <c r="G606" s="10">
        <f>CHOOSE(CONTROL!$C$42, 18.3794, 18.3794)*CHOOSE(CONTROL!$C$21, $C$9, 100%, $E$9)</f>
        <v>18.3794</v>
      </c>
      <c r="H606" s="10">
        <f>CHOOSE(CONTROL!$C$42, 18.6035, 18.6035) * CHOOSE(CONTROL!$C$21, $C$9, 100%, $E$9)</f>
        <v>18.6035</v>
      </c>
      <c r="I606" s="10">
        <f>CHOOSE(CONTROL!$C$42, 18.3977, 18.3977)* CHOOSE(CONTROL!$C$21, $C$9, 100%, $E$9)</f>
        <v>18.3977</v>
      </c>
      <c r="J606" s="10">
        <f>CHOOSE(CONTROL!$C$42, 18.3558, 18.3558)* CHOOSE(CONTROL!$C$21, $C$9, 100%, $E$9)</f>
        <v>18.355799999999999</v>
      </c>
      <c r="K606" s="10">
        <f>CHOOSE(CONTROL!$C$42, 17.983, 17.983) * CHOOSE(CONTROL!$C$21, $C$9, 100%, $E$9)</f>
        <v>17.983000000000001</v>
      </c>
      <c r="L606" s="10">
        <f>CHOOSE(CONTROL!$C$42, 19.1905, 19.1905) * CHOOSE(CONTROL!$C$21, $C$9, 100%, $E$9)</f>
        <v>19.1905</v>
      </c>
      <c r="M606" s="10">
        <f>CHOOSE(CONTROL!$C$42, 18.1327, 18.1327) * CHOOSE(CONTROL!$C$21, $C$9, 100%, $E$9)</f>
        <v>18.1327</v>
      </c>
      <c r="N606" s="10">
        <f>CHOOSE(CONTROL!$C$42, 18.1487, 18.1487) * CHOOSE(CONTROL!$C$21, $C$9, 100%, $E$9)</f>
        <v>18.148700000000002</v>
      </c>
      <c r="O606" s="10">
        <f>CHOOSE(CONTROL!$C$42, 18.377, 18.377) * CHOOSE(CONTROL!$C$21, $C$9, 100%, $E$9)</f>
        <v>18.376999999999999</v>
      </c>
      <c r="P606" s="10">
        <f>CHOOSE(CONTROL!$C$42, 18.1741, 18.1741) * CHOOSE(CONTROL!$C$21, $C$9, 100%, $E$9)</f>
        <v>18.174099999999999</v>
      </c>
      <c r="Q606" s="10">
        <f>CHOOSE(CONTROL!$C$42, 18.9723, 18.9723) * CHOOSE(CONTROL!$C$21, $C$9, 100%, $E$9)</f>
        <v>18.972300000000001</v>
      </c>
      <c r="R606" s="10">
        <f>CHOOSE(CONTROL!$C$42, 19.6067, 19.6067) * CHOOSE(CONTROL!$C$21, $C$9, 100%, $E$9)</f>
        <v>19.6067</v>
      </c>
      <c r="S606" s="10">
        <f>CHOOSE(CONTROL!$C$42, 17.8496, 17.8496) * CHOOSE(CONTROL!$C$21, $C$9, 100%, $E$9)</f>
        <v>17.849599999999999</v>
      </c>
      <c r="T60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06" s="38">
        <f>(1000*CHOOSE(CONTROL!$C$42, 695, 695)*CHOOSE(CONTROL!$C$42, 0.5599, 0.5599)*CHOOSE(CONTROL!$C$42, 30, 30))/1000000</f>
        <v>11.673914999999997</v>
      </c>
      <c r="V606" s="38">
        <f>(1000*CHOOSE(CONTROL!$C$42, 500, 500)*CHOOSE(CONTROL!$C$42, 0.275, 0.275)*CHOOSE(CONTROL!$C$42, 30, 30))/1000000</f>
        <v>4.125</v>
      </c>
      <c r="W606" s="38">
        <f>(1000*CHOOSE(CONTROL!$C$42, 0.1146, 0.1146)*CHOOSE(CONTROL!$C$42, 121.5, 121.5)*CHOOSE(CONTROL!$C$42, 30, 30))/1000000</f>
        <v>0.417717</v>
      </c>
      <c r="X606" s="38">
        <f>(30*0.1790888*245000/1000000)+(30*0.2374*100000/1000000)</f>
        <v>2.0285026799999999</v>
      </c>
      <c r="Y606" s="38">
        <f>(1000*600*CHOOSE(CONTROL!$C$42, 1.0585, 1.0585)*CHOOSE(CONTROL!$C$42, 30, 30))/1000000</f>
        <v>19.053000000000001</v>
      </c>
      <c r="Z606" s="38"/>
      <c r="AA606" s="10"/>
      <c r="AB606" s="39"/>
      <c r="AC606" s="33">
        <f>(B606*194.205+C606*267.466+D606*133.845+E606*53.484+F606*40+G606*185+H606*0+I606*100+J606*300)/(194.205+267.466+133.845+53.484+0+40+185+100+300)</f>
        <v>18.42214349591837</v>
      </c>
      <c r="AD606" s="27">
        <f>(M606*'RAP TEMPLATE-GAS AVAILABILITY'!O605+N606*'RAP TEMPLATE-GAS AVAILABILITY'!P605+O606*'RAP TEMPLATE-GAS AVAILABILITY'!Q605+P606*'RAP TEMPLATE-GAS AVAILABILITY'!R605)/('RAP TEMPLATE-GAS AVAILABILITY'!O605+'RAP TEMPLATE-GAS AVAILABILITY'!P605+'RAP TEMPLATE-GAS AVAILABILITY'!Q605+'RAP TEMPLATE-GAS AVAILABILITY'!R605)</f>
        <v>18.250303597122301</v>
      </c>
    </row>
    <row r="607" spans="1:30" ht="15.75">
      <c r="A607" s="13">
        <v>59748</v>
      </c>
      <c r="B607" s="10">
        <f>CHOOSE(CONTROL!$C$42, 18.0653, 18.0653) * CHOOSE(CONTROL!$C$21, $C$9, 100%, $E$9)</f>
        <v>18.065300000000001</v>
      </c>
      <c r="C607" s="10">
        <f>CHOOSE(CONTROL!$C$42, 18.0733, 18.0733) * CHOOSE(CONTROL!$C$21, $C$9, 100%, $E$9)</f>
        <v>18.0733</v>
      </c>
      <c r="D607" s="10">
        <f>CHOOSE(CONTROL!$C$42, 18.2303, 18.2303) * CHOOSE(CONTROL!$C$21, $C$9, 100%, $E$9)</f>
        <v>18.2303</v>
      </c>
      <c r="E607" s="10">
        <f>CHOOSE(CONTROL!$C$42, 18.2615, 18.2615) * CHOOSE(CONTROL!$C$21, $C$9, 100%, $E$9)</f>
        <v>18.261500000000002</v>
      </c>
      <c r="F607" s="10">
        <f>CHOOSE(CONTROL!$C$42, 18.0099, 18.0099)*CHOOSE(CONTROL!$C$21, $C$9, 100%, $E$9)</f>
        <v>18.009899999999998</v>
      </c>
      <c r="G607" s="10">
        <f>CHOOSE(CONTROL!$C$42, 18.0262, 18.0262)*CHOOSE(CONTROL!$C$21, $C$9, 100%, $E$9)</f>
        <v>18.026199999999999</v>
      </c>
      <c r="H607" s="10">
        <f>CHOOSE(CONTROL!$C$42, 18.2498, 18.2498) * CHOOSE(CONTROL!$C$21, $C$9, 100%, $E$9)</f>
        <v>18.2498</v>
      </c>
      <c r="I607" s="10">
        <f>CHOOSE(CONTROL!$C$42, 18.044, 18.044)* CHOOSE(CONTROL!$C$21, $C$9, 100%, $E$9)</f>
        <v>18.044</v>
      </c>
      <c r="J607" s="10">
        <f>CHOOSE(CONTROL!$C$42, 18.0025, 18.0025)* CHOOSE(CONTROL!$C$21, $C$9, 100%, $E$9)</f>
        <v>18.002500000000001</v>
      </c>
      <c r="K607" s="10">
        <f>CHOOSE(CONTROL!$C$42, 17.6411, 17.6411) * CHOOSE(CONTROL!$C$21, $C$9, 100%, $E$9)</f>
        <v>17.641100000000002</v>
      </c>
      <c r="L607" s="10">
        <f>CHOOSE(CONTROL!$C$42, 18.8368, 18.8368) * CHOOSE(CONTROL!$C$21, $C$9, 100%, $E$9)</f>
        <v>18.8368</v>
      </c>
      <c r="M607" s="10">
        <f>CHOOSE(CONTROL!$C$42, 17.7844, 17.7844) * CHOOSE(CONTROL!$C$21, $C$9, 100%, $E$9)</f>
        <v>17.784400000000002</v>
      </c>
      <c r="N607" s="10">
        <f>CHOOSE(CONTROL!$C$42, 17.8004, 17.8004) * CHOOSE(CONTROL!$C$21, $C$9, 100%, $E$9)</f>
        <v>17.8004</v>
      </c>
      <c r="O607" s="10">
        <f>CHOOSE(CONTROL!$C$42, 18.0283, 18.0283) * CHOOSE(CONTROL!$C$21, $C$9, 100%, $E$9)</f>
        <v>18.028300000000002</v>
      </c>
      <c r="P607" s="10">
        <f>CHOOSE(CONTROL!$C$42, 17.8254, 17.8254) * CHOOSE(CONTROL!$C$21, $C$9, 100%, $E$9)</f>
        <v>17.825399999999998</v>
      </c>
      <c r="Q607" s="10">
        <f>CHOOSE(CONTROL!$C$42, 18.6236, 18.6236) * CHOOSE(CONTROL!$C$21, $C$9, 100%, $E$9)</f>
        <v>18.6236</v>
      </c>
      <c r="R607" s="10">
        <f>CHOOSE(CONTROL!$C$42, 19.2571, 19.2571) * CHOOSE(CONTROL!$C$21, $C$9, 100%, $E$9)</f>
        <v>19.257100000000001</v>
      </c>
      <c r="S607" s="10">
        <f>CHOOSE(CONTROL!$C$42, 17.5072, 17.5072) * CHOOSE(CONTROL!$C$21, $C$9, 100%, $E$9)</f>
        <v>17.507200000000001</v>
      </c>
      <c r="T60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07" s="38">
        <f>(1000*CHOOSE(CONTROL!$C$42, 695, 695)*CHOOSE(CONTROL!$C$42, 0.5599, 0.5599)*CHOOSE(CONTROL!$C$42, 31, 31))/1000000</f>
        <v>12.063045499999998</v>
      </c>
      <c r="V607" s="38">
        <f>(1000*CHOOSE(CONTROL!$C$42, 500, 500)*CHOOSE(CONTROL!$C$42, 0.275, 0.275)*CHOOSE(CONTROL!$C$42, 31, 31))/1000000</f>
        <v>4.2625000000000002</v>
      </c>
      <c r="W607" s="38">
        <f>(1000*CHOOSE(CONTROL!$C$42, 0.1146, 0.1146)*CHOOSE(CONTROL!$C$42, 121.5, 121.5)*CHOOSE(CONTROL!$C$42, 31, 31))/1000000</f>
        <v>0.43164089999999994</v>
      </c>
      <c r="X607" s="38">
        <f>(31*0.1790888*245000/1000000)+(31*0.2374*100000/1000000)</f>
        <v>2.0961194359999999</v>
      </c>
      <c r="Y607" s="38">
        <f>(1000*600*CHOOSE(CONTROL!$C$42, 1.0585, 1.0585)*CHOOSE(CONTROL!$C$42, 31, 31))/1000000</f>
        <v>19.688099999999999</v>
      </c>
      <c r="Z607" s="38"/>
      <c r="AA607" s="10"/>
      <c r="AB607" s="39"/>
      <c r="AC607" s="33">
        <f>(B607*194.205+C607*267.466+D607*133.845+E607*53.484+F607*40+G607*185+H607*0+I607*100+J607*300)/(194.205+267.466+133.845+53.484+0+40+185+100+300)</f>
        <v>18.068673794191525</v>
      </c>
      <c r="AD607" s="27">
        <f>(M607*'RAP TEMPLATE-GAS AVAILABILITY'!O606+N607*'RAP TEMPLATE-GAS AVAILABILITY'!P606+O607*'RAP TEMPLATE-GAS AVAILABILITY'!Q606+P607*'RAP TEMPLATE-GAS AVAILABILITY'!R606)/('RAP TEMPLATE-GAS AVAILABILITY'!O606+'RAP TEMPLATE-GAS AVAILABILITY'!P606+'RAP TEMPLATE-GAS AVAILABILITY'!Q606+'RAP TEMPLATE-GAS AVAILABILITY'!R606)</f>
        <v>17.901764748201437</v>
      </c>
    </row>
    <row r="608" spans="1:30" ht="15.75">
      <c r="A608" s="13">
        <v>59779</v>
      </c>
      <c r="B608" s="10">
        <f>CHOOSE(CONTROL!$C$42, 17.1722, 17.1722) * CHOOSE(CONTROL!$C$21, $C$9, 100%, $E$9)</f>
        <v>17.1722</v>
      </c>
      <c r="C608" s="10">
        <f>CHOOSE(CONTROL!$C$42, 17.1802, 17.1802) * CHOOSE(CONTROL!$C$21, $C$9, 100%, $E$9)</f>
        <v>17.180199999999999</v>
      </c>
      <c r="D608" s="10">
        <f>CHOOSE(CONTROL!$C$42, 17.3373, 17.3373) * CHOOSE(CONTROL!$C$21, $C$9, 100%, $E$9)</f>
        <v>17.337299999999999</v>
      </c>
      <c r="E608" s="10">
        <f>CHOOSE(CONTROL!$C$42, 17.3685, 17.3685) * CHOOSE(CONTROL!$C$21, $C$9, 100%, $E$9)</f>
        <v>17.368500000000001</v>
      </c>
      <c r="F608" s="10">
        <f>CHOOSE(CONTROL!$C$42, 17.1168, 17.1168)*CHOOSE(CONTROL!$C$21, $C$9, 100%, $E$9)</f>
        <v>17.116800000000001</v>
      </c>
      <c r="G608" s="10">
        <f>CHOOSE(CONTROL!$C$42, 17.1331, 17.1331)*CHOOSE(CONTROL!$C$21, $C$9, 100%, $E$9)</f>
        <v>17.133099999999999</v>
      </c>
      <c r="H608" s="10">
        <f>CHOOSE(CONTROL!$C$42, 17.3568, 17.3568) * CHOOSE(CONTROL!$C$21, $C$9, 100%, $E$9)</f>
        <v>17.3568</v>
      </c>
      <c r="I608" s="10">
        <f>CHOOSE(CONTROL!$C$42, 17.151, 17.151)* CHOOSE(CONTROL!$C$21, $C$9, 100%, $E$9)</f>
        <v>17.151</v>
      </c>
      <c r="J608" s="10">
        <f>CHOOSE(CONTROL!$C$42, 17.1094, 17.1094)* CHOOSE(CONTROL!$C$21, $C$9, 100%, $E$9)</f>
        <v>17.109400000000001</v>
      </c>
      <c r="K608" s="10">
        <f>CHOOSE(CONTROL!$C$42, 16.7758, 16.7758) * CHOOSE(CONTROL!$C$21, $C$9, 100%, $E$9)</f>
        <v>16.7758</v>
      </c>
      <c r="L608" s="10">
        <f>CHOOSE(CONTROL!$C$42, 17.9438, 17.9438) * CHOOSE(CONTROL!$C$21, $C$9, 100%, $E$9)</f>
        <v>17.9438</v>
      </c>
      <c r="M608" s="10">
        <f>CHOOSE(CONTROL!$C$42, 16.9037, 16.9037) * CHOOSE(CONTROL!$C$21, $C$9, 100%, $E$9)</f>
        <v>16.903700000000001</v>
      </c>
      <c r="N608" s="10">
        <f>CHOOSE(CONTROL!$C$42, 16.9198, 16.9198) * CHOOSE(CONTROL!$C$21, $C$9, 100%, $E$9)</f>
        <v>16.919799999999999</v>
      </c>
      <c r="O608" s="10">
        <f>CHOOSE(CONTROL!$C$42, 17.1477, 17.1477) * CHOOSE(CONTROL!$C$21, $C$9, 100%, $E$9)</f>
        <v>17.1477</v>
      </c>
      <c r="P608" s="10">
        <f>CHOOSE(CONTROL!$C$42, 16.9448, 16.9448) * CHOOSE(CONTROL!$C$21, $C$9, 100%, $E$9)</f>
        <v>16.944800000000001</v>
      </c>
      <c r="Q608" s="10">
        <f>CHOOSE(CONTROL!$C$42, 17.743, 17.743) * CHOOSE(CONTROL!$C$21, $C$9, 100%, $E$9)</f>
        <v>17.742999999999999</v>
      </c>
      <c r="R608" s="10">
        <f>CHOOSE(CONTROL!$C$42, 18.3744, 18.3744) * CHOOSE(CONTROL!$C$21, $C$9, 100%, $E$9)</f>
        <v>18.374400000000001</v>
      </c>
      <c r="S608" s="10">
        <f>CHOOSE(CONTROL!$C$42, 16.6425, 16.6425) * CHOOSE(CONTROL!$C$21, $C$9, 100%, $E$9)</f>
        <v>16.642499999999998</v>
      </c>
      <c r="T60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08" s="38">
        <f>(1000*CHOOSE(CONTROL!$C$42, 695, 695)*CHOOSE(CONTROL!$C$42, 0.5599, 0.5599)*CHOOSE(CONTROL!$C$42, 31, 31))/1000000</f>
        <v>12.063045499999998</v>
      </c>
      <c r="V608" s="38">
        <f>(1000*CHOOSE(CONTROL!$C$42, 500, 500)*CHOOSE(CONTROL!$C$42, 0.275, 0.275)*CHOOSE(CONTROL!$C$42, 31, 31))/1000000</f>
        <v>4.2625000000000002</v>
      </c>
      <c r="W608" s="38">
        <f>(1000*CHOOSE(CONTROL!$C$42, 0.1146, 0.1146)*CHOOSE(CONTROL!$C$42, 121.5, 121.5)*CHOOSE(CONTROL!$C$42, 31, 31))/1000000</f>
        <v>0.43164089999999994</v>
      </c>
      <c r="X608" s="38">
        <f>(31*0.1790888*245000/1000000)+(31*0.2374*100000/1000000)</f>
        <v>2.0961194359999999</v>
      </c>
      <c r="Y608" s="38">
        <f>(1000*600*CHOOSE(CONTROL!$C$42, 1.0585, 1.0585)*CHOOSE(CONTROL!$C$42, 31, 31))/1000000</f>
        <v>19.688099999999999</v>
      </c>
      <c r="Z608" s="38"/>
      <c r="AA608" s="10"/>
      <c r="AB608" s="39"/>
      <c r="AC608" s="33">
        <f>(B608*194.205+C608*267.466+D608*133.845+E608*53.484+F608*40+G608*185+H608*0+I608*100+J608*300)/(194.205+267.466+133.845+53.484+0+40+185+100+300)</f>
        <v>17.175596347488224</v>
      </c>
      <c r="AD608" s="27">
        <f>(M608*'RAP TEMPLATE-GAS AVAILABILITY'!O607+N608*'RAP TEMPLATE-GAS AVAILABILITY'!P607+O608*'RAP TEMPLATE-GAS AVAILABILITY'!Q607+P608*'RAP TEMPLATE-GAS AVAILABILITY'!R607)/('RAP TEMPLATE-GAS AVAILABILITY'!O607+'RAP TEMPLATE-GAS AVAILABILITY'!P607+'RAP TEMPLATE-GAS AVAILABILITY'!Q607+'RAP TEMPLATE-GAS AVAILABILITY'!R607)</f>
        <v>17.021130215827338</v>
      </c>
    </row>
    <row r="609" spans="1:30" ht="15.75">
      <c r="A609" s="13">
        <v>59809</v>
      </c>
      <c r="B609" s="10">
        <f>CHOOSE(CONTROL!$C$42, 16.0811, 16.0811) * CHOOSE(CONTROL!$C$21, $C$9, 100%, $E$9)</f>
        <v>16.081099999999999</v>
      </c>
      <c r="C609" s="10">
        <f>CHOOSE(CONTROL!$C$42, 16.0891, 16.0891) * CHOOSE(CONTROL!$C$21, $C$9, 100%, $E$9)</f>
        <v>16.089099999999998</v>
      </c>
      <c r="D609" s="10">
        <f>CHOOSE(CONTROL!$C$42, 16.2462, 16.2462) * CHOOSE(CONTROL!$C$21, $C$9, 100%, $E$9)</f>
        <v>16.246200000000002</v>
      </c>
      <c r="E609" s="10">
        <f>CHOOSE(CONTROL!$C$42, 16.2774, 16.2774) * CHOOSE(CONTROL!$C$21, $C$9, 100%, $E$9)</f>
        <v>16.2774</v>
      </c>
      <c r="F609" s="10">
        <f>CHOOSE(CONTROL!$C$42, 16.0255, 16.0255)*CHOOSE(CONTROL!$C$21, $C$9, 100%, $E$9)</f>
        <v>16.025500000000001</v>
      </c>
      <c r="G609" s="10">
        <f>CHOOSE(CONTROL!$C$42, 16.0417, 16.0417)*CHOOSE(CONTROL!$C$21, $C$9, 100%, $E$9)</f>
        <v>16.041699999999999</v>
      </c>
      <c r="H609" s="10">
        <f>CHOOSE(CONTROL!$C$42, 16.2657, 16.2657) * CHOOSE(CONTROL!$C$21, $C$9, 100%, $E$9)</f>
        <v>16.265699999999999</v>
      </c>
      <c r="I609" s="10">
        <f>CHOOSE(CONTROL!$C$42, 16.0599, 16.0599)* CHOOSE(CONTROL!$C$21, $C$9, 100%, $E$9)</f>
        <v>16.059899999999999</v>
      </c>
      <c r="J609" s="10">
        <f>CHOOSE(CONTROL!$C$42, 16.0181, 16.0181)* CHOOSE(CONTROL!$C$21, $C$9, 100%, $E$9)</f>
        <v>16.0181</v>
      </c>
      <c r="K609" s="10">
        <f>CHOOSE(CONTROL!$C$42, 15.7183, 15.7183) * CHOOSE(CONTROL!$C$21, $C$9, 100%, $E$9)</f>
        <v>15.718299999999999</v>
      </c>
      <c r="L609" s="10">
        <f>CHOOSE(CONTROL!$C$42, 16.8527, 16.8527) * CHOOSE(CONTROL!$C$21, $C$9, 100%, $E$9)</f>
        <v>16.852699999999999</v>
      </c>
      <c r="M609" s="10">
        <f>CHOOSE(CONTROL!$C$42, 15.8277, 15.8277) * CHOOSE(CONTROL!$C$21, $C$9, 100%, $E$9)</f>
        <v>15.8277</v>
      </c>
      <c r="N609" s="10">
        <f>CHOOSE(CONTROL!$C$42, 15.8436, 15.8436) * CHOOSE(CONTROL!$C$21, $C$9, 100%, $E$9)</f>
        <v>15.8436</v>
      </c>
      <c r="O609" s="10">
        <f>CHOOSE(CONTROL!$C$42, 16.0718, 16.0718) * CHOOSE(CONTROL!$C$21, $C$9, 100%, $E$9)</f>
        <v>16.0718</v>
      </c>
      <c r="P609" s="10">
        <f>CHOOSE(CONTROL!$C$42, 15.8689, 15.8689) * CHOOSE(CONTROL!$C$21, $C$9, 100%, $E$9)</f>
        <v>15.8689</v>
      </c>
      <c r="Q609" s="10">
        <f>CHOOSE(CONTROL!$C$42, 16.6671, 16.6671) * CHOOSE(CONTROL!$C$21, $C$9, 100%, $E$9)</f>
        <v>16.667100000000001</v>
      </c>
      <c r="R609" s="10">
        <f>CHOOSE(CONTROL!$C$42, 17.2958, 17.2958) * CHOOSE(CONTROL!$C$21, $C$9, 100%, $E$9)</f>
        <v>17.2958</v>
      </c>
      <c r="S609" s="10">
        <f>CHOOSE(CONTROL!$C$42, 15.586, 15.586) * CHOOSE(CONTROL!$C$21, $C$9, 100%, $E$9)</f>
        <v>15.586</v>
      </c>
      <c r="T60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09" s="38">
        <f>(1000*CHOOSE(CONTROL!$C$42, 695, 695)*CHOOSE(CONTROL!$C$42, 0.5599, 0.5599)*CHOOSE(CONTROL!$C$42, 30, 30))/1000000</f>
        <v>11.673914999999997</v>
      </c>
      <c r="V609" s="38">
        <f>(1000*CHOOSE(CONTROL!$C$42, 500, 500)*CHOOSE(CONTROL!$C$42, 0.275, 0.275)*CHOOSE(CONTROL!$C$42, 30, 30))/1000000</f>
        <v>4.125</v>
      </c>
      <c r="W609" s="38">
        <f>(1000*CHOOSE(CONTROL!$C$42, 0.1146, 0.1146)*CHOOSE(CONTROL!$C$42, 121.5, 121.5)*CHOOSE(CONTROL!$C$42, 30, 30))/1000000</f>
        <v>0.417717</v>
      </c>
      <c r="X609" s="38">
        <f>(30*0.1790888*245000/1000000)+(30*0.2374*100000/1000000)</f>
        <v>2.0285026799999999</v>
      </c>
      <c r="Y609" s="38">
        <f>(1000*600*CHOOSE(CONTROL!$C$42, 1.0585, 1.0585)*CHOOSE(CONTROL!$C$42, 30, 30))/1000000</f>
        <v>19.053000000000001</v>
      </c>
      <c r="Z609" s="38"/>
      <c r="AA609" s="10"/>
      <c r="AB609" s="39"/>
      <c r="AC609" s="33">
        <f>(B609*194.205+C609*267.466+D609*133.845+E609*53.484+F609*40+G609*185+H609*0+I609*100+J609*300)/(194.205+267.466+133.845+53.484+0+40+185+100+300)</f>
        <v>16.084399408712713</v>
      </c>
      <c r="AD609" s="27">
        <f>(M609*'RAP TEMPLATE-GAS AVAILABILITY'!O608+N609*'RAP TEMPLATE-GAS AVAILABILITY'!P608+O609*'RAP TEMPLATE-GAS AVAILABILITY'!Q608+P609*'RAP TEMPLATE-GAS AVAILABILITY'!R608)/('RAP TEMPLATE-GAS AVAILABILITY'!O608+'RAP TEMPLATE-GAS AVAILABILITY'!P608+'RAP TEMPLATE-GAS AVAILABILITY'!Q608+'RAP TEMPLATE-GAS AVAILABILITY'!R608)</f>
        <v>15.945178417266186</v>
      </c>
    </row>
    <row r="610" spans="1:30" ht="15.75">
      <c r="A610" s="13">
        <v>59840</v>
      </c>
      <c r="B610" s="10">
        <f>CHOOSE(CONTROL!$C$42, 15.7522, 15.7522) * CHOOSE(CONTROL!$C$21, $C$9, 100%, $E$9)</f>
        <v>15.7522</v>
      </c>
      <c r="C610" s="10">
        <f>CHOOSE(CONTROL!$C$42, 15.7575, 15.7575) * CHOOSE(CONTROL!$C$21, $C$9, 100%, $E$9)</f>
        <v>15.7575</v>
      </c>
      <c r="D610" s="10">
        <f>CHOOSE(CONTROL!$C$42, 15.9194, 15.9194) * CHOOSE(CONTROL!$C$21, $C$9, 100%, $E$9)</f>
        <v>15.9194</v>
      </c>
      <c r="E610" s="10">
        <f>CHOOSE(CONTROL!$C$42, 15.9484, 15.9484) * CHOOSE(CONTROL!$C$21, $C$9, 100%, $E$9)</f>
        <v>15.948399999999999</v>
      </c>
      <c r="F610" s="10">
        <f>CHOOSE(CONTROL!$C$42, 15.6986, 15.6986)*CHOOSE(CONTROL!$C$21, $C$9, 100%, $E$9)</f>
        <v>15.698600000000001</v>
      </c>
      <c r="G610" s="10">
        <f>CHOOSE(CONTROL!$C$42, 15.7144, 15.7144)*CHOOSE(CONTROL!$C$21, $C$9, 100%, $E$9)</f>
        <v>15.714399999999999</v>
      </c>
      <c r="H610" s="10">
        <f>CHOOSE(CONTROL!$C$42, 15.9385, 15.9385) * CHOOSE(CONTROL!$C$21, $C$9, 100%, $E$9)</f>
        <v>15.938499999999999</v>
      </c>
      <c r="I610" s="10">
        <f>CHOOSE(CONTROL!$C$42, 15.7327, 15.7327)* CHOOSE(CONTROL!$C$21, $C$9, 100%, $E$9)</f>
        <v>15.732699999999999</v>
      </c>
      <c r="J610" s="10">
        <f>CHOOSE(CONTROL!$C$42, 15.6912, 15.6912)* CHOOSE(CONTROL!$C$21, $C$9, 100%, $E$9)</f>
        <v>15.6912</v>
      </c>
      <c r="K610" s="10">
        <f>CHOOSE(CONTROL!$C$42, 15.4019, 15.4019) * CHOOSE(CONTROL!$C$21, $C$9, 100%, $E$9)</f>
        <v>15.401899999999999</v>
      </c>
      <c r="L610" s="10">
        <f>CHOOSE(CONTROL!$C$42, 16.5255, 16.5255) * CHOOSE(CONTROL!$C$21, $C$9, 100%, $E$9)</f>
        <v>16.525500000000001</v>
      </c>
      <c r="M610" s="10">
        <f>CHOOSE(CONTROL!$C$42, 15.5053, 15.5053) * CHOOSE(CONTROL!$C$21, $C$9, 100%, $E$9)</f>
        <v>15.5053</v>
      </c>
      <c r="N610" s="10">
        <f>CHOOSE(CONTROL!$C$42, 15.5209, 15.5209) * CHOOSE(CONTROL!$C$21, $C$9, 100%, $E$9)</f>
        <v>15.520899999999999</v>
      </c>
      <c r="O610" s="10">
        <f>CHOOSE(CONTROL!$C$42, 15.7492, 15.7492) * CHOOSE(CONTROL!$C$21, $C$9, 100%, $E$9)</f>
        <v>15.7492</v>
      </c>
      <c r="P610" s="10">
        <f>CHOOSE(CONTROL!$C$42, 15.5463, 15.5463) * CHOOSE(CONTROL!$C$21, $C$9, 100%, $E$9)</f>
        <v>15.5463</v>
      </c>
      <c r="Q610" s="10">
        <f>CHOOSE(CONTROL!$C$42, 16.3445, 16.3445) * CHOOSE(CONTROL!$C$21, $C$9, 100%, $E$9)</f>
        <v>16.3445</v>
      </c>
      <c r="R610" s="10">
        <f>CHOOSE(CONTROL!$C$42, 16.9723, 16.9723) * CHOOSE(CONTROL!$C$21, $C$9, 100%, $E$9)</f>
        <v>16.972300000000001</v>
      </c>
      <c r="S610" s="10">
        <f>CHOOSE(CONTROL!$C$42, 15.2691, 15.2691) * CHOOSE(CONTROL!$C$21, $C$9, 100%, $E$9)</f>
        <v>15.2691</v>
      </c>
      <c r="T61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10" s="38">
        <f>(1000*CHOOSE(CONTROL!$C$42, 695, 695)*CHOOSE(CONTROL!$C$42, 0.5599, 0.5599)*CHOOSE(CONTROL!$C$42, 31, 31))/1000000</f>
        <v>12.063045499999998</v>
      </c>
      <c r="V610" s="38">
        <f>(1000*CHOOSE(CONTROL!$C$42, 500, 500)*CHOOSE(CONTROL!$C$42, 0.275, 0.275)*CHOOSE(CONTROL!$C$42, 31, 31))/1000000</f>
        <v>4.2625000000000002</v>
      </c>
      <c r="W610" s="38">
        <f>(1000*CHOOSE(CONTROL!$C$42, 0.1146, 0.1146)*CHOOSE(CONTROL!$C$42, 121.5, 121.5)*CHOOSE(CONTROL!$C$42, 31, 31))/1000000</f>
        <v>0.43164089999999994</v>
      </c>
      <c r="X610" s="38">
        <f>(31*0.1790888*245000/1000000)+(31*0.2374*100000/1000000)</f>
        <v>2.0961194359999999</v>
      </c>
      <c r="Y610" s="38">
        <f>(1000*600*CHOOSE(CONTROL!$C$42, 1.0585, 1.0585)*CHOOSE(CONTROL!$C$42, 31, 31))/1000000</f>
        <v>19.688099999999999</v>
      </c>
      <c r="Z610" s="38"/>
      <c r="AA610" s="10"/>
      <c r="AB610" s="39"/>
      <c r="AC610" s="33">
        <f>(B610*131.881+C610*277.167+D610*79.08+E610*125.872+F610*40+G610*185+H610*0+I610*100+J610*300)/(131.881+277.167+79.08+125.872+0+40+185+100+300)</f>
        <v>15.760271224778046</v>
      </c>
      <c r="AD610" s="27">
        <f>(M610*'RAP TEMPLATE-GAS AVAILABILITY'!O609+N610*'RAP TEMPLATE-GAS AVAILABILITY'!P609+O610*'RAP TEMPLATE-GAS AVAILABILITY'!Q609+P610*'RAP TEMPLATE-GAS AVAILABILITY'!R609)/('RAP TEMPLATE-GAS AVAILABILITY'!O609+'RAP TEMPLATE-GAS AVAILABILITY'!P609+'RAP TEMPLATE-GAS AVAILABILITY'!Q609+'RAP TEMPLATE-GAS AVAILABILITY'!R609)</f>
        <v>15.622641726618706</v>
      </c>
    </row>
    <row r="611" spans="1:30" ht="15.75">
      <c r="A611" s="13">
        <v>59870</v>
      </c>
      <c r="B611" s="10">
        <f>CHOOSE(CONTROL!$C$42, 16.1672, 16.1672) * CHOOSE(CONTROL!$C$21, $C$9, 100%, $E$9)</f>
        <v>16.167200000000001</v>
      </c>
      <c r="C611" s="10">
        <f>CHOOSE(CONTROL!$C$42, 16.1723, 16.1723) * CHOOSE(CONTROL!$C$21, $C$9, 100%, $E$9)</f>
        <v>16.1723</v>
      </c>
      <c r="D611" s="10">
        <f>CHOOSE(CONTROL!$C$42, 16.197, 16.197) * CHOOSE(CONTROL!$C$21, $C$9, 100%, $E$9)</f>
        <v>16.196999999999999</v>
      </c>
      <c r="E611" s="10">
        <f>CHOOSE(CONTROL!$C$42, 16.2308, 16.2308) * CHOOSE(CONTROL!$C$21, $C$9, 100%, $E$9)</f>
        <v>16.230799999999999</v>
      </c>
      <c r="F611" s="10">
        <f>CHOOSE(CONTROL!$C$42, 16.1355, 16.1355)*CHOOSE(CONTROL!$C$21, $C$9, 100%, $E$9)</f>
        <v>16.1355</v>
      </c>
      <c r="G611" s="10">
        <f>CHOOSE(CONTROL!$C$42, 16.1515, 16.1515)*CHOOSE(CONTROL!$C$21, $C$9, 100%, $E$9)</f>
        <v>16.151499999999999</v>
      </c>
      <c r="H611" s="10">
        <f>CHOOSE(CONTROL!$C$42, 16.2196, 16.2196) * CHOOSE(CONTROL!$C$21, $C$9, 100%, $E$9)</f>
        <v>16.2196</v>
      </c>
      <c r="I611" s="10">
        <f>CHOOSE(CONTROL!$C$42, 16.1822, 16.1822)* CHOOSE(CONTROL!$C$21, $C$9, 100%, $E$9)</f>
        <v>16.182200000000002</v>
      </c>
      <c r="J611" s="10">
        <f>CHOOSE(CONTROL!$C$42, 16.1281, 16.1281)* CHOOSE(CONTROL!$C$21, $C$9, 100%, $E$9)</f>
        <v>16.1281</v>
      </c>
      <c r="K611" s="10">
        <f>CHOOSE(CONTROL!$C$42, 15.8396, 15.8396) * CHOOSE(CONTROL!$C$21, $C$9, 100%, $E$9)</f>
        <v>15.839600000000001</v>
      </c>
      <c r="L611" s="10">
        <f>CHOOSE(CONTROL!$C$42, 16.8066, 16.8066) * CHOOSE(CONTROL!$C$21, $C$9, 100%, $E$9)</f>
        <v>16.8066</v>
      </c>
      <c r="M611" s="10">
        <f>CHOOSE(CONTROL!$C$42, 15.9361, 15.9361) * CHOOSE(CONTROL!$C$21, $C$9, 100%, $E$9)</f>
        <v>15.9361</v>
      </c>
      <c r="N611" s="10">
        <f>CHOOSE(CONTROL!$C$42, 15.9519, 15.9519) * CHOOSE(CONTROL!$C$21, $C$9, 100%, $E$9)</f>
        <v>15.9519</v>
      </c>
      <c r="O611" s="10">
        <f>CHOOSE(CONTROL!$C$42, 16.0264, 16.0264) * CHOOSE(CONTROL!$C$21, $C$9, 100%, $E$9)</f>
        <v>16.026399999999999</v>
      </c>
      <c r="P611" s="10">
        <f>CHOOSE(CONTROL!$C$42, 15.9895, 15.9895) * CHOOSE(CONTROL!$C$21, $C$9, 100%, $E$9)</f>
        <v>15.9895</v>
      </c>
      <c r="Q611" s="10">
        <f>CHOOSE(CONTROL!$C$42, 16.6217, 16.6217) * CHOOSE(CONTROL!$C$21, $C$9, 100%, $E$9)</f>
        <v>16.621700000000001</v>
      </c>
      <c r="R611" s="10">
        <f>CHOOSE(CONTROL!$C$42, 17.2502, 17.2502) * CHOOSE(CONTROL!$C$21, $C$9, 100%, $E$9)</f>
        <v>17.2502</v>
      </c>
      <c r="S611" s="10">
        <f>CHOOSE(CONTROL!$C$42, 15.6713, 15.6713) * CHOOSE(CONTROL!$C$21, $C$9, 100%, $E$9)</f>
        <v>15.6713</v>
      </c>
      <c r="T61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11" s="38">
        <f>(1000*CHOOSE(CONTROL!$C$42, 695, 695)*CHOOSE(CONTROL!$C$42, 0.5599, 0.5599)*CHOOSE(CONTROL!$C$42, 30, 30))/1000000</f>
        <v>11.673914999999997</v>
      </c>
      <c r="V611" s="38">
        <f>(1000*CHOOSE(CONTROL!$C$42, 500, 500)*CHOOSE(CONTROL!$C$42, 0.275, 0.275)*CHOOSE(CONTROL!$C$42, 30, 30))/1000000</f>
        <v>4.125</v>
      </c>
      <c r="W611" s="38">
        <f>(1000*CHOOSE(CONTROL!$C$42, 0.1146, 0.1146)*CHOOSE(CONTROL!$C$42, 121.5, 121.5)*CHOOSE(CONTROL!$C$42, 30, 30))/1000000</f>
        <v>0.417717</v>
      </c>
      <c r="X611" s="38">
        <f>(30*0.1790888*100000/1000000)+(30*0.2374*100000/1000000)</f>
        <v>1.2494664</v>
      </c>
      <c r="Y611" s="38">
        <f>(1000*600*CHOOSE(CONTROL!$C$42, 1.0585, 1.0585)*CHOOSE(CONTROL!$C$42, 30, 30))/1000000</f>
        <v>19.053000000000001</v>
      </c>
      <c r="Z611" s="38"/>
      <c r="AA611" s="10"/>
      <c r="AB611" s="39"/>
      <c r="AC611" s="33">
        <f>(B611*122.58+C611*297.941+D611*89.177+E611*40.302+F611*40+G611*160+H611*0+I611*100+J611*300)/(122.58+297.941+89.177+40.302+0+40+160+100+300)</f>
        <v>16.160878418173915</v>
      </c>
      <c r="AD611" s="27">
        <f>(M611*'RAP TEMPLATE-GAS AVAILABILITY'!O610+N611*'RAP TEMPLATE-GAS AVAILABILITY'!P610+O611*'RAP TEMPLATE-GAS AVAILABILITY'!Q610+P611*'RAP TEMPLATE-GAS AVAILABILITY'!R610)/('RAP TEMPLATE-GAS AVAILABILITY'!O610+'RAP TEMPLATE-GAS AVAILABILITY'!P610+'RAP TEMPLATE-GAS AVAILABILITY'!Q610+'RAP TEMPLATE-GAS AVAILABILITY'!R610)</f>
        <v>15.985620143884894</v>
      </c>
    </row>
    <row r="612" spans="1:30" ht="15.75">
      <c r="A612" s="13">
        <v>59901</v>
      </c>
      <c r="B612" s="10">
        <f>CHOOSE(CONTROL!$C$42, 17.2705, 17.2705) * CHOOSE(CONTROL!$C$21, $C$9, 100%, $E$9)</f>
        <v>17.270499999999998</v>
      </c>
      <c r="C612" s="10">
        <f>CHOOSE(CONTROL!$C$42, 17.2756, 17.2756) * CHOOSE(CONTROL!$C$21, $C$9, 100%, $E$9)</f>
        <v>17.275600000000001</v>
      </c>
      <c r="D612" s="10">
        <f>CHOOSE(CONTROL!$C$42, 17.3003, 17.3003) * CHOOSE(CONTROL!$C$21, $C$9, 100%, $E$9)</f>
        <v>17.3003</v>
      </c>
      <c r="E612" s="10">
        <f>CHOOSE(CONTROL!$C$42, 17.3341, 17.3341) * CHOOSE(CONTROL!$C$21, $C$9, 100%, $E$9)</f>
        <v>17.334099999999999</v>
      </c>
      <c r="F612" s="10">
        <f>CHOOSE(CONTROL!$C$42, 17.2408, 17.2408)*CHOOSE(CONTROL!$C$21, $C$9, 100%, $E$9)</f>
        <v>17.2408</v>
      </c>
      <c r="G612" s="10">
        <f>CHOOSE(CONTROL!$C$42, 17.2573, 17.2573)*CHOOSE(CONTROL!$C$21, $C$9, 100%, $E$9)</f>
        <v>17.257300000000001</v>
      </c>
      <c r="H612" s="10">
        <f>CHOOSE(CONTROL!$C$42, 17.323, 17.323) * CHOOSE(CONTROL!$C$21, $C$9, 100%, $E$9)</f>
        <v>17.323</v>
      </c>
      <c r="I612" s="10">
        <f>CHOOSE(CONTROL!$C$42, 17.2855, 17.2855)* CHOOSE(CONTROL!$C$21, $C$9, 100%, $E$9)</f>
        <v>17.285499999999999</v>
      </c>
      <c r="J612" s="10">
        <f>CHOOSE(CONTROL!$C$42, 17.2334, 17.2334)* CHOOSE(CONTROL!$C$21, $C$9, 100%, $E$9)</f>
        <v>17.2334</v>
      </c>
      <c r="K612" s="10">
        <f>CHOOSE(CONTROL!$C$42, 16.9127, 16.9127) * CHOOSE(CONTROL!$C$21, $C$9, 100%, $E$9)</f>
        <v>16.912700000000001</v>
      </c>
      <c r="L612" s="10">
        <f>CHOOSE(CONTROL!$C$42, 17.91, 17.91) * CHOOSE(CONTROL!$C$21, $C$9, 100%, $E$9)</f>
        <v>17.91</v>
      </c>
      <c r="M612" s="10">
        <f>CHOOSE(CONTROL!$C$42, 17.026, 17.026) * CHOOSE(CONTROL!$C$21, $C$9, 100%, $E$9)</f>
        <v>17.026</v>
      </c>
      <c r="N612" s="10">
        <f>CHOOSE(CONTROL!$C$42, 17.0423, 17.0423) * CHOOSE(CONTROL!$C$21, $C$9, 100%, $E$9)</f>
        <v>17.042300000000001</v>
      </c>
      <c r="O612" s="10">
        <f>CHOOSE(CONTROL!$C$42, 17.1144, 17.1144) * CHOOSE(CONTROL!$C$21, $C$9, 100%, $E$9)</f>
        <v>17.1144</v>
      </c>
      <c r="P612" s="10">
        <f>CHOOSE(CONTROL!$C$42, 17.0775, 17.0775) * CHOOSE(CONTROL!$C$21, $C$9, 100%, $E$9)</f>
        <v>17.077500000000001</v>
      </c>
      <c r="Q612" s="10">
        <f>CHOOSE(CONTROL!$C$42, 17.7097, 17.7097) * CHOOSE(CONTROL!$C$21, $C$9, 100%, $E$9)</f>
        <v>17.709700000000002</v>
      </c>
      <c r="R612" s="10">
        <f>CHOOSE(CONTROL!$C$42, 18.3409, 18.3409) * CHOOSE(CONTROL!$C$21, $C$9, 100%, $E$9)</f>
        <v>18.340900000000001</v>
      </c>
      <c r="S612" s="10">
        <f>CHOOSE(CONTROL!$C$42, 16.7397, 16.7397) * CHOOSE(CONTROL!$C$21, $C$9, 100%, $E$9)</f>
        <v>16.739699999999999</v>
      </c>
      <c r="T61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12" s="38">
        <f>(1000*CHOOSE(CONTROL!$C$42, 695, 695)*CHOOSE(CONTROL!$C$42, 0.5599, 0.5599)*CHOOSE(CONTROL!$C$42, 31, 31))/1000000</f>
        <v>12.063045499999998</v>
      </c>
      <c r="V612" s="38">
        <f>(1000*CHOOSE(CONTROL!$C$42, 500, 500)*CHOOSE(CONTROL!$C$42, 0.275, 0.275)*CHOOSE(CONTROL!$C$42, 31, 31))/1000000</f>
        <v>4.2625000000000002</v>
      </c>
      <c r="W612" s="38">
        <f>(1000*CHOOSE(CONTROL!$C$42, 0.1146, 0.1146)*CHOOSE(CONTROL!$C$42, 121.5, 121.5)*CHOOSE(CONTROL!$C$42, 31, 31))/1000000</f>
        <v>0.43164089999999994</v>
      </c>
      <c r="X612" s="38">
        <f>(31*0.1790888*100000/1000000)+(31*0.2374*100000/1000000)</f>
        <v>1.2911152800000001</v>
      </c>
      <c r="Y612" s="38">
        <f>(1000*600*CHOOSE(CONTROL!$C$42, 1.0585, 1.0585)*CHOOSE(CONTROL!$C$42, 31, 31))/1000000</f>
        <v>19.688099999999999</v>
      </c>
      <c r="Z612" s="38"/>
      <c r="AA612" s="10"/>
      <c r="AB612" s="39"/>
      <c r="AC612" s="33">
        <f>(B612*122.58+C612*297.941+D612*89.177+E612*40.302+F612*40+G612*160+H612*0+I612*100+J612*300)/(122.58+297.941+89.177+40.302+0+40+160+100+300)</f>
        <v>17.265117548608693</v>
      </c>
      <c r="AD612" s="27">
        <f>(M612*'RAP TEMPLATE-GAS AVAILABILITY'!O611+N612*'RAP TEMPLATE-GAS AVAILABILITY'!P611+O612*'RAP TEMPLATE-GAS AVAILABILITY'!Q611+P612*'RAP TEMPLATE-GAS AVAILABILITY'!R611)/('RAP TEMPLATE-GAS AVAILABILITY'!O611+'RAP TEMPLATE-GAS AVAILABILITY'!P611+'RAP TEMPLATE-GAS AVAILABILITY'!Q611+'RAP TEMPLATE-GAS AVAILABILITY'!R611)</f>
        <v>17.07441438848921</v>
      </c>
    </row>
    <row r="613" spans="1:30" ht="15.75">
      <c r="A613" s="13">
        <v>59932</v>
      </c>
      <c r="B613" s="10">
        <f>CHOOSE(CONTROL!$C$42, 18.4373, 18.4373) * CHOOSE(CONTROL!$C$21, $C$9, 100%, $E$9)</f>
        <v>18.4373</v>
      </c>
      <c r="C613" s="10">
        <f>CHOOSE(CONTROL!$C$42, 18.4424, 18.4424) * CHOOSE(CONTROL!$C$21, $C$9, 100%, $E$9)</f>
        <v>18.442399999999999</v>
      </c>
      <c r="D613" s="10">
        <f>CHOOSE(CONTROL!$C$42, 18.4748, 18.4748) * CHOOSE(CONTROL!$C$21, $C$9, 100%, $E$9)</f>
        <v>18.474799999999998</v>
      </c>
      <c r="E613" s="10">
        <f>CHOOSE(CONTROL!$C$42, 18.5086, 18.5086) * CHOOSE(CONTROL!$C$21, $C$9, 100%, $E$9)</f>
        <v>18.508600000000001</v>
      </c>
      <c r="F613" s="10">
        <f>CHOOSE(CONTROL!$C$42, 18.4215, 18.4215)*CHOOSE(CONTROL!$C$21, $C$9, 100%, $E$9)</f>
        <v>18.421500000000002</v>
      </c>
      <c r="G613" s="10">
        <f>CHOOSE(CONTROL!$C$42, 18.4395, 18.4395)*CHOOSE(CONTROL!$C$21, $C$9, 100%, $E$9)</f>
        <v>18.439499999999999</v>
      </c>
      <c r="H613" s="10">
        <f>CHOOSE(CONTROL!$C$42, 18.4975, 18.4975) * CHOOSE(CONTROL!$C$21, $C$9, 100%, $E$9)</f>
        <v>18.497499999999999</v>
      </c>
      <c r="I613" s="10">
        <f>CHOOSE(CONTROL!$C$42, 18.4507, 18.4507)* CHOOSE(CONTROL!$C$21, $C$9, 100%, $E$9)</f>
        <v>18.450700000000001</v>
      </c>
      <c r="J613" s="10">
        <f>CHOOSE(CONTROL!$C$42, 18.4141, 18.4141)* CHOOSE(CONTROL!$C$21, $C$9, 100%, $E$9)</f>
        <v>18.414100000000001</v>
      </c>
      <c r="K613" s="10">
        <f>CHOOSE(CONTROL!$C$42, 18.0554, 18.0554) * CHOOSE(CONTROL!$C$21, $C$9, 100%, $E$9)</f>
        <v>18.055399999999999</v>
      </c>
      <c r="L613" s="10">
        <f>CHOOSE(CONTROL!$C$42, 19.0845, 19.0845) * CHOOSE(CONTROL!$C$21, $C$9, 100%, $E$9)</f>
        <v>19.084499999999998</v>
      </c>
      <c r="M613" s="10">
        <f>CHOOSE(CONTROL!$C$42, 18.1902, 18.1902) * CHOOSE(CONTROL!$C$21, $C$9, 100%, $E$9)</f>
        <v>18.190200000000001</v>
      </c>
      <c r="N613" s="10">
        <f>CHOOSE(CONTROL!$C$42, 18.208, 18.208) * CHOOSE(CONTROL!$C$21, $C$9, 100%, $E$9)</f>
        <v>18.207999999999998</v>
      </c>
      <c r="O613" s="10">
        <f>CHOOSE(CONTROL!$C$42, 18.2725, 18.2725) * CHOOSE(CONTROL!$C$21, $C$9, 100%, $E$9)</f>
        <v>18.272500000000001</v>
      </c>
      <c r="P613" s="10">
        <f>CHOOSE(CONTROL!$C$42, 18.2264, 18.2264) * CHOOSE(CONTROL!$C$21, $C$9, 100%, $E$9)</f>
        <v>18.226400000000002</v>
      </c>
      <c r="Q613" s="10">
        <f>CHOOSE(CONTROL!$C$42, 18.8678, 18.8678) * CHOOSE(CONTROL!$C$21, $C$9, 100%, $E$9)</f>
        <v>18.867799999999999</v>
      </c>
      <c r="R613" s="10">
        <f>CHOOSE(CONTROL!$C$42, 19.502, 19.502) * CHOOSE(CONTROL!$C$21, $C$9, 100%, $E$9)</f>
        <v>19.501999999999999</v>
      </c>
      <c r="S613" s="10">
        <f>CHOOSE(CONTROL!$C$42, 17.8695, 17.8695) * CHOOSE(CONTROL!$C$21, $C$9, 100%, $E$9)</f>
        <v>17.869499999999999</v>
      </c>
      <c r="T61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13" s="38">
        <f>(1000*CHOOSE(CONTROL!$C$42, 695, 695)*CHOOSE(CONTROL!$C$42, 0.5599, 0.5599)*CHOOSE(CONTROL!$C$42, 31, 31))/1000000</f>
        <v>12.063045499999998</v>
      </c>
      <c r="V613" s="38">
        <f>(1000*CHOOSE(CONTROL!$C$42, 500, 500)*CHOOSE(CONTROL!$C$42, 0.275, 0.275)*CHOOSE(CONTROL!$C$42, 31, 31))/1000000</f>
        <v>4.2625000000000002</v>
      </c>
      <c r="W613" s="38">
        <f>(1000*CHOOSE(CONTROL!$C$42, 0.1146, 0.1146)*CHOOSE(CONTROL!$C$42, 121.5, 121.5)*CHOOSE(CONTROL!$C$42, 31, 31))/1000000</f>
        <v>0.43164089999999994</v>
      </c>
      <c r="X613" s="38">
        <f>(31*0.1790888*100000/1000000)+(31*0.2374*100000/1000000)</f>
        <v>1.2911152800000001</v>
      </c>
      <c r="Y613" s="38">
        <f>(1000*600*CHOOSE(CONTROL!$C$42, 1.0585, 1.0585)*CHOOSE(CONTROL!$C$42, 31, 31))/1000000</f>
        <v>19.688099999999999</v>
      </c>
      <c r="Z613" s="38"/>
      <c r="AA613" s="10"/>
      <c r="AB613" s="39"/>
      <c r="AC613" s="33">
        <f>(B613*122.58+C613*297.941+D613*89.177+E613*40.302+F613*40+G613*160+H613*0+I613*100+J613*300)/(122.58+297.941+89.177+40.302+0+40+160+100+300)</f>
        <v>18.438897538434784</v>
      </c>
      <c r="AD613" s="27">
        <f>(M613*'RAP TEMPLATE-GAS AVAILABILITY'!O612+N613*'RAP TEMPLATE-GAS AVAILABILITY'!P612+O613*'RAP TEMPLATE-GAS AVAILABILITY'!Q612+P613*'RAP TEMPLATE-GAS AVAILABILITY'!R612)/('RAP TEMPLATE-GAS AVAILABILITY'!O612+'RAP TEMPLATE-GAS AVAILABILITY'!P612+'RAP TEMPLATE-GAS AVAILABILITY'!Q612+'RAP TEMPLATE-GAS AVAILABILITY'!R612)</f>
        <v>18.2337345323741</v>
      </c>
    </row>
    <row r="614" spans="1:30" ht="15.75">
      <c r="A614" s="13">
        <v>59961</v>
      </c>
      <c r="B614" s="10">
        <f>CHOOSE(CONTROL!$C$42, 18.7658, 18.7658) * CHOOSE(CONTROL!$C$21, $C$9, 100%, $E$9)</f>
        <v>18.765799999999999</v>
      </c>
      <c r="C614" s="10">
        <f>CHOOSE(CONTROL!$C$42, 18.7709, 18.7709) * CHOOSE(CONTROL!$C$21, $C$9, 100%, $E$9)</f>
        <v>18.770900000000001</v>
      </c>
      <c r="D614" s="10">
        <f>CHOOSE(CONTROL!$C$42, 18.8033, 18.8033) * CHOOSE(CONTROL!$C$21, $C$9, 100%, $E$9)</f>
        <v>18.8033</v>
      </c>
      <c r="E614" s="10">
        <f>CHOOSE(CONTROL!$C$42, 18.8371, 18.8371) * CHOOSE(CONTROL!$C$21, $C$9, 100%, $E$9)</f>
        <v>18.8371</v>
      </c>
      <c r="F614" s="10">
        <f>CHOOSE(CONTROL!$C$42, 18.7495, 18.7495)*CHOOSE(CONTROL!$C$21, $C$9, 100%, $E$9)</f>
        <v>18.749500000000001</v>
      </c>
      <c r="G614" s="10">
        <f>CHOOSE(CONTROL!$C$42, 18.7675, 18.7675)*CHOOSE(CONTROL!$C$21, $C$9, 100%, $E$9)</f>
        <v>18.767499999999998</v>
      </c>
      <c r="H614" s="10">
        <f>CHOOSE(CONTROL!$C$42, 18.826, 18.826) * CHOOSE(CONTROL!$C$21, $C$9, 100%, $E$9)</f>
        <v>18.826000000000001</v>
      </c>
      <c r="I614" s="10">
        <f>CHOOSE(CONTROL!$C$42, 18.7792, 18.7792)* CHOOSE(CONTROL!$C$21, $C$9, 100%, $E$9)</f>
        <v>18.779199999999999</v>
      </c>
      <c r="J614" s="10">
        <f>CHOOSE(CONTROL!$C$42, 18.7421, 18.7421)* CHOOSE(CONTROL!$C$21, $C$9, 100%, $E$9)</f>
        <v>18.742100000000001</v>
      </c>
      <c r="K614" s="10">
        <f>CHOOSE(CONTROL!$C$42, 18.3727, 18.3727) * CHOOSE(CONTROL!$C$21, $C$9, 100%, $E$9)</f>
        <v>18.372699999999998</v>
      </c>
      <c r="L614" s="10">
        <f>CHOOSE(CONTROL!$C$42, 19.413, 19.413) * CHOOSE(CONTROL!$C$21, $C$9, 100%, $E$9)</f>
        <v>19.413</v>
      </c>
      <c r="M614" s="10">
        <f>CHOOSE(CONTROL!$C$42, 18.5137, 18.5137) * CHOOSE(CONTROL!$C$21, $C$9, 100%, $E$9)</f>
        <v>18.5137</v>
      </c>
      <c r="N614" s="10">
        <f>CHOOSE(CONTROL!$C$42, 18.5314, 18.5314) * CHOOSE(CONTROL!$C$21, $C$9, 100%, $E$9)</f>
        <v>18.531400000000001</v>
      </c>
      <c r="O614" s="10">
        <f>CHOOSE(CONTROL!$C$42, 18.5964, 18.5964) * CHOOSE(CONTROL!$C$21, $C$9, 100%, $E$9)</f>
        <v>18.596399999999999</v>
      </c>
      <c r="P614" s="10">
        <f>CHOOSE(CONTROL!$C$42, 18.5503, 18.5503) * CHOOSE(CONTROL!$C$21, $C$9, 100%, $E$9)</f>
        <v>18.5503</v>
      </c>
      <c r="Q614" s="10">
        <f>CHOOSE(CONTROL!$C$42, 19.1917, 19.1917) * CHOOSE(CONTROL!$C$21, $C$9, 100%, $E$9)</f>
        <v>19.191700000000001</v>
      </c>
      <c r="R614" s="10">
        <f>CHOOSE(CONTROL!$C$42, 19.8267, 19.8267) * CHOOSE(CONTROL!$C$21, $C$9, 100%, $E$9)</f>
        <v>19.826699999999999</v>
      </c>
      <c r="S614" s="10">
        <f>CHOOSE(CONTROL!$C$42, 18.1876, 18.1876) * CHOOSE(CONTROL!$C$21, $C$9, 100%, $E$9)</f>
        <v>18.1876</v>
      </c>
      <c r="T614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614" s="38">
        <f>(1000*CHOOSE(CONTROL!$C$42, 695, 695)*CHOOSE(CONTROL!$C$42, 0.5599, 0.5599)*CHOOSE(CONTROL!$C$42, 29, 29))/1000000</f>
        <v>11.284784499999999</v>
      </c>
      <c r="V614" s="38">
        <f>(1000*CHOOSE(CONTROL!$C$42, 500, 500)*CHOOSE(CONTROL!$C$42, 0.275, 0.275)*CHOOSE(CONTROL!$C$42, 29, 29))/1000000</f>
        <v>3.9874999999999998</v>
      </c>
      <c r="W614" s="38">
        <f>(1000*CHOOSE(CONTROL!$C$42, 0.1146, 0.1146)*CHOOSE(CONTROL!$C$42, 121.5, 121.5)*CHOOSE(CONTROL!$C$42, 29, 29))/1000000</f>
        <v>0.40379309999999996</v>
      </c>
      <c r="X614" s="38">
        <f>(29*0.1790888*100000/1000000)+(29*0.2374*100000/1000000)</f>
        <v>1.2078175199999999</v>
      </c>
      <c r="Y614" s="38">
        <f>(1000*600*CHOOSE(CONTROL!$C$42, 1.0585, 1.0585)*CHOOSE(CONTROL!$C$42, 29, 29))/1000000</f>
        <v>18.417899999999999</v>
      </c>
      <c r="Z614" s="38"/>
      <c r="AA614" s="10"/>
      <c r="AB614" s="39"/>
      <c r="AC614" s="33">
        <f>(B614*122.58+C614*297.941+D614*89.177+E614*40.302+F614*40+G614*160+H614*0+I614*100+J614*300)/(122.58+297.941+89.177+40.302+0+40+160+100+300)</f>
        <v>18.767180147130432</v>
      </c>
      <c r="AD614" s="27">
        <f>(M614*'RAP TEMPLATE-GAS AVAILABILITY'!O613+N614*'RAP TEMPLATE-GAS AVAILABILITY'!P613+O614*'RAP TEMPLATE-GAS AVAILABILITY'!Q613+P614*'RAP TEMPLATE-GAS AVAILABILITY'!R613)/('RAP TEMPLATE-GAS AVAILABILITY'!O613+'RAP TEMPLATE-GAS AVAILABILITY'!P613+'RAP TEMPLATE-GAS AVAILABILITY'!Q613+'RAP TEMPLATE-GAS AVAILABILITY'!R613)</f>
        <v>18.557467625899282</v>
      </c>
    </row>
    <row r="615" spans="1:30" ht="15.75">
      <c r="A615" s="13">
        <v>59992</v>
      </c>
      <c r="B615" s="10">
        <f>CHOOSE(CONTROL!$C$42, 18.2326, 18.2326) * CHOOSE(CONTROL!$C$21, $C$9, 100%, $E$9)</f>
        <v>18.232600000000001</v>
      </c>
      <c r="C615" s="10">
        <f>CHOOSE(CONTROL!$C$42, 18.2377, 18.2377) * CHOOSE(CONTROL!$C$21, $C$9, 100%, $E$9)</f>
        <v>18.2377</v>
      </c>
      <c r="D615" s="10">
        <f>CHOOSE(CONTROL!$C$42, 18.2701, 18.2701) * CHOOSE(CONTROL!$C$21, $C$9, 100%, $E$9)</f>
        <v>18.270099999999999</v>
      </c>
      <c r="E615" s="10">
        <f>CHOOSE(CONTROL!$C$42, 18.3039, 18.3039) * CHOOSE(CONTROL!$C$21, $C$9, 100%, $E$9)</f>
        <v>18.303899999999999</v>
      </c>
      <c r="F615" s="10">
        <f>CHOOSE(CONTROL!$C$42, 18.2148, 18.2148)*CHOOSE(CONTROL!$C$21, $C$9, 100%, $E$9)</f>
        <v>18.2148</v>
      </c>
      <c r="G615" s="10">
        <f>CHOOSE(CONTROL!$C$42, 18.2324, 18.2324)*CHOOSE(CONTROL!$C$21, $C$9, 100%, $E$9)</f>
        <v>18.232399999999998</v>
      </c>
      <c r="H615" s="10">
        <f>CHOOSE(CONTROL!$C$42, 18.2928, 18.2928) * CHOOSE(CONTROL!$C$21, $C$9, 100%, $E$9)</f>
        <v>18.2928</v>
      </c>
      <c r="I615" s="10">
        <f>CHOOSE(CONTROL!$C$42, 18.246, 18.246)* CHOOSE(CONTROL!$C$21, $C$9, 100%, $E$9)</f>
        <v>18.245999999999999</v>
      </c>
      <c r="J615" s="10">
        <f>CHOOSE(CONTROL!$C$42, 18.2074, 18.2074)* CHOOSE(CONTROL!$C$21, $C$9, 100%, $E$9)</f>
        <v>18.2074</v>
      </c>
      <c r="K615" s="10">
        <f>CHOOSE(CONTROL!$C$42, 17.853, 17.853) * CHOOSE(CONTROL!$C$21, $C$9, 100%, $E$9)</f>
        <v>17.853000000000002</v>
      </c>
      <c r="L615" s="10">
        <f>CHOOSE(CONTROL!$C$42, 18.8798, 18.8798) * CHOOSE(CONTROL!$C$21, $C$9, 100%, $E$9)</f>
        <v>18.879799999999999</v>
      </c>
      <c r="M615" s="10">
        <f>CHOOSE(CONTROL!$C$42, 17.9864, 17.9864) * CHOOSE(CONTROL!$C$21, $C$9, 100%, $E$9)</f>
        <v>17.9864</v>
      </c>
      <c r="N615" s="10">
        <f>CHOOSE(CONTROL!$C$42, 18.0038, 18.0038) * CHOOSE(CONTROL!$C$21, $C$9, 100%, $E$9)</f>
        <v>18.003799999999998</v>
      </c>
      <c r="O615" s="10">
        <f>CHOOSE(CONTROL!$C$42, 18.0706, 18.0706) * CHOOSE(CONTROL!$C$21, $C$9, 100%, $E$9)</f>
        <v>18.070599999999999</v>
      </c>
      <c r="P615" s="10">
        <f>CHOOSE(CONTROL!$C$42, 18.0245, 18.0245) * CHOOSE(CONTROL!$C$21, $C$9, 100%, $E$9)</f>
        <v>18.0245</v>
      </c>
      <c r="Q615" s="10">
        <f>CHOOSE(CONTROL!$C$42, 18.6659, 18.6659) * CHOOSE(CONTROL!$C$21, $C$9, 100%, $E$9)</f>
        <v>18.665900000000001</v>
      </c>
      <c r="R615" s="10">
        <f>CHOOSE(CONTROL!$C$42, 19.2996, 19.2996) * CHOOSE(CONTROL!$C$21, $C$9, 100%, $E$9)</f>
        <v>19.299600000000002</v>
      </c>
      <c r="S615" s="10">
        <f>CHOOSE(CONTROL!$C$42, 17.6713, 17.6713) * CHOOSE(CONTROL!$C$21, $C$9, 100%, $E$9)</f>
        <v>17.671299999999999</v>
      </c>
      <c r="T61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15" s="38">
        <f>(1000*CHOOSE(CONTROL!$C$42, 695, 695)*CHOOSE(CONTROL!$C$42, 0.5599, 0.5599)*CHOOSE(CONTROL!$C$42, 31, 31))/1000000</f>
        <v>12.063045499999998</v>
      </c>
      <c r="V615" s="38">
        <f>(1000*CHOOSE(CONTROL!$C$42, 500, 500)*CHOOSE(CONTROL!$C$42, 0.275, 0.275)*CHOOSE(CONTROL!$C$42, 31, 31))/1000000</f>
        <v>4.2625000000000002</v>
      </c>
      <c r="W615" s="38">
        <f>(1000*CHOOSE(CONTROL!$C$42, 0.1146, 0.1146)*CHOOSE(CONTROL!$C$42, 121.5, 121.5)*CHOOSE(CONTROL!$C$42, 31, 31))/1000000</f>
        <v>0.43164089999999994</v>
      </c>
      <c r="X615" s="38">
        <f>(31*0.1790888*100000/1000000)+(31*0.2374*100000/1000000)</f>
        <v>1.2911152800000001</v>
      </c>
      <c r="Y615" s="38">
        <f>(1000*600*CHOOSE(CONTROL!$C$42, 1.0585, 1.0585)*CHOOSE(CONTROL!$C$42, 31, 31))/1000000</f>
        <v>19.688099999999999</v>
      </c>
      <c r="Z615" s="38"/>
      <c r="AA615" s="10"/>
      <c r="AB615" s="39"/>
      <c r="AC615" s="33">
        <f>(B615*122.58+C615*297.941+D615*89.177+E615*40.302+F615*40+G615*160+H615*0+I615*100+J615*300)/(122.58+297.941+89.177+40.302+0+40+160+100+300)</f>
        <v>18.233272321043479</v>
      </c>
      <c r="AD615" s="27">
        <f>(M615*'RAP TEMPLATE-GAS AVAILABILITY'!O614+N615*'RAP TEMPLATE-GAS AVAILABILITY'!P614+O615*'RAP TEMPLATE-GAS AVAILABILITY'!Q614+P615*'RAP TEMPLATE-GAS AVAILABILITY'!R614)/('RAP TEMPLATE-GAS AVAILABILITY'!O614+'RAP TEMPLATE-GAS AVAILABILITY'!P614+'RAP TEMPLATE-GAS AVAILABILITY'!Q614+'RAP TEMPLATE-GAS AVAILABILITY'!R614)</f>
        <v>18.031046043165468</v>
      </c>
    </row>
    <row r="616" spans="1:30" ht="15.75">
      <c r="A616" s="13">
        <v>60022</v>
      </c>
      <c r="B616" s="10">
        <f>CHOOSE(CONTROL!$C$42, 18.1787, 18.1787) * CHOOSE(CONTROL!$C$21, $C$9, 100%, $E$9)</f>
        <v>18.178699999999999</v>
      </c>
      <c r="C616" s="10">
        <f>CHOOSE(CONTROL!$C$42, 18.1832, 18.1832) * CHOOSE(CONTROL!$C$21, $C$9, 100%, $E$9)</f>
        <v>18.183199999999999</v>
      </c>
      <c r="D616" s="10">
        <f>CHOOSE(CONTROL!$C$42, 18.3434, 18.3434) * CHOOSE(CONTROL!$C$21, $C$9, 100%, $E$9)</f>
        <v>18.343399999999999</v>
      </c>
      <c r="E616" s="10">
        <f>CHOOSE(CONTROL!$C$42, 18.3752, 18.3752) * CHOOSE(CONTROL!$C$21, $C$9, 100%, $E$9)</f>
        <v>18.3752</v>
      </c>
      <c r="F616" s="10">
        <f>CHOOSE(CONTROL!$C$42, 18.1248, 18.1248)*CHOOSE(CONTROL!$C$21, $C$9, 100%, $E$9)</f>
        <v>18.1248</v>
      </c>
      <c r="G616" s="10">
        <f>CHOOSE(CONTROL!$C$42, 18.1406, 18.1406)*CHOOSE(CONTROL!$C$21, $C$9, 100%, $E$9)</f>
        <v>18.140599999999999</v>
      </c>
      <c r="H616" s="10">
        <f>CHOOSE(CONTROL!$C$42, 18.3647, 18.3647) * CHOOSE(CONTROL!$C$21, $C$9, 100%, $E$9)</f>
        <v>18.364699999999999</v>
      </c>
      <c r="I616" s="10">
        <f>CHOOSE(CONTROL!$C$42, 18.1588, 18.1588)* CHOOSE(CONTROL!$C$21, $C$9, 100%, $E$9)</f>
        <v>18.158799999999999</v>
      </c>
      <c r="J616" s="10">
        <f>CHOOSE(CONTROL!$C$42, 18.1174, 18.1174)* CHOOSE(CONTROL!$C$21, $C$9, 100%, $E$9)</f>
        <v>18.1174</v>
      </c>
      <c r="K616" s="10">
        <f>CHOOSE(CONTROL!$C$42, 17.7525, 17.7525) * CHOOSE(CONTROL!$C$21, $C$9, 100%, $E$9)</f>
        <v>17.752500000000001</v>
      </c>
      <c r="L616" s="10">
        <f>CHOOSE(CONTROL!$C$42, 18.9517, 18.9517) * CHOOSE(CONTROL!$C$21, $C$9, 100%, $E$9)</f>
        <v>18.951699999999999</v>
      </c>
      <c r="M616" s="10">
        <f>CHOOSE(CONTROL!$C$42, 17.8977, 17.8977) * CHOOSE(CONTROL!$C$21, $C$9, 100%, $E$9)</f>
        <v>17.8977</v>
      </c>
      <c r="N616" s="10">
        <f>CHOOSE(CONTROL!$C$42, 17.9133, 17.9133) * CHOOSE(CONTROL!$C$21, $C$9, 100%, $E$9)</f>
        <v>17.9133</v>
      </c>
      <c r="O616" s="10">
        <f>CHOOSE(CONTROL!$C$42, 18.1415, 18.1415) * CHOOSE(CONTROL!$C$21, $C$9, 100%, $E$9)</f>
        <v>18.141500000000001</v>
      </c>
      <c r="P616" s="10">
        <f>CHOOSE(CONTROL!$C$42, 17.9386, 17.9386) * CHOOSE(CONTROL!$C$21, $C$9, 100%, $E$9)</f>
        <v>17.938600000000001</v>
      </c>
      <c r="Q616" s="10">
        <f>CHOOSE(CONTROL!$C$42, 18.7368, 18.7368) * CHOOSE(CONTROL!$C$21, $C$9, 100%, $E$9)</f>
        <v>18.736799999999999</v>
      </c>
      <c r="R616" s="10">
        <f>CHOOSE(CONTROL!$C$42, 19.3706, 19.3706) * CHOOSE(CONTROL!$C$21, $C$9, 100%, $E$9)</f>
        <v>19.3706</v>
      </c>
      <c r="S616" s="10">
        <f>CHOOSE(CONTROL!$C$42, 17.6184, 17.6184) * CHOOSE(CONTROL!$C$21, $C$9, 100%, $E$9)</f>
        <v>17.618400000000001</v>
      </c>
      <c r="T61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16" s="38">
        <f>(1000*CHOOSE(CONTROL!$C$42, 695, 695)*CHOOSE(CONTROL!$C$42, 0.5599, 0.5599)*CHOOSE(CONTROL!$C$42, 30, 30))/1000000</f>
        <v>11.673914999999997</v>
      </c>
      <c r="V616" s="38">
        <f>(1000*CHOOSE(CONTROL!$C$42, 500, 500)*CHOOSE(CONTROL!$C$42, 0.275, 0.275)*CHOOSE(CONTROL!$C$42, 30, 30))/1000000</f>
        <v>4.125</v>
      </c>
      <c r="W616" s="38">
        <f>(1000*CHOOSE(CONTROL!$C$42, 0.1146, 0.1146)*CHOOSE(CONTROL!$C$42, 121.5, 121.5)*CHOOSE(CONTROL!$C$42, 30, 30))/1000000</f>
        <v>0.417717</v>
      </c>
      <c r="X616" s="38">
        <f>(30*0.1790888*245000/1000000)+(30*0.2374*100000/1000000)</f>
        <v>2.0285026799999999</v>
      </c>
      <c r="Y616" s="38">
        <f>(1000*600*CHOOSE(CONTROL!$C$42, 1.0585, 1.0585)*CHOOSE(CONTROL!$C$42, 30, 30))/1000000</f>
        <v>19.053000000000001</v>
      </c>
      <c r="Z616" s="38"/>
      <c r="AA616" s="10"/>
      <c r="AB616" s="39"/>
      <c r="AC616" s="33">
        <f>(B616*141.293+C616*267.993+D616*115.016+E616*89.698+F616*40+G616*185+H616*0+I616*100+J616*300)/(141.293+267.993+115.016+89.698+0+40+185+100+300)</f>
        <v>18.185310379903147</v>
      </c>
      <c r="AD616" s="27">
        <f>(M616*'RAP TEMPLATE-GAS AVAILABILITY'!O615+N616*'RAP TEMPLATE-GAS AVAILABILITY'!P615+O616*'RAP TEMPLATE-GAS AVAILABILITY'!Q615+P616*'RAP TEMPLATE-GAS AVAILABILITY'!R615)/('RAP TEMPLATE-GAS AVAILABILITY'!O615+'RAP TEMPLATE-GAS AVAILABILITY'!P615+'RAP TEMPLATE-GAS AVAILABILITY'!Q615+'RAP TEMPLATE-GAS AVAILABILITY'!R615)</f>
        <v>18.014982014388494</v>
      </c>
    </row>
    <row r="617" spans="1:30" ht="15.75">
      <c r="A617" s="13">
        <v>60053</v>
      </c>
      <c r="B617" s="10">
        <f>CHOOSE(CONTROL!$C$42, 18.3411, 18.3411) * CHOOSE(CONTROL!$C$21, $C$9, 100%, $E$9)</f>
        <v>18.341100000000001</v>
      </c>
      <c r="C617" s="10">
        <f>CHOOSE(CONTROL!$C$42, 18.3491, 18.3491) * CHOOSE(CONTROL!$C$21, $C$9, 100%, $E$9)</f>
        <v>18.3491</v>
      </c>
      <c r="D617" s="10">
        <f>CHOOSE(CONTROL!$C$42, 18.5062, 18.5062) * CHOOSE(CONTROL!$C$21, $C$9, 100%, $E$9)</f>
        <v>18.5062</v>
      </c>
      <c r="E617" s="10">
        <f>CHOOSE(CONTROL!$C$42, 18.5374, 18.5374) * CHOOSE(CONTROL!$C$21, $C$9, 100%, $E$9)</f>
        <v>18.537400000000002</v>
      </c>
      <c r="F617" s="10">
        <f>CHOOSE(CONTROL!$C$42, 18.2852, 18.2852)*CHOOSE(CONTROL!$C$21, $C$9, 100%, $E$9)</f>
        <v>18.2852</v>
      </c>
      <c r="G617" s="10">
        <f>CHOOSE(CONTROL!$C$42, 18.3014, 18.3014)*CHOOSE(CONTROL!$C$21, $C$9, 100%, $E$9)</f>
        <v>18.301400000000001</v>
      </c>
      <c r="H617" s="10">
        <f>CHOOSE(CONTROL!$C$42, 18.5257, 18.5257) * CHOOSE(CONTROL!$C$21, $C$9, 100%, $E$9)</f>
        <v>18.525700000000001</v>
      </c>
      <c r="I617" s="10">
        <f>CHOOSE(CONTROL!$C$42, 18.3199, 18.3199)* CHOOSE(CONTROL!$C$21, $C$9, 100%, $E$9)</f>
        <v>18.319900000000001</v>
      </c>
      <c r="J617" s="10">
        <f>CHOOSE(CONTROL!$C$42, 18.2778, 18.2778)* CHOOSE(CONTROL!$C$21, $C$9, 100%, $E$9)</f>
        <v>18.277799999999999</v>
      </c>
      <c r="K617" s="10">
        <f>CHOOSE(CONTROL!$C$42, 17.9072, 17.9072) * CHOOSE(CONTROL!$C$21, $C$9, 100%, $E$9)</f>
        <v>17.9072</v>
      </c>
      <c r="L617" s="10">
        <f>CHOOSE(CONTROL!$C$42, 19.1127, 19.1127) * CHOOSE(CONTROL!$C$21, $C$9, 100%, $E$9)</f>
        <v>19.1127</v>
      </c>
      <c r="M617" s="10">
        <f>CHOOSE(CONTROL!$C$42, 18.0559, 18.0559) * CHOOSE(CONTROL!$C$21, $C$9, 100%, $E$9)</f>
        <v>18.055900000000001</v>
      </c>
      <c r="N617" s="10">
        <f>CHOOSE(CONTROL!$C$42, 18.0718, 18.0718) * CHOOSE(CONTROL!$C$21, $C$9, 100%, $E$9)</f>
        <v>18.0718</v>
      </c>
      <c r="O617" s="10">
        <f>CHOOSE(CONTROL!$C$42, 18.3003, 18.3003) * CHOOSE(CONTROL!$C$21, $C$9, 100%, $E$9)</f>
        <v>18.3003</v>
      </c>
      <c r="P617" s="10">
        <f>CHOOSE(CONTROL!$C$42, 18.0974, 18.0974) * CHOOSE(CONTROL!$C$21, $C$9, 100%, $E$9)</f>
        <v>18.0974</v>
      </c>
      <c r="Q617" s="10">
        <f>CHOOSE(CONTROL!$C$42, 18.8956, 18.8956) * CHOOSE(CONTROL!$C$21, $C$9, 100%, $E$9)</f>
        <v>18.895600000000002</v>
      </c>
      <c r="R617" s="10">
        <f>CHOOSE(CONTROL!$C$42, 19.5298, 19.5298) * CHOOSE(CONTROL!$C$21, $C$9, 100%, $E$9)</f>
        <v>19.529800000000002</v>
      </c>
      <c r="S617" s="10">
        <f>CHOOSE(CONTROL!$C$42, 17.7743, 17.7743) * CHOOSE(CONTROL!$C$21, $C$9, 100%, $E$9)</f>
        <v>17.7743</v>
      </c>
      <c r="T61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17" s="38">
        <f>(1000*CHOOSE(CONTROL!$C$42, 695, 695)*CHOOSE(CONTROL!$C$42, 0.5599, 0.5599)*CHOOSE(CONTROL!$C$42, 31, 31))/1000000</f>
        <v>12.063045499999998</v>
      </c>
      <c r="V617" s="38">
        <f>(1000*CHOOSE(CONTROL!$C$42, 500, 500)*CHOOSE(CONTROL!$C$42, 0.275, 0.275)*CHOOSE(CONTROL!$C$42, 31, 31))/1000000</f>
        <v>4.2625000000000002</v>
      </c>
      <c r="W617" s="38">
        <f>(1000*CHOOSE(CONTROL!$C$42, 0.1146, 0.1146)*CHOOSE(CONTROL!$C$42, 121.5, 121.5)*CHOOSE(CONTROL!$C$42, 31, 31))/1000000</f>
        <v>0.43164089999999994</v>
      </c>
      <c r="X617" s="38">
        <f>(31*0.1790888*245000/1000000)+(31*0.2374*100000/1000000)</f>
        <v>2.0961194359999999</v>
      </c>
      <c r="Y617" s="38">
        <f>(1000*600*CHOOSE(CONTROL!$C$42, 1.0585, 1.0585)*CHOOSE(CONTROL!$C$42, 31, 31))/1000000</f>
        <v>19.688099999999999</v>
      </c>
      <c r="Z617" s="38"/>
      <c r="AA617" s="10"/>
      <c r="AB617" s="39"/>
      <c r="AC617" s="33">
        <f>(B617*194.205+C617*267.466+D617*133.845+E617*53.484+F617*40+G617*185+H617*0+I617*100+J617*300)/(194.205+267.466+133.845+53.484+0+40+185+100+300)</f>
        <v>18.344275782339093</v>
      </c>
      <c r="AD617" s="27">
        <f>(M617*'RAP TEMPLATE-GAS AVAILABILITY'!O616+N617*'RAP TEMPLATE-GAS AVAILABILITY'!P616+O617*'RAP TEMPLATE-GAS AVAILABILITY'!Q616+P617*'RAP TEMPLATE-GAS AVAILABILITY'!R616)/('RAP TEMPLATE-GAS AVAILABILITY'!O616+'RAP TEMPLATE-GAS AVAILABILITY'!P616+'RAP TEMPLATE-GAS AVAILABILITY'!Q616+'RAP TEMPLATE-GAS AVAILABILITY'!R616)</f>
        <v>18.173557553956833</v>
      </c>
    </row>
    <row r="618" spans="1:30" ht="15.75">
      <c r="A618" s="13">
        <v>60083</v>
      </c>
      <c r="B618" s="10">
        <f>CHOOSE(CONTROL!$C$42, 18.8618, 18.8618) * CHOOSE(CONTROL!$C$21, $C$9, 100%, $E$9)</f>
        <v>18.861799999999999</v>
      </c>
      <c r="C618" s="10">
        <f>CHOOSE(CONTROL!$C$42, 18.8698, 18.8698) * CHOOSE(CONTROL!$C$21, $C$9, 100%, $E$9)</f>
        <v>18.869800000000001</v>
      </c>
      <c r="D618" s="10">
        <f>CHOOSE(CONTROL!$C$42, 19.0268, 19.0268) * CHOOSE(CONTROL!$C$21, $C$9, 100%, $E$9)</f>
        <v>19.026800000000001</v>
      </c>
      <c r="E618" s="10">
        <f>CHOOSE(CONTROL!$C$42, 19.058, 19.058) * CHOOSE(CONTROL!$C$21, $C$9, 100%, $E$9)</f>
        <v>19.058</v>
      </c>
      <c r="F618" s="10">
        <f>CHOOSE(CONTROL!$C$42, 18.8061, 18.8061)*CHOOSE(CONTROL!$C$21, $C$9, 100%, $E$9)</f>
        <v>18.806100000000001</v>
      </c>
      <c r="G618" s="10">
        <f>CHOOSE(CONTROL!$C$42, 18.8223, 18.8223)*CHOOSE(CONTROL!$C$21, $C$9, 100%, $E$9)</f>
        <v>18.822299999999998</v>
      </c>
      <c r="H618" s="10">
        <f>CHOOSE(CONTROL!$C$42, 19.0464, 19.0464) * CHOOSE(CONTROL!$C$21, $C$9, 100%, $E$9)</f>
        <v>19.046399999999998</v>
      </c>
      <c r="I618" s="10">
        <f>CHOOSE(CONTROL!$C$42, 18.8405, 18.8405)* CHOOSE(CONTROL!$C$21, $C$9, 100%, $E$9)</f>
        <v>18.840499999999999</v>
      </c>
      <c r="J618" s="10">
        <f>CHOOSE(CONTROL!$C$42, 18.7987, 18.7987)* CHOOSE(CONTROL!$C$21, $C$9, 100%, $E$9)</f>
        <v>18.7987</v>
      </c>
      <c r="K618" s="10">
        <f>CHOOSE(CONTROL!$C$42, 18.412, 18.412) * CHOOSE(CONTROL!$C$21, $C$9, 100%, $E$9)</f>
        <v>18.411999999999999</v>
      </c>
      <c r="L618" s="10">
        <f>CHOOSE(CONTROL!$C$42, 19.6334, 19.6334) * CHOOSE(CONTROL!$C$21, $C$9, 100%, $E$9)</f>
        <v>19.633400000000002</v>
      </c>
      <c r="M618" s="10">
        <f>CHOOSE(CONTROL!$C$42, 18.5694, 18.5694) * CHOOSE(CONTROL!$C$21, $C$9, 100%, $E$9)</f>
        <v>18.569400000000002</v>
      </c>
      <c r="N618" s="10">
        <f>CHOOSE(CONTROL!$C$42, 18.5854, 18.5854) * CHOOSE(CONTROL!$C$21, $C$9, 100%, $E$9)</f>
        <v>18.5854</v>
      </c>
      <c r="O618" s="10">
        <f>CHOOSE(CONTROL!$C$42, 18.8137, 18.8137) * CHOOSE(CONTROL!$C$21, $C$9, 100%, $E$9)</f>
        <v>18.813700000000001</v>
      </c>
      <c r="P618" s="10">
        <f>CHOOSE(CONTROL!$C$42, 18.6108, 18.6108) * CHOOSE(CONTROL!$C$21, $C$9, 100%, $E$9)</f>
        <v>18.610800000000001</v>
      </c>
      <c r="Q618" s="10">
        <f>CHOOSE(CONTROL!$C$42, 19.409, 19.409) * CHOOSE(CONTROL!$C$21, $C$9, 100%, $E$9)</f>
        <v>19.408999999999999</v>
      </c>
      <c r="R618" s="10">
        <f>CHOOSE(CONTROL!$C$42, 20.0445, 20.0445) * CHOOSE(CONTROL!$C$21, $C$9, 100%, $E$9)</f>
        <v>20.044499999999999</v>
      </c>
      <c r="S618" s="10">
        <f>CHOOSE(CONTROL!$C$42, 18.2784, 18.2784) * CHOOSE(CONTROL!$C$21, $C$9, 100%, $E$9)</f>
        <v>18.278400000000001</v>
      </c>
      <c r="T61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18" s="38">
        <f>(1000*CHOOSE(CONTROL!$C$42, 695, 695)*CHOOSE(CONTROL!$C$42, 0.5599, 0.5599)*CHOOSE(CONTROL!$C$42, 30, 30))/1000000</f>
        <v>11.673914999999997</v>
      </c>
      <c r="V618" s="38">
        <f>(1000*CHOOSE(CONTROL!$C$42, 500, 500)*CHOOSE(CONTROL!$C$42, 0.275, 0.275)*CHOOSE(CONTROL!$C$42, 30, 30))/1000000</f>
        <v>4.125</v>
      </c>
      <c r="W618" s="38">
        <f>(1000*CHOOSE(CONTROL!$C$42, 0.1146, 0.1146)*CHOOSE(CONTROL!$C$42, 121.5, 121.5)*CHOOSE(CONTROL!$C$42, 30, 30))/1000000</f>
        <v>0.417717</v>
      </c>
      <c r="X618" s="38">
        <f>(30*0.1790888*245000/1000000)+(30*0.2374*100000/1000000)</f>
        <v>2.0285026799999999</v>
      </c>
      <c r="Y618" s="38">
        <f>(1000*600*CHOOSE(CONTROL!$C$42, 1.0585, 1.0585)*CHOOSE(CONTROL!$C$42, 30, 30))/1000000</f>
        <v>19.053000000000001</v>
      </c>
      <c r="Z618" s="38"/>
      <c r="AA618" s="10"/>
      <c r="AB618" s="39"/>
      <c r="AC618" s="33">
        <f>(B618*194.205+C618*267.466+D618*133.845+E618*53.484+F618*40+G618*185+H618*0+I618*100+J618*300)/(194.205+267.466+133.845+53.484+0+40+185+100+300)</f>
        <v>18.865035646624804</v>
      </c>
      <c r="AD618" s="27">
        <f>(M618*'RAP TEMPLATE-GAS AVAILABILITY'!O617+N618*'RAP TEMPLATE-GAS AVAILABILITY'!P617+O618*'RAP TEMPLATE-GAS AVAILABILITY'!Q617+P618*'RAP TEMPLATE-GAS AVAILABILITY'!R617)/('RAP TEMPLATE-GAS AVAILABILITY'!O617+'RAP TEMPLATE-GAS AVAILABILITY'!P617+'RAP TEMPLATE-GAS AVAILABILITY'!Q617+'RAP TEMPLATE-GAS AVAILABILITY'!R617)</f>
        <v>18.687003597122303</v>
      </c>
    </row>
    <row r="619" spans="1:30" ht="15.75">
      <c r="A619" s="13">
        <v>60114</v>
      </c>
      <c r="B619" s="10">
        <f>CHOOSE(CONTROL!$C$42, 18.4996, 18.4996) * CHOOSE(CONTROL!$C$21, $C$9, 100%, $E$9)</f>
        <v>18.499600000000001</v>
      </c>
      <c r="C619" s="10">
        <f>CHOOSE(CONTROL!$C$42, 18.5076, 18.5076) * CHOOSE(CONTROL!$C$21, $C$9, 100%, $E$9)</f>
        <v>18.5076</v>
      </c>
      <c r="D619" s="10">
        <f>CHOOSE(CONTROL!$C$42, 18.6647, 18.6647) * CHOOSE(CONTROL!$C$21, $C$9, 100%, $E$9)</f>
        <v>18.6647</v>
      </c>
      <c r="E619" s="10">
        <f>CHOOSE(CONTROL!$C$42, 18.6959, 18.6959) * CHOOSE(CONTROL!$C$21, $C$9, 100%, $E$9)</f>
        <v>18.695900000000002</v>
      </c>
      <c r="F619" s="10">
        <f>CHOOSE(CONTROL!$C$42, 18.4443, 18.4443)*CHOOSE(CONTROL!$C$21, $C$9, 100%, $E$9)</f>
        <v>18.444299999999998</v>
      </c>
      <c r="G619" s="10">
        <f>CHOOSE(CONTROL!$C$42, 18.4605, 18.4605)*CHOOSE(CONTROL!$C$21, $C$9, 100%, $E$9)</f>
        <v>18.4605</v>
      </c>
      <c r="H619" s="10">
        <f>CHOOSE(CONTROL!$C$42, 18.6842, 18.6842) * CHOOSE(CONTROL!$C$21, $C$9, 100%, $E$9)</f>
        <v>18.684200000000001</v>
      </c>
      <c r="I619" s="10">
        <f>CHOOSE(CONTROL!$C$42, 18.4784, 18.4784)* CHOOSE(CONTROL!$C$21, $C$9, 100%, $E$9)</f>
        <v>18.478400000000001</v>
      </c>
      <c r="J619" s="10">
        <f>CHOOSE(CONTROL!$C$42, 18.4369, 18.4369)* CHOOSE(CONTROL!$C$21, $C$9, 100%, $E$9)</f>
        <v>18.436900000000001</v>
      </c>
      <c r="K619" s="10">
        <f>CHOOSE(CONTROL!$C$42, 18.0619, 18.0619) * CHOOSE(CONTROL!$C$21, $C$9, 100%, $E$9)</f>
        <v>18.061900000000001</v>
      </c>
      <c r="L619" s="10">
        <f>CHOOSE(CONTROL!$C$42, 19.2712, 19.2712) * CHOOSE(CONTROL!$C$21, $C$9, 100%, $E$9)</f>
        <v>19.2712</v>
      </c>
      <c r="M619" s="10">
        <f>CHOOSE(CONTROL!$C$42, 18.2127, 18.2127) * CHOOSE(CONTROL!$C$21, $C$9, 100%, $E$9)</f>
        <v>18.212700000000002</v>
      </c>
      <c r="N619" s="10">
        <f>CHOOSE(CONTROL!$C$42, 18.2287, 18.2287) * CHOOSE(CONTROL!$C$21, $C$9, 100%, $E$9)</f>
        <v>18.2287</v>
      </c>
      <c r="O619" s="10">
        <f>CHOOSE(CONTROL!$C$42, 18.4566, 18.4566) * CHOOSE(CONTROL!$C$21, $C$9, 100%, $E$9)</f>
        <v>18.456600000000002</v>
      </c>
      <c r="P619" s="10">
        <f>CHOOSE(CONTROL!$C$42, 18.2537, 18.2537) * CHOOSE(CONTROL!$C$21, $C$9, 100%, $E$9)</f>
        <v>18.253699999999998</v>
      </c>
      <c r="Q619" s="10">
        <f>CHOOSE(CONTROL!$C$42, 19.0519, 19.0519) * CHOOSE(CONTROL!$C$21, $C$9, 100%, $E$9)</f>
        <v>19.0519</v>
      </c>
      <c r="R619" s="10">
        <f>CHOOSE(CONTROL!$C$42, 19.6865, 19.6865) * CHOOSE(CONTROL!$C$21, $C$9, 100%, $E$9)</f>
        <v>19.686499999999999</v>
      </c>
      <c r="S619" s="10">
        <f>CHOOSE(CONTROL!$C$42, 17.9278, 17.9278) * CHOOSE(CONTROL!$C$21, $C$9, 100%, $E$9)</f>
        <v>17.927800000000001</v>
      </c>
      <c r="T61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19" s="38">
        <f>(1000*CHOOSE(CONTROL!$C$42, 695, 695)*CHOOSE(CONTROL!$C$42, 0.5599, 0.5599)*CHOOSE(CONTROL!$C$42, 31, 31))/1000000</f>
        <v>12.063045499999998</v>
      </c>
      <c r="V619" s="38">
        <f>(1000*CHOOSE(CONTROL!$C$42, 500, 500)*CHOOSE(CONTROL!$C$42, 0.275, 0.275)*CHOOSE(CONTROL!$C$42, 31, 31))/1000000</f>
        <v>4.2625000000000002</v>
      </c>
      <c r="W619" s="38">
        <f>(1000*CHOOSE(CONTROL!$C$42, 0.1146, 0.1146)*CHOOSE(CONTROL!$C$42, 121.5, 121.5)*CHOOSE(CONTROL!$C$42, 31, 31))/1000000</f>
        <v>0.43164089999999994</v>
      </c>
      <c r="X619" s="38">
        <f>(31*0.1790888*245000/1000000)+(31*0.2374*100000/1000000)</f>
        <v>2.0961194359999999</v>
      </c>
      <c r="Y619" s="38">
        <f>(1000*600*CHOOSE(CONTROL!$C$42, 1.0585, 1.0585)*CHOOSE(CONTROL!$C$42, 31, 31))/1000000</f>
        <v>19.688099999999999</v>
      </c>
      <c r="Z619" s="38"/>
      <c r="AA619" s="10"/>
      <c r="AB619" s="39"/>
      <c r="AC619" s="33">
        <f>(B619*194.205+C619*267.466+D619*133.845+E619*53.484+F619*40+G619*185+H619*0+I619*100+J619*300)/(194.205+267.466+133.845+53.484+0+40+185+100+300)</f>
        <v>18.503023035086343</v>
      </c>
      <c r="AD619" s="27">
        <f>(M619*'RAP TEMPLATE-GAS AVAILABILITY'!O618+N619*'RAP TEMPLATE-GAS AVAILABILITY'!P618+O619*'RAP TEMPLATE-GAS AVAILABILITY'!Q618+P619*'RAP TEMPLATE-GAS AVAILABILITY'!R618)/('RAP TEMPLATE-GAS AVAILABILITY'!O618+'RAP TEMPLATE-GAS AVAILABILITY'!P618+'RAP TEMPLATE-GAS AVAILABILITY'!Q618+'RAP TEMPLATE-GAS AVAILABILITY'!R618)</f>
        <v>18.33006474820144</v>
      </c>
    </row>
    <row r="620" spans="1:30" ht="15.75">
      <c r="A620" s="13">
        <v>60145</v>
      </c>
      <c r="B620" s="10">
        <f>CHOOSE(CONTROL!$C$42, 17.5852, 17.5852) * CHOOSE(CONTROL!$C$21, $C$9, 100%, $E$9)</f>
        <v>17.5852</v>
      </c>
      <c r="C620" s="10">
        <f>CHOOSE(CONTROL!$C$42, 17.5932, 17.5932) * CHOOSE(CONTROL!$C$21, $C$9, 100%, $E$9)</f>
        <v>17.5932</v>
      </c>
      <c r="D620" s="10">
        <f>CHOOSE(CONTROL!$C$42, 17.7502, 17.7502) * CHOOSE(CONTROL!$C$21, $C$9, 100%, $E$9)</f>
        <v>17.7502</v>
      </c>
      <c r="E620" s="10">
        <f>CHOOSE(CONTROL!$C$42, 17.7814, 17.7814) * CHOOSE(CONTROL!$C$21, $C$9, 100%, $E$9)</f>
        <v>17.781400000000001</v>
      </c>
      <c r="F620" s="10">
        <f>CHOOSE(CONTROL!$C$42, 17.5297, 17.5297)*CHOOSE(CONTROL!$C$21, $C$9, 100%, $E$9)</f>
        <v>17.529699999999998</v>
      </c>
      <c r="G620" s="10">
        <f>CHOOSE(CONTROL!$C$42, 17.546, 17.546)*CHOOSE(CONTROL!$C$21, $C$9, 100%, $E$9)</f>
        <v>17.545999999999999</v>
      </c>
      <c r="H620" s="10">
        <f>CHOOSE(CONTROL!$C$42, 17.7698, 17.7698) * CHOOSE(CONTROL!$C$21, $C$9, 100%, $E$9)</f>
        <v>17.7698</v>
      </c>
      <c r="I620" s="10">
        <f>CHOOSE(CONTROL!$C$42, 17.564, 17.564)* CHOOSE(CONTROL!$C$21, $C$9, 100%, $E$9)</f>
        <v>17.564</v>
      </c>
      <c r="J620" s="10">
        <f>CHOOSE(CONTROL!$C$42, 17.5223, 17.5223)* CHOOSE(CONTROL!$C$21, $C$9, 100%, $E$9)</f>
        <v>17.522300000000001</v>
      </c>
      <c r="K620" s="10">
        <f>CHOOSE(CONTROL!$C$42, 17.1758, 17.1758) * CHOOSE(CONTROL!$C$21, $C$9, 100%, $E$9)</f>
        <v>17.175799999999999</v>
      </c>
      <c r="L620" s="10">
        <f>CHOOSE(CONTROL!$C$42, 18.3568, 18.3568) * CHOOSE(CONTROL!$C$21, $C$9, 100%, $E$9)</f>
        <v>18.3568</v>
      </c>
      <c r="M620" s="10">
        <f>CHOOSE(CONTROL!$C$42, 17.3109, 17.3109) * CHOOSE(CONTROL!$C$21, $C$9, 100%, $E$9)</f>
        <v>17.3109</v>
      </c>
      <c r="N620" s="10">
        <f>CHOOSE(CONTROL!$C$42, 17.3269, 17.3269) * CHOOSE(CONTROL!$C$21, $C$9, 100%, $E$9)</f>
        <v>17.326899999999998</v>
      </c>
      <c r="O620" s="10">
        <f>CHOOSE(CONTROL!$C$42, 17.5549, 17.5549) * CHOOSE(CONTROL!$C$21, $C$9, 100%, $E$9)</f>
        <v>17.5549</v>
      </c>
      <c r="P620" s="10">
        <f>CHOOSE(CONTROL!$C$42, 17.352, 17.352) * CHOOSE(CONTROL!$C$21, $C$9, 100%, $E$9)</f>
        <v>17.352</v>
      </c>
      <c r="Q620" s="10">
        <f>CHOOSE(CONTROL!$C$42, 18.1502, 18.1502) * CHOOSE(CONTROL!$C$21, $C$9, 100%, $E$9)</f>
        <v>18.150200000000002</v>
      </c>
      <c r="R620" s="10">
        <f>CHOOSE(CONTROL!$C$42, 18.7826, 18.7826) * CHOOSE(CONTROL!$C$21, $C$9, 100%, $E$9)</f>
        <v>18.782599999999999</v>
      </c>
      <c r="S620" s="10">
        <f>CHOOSE(CONTROL!$C$42, 17.0423, 17.0423) * CHOOSE(CONTROL!$C$21, $C$9, 100%, $E$9)</f>
        <v>17.042300000000001</v>
      </c>
      <c r="T62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20" s="38">
        <f>(1000*CHOOSE(CONTROL!$C$42, 695, 695)*CHOOSE(CONTROL!$C$42, 0.5599, 0.5599)*CHOOSE(CONTROL!$C$42, 31, 31))/1000000</f>
        <v>12.063045499999998</v>
      </c>
      <c r="V620" s="38">
        <f>(1000*CHOOSE(CONTROL!$C$42, 500, 500)*CHOOSE(CONTROL!$C$42, 0.275, 0.275)*CHOOSE(CONTROL!$C$42, 31, 31))/1000000</f>
        <v>4.2625000000000002</v>
      </c>
      <c r="W620" s="38">
        <f>(1000*CHOOSE(CONTROL!$C$42, 0.1146, 0.1146)*CHOOSE(CONTROL!$C$42, 121.5, 121.5)*CHOOSE(CONTROL!$C$42, 31, 31))/1000000</f>
        <v>0.43164089999999994</v>
      </c>
      <c r="X620" s="38">
        <f>(31*0.1790888*245000/1000000)+(31*0.2374*100000/1000000)</f>
        <v>2.0961194359999999</v>
      </c>
      <c r="Y620" s="38">
        <f>(1000*600*CHOOSE(CONTROL!$C$42, 1.0585, 1.0585)*CHOOSE(CONTROL!$C$42, 31, 31))/1000000</f>
        <v>19.688099999999999</v>
      </c>
      <c r="Z620" s="38"/>
      <c r="AA620" s="10"/>
      <c r="AB620" s="39"/>
      <c r="AC620" s="33">
        <f>(B620*194.205+C620*267.466+D620*133.845+E620*53.484+F620*40+G620*185+H620*0+I620*100+J620*300)/(194.205+267.466+133.845+53.484+0+40+185+100+300)</f>
        <v>17.588540434693879</v>
      </c>
      <c r="AD620" s="27">
        <f>(M620*'RAP TEMPLATE-GAS AVAILABILITY'!O619+N620*'RAP TEMPLATE-GAS AVAILABILITY'!P619+O620*'RAP TEMPLATE-GAS AVAILABILITY'!Q619+P620*'RAP TEMPLATE-GAS AVAILABILITY'!R619)/('RAP TEMPLATE-GAS AVAILABILITY'!O619+'RAP TEMPLATE-GAS AVAILABILITY'!P619+'RAP TEMPLATE-GAS AVAILABILITY'!Q619+'RAP TEMPLATE-GAS AVAILABILITY'!R619)</f>
        <v>17.428324460431654</v>
      </c>
    </row>
    <row r="621" spans="1:30" ht="15.75">
      <c r="A621" s="13">
        <v>60175</v>
      </c>
      <c r="B621" s="10">
        <f>CHOOSE(CONTROL!$C$42, 16.4679, 16.4679) * CHOOSE(CONTROL!$C$21, $C$9, 100%, $E$9)</f>
        <v>16.4679</v>
      </c>
      <c r="C621" s="10">
        <f>CHOOSE(CONTROL!$C$42, 16.4759, 16.4759) * CHOOSE(CONTROL!$C$21, $C$9, 100%, $E$9)</f>
        <v>16.475899999999999</v>
      </c>
      <c r="D621" s="10">
        <f>CHOOSE(CONTROL!$C$42, 16.6329, 16.6329) * CHOOSE(CONTROL!$C$21, $C$9, 100%, $E$9)</f>
        <v>16.632899999999999</v>
      </c>
      <c r="E621" s="10">
        <f>CHOOSE(CONTROL!$C$42, 16.6641, 16.6641) * CHOOSE(CONTROL!$C$21, $C$9, 100%, $E$9)</f>
        <v>16.664100000000001</v>
      </c>
      <c r="F621" s="10">
        <f>CHOOSE(CONTROL!$C$42, 16.4122, 16.4122)*CHOOSE(CONTROL!$C$21, $C$9, 100%, $E$9)</f>
        <v>16.412199999999999</v>
      </c>
      <c r="G621" s="10">
        <f>CHOOSE(CONTROL!$C$42, 16.4284, 16.4284)*CHOOSE(CONTROL!$C$21, $C$9, 100%, $E$9)</f>
        <v>16.4284</v>
      </c>
      <c r="H621" s="10">
        <f>CHOOSE(CONTROL!$C$42, 16.6525, 16.6525) * CHOOSE(CONTROL!$C$21, $C$9, 100%, $E$9)</f>
        <v>16.6525</v>
      </c>
      <c r="I621" s="10">
        <f>CHOOSE(CONTROL!$C$42, 16.4466, 16.4466)* CHOOSE(CONTROL!$C$21, $C$9, 100%, $E$9)</f>
        <v>16.4466</v>
      </c>
      <c r="J621" s="10">
        <f>CHOOSE(CONTROL!$C$42, 16.4048, 16.4048)* CHOOSE(CONTROL!$C$21, $C$9, 100%, $E$9)</f>
        <v>16.404800000000002</v>
      </c>
      <c r="K621" s="10">
        <f>CHOOSE(CONTROL!$C$42, 16.093, 16.093) * CHOOSE(CONTROL!$C$21, $C$9, 100%, $E$9)</f>
        <v>16.093</v>
      </c>
      <c r="L621" s="10">
        <f>CHOOSE(CONTROL!$C$42, 17.2395, 17.2395) * CHOOSE(CONTROL!$C$21, $C$9, 100%, $E$9)</f>
        <v>17.2395</v>
      </c>
      <c r="M621" s="10">
        <f>CHOOSE(CONTROL!$C$42, 16.209, 16.209) * CHOOSE(CONTROL!$C$21, $C$9, 100%, $E$9)</f>
        <v>16.209</v>
      </c>
      <c r="N621" s="10">
        <f>CHOOSE(CONTROL!$C$42, 16.225, 16.225) * CHOOSE(CONTROL!$C$21, $C$9, 100%, $E$9)</f>
        <v>16.225000000000001</v>
      </c>
      <c r="O621" s="10">
        <f>CHOOSE(CONTROL!$C$42, 16.4532, 16.4532) * CHOOSE(CONTROL!$C$21, $C$9, 100%, $E$9)</f>
        <v>16.453199999999999</v>
      </c>
      <c r="P621" s="10">
        <f>CHOOSE(CONTROL!$C$42, 16.2503, 16.2503) * CHOOSE(CONTROL!$C$21, $C$9, 100%, $E$9)</f>
        <v>16.250299999999999</v>
      </c>
      <c r="Q621" s="10">
        <f>CHOOSE(CONTROL!$C$42, 17.0485, 17.0485) * CHOOSE(CONTROL!$C$21, $C$9, 100%, $E$9)</f>
        <v>17.048500000000001</v>
      </c>
      <c r="R621" s="10">
        <f>CHOOSE(CONTROL!$C$42, 17.6781, 17.6781) * CHOOSE(CONTROL!$C$21, $C$9, 100%, $E$9)</f>
        <v>17.678100000000001</v>
      </c>
      <c r="S621" s="10">
        <f>CHOOSE(CONTROL!$C$42, 15.9604, 15.9604) * CHOOSE(CONTROL!$C$21, $C$9, 100%, $E$9)</f>
        <v>15.9604</v>
      </c>
      <c r="T62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21" s="38">
        <f>(1000*CHOOSE(CONTROL!$C$42, 695, 695)*CHOOSE(CONTROL!$C$42, 0.5599, 0.5599)*CHOOSE(CONTROL!$C$42, 30, 30))/1000000</f>
        <v>11.673914999999997</v>
      </c>
      <c r="V621" s="38">
        <f>(1000*CHOOSE(CONTROL!$C$42, 500, 500)*CHOOSE(CONTROL!$C$42, 0.275, 0.275)*CHOOSE(CONTROL!$C$42, 30, 30))/1000000</f>
        <v>4.125</v>
      </c>
      <c r="W621" s="38">
        <f>(1000*CHOOSE(CONTROL!$C$42, 0.1146, 0.1146)*CHOOSE(CONTROL!$C$42, 121.5, 121.5)*CHOOSE(CONTROL!$C$42, 30, 30))/1000000</f>
        <v>0.417717</v>
      </c>
      <c r="X621" s="38">
        <f>(30*0.1790888*245000/1000000)+(30*0.2374*100000/1000000)</f>
        <v>2.0285026799999999</v>
      </c>
      <c r="Y621" s="38">
        <f>(1000*600*CHOOSE(CONTROL!$C$42, 1.0585, 1.0585)*CHOOSE(CONTROL!$C$42, 30, 30))/1000000</f>
        <v>19.053000000000001</v>
      </c>
      <c r="Z621" s="38"/>
      <c r="AA621" s="10"/>
      <c r="AB621" s="39"/>
      <c r="AC621" s="33">
        <f>(B621*194.205+C621*267.466+D621*133.845+E621*53.484+F621*40+G621*185+H621*0+I621*100+J621*300)/(194.205+267.466+133.845+53.484+0+40+185+100+300)</f>
        <v>16.471135646624802</v>
      </c>
      <c r="AD621" s="27">
        <f>(M621*'RAP TEMPLATE-GAS AVAILABILITY'!O620+N621*'RAP TEMPLATE-GAS AVAILABILITY'!P620+O621*'RAP TEMPLATE-GAS AVAILABILITY'!Q620+P621*'RAP TEMPLATE-GAS AVAILABILITY'!R620)/('RAP TEMPLATE-GAS AVAILABILITY'!O620+'RAP TEMPLATE-GAS AVAILABILITY'!P620+'RAP TEMPLATE-GAS AVAILABILITY'!Q620+'RAP TEMPLATE-GAS AVAILABILITY'!R620)</f>
        <v>16.326543884892086</v>
      </c>
    </row>
    <row r="622" spans="1:30" ht="15.75">
      <c r="A622" s="13">
        <v>60206</v>
      </c>
      <c r="B622" s="10">
        <f>CHOOSE(CONTROL!$C$42, 16.131, 16.131) * CHOOSE(CONTROL!$C$21, $C$9, 100%, $E$9)</f>
        <v>16.131</v>
      </c>
      <c r="C622" s="10">
        <f>CHOOSE(CONTROL!$C$42, 16.1364, 16.1364) * CHOOSE(CONTROL!$C$21, $C$9, 100%, $E$9)</f>
        <v>16.136399999999998</v>
      </c>
      <c r="D622" s="10">
        <f>CHOOSE(CONTROL!$C$42, 16.2983, 16.2983) * CHOOSE(CONTROL!$C$21, $C$9, 100%, $E$9)</f>
        <v>16.298300000000001</v>
      </c>
      <c r="E622" s="10">
        <f>CHOOSE(CONTROL!$C$42, 16.3272, 16.3272) * CHOOSE(CONTROL!$C$21, $C$9, 100%, $E$9)</f>
        <v>16.327200000000001</v>
      </c>
      <c r="F622" s="10">
        <f>CHOOSE(CONTROL!$C$42, 16.0774, 16.0774)*CHOOSE(CONTROL!$C$21, $C$9, 100%, $E$9)</f>
        <v>16.077400000000001</v>
      </c>
      <c r="G622" s="10">
        <f>CHOOSE(CONTROL!$C$42, 16.0932, 16.0932)*CHOOSE(CONTROL!$C$21, $C$9, 100%, $E$9)</f>
        <v>16.0932</v>
      </c>
      <c r="H622" s="10">
        <f>CHOOSE(CONTROL!$C$42, 16.3174, 16.3174) * CHOOSE(CONTROL!$C$21, $C$9, 100%, $E$9)</f>
        <v>16.317399999999999</v>
      </c>
      <c r="I622" s="10">
        <f>CHOOSE(CONTROL!$C$42, 16.1115, 16.1115)* CHOOSE(CONTROL!$C$21, $C$9, 100%, $E$9)</f>
        <v>16.111499999999999</v>
      </c>
      <c r="J622" s="10">
        <f>CHOOSE(CONTROL!$C$42, 16.07, 16.07)* CHOOSE(CONTROL!$C$21, $C$9, 100%, $E$9)</f>
        <v>16.07</v>
      </c>
      <c r="K622" s="10">
        <f>CHOOSE(CONTROL!$C$42, 15.769, 15.769) * CHOOSE(CONTROL!$C$21, $C$9, 100%, $E$9)</f>
        <v>15.769</v>
      </c>
      <c r="L622" s="10">
        <f>CHOOSE(CONTROL!$C$42, 16.9044, 16.9044) * CHOOSE(CONTROL!$C$21, $C$9, 100%, $E$9)</f>
        <v>16.904399999999999</v>
      </c>
      <c r="M622" s="10">
        <f>CHOOSE(CONTROL!$C$42, 15.8789, 15.8789) * CHOOSE(CONTROL!$C$21, $C$9, 100%, $E$9)</f>
        <v>15.8789</v>
      </c>
      <c r="N622" s="10">
        <f>CHOOSE(CONTROL!$C$42, 15.8944, 15.8944) * CHOOSE(CONTROL!$C$21, $C$9, 100%, $E$9)</f>
        <v>15.894399999999999</v>
      </c>
      <c r="O622" s="10">
        <f>CHOOSE(CONTROL!$C$42, 16.1227, 16.1227) * CHOOSE(CONTROL!$C$21, $C$9, 100%, $E$9)</f>
        <v>16.122699999999998</v>
      </c>
      <c r="P622" s="10">
        <f>CHOOSE(CONTROL!$C$42, 15.9198, 15.9198) * CHOOSE(CONTROL!$C$21, $C$9, 100%, $E$9)</f>
        <v>15.9198</v>
      </c>
      <c r="Q622" s="10">
        <f>CHOOSE(CONTROL!$C$42, 16.718, 16.718) * CHOOSE(CONTROL!$C$21, $C$9, 100%, $E$9)</f>
        <v>16.718</v>
      </c>
      <c r="R622" s="10">
        <f>CHOOSE(CONTROL!$C$42, 17.3468, 17.3468) * CHOOSE(CONTROL!$C$21, $C$9, 100%, $E$9)</f>
        <v>17.346800000000002</v>
      </c>
      <c r="S622" s="10">
        <f>CHOOSE(CONTROL!$C$42, 15.636, 15.636) * CHOOSE(CONTROL!$C$21, $C$9, 100%, $E$9)</f>
        <v>15.635999999999999</v>
      </c>
      <c r="T62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22" s="38">
        <f>(1000*CHOOSE(CONTROL!$C$42, 695, 695)*CHOOSE(CONTROL!$C$42, 0.5599, 0.5599)*CHOOSE(CONTROL!$C$42, 31, 31))/1000000</f>
        <v>12.063045499999998</v>
      </c>
      <c r="V622" s="38">
        <f>(1000*CHOOSE(CONTROL!$C$42, 500, 500)*CHOOSE(CONTROL!$C$42, 0.275, 0.275)*CHOOSE(CONTROL!$C$42, 31, 31))/1000000</f>
        <v>4.2625000000000002</v>
      </c>
      <c r="W622" s="38">
        <f>(1000*CHOOSE(CONTROL!$C$42, 0.1146, 0.1146)*CHOOSE(CONTROL!$C$42, 121.5, 121.5)*CHOOSE(CONTROL!$C$42, 31, 31))/1000000</f>
        <v>0.43164089999999994</v>
      </c>
      <c r="X622" s="38">
        <f>(31*0.1790888*245000/1000000)+(31*0.2374*100000/1000000)</f>
        <v>2.0961194359999999</v>
      </c>
      <c r="Y622" s="38">
        <f>(1000*600*CHOOSE(CONTROL!$C$42, 1.0585, 1.0585)*CHOOSE(CONTROL!$C$42, 31, 31))/1000000</f>
        <v>19.688099999999999</v>
      </c>
      <c r="Z622" s="38"/>
      <c r="AA622" s="10"/>
      <c r="AB622" s="39"/>
      <c r="AC622" s="33">
        <f>(B622*131.881+C622*277.167+D622*79.08+E622*125.872+F622*40+G622*185+H622*0+I622*100+J622*300)/(131.881+277.167+79.08+125.872+0+40+185+100+300)</f>
        <v>16.139099977562552</v>
      </c>
      <c r="AD622" s="27">
        <f>(M622*'RAP TEMPLATE-GAS AVAILABILITY'!O621+N622*'RAP TEMPLATE-GAS AVAILABILITY'!P621+O622*'RAP TEMPLATE-GAS AVAILABILITY'!Q621+P622*'RAP TEMPLATE-GAS AVAILABILITY'!R621)/('RAP TEMPLATE-GAS AVAILABILITY'!O621+'RAP TEMPLATE-GAS AVAILABILITY'!P621+'RAP TEMPLATE-GAS AVAILABILITY'!Q621+'RAP TEMPLATE-GAS AVAILABILITY'!R621)</f>
        <v>15.996176258992804</v>
      </c>
    </row>
    <row r="623" spans="1:30" ht="15.75">
      <c r="A623" s="13">
        <v>60236</v>
      </c>
      <c r="B623" s="10">
        <f>CHOOSE(CONTROL!$C$42, 16.556, 16.556) * CHOOSE(CONTROL!$C$21, $C$9, 100%, $E$9)</f>
        <v>16.556000000000001</v>
      </c>
      <c r="C623" s="10">
        <f>CHOOSE(CONTROL!$C$42, 16.5611, 16.5611) * CHOOSE(CONTROL!$C$21, $C$9, 100%, $E$9)</f>
        <v>16.5611</v>
      </c>
      <c r="D623" s="10">
        <f>CHOOSE(CONTROL!$C$42, 16.5858, 16.5858) * CHOOSE(CONTROL!$C$21, $C$9, 100%, $E$9)</f>
        <v>16.585799999999999</v>
      </c>
      <c r="E623" s="10">
        <f>CHOOSE(CONTROL!$C$42, 16.6196, 16.6196) * CHOOSE(CONTROL!$C$21, $C$9, 100%, $E$9)</f>
        <v>16.619599999999998</v>
      </c>
      <c r="F623" s="10">
        <f>CHOOSE(CONTROL!$C$42, 16.5243, 16.5243)*CHOOSE(CONTROL!$C$21, $C$9, 100%, $E$9)</f>
        <v>16.5243</v>
      </c>
      <c r="G623" s="10">
        <f>CHOOSE(CONTROL!$C$42, 16.5404, 16.5404)*CHOOSE(CONTROL!$C$21, $C$9, 100%, $E$9)</f>
        <v>16.540400000000002</v>
      </c>
      <c r="H623" s="10">
        <f>CHOOSE(CONTROL!$C$42, 16.6085, 16.6085) * CHOOSE(CONTROL!$C$21, $C$9, 100%, $E$9)</f>
        <v>16.608499999999999</v>
      </c>
      <c r="I623" s="10">
        <f>CHOOSE(CONTROL!$C$42, 16.571, 16.571)* CHOOSE(CONTROL!$C$21, $C$9, 100%, $E$9)</f>
        <v>16.571000000000002</v>
      </c>
      <c r="J623" s="10">
        <f>CHOOSE(CONTROL!$C$42, 16.5169, 16.5169)* CHOOSE(CONTROL!$C$21, $C$9, 100%, $E$9)</f>
        <v>16.5169</v>
      </c>
      <c r="K623" s="10">
        <f>CHOOSE(CONTROL!$C$42, 16.2163, 16.2163) * CHOOSE(CONTROL!$C$21, $C$9, 100%, $E$9)</f>
        <v>16.2163</v>
      </c>
      <c r="L623" s="10">
        <f>CHOOSE(CONTROL!$C$42, 17.1955, 17.1955) * CHOOSE(CONTROL!$C$21, $C$9, 100%, $E$9)</f>
        <v>17.195499999999999</v>
      </c>
      <c r="M623" s="10">
        <f>CHOOSE(CONTROL!$C$42, 16.3195, 16.3195) * CHOOSE(CONTROL!$C$21, $C$9, 100%, $E$9)</f>
        <v>16.319500000000001</v>
      </c>
      <c r="N623" s="10">
        <f>CHOOSE(CONTROL!$C$42, 16.3353, 16.3353) * CHOOSE(CONTROL!$C$21, $C$9, 100%, $E$9)</f>
        <v>16.3353</v>
      </c>
      <c r="O623" s="10">
        <f>CHOOSE(CONTROL!$C$42, 16.4098, 16.4098) * CHOOSE(CONTROL!$C$21, $C$9, 100%, $E$9)</f>
        <v>16.409800000000001</v>
      </c>
      <c r="P623" s="10">
        <f>CHOOSE(CONTROL!$C$42, 16.3729, 16.3729) * CHOOSE(CONTROL!$C$21, $C$9, 100%, $E$9)</f>
        <v>16.372900000000001</v>
      </c>
      <c r="Q623" s="10">
        <f>CHOOSE(CONTROL!$C$42, 17.0051, 17.0051) * CHOOSE(CONTROL!$C$21, $C$9, 100%, $E$9)</f>
        <v>17.005099999999999</v>
      </c>
      <c r="R623" s="10">
        <f>CHOOSE(CONTROL!$C$42, 17.6346, 17.6346) * CHOOSE(CONTROL!$C$21, $C$9, 100%, $E$9)</f>
        <v>17.634599999999999</v>
      </c>
      <c r="S623" s="10">
        <f>CHOOSE(CONTROL!$C$42, 16.0479, 16.0479) * CHOOSE(CONTROL!$C$21, $C$9, 100%, $E$9)</f>
        <v>16.047899999999998</v>
      </c>
      <c r="T62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23" s="38">
        <f>(1000*CHOOSE(CONTROL!$C$42, 695, 695)*CHOOSE(CONTROL!$C$42, 0.5599, 0.5599)*CHOOSE(CONTROL!$C$42, 30, 30))/1000000</f>
        <v>11.673914999999997</v>
      </c>
      <c r="V623" s="38">
        <f>(1000*CHOOSE(CONTROL!$C$42, 500, 500)*CHOOSE(CONTROL!$C$42, 0.275, 0.275)*CHOOSE(CONTROL!$C$42, 30, 30))/1000000</f>
        <v>4.125</v>
      </c>
      <c r="W623" s="38">
        <f>(1000*CHOOSE(CONTROL!$C$42, 0.1146, 0.1146)*CHOOSE(CONTROL!$C$42, 121.5, 121.5)*CHOOSE(CONTROL!$C$42, 30, 30))/1000000</f>
        <v>0.417717</v>
      </c>
      <c r="X623" s="38">
        <f>(30*0.1790888*100000/1000000)+(30*0.2374*100000/1000000)</f>
        <v>1.2494664</v>
      </c>
      <c r="Y623" s="38">
        <f>(1000*600*CHOOSE(CONTROL!$C$42, 1.0585, 1.0585)*CHOOSE(CONTROL!$C$42, 30, 30))/1000000</f>
        <v>19.053000000000001</v>
      </c>
      <c r="Z623" s="38"/>
      <c r="AA623" s="10"/>
      <c r="AB623" s="39"/>
      <c r="AC623" s="33">
        <f>(B623*122.58+C623*297.941+D623*89.177+E623*40.302+F623*40+G623*160+H623*0+I623*100+J623*300)/(122.58+297.941+89.177+40.302+0+40+160+100+300)</f>
        <v>16.54969233121739</v>
      </c>
      <c r="AD623" s="27">
        <f>(M623*'RAP TEMPLATE-GAS AVAILABILITY'!O622+N623*'RAP TEMPLATE-GAS AVAILABILITY'!P622+O623*'RAP TEMPLATE-GAS AVAILABILITY'!Q622+P623*'RAP TEMPLATE-GAS AVAILABILITY'!R622)/('RAP TEMPLATE-GAS AVAILABILITY'!O622+'RAP TEMPLATE-GAS AVAILABILITY'!P622+'RAP TEMPLATE-GAS AVAILABILITY'!Q622+'RAP TEMPLATE-GAS AVAILABILITY'!R622)</f>
        <v>16.369020143884892</v>
      </c>
    </row>
    <row r="624" spans="1:30" ht="15.75">
      <c r="A624" s="13">
        <v>60267</v>
      </c>
      <c r="B624" s="10">
        <f>CHOOSE(CONTROL!$C$42, 17.6859, 17.6859) * CHOOSE(CONTROL!$C$21, $C$9, 100%, $E$9)</f>
        <v>17.6859</v>
      </c>
      <c r="C624" s="10">
        <f>CHOOSE(CONTROL!$C$42, 17.691, 17.691) * CHOOSE(CONTROL!$C$21, $C$9, 100%, $E$9)</f>
        <v>17.690999999999999</v>
      </c>
      <c r="D624" s="10">
        <f>CHOOSE(CONTROL!$C$42, 17.7157, 17.7157) * CHOOSE(CONTROL!$C$21, $C$9, 100%, $E$9)</f>
        <v>17.715699999999998</v>
      </c>
      <c r="E624" s="10">
        <f>CHOOSE(CONTROL!$C$42, 17.7495, 17.7495) * CHOOSE(CONTROL!$C$21, $C$9, 100%, $E$9)</f>
        <v>17.749500000000001</v>
      </c>
      <c r="F624" s="10">
        <f>CHOOSE(CONTROL!$C$42, 17.6562, 17.6562)*CHOOSE(CONTROL!$C$21, $C$9, 100%, $E$9)</f>
        <v>17.656199999999998</v>
      </c>
      <c r="G624" s="10">
        <f>CHOOSE(CONTROL!$C$42, 17.6726, 17.6726)*CHOOSE(CONTROL!$C$21, $C$9, 100%, $E$9)</f>
        <v>17.672599999999999</v>
      </c>
      <c r="H624" s="10">
        <f>CHOOSE(CONTROL!$C$42, 17.7384, 17.7384) * CHOOSE(CONTROL!$C$21, $C$9, 100%, $E$9)</f>
        <v>17.738399999999999</v>
      </c>
      <c r="I624" s="10">
        <f>CHOOSE(CONTROL!$C$42, 17.7009, 17.7009)* CHOOSE(CONTROL!$C$21, $C$9, 100%, $E$9)</f>
        <v>17.700900000000001</v>
      </c>
      <c r="J624" s="10">
        <f>CHOOSE(CONTROL!$C$42, 17.6488, 17.6488)* CHOOSE(CONTROL!$C$21, $C$9, 100%, $E$9)</f>
        <v>17.648800000000001</v>
      </c>
      <c r="K624" s="10">
        <f>CHOOSE(CONTROL!$C$42, 17.315, 17.315) * CHOOSE(CONTROL!$C$21, $C$9, 100%, $E$9)</f>
        <v>17.315000000000001</v>
      </c>
      <c r="L624" s="10">
        <f>CHOOSE(CONTROL!$C$42, 18.3254, 18.3254) * CHOOSE(CONTROL!$C$21, $C$9, 100%, $E$9)</f>
        <v>18.325399999999998</v>
      </c>
      <c r="M624" s="10">
        <f>CHOOSE(CONTROL!$C$42, 17.4356, 17.4356) * CHOOSE(CONTROL!$C$21, $C$9, 100%, $E$9)</f>
        <v>17.435600000000001</v>
      </c>
      <c r="N624" s="10">
        <f>CHOOSE(CONTROL!$C$42, 17.4518, 17.4518) * CHOOSE(CONTROL!$C$21, $C$9, 100%, $E$9)</f>
        <v>17.451799999999999</v>
      </c>
      <c r="O624" s="10">
        <f>CHOOSE(CONTROL!$C$42, 17.5239, 17.5239) * CHOOSE(CONTROL!$C$21, $C$9, 100%, $E$9)</f>
        <v>17.523900000000001</v>
      </c>
      <c r="P624" s="10">
        <f>CHOOSE(CONTROL!$C$42, 17.487, 17.487) * CHOOSE(CONTROL!$C$21, $C$9, 100%, $E$9)</f>
        <v>17.486999999999998</v>
      </c>
      <c r="Q624" s="10">
        <f>CHOOSE(CONTROL!$C$42, 18.1192, 18.1192) * CHOOSE(CONTROL!$C$21, $C$9, 100%, $E$9)</f>
        <v>18.119199999999999</v>
      </c>
      <c r="R624" s="10">
        <f>CHOOSE(CONTROL!$C$42, 18.7515, 18.7515) * CHOOSE(CONTROL!$C$21, $C$9, 100%, $E$9)</f>
        <v>18.7515</v>
      </c>
      <c r="S624" s="10">
        <f>CHOOSE(CONTROL!$C$42, 17.1419, 17.1419) * CHOOSE(CONTROL!$C$21, $C$9, 100%, $E$9)</f>
        <v>17.1419</v>
      </c>
      <c r="T62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24" s="38">
        <f>(1000*CHOOSE(CONTROL!$C$42, 695, 695)*CHOOSE(CONTROL!$C$42, 0.5599, 0.5599)*CHOOSE(CONTROL!$C$42, 31, 31))/1000000</f>
        <v>12.063045499999998</v>
      </c>
      <c r="V624" s="38">
        <f>(1000*CHOOSE(CONTROL!$C$42, 500, 500)*CHOOSE(CONTROL!$C$42, 0.275, 0.275)*CHOOSE(CONTROL!$C$42, 31, 31))/1000000</f>
        <v>4.2625000000000002</v>
      </c>
      <c r="W624" s="38">
        <f>(1000*CHOOSE(CONTROL!$C$42, 0.1146, 0.1146)*CHOOSE(CONTROL!$C$42, 121.5, 121.5)*CHOOSE(CONTROL!$C$42, 31, 31))/1000000</f>
        <v>0.43164089999999994</v>
      </c>
      <c r="X624" s="38">
        <f>(31*0.1790888*100000/1000000)+(31*0.2374*100000/1000000)</f>
        <v>1.2911152800000001</v>
      </c>
      <c r="Y624" s="38">
        <f>(1000*600*CHOOSE(CONTROL!$C$42, 1.0585, 1.0585)*CHOOSE(CONTROL!$C$42, 31, 31))/1000000</f>
        <v>19.688099999999999</v>
      </c>
      <c r="Z624" s="38"/>
      <c r="AA624" s="10"/>
      <c r="AB624" s="39"/>
      <c r="AC624" s="33">
        <f>(B624*122.58+C624*297.941+D624*89.177+E624*40.302+F624*40+G624*160+H624*0+I624*100+J624*300)/(122.58+297.941+89.177+40.302+0+40+160+100+300)</f>
        <v>17.680503635565216</v>
      </c>
      <c r="AD624" s="27">
        <f>(M624*'RAP TEMPLATE-GAS AVAILABILITY'!O623+N624*'RAP TEMPLATE-GAS AVAILABILITY'!P623+O624*'RAP TEMPLATE-GAS AVAILABILITY'!Q623+P624*'RAP TEMPLATE-GAS AVAILABILITY'!R623)/('RAP TEMPLATE-GAS AVAILABILITY'!O623+'RAP TEMPLATE-GAS AVAILABILITY'!P623+'RAP TEMPLATE-GAS AVAILABILITY'!Q623+'RAP TEMPLATE-GAS AVAILABILITY'!R623)</f>
        <v>17.483948920863309</v>
      </c>
    </row>
    <row r="625" spans="1:30" ht="15.75">
      <c r="A625" s="13">
        <v>60298</v>
      </c>
      <c r="B625" s="10">
        <f>CHOOSE(CONTROL!$C$42, 18.8807, 18.8807) * CHOOSE(CONTROL!$C$21, $C$9, 100%, $E$9)</f>
        <v>18.880700000000001</v>
      </c>
      <c r="C625" s="10">
        <f>CHOOSE(CONTROL!$C$42, 18.8858, 18.8858) * CHOOSE(CONTROL!$C$21, $C$9, 100%, $E$9)</f>
        <v>18.8858</v>
      </c>
      <c r="D625" s="10">
        <f>CHOOSE(CONTROL!$C$42, 18.9182, 18.9182) * CHOOSE(CONTROL!$C$21, $C$9, 100%, $E$9)</f>
        <v>18.918199999999999</v>
      </c>
      <c r="E625" s="10">
        <f>CHOOSE(CONTROL!$C$42, 18.952, 18.952) * CHOOSE(CONTROL!$C$21, $C$9, 100%, $E$9)</f>
        <v>18.952000000000002</v>
      </c>
      <c r="F625" s="10">
        <f>CHOOSE(CONTROL!$C$42, 18.8649, 18.8649)*CHOOSE(CONTROL!$C$21, $C$9, 100%, $E$9)</f>
        <v>18.864899999999999</v>
      </c>
      <c r="G625" s="10">
        <f>CHOOSE(CONTROL!$C$42, 18.8829, 18.8829)*CHOOSE(CONTROL!$C$21, $C$9, 100%, $E$9)</f>
        <v>18.882899999999999</v>
      </c>
      <c r="H625" s="10">
        <f>CHOOSE(CONTROL!$C$42, 18.9409, 18.9409) * CHOOSE(CONTROL!$C$21, $C$9, 100%, $E$9)</f>
        <v>18.940899999999999</v>
      </c>
      <c r="I625" s="10">
        <f>CHOOSE(CONTROL!$C$42, 18.8941, 18.8941)* CHOOSE(CONTROL!$C$21, $C$9, 100%, $E$9)</f>
        <v>18.894100000000002</v>
      </c>
      <c r="J625" s="10">
        <f>CHOOSE(CONTROL!$C$42, 18.8575, 18.8575)* CHOOSE(CONTROL!$C$21, $C$9, 100%, $E$9)</f>
        <v>18.857500000000002</v>
      </c>
      <c r="K625" s="10">
        <f>CHOOSE(CONTROL!$C$42, 18.485, 18.485) * CHOOSE(CONTROL!$C$21, $C$9, 100%, $E$9)</f>
        <v>18.484999999999999</v>
      </c>
      <c r="L625" s="10">
        <f>CHOOSE(CONTROL!$C$42, 19.5279, 19.5279) * CHOOSE(CONTROL!$C$21, $C$9, 100%, $E$9)</f>
        <v>19.527899999999999</v>
      </c>
      <c r="M625" s="10">
        <f>CHOOSE(CONTROL!$C$42, 18.6274, 18.6274) * CHOOSE(CONTROL!$C$21, $C$9, 100%, $E$9)</f>
        <v>18.627400000000002</v>
      </c>
      <c r="N625" s="10">
        <f>CHOOSE(CONTROL!$C$42, 18.6452, 18.6452) * CHOOSE(CONTROL!$C$21, $C$9, 100%, $E$9)</f>
        <v>18.645199999999999</v>
      </c>
      <c r="O625" s="10">
        <f>CHOOSE(CONTROL!$C$42, 18.7097, 18.7097) * CHOOSE(CONTROL!$C$21, $C$9, 100%, $E$9)</f>
        <v>18.709700000000002</v>
      </c>
      <c r="P625" s="10">
        <f>CHOOSE(CONTROL!$C$42, 18.6636, 18.6636) * CHOOSE(CONTROL!$C$21, $C$9, 100%, $E$9)</f>
        <v>18.663599999999999</v>
      </c>
      <c r="Q625" s="10">
        <f>CHOOSE(CONTROL!$C$42, 19.305, 19.305) * CHOOSE(CONTROL!$C$21, $C$9, 100%, $E$9)</f>
        <v>19.305</v>
      </c>
      <c r="R625" s="10">
        <f>CHOOSE(CONTROL!$C$42, 19.9403, 19.9403) * CHOOSE(CONTROL!$C$21, $C$9, 100%, $E$9)</f>
        <v>19.940300000000001</v>
      </c>
      <c r="S625" s="10">
        <f>CHOOSE(CONTROL!$C$42, 18.2988, 18.2988) * CHOOSE(CONTROL!$C$21, $C$9, 100%, $E$9)</f>
        <v>18.2988</v>
      </c>
      <c r="T62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25" s="38">
        <f>(1000*CHOOSE(CONTROL!$C$42, 695, 695)*CHOOSE(CONTROL!$C$42, 0.5599, 0.5599)*CHOOSE(CONTROL!$C$42, 31, 31))/1000000</f>
        <v>12.063045499999998</v>
      </c>
      <c r="V625" s="38">
        <f>(1000*CHOOSE(CONTROL!$C$42, 500, 500)*CHOOSE(CONTROL!$C$42, 0.275, 0.275)*CHOOSE(CONTROL!$C$42, 31, 31))/1000000</f>
        <v>4.2625000000000002</v>
      </c>
      <c r="W625" s="38">
        <f>(1000*CHOOSE(CONTROL!$C$42, 0.1146, 0.1146)*CHOOSE(CONTROL!$C$42, 121.5, 121.5)*CHOOSE(CONTROL!$C$42, 31, 31))/1000000</f>
        <v>0.43164089999999994</v>
      </c>
      <c r="X625" s="38">
        <f>(31*0.1790888*100000/1000000)+(31*0.2374*100000/1000000)</f>
        <v>1.2911152800000001</v>
      </c>
      <c r="Y625" s="38">
        <f>(1000*600*CHOOSE(CONTROL!$C$42, 1.0585, 1.0585)*CHOOSE(CONTROL!$C$42, 31, 31))/1000000</f>
        <v>19.688099999999999</v>
      </c>
      <c r="Z625" s="38"/>
      <c r="AA625" s="10"/>
      <c r="AB625" s="39"/>
      <c r="AC625" s="33">
        <f>(B625*122.58+C625*297.941+D625*89.177+E625*40.302+F625*40+G625*160+H625*0+I625*100+J625*300)/(122.58+297.941+89.177+40.302+0+40+160+100+300)</f>
        <v>18.882297538434781</v>
      </c>
      <c r="AD625" s="27">
        <f>(M625*'RAP TEMPLATE-GAS AVAILABILITY'!O624+N625*'RAP TEMPLATE-GAS AVAILABILITY'!P624+O625*'RAP TEMPLATE-GAS AVAILABILITY'!Q624+P625*'RAP TEMPLATE-GAS AVAILABILITY'!R624)/('RAP TEMPLATE-GAS AVAILABILITY'!O624+'RAP TEMPLATE-GAS AVAILABILITY'!P624+'RAP TEMPLATE-GAS AVAILABILITY'!Q624+'RAP TEMPLATE-GAS AVAILABILITY'!R624)</f>
        <v>18.670934532374101</v>
      </c>
    </row>
    <row r="626" spans="1:30" ht="15.75">
      <c r="A626" s="13">
        <v>60326</v>
      </c>
      <c r="B626" s="10">
        <f>CHOOSE(CONTROL!$C$42, 19.2171, 19.2171) * CHOOSE(CONTROL!$C$21, $C$9, 100%, $E$9)</f>
        <v>19.217099999999999</v>
      </c>
      <c r="C626" s="10">
        <f>CHOOSE(CONTROL!$C$42, 19.2222, 19.2222) * CHOOSE(CONTROL!$C$21, $C$9, 100%, $E$9)</f>
        <v>19.222200000000001</v>
      </c>
      <c r="D626" s="10">
        <f>CHOOSE(CONTROL!$C$42, 19.2546, 19.2546) * CHOOSE(CONTROL!$C$21, $C$9, 100%, $E$9)</f>
        <v>19.2546</v>
      </c>
      <c r="E626" s="10">
        <f>CHOOSE(CONTROL!$C$42, 19.2884, 19.2884) * CHOOSE(CONTROL!$C$21, $C$9, 100%, $E$9)</f>
        <v>19.288399999999999</v>
      </c>
      <c r="F626" s="10">
        <f>CHOOSE(CONTROL!$C$42, 19.2008, 19.2008)*CHOOSE(CONTROL!$C$21, $C$9, 100%, $E$9)</f>
        <v>19.200800000000001</v>
      </c>
      <c r="G626" s="10">
        <f>CHOOSE(CONTROL!$C$42, 19.2188, 19.2188)*CHOOSE(CONTROL!$C$21, $C$9, 100%, $E$9)</f>
        <v>19.218800000000002</v>
      </c>
      <c r="H626" s="10">
        <f>CHOOSE(CONTROL!$C$42, 19.2773, 19.2773) * CHOOSE(CONTROL!$C$21, $C$9, 100%, $E$9)</f>
        <v>19.2773</v>
      </c>
      <c r="I626" s="10">
        <f>CHOOSE(CONTROL!$C$42, 19.2305, 19.2305)* CHOOSE(CONTROL!$C$21, $C$9, 100%, $E$9)</f>
        <v>19.230499999999999</v>
      </c>
      <c r="J626" s="10">
        <f>CHOOSE(CONTROL!$C$42, 19.1934, 19.1934)* CHOOSE(CONTROL!$C$21, $C$9, 100%, $E$9)</f>
        <v>19.1934</v>
      </c>
      <c r="K626" s="10">
        <f>CHOOSE(CONTROL!$C$42, 18.8099, 18.8099) * CHOOSE(CONTROL!$C$21, $C$9, 100%, $E$9)</f>
        <v>18.809899999999999</v>
      </c>
      <c r="L626" s="10">
        <f>CHOOSE(CONTROL!$C$42, 19.8643, 19.8643) * CHOOSE(CONTROL!$C$21, $C$9, 100%, $E$9)</f>
        <v>19.8643</v>
      </c>
      <c r="M626" s="10">
        <f>CHOOSE(CONTROL!$C$42, 18.9587, 18.9587) * CHOOSE(CONTROL!$C$21, $C$9, 100%, $E$9)</f>
        <v>18.9587</v>
      </c>
      <c r="N626" s="10">
        <f>CHOOSE(CONTROL!$C$42, 18.9764, 18.9764) * CHOOSE(CONTROL!$C$21, $C$9, 100%, $E$9)</f>
        <v>18.976400000000002</v>
      </c>
      <c r="O626" s="10">
        <f>CHOOSE(CONTROL!$C$42, 19.0414, 19.0414) * CHOOSE(CONTROL!$C$21, $C$9, 100%, $E$9)</f>
        <v>19.041399999999999</v>
      </c>
      <c r="P626" s="10">
        <f>CHOOSE(CONTROL!$C$42, 18.9953, 18.9953) * CHOOSE(CONTROL!$C$21, $C$9, 100%, $E$9)</f>
        <v>18.9953</v>
      </c>
      <c r="Q626" s="10">
        <f>CHOOSE(CONTROL!$C$42, 19.6367, 19.6367) * CHOOSE(CONTROL!$C$21, $C$9, 100%, $E$9)</f>
        <v>19.636700000000001</v>
      </c>
      <c r="R626" s="10">
        <f>CHOOSE(CONTROL!$C$42, 20.2728, 20.2728) * CHOOSE(CONTROL!$C$21, $C$9, 100%, $E$9)</f>
        <v>20.2728</v>
      </c>
      <c r="S626" s="10">
        <f>CHOOSE(CONTROL!$C$42, 18.6246, 18.6246) * CHOOSE(CONTROL!$C$21, $C$9, 100%, $E$9)</f>
        <v>18.624600000000001</v>
      </c>
      <c r="T62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26" s="38">
        <f>(1000*CHOOSE(CONTROL!$C$42, 695, 695)*CHOOSE(CONTROL!$C$42, 0.5599, 0.5599)*CHOOSE(CONTROL!$C$42, 28, 28))/1000000</f>
        <v>10.895653999999999</v>
      </c>
      <c r="V626" s="38">
        <f>(1000*CHOOSE(CONTROL!$C$42, 500, 500)*CHOOSE(CONTROL!$C$42, 0.275, 0.275)*CHOOSE(CONTROL!$C$42, 28, 28))/1000000</f>
        <v>3.85</v>
      </c>
      <c r="W626" s="38">
        <f>(1000*CHOOSE(CONTROL!$C$42, 0.1146, 0.1146)*CHOOSE(CONTROL!$C$42, 121.5, 121.5)*CHOOSE(CONTROL!$C$42, 28, 28))/1000000</f>
        <v>0.38986920000000003</v>
      </c>
      <c r="X626" s="38">
        <f>(28*0.1790888*100000/1000000)+(28*0.2374*100000/1000000)</f>
        <v>1.16616864</v>
      </c>
      <c r="Y626" s="38">
        <f>(1000*600*CHOOSE(CONTROL!$C$42, 1.0585, 1.0585)*CHOOSE(CONTROL!$C$42, 28, 28))/1000000</f>
        <v>17.782800000000002</v>
      </c>
      <c r="Z626" s="38"/>
      <c r="AA626" s="10"/>
      <c r="AB626" s="39"/>
      <c r="AC626" s="33">
        <f>(B626*122.58+C626*297.941+D626*89.177+E626*40.302+F626*40+G626*160+H626*0+I626*100+J626*300)/(122.58+297.941+89.177+40.302+0+40+160+100+300)</f>
        <v>19.218480147130432</v>
      </c>
      <c r="AD626" s="27">
        <f>(M626*'RAP TEMPLATE-GAS AVAILABILITY'!O625+N626*'RAP TEMPLATE-GAS AVAILABILITY'!P625+O626*'RAP TEMPLATE-GAS AVAILABILITY'!Q625+P626*'RAP TEMPLATE-GAS AVAILABILITY'!R625)/('RAP TEMPLATE-GAS AVAILABILITY'!O625+'RAP TEMPLATE-GAS AVAILABILITY'!P625+'RAP TEMPLATE-GAS AVAILABILITY'!Q625+'RAP TEMPLATE-GAS AVAILABILITY'!R625)</f>
        <v>19.002467625899282</v>
      </c>
    </row>
    <row r="627" spans="1:30" ht="15.75">
      <c r="A627" s="13">
        <v>60357</v>
      </c>
      <c r="B627" s="10">
        <f>CHOOSE(CONTROL!$C$42, 18.671, 18.671) * CHOOSE(CONTROL!$C$21, $C$9, 100%, $E$9)</f>
        <v>18.670999999999999</v>
      </c>
      <c r="C627" s="10">
        <f>CHOOSE(CONTROL!$C$42, 18.6761, 18.6761) * CHOOSE(CONTROL!$C$21, $C$9, 100%, $E$9)</f>
        <v>18.676100000000002</v>
      </c>
      <c r="D627" s="10">
        <f>CHOOSE(CONTROL!$C$42, 18.7086, 18.7086) * CHOOSE(CONTROL!$C$21, $C$9, 100%, $E$9)</f>
        <v>18.708600000000001</v>
      </c>
      <c r="E627" s="10">
        <f>CHOOSE(CONTROL!$C$42, 18.7424, 18.7424) * CHOOSE(CONTROL!$C$21, $C$9, 100%, $E$9)</f>
        <v>18.7424</v>
      </c>
      <c r="F627" s="10">
        <f>CHOOSE(CONTROL!$C$42, 18.6533, 18.6533)*CHOOSE(CONTROL!$C$21, $C$9, 100%, $E$9)</f>
        <v>18.653300000000002</v>
      </c>
      <c r="G627" s="10">
        <f>CHOOSE(CONTROL!$C$42, 18.6709, 18.6709)*CHOOSE(CONTROL!$C$21, $C$9, 100%, $E$9)</f>
        <v>18.6709</v>
      </c>
      <c r="H627" s="10">
        <f>CHOOSE(CONTROL!$C$42, 18.7313, 18.7313) * CHOOSE(CONTROL!$C$21, $C$9, 100%, $E$9)</f>
        <v>18.731300000000001</v>
      </c>
      <c r="I627" s="10">
        <f>CHOOSE(CONTROL!$C$42, 18.6845, 18.6845)* CHOOSE(CONTROL!$C$21, $C$9, 100%, $E$9)</f>
        <v>18.6845</v>
      </c>
      <c r="J627" s="10">
        <f>CHOOSE(CONTROL!$C$42, 18.6459, 18.6459)* CHOOSE(CONTROL!$C$21, $C$9, 100%, $E$9)</f>
        <v>18.645900000000001</v>
      </c>
      <c r="K627" s="10">
        <f>CHOOSE(CONTROL!$C$42, 18.2777, 18.2777) * CHOOSE(CONTROL!$C$21, $C$9, 100%, $E$9)</f>
        <v>18.277699999999999</v>
      </c>
      <c r="L627" s="10">
        <f>CHOOSE(CONTROL!$C$42, 19.3183, 19.3183) * CHOOSE(CONTROL!$C$21, $C$9, 100%, $E$9)</f>
        <v>19.318300000000001</v>
      </c>
      <c r="M627" s="10">
        <f>CHOOSE(CONTROL!$C$42, 18.4188, 18.4188) * CHOOSE(CONTROL!$C$21, $C$9, 100%, $E$9)</f>
        <v>18.418800000000001</v>
      </c>
      <c r="N627" s="10">
        <f>CHOOSE(CONTROL!$C$42, 18.4361, 18.4361) * CHOOSE(CONTROL!$C$21, $C$9, 100%, $E$9)</f>
        <v>18.4361</v>
      </c>
      <c r="O627" s="10">
        <f>CHOOSE(CONTROL!$C$42, 18.503, 18.503) * CHOOSE(CONTROL!$C$21, $C$9, 100%, $E$9)</f>
        <v>18.503</v>
      </c>
      <c r="P627" s="10">
        <f>CHOOSE(CONTROL!$C$42, 18.4569, 18.4569) * CHOOSE(CONTROL!$C$21, $C$9, 100%, $E$9)</f>
        <v>18.456900000000001</v>
      </c>
      <c r="Q627" s="10">
        <f>CHOOSE(CONTROL!$C$42, 19.0983, 19.0983) * CHOOSE(CONTROL!$C$21, $C$9, 100%, $E$9)</f>
        <v>19.098299999999998</v>
      </c>
      <c r="R627" s="10">
        <f>CHOOSE(CONTROL!$C$42, 19.733, 19.733) * CHOOSE(CONTROL!$C$21, $C$9, 100%, $E$9)</f>
        <v>19.733000000000001</v>
      </c>
      <c r="S627" s="10">
        <f>CHOOSE(CONTROL!$C$42, 18.0958, 18.0958) * CHOOSE(CONTROL!$C$21, $C$9, 100%, $E$9)</f>
        <v>18.095800000000001</v>
      </c>
      <c r="T62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27" s="38">
        <f>(1000*CHOOSE(CONTROL!$C$42, 695, 695)*CHOOSE(CONTROL!$C$42, 0.5599, 0.5599)*CHOOSE(CONTROL!$C$42, 31, 31))/1000000</f>
        <v>12.063045499999998</v>
      </c>
      <c r="V627" s="38">
        <f>(1000*CHOOSE(CONTROL!$C$42, 500, 500)*CHOOSE(CONTROL!$C$42, 0.275, 0.275)*CHOOSE(CONTROL!$C$42, 31, 31))/1000000</f>
        <v>4.2625000000000002</v>
      </c>
      <c r="W627" s="38">
        <f>(1000*CHOOSE(CONTROL!$C$42, 0.1146, 0.1146)*CHOOSE(CONTROL!$C$42, 121.5, 121.5)*CHOOSE(CONTROL!$C$42, 31, 31))/1000000</f>
        <v>0.43164089999999994</v>
      </c>
      <c r="X627" s="38">
        <f>(31*0.1790888*100000/1000000)+(31*0.2374*100000/1000000)</f>
        <v>1.2911152800000001</v>
      </c>
      <c r="Y627" s="38">
        <f>(1000*600*CHOOSE(CONTROL!$C$42, 1.0585, 1.0585)*CHOOSE(CONTROL!$C$42, 31, 31))/1000000</f>
        <v>19.688099999999999</v>
      </c>
      <c r="Z627" s="38"/>
      <c r="AA627" s="10"/>
      <c r="AB627" s="39"/>
      <c r="AC627" s="33">
        <f>(B627*122.58+C627*297.941+D627*89.177+E627*40.302+F627*40+G627*160+H627*0+I627*100+J627*300)/(122.58+297.941+89.177+40.302+0+40+160+100+300)</f>
        <v>18.671735754</v>
      </c>
      <c r="AD627" s="27">
        <f>(M627*'RAP TEMPLATE-GAS AVAILABILITY'!O626+N627*'RAP TEMPLATE-GAS AVAILABILITY'!P626+O627*'RAP TEMPLATE-GAS AVAILABILITY'!Q626+P627*'RAP TEMPLATE-GAS AVAILABILITY'!R626)/('RAP TEMPLATE-GAS AVAILABILITY'!O626+'RAP TEMPLATE-GAS AVAILABILITY'!P626+'RAP TEMPLATE-GAS AVAILABILITY'!Q626+'RAP TEMPLATE-GAS AVAILABILITY'!R626)</f>
        <v>18.463440287769785</v>
      </c>
    </row>
    <row r="628" spans="1:30" ht="15.75">
      <c r="A628" s="13">
        <v>60387</v>
      </c>
      <c r="B628" s="10">
        <f>CHOOSE(CONTROL!$C$42, 18.6159, 18.6159) * CHOOSE(CONTROL!$C$21, $C$9, 100%, $E$9)</f>
        <v>18.6159</v>
      </c>
      <c r="C628" s="10">
        <f>CHOOSE(CONTROL!$C$42, 18.6204, 18.6204) * CHOOSE(CONTROL!$C$21, $C$9, 100%, $E$9)</f>
        <v>18.6204</v>
      </c>
      <c r="D628" s="10">
        <f>CHOOSE(CONTROL!$C$42, 18.7805, 18.7805) * CHOOSE(CONTROL!$C$21, $C$9, 100%, $E$9)</f>
        <v>18.7805</v>
      </c>
      <c r="E628" s="10">
        <f>CHOOSE(CONTROL!$C$42, 18.8124, 18.8124) * CHOOSE(CONTROL!$C$21, $C$9, 100%, $E$9)</f>
        <v>18.8124</v>
      </c>
      <c r="F628" s="10">
        <f>CHOOSE(CONTROL!$C$42, 18.562, 18.562)*CHOOSE(CONTROL!$C$21, $C$9, 100%, $E$9)</f>
        <v>18.562000000000001</v>
      </c>
      <c r="G628" s="10">
        <f>CHOOSE(CONTROL!$C$42, 18.5778, 18.5778)*CHOOSE(CONTROL!$C$21, $C$9, 100%, $E$9)</f>
        <v>18.5778</v>
      </c>
      <c r="H628" s="10">
        <f>CHOOSE(CONTROL!$C$42, 18.8018, 18.8018) * CHOOSE(CONTROL!$C$21, $C$9, 100%, $E$9)</f>
        <v>18.8018</v>
      </c>
      <c r="I628" s="10">
        <f>CHOOSE(CONTROL!$C$42, 18.596, 18.596)* CHOOSE(CONTROL!$C$21, $C$9, 100%, $E$9)</f>
        <v>18.596</v>
      </c>
      <c r="J628" s="10">
        <f>CHOOSE(CONTROL!$C$42, 18.5546, 18.5546)* CHOOSE(CONTROL!$C$21, $C$9, 100%, $E$9)</f>
        <v>18.554600000000001</v>
      </c>
      <c r="K628" s="10">
        <f>CHOOSE(CONTROL!$C$42, 18.176, 18.176) * CHOOSE(CONTROL!$C$21, $C$9, 100%, $E$9)</f>
        <v>18.175999999999998</v>
      </c>
      <c r="L628" s="10">
        <f>CHOOSE(CONTROL!$C$42, 19.3888, 19.3888) * CHOOSE(CONTROL!$C$21, $C$9, 100%, $E$9)</f>
        <v>19.3888</v>
      </c>
      <c r="M628" s="10">
        <f>CHOOSE(CONTROL!$C$42, 18.3287, 18.3287) * CHOOSE(CONTROL!$C$21, $C$9, 100%, $E$9)</f>
        <v>18.328700000000001</v>
      </c>
      <c r="N628" s="10">
        <f>CHOOSE(CONTROL!$C$42, 18.3443, 18.3443) * CHOOSE(CONTROL!$C$21, $C$9, 100%, $E$9)</f>
        <v>18.3443</v>
      </c>
      <c r="O628" s="10">
        <f>CHOOSE(CONTROL!$C$42, 18.5725, 18.5725) * CHOOSE(CONTROL!$C$21, $C$9, 100%, $E$9)</f>
        <v>18.572500000000002</v>
      </c>
      <c r="P628" s="10">
        <f>CHOOSE(CONTROL!$C$42, 18.3696, 18.3696) * CHOOSE(CONTROL!$C$21, $C$9, 100%, $E$9)</f>
        <v>18.369599999999998</v>
      </c>
      <c r="Q628" s="10">
        <f>CHOOSE(CONTROL!$C$42, 19.1678, 19.1678) * CHOOSE(CONTROL!$C$21, $C$9, 100%, $E$9)</f>
        <v>19.1678</v>
      </c>
      <c r="R628" s="10">
        <f>CHOOSE(CONTROL!$C$42, 19.8028, 19.8028) * CHOOSE(CONTROL!$C$21, $C$9, 100%, $E$9)</f>
        <v>19.802800000000001</v>
      </c>
      <c r="S628" s="10">
        <f>CHOOSE(CONTROL!$C$42, 18.0417, 18.0417) * CHOOSE(CONTROL!$C$21, $C$9, 100%, $E$9)</f>
        <v>18.041699999999999</v>
      </c>
      <c r="T62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28" s="38">
        <f>(1000*CHOOSE(CONTROL!$C$42, 695, 695)*CHOOSE(CONTROL!$C$42, 0.5599, 0.5599)*CHOOSE(CONTROL!$C$42, 30, 30))/1000000</f>
        <v>11.673914999999997</v>
      </c>
      <c r="V628" s="38">
        <f>(1000*CHOOSE(CONTROL!$C$42, 500, 500)*CHOOSE(CONTROL!$C$42, 0.275, 0.275)*CHOOSE(CONTROL!$C$42, 30, 30))/1000000</f>
        <v>4.125</v>
      </c>
      <c r="W628" s="38">
        <f>(1000*CHOOSE(CONTROL!$C$42, 0.1146, 0.1146)*CHOOSE(CONTROL!$C$42, 121.5, 121.5)*CHOOSE(CONTROL!$C$42, 30, 30))/1000000</f>
        <v>0.417717</v>
      </c>
      <c r="X628" s="38">
        <f>(30*0.1790888*245000/1000000)+(30*0.2374*100000/1000000)</f>
        <v>2.0285026799999999</v>
      </c>
      <c r="Y628" s="38">
        <f>(1000*600*CHOOSE(CONTROL!$C$42, 1.0585, 1.0585)*CHOOSE(CONTROL!$C$42, 30, 30))/1000000</f>
        <v>19.053000000000001</v>
      </c>
      <c r="Z628" s="38"/>
      <c r="AA628" s="10"/>
      <c r="AB628" s="39"/>
      <c r="AC628" s="33">
        <f>(B628*141.293+C628*267.993+D628*115.016+E628*89.698+F628*40+G628*185+H628*0+I628*100+J628*300)/(141.293+267.993+115.016+89.698+0+40+185+100+300)</f>
        <v>18.622501096933014</v>
      </c>
      <c r="AD628" s="27">
        <f>(M628*'RAP TEMPLATE-GAS AVAILABILITY'!O627+N628*'RAP TEMPLATE-GAS AVAILABILITY'!P627+O628*'RAP TEMPLATE-GAS AVAILABILITY'!Q627+P628*'RAP TEMPLATE-GAS AVAILABILITY'!R627)/('RAP TEMPLATE-GAS AVAILABILITY'!O627+'RAP TEMPLATE-GAS AVAILABILITY'!P627+'RAP TEMPLATE-GAS AVAILABILITY'!Q627+'RAP TEMPLATE-GAS AVAILABILITY'!R627)</f>
        <v>18.445982014388491</v>
      </c>
    </row>
    <row r="629" spans="1:30" ht="15.75">
      <c r="A629" s="13">
        <v>60418</v>
      </c>
      <c r="B629" s="10">
        <f>CHOOSE(CONTROL!$C$42, 18.7821, 18.7821) * CHOOSE(CONTROL!$C$21, $C$9, 100%, $E$9)</f>
        <v>18.7821</v>
      </c>
      <c r="C629" s="10">
        <f>CHOOSE(CONTROL!$C$42, 18.7901, 18.7901) * CHOOSE(CONTROL!$C$21, $C$9, 100%, $E$9)</f>
        <v>18.790099999999999</v>
      </c>
      <c r="D629" s="10">
        <f>CHOOSE(CONTROL!$C$42, 18.9472, 18.9472) * CHOOSE(CONTROL!$C$21, $C$9, 100%, $E$9)</f>
        <v>18.947199999999999</v>
      </c>
      <c r="E629" s="10">
        <f>CHOOSE(CONTROL!$C$42, 18.9784, 18.9784) * CHOOSE(CONTROL!$C$21, $C$9, 100%, $E$9)</f>
        <v>18.978400000000001</v>
      </c>
      <c r="F629" s="10">
        <f>CHOOSE(CONTROL!$C$42, 18.7262, 18.7262)*CHOOSE(CONTROL!$C$21, $C$9, 100%, $E$9)</f>
        <v>18.726199999999999</v>
      </c>
      <c r="G629" s="10">
        <f>CHOOSE(CONTROL!$C$42, 18.7424, 18.7424)*CHOOSE(CONTROL!$C$21, $C$9, 100%, $E$9)</f>
        <v>18.7424</v>
      </c>
      <c r="H629" s="10">
        <f>CHOOSE(CONTROL!$C$42, 18.9667, 18.9667) * CHOOSE(CONTROL!$C$21, $C$9, 100%, $E$9)</f>
        <v>18.966699999999999</v>
      </c>
      <c r="I629" s="10">
        <f>CHOOSE(CONTROL!$C$42, 18.7609, 18.7609)* CHOOSE(CONTROL!$C$21, $C$9, 100%, $E$9)</f>
        <v>18.760899999999999</v>
      </c>
      <c r="J629" s="10">
        <f>CHOOSE(CONTROL!$C$42, 18.7188, 18.7188)* CHOOSE(CONTROL!$C$21, $C$9, 100%, $E$9)</f>
        <v>18.718800000000002</v>
      </c>
      <c r="K629" s="10">
        <f>CHOOSE(CONTROL!$C$42, 18.3345, 18.3345) * CHOOSE(CONTROL!$C$21, $C$9, 100%, $E$9)</f>
        <v>18.334499999999998</v>
      </c>
      <c r="L629" s="10">
        <f>CHOOSE(CONTROL!$C$42, 19.5537, 19.5537) * CHOOSE(CONTROL!$C$21, $C$9, 100%, $E$9)</f>
        <v>19.553699999999999</v>
      </c>
      <c r="M629" s="10">
        <f>CHOOSE(CONTROL!$C$42, 18.4907, 18.4907) * CHOOSE(CONTROL!$C$21, $C$9, 100%, $E$9)</f>
        <v>18.4907</v>
      </c>
      <c r="N629" s="10">
        <f>CHOOSE(CONTROL!$C$42, 18.5066, 18.5066) * CHOOSE(CONTROL!$C$21, $C$9, 100%, $E$9)</f>
        <v>18.506599999999999</v>
      </c>
      <c r="O629" s="10">
        <f>CHOOSE(CONTROL!$C$42, 18.7351, 18.7351) * CHOOSE(CONTROL!$C$21, $C$9, 100%, $E$9)</f>
        <v>18.735099999999999</v>
      </c>
      <c r="P629" s="10">
        <f>CHOOSE(CONTROL!$C$42, 18.5322, 18.5322) * CHOOSE(CONTROL!$C$21, $C$9, 100%, $E$9)</f>
        <v>18.5322</v>
      </c>
      <c r="Q629" s="10">
        <f>CHOOSE(CONTROL!$C$42, 19.3304, 19.3304) * CHOOSE(CONTROL!$C$21, $C$9, 100%, $E$9)</f>
        <v>19.330400000000001</v>
      </c>
      <c r="R629" s="10">
        <f>CHOOSE(CONTROL!$C$42, 19.9658, 19.9658) * CHOOSE(CONTROL!$C$21, $C$9, 100%, $E$9)</f>
        <v>19.965800000000002</v>
      </c>
      <c r="S629" s="10">
        <f>CHOOSE(CONTROL!$C$42, 18.2013, 18.2013) * CHOOSE(CONTROL!$C$21, $C$9, 100%, $E$9)</f>
        <v>18.2013</v>
      </c>
      <c r="T62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29" s="38">
        <f>(1000*CHOOSE(CONTROL!$C$42, 695, 695)*CHOOSE(CONTROL!$C$42, 0.5599, 0.5599)*CHOOSE(CONTROL!$C$42, 31, 31))/1000000</f>
        <v>12.063045499999998</v>
      </c>
      <c r="V629" s="38">
        <f>(1000*CHOOSE(CONTROL!$C$42, 500, 500)*CHOOSE(CONTROL!$C$42, 0.275, 0.275)*CHOOSE(CONTROL!$C$42, 31, 31))/1000000</f>
        <v>4.2625000000000002</v>
      </c>
      <c r="W629" s="38">
        <f>(1000*CHOOSE(CONTROL!$C$42, 0.1146, 0.1146)*CHOOSE(CONTROL!$C$42, 121.5, 121.5)*CHOOSE(CONTROL!$C$42, 31, 31))/1000000</f>
        <v>0.43164089999999994</v>
      </c>
      <c r="X629" s="38">
        <f>(31*0.1790888*245000/1000000)+(31*0.2374*100000/1000000)</f>
        <v>2.0961194359999999</v>
      </c>
      <c r="Y629" s="38">
        <f>(1000*600*CHOOSE(CONTROL!$C$42, 1.0585, 1.0585)*CHOOSE(CONTROL!$C$42, 31, 31))/1000000</f>
        <v>19.688099999999999</v>
      </c>
      <c r="Z629" s="38"/>
      <c r="AA629" s="10"/>
      <c r="AB629" s="39"/>
      <c r="AC629" s="33">
        <f>(B629*194.205+C629*267.466+D629*133.845+E629*53.484+F629*40+G629*185+H629*0+I629*100+J629*300)/(194.205+267.466+133.845+53.484+0+40+185+100+300)</f>
        <v>18.785275782339088</v>
      </c>
      <c r="AD629" s="27">
        <f>(M629*'RAP TEMPLATE-GAS AVAILABILITY'!O628+N629*'RAP TEMPLATE-GAS AVAILABILITY'!P628+O629*'RAP TEMPLATE-GAS AVAILABILITY'!Q628+P629*'RAP TEMPLATE-GAS AVAILABILITY'!R628)/('RAP TEMPLATE-GAS AVAILABILITY'!O628+'RAP TEMPLATE-GAS AVAILABILITY'!P628+'RAP TEMPLATE-GAS AVAILABILITY'!Q628+'RAP TEMPLATE-GAS AVAILABILITY'!R628)</f>
        <v>18.608357553956832</v>
      </c>
    </row>
    <row r="630" spans="1:30" ht="15.75">
      <c r="A630" s="13">
        <v>60448</v>
      </c>
      <c r="B630" s="10">
        <f>CHOOSE(CONTROL!$C$42, 19.3153, 19.3153) * CHOOSE(CONTROL!$C$21, $C$9, 100%, $E$9)</f>
        <v>19.315300000000001</v>
      </c>
      <c r="C630" s="10">
        <f>CHOOSE(CONTROL!$C$42, 19.3233, 19.3233) * CHOOSE(CONTROL!$C$21, $C$9, 100%, $E$9)</f>
        <v>19.3233</v>
      </c>
      <c r="D630" s="10">
        <f>CHOOSE(CONTROL!$C$42, 19.4803, 19.4803) * CHOOSE(CONTROL!$C$21, $C$9, 100%, $E$9)</f>
        <v>19.4803</v>
      </c>
      <c r="E630" s="10">
        <f>CHOOSE(CONTROL!$C$42, 19.5116, 19.5116) * CHOOSE(CONTROL!$C$21, $C$9, 100%, $E$9)</f>
        <v>19.511600000000001</v>
      </c>
      <c r="F630" s="10">
        <f>CHOOSE(CONTROL!$C$42, 19.2596, 19.2596)*CHOOSE(CONTROL!$C$21, $C$9, 100%, $E$9)</f>
        <v>19.259599999999999</v>
      </c>
      <c r="G630" s="10">
        <f>CHOOSE(CONTROL!$C$42, 19.2758, 19.2758)*CHOOSE(CONTROL!$C$21, $C$9, 100%, $E$9)</f>
        <v>19.2758</v>
      </c>
      <c r="H630" s="10">
        <f>CHOOSE(CONTROL!$C$42, 19.4999, 19.4999) * CHOOSE(CONTROL!$C$21, $C$9, 100%, $E$9)</f>
        <v>19.4999</v>
      </c>
      <c r="I630" s="10">
        <f>CHOOSE(CONTROL!$C$42, 19.2941, 19.2941)* CHOOSE(CONTROL!$C$21, $C$9, 100%, $E$9)</f>
        <v>19.2941</v>
      </c>
      <c r="J630" s="10">
        <f>CHOOSE(CONTROL!$C$42, 19.2522, 19.2522)* CHOOSE(CONTROL!$C$21, $C$9, 100%, $E$9)</f>
        <v>19.252199999999998</v>
      </c>
      <c r="K630" s="10">
        <f>CHOOSE(CONTROL!$C$42, 18.8514, 18.8514) * CHOOSE(CONTROL!$C$21, $C$9, 100%, $E$9)</f>
        <v>18.851400000000002</v>
      </c>
      <c r="L630" s="10">
        <f>CHOOSE(CONTROL!$C$42, 20.0869, 20.0869) * CHOOSE(CONTROL!$C$21, $C$9, 100%, $E$9)</f>
        <v>20.0869</v>
      </c>
      <c r="M630" s="10">
        <f>CHOOSE(CONTROL!$C$42, 19.0166, 19.0166) * CHOOSE(CONTROL!$C$21, $C$9, 100%, $E$9)</f>
        <v>19.0166</v>
      </c>
      <c r="N630" s="10">
        <f>CHOOSE(CONTROL!$C$42, 19.0326, 19.0326) * CHOOSE(CONTROL!$C$21, $C$9, 100%, $E$9)</f>
        <v>19.032599999999999</v>
      </c>
      <c r="O630" s="10">
        <f>CHOOSE(CONTROL!$C$42, 19.2609, 19.2609) * CHOOSE(CONTROL!$C$21, $C$9, 100%, $E$9)</f>
        <v>19.260899999999999</v>
      </c>
      <c r="P630" s="10">
        <f>CHOOSE(CONTROL!$C$42, 19.058, 19.058) * CHOOSE(CONTROL!$C$21, $C$9, 100%, $E$9)</f>
        <v>19.058</v>
      </c>
      <c r="Q630" s="10">
        <f>CHOOSE(CONTROL!$C$42, 19.8562, 19.8562) * CHOOSE(CONTROL!$C$21, $C$9, 100%, $E$9)</f>
        <v>19.856200000000001</v>
      </c>
      <c r="R630" s="10">
        <f>CHOOSE(CONTROL!$C$42, 20.4928, 20.4928) * CHOOSE(CONTROL!$C$21, $C$9, 100%, $E$9)</f>
        <v>20.492799999999999</v>
      </c>
      <c r="S630" s="10">
        <f>CHOOSE(CONTROL!$C$42, 18.7176, 18.7176) * CHOOSE(CONTROL!$C$21, $C$9, 100%, $E$9)</f>
        <v>18.717600000000001</v>
      </c>
      <c r="T63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30" s="38">
        <f>(1000*CHOOSE(CONTROL!$C$42, 695, 695)*CHOOSE(CONTROL!$C$42, 0.5599, 0.5599)*CHOOSE(CONTROL!$C$42, 30, 30))/1000000</f>
        <v>11.673914999999997</v>
      </c>
      <c r="V630" s="38">
        <f>(1000*CHOOSE(CONTROL!$C$42, 500, 500)*CHOOSE(CONTROL!$C$42, 0.275, 0.275)*CHOOSE(CONTROL!$C$42, 30, 30))/1000000</f>
        <v>4.125</v>
      </c>
      <c r="W630" s="38">
        <f>(1000*CHOOSE(CONTROL!$C$42, 0.1146, 0.1146)*CHOOSE(CONTROL!$C$42, 121.5, 121.5)*CHOOSE(CONTROL!$C$42, 30, 30))/1000000</f>
        <v>0.417717</v>
      </c>
      <c r="X630" s="38">
        <f>(30*0.1790888*245000/1000000)+(30*0.2374*100000/1000000)</f>
        <v>2.0285026799999999</v>
      </c>
      <c r="Y630" s="38">
        <f>(1000*600*CHOOSE(CONTROL!$C$42, 1.0585, 1.0585)*CHOOSE(CONTROL!$C$42, 30, 30))/1000000</f>
        <v>19.053000000000001</v>
      </c>
      <c r="Z630" s="38"/>
      <c r="AA630" s="10"/>
      <c r="AB630" s="39"/>
      <c r="AC630" s="33">
        <f>(B630*194.205+C630*267.466+D630*133.845+E630*53.484+F630*40+G630*185+H630*0+I630*100+J630*300)/(194.205+267.466+133.845+53.484+0+40+185+100+300)</f>
        <v>19.318547694034539</v>
      </c>
      <c r="AD630" s="27">
        <f>(M630*'RAP TEMPLATE-GAS AVAILABILITY'!O629+N630*'RAP TEMPLATE-GAS AVAILABILITY'!P629+O630*'RAP TEMPLATE-GAS AVAILABILITY'!Q629+P630*'RAP TEMPLATE-GAS AVAILABILITY'!R629)/('RAP TEMPLATE-GAS AVAILABILITY'!O629+'RAP TEMPLATE-GAS AVAILABILITY'!P629+'RAP TEMPLATE-GAS AVAILABILITY'!Q629+'RAP TEMPLATE-GAS AVAILABILITY'!R629)</f>
        <v>19.134203597122301</v>
      </c>
    </row>
    <row r="631" spans="1:30" ht="15.75">
      <c r="A631" s="13">
        <v>60479</v>
      </c>
      <c r="B631" s="10">
        <f>CHOOSE(CONTROL!$C$42, 18.9445, 18.9445) * CHOOSE(CONTROL!$C$21, $C$9, 100%, $E$9)</f>
        <v>18.944500000000001</v>
      </c>
      <c r="C631" s="10">
        <f>CHOOSE(CONTROL!$C$42, 18.9525, 18.9525) * CHOOSE(CONTROL!$C$21, $C$9, 100%, $E$9)</f>
        <v>18.952500000000001</v>
      </c>
      <c r="D631" s="10">
        <f>CHOOSE(CONTROL!$C$42, 19.1095, 19.1095) * CHOOSE(CONTROL!$C$21, $C$9, 100%, $E$9)</f>
        <v>19.109500000000001</v>
      </c>
      <c r="E631" s="10">
        <f>CHOOSE(CONTROL!$C$42, 19.1407, 19.1407) * CHOOSE(CONTROL!$C$21, $C$9, 100%, $E$9)</f>
        <v>19.140699999999999</v>
      </c>
      <c r="F631" s="10">
        <f>CHOOSE(CONTROL!$C$42, 18.8891, 18.8891)*CHOOSE(CONTROL!$C$21, $C$9, 100%, $E$9)</f>
        <v>18.889099999999999</v>
      </c>
      <c r="G631" s="10">
        <f>CHOOSE(CONTROL!$C$42, 18.9054, 18.9054)*CHOOSE(CONTROL!$C$21, $C$9, 100%, $E$9)</f>
        <v>18.9054</v>
      </c>
      <c r="H631" s="10">
        <f>CHOOSE(CONTROL!$C$42, 19.1291, 19.1291) * CHOOSE(CONTROL!$C$21, $C$9, 100%, $E$9)</f>
        <v>19.129100000000001</v>
      </c>
      <c r="I631" s="10">
        <f>CHOOSE(CONTROL!$C$42, 18.9232, 18.9232)* CHOOSE(CONTROL!$C$21, $C$9, 100%, $E$9)</f>
        <v>18.923200000000001</v>
      </c>
      <c r="J631" s="10">
        <f>CHOOSE(CONTROL!$C$42, 18.8817, 18.8817)* CHOOSE(CONTROL!$C$21, $C$9, 100%, $E$9)</f>
        <v>18.881699999999999</v>
      </c>
      <c r="K631" s="10">
        <f>CHOOSE(CONTROL!$C$42, 18.4928, 18.4928) * CHOOSE(CONTROL!$C$21, $C$9, 100%, $E$9)</f>
        <v>18.492799999999999</v>
      </c>
      <c r="L631" s="10">
        <f>CHOOSE(CONTROL!$C$42, 19.7161, 19.7161) * CHOOSE(CONTROL!$C$21, $C$9, 100%, $E$9)</f>
        <v>19.716100000000001</v>
      </c>
      <c r="M631" s="10">
        <f>CHOOSE(CONTROL!$C$42, 18.6513, 18.6513) * CHOOSE(CONTROL!$C$21, $C$9, 100%, $E$9)</f>
        <v>18.651299999999999</v>
      </c>
      <c r="N631" s="10">
        <f>CHOOSE(CONTROL!$C$42, 18.6673, 18.6673) * CHOOSE(CONTROL!$C$21, $C$9, 100%, $E$9)</f>
        <v>18.667300000000001</v>
      </c>
      <c r="O631" s="10">
        <f>CHOOSE(CONTROL!$C$42, 18.8952, 18.8952) * CHOOSE(CONTROL!$C$21, $C$9, 100%, $E$9)</f>
        <v>18.895199999999999</v>
      </c>
      <c r="P631" s="10">
        <f>CHOOSE(CONTROL!$C$42, 18.6923, 18.6923) * CHOOSE(CONTROL!$C$21, $C$9, 100%, $E$9)</f>
        <v>18.692299999999999</v>
      </c>
      <c r="Q631" s="10">
        <f>CHOOSE(CONTROL!$C$42, 19.4905, 19.4905) * CHOOSE(CONTROL!$C$21, $C$9, 100%, $E$9)</f>
        <v>19.490500000000001</v>
      </c>
      <c r="R631" s="10">
        <f>CHOOSE(CONTROL!$C$42, 20.1262, 20.1262) * CHOOSE(CONTROL!$C$21, $C$9, 100%, $E$9)</f>
        <v>20.126200000000001</v>
      </c>
      <c r="S631" s="10">
        <f>CHOOSE(CONTROL!$C$42, 18.3585, 18.3585) * CHOOSE(CONTROL!$C$21, $C$9, 100%, $E$9)</f>
        <v>18.358499999999999</v>
      </c>
      <c r="T63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31" s="38">
        <f>(1000*CHOOSE(CONTROL!$C$42, 695, 695)*CHOOSE(CONTROL!$C$42, 0.5599, 0.5599)*CHOOSE(CONTROL!$C$42, 31, 31))/1000000</f>
        <v>12.063045499999998</v>
      </c>
      <c r="V631" s="38">
        <f>(1000*CHOOSE(CONTROL!$C$42, 500, 500)*CHOOSE(CONTROL!$C$42, 0.275, 0.275)*CHOOSE(CONTROL!$C$42, 31, 31))/1000000</f>
        <v>4.2625000000000002</v>
      </c>
      <c r="W631" s="38">
        <f>(1000*CHOOSE(CONTROL!$C$42, 0.1146, 0.1146)*CHOOSE(CONTROL!$C$42, 121.5, 121.5)*CHOOSE(CONTROL!$C$42, 31, 31))/1000000</f>
        <v>0.43164089999999994</v>
      </c>
      <c r="X631" s="38">
        <f>(31*0.1790888*245000/1000000)+(31*0.2374*100000/1000000)</f>
        <v>2.0961194359999999</v>
      </c>
      <c r="Y631" s="38">
        <f>(1000*600*CHOOSE(CONTROL!$C$42, 1.0585, 1.0585)*CHOOSE(CONTROL!$C$42, 31, 31))/1000000</f>
        <v>19.688099999999999</v>
      </c>
      <c r="Z631" s="38"/>
      <c r="AA631" s="10"/>
      <c r="AB631" s="39"/>
      <c r="AC631" s="33">
        <f>(B631*194.205+C631*267.466+D631*133.845+E631*53.484+F631*40+G631*185+H631*0+I631*100+J631*300)/(194.205+267.466+133.845+53.484+0+40+185+100+300)</f>
        <v>18.947873794191523</v>
      </c>
      <c r="AD631" s="27">
        <f>(M631*'RAP TEMPLATE-GAS AVAILABILITY'!O630+N631*'RAP TEMPLATE-GAS AVAILABILITY'!P630+O631*'RAP TEMPLATE-GAS AVAILABILITY'!Q630+P631*'RAP TEMPLATE-GAS AVAILABILITY'!R630)/('RAP TEMPLATE-GAS AVAILABILITY'!O630+'RAP TEMPLATE-GAS AVAILABILITY'!P630+'RAP TEMPLATE-GAS AVAILABILITY'!Q630+'RAP TEMPLATE-GAS AVAILABILITY'!R630)</f>
        <v>18.768664748201434</v>
      </c>
    </row>
    <row r="632" spans="1:30" ht="15.75">
      <c r="A632" s="13">
        <v>60510</v>
      </c>
      <c r="B632" s="10">
        <f>CHOOSE(CONTROL!$C$42, 18.008, 18.008) * CHOOSE(CONTROL!$C$21, $C$9, 100%, $E$9)</f>
        <v>18.007999999999999</v>
      </c>
      <c r="C632" s="10">
        <f>CHOOSE(CONTROL!$C$42, 18.016, 18.016) * CHOOSE(CONTROL!$C$21, $C$9, 100%, $E$9)</f>
        <v>18.015999999999998</v>
      </c>
      <c r="D632" s="10">
        <f>CHOOSE(CONTROL!$C$42, 18.1731, 18.1731) * CHOOSE(CONTROL!$C$21, $C$9, 100%, $E$9)</f>
        <v>18.173100000000002</v>
      </c>
      <c r="E632" s="10">
        <f>CHOOSE(CONTROL!$C$42, 18.2043, 18.2043) * CHOOSE(CONTROL!$C$21, $C$9, 100%, $E$9)</f>
        <v>18.2043</v>
      </c>
      <c r="F632" s="10">
        <f>CHOOSE(CONTROL!$C$42, 17.9526, 17.9526)*CHOOSE(CONTROL!$C$21, $C$9, 100%, $E$9)</f>
        <v>17.9526</v>
      </c>
      <c r="G632" s="10">
        <f>CHOOSE(CONTROL!$C$42, 17.9688, 17.9688)*CHOOSE(CONTROL!$C$21, $C$9, 100%, $E$9)</f>
        <v>17.968800000000002</v>
      </c>
      <c r="H632" s="10">
        <f>CHOOSE(CONTROL!$C$42, 18.1926, 18.1926) * CHOOSE(CONTROL!$C$21, $C$9, 100%, $E$9)</f>
        <v>18.192599999999999</v>
      </c>
      <c r="I632" s="10">
        <f>CHOOSE(CONTROL!$C$42, 17.9868, 17.9868)* CHOOSE(CONTROL!$C$21, $C$9, 100%, $E$9)</f>
        <v>17.986799999999999</v>
      </c>
      <c r="J632" s="10">
        <f>CHOOSE(CONTROL!$C$42, 17.9452, 17.9452)* CHOOSE(CONTROL!$C$21, $C$9, 100%, $E$9)</f>
        <v>17.9452</v>
      </c>
      <c r="K632" s="10">
        <f>CHOOSE(CONTROL!$C$42, 17.5855, 17.5855) * CHOOSE(CONTROL!$C$21, $C$9, 100%, $E$9)</f>
        <v>17.5855</v>
      </c>
      <c r="L632" s="10">
        <f>CHOOSE(CONTROL!$C$42, 18.7796, 18.7796) * CHOOSE(CONTROL!$C$21, $C$9, 100%, $E$9)</f>
        <v>18.779599999999999</v>
      </c>
      <c r="M632" s="10">
        <f>CHOOSE(CONTROL!$C$42, 17.7279, 17.7279) * CHOOSE(CONTROL!$C$21, $C$9, 100%, $E$9)</f>
        <v>17.727900000000002</v>
      </c>
      <c r="N632" s="10">
        <f>CHOOSE(CONTROL!$C$42, 17.7439, 17.7439) * CHOOSE(CONTROL!$C$21, $C$9, 100%, $E$9)</f>
        <v>17.7439</v>
      </c>
      <c r="O632" s="10">
        <f>CHOOSE(CONTROL!$C$42, 17.9718, 17.9718) * CHOOSE(CONTROL!$C$21, $C$9, 100%, $E$9)</f>
        <v>17.971800000000002</v>
      </c>
      <c r="P632" s="10">
        <f>CHOOSE(CONTROL!$C$42, 17.7689, 17.7689) * CHOOSE(CONTROL!$C$21, $C$9, 100%, $E$9)</f>
        <v>17.768899999999999</v>
      </c>
      <c r="Q632" s="10">
        <f>CHOOSE(CONTROL!$C$42, 18.5671, 18.5671) * CHOOSE(CONTROL!$C$21, $C$9, 100%, $E$9)</f>
        <v>18.5671</v>
      </c>
      <c r="R632" s="10">
        <f>CHOOSE(CONTROL!$C$42, 19.2006, 19.2006) * CHOOSE(CONTROL!$C$21, $C$9, 100%, $E$9)</f>
        <v>19.200600000000001</v>
      </c>
      <c r="S632" s="10">
        <f>CHOOSE(CONTROL!$C$42, 17.4518, 17.4518) * CHOOSE(CONTROL!$C$21, $C$9, 100%, $E$9)</f>
        <v>17.451799999999999</v>
      </c>
      <c r="T63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32" s="38">
        <f>(1000*CHOOSE(CONTROL!$C$42, 695, 695)*CHOOSE(CONTROL!$C$42, 0.5599, 0.5599)*CHOOSE(CONTROL!$C$42, 31, 31))/1000000</f>
        <v>12.063045499999998</v>
      </c>
      <c r="V632" s="38">
        <f>(1000*CHOOSE(CONTROL!$C$42, 500, 500)*CHOOSE(CONTROL!$C$42, 0.275, 0.275)*CHOOSE(CONTROL!$C$42, 31, 31))/1000000</f>
        <v>4.2625000000000002</v>
      </c>
      <c r="W632" s="38">
        <f>(1000*CHOOSE(CONTROL!$C$42, 0.1146, 0.1146)*CHOOSE(CONTROL!$C$42, 121.5, 121.5)*CHOOSE(CONTROL!$C$42, 31, 31))/1000000</f>
        <v>0.43164089999999994</v>
      </c>
      <c r="X632" s="38">
        <f>(31*0.1790888*245000/1000000)+(31*0.2374*100000/1000000)</f>
        <v>2.0961194359999999</v>
      </c>
      <c r="Y632" s="38">
        <f>(1000*600*CHOOSE(CONTROL!$C$42, 1.0585, 1.0585)*CHOOSE(CONTROL!$C$42, 31, 31))/1000000</f>
        <v>19.688099999999999</v>
      </c>
      <c r="Z632" s="38"/>
      <c r="AA632" s="10"/>
      <c r="AB632" s="39"/>
      <c r="AC632" s="33">
        <f>(B632*194.205+C632*267.466+D632*133.845+E632*53.484+F632*40+G632*185+H632*0+I632*100+J632*300)/(194.205+267.466+133.845+53.484+0+40+185+100+300)</f>
        <v>18.011381826295132</v>
      </c>
      <c r="AD632" s="27">
        <f>(M632*'RAP TEMPLATE-GAS AVAILABILITY'!O631+N632*'RAP TEMPLATE-GAS AVAILABILITY'!P631+O632*'RAP TEMPLATE-GAS AVAILABILITY'!Q631+P632*'RAP TEMPLATE-GAS AVAILABILITY'!R631)/('RAP TEMPLATE-GAS AVAILABILITY'!O631+'RAP TEMPLATE-GAS AVAILABILITY'!P631+'RAP TEMPLATE-GAS AVAILABILITY'!Q631+'RAP TEMPLATE-GAS AVAILABILITY'!R631)</f>
        <v>17.845264748201441</v>
      </c>
    </row>
    <row r="633" spans="1:30" ht="15.75">
      <c r="A633" s="13">
        <v>60540</v>
      </c>
      <c r="B633" s="10">
        <f>CHOOSE(CONTROL!$C$42, 16.8639, 16.8639) * CHOOSE(CONTROL!$C$21, $C$9, 100%, $E$9)</f>
        <v>16.863900000000001</v>
      </c>
      <c r="C633" s="10">
        <f>CHOOSE(CONTROL!$C$42, 16.8719, 16.8719) * CHOOSE(CONTROL!$C$21, $C$9, 100%, $E$9)</f>
        <v>16.8719</v>
      </c>
      <c r="D633" s="10">
        <f>CHOOSE(CONTROL!$C$42, 17.0289, 17.0289) * CHOOSE(CONTROL!$C$21, $C$9, 100%, $E$9)</f>
        <v>17.0289</v>
      </c>
      <c r="E633" s="10">
        <f>CHOOSE(CONTROL!$C$42, 17.0601, 17.0601) * CHOOSE(CONTROL!$C$21, $C$9, 100%, $E$9)</f>
        <v>17.060099999999998</v>
      </c>
      <c r="F633" s="10">
        <f>CHOOSE(CONTROL!$C$42, 16.8082, 16.8082)*CHOOSE(CONTROL!$C$21, $C$9, 100%, $E$9)</f>
        <v>16.808199999999999</v>
      </c>
      <c r="G633" s="10">
        <f>CHOOSE(CONTROL!$C$42, 16.8244, 16.8244)*CHOOSE(CONTROL!$C$21, $C$9, 100%, $E$9)</f>
        <v>16.824400000000001</v>
      </c>
      <c r="H633" s="10">
        <f>CHOOSE(CONTROL!$C$42, 17.0485, 17.0485) * CHOOSE(CONTROL!$C$21, $C$9, 100%, $E$9)</f>
        <v>17.048500000000001</v>
      </c>
      <c r="I633" s="10">
        <f>CHOOSE(CONTROL!$C$42, 16.8426, 16.8426)* CHOOSE(CONTROL!$C$21, $C$9, 100%, $E$9)</f>
        <v>16.842600000000001</v>
      </c>
      <c r="J633" s="10">
        <f>CHOOSE(CONTROL!$C$42, 16.8008, 16.8008)* CHOOSE(CONTROL!$C$21, $C$9, 100%, $E$9)</f>
        <v>16.800799999999999</v>
      </c>
      <c r="K633" s="10">
        <f>CHOOSE(CONTROL!$C$42, 16.4766, 16.4766) * CHOOSE(CONTROL!$C$21, $C$9, 100%, $E$9)</f>
        <v>16.476600000000001</v>
      </c>
      <c r="L633" s="10">
        <f>CHOOSE(CONTROL!$C$42, 17.6355, 17.6355) * CHOOSE(CONTROL!$C$21, $C$9, 100%, $E$9)</f>
        <v>17.6355</v>
      </c>
      <c r="M633" s="10">
        <f>CHOOSE(CONTROL!$C$42, 16.5995, 16.5995) * CHOOSE(CONTROL!$C$21, $C$9, 100%, $E$9)</f>
        <v>16.599499999999999</v>
      </c>
      <c r="N633" s="10">
        <f>CHOOSE(CONTROL!$C$42, 16.6154, 16.6154) * CHOOSE(CONTROL!$C$21, $C$9, 100%, $E$9)</f>
        <v>16.615400000000001</v>
      </c>
      <c r="O633" s="10">
        <f>CHOOSE(CONTROL!$C$42, 16.8436, 16.8436) * CHOOSE(CONTROL!$C$21, $C$9, 100%, $E$9)</f>
        <v>16.843599999999999</v>
      </c>
      <c r="P633" s="10">
        <f>CHOOSE(CONTROL!$C$42, 16.6408, 16.6408) * CHOOSE(CONTROL!$C$21, $C$9, 100%, $E$9)</f>
        <v>16.640799999999999</v>
      </c>
      <c r="Q633" s="10">
        <f>CHOOSE(CONTROL!$C$42, 17.4389, 17.4389) * CHOOSE(CONTROL!$C$21, $C$9, 100%, $E$9)</f>
        <v>17.4389</v>
      </c>
      <c r="R633" s="10">
        <f>CHOOSE(CONTROL!$C$42, 18.0695, 18.0695) * CHOOSE(CONTROL!$C$21, $C$9, 100%, $E$9)</f>
        <v>18.069500000000001</v>
      </c>
      <c r="S633" s="10">
        <f>CHOOSE(CONTROL!$C$42, 16.3439, 16.3439) * CHOOSE(CONTROL!$C$21, $C$9, 100%, $E$9)</f>
        <v>16.343900000000001</v>
      </c>
      <c r="T63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33" s="38">
        <f>(1000*CHOOSE(CONTROL!$C$42, 695, 695)*CHOOSE(CONTROL!$C$42, 0.5599, 0.5599)*CHOOSE(CONTROL!$C$42, 30, 30))/1000000</f>
        <v>11.673914999999997</v>
      </c>
      <c r="V633" s="38">
        <f>(1000*CHOOSE(CONTROL!$C$42, 500, 500)*CHOOSE(CONTROL!$C$42, 0.275, 0.275)*CHOOSE(CONTROL!$C$42, 30, 30))/1000000</f>
        <v>4.125</v>
      </c>
      <c r="W633" s="38">
        <f>(1000*CHOOSE(CONTROL!$C$42, 0.1146, 0.1146)*CHOOSE(CONTROL!$C$42, 121.5, 121.5)*CHOOSE(CONTROL!$C$42, 30, 30))/1000000</f>
        <v>0.417717</v>
      </c>
      <c r="X633" s="38">
        <f>(30*0.1790888*245000/1000000)+(30*0.2374*100000/1000000)</f>
        <v>2.0285026799999999</v>
      </c>
      <c r="Y633" s="38">
        <f>(1000*600*CHOOSE(CONTROL!$C$42, 1.0585, 1.0585)*CHOOSE(CONTROL!$C$42, 30, 30))/1000000</f>
        <v>19.053000000000001</v>
      </c>
      <c r="Z633" s="38"/>
      <c r="AA633" s="10"/>
      <c r="AB633" s="39"/>
      <c r="AC633" s="33">
        <f>(B633*194.205+C633*267.466+D633*133.845+E633*53.484+F633*40+G633*185+H633*0+I633*100+J633*300)/(194.205+267.466+133.845+53.484+0+40+185+100+300)</f>
        <v>16.867135646624803</v>
      </c>
      <c r="AD633" s="27">
        <f>(M633*'RAP TEMPLATE-GAS AVAILABILITY'!O632+N633*'RAP TEMPLATE-GAS AVAILABILITY'!P632+O633*'RAP TEMPLATE-GAS AVAILABILITY'!Q632+P633*'RAP TEMPLATE-GAS AVAILABILITY'!R632)/('RAP TEMPLATE-GAS AVAILABILITY'!O632+'RAP TEMPLATE-GAS AVAILABILITY'!P632+'RAP TEMPLATE-GAS AVAILABILITY'!Q632+'RAP TEMPLATE-GAS AVAILABILITY'!R632)</f>
        <v>16.716992805755396</v>
      </c>
    </row>
    <row r="634" spans="1:30" ht="15.75">
      <c r="A634" s="13">
        <v>60571</v>
      </c>
      <c r="B634" s="10">
        <f>CHOOSE(CONTROL!$C$42, 16.519, 16.519) * CHOOSE(CONTROL!$C$21, $C$9, 100%, $E$9)</f>
        <v>16.518999999999998</v>
      </c>
      <c r="C634" s="10">
        <f>CHOOSE(CONTROL!$C$42, 16.5244, 16.5244) * CHOOSE(CONTROL!$C$21, $C$9, 100%, $E$9)</f>
        <v>16.5244</v>
      </c>
      <c r="D634" s="10">
        <f>CHOOSE(CONTROL!$C$42, 16.6863, 16.6863) * CHOOSE(CONTROL!$C$21, $C$9, 100%, $E$9)</f>
        <v>16.686299999999999</v>
      </c>
      <c r="E634" s="10">
        <f>CHOOSE(CONTROL!$C$42, 16.7152, 16.7152) * CHOOSE(CONTROL!$C$21, $C$9, 100%, $E$9)</f>
        <v>16.715199999999999</v>
      </c>
      <c r="F634" s="10">
        <f>CHOOSE(CONTROL!$C$42, 16.4654, 16.4654)*CHOOSE(CONTROL!$C$21, $C$9, 100%, $E$9)</f>
        <v>16.465399999999999</v>
      </c>
      <c r="G634" s="10">
        <f>CHOOSE(CONTROL!$C$42, 16.4812, 16.4812)*CHOOSE(CONTROL!$C$21, $C$9, 100%, $E$9)</f>
        <v>16.481200000000001</v>
      </c>
      <c r="H634" s="10">
        <f>CHOOSE(CONTROL!$C$42, 16.7053, 16.7053) * CHOOSE(CONTROL!$C$21, $C$9, 100%, $E$9)</f>
        <v>16.705300000000001</v>
      </c>
      <c r="I634" s="10">
        <f>CHOOSE(CONTROL!$C$42, 16.4995, 16.4995)* CHOOSE(CONTROL!$C$21, $C$9, 100%, $E$9)</f>
        <v>16.499500000000001</v>
      </c>
      <c r="J634" s="10">
        <f>CHOOSE(CONTROL!$C$42, 16.458, 16.458)* CHOOSE(CONTROL!$C$21, $C$9, 100%, $E$9)</f>
        <v>16.457999999999998</v>
      </c>
      <c r="K634" s="10">
        <f>CHOOSE(CONTROL!$C$42, 16.1448, 16.1448) * CHOOSE(CONTROL!$C$21, $C$9, 100%, $E$9)</f>
        <v>16.1448</v>
      </c>
      <c r="L634" s="10">
        <f>CHOOSE(CONTROL!$C$42, 17.2923, 17.2923) * CHOOSE(CONTROL!$C$21, $C$9, 100%, $E$9)</f>
        <v>17.292300000000001</v>
      </c>
      <c r="M634" s="10">
        <f>CHOOSE(CONTROL!$C$42, 16.2614, 16.2614) * CHOOSE(CONTROL!$C$21, $C$9, 100%, $E$9)</f>
        <v>16.261399999999998</v>
      </c>
      <c r="N634" s="10">
        <f>CHOOSE(CONTROL!$C$42, 16.277, 16.277) * CHOOSE(CONTROL!$C$21, $C$9, 100%, $E$9)</f>
        <v>16.277000000000001</v>
      </c>
      <c r="O634" s="10">
        <f>CHOOSE(CONTROL!$C$42, 16.5053, 16.5053) * CHOOSE(CONTROL!$C$21, $C$9, 100%, $E$9)</f>
        <v>16.505299999999998</v>
      </c>
      <c r="P634" s="10">
        <f>CHOOSE(CONTROL!$C$42, 16.3024, 16.3024) * CHOOSE(CONTROL!$C$21, $C$9, 100%, $E$9)</f>
        <v>16.302399999999999</v>
      </c>
      <c r="Q634" s="10">
        <f>CHOOSE(CONTROL!$C$42, 17.1006, 17.1006) * CHOOSE(CONTROL!$C$21, $C$9, 100%, $E$9)</f>
        <v>17.1006</v>
      </c>
      <c r="R634" s="10">
        <f>CHOOSE(CONTROL!$C$42, 17.7303, 17.7303) * CHOOSE(CONTROL!$C$21, $C$9, 100%, $E$9)</f>
        <v>17.7303</v>
      </c>
      <c r="S634" s="10">
        <f>CHOOSE(CONTROL!$C$42, 16.0116, 16.0116) * CHOOSE(CONTROL!$C$21, $C$9, 100%, $E$9)</f>
        <v>16.011600000000001</v>
      </c>
      <c r="T63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34" s="38">
        <f>(1000*CHOOSE(CONTROL!$C$42, 695, 695)*CHOOSE(CONTROL!$C$42, 0.5599, 0.5599)*CHOOSE(CONTROL!$C$42, 31, 31))/1000000</f>
        <v>12.063045499999998</v>
      </c>
      <c r="V634" s="38">
        <f>(1000*CHOOSE(CONTROL!$C$42, 500, 500)*CHOOSE(CONTROL!$C$42, 0.275, 0.275)*CHOOSE(CONTROL!$C$42, 31, 31))/1000000</f>
        <v>4.2625000000000002</v>
      </c>
      <c r="W634" s="38">
        <f>(1000*CHOOSE(CONTROL!$C$42, 0.1146, 0.1146)*CHOOSE(CONTROL!$C$42, 121.5, 121.5)*CHOOSE(CONTROL!$C$42, 31, 31))/1000000</f>
        <v>0.43164089999999994</v>
      </c>
      <c r="X634" s="38">
        <f>(31*0.1790888*245000/1000000)+(31*0.2374*100000/1000000)</f>
        <v>2.0961194359999999</v>
      </c>
      <c r="Y634" s="38">
        <f>(1000*600*CHOOSE(CONTROL!$C$42, 1.0585, 1.0585)*CHOOSE(CONTROL!$C$42, 31, 31))/1000000</f>
        <v>19.688099999999999</v>
      </c>
      <c r="Z634" s="38"/>
      <c r="AA634" s="10"/>
      <c r="AB634" s="39"/>
      <c r="AC634" s="33">
        <f>(B634*131.881+C634*277.167+D634*79.08+E634*125.872+F634*40+G634*185+H634*0+I634*100+J634*300)/(131.881+277.167+79.08+125.872+0+40+185+100+300)</f>
        <v>16.52709997756255</v>
      </c>
      <c r="AD634" s="27">
        <f>(M634*'RAP TEMPLATE-GAS AVAILABILITY'!O633+N634*'RAP TEMPLATE-GAS AVAILABILITY'!P633+O634*'RAP TEMPLATE-GAS AVAILABILITY'!Q633+P634*'RAP TEMPLATE-GAS AVAILABILITY'!R633)/('RAP TEMPLATE-GAS AVAILABILITY'!O633+'RAP TEMPLATE-GAS AVAILABILITY'!P633+'RAP TEMPLATE-GAS AVAILABILITY'!Q633+'RAP TEMPLATE-GAS AVAILABILITY'!R633)</f>
        <v>16.378741726618703</v>
      </c>
    </row>
    <row r="635" spans="1:30" ht="15.75">
      <c r="A635" s="13">
        <v>60601</v>
      </c>
      <c r="B635" s="10">
        <f>CHOOSE(CONTROL!$C$42, 16.9542, 16.9542) * CHOOSE(CONTROL!$C$21, $C$9, 100%, $E$9)</f>
        <v>16.9542</v>
      </c>
      <c r="C635" s="10">
        <f>CHOOSE(CONTROL!$C$42, 16.9593, 16.9593) * CHOOSE(CONTROL!$C$21, $C$9, 100%, $E$9)</f>
        <v>16.959299999999999</v>
      </c>
      <c r="D635" s="10">
        <f>CHOOSE(CONTROL!$C$42, 16.984, 16.984) * CHOOSE(CONTROL!$C$21, $C$9, 100%, $E$9)</f>
        <v>16.984000000000002</v>
      </c>
      <c r="E635" s="10">
        <f>CHOOSE(CONTROL!$C$42, 17.0178, 17.0178) * CHOOSE(CONTROL!$C$21, $C$9, 100%, $E$9)</f>
        <v>17.017800000000001</v>
      </c>
      <c r="F635" s="10">
        <f>CHOOSE(CONTROL!$C$42, 16.9225, 16.9225)*CHOOSE(CONTROL!$C$21, $C$9, 100%, $E$9)</f>
        <v>16.922499999999999</v>
      </c>
      <c r="G635" s="10">
        <f>CHOOSE(CONTROL!$C$42, 16.9385, 16.9385)*CHOOSE(CONTROL!$C$21, $C$9, 100%, $E$9)</f>
        <v>16.938500000000001</v>
      </c>
      <c r="H635" s="10">
        <f>CHOOSE(CONTROL!$C$42, 17.0067, 17.0067) * CHOOSE(CONTROL!$C$21, $C$9, 100%, $E$9)</f>
        <v>17.006699999999999</v>
      </c>
      <c r="I635" s="10">
        <f>CHOOSE(CONTROL!$C$42, 16.9692, 16.9692)* CHOOSE(CONTROL!$C$21, $C$9, 100%, $E$9)</f>
        <v>16.969200000000001</v>
      </c>
      <c r="J635" s="10">
        <f>CHOOSE(CONTROL!$C$42, 16.9151, 16.9151)* CHOOSE(CONTROL!$C$21, $C$9, 100%, $E$9)</f>
        <v>16.915099999999999</v>
      </c>
      <c r="K635" s="10">
        <f>CHOOSE(CONTROL!$C$42, 16.6021, 16.6021) * CHOOSE(CONTROL!$C$21, $C$9, 100%, $E$9)</f>
        <v>16.6021</v>
      </c>
      <c r="L635" s="10">
        <f>CHOOSE(CONTROL!$C$42, 17.5937, 17.5937) * CHOOSE(CONTROL!$C$21, $C$9, 100%, $E$9)</f>
        <v>17.593699999999998</v>
      </c>
      <c r="M635" s="10">
        <f>CHOOSE(CONTROL!$C$42, 16.7122, 16.7122) * CHOOSE(CONTROL!$C$21, $C$9, 100%, $E$9)</f>
        <v>16.712199999999999</v>
      </c>
      <c r="N635" s="10">
        <f>CHOOSE(CONTROL!$C$42, 16.728, 16.728) * CHOOSE(CONTROL!$C$21, $C$9, 100%, $E$9)</f>
        <v>16.728000000000002</v>
      </c>
      <c r="O635" s="10">
        <f>CHOOSE(CONTROL!$C$42, 16.8024, 16.8024) * CHOOSE(CONTROL!$C$21, $C$9, 100%, $E$9)</f>
        <v>16.802399999999999</v>
      </c>
      <c r="P635" s="10">
        <f>CHOOSE(CONTROL!$C$42, 16.7655, 16.7655) * CHOOSE(CONTROL!$C$21, $C$9, 100%, $E$9)</f>
        <v>16.765499999999999</v>
      </c>
      <c r="Q635" s="10">
        <f>CHOOSE(CONTROL!$C$42, 17.3977, 17.3977) * CHOOSE(CONTROL!$C$21, $C$9, 100%, $E$9)</f>
        <v>17.3977</v>
      </c>
      <c r="R635" s="10">
        <f>CHOOSE(CONTROL!$C$42, 18.0282, 18.0282) * CHOOSE(CONTROL!$C$21, $C$9, 100%, $E$9)</f>
        <v>18.028199999999998</v>
      </c>
      <c r="S635" s="10">
        <f>CHOOSE(CONTROL!$C$42, 16.4334, 16.4334) * CHOOSE(CONTROL!$C$21, $C$9, 100%, $E$9)</f>
        <v>16.433399999999999</v>
      </c>
      <c r="T63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35" s="38">
        <f>(1000*CHOOSE(CONTROL!$C$42, 695, 695)*CHOOSE(CONTROL!$C$42, 0.5599, 0.5599)*CHOOSE(CONTROL!$C$42, 30, 30))/1000000</f>
        <v>11.673914999999997</v>
      </c>
      <c r="V635" s="38">
        <f>(1000*CHOOSE(CONTROL!$C$42, 500, 500)*CHOOSE(CONTROL!$C$42, 0.275, 0.275)*CHOOSE(CONTROL!$C$42, 30, 30))/1000000</f>
        <v>4.125</v>
      </c>
      <c r="W635" s="38">
        <f>(1000*CHOOSE(CONTROL!$C$42, 0.1146, 0.1146)*CHOOSE(CONTROL!$C$42, 121.5, 121.5)*CHOOSE(CONTROL!$C$42, 30, 30))/1000000</f>
        <v>0.417717</v>
      </c>
      <c r="X635" s="38">
        <f>(30*0.1790888*100000/1000000)+(30*0.2374*100000/1000000)</f>
        <v>1.2494664</v>
      </c>
      <c r="Y635" s="38">
        <f>(1000*600*CHOOSE(CONTROL!$C$42, 1.0585, 1.0585)*CHOOSE(CONTROL!$C$42, 30, 30))/1000000</f>
        <v>19.053000000000001</v>
      </c>
      <c r="Z635" s="38"/>
      <c r="AA635" s="10"/>
      <c r="AB635" s="39"/>
      <c r="AC635" s="33">
        <f>(B635*122.58+C635*297.941+D635*89.177+E635*40.302+F635*40+G635*160+H635*0+I635*100+J635*300)/(122.58+297.941+89.177+40.302+0+40+160+100+300)</f>
        <v>16.947878418173914</v>
      </c>
      <c r="AD635" s="27">
        <f>(M635*'RAP TEMPLATE-GAS AVAILABILITY'!O634+N635*'RAP TEMPLATE-GAS AVAILABILITY'!P634+O635*'RAP TEMPLATE-GAS AVAILABILITY'!Q634+P635*'RAP TEMPLATE-GAS AVAILABILITY'!R634)/('RAP TEMPLATE-GAS AVAILABILITY'!O634+'RAP TEMPLATE-GAS AVAILABILITY'!P634+'RAP TEMPLATE-GAS AVAILABILITY'!Q634+'RAP TEMPLATE-GAS AVAILABILITY'!R634)</f>
        <v>16.761660431654676</v>
      </c>
    </row>
    <row r="636" spans="1:30" ht="15.75">
      <c r="A636" s="13">
        <v>60632</v>
      </c>
      <c r="B636" s="10">
        <f>CHOOSE(CONTROL!$C$42, 18.1112, 18.1112) * CHOOSE(CONTROL!$C$21, $C$9, 100%, $E$9)</f>
        <v>18.1112</v>
      </c>
      <c r="C636" s="10">
        <f>CHOOSE(CONTROL!$C$42, 18.1163, 18.1163) * CHOOSE(CONTROL!$C$21, $C$9, 100%, $E$9)</f>
        <v>18.116299999999999</v>
      </c>
      <c r="D636" s="10">
        <f>CHOOSE(CONTROL!$C$42, 18.141, 18.141) * CHOOSE(CONTROL!$C$21, $C$9, 100%, $E$9)</f>
        <v>18.140999999999998</v>
      </c>
      <c r="E636" s="10">
        <f>CHOOSE(CONTROL!$C$42, 18.1748, 18.1748) * CHOOSE(CONTROL!$C$21, $C$9, 100%, $E$9)</f>
        <v>18.174800000000001</v>
      </c>
      <c r="F636" s="10">
        <f>CHOOSE(CONTROL!$C$42, 18.0815, 18.0815)*CHOOSE(CONTROL!$C$21, $C$9, 100%, $E$9)</f>
        <v>18.081499999999998</v>
      </c>
      <c r="G636" s="10">
        <f>CHOOSE(CONTROL!$C$42, 18.098, 18.098)*CHOOSE(CONTROL!$C$21, $C$9, 100%, $E$9)</f>
        <v>18.097999999999999</v>
      </c>
      <c r="H636" s="10">
        <f>CHOOSE(CONTROL!$C$42, 18.1637, 18.1637) * CHOOSE(CONTROL!$C$21, $C$9, 100%, $E$9)</f>
        <v>18.163699999999999</v>
      </c>
      <c r="I636" s="10">
        <f>CHOOSE(CONTROL!$C$42, 18.1262, 18.1262)* CHOOSE(CONTROL!$C$21, $C$9, 100%, $E$9)</f>
        <v>18.126200000000001</v>
      </c>
      <c r="J636" s="10">
        <f>CHOOSE(CONTROL!$C$42, 18.0741, 18.0741)* CHOOSE(CONTROL!$C$21, $C$9, 100%, $E$9)</f>
        <v>18.074100000000001</v>
      </c>
      <c r="K636" s="10">
        <f>CHOOSE(CONTROL!$C$42, 17.7271, 17.7271) * CHOOSE(CONTROL!$C$21, $C$9, 100%, $E$9)</f>
        <v>17.7271</v>
      </c>
      <c r="L636" s="10">
        <f>CHOOSE(CONTROL!$C$42, 18.7507, 18.7507) * CHOOSE(CONTROL!$C$21, $C$9, 100%, $E$9)</f>
        <v>18.750699999999998</v>
      </c>
      <c r="M636" s="10">
        <f>CHOOSE(CONTROL!$C$42, 17.855, 17.855) * CHOOSE(CONTROL!$C$21, $C$9, 100%, $E$9)</f>
        <v>17.855</v>
      </c>
      <c r="N636" s="10">
        <f>CHOOSE(CONTROL!$C$42, 17.8712, 17.8712) * CHOOSE(CONTROL!$C$21, $C$9, 100%, $E$9)</f>
        <v>17.871200000000002</v>
      </c>
      <c r="O636" s="10">
        <f>CHOOSE(CONTROL!$C$42, 17.9433, 17.9433) * CHOOSE(CONTROL!$C$21, $C$9, 100%, $E$9)</f>
        <v>17.943300000000001</v>
      </c>
      <c r="P636" s="10">
        <f>CHOOSE(CONTROL!$C$42, 17.9064, 17.9064) * CHOOSE(CONTROL!$C$21, $C$9, 100%, $E$9)</f>
        <v>17.906400000000001</v>
      </c>
      <c r="Q636" s="10">
        <f>CHOOSE(CONTROL!$C$42, 18.5386, 18.5386) * CHOOSE(CONTROL!$C$21, $C$9, 100%, $E$9)</f>
        <v>18.538599999999999</v>
      </c>
      <c r="R636" s="10">
        <f>CHOOSE(CONTROL!$C$42, 19.172, 19.172) * CHOOSE(CONTROL!$C$21, $C$9, 100%, $E$9)</f>
        <v>19.172000000000001</v>
      </c>
      <c r="S636" s="10">
        <f>CHOOSE(CONTROL!$C$42, 17.5538, 17.5538) * CHOOSE(CONTROL!$C$21, $C$9, 100%, $E$9)</f>
        <v>17.553799999999999</v>
      </c>
      <c r="T63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36" s="38">
        <f>(1000*CHOOSE(CONTROL!$C$42, 695, 695)*CHOOSE(CONTROL!$C$42, 0.5599, 0.5599)*CHOOSE(CONTROL!$C$42, 31, 31))/1000000</f>
        <v>12.063045499999998</v>
      </c>
      <c r="V636" s="38">
        <f>(1000*CHOOSE(CONTROL!$C$42, 500, 500)*CHOOSE(CONTROL!$C$42, 0.275, 0.275)*CHOOSE(CONTROL!$C$42, 31, 31))/1000000</f>
        <v>4.2625000000000002</v>
      </c>
      <c r="W636" s="38">
        <f>(1000*CHOOSE(CONTROL!$C$42, 0.1146, 0.1146)*CHOOSE(CONTROL!$C$42, 121.5, 121.5)*CHOOSE(CONTROL!$C$42, 31, 31))/1000000</f>
        <v>0.43164089999999994</v>
      </c>
      <c r="X636" s="38">
        <f>(31*0.1790888*100000/1000000)+(31*0.2374*100000/1000000)</f>
        <v>1.2911152800000001</v>
      </c>
      <c r="Y636" s="38">
        <f>(1000*600*CHOOSE(CONTROL!$C$42, 1.0585, 1.0585)*CHOOSE(CONTROL!$C$42, 31, 31))/1000000</f>
        <v>19.688099999999999</v>
      </c>
      <c r="Z636" s="38"/>
      <c r="AA636" s="10"/>
      <c r="AB636" s="39"/>
      <c r="AC636" s="33">
        <f>(B636*122.58+C636*297.941+D636*89.177+E636*40.302+F636*40+G636*160+H636*0+I636*100+J636*300)/(122.58+297.941+89.177+40.302+0+40+160+100+300)</f>
        <v>18.105817548608698</v>
      </c>
      <c r="AD636" s="27">
        <f>(M636*'RAP TEMPLATE-GAS AVAILABILITY'!O635+N636*'RAP TEMPLATE-GAS AVAILABILITY'!P635+O636*'RAP TEMPLATE-GAS AVAILABILITY'!Q635+P636*'RAP TEMPLATE-GAS AVAILABILITY'!R635)/('RAP TEMPLATE-GAS AVAILABILITY'!O635+'RAP TEMPLATE-GAS AVAILABILITY'!P635+'RAP TEMPLATE-GAS AVAILABILITY'!Q635+'RAP TEMPLATE-GAS AVAILABILITY'!R635)</f>
        <v>17.903348920863309</v>
      </c>
    </row>
    <row r="637" spans="1:30" ht="15.75">
      <c r="A637" s="13">
        <v>60663</v>
      </c>
      <c r="B637" s="10">
        <f>CHOOSE(CONTROL!$C$42, 19.3347, 19.3347) * CHOOSE(CONTROL!$C$21, $C$9, 100%, $E$9)</f>
        <v>19.334700000000002</v>
      </c>
      <c r="C637" s="10">
        <f>CHOOSE(CONTROL!$C$42, 19.3398, 19.3398) * CHOOSE(CONTROL!$C$21, $C$9, 100%, $E$9)</f>
        <v>19.3398</v>
      </c>
      <c r="D637" s="10">
        <f>CHOOSE(CONTROL!$C$42, 19.3723, 19.3723) * CHOOSE(CONTROL!$C$21, $C$9, 100%, $E$9)</f>
        <v>19.372299999999999</v>
      </c>
      <c r="E637" s="10">
        <f>CHOOSE(CONTROL!$C$42, 19.4061, 19.4061) * CHOOSE(CONTROL!$C$21, $C$9, 100%, $E$9)</f>
        <v>19.406099999999999</v>
      </c>
      <c r="F637" s="10">
        <f>CHOOSE(CONTROL!$C$42, 19.3189, 19.3189)*CHOOSE(CONTROL!$C$21, $C$9, 100%, $E$9)</f>
        <v>19.318899999999999</v>
      </c>
      <c r="G637" s="10">
        <f>CHOOSE(CONTROL!$C$42, 19.337, 19.337)*CHOOSE(CONTROL!$C$21, $C$9, 100%, $E$9)</f>
        <v>19.337</v>
      </c>
      <c r="H637" s="10">
        <f>CHOOSE(CONTROL!$C$42, 19.395, 19.395) * CHOOSE(CONTROL!$C$21, $C$9, 100%, $E$9)</f>
        <v>19.395</v>
      </c>
      <c r="I637" s="10">
        <f>CHOOSE(CONTROL!$C$42, 19.3482, 19.3482)* CHOOSE(CONTROL!$C$21, $C$9, 100%, $E$9)</f>
        <v>19.348199999999999</v>
      </c>
      <c r="J637" s="10">
        <f>CHOOSE(CONTROL!$C$42, 19.3115, 19.3115)* CHOOSE(CONTROL!$C$21, $C$9, 100%, $E$9)</f>
        <v>19.311499999999999</v>
      </c>
      <c r="K637" s="10">
        <f>CHOOSE(CONTROL!$C$42, 18.9249, 18.9249) * CHOOSE(CONTROL!$C$21, $C$9, 100%, $E$9)</f>
        <v>18.924900000000001</v>
      </c>
      <c r="L637" s="10">
        <f>CHOOSE(CONTROL!$C$42, 19.982, 19.982) * CHOOSE(CONTROL!$C$21, $C$9, 100%, $E$9)</f>
        <v>19.981999999999999</v>
      </c>
      <c r="M637" s="10">
        <f>CHOOSE(CONTROL!$C$42, 19.0751, 19.0751) * CHOOSE(CONTROL!$C$21, $C$9, 100%, $E$9)</f>
        <v>19.075099999999999</v>
      </c>
      <c r="N637" s="10">
        <f>CHOOSE(CONTROL!$C$42, 19.0929, 19.0929) * CHOOSE(CONTROL!$C$21, $C$9, 100%, $E$9)</f>
        <v>19.0929</v>
      </c>
      <c r="O637" s="10">
        <f>CHOOSE(CONTROL!$C$42, 19.1574, 19.1574) * CHOOSE(CONTROL!$C$21, $C$9, 100%, $E$9)</f>
        <v>19.157399999999999</v>
      </c>
      <c r="P637" s="10">
        <f>CHOOSE(CONTROL!$C$42, 19.1113, 19.1113) * CHOOSE(CONTROL!$C$21, $C$9, 100%, $E$9)</f>
        <v>19.1113</v>
      </c>
      <c r="Q637" s="10">
        <f>CHOOSE(CONTROL!$C$42, 19.7527, 19.7527) * CHOOSE(CONTROL!$C$21, $C$9, 100%, $E$9)</f>
        <v>19.752700000000001</v>
      </c>
      <c r="R637" s="10">
        <f>CHOOSE(CONTROL!$C$42, 20.3891, 20.3891) * CHOOSE(CONTROL!$C$21, $C$9, 100%, $E$9)</f>
        <v>20.389099999999999</v>
      </c>
      <c r="S637" s="10">
        <f>CHOOSE(CONTROL!$C$42, 18.7385, 18.7385) * CHOOSE(CONTROL!$C$21, $C$9, 100%, $E$9)</f>
        <v>18.738499999999998</v>
      </c>
      <c r="T63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37" s="38">
        <f>(1000*CHOOSE(CONTROL!$C$42, 695, 695)*CHOOSE(CONTROL!$C$42, 0.5599, 0.5599)*CHOOSE(CONTROL!$C$42, 31, 31))/1000000</f>
        <v>12.063045499999998</v>
      </c>
      <c r="V637" s="38">
        <f>(1000*CHOOSE(CONTROL!$C$42, 500, 500)*CHOOSE(CONTROL!$C$42, 0.275, 0.275)*CHOOSE(CONTROL!$C$42, 31, 31))/1000000</f>
        <v>4.2625000000000002</v>
      </c>
      <c r="W637" s="38">
        <f>(1000*CHOOSE(CONTROL!$C$42, 0.1146, 0.1146)*CHOOSE(CONTROL!$C$42, 121.5, 121.5)*CHOOSE(CONTROL!$C$42, 31, 31))/1000000</f>
        <v>0.43164089999999994</v>
      </c>
      <c r="X637" s="38">
        <f>(31*0.1790888*100000/1000000)+(31*0.2374*100000/1000000)</f>
        <v>1.2911152800000001</v>
      </c>
      <c r="Y637" s="38">
        <f>(1000*600*CHOOSE(CONTROL!$C$42, 1.0585, 1.0585)*CHOOSE(CONTROL!$C$42, 31, 31))/1000000</f>
        <v>19.688099999999999</v>
      </c>
      <c r="Z637" s="38"/>
      <c r="AA637" s="10"/>
      <c r="AB637" s="39"/>
      <c r="AC637" s="33">
        <f>(B637*122.58+C637*297.941+D637*89.177+E637*40.302+F637*40+G637*160+H637*0+I637*100+J637*300)/(122.58+297.941+89.177+40.302+0+40+160+100+300)</f>
        <v>19.336331406173912</v>
      </c>
      <c r="AD637" s="27">
        <f>(M637*'RAP TEMPLATE-GAS AVAILABILITY'!O636+N637*'RAP TEMPLATE-GAS AVAILABILITY'!P636+O637*'RAP TEMPLATE-GAS AVAILABILITY'!Q636+P637*'RAP TEMPLATE-GAS AVAILABILITY'!R636)/('RAP TEMPLATE-GAS AVAILABILITY'!O636+'RAP TEMPLATE-GAS AVAILABILITY'!P636+'RAP TEMPLATE-GAS AVAILABILITY'!Q636+'RAP TEMPLATE-GAS AVAILABILITY'!R636)</f>
        <v>19.118634532374102</v>
      </c>
    </row>
    <row r="638" spans="1:30" ht="15.75">
      <c r="A638" s="13">
        <v>60691</v>
      </c>
      <c r="B638" s="10">
        <f>CHOOSE(CONTROL!$C$42, 19.6792, 19.6792) * CHOOSE(CONTROL!$C$21, $C$9, 100%, $E$9)</f>
        <v>19.679200000000002</v>
      </c>
      <c r="C638" s="10">
        <f>CHOOSE(CONTROL!$C$42, 19.6843, 19.6843) * CHOOSE(CONTROL!$C$21, $C$9, 100%, $E$9)</f>
        <v>19.6843</v>
      </c>
      <c r="D638" s="10">
        <f>CHOOSE(CONTROL!$C$42, 19.7168, 19.7168) * CHOOSE(CONTROL!$C$21, $C$9, 100%, $E$9)</f>
        <v>19.716799999999999</v>
      </c>
      <c r="E638" s="10">
        <f>CHOOSE(CONTROL!$C$42, 19.7506, 19.7506) * CHOOSE(CONTROL!$C$21, $C$9, 100%, $E$9)</f>
        <v>19.750599999999999</v>
      </c>
      <c r="F638" s="10">
        <f>CHOOSE(CONTROL!$C$42, 19.663, 19.663)*CHOOSE(CONTROL!$C$21, $C$9, 100%, $E$9)</f>
        <v>19.663</v>
      </c>
      <c r="G638" s="10">
        <f>CHOOSE(CONTROL!$C$42, 19.6809, 19.6809)*CHOOSE(CONTROL!$C$21, $C$9, 100%, $E$9)</f>
        <v>19.680900000000001</v>
      </c>
      <c r="H638" s="10">
        <f>CHOOSE(CONTROL!$C$42, 19.7394, 19.7394) * CHOOSE(CONTROL!$C$21, $C$9, 100%, $E$9)</f>
        <v>19.7394</v>
      </c>
      <c r="I638" s="10">
        <f>CHOOSE(CONTROL!$C$42, 19.6927, 19.6927)* CHOOSE(CONTROL!$C$21, $C$9, 100%, $E$9)</f>
        <v>19.692699999999999</v>
      </c>
      <c r="J638" s="10">
        <f>CHOOSE(CONTROL!$C$42, 19.6556, 19.6556)* CHOOSE(CONTROL!$C$21, $C$9, 100%, $E$9)</f>
        <v>19.6556</v>
      </c>
      <c r="K638" s="10">
        <f>CHOOSE(CONTROL!$C$42, 19.2576, 19.2576) * CHOOSE(CONTROL!$C$21, $C$9, 100%, $E$9)</f>
        <v>19.2576</v>
      </c>
      <c r="L638" s="10">
        <f>CHOOSE(CONTROL!$C$42, 20.3264, 20.3264) * CHOOSE(CONTROL!$C$21, $C$9, 100%, $E$9)</f>
        <v>20.3264</v>
      </c>
      <c r="M638" s="10">
        <f>CHOOSE(CONTROL!$C$42, 19.4144, 19.4144) * CHOOSE(CONTROL!$C$21, $C$9, 100%, $E$9)</f>
        <v>19.414400000000001</v>
      </c>
      <c r="N638" s="10">
        <f>CHOOSE(CONTROL!$C$42, 19.432, 19.432) * CHOOSE(CONTROL!$C$21, $C$9, 100%, $E$9)</f>
        <v>19.431999999999999</v>
      </c>
      <c r="O638" s="10">
        <f>CHOOSE(CONTROL!$C$42, 19.4971, 19.4971) * CHOOSE(CONTROL!$C$21, $C$9, 100%, $E$9)</f>
        <v>19.4971</v>
      </c>
      <c r="P638" s="10">
        <f>CHOOSE(CONTROL!$C$42, 19.451, 19.451) * CHOOSE(CONTROL!$C$21, $C$9, 100%, $E$9)</f>
        <v>19.451000000000001</v>
      </c>
      <c r="Q638" s="10">
        <f>CHOOSE(CONTROL!$C$42, 20.0924, 20.0924) * CHOOSE(CONTROL!$C$21, $C$9, 100%, $E$9)</f>
        <v>20.092400000000001</v>
      </c>
      <c r="R638" s="10">
        <f>CHOOSE(CONTROL!$C$42, 20.7296, 20.7296) * CHOOSE(CONTROL!$C$21, $C$9, 100%, $E$9)</f>
        <v>20.729600000000001</v>
      </c>
      <c r="S638" s="10">
        <f>CHOOSE(CONTROL!$C$42, 19.072, 19.072) * CHOOSE(CONTROL!$C$21, $C$9, 100%, $E$9)</f>
        <v>19.071999999999999</v>
      </c>
      <c r="T63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38" s="38">
        <f>(1000*CHOOSE(CONTROL!$C$42, 695, 695)*CHOOSE(CONTROL!$C$42, 0.5599, 0.5599)*CHOOSE(CONTROL!$C$42, 28, 28))/1000000</f>
        <v>10.895653999999999</v>
      </c>
      <c r="V638" s="38">
        <f>(1000*CHOOSE(CONTROL!$C$42, 500, 500)*CHOOSE(CONTROL!$C$42, 0.275, 0.275)*CHOOSE(CONTROL!$C$42, 28, 28))/1000000</f>
        <v>3.85</v>
      </c>
      <c r="W638" s="38">
        <f>(1000*CHOOSE(CONTROL!$C$42, 0.1146, 0.1146)*CHOOSE(CONTROL!$C$42, 121.5, 121.5)*CHOOSE(CONTROL!$C$42, 28, 28))/1000000</f>
        <v>0.38986920000000003</v>
      </c>
      <c r="X638" s="38">
        <f>(28*0.1790888*100000/1000000)+(28*0.2374*100000/1000000)</f>
        <v>1.16616864</v>
      </c>
      <c r="Y638" s="38">
        <f>(1000*600*CHOOSE(CONTROL!$C$42, 1.0585, 1.0585)*CHOOSE(CONTROL!$C$42, 28, 28))/1000000</f>
        <v>17.782800000000002</v>
      </c>
      <c r="Z638" s="38"/>
      <c r="AA638" s="10"/>
      <c r="AB638" s="39"/>
      <c r="AC638" s="33">
        <f>(B638*122.58+C638*297.941+D638*89.177+E638*40.302+F638*40+G638*160+H638*0+I638*100+J638*300)/(122.58+297.941+89.177+40.302+0+40+160+100+300)</f>
        <v>19.68062966704348</v>
      </c>
      <c r="AD638" s="27">
        <f>(M638*'RAP TEMPLATE-GAS AVAILABILITY'!O637+N638*'RAP TEMPLATE-GAS AVAILABILITY'!P637+O638*'RAP TEMPLATE-GAS AVAILABILITY'!Q637+P638*'RAP TEMPLATE-GAS AVAILABILITY'!R637)/('RAP TEMPLATE-GAS AVAILABILITY'!O637+'RAP TEMPLATE-GAS AVAILABILITY'!P637+'RAP TEMPLATE-GAS AVAILABILITY'!Q637+'RAP TEMPLATE-GAS AVAILABILITY'!R637)</f>
        <v>19.458161870503599</v>
      </c>
    </row>
    <row r="639" spans="1:30" ht="15.75">
      <c r="A639" s="13">
        <v>60722</v>
      </c>
      <c r="B639" s="10">
        <f>CHOOSE(CONTROL!$C$42, 19.1201, 19.1201) * CHOOSE(CONTROL!$C$21, $C$9, 100%, $E$9)</f>
        <v>19.120100000000001</v>
      </c>
      <c r="C639" s="10">
        <f>CHOOSE(CONTROL!$C$42, 19.1252, 19.1252) * CHOOSE(CONTROL!$C$21, $C$9, 100%, $E$9)</f>
        <v>19.1252</v>
      </c>
      <c r="D639" s="10">
        <f>CHOOSE(CONTROL!$C$42, 19.1576, 19.1576) * CHOOSE(CONTROL!$C$21, $C$9, 100%, $E$9)</f>
        <v>19.157599999999999</v>
      </c>
      <c r="E639" s="10">
        <f>CHOOSE(CONTROL!$C$42, 19.1914, 19.1914) * CHOOSE(CONTROL!$C$21, $C$9, 100%, $E$9)</f>
        <v>19.191400000000002</v>
      </c>
      <c r="F639" s="10">
        <f>CHOOSE(CONTROL!$C$42, 19.1023, 19.1023)*CHOOSE(CONTROL!$C$21, $C$9, 100%, $E$9)</f>
        <v>19.1023</v>
      </c>
      <c r="G639" s="10">
        <f>CHOOSE(CONTROL!$C$42, 19.1199, 19.1199)*CHOOSE(CONTROL!$C$21, $C$9, 100%, $E$9)</f>
        <v>19.119900000000001</v>
      </c>
      <c r="H639" s="10">
        <f>CHOOSE(CONTROL!$C$42, 19.1803, 19.1803) * CHOOSE(CONTROL!$C$21, $C$9, 100%, $E$9)</f>
        <v>19.180299999999999</v>
      </c>
      <c r="I639" s="10">
        <f>CHOOSE(CONTROL!$C$42, 19.1335, 19.1335)* CHOOSE(CONTROL!$C$21, $C$9, 100%, $E$9)</f>
        <v>19.133500000000002</v>
      </c>
      <c r="J639" s="10">
        <f>CHOOSE(CONTROL!$C$42, 19.0949, 19.0949)* CHOOSE(CONTROL!$C$21, $C$9, 100%, $E$9)</f>
        <v>19.094899999999999</v>
      </c>
      <c r="K639" s="10">
        <f>CHOOSE(CONTROL!$C$42, 18.7127, 18.7127) * CHOOSE(CONTROL!$C$21, $C$9, 100%, $E$9)</f>
        <v>18.712700000000002</v>
      </c>
      <c r="L639" s="10">
        <f>CHOOSE(CONTROL!$C$42, 19.7673, 19.7673) * CHOOSE(CONTROL!$C$21, $C$9, 100%, $E$9)</f>
        <v>19.767299999999999</v>
      </c>
      <c r="M639" s="10">
        <f>CHOOSE(CONTROL!$C$42, 18.8615, 18.8615) * CHOOSE(CONTROL!$C$21, $C$9, 100%, $E$9)</f>
        <v>18.861499999999999</v>
      </c>
      <c r="N639" s="10">
        <f>CHOOSE(CONTROL!$C$42, 18.8789, 18.8789) * CHOOSE(CONTROL!$C$21, $C$9, 100%, $E$9)</f>
        <v>18.878900000000002</v>
      </c>
      <c r="O639" s="10">
        <f>CHOOSE(CONTROL!$C$42, 18.9457, 18.9457) * CHOOSE(CONTROL!$C$21, $C$9, 100%, $E$9)</f>
        <v>18.945699999999999</v>
      </c>
      <c r="P639" s="10">
        <f>CHOOSE(CONTROL!$C$42, 18.8996, 18.8996) * CHOOSE(CONTROL!$C$21, $C$9, 100%, $E$9)</f>
        <v>18.8996</v>
      </c>
      <c r="Q639" s="10">
        <f>CHOOSE(CONTROL!$C$42, 19.541, 19.541) * CHOOSE(CONTROL!$C$21, $C$9, 100%, $E$9)</f>
        <v>19.541</v>
      </c>
      <c r="R639" s="10">
        <f>CHOOSE(CONTROL!$C$42, 20.1769, 20.1769) * CHOOSE(CONTROL!$C$21, $C$9, 100%, $E$9)</f>
        <v>20.1769</v>
      </c>
      <c r="S639" s="10">
        <f>CHOOSE(CONTROL!$C$42, 18.5306, 18.5306) * CHOOSE(CONTROL!$C$21, $C$9, 100%, $E$9)</f>
        <v>18.5306</v>
      </c>
      <c r="T63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39" s="38">
        <f>(1000*CHOOSE(CONTROL!$C$42, 695, 695)*CHOOSE(CONTROL!$C$42, 0.5599, 0.5599)*CHOOSE(CONTROL!$C$42, 31, 31))/1000000</f>
        <v>12.063045499999998</v>
      </c>
      <c r="V639" s="38">
        <f>(1000*CHOOSE(CONTROL!$C$42, 500, 500)*CHOOSE(CONTROL!$C$42, 0.275, 0.275)*CHOOSE(CONTROL!$C$42, 31, 31))/1000000</f>
        <v>4.2625000000000002</v>
      </c>
      <c r="W639" s="38">
        <f>(1000*CHOOSE(CONTROL!$C$42, 0.1146, 0.1146)*CHOOSE(CONTROL!$C$42, 121.5, 121.5)*CHOOSE(CONTROL!$C$42, 31, 31))/1000000</f>
        <v>0.43164089999999994</v>
      </c>
      <c r="X639" s="38">
        <f>(31*0.1790888*100000/1000000)+(31*0.2374*100000/1000000)</f>
        <v>1.2911152800000001</v>
      </c>
      <c r="Y639" s="38">
        <f>(1000*600*CHOOSE(CONTROL!$C$42, 1.0585, 1.0585)*CHOOSE(CONTROL!$C$42, 31, 31))/1000000</f>
        <v>19.688099999999999</v>
      </c>
      <c r="Z639" s="38"/>
      <c r="AA639" s="10"/>
      <c r="AB639" s="39"/>
      <c r="AC639" s="33">
        <f>(B639*122.58+C639*297.941+D639*89.177+E639*40.302+F639*40+G639*160+H639*0+I639*100+J639*300)/(122.58+297.941+89.177+40.302+0+40+160+100+300)</f>
        <v>19.120772321043479</v>
      </c>
      <c r="AD639" s="27">
        <f>(M639*'RAP TEMPLATE-GAS AVAILABILITY'!O638+N639*'RAP TEMPLATE-GAS AVAILABILITY'!P638+O639*'RAP TEMPLATE-GAS AVAILABILITY'!Q638+P639*'RAP TEMPLATE-GAS AVAILABILITY'!R638)/('RAP TEMPLATE-GAS AVAILABILITY'!O638+'RAP TEMPLATE-GAS AVAILABILITY'!P638+'RAP TEMPLATE-GAS AVAILABILITY'!Q638+'RAP TEMPLATE-GAS AVAILABILITY'!R638)</f>
        <v>18.906146043165467</v>
      </c>
    </row>
    <row r="640" spans="1:30" ht="15.75">
      <c r="A640" s="13">
        <v>60752</v>
      </c>
      <c r="B640" s="10">
        <f>CHOOSE(CONTROL!$C$42, 19.0635, 19.0635) * CHOOSE(CONTROL!$C$21, $C$9, 100%, $E$9)</f>
        <v>19.063500000000001</v>
      </c>
      <c r="C640" s="10">
        <f>CHOOSE(CONTROL!$C$42, 19.068, 19.068) * CHOOSE(CONTROL!$C$21, $C$9, 100%, $E$9)</f>
        <v>19.068000000000001</v>
      </c>
      <c r="D640" s="10">
        <f>CHOOSE(CONTROL!$C$42, 19.2282, 19.2282) * CHOOSE(CONTROL!$C$21, $C$9, 100%, $E$9)</f>
        <v>19.228200000000001</v>
      </c>
      <c r="E640" s="10">
        <f>CHOOSE(CONTROL!$C$42, 19.26, 19.26) * CHOOSE(CONTROL!$C$21, $C$9, 100%, $E$9)</f>
        <v>19.260000000000002</v>
      </c>
      <c r="F640" s="10">
        <f>CHOOSE(CONTROL!$C$42, 19.0096, 19.0096)*CHOOSE(CONTROL!$C$21, $C$9, 100%, $E$9)</f>
        <v>19.009599999999999</v>
      </c>
      <c r="G640" s="10">
        <f>CHOOSE(CONTROL!$C$42, 19.0254, 19.0254)*CHOOSE(CONTROL!$C$21, $C$9, 100%, $E$9)</f>
        <v>19.025400000000001</v>
      </c>
      <c r="H640" s="10">
        <f>CHOOSE(CONTROL!$C$42, 19.2495, 19.2495) * CHOOSE(CONTROL!$C$21, $C$9, 100%, $E$9)</f>
        <v>19.249500000000001</v>
      </c>
      <c r="I640" s="10">
        <f>CHOOSE(CONTROL!$C$42, 19.0437, 19.0437)* CHOOSE(CONTROL!$C$21, $C$9, 100%, $E$9)</f>
        <v>19.043700000000001</v>
      </c>
      <c r="J640" s="10">
        <f>CHOOSE(CONTROL!$C$42, 19.0022, 19.0022)* CHOOSE(CONTROL!$C$21, $C$9, 100%, $E$9)</f>
        <v>19.002199999999998</v>
      </c>
      <c r="K640" s="10">
        <f>CHOOSE(CONTROL!$C$42, 18.6097, 18.6097) * CHOOSE(CONTROL!$C$21, $C$9, 100%, $E$9)</f>
        <v>18.6097</v>
      </c>
      <c r="L640" s="10">
        <f>CHOOSE(CONTROL!$C$42, 19.8365, 19.8365) * CHOOSE(CONTROL!$C$21, $C$9, 100%, $E$9)</f>
        <v>19.836500000000001</v>
      </c>
      <c r="M640" s="10">
        <f>CHOOSE(CONTROL!$C$42, 18.7702, 18.7702) * CHOOSE(CONTROL!$C$21, $C$9, 100%, $E$9)</f>
        <v>18.770199999999999</v>
      </c>
      <c r="N640" s="10">
        <f>CHOOSE(CONTROL!$C$42, 18.7857, 18.7857) * CHOOSE(CONTROL!$C$21, $C$9, 100%, $E$9)</f>
        <v>18.785699999999999</v>
      </c>
      <c r="O640" s="10">
        <f>CHOOSE(CONTROL!$C$42, 19.014, 19.014) * CHOOSE(CONTROL!$C$21, $C$9, 100%, $E$9)</f>
        <v>19.013999999999999</v>
      </c>
      <c r="P640" s="10">
        <f>CHOOSE(CONTROL!$C$42, 18.8111, 18.8111) * CHOOSE(CONTROL!$C$21, $C$9, 100%, $E$9)</f>
        <v>18.8111</v>
      </c>
      <c r="Q640" s="10">
        <f>CHOOSE(CONTROL!$C$42, 19.6093, 19.6093) * CHOOSE(CONTROL!$C$21, $C$9, 100%, $E$9)</f>
        <v>19.609300000000001</v>
      </c>
      <c r="R640" s="10">
        <f>CHOOSE(CONTROL!$C$42, 20.2453, 20.2453) * CHOOSE(CONTROL!$C$21, $C$9, 100%, $E$9)</f>
        <v>20.2453</v>
      </c>
      <c r="S640" s="10">
        <f>CHOOSE(CONTROL!$C$42, 18.4751, 18.4751) * CHOOSE(CONTROL!$C$21, $C$9, 100%, $E$9)</f>
        <v>18.475100000000001</v>
      </c>
      <c r="T64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40" s="38">
        <f>(1000*CHOOSE(CONTROL!$C$42, 695, 695)*CHOOSE(CONTROL!$C$42, 0.5599, 0.5599)*CHOOSE(CONTROL!$C$42, 30, 30))/1000000</f>
        <v>11.673914999999997</v>
      </c>
      <c r="V640" s="38">
        <f>(1000*CHOOSE(CONTROL!$C$42, 500, 500)*CHOOSE(CONTROL!$C$42, 0.275, 0.275)*CHOOSE(CONTROL!$C$42, 30, 30))/1000000</f>
        <v>4.125</v>
      </c>
      <c r="W640" s="38">
        <f>(1000*CHOOSE(CONTROL!$C$42, 0.1146, 0.1146)*CHOOSE(CONTROL!$C$42, 121.5, 121.5)*CHOOSE(CONTROL!$C$42, 30, 30))/1000000</f>
        <v>0.417717</v>
      </c>
      <c r="X640" s="38">
        <f>(30*0.1790888*245000/1000000)+(30*0.2374*100000/1000000)</f>
        <v>2.0285026799999999</v>
      </c>
      <c r="Y640" s="38">
        <f>(1000*600*CHOOSE(CONTROL!$C$42, 1.0585, 1.0585)*CHOOSE(CONTROL!$C$42, 30, 30))/1000000</f>
        <v>19.053000000000001</v>
      </c>
      <c r="Z640" s="38"/>
      <c r="AA640" s="10"/>
      <c r="AB640" s="39"/>
      <c r="AC640" s="33">
        <f>(B640*141.293+C640*267.993+D640*115.016+E640*89.698+F640*40+G640*185+H640*0+I640*100+J640*300)/(141.293+267.993+115.016+89.698+0+40+185+100+300)</f>
        <v>19.07011845092817</v>
      </c>
      <c r="AD640" s="27">
        <f>(M640*'RAP TEMPLATE-GAS AVAILABILITY'!O639+N640*'RAP TEMPLATE-GAS AVAILABILITY'!P639+O640*'RAP TEMPLATE-GAS AVAILABILITY'!Q639+P640*'RAP TEMPLATE-GAS AVAILABILITY'!R639)/('RAP TEMPLATE-GAS AVAILABILITY'!O639+'RAP TEMPLATE-GAS AVAILABILITY'!P639+'RAP TEMPLATE-GAS AVAILABILITY'!Q639+'RAP TEMPLATE-GAS AVAILABILITY'!R639)</f>
        <v>18.887476258992805</v>
      </c>
    </row>
    <row r="641" spans="1:30" ht="15.75">
      <c r="A641" s="13">
        <v>60783</v>
      </c>
      <c r="B641" s="10">
        <f>CHOOSE(CONTROL!$C$42, 19.2337, 19.2337) * CHOOSE(CONTROL!$C$21, $C$9, 100%, $E$9)</f>
        <v>19.233699999999999</v>
      </c>
      <c r="C641" s="10">
        <f>CHOOSE(CONTROL!$C$42, 19.2417, 19.2417) * CHOOSE(CONTROL!$C$21, $C$9, 100%, $E$9)</f>
        <v>19.241700000000002</v>
      </c>
      <c r="D641" s="10">
        <f>CHOOSE(CONTROL!$C$42, 19.3988, 19.3988) * CHOOSE(CONTROL!$C$21, $C$9, 100%, $E$9)</f>
        <v>19.398800000000001</v>
      </c>
      <c r="E641" s="10">
        <f>CHOOSE(CONTROL!$C$42, 19.43, 19.43) * CHOOSE(CONTROL!$C$21, $C$9, 100%, $E$9)</f>
        <v>19.43</v>
      </c>
      <c r="F641" s="10">
        <f>CHOOSE(CONTROL!$C$42, 19.1779, 19.1779)*CHOOSE(CONTROL!$C$21, $C$9, 100%, $E$9)</f>
        <v>19.177900000000001</v>
      </c>
      <c r="G641" s="10">
        <f>CHOOSE(CONTROL!$C$42, 19.194, 19.194)*CHOOSE(CONTROL!$C$21, $C$9, 100%, $E$9)</f>
        <v>19.193999999999999</v>
      </c>
      <c r="H641" s="10">
        <f>CHOOSE(CONTROL!$C$42, 19.4183, 19.4183) * CHOOSE(CONTROL!$C$21, $C$9, 100%, $E$9)</f>
        <v>19.418299999999999</v>
      </c>
      <c r="I641" s="10">
        <f>CHOOSE(CONTROL!$C$42, 19.2125, 19.2125)* CHOOSE(CONTROL!$C$21, $C$9, 100%, $E$9)</f>
        <v>19.212499999999999</v>
      </c>
      <c r="J641" s="10">
        <f>CHOOSE(CONTROL!$C$42, 19.1705, 19.1705)* CHOOSE(CONTROL!$C$21, $C$9, 100%, $E$9)</f>
        <v>19.170500000000001</v>
      </c>
      <c r="K641" s="10">
        <f>CHOOSE(CONTROL!$C$42, 18.772, 18.772) * CHOOSE(CONTROL!$C$21, $C$9, 100%, $E$9)</f>
        <v>18.771999999999998</v>
      </c>
      <c r="L641" s="10">
        <f>CHOOSE(CONTROL!$C$42, 20.0053, 20.0053) * CHOOSE(CONTROL!$C$21, $C$9, 100%, $E$9)</f>
        <v>20.005299999999998</v>
      </c>
      <c r="M641" s="10">
        <f>CHOOSE(CONTROL!$C$42, 18.936, 18.936) * CHOOSE(CONTROL!$C$21, $C$9, 100%, $E$9)</f>
        <v>18.936</v>
      </c>
      <c r="N641" s="10">
        <f>CHOOSE(CONTROL!$C$42, 18.9519, 18.9519) * CHOOSE(CONTROL!$C$21, $C$9, 100%, $E$9)</f>
        <v>18.951899999999998</v>
      </c>
      <c r="O641" s="10">
        <f>CHOOSE(CONTROL!$C$42, 19.1804, 19.1804) * CHOOSE(CONTROL!$C$21, $C$9, 100%, $E$9)</f>
        <v>19.180399999999999</v>
      </c>
      <c r="P641" s="10">
        <f>CHOOSE(CONTROL!$C$42, 18.9776, 18.9776) * CHOOSE(CONTROL!$C$21, $C$9, 100%, $E$9)</f>
        <v>18.977599999999999</v>
      </c>
      <c r="Q641" s="10">
        <f>CHOOSE(CONTROL!$C$42, 19.7757, 19.7757) * CHOOSE(CONTROL!$C$21, $C$9, 100%, $E$9)</f>
        <v>19.775700000000001</v>
      </c>
      <c r="R641" s="10">
        <f>CHOOSE(CONTROL!$C$42, 20.4122, 20.4122) * CHOOSE(CONTROL!$C$21, $C$9, 100%, $E$9)</f>
        <v>20.412199999999999</v>
      </c>
      <c r="S641" s="10">
        <f>CHOOSE(CONTROL!$C$42, 18.6386, 18.6386) * CHOOSE(CONTROL!$C$21, $C$9, 100%, $E$9)</f>
        <v>18.6386</v>
      </c>
      <c r="T64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41" s="38">
        <f>(1000*CHOOSE(CONTROL!$C$42, 695, 695)*CHOOSE(CONTROL!$C$42, 0.5599, 0.5599)*CHOOSE(CONTROL!$C$42, 31, 31))/1000000</f>
        <v>12.063045499999998</v>
      </c>
      <c r="V641" s="38">
        <f>(1000*CHOOSE(CONTROL!$C$42, 500, 500)*CHOOSE(CONTROL!$C$42, 0.275, 0.275)*CHOOSE(CONTROL!$C$42, 31, 31))/1000000</f>
        <v>4.2625000000000002</v>
      </c>
      <c r="W641" s="38">
        <f>(1000*CHOOSE(CONTROL!$C$42, 0.1146, 0.1146)*CHOOSE(CONTROL!$C$42, 121.5, 121.5)*CHOOSE(CONTROL!$C$42, 31, 31))/1000000</f>
        <v>0.43164089999999994</v>
      </c>
      <c r="X641" s="38">
        <f>(31*0.1790888*245000/1000000)+(31*0.2374*100000/1000000)</f>
        <v>2.0961194359999999</v>
      </c>
      <c r="Y641" s="38">
        <f>(1000*600*CHOOSE(CONTROL!$C$42, 1.0585, 1.0585)*CHOOSE(CONTROL!$C$42, 31, 31))/1000000</f>
        <v>19.688099999999999</v>
      </c>
      <c r="Z641" s="38"/>
      <c r="AA641" s="10"/>
      <c r="AB641" s="39"/>
      <c r="AC641" s="33">
        <f>(B641*194.205+C641*267.466+D641*133.845+E641*53.484+F641*40+G641*185+H641*0+I641*100+J641*300)/(194.205+267.466+133.845+53.484+0+40+185+100+300)</f>
        <v>19.236902469937206</v>
      </c>
      <c r="AD641" s="27">
        <f>(M641*'RAP TEMPLATE-GAS AVAILABILITY'!O640+N641*'RAP TEMPLATE-GAS AVAILABILITY'!P640+O641*'RAP TEMPLATE-GAS AVAILABILITY'!Q640+P641*'RAP TEMPLATE-GAS AVAILABILITY'!R640)/('RAP TEMPLATE-GAS AVAILABILITY'!O640+'RAP TEMPLATE-GAS AVAILABILITY'!P640+'RAP TEMPLATE-GAS AVAILABILITY'!Q640+'RAP TEMPLATE-GAS AVAILABILITY'!R640)</f>
        <v>19.053671942446044</v>
      </c>
    </row>
    <row r="642" spans="1:30" ht="15.75">
      <c r="A642" s="13">
        <v>60813</v>
      </c>
      <c r="B642" s="10">
        <f>CHOOSE(CONTROL!$C$42, 19.7797, 19.7797) * CHOOSE(CONTROL!$C$21, $C$9, 100%, $E$9)</f>
        <v>19.779699999999998</v>
      </c>
      <c r="C642" s="10">
        <f>CHOOSE(CONTROL!$C$42, 19.7877, 19.7877) * CHOOSE(CONTROL!$C$21, $C$9, 100%, $E$9)</f>
        <v>19.787700000000001</v>
      </c>
      <c r="D642" s="10">
        <f>CHOOSE(CONTROL!$C$42, 19.9448, 19.9448) * CHOOSE(CONTROL!$C$21, $C$9, 100%, $E$9)</f>
        <v>19.944800000000001</v>
      </c>
      <c r="E642" s="10">
        <f>CHOOSE(CONTROL!$C$42, 19.976, 19.976) * CHOOSE(CONTROL!$C$21, $C$9, 100%, $E$9)</f>
        <v>19.975999999999999</v>
      </c>
      <c r="F642" s="10">
        <f>CHOOSE(CONTROL!$C$42, 19.724, 19.724)*CHOOSE(CONTROL!$C$21, $C$9, 100%, $E$9)</f>
        <v>19.724</v>
      </c>
      <c r="G642" s="10">
        <f>CHOOSE(CONTROL!$C$42, 19.7402, 19.7402)*CHOOSE(CONTROL!$C$21, $C$9, 100%, $E$9)</f>
        <v>19.740200000000002</v>
      </c>
      <c r="H642" s="10">
        <f>CHOOSE(CONTROL!$C$42, 19.9643, 19.9643) * CHOOSE(CONTROL!$C$21, $C$9, 100%, $E$9)</f>
        <v>19.964300000000001</v>
      </c>
      <c r="I642" s="10">
        <f>CHOOSE(CONTROL!$C$42, 19.7585, 19.7585)* CHOOSE(CONTROL!$C$21, $C$9, 100%, $E$9)</f>
        <v>19.758500000000002</v>
      </c>
      <c r="J642" s="10">
        <f>CHOOSE(CONTROL!$C$42, 19.7166, 19.7166)* CHOOSE(CONTROL!$C$21, $C$9, 100%, $E$9)</f>
        <v>19.7166</v>
      </c>
      <c r="K642" s="10">
        <f>CHOOSE(CONTROL!$C$42, 19.3013, 19.3013) * CHOOSE(CONTROL!$C$21, $C$9, 100%, $E$9)</f>
        <v>19.301300000000001</v>
      </c>
      <c r="L642" s="10">
        <f>CHOOSE(CONTROL!$C$42, 20.5513, 20.5513) * CHOOSE(CONTROL!$C$21, $C$9, 100%, $E$9)</f>
        <v>20.551300000000001</v>
      </c>
      <c r="M642" s="10">
        <f>CHOOSE(CONTROL!$C$42, 19.4746, 19.4746) * CHOOSE(CONTROL!$C$21, $C$9, 100%, $E$9)</f>
        <v>19.474599999999999</v>
      </c>
      <c r="N642" s="10">
        <f>CHOOSE(CONTROL!$C$42, 19.4905, 19.4905) * CHOOSE(CONTROL!$C$21, $C$9, 100%, $E$9)</f>
        <v>19.490500000000001</v>
      </c>
      <c r="O642" s="10">
        <f>CHOOSE(CONTROL!$C$42, 19.7188, 19.7188) * CHOOSE(CONTROL!$C$21, $C$9, 100%, $E$9)</f>
        <v>19.718800000000002</v>
      </c>
      <c r="P642" s="10">
        <f>CHOOSE(CONTROL!$C$42, 19.5159, 19.5159) * CHOOSE(CONTROL!$C$21, $C$9, 100%, $E$9)</f>
        <v>19.515899999999998</v>
      </c>
      <c r="Q642" s="10">
        <f>CHOOSE(CONTROL!$C$42, 20.3141, 20.3141) * CHOOSE(CONTROL!$C$21, $C$9, 100%, $E$9)</f>
        <v>20.3141</v>
      </c>
      <c r="R642" s="10">
        <f>CHOOSE(CONTROL!$C$42, 20.9519, 20.9519) * CHOOSE(CONTROL!$C$21, $C$9, 100%, $E$9)</f>
        <v>20.951899999999998</v>
      </c>
      <c r="S642" s="10">
        <f>CHOOSE(CONTROL!$C$42, 19.1673, 19.1673) * CHOOSE(CONTROL!$C$21, $C$9, 100%, $E$9)</f>
        <v>19.167300000000001</v>
      </c>
      <c r="T64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42" s="38">
        <f>(1000*CHOOSE(CONTROL!$C$42, 695, 695)*CHOOSE(CONTROL!$C$42, 0.5599, 0.5599)*CHOOSE(CONTROL!$C$42, 30, 30))/1000000</f>
        <v>11.673914999999997</v>
      </c>
      <c r="V642" s="38">
        <f>(1000*CHOOSE(CONTROL!$C$42, 500, 500)*CHOOSE(CONTROL!$C$42, 0.275, 0.275)*CHOOSE(CONTROL!$C$42, 30, 30))/1000000</f>
        <v>4.125</v>
      </c>
      <c r="W642" s="38">
        <f>(1000*CHOOSE(CONTROL!$C$42, 0.1146, 0.1146)*CHOOSE(CONTROL!$C$42, 121.5, 121.5)*CHOOSE(CONTROL!$C$42, 30, 30))/1000000</f>
        <v>0.417717</v>
      </c>
      <c r="X642" s="38">
        <f>(30*0.1790888*245000/1000000)+(30*0.2374*100000/1000000)</f>
        <v>2.0285026799999999</v>
      </c>
      <c r="Y642" s="38">
        <f>(1000*600*CHOOSE(CONTROL!$C$42, 1.0585, 1.0585)*CHOOSE(CONTROL!$C$42, 30, 30))/1000000</f>
        <v>19.053000000000001</v>
      </c>
      <c r="Z642" s="38"/>
      <c r="AA642" s="10"/>
      <c r="AB642" s="39"/>
      <c r="AC642" s="33">
        <f>(B642*194.205+C642*267.466+D642*133.845+E642*53.484+F642*40+G642*185+H642*0+I642*100+J642*300)/(194.205+267.466+133.845+53.484+0+40+185+100+300)</f>
        <v>19.782958199921509</v>
      </c>
      <c r="AD642" s="27">
        <f>(M642*'RAP TEMPLATE-GAS AVAILABILITY'!O641+N642*'RAP TEMPLATE-GAS AVAILABILITY'!P641+O642*'RAP TEMPLATE-GAS AVAILABILITY'!Q641+P642*'RAP TEMPLATE-GAS AVAILABILITY'!R641)/('RAP TEMPLATE-GAS AVAILABILITY'!O641+'RAP TEMPLATE-GAS AVAILABILITY'!P641+'RAP TEMPLATE-GAS AVAILABILITY'!Q641+'RAP TEMPLATE-GAS AVAILABILITY'!R641)</f>
        <v>19.592138129496401</v>
      </c>
    </row>
    <row r="643" spans="1:30" ht="15.75">
      <c r="A643" s="13">
        <v>60844</v>
      </c>
      <c r="B643" s="10">
        <f>CHOOSE(CONTROL!$C$42, 19.4, 19.4) * CHOOSE(CONTROL!$C$21, $C$9, 100%, $E$9)</f>
        <v>19.399999999999999</v>
      </c>
      <c r="C643" s="10">
        <f>CHOOSE(CONTROL!$C$42, 19.408, 19.408) * CHOOSE(CONTROL!$C$21, $C$9, 100%, $E$9)</f>
        <v>19.408000000000001</v>
      </c>
      <c r="D643" s="10">
        <f>CHOOSE(CONTROL!$C$42, 19.565, 19.565) * CHOOSE(CONTROL!$C$21, $C$9, 100%, $E$9)</f>
        <v>19.565000000000001</v>
      </c>
      <c r="E643" s="10">
        <f>CHOOSE(CONTROL!$C$42, 19.5963, 19.5963) * CHOOSE(CONTROL!$C$21, $C$9, 100%, $E$9)</f>
        <v>19.596299999999999</v>
      </c>
      <c r="F643" s="10">
        <f>CHOOSE(CONTROL!$C$42, 19.3446, 19.3446)*CHOOSE(CONTROL!$C$21, $C$9, 100%, $E$9)</f>
        <v>19.3446</v>
      </c>
      <c r="G643" s="10">
        <f>CHOOSE(CONTROL!$C$42, 19.3609, 19.3609)*CHOOSE(CONTROL!$C$21, $C$9, 100%, $E$9)</f>
        <v>19.360900000000001</v>
      </c>
      <c r="H643" s="10">
        <f>CHOOSE(CONTROL!$C$42, 19.5846, 19.5846) * CHOOSE(CONTROL!$C$21, $C$9, 100%, $E$9)</f>
        <v>19.584599999999998</v>
      </c>
      <c r="I643" s="10">
        <f>CHOOSE(CONTROL!$C$42, 19.3788, 19.3788)* CHOOSE(CONTROL!$C$21, $C$9, 100%, $E$9)</f>
        <v>19.378799999999998</v>
      </c>
      <c r="J643" s="10">
        <f>CHOOSE(CONTROL!$C$42, 19.3372, 19.3372)* CHOOSE(CONTROL!$C$21, $C$9, 100%, $E$9)</f>
        <v>19.337199999999999</v>
      </c>
      <c r="K643" s="10">
        <f>CHOOSE(CONTROL!$C$42, 18.9341, 18.9341) * CHOOSE(CONTROL!$C$21, $C$9, 100%, $E$9)</f>
        <v>18.934100000000001</v>
      </c>
      <c r="L643" s="10">
        <f>CHOOSE(CONTROL!$C$42, 20.1716, 20.1716) * CHOOSE(CONTROL!$C$21, $C$9, 100%, $E$9)</f>
        <v>20.171600000000002</v>
      </c>
      <c r="M643" s="10">
        <f>CHOOSE(CONTROL!$C$42, 19.1005, 19.1005) * CHOOSE(CONTROL!$C$21, $C$9, 100%, $E$9)</f>
        <v>19.1005</v>
      </c>
      <c r="N643" s="10">
        <f>CHOOSE(CONTROL!$C$42, 19.1165, 19.1165) * CHOOSE(CONTROL!$C$21, $C$9, 100%, $E$9)</f>
        <v>19.116499999999998</v>
      </c>
      <c r="O643" s="10">
        <f>CHOOSE(CONTROL!$C$42, 19.3444, 19.3444) * CHOOSE(CONTROL!$C$21, $C$9, 100%, $E$9)</f>
        <v>19.3444</v>
      </c>
      <c r="P643" s="10">
        <f>CHOOSE(CONTROL!$C$42, 19.1415, 19.1415) * CHOOSE(CONTROL!$C$21, $C$9, 100%, $E$9)</f>
        <v>19.141500000000001</v>
      </c>
      <c r="Q643" s="10">
        <f>CHOOSE(CONTROL!$C$42, 19.9397, 19.9397) * CHOOSE(CONTROL!$C$21, $C$9, 100%, $E$9)</f>
        <v>19.939699999999998</v>
      </c>
      <c r="R643" s="10">
        <f>CHOOSE(CONTROL!$C$42, 20.5765, 20.5765) * CHOOSE(CONTROL!$C$21, $C$9, 100%, $E$9)</f>
        <v>20.576499999999999</v>
      </c>
      <c r="S643" s="10">
        <f>CHOOSE(CONTROL!$C$42, 18.7996, 18.7996) * CHOOSE(CONTROL!$C$21, $C$9, 100%, $E$9)</f>
        <v>18.799600000000002</v>
      </c>
      <c r="T64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43" s="38">
        <f>(1000*CHOOSE(CONTROL!$C$42, 695, 695)*CHOOSE(CONTROL!$C$42, 0.5599, 0.5599)*CHOOSE(CONTROL!$C$42, 31, 31))/1000000</f>
        <v>12.063045499999998</v>
      </c>
      <c r="V643" s="38">
        <f>(1000*CHOOSE(CONTROL!$C$42, 500, 500)*CHOOSE(CONTROL!$C$42, 0.275, 0.275)*CHOOSE(CONTROL!$C$42, 31, 31))/1000000</f>
        <v>4.2625000000000002</v>
      </c>
      <c r="W643" s="38">
        <f>(1000*CHOOSE(CONTROL!$C$42, 0.1146, 0.1146)*CHOOSE(CONTROL!$C$42, 121.5, 121.5)*CHOOSE(CONTROL!$C$42, 31, 31))/1000000</f>
        <v>0.43164089999999994</v>
      </c>
      <c r="X643" s="38">
        <f>(31*0.1790888*245000/1000000)+(31*0.2374*100000/1000000)</f>
        <v>2.0961194359999999</v>
      </c>
      <c r="Y643" s="38">
        <f>(1000*600*CHOOSE(CONTROL!$C$42, 1.0585, 1.0585)*CHOOSE(CONTROL!$C$42, 31, 31))/1000000</f>
        <v>19.688099999999999</v>
      </c>
      <c r="Z643" s="38"/>
      <c r="AA643" s="10"/>
      <c r="AB643" s="39"/>
      <c r="AC643" s="33">
        <f>(B643*194.205+C643*267.466+D643*133.845+E643*53.484+F643*40+G643*185+H643*0+I643*100+J643*300)/(194.205+267.466+133.845+53.484+0+40+185+100+300)</f>
        <v>19.40338584160126</v>
      </c>
      <c r="AD643" s="27">
        <f>(M643*'RAP TEMPLATE-GAS AVAILABILITY'!O642+N643*'RAP TEMPLATE-GAS AVAILABILITY'!P642+O643*'RAP TEMPLATE-GAS AVAILABILITY'!Q642+P643*'RAP TEMPLATE-GAS AVAILABILITY'!R642)/('RAP TEMPLATE-GAS AVAILABILITY'!O642+'RAP TEMPLATE-GAS AVAILABILITY'!P642+'RAP TEMPLATE-GAS AVAILABILITY'!Q642+'RAP TEMPLATE-GAS AVAILABILITY'!R642)</f>
        <v>19.217864748201439</v>
      </c>
    </row>
    <row r="644" spans="1:30" ht="15.75">
      <c r="A644" s="13">
        <v>60875</v>
      </c>
      <c r="B644" s="10">
        <f>CHOOSE(CONTROL!$C$42, 18.441, 18.441) * CHOOSE(CONTROL!$C$21, $C$9, 100%, $E$9)</f>
        <v>18.440999999999999</v>
      </c>
      <c r="C644" s="10">
        <f>CHOOSE(CONTROL!$C$42, 18.449, 18.449) * CHOOSE(CONTROL!$C$21, $C$9, 100%, $E$9)</f>
        <v>18.449000000000002</v>
      </c>
      <c r="D644" s="10">
        <f>CHOOSE(CONTROL!$C$42, 18.6061, 18.6061) * CHOOSE(CONTROL!$C$21, $C$9, 100%, $E$9)</f>
        <v>18.606100000000001</v>
      </c>
      <c r="E644" s="10">
        <f>CHOOSE(CONTROL!$C$42, 18.6373, 18.6373) * CHOOSE(CONTROL!$C$21, $C$9, 100%, $E$9)</f>
        <v>18.6373</v>
      </c>
      <c r="F644" s="10">
        <f>CHOOSE(CONTROL!$C$42, 18.3856, 18.3856)*CHOOSE(CONTROL!$C$21, $C$9, 100%, $E$9)</f>
        <v>18.3856</v>
      </c>
      <c r="G644" s="10">
        <f>CHOOSE(CONTROL!$C$42, 18.4019, 18.4019)*CHOOSE(CONTROL!$C$21, $C$9, 100%, $E$9)</f>
        <v>18.401900000000001</v>
      </c>
      <c r="H644" s="10">
        <f>CHOOSE(CONTROL!$C$42, 18.6256, 18.6256) * CHOOSE(CONTROL!$C$21, $C$9, 100%, $E$9)</f>
        <v>18.625599999999999</v>
      </c>
      <c r="I644" s="10">
        <f>CHOOSE(CONTROL!$C$42, 18.4198, 18.4198)* CHOOSE(CONTROL!$C$21, $C$9, 100%, $E$9)</f>
        <v>18.419799999999999</v>
      </c>
      <c r="J644" s="10">
        <f>CHOOSE(CONTROL!$C$42, 18.3782, 18.3782)* CHOOSE(CONTROL!$C$21, $C$9, 100%, $E$9)</f>
        <v>18.3782</v>
      </c>
      <c r="K644" s="10">
        <f>CHOOSE(CONTROL!$C$42, 18.005, 18.005) * CHOOSE(CONTROL!$C$21, $C$9, 100%, $E$9)</f>
        <v>18.004999999999999</v>
      </c>
      <c r="L644" s="10">
        <f>CHOOSE(CONTROL!$C$42, 19.2126, 19.2126) * CHOOSE(CONTROL!$C$21, $C$9, 100%, $E$9)</f>
        <v>19.212599999999998</v>
      </c>
      <c r="M644" s="10">
        <f>CHOOSE(CONTROL!$C$42, 18.1548, 18.1548) * CHOOSE(CONTROL!$C$21, $C$9, 100%, $E$9)</f>
        <v>18.154800000000002</v>
      </c>
      <c r="N644" s="10">
        <f>CHOOSE(CONTROL!$C$42, 18.1709, 18.1709) * CHOOSE(CONTROL!$C$21, $C$9, 100%, $E$9)</f>
        <v>18.1709</v>
      </c>
      <c r="O644" s="10">
        <f>CHOOSE(CONTROL!$C$42, 18.3988, 18.3988) * CHOOSE(CONTROL!$C$21, $C$9, 100%, $E$9)</f>
        <v>18.398800000000001</v>
      </c>
      <c r="P644" s="10">
        <f>CHOOSE(CONTROL!$C$42, 18.1959, 18.1959) * CHOOSE(CONTROL!$C$21, $C$9, 100%, $E$9)</f>
        <v>18.195900000000002</v>
      </c>
      <c r="Q644" s="10">
        <f>CHOOSE(CONTROL!$C$42, 18.9941, 18.9941) * CHOOSE(CONTROL!$C$21, $C$9, 100%, $E$9)</f>
        <v>18.9941</v>
      </c>
      <c r="R644" s="10">
        <f>CHOOSE(CONTROL!$C$42, 19.6286, 19.6286) * CHOOSE(CONTROL!$C$21, $C$9, 100%, $E$9)</f>
        <v>19.628599999999999</v>
      </c>
      <c r="S644" s="10">
        <f>CHOOSE(CONTROL!$C$42, 17.8711, 17.8711) * CHOOSE(CONTROL!$C$21, $C$9, 100%, $E$9)</f>
        <v>17.871099999999998</v>
      </c>
      <c r="T64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44" s="38">
        <f>(1000*CHOOSE(CONTROL!$C$42, 695, 695)*CHOOSE(CONTROL!$C$42, 0.5599, 0.5599)*CHOOSE(CONTROL!$C$42, 31, 31))/1000000</f>
        <v>12.063045499999998</v>
      </c>
      <c r="V644" s="38">
        <f>(1000*CHOOSE(CONTROL!$C$42, 500, 500)*CHOOSE(CONTROL!$C$42, 0.275, 0.275)*CHOOSE(CONTROL!$C$42, 31, 31))/1000000</f>
        <v>4.2625000000000002</v>
      </c>
      <c r="W644" s="38">
        <f>(1000*CHOOSE(CONTROL!$C$42, 0.1146, 0.1146)*CHOOSE(CONTROL!$C$42, 121.5, 121.5)*CHOOSE(CONTROL!$C$42, 31, 31))/1000000</f>
        <v>0.43164089999999994</v>
      </c>
      <c r="X644" s="38">
        <f>(31*0.1790888*245000/1000000)+(31*0.2374*100000/1000000)</f>
        <v>2.0961194359999999</v>
      </c>
      <c r="Y644" s="38">
        <f>(1000*600*CHOOSE(CONTROL!$C$42, 1.0585, 1.0585)*CHOOSE(CONTROL!$C$42, 31, 31))/1000000</f>
        <v>19.688099999999999</v>
      </c>
      <c r="Z644" s="38"/>
      <c r="AA644" s="10"/>
      <c r="AB644" s="39"/>
      <c r="AC644" s="33">
        <f>(B644*194.205+C644*267.466+D644*133.845+E644*53.484+F644*40+G644*185+H644*0+I644*100+J644*300)/(194.205+267.466+133.845+53.484+0+40+185+100+300)</f>
        <v>18.444396347488226</v>
      </c>
      <c r="AD644" s="27">
        <f>(M644*'RAP TEMPLATE-GAS AVAILABILITY'!O643+N644*'RAP TEMPLATE-GAS AVAILABILITY'!P643+O644*'RAP TEMPLATE-GAS AVAILABILITY'!Q643+P644*'RAP TEMPLATE-GAS AVAILABILITY'!R643)/('RAP TEMPLATE-GAS AVAILABILITY'!O643+'RAP TEMPLATE-GAS AVAILABILITY'!P643+'RAP TEMPLATE-GAS AVAILABILITY'!Q643+'RAP TEMPLATE-GAS AVAILABILITY'!R643)</f>
        <v>18.272230215827339</v>
      </c>
    </row>
    <row r="645" spans="1:30" ht="15.75">
      <c r="A645" s="13">
        <v>60905</v>
      </c>
      <c r="B645" s="10">
        <f>CHOOSE(CONTROL!$C$42, 17.2694, 17.2694) * CHOOSE(CONTROL!$C$21, $C$9, 100%, $E$9)</f>
        <v>17.269400000000001</v>
      </c>
      <c r="C645" s="10">
        <f>CHOOSE(CONTROL!$C$42, 17.2774, 17.2774) * CHOOSE(CONTROL!$C$21, $C$9, 100%, $E$9)</f>
        <v>17.2774</v>
      </c>
      <c r="D645" s="10">
        <f>CHOOSE(CONTROL!$C$42, 17.4344, 17.4344) * CHOOSE(CONTROL!$C$21, $C$9, 100%, $E$9)</f>
        <v>17.4344</v>
      </c>
      <c r="E645" s="10">
        <f>CHOOSE(CONTROL!$C$42, 17.4657, 17.4657) * CHOOSE(CONTROL!$C$21, $C$9, 100%, $E$9)</f>
        <v>17.465699999999998</v>
      </c>
      <c r="F645" s="10">
        <f>CHOOSE(CONTROL!$C$42, 17.2138, 17.2138)*CHOOSE(CONTROL!$C$21, $C$9, 100%, $E$9)</f>
        <v>17.213799999999999</v>
      </c>
      <c r="G645" s="10">
        <f>CHOOSE(CONTROL!$C$42, 17.23, 17.23)*CHOOSE(CONTROL!$C$21, $C$9, 100%, $E$9)</f>
        <v>17.23</v>
      </c>
      <c r="H645" s="10">
        <f>CHOOSE(CONTROL!$C$42, 17.454, 17.454) * CHOOSE(CONTROL!$C$21, $C$9, 100%, $E$9)</f>
        <v>17.454000000000001</v>
      </c>
      <c r="I645" s="10">
        <f>CHOOSE(CONTROL!$C$42, 17.2482, 17.2482)* CHOOSE(CONTROL!$C$21, $C$9, 100%, $E$9)</f>
        <v>17.248200000000001</v>
      </c>
      <c r="J645" s="10">
        <f>CHOOSE(CONTROL!$C$42, 17.2064, 17.2064)* CHOOSE(CONTROL!$C$21, $C$9, 100%, $E$9)</f>
        <v>17.206399999999999</v>
      </c>
      <c r="K645" s="10">
        <f>CHOOSE(CONTROL!$C$42, 16.8695, 16.8695) * CHOOSE(CONTROL!$C$21, $C$9, 100%, $E$9)</f>
        <v>16.869499999999999</v>
      </c>
      <c r="L645" s="10">
        <f>CHOOSE(CONTROL!$C$42, 18.041, 18.041) * CHOOSE(CONTROL!$C$21, $C$9, 100%, $E$9)</f>
        <v>18.041</v>
      </c>
      <c r="M645" s="10">
        <f>CHOOSE(CONTROL!$C$42, 16.9993, 16.9993) * CHOOSE(CONTROL!$C$21, $C$9, 100%, $E$9)</f>
        <v>16.999300000000002</v>
      </c>
      <c r="N645" s="10">
        <f>CHOOSE(CONTROL!$C$42, 17.0153, 17.0153) * CHOOSE(CONTROL!$C$21, $C$9, 100%, $E$9)</f>
        <v>17.0153</v>
      </c>
      <c r="O645" s="10">
        <f>CHOOSE(CONTROL!$C$42, 17.2435, 17.2435) * CHOOSE(CONTROL!$C$21, $C$9, 100%, $E$9)</f>
        <v>17.243500000000001</v>
      </c>
      <c r="P645" s="10">
        <f>CHOOSE(CONTROL!$C$42, 17.0406, 17.0406) * CHOOSE(CONTROL!$C$21, $C$9, 100%, $E$9)</f>
        <v>17.040600000000001</v>
      </c>
      <c r="Q645" s="10">
        <f>CHOOSE(CONTROL!$C$42, 17.8388, 17.8388) * CHOOSE(CONTROL!$C$21, $C$9, 100%, $E$9)</f>
        <v>17.838799999999999</v>
      </c>
      <c r="R645" s="10">
        <f>CHOOSE(CONTROL!$C$42, 18.4704, 18.4704) * CHOOSE(CONTROL!$C$21, $C$9, 100%, $E$9)</f>
        <v>18.470400000000001</v>
      </c>
      <c r="S645" s="10">
        <f>CHOOSE(CONTROL!$C$42, 16.7365, 16.7365) * CHOOSE(CONTROL!$C$21, $C$9, 100%, $E$9)</f>
        <v>16.736499999999999</v>
      </c>
      <c r="T64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45" s="38">
        <f>(1000*CHOOSE(CONTROL!$C$42, 695, 695)*CHOOSE(CONTROL!$C$42, 0.5599, 0.5599)*CHOOSE(CONTROL!$C$42, 30, 30))/1000000</f>
        <v>11.673914999999997</v>
      </c>
      <c r="V645" s="38">
        <f>(1000*CHOOSE(CONTROL!$C$42, 500, 500)*CHOOSE(CONTROL!$C$42, 0.275, 0.275)*CHOOSE(CONTROL!$C$42, 30, 30))/1000000</f>
        <v>4.125</v>
      </c>
      <c r="W645" s="38">
        <f>(1000*CHOOSE(CONTROL!$C$42, 0.1146, 0.1146)*CHOOSE(CONTROL!$C$42, 121.5, 121.5)*CHOOSE(CONTROL!$C$42, 30, 30))/1000000</f>
        <v>0.417717</v>
      </c>
      <c r="X645" s="38">
        <f>(30*0.1790888*245000/1000000)+(30*0.2374*100000/1000000)</f>
        <v>2.0285026799999999</v>
      </c>
      <c r="Y645" s="38">
        <f>(1000*600*CHOOSE(CONTROL!$C$42, 1.0585, 1.0585)*CHOOSE(CONTROL!$C$42, 30, 30))/1000000</f>
        <v>19.053000000000001</v>
      </c>
      <c r="Z645" s="38"/>
      <c r="AA645" s="10"/>
      <c r="AB645" s="39"/>
      <c r="AC645" s="33">
        <f>(B645*194.205+C645*267.466+D645*133.845+E645*53.484+F645*40+G645*185+H645*0+I645*100+J645*300)/(194.205+267.466+133.845+53.484+0+40+185+100+300)</f>
        <v>17.272688902825745</v>
      </c>
      <c r="AD645" s="27">
        <f>(M645*'RAP TEMPLATE-GAS AVAILABILITY'!O644+N645*'RAP TEMPLATE-GAS AVAILABILITY'!P644+O645*'RAP TEMPLATE-GAS AVAILABILITY'!Q644+P645*'RAP TEMPLATE-GAS AVAILABILITY'!R644)/('RAP TEMPLATE-GAS AVAILABILITY'!O644+'RAP TEMPLATE-GAS AVAILABILITY'!P644+'RAP TEMPLATE-GAS AVAILABILITY'!Q644+'RAP TEMPLATE-GAS AVAILABILITY'!R644)</f>
        <v>17.116843884892088</v>
      </c>
    </row>
    <row r="646" spans="1:30" ht="15.75">
      <c r="A646" s="13">
        <v>60936</v>
      </c>
      <c r="B646" s="10">
        <f>CHOOSE(CONTROL!$C$42, 16.9163, 16.9163) * CHOOSE(CONTROL!$C$21, $C$9, 100%, $E$9)</f>
        <v>16.9163</v>
      </c>
      <c r="C646" s="10">
        <f>CHOOSE(CONTROL!$C$42, 16.9216, 16.9216) * CHOOSE(CONTROL!$C$21, $C$9, 100%, $E$9)</f>
        <v>16.921600000000002</v>
      </c>
      <c r="D646" s="10">
        <f>CHOOSE(CONTROL!$C$42, 17.0836, 17.0836) * CHOOSE(CONTROL!$C$21, $C$9, 100%, $E$9)</f>
        <v>17.083600000000001</v>
      </c>
      <c r="E646" s="10">
        <f>CHOOSE(CONTROL!$C$42, 17.1125, 17.1125) * CHOOSE(CONTROL!$C$21, $C$9, 100%, $E$9)</f>
        <v>17.112500000000001</v>
      </c>
      <c r="F646" s="10">
        <f>CHOOSE(CONTROL!$C$42, 16.8627, 16.8627)*CHOOSE(CONTROL!$C$21, $C$9, 100%, $E$9)</f>
        <v>16.8627</v>
      </c>
      <c r="G646" s="10">
        <f>CHOOSE(CONTROL!$C$42, 16.8785, 16.8785)*CHOOSE(CONTROL!$C$21, $C$9, 100%, $E$9)</f>
        <v>16.878499999999999</v>
      </c>
      <c r="H646" s="10">
        <f>CHOOSE(CONTROL!$C$42, 17.1026, 17.1026) * CHOOSE(CONTROL!$C$21, $C$9, 100%, $E$9)</f>
        <v>17.102599999999999</v>
      </c>
      <c r="I646" s="10">
        <f>CHOOSE(CONTROL!$C$42, 16.8968, 16.8968)* CHOOSE(CONTROL!$C$21, $C$9, 100%, $E$9)</f>
        <v>16.896799999999999</v>
      </c>
      <c r="J646" s="10">
        <f>CHOOSE(CONTROL!$C$42, 16.8553, 16.8553)* CHOOSE(CONTROL!$C$21, $C$9, 100%, $E$9)</f>
        <v>16.8553</v>
      </c>
      <c r="K646" s="10">
        <f>CHOOSE(CONTROL!$C$42, 16.5297, 16.5297) * CHOOSE(CONTROL!$C$21, $C$9, 100%, $E$9)</f>
        <v>16.529699999999998</v>
      </c>
      <c r="L646" s="10">
        <f>CHOOSE(CONTROL!$C$42, 17.6896, 17.6896) * CHOOSE(CONTROL!$C$21, $C$9, 100%, $E$9)</f>
        <v>17.689599999999999</v>
      </c>
      <c r="M646" s="10">
        <f>CHOOSE(CONTROL!$C$42, 16.6532, 16.6532) * CHOOSE(CONTROL!$C$21, $C$9, 100%, $E$9)</f>
        <v>16.653199999999998</v>
      </c>
      <c r="N646" s="10">
        <f>CHOOSE(CONTROL!$C$42, 16.6688, 16.6688) * CHOOSE(CONTROL!$C$21, $C$9, 100%, $E$9)</f>
        <v>16.668800000000001</v>
      </c>
      <c r="O646" s="10">
        <f>CHOOSE(CONTROL!$C$42, 16.897, 16.897) * CHOOSE(CONTROL!$C$21, $C$9, 100%, $E$9)</f>
        <v>16.896999999999998</v>
      </c>
      <c r="P646" s="10">
        <f>CHOOSE(CONTROL!$C$42, 16.6941, 16.6941) * CHOOSE(CONTROL!$C$21, $C$9, 100%, $E$9)</f>
        <v>16.694099999999999</v>
      </c>
      <c r="Q646" s="10">
        <f>CHOOSE(CONTROL!$C$42, 17.4923, 17.4923) * CHOOSE(CONTROL!$C$21, $C$9, 100%, $E$9)</f>
        <v>17.4923</v>
      </c>
      <c r="R646" s="10">
        <f>CHOOSE(CONTROL!$C$42, 18.1231, 18.1231) * CHOOSE(CONTROL!$C$21, $C$9, 100%, $E$9)</f>
        <v>18.123100000000001</v>
      </c>
      <c r="S646" s="10">
        <f>CHOOSE(CONTROL!$C$42, 16.3963, 16.3963) * CHOOSE(CONTROL!$C$21, $C$9, 100%, $E$9)</f>
        <v>16.3963</v>
      </c>
      <c r="T64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46" s="38">
        <f>(1000*CHOOSE(CONTROL!$C$42, 695, 695)*CHOOSE(CONTROL!$C$42, 0.5599, 0.5599)*CHOOSE(CONTROL!$C$42, 31, 31))/1000000</f>
        <v>12.063045499999998</v>
      </c>
      <c r="V646" s="38">
        <f>(1000*CHOOSE(CONTROL!$C$42, 500, 500)*CHOOSE(CONTROL!$C$42, 0.275, 0.275)*CHOOSE(CONTROL!$C$42, 31, 31))/1000000</f>
        <v>4.2625000000000002</v>
      </c>
      <c r="W646" s="38">
        <f>(1000*CHOOSE(CONTROL!$C$42, 0.1146, 0.1146)*CHOOSE(CONTROL!$C$42, 121.5, 121.5)*CHOOSE(CONTROL!$C$42, 31, 31))/1000000</f>
        <v>0.43164089999999994</v>
      </c>
      <c r="X646" s="38">
        <f>(31*0.1790888*245000/1000000)+(31*0.2374*100000/1000000)</f>
        <v>2.0961194359999999</v>
      </c>
      <c r="Y646" s="38">
        <f>(1000*600*CHOOSE(CONTROL!$C$42, 1.0585, 1.0585)*CHOOSE(CONTROL!$C$42, 31, 31))/1000000</f>
        <v>19.688099999999999</v>
      </c>
      <c r="Z646" s="38"/>
      <c r="AA646" s="10"/>
      <c r="AB646" s="39"/>
      <c r="AC646" s="33">
        <f>(B646*131.881+C646*277.167+D646*79.08+E646*125.872+F646*40+G646*185+H646*0+I646*100+J646*300)/(131.881+277.167+79.08+125.872+0+40+185+100+300)</f>
        <v>16.924377607344631</v>
      </c>
      <c r="AD646" s="27">
        <f>(M646*'RAP TEMPLATE-GAS AVAILABILITY'!O645+N646*'RAP TEMPLATE-GAS AVAILABILITY'!P645+O646*'RAP TEMPLATE-GAS AVAILABILITY'!Q645+P646*'RAP TEMPLATE-GAS AVAILABILITY'!R645)/('RAP TEMPLATE-GAS AVAILABILITY'!O645+'RAP TEMPLATE-GAS AVAILABILITY'!P645+'RAP TEMPLATE-GAS AVAILABILITY'!Q645+'RAP TEMPLATE-GAS AVAILABILITY'!R645)</f>
        <v>16.770482014388488</v>
      </c>
    </row>
    <row r="647" spans="1:30" ht="15.75">
      <c r="A647" s="13">
        <v>60966</v>
      </c>
      <c r="B647" s="10">
        <f>CHOOSE(CONTROL!$C$42, 17.362, 17.362) * CHOOSE(CONTROL!$C$21, $C$9, 100%, $E$9)</f>
        <v>17.361999999999998</v>
      </c>
      <c r="C647" s="10">
        <f>CHOOSE(CONTROL!$C$42, 17.3671, 17.3671) * CHOOSE(CONTROL!$C$21, $C$9, 100%, $E$9)</f>
        <v>17.367100000000001</v>
      </c>
      <c r="D647" s="10">
        <f>CHOOSE(CONTROL!$C$42, 17.3917, 17.3917) * CHOOSE(CONTROL!$C$21, $C$9, 100%, $E$9)</f>
        <v>17.3917</v>
      </c>
      <c r="E647" s="10">
        <f>CHOOSE(CONTROL!$C$42, 17.4256, 17.4256) * CHOOSE(CONTROL!$C$21, $C$9, 100%, $E$9)</f>
        <v>17.425599999999999</v>
      </c>
      <c r="F647" s="10">
        <f>CHOOSE(CONTROL!$C$42, 17.3303, 17.3303)*CHOOSE(CONTROL!$C$21, $C$9, 100%, $E$9)</f>
        <v>17.330300000000001</v>
      </c>
      <c r="G647" s="10">
        <f>CHOOSE(CONTROL!$C$42, 17.3463, 17.3463)*CHOOSE(CONTROL!$C$21, $C$9, 100%, $E$9)</f>
        <v>17.346299999999999</v>
      </c>
      <c r="H647" s="10">
        <f>CHOOSE(CONTROL!$C$42, 17.4144, 17.4144) * CHOOSE(CONTROL!$C$21, $C$9, 100%, $E$9)</f>
        <v>17.414400000000001</v>
      </c>
      <c r="I647" s="10">
        <f>CHOOSE(CONTROL!$C$42, 17.377, 17.377)* CHOOSE(CONTROL!$C$21, $C$9, 100%, $E$9)</f>
        <v>17.376999999999999</v>
      </c>
      <c r="J647" s="10">
        <f>CHOOSE(CONTROL!$C$42, 17.3229, 17.3229)* CHOOSE(CONTROL!$C$21, $C$9, 100%, $E$9)</f>
        <v>17.322900000000001</v>
      </c>
      <c r="K647" s="10">
        <f>CHOOSE(CONTROL!$C$42, 16.9971, 16.9971) * CHOOSE(CONTROL!$C$21, $C$9, 100%, $E$9)</f>
        <v>16.9971</v>
      </c>
      <c r="L647" s="10">
        <f>CHOOSE(CONTROL!$C$42, 18.0014, 18.0014) * CHOOSE(CONTROL!$C$21, $C$9, 100%, $E$9)</f>
        <v>18.0014</v>
      </c>
      <c r="M647" s="10">
        <f>CHOOSE(CONTROL!$C$42, 17.1142, 17.1142) * CHOOSE(CONTROL!$C$21, $C$9, 100%, $E$9)</f>
        <v>17.1142</v>
      </c>
      <c r="N647" s="10">
        <f>CHOOSE(CONTROL!$C$42, 17.13, 17.13) * CHOOSE(CONTROL!$C$21, $C$9, 100%, $E$9)</f>
        <v>17.13</v>
      </c>
      <c r="O647" s="10">
        <f>CHOOSE(CONTROL!$C$42, 17.2045, 17.2045) * CHOOSE(CONTROL!$C$21, $C$9, 100%, $E$9)</f>
        <v>17.204499999999999</v>
      </c>
      <c r="P647" s="10">
        <f>CHOOSE(CONTROL!$C$42, 17.1676, 17.1676) * CHOOSE(CONTROL!$C$21, $C$9, 100%, $E$9)</f>
        <v>17.1676</v>
      </c>
      <c r="Q647" s="10">
        <f>CHOOSE(CONTROL!$C$42, 17.7998, 17.7998) * CHOOSE(CONTROL!$C$21, $C$9, 100%, $E$9)</f>
        <v>17.799800000000001</v>
      </c>
      <c r="R647" s="10">
        <f>CHOOSE(CONTROL!$C$42, 18.4313, 18.4313) * CHOOSE(CONTROL!$C$21, $C$9, 100%, $E$9)</f>
        <v>18.4313</v>
      </c>
      <c r="S647" s="10">
        <f>CHOOSE(CONTROL!$C$42, 16.8282, 16.8282) * CHOOSE(CONTROL!$C$21, $C$9, 100%, $E$9)</f>
        <v>16.828199999999999</v>
      </c>
      <c r="T64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47" s="38">
        <f>(1000*CHOOSE(CONTROL!$C$42, 695, 695)*CHOOSE(CONTROL!$C$42, 0.5599, 0.5599)*CHOOSE(CONTROL!$C$42, 30, 30))/1000000</f>
        <v>11.673914999999997</v>
      </c>
      <c r="V647" s="38">
        <f>(1000*CHOOSE(CONTROL!$C$42, 500, 500)*CHOOSE(CONTROL!$C$42, 0.275, 0.275)*CHOOSE(CONTROL!$C$42, 30, 30))/1000000</f>
        <v>4.125</v>
      </c>
      <c r="W647" s="38">
        <f>(1000*CHOOSE(CONTROL!$C$42, 0.1146, 0.1146)*CHOOSE(CONTROL!$C$42, 121.5, 121.5)*CHOOSE(CONTROL!$C$42, 30, 30))/1000000</f>
        <v>0.417717</v>
      </c>
      <c r="X647" s="38">
        <f>(30*0.1790888*100000/1000000)+(30*0.2374*100000/1000000)</f>
        <v>1.2494664</v>
      </c>
      <c r="Y647" s="38">
        <f>(1000*600*CHOOSE(CONTROL!$C$42, 1.0585, 1.0585)*CHOOSE(CONTROL!$C$42, 30, 30))/1000000</f>
        <v>19.053000000000001</v>
      </c>
      <c r="Z647" s="38"/>
      <c r="AA647" s="10"/>
      <c r="AB647" s="39"/>
      <c r="AC647" s="33">
        <f>(B647*122.58+C647*297.941+D647*89.177+E647*40.302+F647*40+G647*160+H647*0+I647*100+J647*300)/(122.58+297.941+89.177+40.302+0+40+160+100+300)</f>
        <v>17.35567066365217</v>
      </c>
      <c r="AD647" s="27">
        <f>(M647*'RAP TEMPLATE-GAS AVAILABILITY'!O646+N647*'RAP TEMPLATE-GAS AVAILABILITY'!P646+O647*'RAP TEMPLATE-GAS AVAILABILITY'!Q646+P647*'RAP TEMPLATE-GAS AVAILABILITY'!R646)/('RAP TEMPLATE-GAS AVAILABILITY'!O646+'RAP TEMPLATE-GAS AVAILABILITY'!P646+'RAP TEMPLATE-GAS AVAILABILITY'!Q646+'RAP TEMPLATE-GAS AVAILABILITY'!R646)</f>
        <v>17.163720143884891</v>
      </c>
    </row>
    <row r="648" spans="1:30" ht="15.75">
      <c r="A648" s="13">
        <v>60997</v>
      </c>
      <c r="B648" s="10">
        <f>CHOOSE(CONTROL!$C$42, 18.5468, 18.5468) * CHOOSE(CONTROL!$C$21, $C$9, 100%, $E$9)</f>
        <v>18.546800000000001</v>
      </c>
      <c r="C648" s="10">
        <f>CHOOSE(CONTROL!$C$42, 18.5519, 18.5519) * CHOOSE(CONTROL!$C$21, $C$9, 100%, $E$9)</f>
        <v>18.5519</v>
      </c>
      <c r="D648" s="10">
        <f>CHOOSE(CONTROL!$C$42, 18.5766, 18.5766) * CHOOSE(CONTROL!$C$21, $C$9, 100%, $E$9)</f>
        <v>18.576599999999999</v>
      </c>
      <c r="E648" s="10">
        <f>CHOOSE(CONTROL!$C$42, 18.6104, 18.6104) * CHOOSE(CONTROL!$C$21, $C$9, 100%, $E$9)</f>
        <v>18.610399999999998</v>
      </c>
      <c r="F648" s="10">
        <f>CHOOSE(CONTROL!$C$42, 18.5171, 18.5171)*CHOOSE(CONTROL!$C$21, $C$9, 100%, $E$9)</f>
        <v>18.517099999999999</v>
      </c>
      <c r="G648" s="10">
        <f>CHOOSE(CONTROL!$C$42, 18.5335, 18.5335)*CHOOSE(CONTROL!$C$21, $C$9, 100%, $E$9)</f>
        <v>18.5335</v>
      </c>
      <c r="H648" s="10">
        <f>CHOOSE(CONTROL!$C$42, 18.5993, 18.5993) * CHOOSE(CONTROL!$C$21, $C$9, 100%, $E$9)</f>
        <v>18.599299999999999</v>
      </c>
      <c r="I648" s="10">
        <f>CHOOSE(CONTROL!$C$42, 18.5618, 18.5618)* CHOOSE(CONTROL!$C$21, $C$9, 100%, $E$9)</f>
        <v>18.561800000000002</v>
      </c>
      <c r="J648" s="10">
        <f>CHOOSE(CONTROL!$C$42, 18.5097, 18.5097)* CHOOSE(CONTROL!$C$21, $C$9, 100%, $E$9)</f>
        <v>18.509699999999999</v>
      </c>
      <c r="K648" s="10">
        <f>CHOOSE(CONTROL!$C$42, 18.1491, 18.1491) * CHOOSE(CONTROL!$C$21, $C$9, 100%, $E$9)</f>
        <v>18.149100000000001</v>
      </c>
      <c r="L648" s="10">
        <f>CHOOSE(CONTROL!$C$42, 19.1863, 19.1863) * CHOOSE(CONTROL!$C$21, $C$9, 100%, $E$9)</f>
        <v>19.186299999999999</v>
      </c>
      <c r="M648" s="10">
        <f>CHOOSE(CONTROL!$C$42, 18.2845, 18.2845) * CHOOSE(CONTROL!$C$21, $C$9, 100%, $E$9)</f>
        <v>18.284500000000001</v>
      </c>
      <c r="N648" s="10">
        <f>CHOOSE(CONTROL!$C$42, 18.3007, 18.3007) * CHOOSE(CONTROL!$C$21, $C$9, 100%, $E$9)</f>
        <v>18.300699999999999</v>
      </c>
      <c r="O648" s="10">
        <f>CHOOSE(CONTROL!$C$42, 18.3728, 18.3728) * CHOOSE(CONTROL!$C$21, $C$9, 100%, $E$9)</f>
        <v>18.372800000000002</v>
      </c>
      <c r="P648" s="10">
        <f>CHOOSE(CONTROL!$C$42, 18.3359, 18.3359) * CHOOSE(CONTROL!$C$21, $C$9, 100%, $E$9)</f>
        <v>18.335899999999999</v>
      </c>
      <c r="Q648" s="10">
        <f>CHOOSE(CONTROL!$C$42, 18.9681, 18.9681) * CHOOSE(CONTROL!$C$21, $C$9, 100%, $E$9)</f>
        <v>18.9681</v>
      </c>
      <c r="R648" s="10">
        <f>CHOOSE(CONTROL!$C$42, 19.6025, 19.6025) * CHOOSE(CONTROL!$C$21, $C$9, 100%, $E$9)</f>
        <v>19.602499999999999</v>
      </c>
      <c r="S648" s="10">
        <f>CHOOSE(CONTROL!$C$42, 17.9755, 17.9755) * CHOOSE(CONTROL!$C$21, $C$9, 100%, $E$9)</f>
        <v>17.9755</v>
      </c>
      <c r="T64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48" s="38">
        <f>(1000*CHOOSE(CONTROL!$C$42, 695, 695)*CHOOSE(CONTROL!$C$42, 0.5599, 0.5599)*CHOOSE(CONTROL!$C$42, 31, 31))/1000000</f>
        <v>12.063045499999998</v>
      </c>
      <c r="V648" s="38">
        <f>(1000*CHOOSE(CONTROL!$C$42, 500, 500)*CHOOSE(CONTROL!$C$42, 0.275, 0.275)*CHOOSE(CONTROL!$C$42, 31, 31))/1000000</f>
        <v>4.2625000000000002</v>
      </c>
      <c r="W648" s="38">
        <f>(1000*CHOOSE(CONTROL!$C$42, 0.1146, 0.1146)*CHOOSE(CONTROL!$C$42, 121.5, 121.5)*CHOOSE(CONTROL!$C$42, 31, 31))/1000000</f>
        <v>0.43164089999999994</v>
      </c>
      <c r="X648" s="38">
        <f>(31*0.1790888*100000/1000000)+(31*0.2374*100000/1000000)</f>
        <v>1.2911152800000001</v>
      </c>
      <c r="Y648" s="38">
        <f>(1000*600*CHOOSE(CONTROL!$C$42, 1.0585, 1.0585)*CHOOSE(CONTROL!$C$42, 31, 31))/1000000</f>
        <v>19.688099999999999</v>
      </c>
      <c r="Z648" s="38"/>
      <c r="AA648" s="10"/>
      <c r="AB648" s="39"/>
      <c r="AC648" s="33">
        <f>(B648*122.58+C648*297.941+D648*89.177+E648*40.302+F648*40+G648*160+H648*0+I648*100+J648*300)/(122.58+297.941+89.177+40.302+0+40+160+100+300)</f>
        <v>18.541403635565217</v>
      </c>
      <c r="AD648" s="27">
        <f>(M648*'RAP TEMPLATE-GAS AVAILABILITY'!O647+N648*'RAP TEMPLATE-GAS AVAILABILITY'!P647+O648*'RAP TEMPLATE-GAS AVAILABILITY'!Q647+P648*'RAP TEMPLATE-GAS AVAILABILITY'!R647)/('RAP TEMPLATE-GAS AVAILABILITY'!O647+'RAP TEMPLATE-GAS AVAILABILITY'!P647+'RAP TEMPLATE-GAS AVAILABILITY'!Q647+'RAP TEMPLATE-GAS AVAILABILITY'!R647)</f>
        <v>18.332848920863313</v>
      </c>
    </row>
    <row r="649" spans="1:30" ht="15.75">
      <c r="A649" s="13">
        <v>61028</v>
      </c>
      <c r="B649" s="10">
        <f>CHOOSE(CONTROL!$C$42, 19.7997, 19.7997) * CHOOSE(CONTROL!$C$21, $C$9, 100%, $E$9)</f>
        <v>19.799700000000001</v>
      </c>
      <c r="C649" s="10">
        <f>CHOOSE(CONTROL!$C$42, 19.8048, 19.8048) * CHOOSE(CONTROL!$C$21, $C$9, 100%, $E$9)</f>
        <v>19.8048</v>
      </c>
      <c r="D649" s="10">
        <f>CHOOSE(CONTROL!$C$42, 19.8372, 19.8372) * CHOOSE(CONTROL!$C$21, $C$9, 100%, $E$9)</f>
        <v>19.837199999999999</v>
      </c>
      <c r="E649" s="10">
        <f>CHOOSE(CONTROL!$C$42, 19.871, 19.871) * CHOOSE(CONTROL!$C$21, $C$9, 100%, $E$9)</f>
        <v>19.870999999999999</v>
      </c>
      <c r="F649" s="10">
        <f>CHOOSE(CONTROL!$C$42, 19.7839, 19.7839)*CHOOSE(CONTROL!$C$21, $C$9, 100%, $E$9)</f>
        <v>19.783899999999999</v>
      </c>
      <c r="G649" s="10">
        <f>CHOOSE(CONTROL!$C$42, 19.8019, 19.8019)*CHOOSE(CONTROL!$C$21, $C$9, 100%, $E$9)</f>
        <v>19.8019</v>
      </c>
      <c r="H649" s="10">
        <f>CHOOSE(CONTROL!$C$42, 19.8599, 19.8599) * CHOOSE(CONTROL!$C$21, $C$9, 100%, $E$9)</f>
        <v>19.8599</v>
      </c>
      <c r="I649" s="10">
        <f>CHOOSE(CONTROL!$C$42, 19.8131, 19.8131)* CHOOSE(CONTROL!$C$21, $C$9, 100%, $E$9)</f>
        <v>19.813099999999999</v>
      </c>
      <c r="J649" s="10">
        <f>CHOOSE(CONTROL!$C$42, 19.7765, 19.7765)* CHOOSE(CONTROL!$C$21, $C$9, 100%, $E$9)</f>
        <v>19.776499999999999</v>
      </c>
      <c r="K649" s="10">
        <f>CHOOSE(CONTROL!$C$42, 19.3753, 19.3753) * CHOOSE(CONTROL!$C$21, $C$9, 100%, $E$9)</f>
        <v>19.375299999999999</v>
      </c>
      <c r="L649" s="10">
        <f>CHOOSE(CONTROL!$C$42, 20.4469, 20.4469) * CHOOSE(CONTROL!$C$21, $C$9, 100%, $E$9)</f>
        <v>20.446899999999999</v>
      </c>
      <c r="M649" s="10">
        <f>CHOOSE(CONTROL!$C$42, 19.5336, 19.5336) * CHOOSE(CONTROL!$C$21, $C$9, 100%, $E$9)</f>
        <v>19.5336</v>
      </c>
      <c r="N649" s="10">
        <f>CHOOSE(CONTROL!$C$42, 19.5514, 19.5514) * CHOOSE(CONTROL!$C$21, $C$9, 100%, $E$9)</f>
        <v>19.551400000000001</v>
      </c>
      <c r="O649" s="10">
        <f>CHOOSE(CONTROL!$C$42, 19.6159, 19.6159) * CHOOSE(CONTROL!$C$21, $C$9, 100%, $E$9)</f>
        <v>19.6159</v>
      </c>
      <c r="P649" s="10">
        <f>CHOOSE(CONTROL!$C$42, 19.5698, 19.5698) * CHOOSE(CONTROL!$C$21, $C$9, 100%, $E$9)</f>
        <v>19.569800000000001</v>
      </c>
      <c r="Q649" s="10">
        <f>CHOOSE(CONTROL!$C$42, 20.2112, 20.2112) * CHOOSE(CONTROL!$C$21, $C$9, 100%, $E$9)</f>
        <v>20.211200000000002</v>
      </c>
      <c r="R649" s="10">
        <f>CHOOSE(CONTROL!$C$42, 20.8487, 20.8487) * CHOOSE(CONTROL!$C$21, $C$9, 100%, $E$9)</f>
        <v>20.848700000000001</v>
      </c>
      <c r="S649" s="10">
        <f>CHOOSE(CONTROL!$C$42, 19.1887, 19.1887) * CHOOSE(CONTROL!$C$21, $C$9, 100%, $E$9)</f>
        <v>19.188700000000001</v>
      </c>
      <c r="T64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49" s="38">
        <f>(1000*CHOOSE(CONTROL!$C$42, 695, 695)*CHOOSE(CONTROL!$C$42, 0.5599, 0.5599)*CHOOSE(CONTROL!$C$42, 31, 31))/1000000</f>
        <v>12.063045499999998</v>
      </c>
      <c r="V649" s="38">
        <f>(1000*CHOOSE(CONTROL!$C$42, 500, 500)*CHOOSE(CONTROL!$C$42, 0.275, 0.275)*CHOOSE(CONTROL!$C$42, 31, 31))/1000000</f>
        <v>4.2625000000000002</v>
      </c>
      <c r="W649" s="38">
        <f>(1000*CHOOSE(CONTROL!$C$42, 0.1146, 0.1146)*CHOOSE(CONTROL!$C$42, 121.5, 121.5)*CHOOSE(CONTROL!$C$42, 31, 31))/1000000</f>
        <v>0.43164089999999994</v>
      </c>
      <c r="X649" s="38">
        <f>(31*0.1790888*100000/1000000)+(31*0.2374*100000/1000000)</f>
        <v>1.2911152800000001</v>
      </c>
      <c r="Y649" s="38">
        <f>(1000*600*CHOOSE(CONTROL!$C$42, 1.0585, 1.0585)*CHOOSE(CONTROL!$C$42, 31, 31))/1000000</f>
        <v>19.688099999999999</v>
      </c>
      <c r="Z649" s="38"/>
      <c r="AA649" s="10"/>
      <c r="AB649" s="39"/>
      <c r="AC649" s="33">
        <f>(B649*122.58+C649*297.941+D649*89.177+E649*40.302+F649*40+G649*160+H649*0+I649*100+J649*300)/(122.58+297.941+89.177+40.302+0+40+160+100+300)</f>
        <v>19.801297538434785</v>
      </c>
      <c r="AD649" s="27">
        <f>(M649*'RAP TEMPLATE-GAS AVAILABILITY'!O648+N649*'RAP TEMPLATE-GAS AVAILABILITY'!P648+O649*'RAP TEMPLATE-GAS AVAILABILITY'!Q648+P649*'RAP TEMPLATE-GAS AVAILABILITY'!R648)/('RAP TEMPLATE-GAS AVAILABILITY'!O648+'RAP TEMPLATE-GAS AVAILABILITY'!P648+'RAP TEMPLATE-GAS AVAILABILITY'!Q648+'RAP TEMPLATE-GAS AVAILABILITY'!R648)</f>
        <v>19.5771345323741</v>
      </c>
    </row>
    <row r="650" spans="1:30" ht="15.75">
      <c r="A650" s="13">
        <v>61056</v>
      </c>
      <c r="B650" s="10">
        <f>CHOOSE(CONTROL!$C$42, 20.1525, 20.1525) * CHOOSE(CONTROL!$C$21, $C$9, 100%, $E$9)</f>
        <v>20.1525</v>
      </c>
      <c r="C650" s="10">
        <f>CHOOSE(CONTROL!$C$42, 20.1576, 20.1576) * CHOOSE(CONTROL!$C$21, $C$9, 100%, $E$9)</f>
        <v>20.157599999999999</v>
      </c>
      <c r="D650" s="10">
        <f>CHOOSE(CONTROL!$C$42, 20.19, 20.19) * CHOOSE(CONTROL!$C$21, $C$9, 100%, $E$9)</f>
        <v>20.190000000000001</v>
      </c>
      <c r="E650" s="10">
        <f>CHOOSE(CONTROL!$C$42, 20.2238, 20.2238) * CHOOSE(CONTROL!$C$21, $C$9, 100%, $E$9)</f>
        <v>20.223800000000001</v>
      </c>
      <c r="F650" s="10">
        <f>CHOOSE(CONTROL!$C$42, 20.1362, 20.1362)*CHOOSE(CONTROL!$C$21, $C$9, 100%, $E$9)</f>
        <v>20.136199999999999</v>
      </c>
      <c r="G650" s="10">
        <f>CHOOSE(CONTROL!$C$42, 20.1541, 20.1541)*CHOOSE(CONTROL!$C$21, $C$9, 100%, $E$9)</f>
        <v>20.1541</v>
      </c>
      <c r="H650" s="10">
        <f>CHOOSE(CONTROL!$C$42, 20.2127, 20.2127) * CHOOSE(CONTROL!$C$21, $C$9, 100%, $E$9)</f>
        <v>20.212700000000002</v>
      </c>
      <c r="I650" s="10">
        <f>CHOOSE(CONTROL!$C$42, 20.1659, 20.1659)* CHOOSE(CONTROL!$C$21, $C$9, 100%, $E$9)</f>
        <v>20.165900000000001</v>
      </c>
      <c r="J650" s="10">
        <f>CHOOSE(CONTROL!$C$42, 20.1288, 20.1288)* CHOOSE(CONTROL!$C$21, $C$9, 100%, $E$9)</f>
        <v>20.128799999999998</v>
      </c>
      <c r="K650" s="10">
        <f>CHOOSE(CONTROL!$C$42, 19.7161, 19.7161) * CHOOSE(CONTROL!$C$21, $C$9, 100%, $E$9)</f>
        <v>19.716100000000001</v>
      </c>
      <c r="L650" s="10">
        <f>CHOOSE(CONTROL!$C$42, 20.7997, 20.7997) * CHOOSE(CONTROL!$C$21, $C$9, 100%, $E$9)</f>
        <v>20.799700000000001</v>
      </c>
      <c r="M650" s="10">
        <f>CHOOSE(CONTROL!$C$42, 19.881, 19.881) * CHOOSE(CONTROL!$C$21, $C$9, 100%, $E$9)</f>
        <v>19.881</v>
      </c>
      <c r="N650" s="10">
        <f>CHOOSE(CONTROL!$C$42, 19.8987, 19.8987) * CHOOSE(CONTROL!$C$21, $C$9, 100%, $E$9)</f>
        <v>19.898700000000002</v>
      </c>
      <c r="O650" s="10">
        <f>CHOOSE(CONTROL!$C$42, 19.9637, 19.9637) * CHOOSE(CONTROL!$C$21, $C$9, 100%, $E$9)</f>
        <v>19.963699999999999</v>
      </c>
      <c r="P650" s="10">
        <f>CHOOSE(CONTROL!$C$42, 19.9176, 19.9176) * CHOOSE(CONTROL!$C$21, $C$9, 100%, $E$9)</f>
        <v>19.9176</v>
      </c>
      <c r="Q650" s="10">
        <f>CHOOSE(CONTROL!$C$42, 20.559, 20.559) * CHOOSE(CONTROL!$C$21, $C$9, 100%, $E$9)</f>
        <v>20.559000000000001</v>
      </c>
      <c r="R650" s="10">
        <f>CHOOSE(CONTROL!$C$42, 21.1974, 21.1974) * CHOOSE(CONTROL!$C$21, $C$9, 100%, $E$9)</f>
        <v>21.197399999999998</v>
      </c>
      <c r="S650" s="10">
        <f>CHOOSE(CONTROL!$C$42, 19.5303, 19.5303) * CHOOSE(CONTROL!$C$21, $C$9, 100%, $E$9)</f>
        <v>19.5303</v>
      </c>
      <c r="T65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50" s="38">
        <f>(1000*CHOOSE(CONTROL!$C$42, 695, 695)*CHOOSE(CONTROL!$C$42, 0.5599, 0.5599)*CHOOSE(CONTROL!$C$42, 28, 28))/1000000</f>
        <v>10.895653999999999</v>
      </c>
      <c r="V650" s="38">
        <f>(1000*CHOOSE(CONTROL!$C$42, 500, 500)*CHOOSE(CONTROL!$C$42, 0.275, 0.275)*CHOOSE(CONTROL!$C$42, 28, 28))/1000000</f>
        <v>3.85</v>
      </c>
      <c r="W650" s="38">
        <f>(1000*CHOOSE(CONTROL!$C$42, 0.1146, 0.1146)*CHOOSE(CONTROL!$C$42, 121.5, 121.5)*CHOOSE(CONTROL!$C$42, 28, 28))/1000000</f>
        <v>0.38986920000000003</v>
      </c>
      <c r="X650" s="38">
        <f>(28*0.1790888*100000/1000000)+(28*0.2374*100000/1000000)</f>
        <v>1.16616864</v>
      </c>
      <c r="Y650" s="38">
        <f>(1000*600*CHOOSE(CONTROL!$C$42, 1.0585, 1.0585)*CHOOSE(CONTROL!$C$42, 28, 28))/1000000</f>
        <v>17.782800000000002</v>
      </c>
      <c r="Z650" s="38"/>
      <c r="AA650" s="10"/>
      <c r="AB650" s="39"/>
      <c r="AC650" s="33">
        <f>(B650*122.58+C650*297.941+D650*89.177+E650*40.302+F650*40+G650*160+H650*0+I650*100+J650*300)/(122.58+297.941+89.177+40.302+0+40+160+100+300)</f>
        <v>20.153866234086959</v>
      </c>
      <c r="AD650" s="27">
        <f>(M650*'RAP TEMPLATE-GAS AVAILABILITY'!O649+N650*'RAP TEMPLATE-GAS AVAILABILITY'!P649+O650*'RAP TEMPLATE-GAS AVAILABILITY'!Q649+P650*'RAP TEMPLATE-GAS AVAILABILITY'!R649)/('RAP TEMPLATE-GAS AVAILABILITY'!O649+'RAP TEMPLATE-GAS AVAILABILITY'!P649+'RAP TEMPLATE-GAS AVAILABILITY'!Q649+'RAP TEMPLATE-GAS AVAILABILITY'!R649)</f>
        <v>19.924767625899282</v>
      </c>
    </row>
    <row r="651" spans="1:30" ht="15.75">
      <c r="A651" s="13">
        <v>61087</v>
      </c>
      <c r="B651" s="10">
        <f>CHOOSE(CONTROL!$C$42, 19.5798, 19.5798) * CHOOSE(CONTROL!$C$21, $C$9, 100%, $E$9)</f>
        <v>19.579799999999999</v>
      </c>
      <c r="C651" s="10">
        <f>CHOOSE(CONTROL!$C$42, 19.5849, 19.5849) * CHOOSE(CONTROL!$C$21, $C$9, 100%, $E$9)</f>
        <v>19.584900000000001</v>
      </c>
      <c r="D651" s="10">
        <f>CHOOSE(CONTROL!$C$42, 19.6174, 19.6174) * CHOOSE(CONTROL!$C$21, $C$9, 100%, $E$9)</f>
        <v>19.6174</v>
      </c>
      <c r="E651" s="10">
        <f>CHOOSE(CONTROL!$C$42, 19.6512, 19.6512) * CHOOSE(CONTROL!$C$21, $C$9, 100%, $E$9)</f>
        <v>19.651199999999999</v>
      </c>
      <c r="F651" s="10">
        <f>CHOOSE(CONTROL!$C$42, 19.5621, 19.5621)*CHOOSE(CONTROL!$C$21, $C$9, 100%, $E$9)</f>
        <v>19.562100000000001</v>
      </c>
      <c r="G651" s="10">
        <f>CHOOSE(CONTROL!$C$42, 19.5797, 19.5797)*CHOOSE(CONTROL!$C$21, $C$9, 100%, $E$9)</f>
        <v>19.579699999999999</v>
      </c>
      <c r="H651" s="10">
        <f>CHOOSE(CONTROL!$C$42, 19.6401, 19.6401) * CHOOSE(CONTROL!$C$21, $C$9, 100%, $E$9)</f>
        <v>19.6401</v>
      </c>
      <c r="I651" s="10">
        <f>CHOOSE(CONTROL!$C$42, 19.5933, 19.5933)* CHOOSE(CONTROL!$C$21, $C$9, 100%, $E$9)</f>
        <v>19.593299999999999</v>
      </c>
      <c r="J651" s="10">
        <f>CHOOSE(CONTROL!$C$42, 19.5547, 19.5547)* CHOOSE(CONTROL!$C$21, $C$9, 100%, $E$9)</f>
        <v>19.5547</v>
      </c>
      <c r="K651" s="10">
        <f>CHOOSE(CONTROL!$C$42, 19.1582, 19.1582) * CHOOSE(CONTROL!$C$21, $C$9, 100%, $E$9)</f>
        <v>19.158200000000001</v>
      </c>
      <c r="L651" s="10">
        <f>CHOOSE(CONTROL!$C$42, 20.2271, 20.2271) * CHOOSE(CONTROL!$C$21, $C$9, 100%, $E$9)</f>
        <v>20.2271</v>
      </c>
      <c r="M651" s="10">
        <f>CHOOSE(CONTROL!$C$42, 19.3149, 19.3149) * CHOOSE(CONTROL!$C$21, $C$9, 100%, $E$9)</f>
        <v>19.314900000000002</v>
      </c>
      <c r="N651" s="10">
        <f>CHOOSE(CONTROL!$C$42, 19.3322, 19.3322) * CHOOSE(CONTROL!$C$21, $C$9, 100%, $E$9)</f>
        <v>19.3322</v>
      </c>
      <c r="O651" s="10">
        <f>CHOOSE(CONTROL!$C$42, 19.3991, 19.3991) * CHOOSE(CONTROL!$C$21, $C$9, 100%, $E$9)</f>
        <v>19.399100000000001</v>
      </c>
      <c r="P651" s="10">
        <f>CHOOSE(CONTROL!$C$42, 19.353, 19.353) * CHOOSE(CONTROL!$C$21, $C$9, 100%, $E$9)</f>
        <v>19.353000000000002</v>
      </c>
      <c r="Q651" s="10">
        <f>CHOOSE(CONTROL!$C$42, 19.9944, 19.9944) * CHOOSE(CONTROL!$C$21, $C$9, 100%, $E$9)</f>
        <v>19.994399999999999</v>
      </c>
      <c r="R651" s="10">
        <f>CHOOSE(CONTROL!$C$42, 20.6314, 20.6314) * CHOOSE(CONTROL!$C$21, $C$9, 100%, $E$9)</f>
        <v>20.631399999999999</v>
      </c>
      <c r="S651" s="10">
        <f>CHOOSE(CONTROL!$C$42, 18.9758, 18.9758) * CHOOSE(CONTROL!$C$21, $C$9, 100%, $E$9)</f>
        <v>18.9758</v>
      </c>
      <c r="T65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51" s="38">
        <f>(1000*CHOOSE(CONTROL!$C$42, 695, 695)*CHOOSE(CONTROL!$C$42, 0.5599, 0.5599)*CHOOSE(CONTROL!$C$42, 31, 31))/1000000</f>
        <v>12.063045499999998</v>
      </c>
      <c r="V651" s="38">
        <f>(1000*CHOOSE(CONTROL!$C$42, 500, 500)*CHOOSE(CONTROL!$C$42, 0.275, 0.275)*CHOOSE(CONTROL!$C$42, 31, 31))/1000000</f>
        <v>4.2625000000000002</v>
      </c>
      <c r="W651" s="38">
        <f>(1000*CHOOSE(CONTROL!$C$42, 0.1146, 0.1146)*CHOOSE(CONTROL!$C$42, 121.5, 121.5)*CHOOSE(CONTROL!$C$42, 31, 31))/1000000</f>
        <v>0.43164089999999994</v>
      </c>
      <c r="X651" s="38">
        <f>(31*0.1790888*100000/1000000)+(31*0.2374*100000/1000000)</f>
        <v>1.2911152800000001</v>
      </c>
      <c r="Y651" s="38">
        <f>(1000*600*CHOOSE(CONTROL!$C$42, 1.0585, 1.0585)*CHOOSE(CONTROL!$C$42, 31, 31))/1000000</f>
        <v>19.688099999999999</v>
      </c>
      <c r="Z651" s="38"/>
      <c r="AA651" s="10"/>
      <c r="AB651" s="39"/>
      <c r="AC651" s="33">
        <f>(B651*122.58+C651*297.941+D651*89.177+E651*40.302+F651*40+G651*160+H651*0+I651*100+J651*300)/(122.58+297.941+89.177+40.302+0+40+160+100+300)</f>
        <v>19.580535754000003</v>
      </c>
      <c r="AD651" s="27">
        <f>(M651*'RAP TEMPLATE-GAS AVAILABILITY'!O650+N651*'RAP TEMPLATE-GAS AVAILABILITY'!P650+O651*'RAP TEMPLATE-GAS AVAILABILITY'!Q650+P651*'RAP TEMPLATE-GAS AVAILABILITY'!R650)/('RAP TEMPLATE-GAS AVAILABILITY'!O650+'RAP TEMPLATE-GAS AVAILABILITY'!P650+'RAP TEMPLATE-GAS AVAILABILITY'!Q650+'RAP TEMPLATE-GAS AVAILABILITY'!R650)</f>
        <v>19.359540287769782</v>
      </c>
    </row>
    <row r="652" spans="1:30" ht="15.75">
      <c r="A652" s="13">
        <v>61117</v>
      </c>
      <c r="B652" s="10">
        <f>CHOOSE(CONTROL!$C$42, 19.5219, 19.5219) * CHOOSE(CONTROL!$C$21, $C$9, 100%, $E$9)</f>
        <v>19.521899999999999</v>
      </c>
      <c r="C652" s="10">
        <f>CHOOSE(CONTROL!$C$42, 19.5265, 19.5265) * CHOOSE(CONTROL!$C$21, $C$9, 100%, $E$9)</f>
        <v>19.526499999999999</v>
      </c>
      <c r="D652" s="10">
        <f>CHOOSE(CONTROL!$C$42, 19.6866, 19.6866) * CHOOSE(CONTROL!$C$21, $C$9, 100%, $E$9)</f>
        <v>19.686599999999999</v>
      </c>
      <c r="E652" s="10">
        <f>CHOOSE(CONTROL!$C$42, 19.7184, 19.7184) * CHOOSE(CONTROL!$C$21, $C$9, 100%, $E$9)</f>
        <v>19.718399999999999</v>
      </c>
      <c r="F652" s="10">
        <f>CHOOSE(CONTROL!$C$42, 19.468, 19.468)*CHOOSE(CONTROL!$C$21, $C$9, 100%, $E$9)</f>
        <v>19.468</v>
      </c>
      <c r="G652" s="10">
        <f>CHOOSE(CONTROL!$C$42, 19.4839, 19.4839)*CHOOSE(CONTROL!$C$21, $C$9, 100%, $E$9)</f>
        <v>19.483899999999998</v>
      </c>
      <c r="H652" s="10">
        <f>CHOOSE(CONTROL!$C$42, 19.7079, 19.7079) * CHOOSE(CONTROL!$C$21, $C$9, 100%, $E$9)</f>
        <v>19.707899999999999</v>
      </c>
      <c r="I652" s="10">
        <f>CHOOSE(CONTROL!$C$42, 19.5021, 19.5021)* CHOOSE(CONTROL!$C$21, $C$9, 100%, $E$9)</f>
        <v>19.502099999999999</v>
      </c>
      <c r="J652" s="10">
        <f>CHOOSE(CONTROL!$C$42, 19.4606, 19.4606)* CHOOSE(CONTROL!$C$21, $C$9, 100%, $E$9)</f>
        <v>19.460599999999999</v>
      </c>
      <c r="K652" s="10">
        <f>CHOOSE(CONTROL!$C$42, 19.0538, 19.0538) * CHOOSE(CONTROL!$C$21, $C$9, 100%, $E$9)</f>
        <v>19.053799999999999</v>
      </c>
      <c r="L652" s="10">
        <f>CHOOSE(CONTROL!$C$42, 20.2949, 20.2949) * CHOOSE(CONTROL!$C$21, $C$9, 100%, $E$9)</f>
        <v>20.294899999999998</v>
      </c>
      <c r="M652" s="10">
        <f>CHOOSE(CONTROL!$C$42, 19.2222, 19.2222) * CHOOSE(CONTROL!$C$21, $C$9, 100%, $E$9)</f>
        <v>19.222200000000001</v>
      </c>
      <c r="N652" s="10">
        <f>CHOOSE(CONTROL!$C$42, 19.2378, 19.2378) * CHOOSE(CONTROL!$C$21, $C$9, 100%, $E$9)</f>
        <v>19.2378</v>
      </c>
      <c r="O652" s="10">
        <f>CHOOSE(CONTROL!$C$42, 19.466, 19.466) * CHOOSE(CONTROL!$C$21, $C$9, 100%, $E$9)</f>
        <v>19.466000000000001</v>
      </c>
      <c r="P652" s="10">
        <f>CHOOSE(CONTROL!$C$42, 19.2631, 19.2631) * CHOOSE(CONTROL!$C$21, $C$9, 100%, $E$9)</f>
        <v>19.263100000000001</v>
      </c>
      <c r="Q652" s="10">
        <f>CHOOSE(CONTROL!$C$42, 20.0613, 20.0613) * CHOOSE(CONTROL!$C$21, $C$9, 100%, $E$9)</f>
        <v>20.061299999999999</v>
      </c>
      <c r="R652" s="10">
        <f>CHOOSE(CONTROL!$C$42, 20.6984, 20.6984) * CHOOSE(CONTROL!$C$21, $C$9, 100%, $E$9)</f>
        <v>20.698399999999999</v>
      </c>
      <c r="S652" s="10">
        <f>CHOOSE(CONTROL!$C$42, 18.919, 18.919) * CHOOSE(CONTROL!$C$21, $C$9, 100%, $E$9)</f>
        <v>18.919</v>
      </c>
      <c r="T65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52" s="38">
        <f>(1000*CHOOSE(CONTROL!$C$42, 695, 695)*CHOOSE(CONTROL!$C$42, 0.5599, 0.5599)*CHOOSE(CONTROL!$C$42, 30, 30))/1000000</f>
        <v>11.673914999999997</v>
      </c>
      <c r="V652" s="38">
        <f>(1000*CHOOSE(CONTROL!$C$42, 500, 500)*CHOOSE(CONTROL!$C$42, 0.275, 0.275)*CHOOSE(CONTROL!$C$42, 30, 30))/1000000</f>
        <v>4.125</v>
      </c>
      <c r="W652" s="38">
        <f>(1000*CHOOSE(CONTROL!$C$42, 0.1146, 0.1146)*CHOOSE(CONTROL!$C$42, 121.5, 121.5)*CHOOSE(CONTROL!$C$42, 30, 30))/1000000</f>
        <v>0.417717</v>
      </c>
      <c r="X652" s="38">
        <f>(30*0.1790888*245000/1000000)+(30*0.2374*100000/1000000)</f>
        <v>2.0285026799999999</v>
      </c>
      <c r="Y652" s="38">
        <f>(1000*600*CHOOSE(CONTROL!$C$42, 1.0585, 1.0585)*CHOOSE(CONTROL!$C$42, 30, 30))/1000000</f>
        <v>19.053000000000001</v>
      </c>
      <c r="Z652" s="38"/>
      <c r="AA652" s="10"/>
      <c r="AB652" s="39"/>
      <c r="AC652" s="33">
        <f>(B652*141.293+C652*267.993+D652*115.016+E652*89.698+F652*40+G652*185+H652*0+I652*100+J652*300)/(141.293+267.993+115.016+89.698+0+40+185+100+300)</f>
        <v>19.528555012106537</v>
      </c>
      <c r="AD652" s="27">
        <f>(M652*'RAP TEMPLATE-GAS AVAILABILITY'!O651+N652*'RAP TEMPLATE-GAS AVAILABILITY'!P651+O652*'RAP TEMPLATE-GAS AVAILABILITY'!Q651+P652*'RAP TEMPLATE-GAS AVAILABILITY'!R651)/('RAP TEMPLATE-GAS AVAILABILITY'!O651+'RAP TEMPLATE-GAS AVAILABILITY'!P651+'RAP TEMPLATE-GAS AVAILABILITY'!Q651+'RAP TEMPLATE-GAS AVAILABILITY'!R651)</f>
        <v>19.339482014388491</v>
      </c>
    </row>
    <row r="653" spans="1:30" ht="15.75">
      <c r="A653" s="13">
        <v>61148</v>
      </c>
      <c r="B653" s="10">
        <f>CHOOSE(CONTROL!$C$42, 19.6962, 19.6962) * CHOOSE(CONTROL!$C$21, $C$9, 100%, $E$9)</f>
        <v>19.696200000000001</v>
      </c>
      <c r="C653" s="10">
        <f>CHOOSE(CONTROL!$C$42, 19.7042, 19.7042) * CHOOSE(CONTROL!$C$21, $C$9, 100%, $E$9)</f>
        <v>19.7042</v>
      </c>
      <c r="D653" s="10">
        <f>CHOOSE(CONTROL!$C$42, 19.8612, 19.8612) * CHOOSE(CONTROL!$C$21, $C$9, 100%, $E$9)</f>
        <v>19.8612</v>
      </c>
      <c r="E653" s="10">
        <f>CHOOSE(CONTROL!$C$42, 19.8925, 19.8925) * CHOOSE(CONTROL!$C$21, $C$9, 100%, $E$9)</f>
        <v>19.892499999999998</v>
      </c>
      <c r="F653" s="10">
        <f>CHOOSE(CONTROL!$C$42, 19.6403, 19.6403)*CHOOSE(CONTROL!$C$21, $C$9, 100%, $E$9)</f>
        <v>19.6403</v>
      </c>
      <c r="G653" s="10">
        <f>CHOOSE(CONTROL!$C$42, 19.6565, 19.6565)*CHOOSE(CONTROL!$C$21, $C$9, 100%, $E$9)</f>
        <v>19.656500000000001</v>
      </c>
      <c r="H653" s="10">
        <f>CHOOSE(CONTROL!$C$42, 19.8808, 19.8808) * CHOOSE(CONTROL!$C$21, $C$9, 100%, $E$9)</f>
        <v>19.880800000000001</v>
      </c>
      <c r="I653" s="10">
        <f>CHOOSE(CONTROL!$C$42, 19.675, 19.675)* CHOOSE(CONTROL!$C$21, $C$9, 100%, $E$9)</f>
        <v>19.675000000000001</v>
      </c>
      <c r="J653" s="10">
        <f>CHOOSE(CONTROL!$C$42, 19.6329, 19.6329)* CHOOSE(CONTROL!$C$21, $C$9, 100%, $E$9)</f>
        <v>19.632899999999999</v>
      </c>
      <c r="K653" s="10">
        <f>CHOOSE(CONTROL!$C$42, 19.22, 19.22) * CHOOSE(CONTROL!$C$21, $C$9, 100%, $E$9)</f>
        <v>19.22</v>
      </c>
      <c r="L653" s="10">
        <f>CHOOSE(CONTROL!$C$42, 20.4678, 20.4678) * CHOOSE(CONTROL!$C$21, $C$9, 100%, $E$9)</f>
        <v>20.4678</v>
      </c>
      <c r="M653" s="10">
        <f>CHOOSE(CONTROL!$C$42, 19.3921, 19.3921) * CHOOSE(CONTROL!$C$21, $C$9, 100%, $E$9)</f>
        <v>19.392099999999999</v>
      </c>
      <c r="N653" s="10">
        <f>CHOOSE(CONTROL!$C$42, 19.408, 19.408) * CHOOSE(CONTROL!$C$21, $C$9, 100%, $E$9)</f>
        <v>19.408000000000001</v>
      </c>
      <c r="O653" s="10">
        <f>CHOOSE(CONTROL!$C$42, 19.6365, 19.6365) * CHOOSE(CONTROL!$C$21, $C$9, 100%, $E$9)</f>
        <v>19.636500000000002</v>
      </c>
      <c r="P653" s="10">
        <f>CHOOSE(CONTROL!$C$42, 19.4336, 19.4336) * CHOOSE(CONTROL!$C$21, $C$9, 100%, $E$9)</f>
        <v>19.433599999999998</v>
      </c>
      <c r="Q653" s="10">
        <f>CHOOSE(CONTROL!$C$42, 20.2318, 20.2318) * CHOOSE(CONTROL!$C$21, $C$9, 100%, $E$9)</f>
        <v>20.2318</v>
      </c>
      <c r="R653" s="10">
        <f>CHOOSE(CONTROL!$C$42, 20.8693, 20.8693) * CHOOSE(CONTROL!$C$21, $C$9, 100%, $E$9)</f>
        <v>20.869299999999999</v>
      </c>
      <c r="S653" s="10">
        <f>CHOOSE(CONTROL!$C$42, 19.0864, 19.0864) * CHOOSE(CONTROL!$C$21, $C$9, 100%, $E$9)</f>
        <v>19.086400000000001</v>
      </c>
      <c r="T65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53" s="38">
        <f>(1000*CHOOSE(CONTROL!$C$42, 695, 695)*CHOOSE(CONTROL!$C$42, 0.5599, 0.5599)*CHOOSE(CONTROL!$C$42, 31, 31))/1000000</f>
        <v>12.063045499999998</v>
      </c>
      <c r="V653" s="38">
        <f>(1000*CHOOSE(CONTROL!$C$42, 500, 500)*CHOOSE(CONTROL!$C$42, 0.275, 0.275)*CHOOSE(CONTROL!$C$42, 31, 31))/1000000</f>
        <v>4.2625000000000002</v>
      </c>
      <c r="W653" s="38">
        <f>(1000*CHOOSE(CONTROL!$C$42, 0.1146, 0.1146)*CHOOSE(CONTROL!$C$42, 121.5, 121.5)*CHOOSE(CONTROL!$C$42, 31, 31))/1000000</f>
        <v>0.43164089999999994</v>
      </c>
      <c r="X653" s="38">
        <f>(31*0.1790888*245000/1000000)+(31*0.2374*100000/1000000)</f>
        <v>2.0961194359999999</v>
      </c>
      <c r="Y653" s="38">
        <f>(1000*600*CHOOSE(CONTROL!$C$42, 1.0585, 1.0585)*CHOOSE(CONTROL!$C$42, 31, 31))/1000000</f>
        <v>19.688099999999999</v>
      </c>
      <c r="Z653" s="38"/>
      <c r="AA653" s="10"/>
      <c r="AB653" s="39"/>
      <c r="AC653" s="33">
        <f>(B653*194.205+C653*267.466+D653*133.845+E653*53.484+F653*40+G653*185+H653*0+I653*100+J653*300)/(194.205+267.466+133.845+53.484+0+40+185+100+300)</f>
        <v>19.699365276452117</v>
      </c>
      <c r="AD653" s="27">
        <f>(M653*'RAP TEMPLATE-GAS AVAILABILITY'!O652+N653*'RAP TEMPLATE-GAS AVAILABILITY'!P652+O653*'RAP TEMPLATE-GAS AVAILABILITY'!Q652+P653*'RAP TEMPLATE-GAS AVAILABILITY'!R652)/('RAP TEMPLATE-GAS AVAILABILITY'!O652+'RAP TEMPLATE-GAS AVAILABILITY'!P652+'RAP TEMPLATE-GAS AVAILABILITY'!Q652+'RAP TEMPLATE-GAS AVAILABILITY'!R652)</f>
        <v>19.509757553956835</v>
      </c>
    </row>
    <row r="654" spans="1:30" ht="15.75">
      <c r="A654" s="13">
        <v>61178</v>
      </c>
      <c r="B654" s="10">
        <f>CHOOSE(CONTROL!$C$42, 20.2553, 20.2553) * CHOOSE(CONTROL!$C$21, $C$9, 100%, $E$9)</f>
        <v>20.255299999999998</v>
      </c>
      <c r="C654" s="10">
        <f>CHOOSE(CONTROL!$C$42, 20.2633, 20.2633) * CHOOSE(CONTROL!$C$21, $C$9, 100%, $E$9)</f>
        <v>20.263300000000001</v>
      </c>
      <c r="D654" s="10">
        <f>CHOOSE(CONTROL!$C$42, 20.4203, 20.4203) * CHOOSE(CONTROL!$C$21, $C$9, 100%, $E$9)</f>
        <v>20.420300000000001</v>
      </c>
      <c r="E654" s="10">
        <f>CHOOSE(CONTROL!$C$42, 20.4516, 20.4516) * CHOOSE(CONTROL!$C$21, $C$9, 100%, $E$9)</f>
        <v>20.451599999999999</v>
      </c>
      <c r="F654" s="10">
        <f>CHOOSE(CONTROL!$C$42, 20.1996, 20.1996)*CHOOSE(CONTROL!$C$21, $C$9, 100%, $E$9)</f>
        <v>20.1996</v>
      </c>
      <c r="G654" s="10">
        <f>CHOOSE(CONTROL!$C$42, 20.2158, 20.2158)*CHOOSE(CONTROL!$C$21, $C$9, 100%, $E$9)</f>
        <v>20.215800000000002</v>
      </c>
      <c r="H654" s="10">
        <f>CHOOSE(CONTROL!$C$42, 20.4399, 20.4399) * CHOOSE(CONTROL!$C$21, $C$9, 100%, $E$9)</f>
        <v>20.439900000000002</v>
      </c>
      <c r="I654" s="10">
        <f>CHOOSE(CONTROL!$C$42, 20.2341, 20.2341)* CHOOSE(CONTROL!$C$21, $C$9, 100%, $E$9)</f>
        <v>20.234100000000002</v>
      </c>
      <c r="J654" s="10">
        <f>CHOOSE(CONTROL!$C$42, 20.1922, 20.1922)* CHOOSE(CONTROL!$C$21, $C$9, 100%, $E$9)</f>
        <v>20.1922</v>
      </c>
      <c r="K654" s="10">
        <f>CHOOSE(CONTROL!$C$42, 19.7621, 19.7621) * CHOOSE(CONTROL!$C$21, $C$9, 100%, $E$9)</f>
        <v>19.7621</v>
      </c>
      <c r="L654" s="10">
        <f>CHOOSE(CONTROL!$C$42, 21.0269, 21.0269) * CHOOSE(CONTROL!$C$21, $C$9, 100%, $E$9)</f>
        <v>21.026900000000001</v>
      </c>
      <c r="M654" s="10">
        <f>CHOOSE(CONTROL!$C$42, 19.9435, 19.9435) * CHOOSE(CONTROL!$C$21, $C$9, 100%, $E$9)</f>
        <v>19.9435</v>
      </c>
      <c r="N654" s="10">
        <f>CHOOSE(CONTROL!$C$42, 19.9595, 19.9595) * CHOOSE(CONTROL!$C$21, $C$9, 100%, $E$9)</f>
        <v>19.959499999999998</v>
      </c>
      <c r="O654" s="10">
        <f>CHOOSE(CONTROL!$C$42, 20.1878, 20.1878) * CHOOSE(CONTROL!$C$21, $C$9, 100%, $E$9)</f>
        <v>20.187799999999999</v>
      </c>
      <c r="P654" s="10">
        <f>CHOOSE(CONTROL!$C$42, 19.9849, 19.9849) * CHOOSE(CONTROL!$C$21, $C$9, 100%, $E$9)</f>
        <v>19.9849</v>
      </c>
      <c r="Q654" s="10">
        <f>CHOOSE(CONTROL!$C$42, 20.7831, 20.7831) * CHOOSE(CONTROL!$C$21, $C$9, 100%, $E$9)</f>
        <v>20.783100000000001</v>
      </c>
      <c r="R654" s="10">
        <f>CHOOSE(CONTROL!$C$42, 21.422, 21.422) * CHOOSE(CONTROL!$C$21, $C$9, 100%, $E$9)</f>
        <v>21.422000000000001</v>
      </c>
      <c r="S654" s="10">
        <f>CHOOSE(CONTROL!$C$42, 19.6278, 19.6278) * CHOOSE(CONTROL!$C$21, $C$9, 100%, $E$9)</f>
        <v>19.627800000000001</v>
      </c>
      <c r="T65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54" s="38">
        <f>(1000*CHOOSE(CONTROL!$C$42, 695, 695)*CHOOSE(CONTROL!$C$42, 0.5599, 0.5599)*CHOOSE(CONTROL!$C$42, 30, 30))/1000000</f>
        <v>11.673914999999997</v>
      </c>
      <c r="V654" s="38">
        <f>(1000*CHOOSE(CONTROL!$C$42, 500, 500)*CHOOSE(CONTROL!$C$42, 0.275, 0.275)*CHOOSE(CONTROL!$C$42, 30, 30))/1000000</f>
        <v>4.125</v>
      </c>
      <c r="W654" s="38">
        <f>(1000*CHOOSE(CONTROL!$C$42, 0.1146, 0.1146)*CHOOSE(CONTROL!$C$42, 121.5, 121.5)*CHOOSE(CONTROL!$C$42, 30, 30))/1000000</f>
        <v>0.417717</v>
      </c>
      <c r="X654" s="38">
        <f>(30*0.1790888*245000/1000000)+(30*0.2374*100000/1000000)</f>
        <v>2.0285026799999999</v>
      </c>
      <c r="Y654" s="38">
        <f>(1000*600*CHOOSE(CONTROL!$C$42, 1.0585, 1.0585)*CHOOSE(CONTROL!$C$42, 30, 30))/1000000</f>
        <v>19.053000000000001</v>
      </c>
      <c r="Z654" s="38"/>
      <c r="AA654" s="10"/>
      <c r="AB654" s="39"/>
      <c r="AC654" s="33">
        <f>(B654*194.205+C654*267.466+D654*133.845+E654*53.484+F654*40+G654*185+H654*0+I654*100+J654*300)/(194.205+267.466+133.845+53.484+0+40+185+100+300)</f>
        <v>20.258547694034537</v>
      </c>
      <c r="AD654" s="27">
        <f>(M654*'RAP TEMPLATE-GAS AVAILABILITY'!O653+N654*'RAP TEMPLATE-GAS AVAILABILITY'!P653+O654*'RAP TEMPLATE-GAS AVAILABILITY'!Q653+P654*'RAP TEMPLATE-GAS AVAILABILITY'!R653)/('RAP TEMPLATE-GAS AVAILABILITY'!O653+'RAP TEMPLATE-GAS AVAILABILITY'!P653+'RAP TEMPLATE-GAS AVAILABILITY'!Q653+'RAP TEMPLATE-GAS AVAILABILITY'!R653)</f>
        <v>20.061103597122305</v>
      </c>
    </row>
    <row r="655" spans="1:30" ht="15.75">
      <c r="A655" s="13">
        <v>61209</v>
      </c>
      <c r="B655" s="10">
        <f>CHOOSE(CONTROL!$C$42, 19.8664, 19.8664) * CHOOSE(CONTROL!$C$21, $C$9, 100%, $E$9)</f>
        <v>19.866399999999999</v>
      </c>
      <c r="C655" s="10">
        <f>CHOOSE(CONTROL!$C$42, 19.8744, 19.8744) * CHOOSE(CONTROL!$C$21, $C$9, 100%, $E$9)</f>
        <v>19.874400000000001</v>
      </c>
      <c r="D655" s="10">
        <f>CHOOSE(CONTROL!$C$42, 20.0315, 20.0315) * CHOOSE(CONTROL!$C$21, $C$9, 100%, $E$9)</f>
        <v>20.031500000000001</v>
      </c>
      <c r="E655" s="10">
        <f>CHOOSE(CONTROL!$C$42, 20.0627, 20.0627) * CHOOSE(CONTROL!$C$21, $C$9, 100%, $E$9)</f>
        <v>20.0627</v>
      </c>
      <c r="F655" s="10">
        <f>CHOOSE(CONTROL!$C$42, 19.8111, 19.8111)*CHOOSE(CONTROL!$C$21, $C$9, 100%, $E$9)</f>
        <v>19.8111</v>
      </c>
      <c r="G655" s="10">
        <f>CHOOSE(CONTROL!$C$42, 19.8273, 19.8273)*CHOOSE(CONTROL!$C$21, $C$9, 100%, $E$9)</f>
        <v>19.827300000000001</v>
      </c>
      <c r="H655" s="10">
        <f>CHOOSE(CONTROL!$C$42, 20.051, 20.051) * CHOOSE(CONTROL!$C$21, $C$9, 100%, $E$9)</f>
        <v>20.050999999999998</v>
      </c>
      <c r="I655" s="10">
        <f>CHOOSE(CONTROL!$C$42, 19.8452, 19.8452)* CHOOSE(CONTROL!$C$21, $C$9, 100%, $E$9)</f>
        <v>19.845199999999998</v>
      </c>
      <c r="J655" s="10">
        <f>CHOOSE(CONTROL!$C$42, 19.8037, 19.8037)* CHOOSE(CONTROL!$C$21, $C$9, 100%, $E$9)</f>
        <v>19.803699999999999</v>
      </c>
      <c r="K655" s="10">
        <f>CHOOSE(CONTROL!$C$42, 19.386, 19.386) * CHOOSE(CONTROL!$C$21, $C$9, 100%, $E$9)</f>
        <v>19.385999999999999</v>
      </c>
      <c r="L655" s="10">
        <f>CHOOSE(CONTROL!$C$42, 20.638, 20.638) * CHOOSE(CONTROL!$C$21, $C$9, 100%, $E$9)</f>
        <v>20.638000000000002</v>
      </c>
      <c r="M655" s="10">
        <f>CHOOSE(CONTROL!$C$42, 19.5604, 19.5604) * CHOOSE(CONTROL!$C$21, $C$9, 100%, $E$9)</f>
        <v>19.560400000000001</v>
      </c>
      <c r="N655" s="10">
        <f>CHOOSE(CONTROL!$C$42, 19.5765, 19.5765) * CHOOSE(CONTROL!$C$21, $C$9, 100%, $E$9)</f>
        <v>19.576499999999999</v>
      </c>
      <c r="O655" s="10">
        <f>CHOOSE(CONTROL!$C$42, 19.8043, 19.8043) * CHOOSE(CONTROL!$C$21, $C$9, 100%, $E$9)</f>
        <v>19.804300000000001</v>
      </c>
      <c r="P655" s="10">
        <f>CHOOSE(CONTROL!$C$42, 19.6014, 19.6014) * CHOOSE(CONTROL!$C$21, $C$9, 100%, $E$9)</f>
        <v>19.601400000000002</v>
      </c>
      <c r="Q655" s="10">
        <f>CHOOSE(CONTROL!$C$42, 20.3996, 20.3996) * CHOOSE(CONTROL!$C$21, $C$9, 100%, $E$9)</f>
        <v>20.3996</v>
      </c>
      <c r="R655" s="10">
        <f>CHOOSE(CONTROL!$C$42, 21.0376, 21.0376) * CHOOSE(CONTROL!$C$21, $C$9, 100%, $E$9)</f>
        <v>21.037600000000001</v>
      </c>
      <c r="S655" s="10">
        <f>CHOOSE(CONTROL!$C$42, 19.2513, 19.2513) * CHOOSE(CONTROL!$C$21, $C$9, 100%, $E$9)</f>
        <v>19.251300000000001</v>
      </c>
      <c r="T65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55" s="38">
        <f>(1000*CHOOSE(CONTROL!$C$42, 695, 695)*CHOOSE(CONTROL!$C$42, 0.5599, 0.5599)*CHOOSE(CONTROL!$C$42, 31, 31))/1000000</f>
        <v>12.063045499999998</v>
      </c>
      <c r="V655" s="38">
        <f>(1000*CHOOSE(CONTROL!$C$42, 500, 500)*CHOOSE(CONTROL!$C$42, 0.275, 0.275)*CHOOSE(CONTROL!$C$42, 31, 31))/1000000</f>
        <v>4.2625000000000002</v>
      </c>
      <c r="W655" s="38">
        <f>(1000*CHOOSE(CONTROL!$C$42, 0.1146, 0.1146)*CHOOSE(CONTROL!$C$42, 121.5, 121.5)*CHOOSE(CONTROL!$C$42, 31, 31))/1000000</f>
        <v>0.43164089999999994</v>
      </c>
      <c r="X655" s="38">
        <f>(31*0.1790888*245000/1000000)+(31*0.2374*100000/1000000)</f>
        <v>2.0961194359999999</v>
      </c>
      <c r="Y655" s="38">
        <f>(1000*600*CHOOSE(CONTROL!$C$42, 1.0585, 1.0585)*CHOOSE(CONTROL!$C$42, 31, 31))/1000000</f>
        <v>19.688099999999999</v>
      </c>
      <c r="Z655" s="38"/>
      <c r="AA655" s="10"/>
      <c r="AB655" s="39"/>
      <c r="AC655" s="33">
        <f>(B655*194.205+C655*267.466+D655*133.845+E655*53.484+F655*40+G655*185+H655*0+I655*100+J655*300)/(194.205+267.466+133.845+53.484+0+40+185+100+300)</f>
        <v>19.869823035086341</v>
      </c>
      <c r="AD655" s="27">
        <f>(M655*'RAP TEMPLATE-GAS AVAILABILITY'!O654+N655*'RAP TEMPLATE-GAS AVAILABILITY'!P654+O655*'RAP TEMPLATE-GAS AVAILABILITY'!Q654+P655*'RAP TEMPLATE-GAS AVAILABILITY'!R654)/('RAP TEMPLATE-GAS AVAILABILITY'!O654+'RAP TEMPLATE-GAS AVAILABILITY'!P654+'RAP TEMPLATE-GAS AVAILABILITY'!Q654+'RAP TEMPLATE-GAS AVAILABILITY'!R654)</f>
        <v>19.677770503597124</v>
      </c>
    </row>
    <row r="656" spans="1:30" ht="15.75">
      <c r="A656" s="13">
        <v>61240</v>
      </c>
      <c r="B656" s="10">
        <f>CHOOSE(CONTROL!$C$42, 18.8845, 18.8845) * CHOOSE(CONTROL!$C$21, $C$9, 100%, $E$9)</f>
        <v>18.884499999999999</v>
      </c>
      <c r="C656" s="10">
        <f>CHOOSE(CONTROL!$C$42, 18.8925, 18.8925) * CHOOSE(CONTROL!$C$21, $C$9, 100%, $E$9)</f>
        <v>18.892499999999998</v>
      </c>
      <c r="D656" s="10">
        <f>CHOOSE(CONTROL!$C$42, 19.0495, 19.0495) * CHOOSE(CONTROL!$C$21, $C$9, 100%, $E$9)</f>
        <v>19.049499999999998</v>
      </c>
      <c r="E656" s="10">
        <f>CHOOSE(CONTROL!$C$42, 19.0807, 19.0807) * CHOOSE(CONTROL!$C$21, $C$9, 100%, $E$9)</f>
        <v>19.0807</v>
      </c>
      <c r="F656" s="10">
        <f>CHOOSE(CONTROL!$C$42, 18.829, 18.829)*CHOOSE(CONTROL!$C$21, $C$9, 100%, $E$9)</f>
        <v>18.829000000000001</v>
      </c>
      <c r="G656" s="10">
        <f>CHOOSE(CONTROL!$C$42, 18.8453, 18.8453)*CHOOSE(CONTROL!$C$21, $C$9, 100%, $E$9)</f>
        <v>18.845300000000002</v>
      </c>
      <c r="H656" s="10">
        <f>CHOOSE(CONTROL!$C$42, 19.0691, 19.0691) * CHOOSE(CONTROL!$C$21, $C$9, 100%, $E$9)</f>
        <v>19.069099999999999</v>
      </c>
      <c r="I656" s="10">
        <f>CHOOSE(CONTROL!$C$42, 18.8632, 18.8632)* CHOOSE(CONTROL!$C$21, $C$9, 100%, $E$9)</f>
        <v>18.863199999999999</v>
      </c>
      <c r="J656" s="10">
        <f>CHOOSE(CONTROL!$C$42, 18.8216, 18.8216)* CHOOSE(CONTROL!$C$21, $C$9, 100%, $E$9)</f>
        <v>18.8216</v>
      </c>
      <c r="K656" s="10">
        <f>CHOOSE(CONTROL!$C$42, 18.4346, 18.4346) * CHOOSE(CONTROL!$C$21, $C$9, 100%, $E$9)</f>
        <v>18.4346</v>
      </c>
      <c r="L656" s="10">
        <f>CHOOSE(CONTROL!$C$42, 19.6561, 19.6561) * CHOOSE(CONTROL!$C$21, $C$9, 100%, $E$9)</f>
        <v>19.656099999999999</v>
      </c>
      <c r="M656" s="10">
        <f>CHOOSE(CONTROL!$C$42, 18.5921, 18.5921) * CHOOSE(CONTROL!$C$21, $C$9, 100%, $E$9)</f>
        <v>18.592099999999999</v>
      </c>
      <c r="N656" s="10">
        <f>CHOOSE(CONTROL!$C$42, 18.6081, 18.6081) * CHOOSE(CONTROL!$C$21, $C$9, 100%, $E$9)</f>
        <v>18.6081</v>
      </c>
      <c r="O656" s="10">
        <f>CHOOSE(CONTROL!$C$42, 18.836, 18.836) * CHOOSE(CONTROL!$C$21, $C$9, 100%, $E$9)</f>
        <v>18.835999999999999</v>
      </c>
      <c r="P656" s="10">
        <f>CHOOSE(CONTROL!$C$42, 18.6332, 18.6332) * CHOOSE(CONTROL!$C$21, $C$9, 100%, $E$9)</f>
        <v>18.633199999999999</v>
      </c>
      <c r="Q656" s="10">
        <f>CHOOSE(CONTROL!$C$42, 19.4313, 19.4313) * CHOOSE(CONTROL!$C$21, $C$9, 100%, $E$9)</f>
        <v>19.4313</v>
      </c>
      <c r="R656" s="10">
        <f>CHOOSE(CONTROL!$C$42, 20.0669, 20.0669) * CHOOSE(CONTROL!$C$21, $C$9, 100%, $E$9)</f>
        <v>20.0669</v>
      </c>
      <c r="S656" s="10">
        <f>CHOOSE(CONTROL!$C$42, 18.3004, 18.3004) * CHOOSE(CONTROL!$C$21, $C$9, 100%, $E$9)</f>
        <v>18.3004</v>
      </c>
      <c r="T65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56" s="38">
        <f>(1000*CHOOSE(CONTROL!$C$42, 695, 695)*CHOOSE(CONTROL!$C$42, 0.5599, 0.5599)*CHOOSE(CONTROL!$C$42, 31, 31))/1000000</f>
        <v>12.063045499999998</v>
      </c>
      <c r="V656" s="38">
        <f>(1000*CHOOSE(CONTROL!$C$42, 500, 500)*CHOOSE(CONTROL!$C$42, 0.275, 0.275)*CHOOSE(CONTROL!$C$42, 31, 31))/1000000</f>
        <v>4.2625000000000002</v>
      </c>
      <c r="W656" s="38">
        <f>(1000*CHOOSE(CONTROL!$C$42, 0.1146, 0.1146)*CHOOSE(CONTROL!$C$42, 121.5, 121.5)*CHOOSE(CONTROL!$C$42, 31, 31))/1000000</f>
        <v>0.43164089999999994</v>
      </c>
      <c r="X656" s="38">
        <f>(31*0.1790888*245000/1000000)+(31*0.2374*100000/1000000)</f>
        <v>2.0961194359999999</v>
      </c>
      <c r="Y656" s="38">
        <f>(1000*600*CHOOSE(CONTROL!$C$42, 1.0585, 1.0585)*CHOOSE(CONTROL!$C$42, 31, 31))/1000000</f>
        <v>19.688099999999999</v>
      </c>
      <c r="Z656" s="38"/>
      <c r="AA656" s="10"/>
      <c r="AB656" s="39"/>
      <c r="AC656" s="33">
        <f>(B656*194.205+C656*267.466+D656*133.845+E656*53.484+F656*40+G656*185+H656*0+I656*100+J656*300)/(194.205+267.466+133.845+53.484+0+40+185+100+300)</f>
        <v>18.887832585400311</v>
      </c>
      <c r="AD656" s="27">
        <f>(M656*'RAP TEMPLATE-GAS AVAILABILITY'!O655+N656*'RAP TEMPLATE-GAS AVAILABILITY'!P655+O656*'RAP TEMPLATE-GAS AVAILABILITY'!Q655+P656*'RAP TEMPLATE-GAS AVAILABILITY'!R655)/('RAP TEMPLATE-GAS AVAILABILITY'!O655+'RAP TEMPLATE-GAS AVAILABILITY'!P655+'RAP TEMPLATE-GAS AVAILABILITY'!Q655+'RAP TEMPLATE-GAS AVAILABILITY'!R655)</f>
        <v>18.709479136690646</v>
      </c>
    </row>
    <row r="657" spans="1:30" ht="15.75">
      <c r="A657" s="13">
        <v>61270</v>
      </c>
      <c r="B657" s="10">
        <f>CHOOSE(CONTROL!$C$42, 17.6847, 17.6847) * CHOOSE(CONTROL!$C$21, $C$9, 100%, $E$9)</f>
        <v>17.684699999999999</v>
      </c>
      <c r="C657" s="10">
        <f>CHOOSE(CONTROL!$C$42, 17.6927, 17.6927) * CHOOSE(CONTROL!$C$21, $C$9, 100%, $E$9)</f>
        <v>17.692699999999999</v>
      </c>
      <c r="D657" s="10">
        <f>CHOOSE(CONTROL!$C$42, 17.8497, 17.8497) * CHOOSE(CONTROL!$C$21, $C$9, 100%, $E$9)</f>
        <v>17.849699999999999</v>
      </c>
      <c r="E657" s="10">
        <f>CHOOSE(CONTROL!$C$42, 17.8809, 17.8809) * CHOOSE(CONTROL!$C$21, $C$9, 100%, $E$9)</f>
        <v>17.8809</v>
      </c>
      <c r="F657" s="10">
        <f>CHOOSE(CONTROL!$C$42, 17.629, 17.629)*CHOOSE(CONTROL!$C$21, $C$9, 100%, $E$9)</f>
        <v>17.629000000000001</v>
      </c>
      <c r="G657" s="10">
        <f>CHOOSE(CONTROL!$C$42, 17.6452, 17.6452)*CHOOSE(CONTROL!$C$21, $C$9, 100%, $E$9)</f>
        <v>17.645199999999999</v>
      </c>
      <c r="H657" s="10">
        <f>CHOOSE(CONTROL!$C$42, 17.8693, 17.8693) * CHOOSE(CONTROL!$C$21, $C$9, 100%, $E$9)</f>
        <v>17.869299999999999</v>
      </c>
      <c r="I657" s="10">
        <f>CHOOSE(CONTROL!$C$42, 17.6634, 17.6634)* CHOOSE(CONTROL!$C$21, $C$9, 100%, $E$9)</f>
        <v>17.663399999999999</v>
      </c>
      <c r="J657" s="10">
        <f>CHOOSE(CONTROL!$C$42, 17.6216, 17.6216)* CHOOSE(CONTROL!$C$21, $C$9, 100%, $E$9)</f>
        <v>17.621600000000001</v>
      </c>
      <c r="K657" s="10">
        <f>CHOOSE(CONTROL!$C$42, 17.2718, 17.2718) * CHOOSE(CONTROL!$C$21, $C$9, 100%, $E$9)</f>
        <v>17.271799999999999</v>
      </c>
      <c r="L657" s="10">
        <f>CHOOSE(CONTROL!$C$42, 18.4563, 18.4563) * CHOOSE(CONTROL!$C$21, $C$9, 100%, $E$9)</f>
        <v>18.456299999999999</v>
      </c>
      <c r="M657" s="10">
        <f>CHOOSE(CONTROL!$C$42, 17.4088, 17.4088) * CHOOSE(CONTROL!$C$21, $C$9, 100%, $E$9)</f>
        <v>17.408799999999999</v>
      </c>
      <c r="N657" s="10">
        <f>CHOOSE(CONTROL!$C$42, 17.4248, 17.4248) * CHOOSE(CONTROL!$C$21, $C$9, 100%, $E$9)</f>
        <v>17.424800000000001</v>
      </c>
      <c r="O657" s="10">
        <f>CHOOSE(CONTROL!$C$42, 17.653, 17.653) * CHOOSE(CONTROL!$C$21, $C$9, 100%, $E$9)</f>
        <v>17.652999999999999</v>
      </c>
      <c r="P657" s="10">
        <f>CHOOSE(CONTROL!$C$42, 17.4501, 17.4501) * CHOOSE(CONTROL!$C$21, $C$9, 100%, $E$9)</f>
        <v>17.450099999999999</v>
      </c>
      <c r="Q657" s="10">
        <f>CHOOSE(CONTROL!$C$42, 18.2483, 18.2483) * CHOOSE(CONTROL!$C$21, $C$9, 100%, $E$9)</f>
        <v>18.2483</v>
      </c>
      <c r="R657" s="10">
        <f>CHOOSE(CONTROL!$C$42, 18.8809, 18.8809) * CHOOSE(CONTROL!$C$21, $C$9, 100%, $E$9)</f>
        <v>18.8809</v>
      </c>
      <c r="S657" s="10">
        <f>CHOOSE(CONTROL!$C$42, 17.1387, 17.1387) * CHOOSE(CONTROL!$C$21, $C$9, 100%, $E$9)</f>
        <v>17.1387</v>
      </c>
      <c r="T65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57" s="38">
        <f>(1000*CHOOSE(CONTROL!$C$42, 695, 695)*CHOOSE(CONTROL!$C$42, 0.5599, 0.5599)*CHOOSE(CONTROL!$C$42, 30, 30))/1000000</f>
        <v>11.673914999999997</v>
      </c>
      <c r="V657" s="38">
        <f>(1000*CHOOSE(CONTROL!$C$42, 500, 500)*CHOOSE(CONTROL!$C$42, 0.275, 0.275)*CHOOSE(CONTROL!$C$42, 30, 30))/1000000</f>
        <v>4.125</v>
      </c>
      <c r="W657" s="38">
        <f>(1000*CHOOSE(CONTROL!$C$42, 0.1146, 0.1146)*CHOOSE(CONTROL!$C$42, 121.5, 121.5)*CHOOSE(CONTROL!$C$42, 30, 30))/1000000</f>
        <v>0.417717</v>
      </c>
      <c r="X657" s="38">
        <f>(30*0.1790888*245000/1000000)+(30*0.2374*100000/1000000)</f>
        <v>2.0285026799999999</v>
      </c>
      <c r="Y657" s="38">
        <f>(1000*600*CHOOSE(CONTROL!$C$42, 1.0585, 1.0585)*CHOOSE(CONTROL!$C$42, 30, 30))/1000000</f>
        <v>19.053000000000001</v>
      </c>
      <c r="Z657" s="38"/>
      <c r="AA657" s="10"/>
      <c r="AB657" s="39"/>
      <c r="AC657" s="33">
        <f>(B657*194.205+C657*267.466+D657*133.845+E657*53.484+F657*40+G657*185+H657*0+I657*100+J657*300)/(194.205+267.466+133.845+53.484+0+40+185+100+300)</f>
        <v>17.687935646624805</v>
      </c>
      <c r="AD657" s="27">
        <f>(M657*'RAP TEMPLATE-GAS AVAILABILITY'!O656+N657*'RAP TEMPLATE-GAS AVAILABILITY'!P656+O657*'RAP TEMPLATE-GAS AVAILABILITY'!Q656+P657*'RAP TEMPLATE-GAS AVAILABILITY'!R656)/('RAP TEMPLATE-GAS AVAILABILITY'!O656+'RAP TEMPLATE-GAS AVAILABILITY'!P656+'RAP TEMPLATE-GAS AVAILABILITY'!Q656+'RAP TEMPLATE-GAS AVAILABILITY'!R656)</f>
        <v>17.526343884892086</v>
      </c>
    </row>
    <row r="658" spans="1:30" ht="15.75">
      <c r="A658" s="13">
        <v>61301</v>
      </c>
      <c r="B658" s="10">
        <f>CHOOSE(CONTROL!$C$42, 17.3231, 17.3231) * CHOOSE(CONTROL!$C$21, $C$9, 100%, $E$9)</f>
        <v>17.3231</v>
      </c>
      <c r="C658" s="10">
        <f>CHOOSE(CONTROL!$C$42, 17.3285, 17.3285) * CHOOSE(CONTROL!$C$21, $C$9, 100%, $E$9)</f>
        <v>17.328499999999998</v>
      </c>
      <c r="D658" s="10">
        <f>CHOOSE(CONTROL!$C$42, 17.4904, 17.4904) * CHOOSE(CONTROL!$C$21, $C$9, 100%, $E$9)</f>
        <v>17.490400000000001</v>
      </c>
      <c r="E658" s="10">
        <f>CHOOSE(CONTROL!$C$42, 17.5193, 17.5193) * CHOOSE(CONTROL!$C$21, $C$9, 100%, $E$9)</f>
        <v>17.519300000000001</v>
      </c>
      <c r="F658" s="10">
        <f>CHOOSE(CONTROL!$C$42, 17.2695, 17.2695)*CHOOSE(CONTROL!$C$21, $C$9, 100%, $E$9)</f>
        <v>17.269500000000001</v>
      </c>
      <c r="G658" s="10">
        <f>CHOOSE(CONTROL!$C$42, 17.2853, 17.2853)*CHOOSE(CONTROL!$C$21, $C$9, 100%, $E$9)</f>
        <v>17.285299999999999</v>
      </c>
      <c r="H658" s="10">
        <f>CHOOSE(CONTROL!$C$42, 17.5094, 17.5094) * CHOOSE(CONTROL!$C$21, $C$9, 100%, $E$9)</f>
        <v>17.509399999999999</v>
      </c>
      <c r="I658" s="10">
        <f>CHOOSE(CONTROL!$C$42, 17.3036, 17.3036)* CHOOSE(CONTROL!$C$21, $C$9, 100%, $E$9)</f>
        <v>17.303599999999999</v>
      </c>
      <c r="J658" s="10">
        <f>CHOOSE(CONTROL!$C$42, 17.2621, 17.2621)* CHOOSE(CONTROL!$C$21, $C$9, 100%, $E$9)</f>
        <v>17.2621</v>
      </c>
      <c r="K658" s="10">
        <f>CHOOSE(CONTROL!$C$42, 16.9238, 16.9238) * CHOOSE(CONTROL!$C$21, $C$9, 100%, $E$9)</f>
        <v>16.9238</v>
      </c>
      <c r="L658" s="10">
        <f>CHOOSE(CONTROL!$C$42, 18.0964, 18.0964) * CHOOSE(CONTROL!$C$21, $C$9, 100%, $E$9)</f>
        <v>18.096399999999999</v>
      </c>
      <c r="M658" s="10">
        <f>CHOOSE(CONTROL!$C$42, 17.0543, 17.0543) * CHOOSE(CONTROL!$C$21, $C$9, 100%, $E$9)</f>
        <v>17.054300000000001</v>
      </c>
      <c r="N658" s="10">
        <f>CHOOSE(CONTROL!$C$42, 17.0699, 17.0699) * CHOOSE(CONTROL!$C$21, $C$9, 100%, $E$9)</f>
        <v>17.069900000000001</v>
      </c>
      <c r="O658" s="10">
        <f>CHOOSE(CONTROL!$C$42, 17.2982, 17.2982) * CHOOSE(CONTROL!$C$21, $C$9, 100%, $E$9)</f>
        <v>17.298200000000001</v>
      </c>
      <c r="P658" s="10">
        <f>CHOOSE(CONTROL!$C$42, 17.0953, 17.0953) * CHOOSE(CONTROL!$C$21, $C$9, 100%, $E$9)</f>
        <v>17.095300000000002</v>
      </c>
      <c r="Q658" s="10">
        <f>CHOOSE(CONTROL!$C$42, 17.8935, 17.8935) * CHOOSE(CONTROL!$C$21, $C$9, 100%, $E$9)</f>
        <v>17.8935</v>
      </c>
      <c r="R658" s="10">
        <f>CHOOSE(CONTROL!$C$42, 18.5252, 18.5252) * CHOOSE(CONTROL!$C$21, $C$9, 100%, $E$9)</f>
        <v>18.525200000000002</v>
      </c>
      <c r="S658" s="10">
        <f>CHOOSE(CONTROL!$C$42, 16.7903, 16.7903) * CHOOSE(CONTROL!$C$21, $C$9, 100%, $E$9)</f>
        <v>16.790299999999998</v>
      </c>
      <c r="T65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58" s="38">
        <f>(1000*CHOOSE(CONTROL!$C$42, 695, 695)*CHOOSE(CONTROL!$C$42, 0.5599, 0.5599)*CHOOSE(CONTROL!$C$42, 31, 31))/1000000</f>
        <v>12.063045499999998</v>
      </c>
      <c r="V658" s="38">
        <f>(1000*CHOOSE(CONTROL!$C$42, 500, 500)*CHOOSE(CONTROL!$C$42, 0.275, 0.275)*CHOOSE(CONTROL!$C$42, 31, 31))/1000000</f>
        <v>4.2625000000000002</v>
      </c>
      <c r="W658" s="38">
        <f>(1000*CHOOSE(CONTROL!$C$42, 0.1146, 0.1146)*CHOOSE(CONTROL!$C$42, 121.5, 121.5)*CHOOSE(CONTROL!$C$42, 31, 31))/1000000</f>
        <v>0.43164089999999994</v>
      </c>
      <c r="X658" s="38">
        <f>(31*0.1790888*245000/1000000)+(31*0.2374*100000/1000000)</f>
        <v>2.0961194359999999</v>
      </c>
      <c r="Y658" s="38">
        <f>(1000*600*CHOOSE(CONTROL!$C$42, 1.0585, 1.0585)*CHOOSE(CONTROL!$C$42, 31, 31))/1000000</f>
        <v>19.688099999999999</v>
      </c>
      <c r="Z658" s="38"/>
      <c r="AA658" s="10"/>
      <c r="AB658" s="39"/>
      <c r="AC658" s="33">
        <f>(B658*131.881+C658*277.167+D658*79.08+E658*125.872+F658*40+G658*185+H658*0+I658*100+J658*300)/(131.881+277.167+79.08+125.872+0+40+185+100+300)</f>
        <v>17.331199977562552</v>
      </c>
      <c r="AD658" s="27">
        <f>(M658*'RAP TEMPLATE-GAS AVAILABILITY'!O657+N658*'RAP TEMPLATE-GAS AVAILABILITY'!P657+O658*'RAP TEMPLATE-GAS AVAILABILITY'!Q657+P658*'RAP TEMPLATE-GAS AVAILABILITY'!R657)/('RAP TEMPLATE-GAS AVAILABILITY'!O657+'RAP TEMPLATE-GAS AVAILABILITY'!P657+'RAP TEMPLATE-GAS AVAILABILITY'!Q657+'RAP TEMPLATE-GAS AVAILABILITY'!R657)</f>
        <v>17.171641726618706</v>
      </c>
    </row>
    <row r="659" spans="1:30" ht="15.75">
      <c r="A659" s="13">
        <v>61331</v>
      </c>
      <c r="B659" s="10">
        <f>CHOOSE(CONTROL!$C$42, 17.7795, 17.7795) * CHOOSE(CONTROL!$C$21, $C$9, 100%, $E$9)</f>
        <v>17.779499999999999</v>
      </c>
      <c r="C659" s="10">
        <f>CHOOSE(CONTROL!$C$42, 17.7846, 17.7846) * CHOOSE(CONTROL!$C$21, $C$9, 100%, $E$9)</f>
        <v>17.784600000000001</v>
      </c>
      <c r="D659" s="10">
        <f>CHOOSE(CONTROL!$C$42, 17.8093, 17.8093) * CHOOSE(CONTROL!$C$21, $C$9, 100%, $E$9)</f>
        <v>17.8093</v>
      </c>
      <c r="E659" s="10">
        <f>CHOOSE(CONTROL!$C$42, 17.8431, 17.8431) * CHOOSE(CONTROL!$C$21, $C$9, 100%, $E$9)</f>
        <v>17.8431</v>
      </c>
      <c r="F659" s="10">
        <f>CHOOSE(CONTROL!$C$42, 17.7478, 17.7478)*CHOOSE(CONTROL!$C$21, $C$9, 100%, $E$9)</f>
        <v>17.747800000000002</v>
      </c>
      <c r="G659" s="10">
        <f>CHOOSE(CONTROL!$C$42, 17.7639, 17.7639)*CHOOSE(CONTROL!$C$21, $C$9, 100%, $E$9)</f>
        <v>17.7639</v>
      </c>
      <c r="H659" s="10">
        <f>CHOOSE(CONTROL!$C$42, 17.832, 17.832) * CHOOSE(CONTROL!$C$21, $C$9, 100%, $E$9)</f>
        <v>17.832000000000001</v>
      </c>
      <c r="I659" s="10">
        <f>CHOOSE(CONTROL!$C$42, 17.7945, 17.7945)* CHOOSE(CONTROL!$C$21, $C$9, 100%, $E$9)</f>
        <v>17.794499999999999</v>
      </c>
      <c r="J659" s="10">
        <f>CHOOSE(CONTROL!$C$42, 17.7404, 17.7404)* CHOOSE(CONTROL!$C$21, $C$9, 100%, $E$9)</f>
        <v>17.740400000000001</v>
      </c>
      <c r="K659" s="10">
        <f>CHOOSE(CONTROL!$C$42, 17.4016, 17.4016) * CHOOSE(CONTROL!$C$21, $C$9, 100%, $E$9)</f>
        <v>17.401599999999998</v>
      </c>
      <c r="L659" s="10">
        <f>CHOOSE(CONTROL!$C$42, 18.419, 18.419) * CHOOSE(CONTROL!$C$21, $C$9, 100%, $E$9)</f>
        <v>18.419</v>
      </c>
      <c r="M659" s="10">
        <f>CHOOSE(CONTROL!$C$42, 17.526, 17.526) * CHOOSE(CONTROL!$C$21, $C$9, 100%, $E$9)</f>
        <v>17.526</v>
      </c>
      <c r="N659" s="10">
        <f>CHOOSE(CONTROL!$C$42, 17.5418, 17.5418) * CHOOSE(CONTROL!$C$21, $C$9, 100%, $E$9)</f>
        <v>17.541799999999999</v>
      </c>
      <c r="O659" s="10">
        <f>CHOOSE(CONTROL!$C$42, 17.6162, 17.6162) * CHOOSE(CONTROL!$C$21, $C$9, 100%, $E$9)</f>
        <v>17.616199999999999</v>
      </c>
      <c r="P659" s="10">
        <f>CHOOSE(CONTROL!$C$42, 17.5793, 17.5793) * CHOOSE(CONTROL!$C$21, $C$9, 100%, $E$9)</f>
        <v>17.5793</v>
      </c>
      <c r="Q659" s="10">
        <f>CHOOSE(CONTROL!$C$42, 18.2115, 18.2115) * CHOOSE(CONTROL!$C$21, $C$9, 100%, $E$9)</f>
        <v>18.211500000000001</v>
      </c>
      <c r="R659" s="10">
        <f>CHOOSE(CONTROL!$C$42, 18.8441, 18.8441) * CHOOSE(CONTROL!$C$21, $C$9, 100%, $E$9)</f>
        <v>18.844100000000001</v>
      </c>
      <c r="S659" s="10">
        <f>CHOOSE(CONTROL!$C$42, 17.2326, 17.2326) * CHOOSE(CONTROL!$C$21, $C$9, 100%, $E$9)</f>
        <v>17.232600000000001</v>
      </c>
      <c r="T65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59" s="38">
        <f>(1000*CHOOSE(CONTROL!$C$42, 695, 695)*CHOOSE(CONTROL!$C$42, 0.5599, 0.5599)*CHOOSE(CONTROL!$C$42, 30, 30))/1000000</f>
        <v>11.673914999999997</v>
      </c>
      <c r="V659" s="38">
        <f>(1000*CHOOSE(CONTROL!$C$42, 500, 500)*CHOOSE(CONTROL!$C$42, 0.275, 0.275)*CHOOSE(CONTROL!$C$42, 30, 30))/1000000</f>
        <v>4.125</v>
      </c>
      <c r="W659" s="38">
        <f>(1000*CHOOSE(CONTROL!$C$42, 0.1146, 0.1146)*CHOOSE(CONTROL!$C$42, 121.5, 121.5)*CHOOSE(CONTROL!$C$42, 30, 30))/1000000</f>
        <v>0.417717</v>
      </c>
      <c r="X659" s="38">
        <f>(30*0.1790888*100000/1000000)+(30*0.2374*100000/1000000)</f>
        <v>1.2494664</v>
      </c>
      <c r="Y659" s="38">
        <f>(1000*600*CHOOSE(CONTROL!$C$42, 1.0585, 1.0585)*CHOOSE(CONTROL!$C$42, 30, 30))/1000000</f>
        <v>19.053000000000001</v>
      </c>
      <c r="Z659" s="38"/>
      <c r="AA659" s="10"/>
      <c r="AB659" s="39"/>
      <c r="AC659" s="33">
        <f>(B659*122.58+C659*297.941+D659*89.177+E659*40.302+F659*40+G659*160+H659*0+I659*100+J659*300)/(122.58+297.941+89.177+40.302+0+40+160+100+300)</f>
        <v>17.773192331217388</v>
      </c>
      <c r="AD659" s="27">
        <f>(M659*'RAP TEMPLATE-GAS AVAILABILITY'!O658+N659*'RAP TEMPLATE-GAS AVAILABILITY'!P658+O659*'RAP TEMPLATE-GAS AVAILABILITY'!Q658+P659*'RAP TEMPLATE-GAS AVAILABILITY'!R658)/('RAP TEMPLATE-GAS AVAILABILITY'!O658+'RAP TEMPLATE-GAS AVAILABILITY'!P658+'RAP TEMPLATE-GAS AVAILABILITY'!Q658+'RAP TEMPLATE-GAS AVAILABILITY'!R658)</f>
        <v>17.575460431654676</v>
      </c>
    </row>
    <row r="660" spans="1:30" ht="15.75">
      <c r="A660" s="13">
        <v>61362</v>
      </c>
      <c r="B660" s="10">
        <f>CHOOSE(CONTROL!$C$42, 18.9928, 18.9928) * CHOOSE(CONTROL!$C$21, $C$9, 100%, $E$9)</f>
        <v>18.992799999999999</v>
      </c>
      <c r="C660" s="10">
        <f>CHOOSE(CONTROL!$C$42, 18.9979, 18.9979) * CHOOSE(CONTROL!$C$21, $C$9, 100%, $E$9)</f>
        <v>18.997900000000001</v>
      </c>
      <c r="D660" s="10">
        <f>CHOOSE(CONTROL!$C$42, 19.0226, 19.0226) * CHOOSE(CONTROL!$C$21, $C$9, 100%, $E$9)</f>
        <v>19.022600000000001</v>
      </c>
      <c r="E660" s="10">
        <f>CHOOSE(CONTROL!$C$42, 19.0564, 19.0564) * CHOOSE(CONTROL!$C$21, $C$9, 100%, $E$9)</f>
        <v>19.0564</v>
      </c>
      <c r="F660" s="10">
        <f>CHOOSE(CONTROL!$C$42, 18.9631, 18.9631)*CHOOSE(CONTROL!$C$21, $C$9, 100%, $E$9)</f>
        <v>18.963100000000001</v>
      </c>
      <c r="G660" s="10">
        <f>CHOOSE(CONTROL!$C$42, 18.9796, 18.9796)*CHOOSE(CONTROL!$C$21, $C$9, 100%, $E$9)</f>
        <v>18.979600000000001</v>
      </c>
      <c r="H660" s="10">
        <f>CHOOSE(CONTROL!$C$42, 19.0453, 19.0453) * CHOOSE(CONTROL!$C$21, $C$9, 100%, $E$9)</f>
        <v>19.045300000000001</v>
      </c>
      <c r="I660" s="10">
        <f>CHOOSE(CONTROL!$C$42, 19.0078, 19.0078)* CHOOSE(CONTROL!$C$21, $C$9, 100%, $E$9)</f>
        <v>19.0078</v>
      </c>
      <c r="J660" s="10">
        <f>CHOOSE(CONTROL!$C$42, 18.9557, 18.9557)* CHOOSE(CONTROL!$C$21, $C$9, 100%, $E$9)</f>
        <v>18.9557</v>
      </c>
      <c r="K660" s="10">
        <f>CHOOSE(CONTROL!$C$42, 18.5812, 18.5812) * CHOOSE(CONTROL!$C$21, $C$9, 100%, $E$9)</f>
        <v>18.581199999999999</v>
      </c>
      <c r="L660" s="10">
        <f>CHOOSE(CONTROL!$C$42, 19.6323, 19.6323) * CHOOSE(CONTROL!$C$21, $C$9, 100%, $E$9)</f>
        <v>19.632300000000001</v>
      </c>
      <c r="M660" s="10">
        <f>CHOOSE(CONTROL!$C$42, 18.7243, 18.7243) * CHOOSE(CONTROL!$C$21, $C$9, 100%, $E$9)</f>
        <v>18.724299999999999</v>
      </c>
      <c r="N660" s="10">
        <f>CHOOSE(CONTROL!$C$42, 18.7405, 18.7405) * CHOOSE(CONTROL!$C$21, $C$9, 100%, $E$9)</f>
        <v>18.740500000000001</v>
      </c>
      <c r="O660" s="10">
        <f>CHOOSE(CONTROL!$C$42, 18.8126, 18.8126) * CHOOSE(CONTROL!$C$21, $C$9, 100%, $E$9)</f>
        <v>18.8126</v>
      </c>
      <c r="P660" s="10">
        <f>CHOOSE(CONTROL!$C$42, 18.7757, 18.7757) * CHOOSE(CONTROL!$C$21, $C$9, 100%, $E$9)</f>
        <v>18.775700000000001</v>
      </c>
      <c r="Q660" s="10">
        <f>CHOOSE(CONTROL!$C$42, 19.4079, 19.4079) * CHOOSE(CONTROL!$C$21, $C$9, 100%, $E$9)</f>
        <v>19.407900000000001</v>
      </c>
      <c r="R660" s="10">
        <f>CHOOSE(CONTROL!$C$42, 20.0434, 20.0434) * CHOOSE(CONTROL!$C$21, $C$9, 100%, $E$9)</f>
        <v>20.043399999999998</v>
      </c>
      <c r="S660" s="10">
        <f>CHOOSE(CONTROL!$C$42, 18.4074, 18.4074) * CHOOSE(CONTROL!$C$21, $C$9, 100%, $E$9)</f>
        <v>18.407399999999999</v>
      </c>
      <c r="T66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60" s="38">
        <f>(1000*CHOOSE(CONTROL!$C$42, 695, 695)*CHOOSE(CONTROL!$C$42, 0.5599, 0.5599)*CHOOSE(CONTROL!$C$42, 31, 31))/1000000</f>
        <v>12.063045499999998</v>
      </c>
      <c r="V660" s="38">
        <f>(1000*CHOOSE(CONTROL!$C$42, 500, 500)*CHOOSE(CONTROL!$C$42, 0.275, 0.275)*CHOOSE(CONTROL!$C$42, 31, 31))/1000000</f>
        <v>4.2625000000000002</v>
      </c>
      <c r="W660" s="38">
        <f>(1000*CHOOSE(CONTROL!$C$42, 0.1146, 0.1146)*CHOOSE(CONTROL!$C$42, 121.5, 121.5)*CHOOSE(CONTROL!$C$42, 31, 31))/1000000</f>
        <v>0.43164089999999994</v>
      </c>
      <c r="X660" s="38">
        <f>(31*0.1790888*100000/1000000)+(31*0.2374*100000/1000000)</f>
        <v>1.2911152800000001</v>
      </c>
      <c r="Y660" s="38">
        <f>(1000*600*CHOOSE(CONTROL!$C$42, 1.0585, 1.0585)*CHOOSE(CONTROL!$C$42, 31, 31))/1000000</f>
        <v>19.688099999999999</v>
      </c>
      <c r="Z660" s="38"/>
      <c r="AA660" s="10"/>
      <c r="AB660" s="39"/>
      <c r="AC660" s="33">
        <f>(B660*122.58+C660*297.941+D660*89.177+E660*40.302+F660*40+G660*160+H660*0+I660*100+J660*300)/(122.58+297.941+89.177+40.302+0+40+160+100+300)</f>
        <v>18.987417548608697</v>
      </c>
      <c r="AD660" s="27">
        <f>(M660*'RAP TEMPLATE-GAS AVAILABILITY'!O659+N660*'RAP TEMPLATE-GAS AVAILABILITY'!P659+O660*'RAP TEMPLATE-GAS AVAILABILITY'!Q659+P660*'RAP TEMPLATE-GAS AVAILABILITY'!R659)/('RAP TEMPLATE-GAS AVAILABILITY'!O659+'RAP TEMPLATE-GAS AVAILABILITY'!P659+'RAP TEMPLATE-GAS AVAILABILITY'!Q659+'RAP TEMPLATE-GAS AVAILABILITY'!R659)</f>
        <v>18.772648920863308</v>
      </c>
    </row>
    <row r="661" spans="1:30" ht="15.75">
      <c r="A661" s="13">
        <v>61393</v>
      </c>
      <c r="B661" s="10">
        <f>CHOOSE(CONTROL!$C$42, 20.2758, 20.2758) * CHOOSE(CONTROL!$C$21, $C$9, 100%, $E$9)</f>
        <v>20.2758</v>
      </c>
      <c r="C661" s="10">
        <f>CHOOSE(CONTROL!$C$42, 20.2809, 20.2809) * CHOOSE(CONTROL!$C$21, $C$9, 100%, $E$9)</f>
        <v>20.280899999999999</v>
      </c>
      <c r="D661" s="10">
        <f>CHOOSE(CONTROL!$C$42, 20.3134, 20.3134) * CHOOSE(CONTROL!$C$21, $C$9, 100%, $E$9)</f>
        <v>20.313400000000001</v>
      </c>
      <c r="E661" s="10">
        <f>CHOOSE(CONTROL!$C$42, 20.3472, 20.3472) * CHOOSE(CONTROL!$C$21, $C$9, 100%, $E$9)</f>
        <v>20.347200000000001</v>
      </c>
      <c r="F661" s="10">
        <f>CHOOSE(CONTROL!$C$42, 20.26, 20.26)*CHOOSE(CONTROL!$C$21, $C$9, 100%, $E$9)</f>
        <v>20.260000000000002</v>
      </c>
      <c r="G661" s="10">
        <f>CHOOSE(CONTROL!$C$42, 20.2781, 20.2781)*CHOOSE(CONTROL!$C$21, $C$9, 100%, $E$9)</f>
        <v>20.278099999999998</v>
      </c>
      <c r="H661" s="10">
        <f>CHOOSE(CONTROL!$C$42, 20.336, 20.336) * CHOOSE(CONTROL!$C$21, $C$9, 100%, $E$9)</f>
        <v>20.335999999999999</v>
      </c>
      <c r="I661" s="10">
        <f>CHOOSE(CONTROL!$C$42, 20.2893, 20.2893)* CHOOSE(CONTROL!$C$21, $C$9, 100%, $E$9)</f>
        <v>20.289300000000001</v>
      </c>
      <c r="J661" s="10">
        <f>CHOOSE(CONTROL!$C$42, 20.2526, 20.2526)* CHOOSE(CONTROL!$C$21, $C$9, 100%, $E$9)</f>
        <v>20.252600000000001</v>
      </c>
      <c r="K661" s="10">
        <f>CHOOSE(CONTROL!$C$42, 19.8366, 19.8366) * CHOOSE(CONTROL!$C$21, $C$9, 100%, $E$9)</f>
        <v>19.836600000000001</v>
      </c>
      <c r="L661" s="10">
        <f>CHOOSE(CONTROL!$C$42, 20.923, 20.923) * CHOOSE(CONTROL!$C$21, $C$9, 100%, $E$9)</f>
        <v>20.922999999999998</v>
      </c>
      <c r="M661" s="10">
        <f>CHOOSE(CONTROL!$C$42, 20.0031, 20.0031) * CHOOSE(CONTROL!$C$21, $C$9, 100%, $E$9)</f>
        <v>20.0031</v>
      </c>
      <c r="N661" s="10">
        <f>CHOOSE(CONTROL!$C$42, 20.0209, 20.0209) * CHOOSE(CONTROL!$C$21, $C$9, 100%, $E$9)</f>
        <v>20.020900000000001</v>
      </c>
      <c r="O661" s="10">
        <f>CHOOSE(CONTROL!$C$42, 20.0854, 20.0854) * CHOOSE(CONTROL!$C$21, $C$9, 100%, $E$9)</f>
        <v>20.0854</v>
      </c>
      <c r="P661" s="10">
        <f>CHOOSE(CONTROL!$C$42, 20.0393, 20.0393) * CHOOSE(CONTROL!$C$21, $C$9, 100%, $E$9)</f>
        <v>20.039300000000001</v>
      </c>
      <c r="Q661" s="10">
        <f>CHOOSE(CONTROL!$C$42, 20.6807, 20.6807) * CHOOSE(CONTROL!$C$21, $C$9, 100%, $E$9)</f>
        <v>20.680700000000002</v>
      </c>
      <c r="R661" s="10">
        <f>CHOOSE(CONTROL!$C$42, 21.3194, 21.3194) * CHOOSE(CONTROL!$C$21, $C$9, 100%, $E$9)</f>
        <v>21.319400000000002</v>
      </c>
      <c r="S661" s="10">
        <f>CHOOSE(CONTROL!$C$42, 19.6497, 19.6497) * CHOOSE(CONTROL!$C$21, $C$9, 100%, $E$9)</f>
        <v>19.649699999999999</v>
      </c>
      <c r="T66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61" s="38">
        <f>(1000*CHOOSE(CONTROL!$C$42, 695, 695)*CHOOSE(CONTROL!$C$42, 0.5599, 0.5599)*CHOOSE(CONTROL!$C$42, 31, 31))/1000000</f>
        <v>12.063045499999998</v>
      </c>
      <c r="V661" s="38">
        <f>(1000*CHOOSE(CONTROL!$C$42, 500, 500)*CHOOSE(CONTROL!$C$42, 0.275, 0.275)*CHOOSE(CONTROL!$C$42, 31, 31))/1000000</f>
        <v>4.2625000000000002</v>
      </c>
      <c r="W661" s="38">
        <f>(1000*CHOOSE(CONTROL!$C$42, 0.1146, 0.1146)*CHOOSE(CONTROL!$C$42, 121.5, 121.5)*CHOOSE(CONTROL!$C$42, 31, 31))/1000000</f>
        <v>0.43164089999999994</v>
      </c>
      <c r="X661" s="38">
        <f>(31*0.1790888*100000/1000000)+(31*0.2374*100000/1000000)</f>
        <v>1.2911152800000001</v>
      </c>
      <c r="Y661" s="38">
        <f>(1000*600*CHOOSE(CONTROL!$C$42, 1.0585, 1.0585)*CHOOSE(CONTROL!$C$42, 31, 31))/1000000</f>
        <v>19.688099999999999</v>
      </c>
      <c r="Z661" s="38"/>
      <c r="AA661" s="10"/>
      <c r="AB661" s="39"/>
      <c r="AC661" s="33">
        <f>(B661*122.58+C661*297.941+D661*89.177+E661*40.302+F661*40+G661*160+H661*0+I661*100+J661*300)/(122.58+297.941+89.177+40.302+0+40+160+100+300)</f>
        <v>20.27743140617391</v>
      </c>
      <c r="AD661" s="27">
        <f>(M661*'RAP TEMPLATE-GAS AVAILABILITY'!O660+N661*'RAP TEMPLATE-GAS AVAILABILITY'!P660+O661*'RAP TEMPLATE-GAS AVAILABILITY'!Q660+P661*'RAP TEMPLATE-GAS AVAILABILITY'!R660)/('RAP TEMPLATE-GAS AVAILABILITY'!O660+'RAP TEMPLATE-GAS AVAILABILITY'!P660+'RAP TEMPLATE-GAS AVAILABILITY'!Q660+'RAP TEMPLATE-GAS AVAILABILITY'!R660)</f>
        <v>20.0466345323741</v>
      </c>
    </row>
    <row r="662" spans="1:30" ht="15.75">
      <c r="A662" s="13">
        <v>61422</v>
      </c>
      <c r="B662" s="10">
        <f>CHOOSE(CONTROL!$C$42, 20.6371, 20.6371) * CHOOSE(CONTROL!$C$21, $C$9, 100%, $E$9)</f>
        <v>20.6371</v>
      </c>
      <c r="C662" s="10">
        <f>CHOOSE(CONTROL!$C$42, 20.6422, 20.6422) * CHOOSE(CONTROL!$C$21, $C$9, 100%, $E$9)</f>
        <v>20.642199999999999</v>
      </c>
      <c r="D662" s="10">
        <f>CHOOSE(CONTROL!$C$42, 20.6746, 20.6746) * CHOOSE(CONTROL!$C$21, $C$9, 100%, $E$9)</f>
        <v>20.674600000000002</v>
      </c>
      <c r="E662" s="10">
        <f>CHOOSE(CONTROL!$C$42, 20.7084, 20.7084) * CHOOSE(CONTROL!$C$21, $C$9, 100%, $E$9)</f>
        <v>20.708400000000001</v>
      </c>
      <c r="F662" s="10">
        <f>CHOOSE(CONTROL!$C$42, 20.6208, 20.6208)*CHOOSE(CONTROL!$C$21, $C$9, 100%, $E$9)</f>
        <v>20.620799999999999</v>
      </c>
      <c r="G662" s="10">
        <f>CHOOSE(CONTROL!$C$42, 20.6387, 20.6387)*CHOOSE(CONTROL!$C$21, $C$9, 100%, $E$9)</f>
        <v>20.6387</v>
      </c>
      <c r="H662" s="10">
        <f>CHOOSE(CONTROL!$C$42, 20.6973, 20.6973) * CHOOSE(CONTROL!$C$21, $C$9, 100%, $E$9)</f>
        <v>20.697299999999998</v>
      </c>
      <c r="I662" s="10">
        <f>CHOOSE(CONTROL!$C$42, 20.6505, 20.6505)* CHOOSE(CONTROL!$C$21, $C$9, 100%, $E$9)</f>
        <v>20.650500000000001</v>
      </c>
      <c r="J662" s="10">
        <f>CHOOSE(CONTROL!$C$42, 20.6134, 20.6134)* CHOOSE(CONTROL!$C$21, $C$9, 100%, $E$9)</f>
        <v>20.613399999999999</v>
      </c>
      <c r="K662" s="10">
        <f>CHOOSE(CONTROL!$C$42, 20.1855, 20.1855) * CHOOSE(CONTROL!$C$21, $C$9, 100%, $E$9)</f>
        <v>20.185500000000001</v>
      </c>
      <c r="L662" s="10">
        <f>CHOOSE(CONTROL!$C$42, 21.2843, 21.2843) * CHOOSE(CONTROL!$C$21, $C$9, 100%, $E$9)</f>
        <v>21.284300000000002</v>
      </c>
      <c r="M662" s="10">
        <f>CHOOSE(CONTROL!$C$42, 20.3588, 20.3588) * CHOOSE(CONTROL!$C$21, $C$9, 100%, $E$9)</f>
        <v>20.358799999999999</v>
      </c>
      <c r="N662" s="10">
        <f>CHOOSE(CONTROL!$C$42, 20.3765, 20.3765) * CHOOSE(CONTROL!$C$21, $C$9, 100%, $E$9)</f>
        <v>20.3765</v>
      </c>
      <c r="O662" s="10">
        <f>CHOOSE(CONTROL!$C$42, 20.4415, 20.4415) * CHOOSE(CONTROL!$C$21, $C$9, 100%, $E$9)</f>
        <v>20.441500000000001</v>
      </c>
      <c r="P662" s="10">
        <f>CHOOSE(CONTROL!$C$42, 20.3955, 20.3955) * CHOOSE(CONTROL!$C$21, $C$9, 100%, $E$9)</f>
        <v>20.395499999999998</v>
      </c>
      <c r="Q662" s="10">
        <f>CHOOSE(CONTROL!$C$42, 21.0368, 21.0368) * CHOOSE(CONTROL!$C$21, $C$9, 100%, $E$9)</f>
        <v>21.036799999999999</v>
      </c>
      <c r="R662" s="10">
        <f>CHOOSE(CONTROL!$C$42, 21.6764, 21.6764) * CHOOSE(CONTROL!$C$21, $C$9, 100%, $E$9)</f>
        <v>21.676400000000001</v>
      </c>
      <c r="S662" s="10">
        <f>CHOOSE(CONTROL!$C$42, 19.9995, 19.9995) * CHOOSE(CONTROL!$C$21, $C$9, 100%, $E$9)</f>
        <v>19.999500000000001</v>
      </c>
      <c r="T662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662" s="38">
        <f>(1000*CHOOSE(CONTROL!$C$42, 695, 695)*CHOOSE(CONTROL!$C$42, 0.5599, 0.5599)*CHOOSE(CONTROL!$C$42, 29, 29))/1000000</f>
        <v>11.284784499999999</v>
      </c>
      <c r="V662" s="38">
        <f>(1000*CHOOSE(CONTROL!$C$42, 500, 500)*CHOOSE(CONTROL!$C$42, 0.275, 0.275)*CHOOSE(CONTROL!$C$42, 29, 29))/1000000</f>
        <v>3.9874999999999998</v>
      </c>
      <c r="W662" s="38">
        <f>(1000*CHOOSE(CONTROL!$C$42, 0.1146, 0.1146)*CHOOSE(CONTROL!$C$42, 121.5, 121.5)*CHOOSE(CONTROL!$C$42, 29, 29))/1000000</f>
        <v>0.40379309999999996</v>
      </c>
      <c r="X662" s="38">
        <f>(29*0.1790888*100000/1000000)+(29*0.2374*100000/1000000)</f>
        <v>1.2078175199999999</v>
      </c>
      <c r="Y662" s="38">
        <f>(1000*600*CHOOSE(CONTROL!$C$42, 1.0585, 1.0585)*CHOOSE(CONTROL!$C$42, 29, 29))/1000000</f>
        <v>18.417899999999999</v>
      </c>
      <c r="Z662" s="38"/>
      <c r="AA662" s="10"/>
      <c r="AB662" s="39"/>
      <c r="AC662" s="33">
        <f>(B662*122.58+C662*297.941+D662*89.177+E662*40.302+F662*40+G662*160+H662*0+I662*100+J662*300)/(122.58+297.941+89.177+40.302+0+40+160+100+300)</f>
        <v>20.638466234086959</v>
      </c>
      <c r="AD662" s="27">
        <f>(M662*'RAP TEMPLATE-GAS AVAILABILITY'!O661+N662*'RAP TEMPLATE-GAS AVAILABILITY'!P661+O662*'RAP TEMPLATE-GAS AVAILABILITY'!Q661+P662*'RAP TEMPLATE-GAS AVAILABILITY'!R661)/('RAP TEMPLATE-GAS AVAILABILITY'!O661+'RAP TEMPLATE-GAS AVAILABILITY'!P661+'RAP TEMPLATE-GAS AVAILABILITY'!Q661+'RAP TEMPLATE-GAS AVAILABILITY'!R661)</f>
        <v>20.402582014388489</v>
      </c>
    </row>
    <row r="663" spans="1:30" ht="15.75">
      <c r="A663" s="13">
        <v>61453</v>
      </c>
      <c r="B663" s="10">
        <f>CHOOSE(CONTROL!$C$42, 20.0507, 20.0507) * CHOOSE(CONTROL!$C$21, $C$9, 100%, $E$9)</f>
        <v>20.050699999999999</v>
      </c>
      <c r="C663" s="10">
        <f>CHOOSE(CONTROL!$C$42, 20.0558, 20.0558) * CHOOSE(CONTROL!$C$21, $C$9, 100%, $E$9)</f>
        <v>20.055800000000001</v>
      </c>
      <c r="D663" s="10">
        <f>CHOOSE(CONTROL!$C$42, 20.0882, 20.0882) * CHOOSE(CONTROL!$C$21, $C$9, 100%, $E$9)</f>
        <v>20.088200000000001</v>
      </c>
      <c r="E663" s="10">
        <f>CHOOSE(CONTROL!$C$42, 20.122, 20.122) * CHOOSE(CONTROL!$C$21, $C$9, 100%, $E$9)</f>
        <v>20.122</v>
      </c>
      <c r="F663" s="10">
        <f>CHOOSE(CONTROL!$C$42, 20.0329, 20.0329)*CHOOSE(CONTROL!$C$21, $C$9, 100%, $E$9)</f>
        <v>20.032900000000001</v>
      </c>
      <c r="G663" s="10">
        <f>CHOOSE(CONTROL!$C$42, 20.0505, 20.0505)*CHOOSE(CONTROL!$C$21, $C$9, 100%, $E$9)</f>
        <v>20.0505</v>
      </c>
      <c r="H663" s="10">
        <f>CHOOSE(CONTROL!$C$42, 20.1109, 20.1109) * CHOOSE(CONTROL!$C$21, $C$9, 100%, $E$9)</f>
        <v>20.110900000000001</v>
      </c>
      <c r="I663" s="10">
        <f>CHOOSE(CONTROL!$C$42, 20.0641, 20.0641)* CHOOSE(CONTROL!$C$21, $C$9, 100%, $E$9)</f>
        <v>20.0641</v>
      </c>
      <c r="J663" s="10">
        <f>CHOOSE(CONTROL!$C$42, 20.0255, 20.0255)* CHOOSE(CONTROL!$C$21, $C$9, 100%, $E$9)</f>
        <v>20.025500000000001</v>
      </c>
      <c r="K663" s="10">
        <f>CHOOSE(CONTROL!$C$42, 19.6143, 19.6143) * CHOOSE(CONTROL!$C$21, $C$9, 100%, $E$9)</f>
        <v>19.6143</v>
      </c>
      <c r="L663" s="10">
        <f>CHOOSE(CONTROL!$C$42, 20.6979, 20.6979) * CHOOSE(CONTROL!$C$21, $C$9, 100%, $E$9)</f>
        <v>20.697900000000001</v>
      </c>
      <c r="M663" s="10">
        <f>CHOOSE(CONTROL!$C$42, 19.7792, 19.7792) * CHOOSE(CONTROL!$C$21, $C$9, 100%, $E$9)</f>
        <v>19.779199999999999</v>
      </c>
      <c r="N663" s="10">
        <f>CHOOSE(CONTROL!$C$42, 19.7965, 19.7965) * CHOOSE(CONTROL!$C$21, $C$9, 100%, $E$9)</f>
        <v>19.796500000000002</v>
      </c>
      <c r="O663" s="10">
        <f>CHOOSE(CONTROL!$C$42, 19.8634, 19.8634) * CHOOSE(CONTROL!$C$21, $C$9, 100%, $E$9)</f>
        <v>19.863399999999999</v>
      </c>
      <c r="P663" s="10">
        <f>CHOOSE(CONTROL!$C$42, 19.8173, 19.8173) * CHOOSE(CONTROL!$C$21, $C$9, 100%, $E$9)</f>
        <v>19.817299999999999</v>
      </c>
      <c r="Q663" s="10">
        <f>CHOOSE(CONTROL!$C$42, 20.4587, 20.4587) * CHOOSE(CONTROL!$C$21, $C$9, 100%, $E$9)</f>
        <v>20.4587</v>
      </c>
      <c r="R663" s="10">
        <f>CHOOSE(CONTROL!$C$42, 21.0968, 21.0968) * CHOOSE(CONTROL!$C$21, $C$9, 100%, $E$9)</f>
        <v>21.096800000000002</v>
      </c>
      <c r="S663" s="10">
        <f>CHOOSE(CONTROL!$C$42, 19.4317, 19.4317) * CHOOSE(CONTROL!$C$21, $C$9, 100%, $E$9)</f>
        <v>19.431699999999999</v>
      </c>
      <c r="T66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63" s="38">
        <f>(1000*CHOOSE(CONTROL!$C$42, 695, 695)*CHOOSE(CONTROL!$C$42, 0.5599, 0.5599)*CHOOSE(CONTROL!$C$42, 31, 31))/1000000</f>
        <v>12.063045499999998</v>
      </c>
      <c r="V663" s="38">
        <f>(1000*CHOOSE(CONTROL!$C$42, 500, 500)*CHOOSE(CONTROL!$C$42, 0.275, 0.275)*CHOOSE(CONTROL!$C$42, 31, 31))/1000000</f>
        <v>4.2625000000000002</v>
      </c>
      <c r="W663" s="38">
        <f>(1000*CHOOSE(CONTROL!$C$42, 0.1146, 0.1146)*CHOOSE(CONTROL!$C$42, 121.5, 121.5)*CHOOSE(CONTROL!$C$42, 31, 31))/1000000</f>
        <v>0.43164089999999994</v>
      </c>
      <c r="X663" s="38">
        <f>(31*0.1790888*100000/1000000)+(31*0.2374*100000/1000000)</f>
        <v>1.2911152800000001</v>
      </c>
      <c r="Y663" s="38">
        <f>(1000*600*CHOOSE(CONTROL!$C$42, 1.0585, 1.0585)*CHOOSE(CONTROL!$C$42, 31, 31))/1000000</f>
        <v>19.688099999999999</v>
      </c>
      <c r="Z663" s="38"/>
      <c r="AA663" s="10"/>
      <c r="AB663" s="39"/>
      <c r="AC663" s="33">
        <f>(B663*122.58+C663*297.941+D663*89.177+E663*40.302+F663*40+G663*160+H663*0+I663*100+J663*300)/(122.58+297.941+89.177+40.302+0+40+160+100+300)</f>
        <v>20.051372321043484</v>
      </c>
      <c r="AD663" s="27">
        <f>(M663*'RAP TEMPLATE-GAS AVAILABILITY'!O662+N663*'RAP TEMPLATE-GAS AVAILABILITY'!P662+O663*'RAP TEMPLATE-GAS AVAILABILITY'!Q662+P663*'RAP TEMPLATE-GAS AVAILABILITY'!R662)/('RAP TEMPLATE-GAS AVAILABILITY'!O662+'RAP TEMPLATE-GAS AVAILABILITY'!P662+'RAP TEMPLATE-GAS AVAILABILITY'!Q662+'RAP TEMPLATE-GAS AVAILABILITY'!R662)</f>
        <v>19.823840287769784</v>
      </c>
    </row>
    <row r="664" spans="1:30" ht="15.75">
      <c r="A664" s="13">
        <v>61483</v>
      </c>
      <c r="B664" s="10">
        <f>CHOOSE(CONTROL!$C$42, 19.9914, 19.9914) * CHOOSE(CONTROL!$C$21, $C$9, 100%, $E$9)</f>
        <v>19.991399999999999</v>
      </c>
      <c r="C664" s="10">
        <f>CHOOSE(CONTROL!$C$42, 19.9959, 19.9959) * CHOOSE(CONTROL!$C$21, $C$9, 100%, $E$9)</f>
        <v>19.995899999999999</v>
      </c>
      <c r="D664" s="10">
        <f>CHOOSE(CONTROL!$C$42, 20.156, 20.156) * CHOOSE(CONTROL!$C$21, $C$9, 100%, $E$9)</f>
        <v>20.155999999999999</v>
      </c>
      <c r="E664" s="10">
        <f>CHOOSE(CONTROL!$C$42, 20.1879, 20.1879) * CHOOSE(CONTROL!$C$21, $C$9, 100%, $E$9)</f>
        <v>20.187899999999999</v>
      </c>
      <c r="F664" s="10">
        <f>CHOOSE(CONTROL!$C$42, 19.9375, 19.9375)*CHOOSE(CONTROL!$C$21, $C$9, 100%, $E$9)</f>
        <v>19.9375</v>
      </c>
      <c r="G664" s="10">
        <f>CHOOSE(CONTROL!$C$42, 19.9533, 19.9533)*CHOOSE(CONTROL!$C$21, $C$9, 100%, $E$9)</f>
        <v>19.953299999999999</v>
      </c>
      <c r="H664" s="10">
        <f>CHOOSE(CONTROL!$C$42, 20.1773, 20.1773) * CHOOSE(CONTROL!$C$21, $C$9, 100%, $E$9)</f>
        <v>20.177299999999999</v>
      </c>
      <c r="I664" s="10">
        <f>CHOOSE(CONTROL!$C$42, 19.9715, 19.9715)* CHOOSE(CONTROL!$C$21, $C$9, 100%, $E$9)</f>
        <v>19.971499999999999</v>
      </c>
      <c r="J664" s="10">
        <f>CHOOSE(CONTROL!$C$42, 19.9301, 19.9301)* CHOOSE(CONTROL!$C$21, $C$9, 100%, $E$9)</f>
        <v>19.930099999999999</v>
      </c>
      <c r="K664" s="10">
        <f>CHOOSE(CONTROL!$C$42, 19.5086, 19.5086) * CHOOSE(CONTROL!$C$21, $C$9, 100%, $E$9)</f>
        <v>19.508600000000001</v>
      </c>
      <c r="L664" s="10">
        <f>CHOOSE(CONTROL!$C$42, 20.7643, 20.7643) * CHOOSE(CONTROL!$C$21, $C$9, 100%, $E$9)</f>
        <v>20.764299999999999</v>
      </c>
      <c r="M664" s="10">
        <f>CHOOSE(CONTROL!$C$42, 19.6851, 19.6851) * CHOOSE(CONTROL!$C$21, $C$9, 100%, $E$9)</f>
        <v>19.685099999999998</v>
      </c>
      <c r="N664" s="10">
        <f>CHOOSE(CONTROL!$C$42, 19.7007, 19.7007) * CHOOSE(CONTROL!$C$21, $C$9, 100%, $E$9)</f>
        <v>19.700700000000001</v>
      </c>
      <c r="O664" s="10">
        <f>CHOOSE(CONTROL!$C$42, 19.9289, 19.9289) * CHOOSE(CONTROL!$C$21, $C$9, 100%, $E$9)</f>
        <v>19.928899999999999</v>
      </c>
      <c r="P664" s="10">
        <f>CHOOSE(CONTROL!$C$42, 19.726, 19.726) * CHOOSE(CONTROL!$C$21, $C$9, 100%, $E$9)</f>
        <v>19.725999999999999</v>
      </c>
      <c r="Q664" s="10">
        <f>CHOOSE(CONTROL!$C$42, 20.5242, 20.5242) * CHOOSE(CONTROL!$C$21, $C$9, 100%, $E$9)</f>
        <v>20.5242</v>
      </c>
      <c r="R664" s="10">
        <f>CHOOSE(CONTROL!$C$42, 21.1625, 21.1625) * CHOOSE(CONTROL!$C$21, $C$9, 100%, $E$9)</f>
        <v>21.162500000000001</v>
      </c>
      <c r="S664" s="10">
        <f>CHOOSE(CONTROL!$C$42, 19.3736, 19.3736) * CHOOSE(CONTROL!$C$21, $C$9, 100%, $E$9)</f>
        <v>19.3736</v>
      </c>
      <c r="T66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64" s="38">
        <f>(1000*CHOOSE(CONTROL!$C$42, 695, 695)*CHOOSE(CONTROL!$C$42, 0.5599, 0.5599)*CHOOSE(CONTROL!$C$42, 30, 30))/1000000</f>
        <v>11.673914999999997</v>
      </c>
      <c r="V664" s="38">
        <f>(1000*CHOOSE(CONTROL!$C$42, 500, 500)*CHOOSE(CONTROL!$C$42, 0.275, 0.275)*CHOOSE(CONTROL!$C$42, 30, 30))/1000000</f>
        <v>4.125</v>
      </c>
      <c r="W664" s="38">
        <f>(1000*CHOOSE(CONTROL!$C$42, 0.1146, 0.1146)*CHOOSE(CONTROL!$C$42, 121.5, 121.5)*CHOOSE(CONTROL!$C$42, 30, 30))/1000000</f>
        <v>0.417717</v>
      </c>
      <c r="X664" s="38">
        <f>(30*0.1790888*245000/1000000)+(30*0.2374*100000/1000000)</f>
        <v>2.0285026799999999</v>
      </c>
      <c r="Y664" s="38">
        <f>(1000*600*CHOOSE(CONTROL!$C$42, 1.0585, 1.0585)*CHOOSE(CONTROL!$C$42, 30, 30))/1000000</f>
        <v>19.053000000000001</v>
      </c>
      <c r="Z664" s="38"/>
      <c r="AA664" s="10"/>
      <c r="AB664" s="39"/>
      <c r="AC664" s="33">
        <f>(B664*141.293+C664*267.993+D664*115.016+E664*89.698+F664*40+G664*185+H664*0+I664*100+J664*300)/(141.293+267.993+115.016+89.698+0+40+185+100+300)</f>
        <v>19.99800109693301</v>
      </c>
      <c r="AD664" s="27">
        <f>(M664*'RAP TEMPLATE-GAS AVAILABILITY'!O663+N664*'RAP TEMPLATE-GAS AVAILABILITY'!P663+O664*'RAP TEMPLATE-GAS AVAILABILITY'!Q663+P664*'RAP TEMPLATE-GAS AVAILABILITY'!R663)/('RAP TEMPLATE-GAS AVAILABILITY'!O663+'RAP TEMPLATE-GAS AVAILABILITY'!P663+'RAP TEMPLATE-GAS AVAILABILITY'!Q663+'RAP TEMPLATE-GAS AVAILABILITY'!R663)</f>
        <v>19.802382014388488</v>
      </c>
    </row>
    <row r="665" spans="1:30" ht="15.75">
      <c r="A665" s="13">
        <v>61514</v>
      </c>
      <c r="B665" s="10">
        <f>CHOOSE(CONTROL!$C$42, 20.1698, 20.1698) * CHOOSE(CONTROL!$C$21, $C$9, 100%, $E$9)</f>
        <v>20.169799999999999</v>
      </c>
      <c r="C665" s="10">
        <f>CHOOSE(CONTROL!$C$42, 20.1778, 20.1778) * CHOOSE(CONTROL!$C$21, $C$9, 100%, $E$9)</f>
        <v>20.177800000000001</v>
      </c>
      <c r="D665" s="10">
        <f>CHOOSE(CONTROL!$C$42, 20.3348, 20.3348) * CHOOSE(CONTROL!$C$21, $C$9, 100%, $E$9)</f>
        <v>20.334800000000001</v>
      </c>
      <c r="E665" s="10">
        <f>CHOOSE(CONTROL!$C$42, 20.366, 20.366) * CHOOSE(CONTROL!$C$21, $C$9, 100%, $E$9)</f>
        <v>20.366</v>
      </c>
      <c r="F665" s="10">
        <f>CHOOSE(CONTROL!$C$42, 20.1139, 20.1139)*CHOOSE(CONTROL!$C$21, $C$9, 100%, $E$9)</f>
        <v>20.113900000000001</v>
      </c>
      <c r="G665" s="10">
        <f>CHOOSE(CONTROL!$C$42, 20.13, 20.13)*CHOOSE(CONTROL!$C$21, $C$9, 100%, $E$9)</f>
        <v>20.13</v>
      </c>
      <c r="H665" s="10">
        <f>CHOOSE(CONTROL!$C$42, 20.3544, 20.3544) * CHOOSE(CONTROL!$C$21, $C$9, 100%, $E$9)</f>
        <v>20.354399999999998</v>
      </c>
      <c r="I665" s="10">
        <f>CHOOSE(CONTROL!$C$42, 20.1486, 20.1486)* CHOOSE(CONTROL!$C$21, $C$9, 100%, $E$9)</f>
        <v>20.148599999999998</v>
      </c>
      <c r="J665" s="10">
        <f>CHOOSE(CONTROL!$C$42, 20.1065, 20.1065)* CHOOSE(CONTROL!$C$21, $C$9, 100%, $E$9)</f>
        <v>20.1065</v>
      </c>
      <c r="K665" s="10">
        <f>CHOOSE(CONTROL!$C$42, 19.6788, 19.6788) * CHOOSE(CONTROL!$C$21, $C$9, 100%, $E$9)</f>
        <v>19.678799999999999</v>
      </c>
      <c r="L665" s="10">
        <f>CHOOSE(CONTROL!$C$42, 20.9414, 20.9414) * CHOOSE(CONTROL!$C$21, $C$9, 100%, $E$9)</f>
        <v>20.941400000000002</v>
      </c>
      <c r="M665" s="10">
        <f>CHOOSE(CONTROL!$C$42, 19.859, 19.859) * CHOOSE(CONTROL!$C$21, $C$9, 100%, $E$9)</f>
        <v>19.859000000000002</v>
      </c>
      <c r="N665" s="10">
        <f>CHOOSE(CONTROL!$C$42, 19.8749, 19.8749) * CHOOSE(CONTROL!$C$21, $C$9, 100%, $E$9)</f>
        <v>19.8749</v>
      </c>
      <c r="O665" s="10">
        <f>CHOOSE(CONTROL!$C$42, 20.1034, 20.1034) * CHOOSE(CONTROL!$C$21, $C$9, 100%, $E$9)</f>
        <v>20.103400000000001</v>
      </c>
      <c r="P665" s="10">
        <f>CHOOSE(CONTROL!$C$42, 19.9005, 19.9005) * CHOOSE(CONTROL!$C$21, $C$9, 100%, $E$9)</f>
        <v>19.900500000000001</v>
      </c>
      <c r="Q665" s="10">
        <f>CHOOSE(CONTROL!$C$42, 20.6987, 20.6987) * CHOOSE(CONTROL!$C$21, $C$9, 100%, $E$9)</f>
        <v>20.698699999999999</v>
      </c>
      <c r="R665" s="10">
        <f>CHOOSE(CONTROL!$C$42, 21.3375, 21.3375) * CHOOSE(CONTROL!$C$21, $C$9, 100%, $E$9)</f>
        <v>21.337499999999999</v>
      </c>
      <c r="S665" s="10">
        <f>CHOOSE(CONTROL!$C$42, 19.545, 19.545) * CHOOSE(CONTROL!$C$21, $C$9, 100%, $E$9)</f>
        <v>19.545000000000002</v>
      </c>
      <c r="T66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65" s="38">
        <f>(1000*CHOOSE(CONTROL!$C$42, 695, 695)*CHOOSE(CONTROL!$C$42, 0.5599, 0.5599)*CHOOSE(CONTROL!$C$42, 31, 31))/1000000</f>
        <v>12.063045499999998</v>
      </c>
      <c r="V665" s="38">
        <f>(1000*CHOOSE(CONTROL!$C$42, 500, 500)*CHOOSE(CONTROL!$C$42, 0.275, 0.275)*CHOOSE(CONTROL!$C$42, 31, 31))/1000000</f>
        <v>4.2625000000000002</v>
      </c>
      <c r="W665" s="38">
        <f>(1000*CHOOSE(CONTROL!$C$42, 0.1146, 0.1146)*CHOOSE(CONTROL!$C$42, 121.5, 121.5)*CHOOSE(CONTROL!$C$42, 31, 31))/1000000</f>
        <v>0.43164089999999994</v>
      </c>
      <c r="X665" s="38">
        <f>(31*0.1790888*245000/1000000)+(31*0.2374*100000/1000000)</f>
        <v>2.0961194359999999</v>
      </c>
      <c r="Y665" s="38">
        <f>(1000*600*CHOOSE(CONTROL!$C$42, 1.0585, 1.0585)*CHOOSE(CONTROL!$C$42, 31, 31))/1000000</f>
        <v>19.688099999999999</v>
      </c>
      <c r="Z665" s="38"/>
      <c r="AA665" s="10"/>
      <c r="AB665" s="39"/>
      <c r="AC665" s="33">
        <f>(B665*194.205+C665*267.466+D665*133.845+E665*53.484+F665*40+G665*185+H665*0+I665*100+J665*300)/(194.205+267.466+133.845+53.484+0+40+185+100+300)</f>
        <v>20.172946557142861</v>
      </c>
      <c r="AD665" s="27">
        <f>(M665*'RAP TEMPLATE-GAS AVAILABILITY'!O664+N665*'RAP TEMPLATE-GAS AVAILABILITY'!P664+O665*'RAP TEMPLATE-GAS AVAILABILITY'!Q664+P665*'RAP TEMPLATE-GAS AVAILABILITY'!R664)/('RAP TEMPLATE-GAS AVAILABILITY'!O664+'RAP TEMPLATE-GAS AVAILABILITY'!P664+'RAP TEMPLATE-GAS AVAILABILITY'!Q664+'RAP TEMPLATE-GAS AVAILABILITY'!R664)</f>
        <v>19.976657553956837</v>
      </c>
    </row>
    <row r="666" spans="1:30" ht="15.75">
      <c r="A666" s="13">
        <v>61544</v>
      </c>
      <c r="B666" s="10">
        <f>CHOOSE(CONTROL!$C$42, 20.7423, 20.7423) * CHOOSE(CONTROL!$C$21, $C$9, 100%, $E$9)</f>
        <v>20.7423</v>
      </c>
      <c r="C666" s="10">
        <f>CHOOSE(CONTROL!$C$42, 20.7503, 20.7503) * CHOOSE(CONTROL!$C$21, $C$9, 100%, $E$9)</f>
        <v>20.750299999999999</v>
      </c>
      <c r="D666" s="10">
        <f>CHOOSE(CONTROL!$C$42, 20.9074, 20.9074) * CHOOSE(CONTROL!$C$21, $C$9, 100%, $E$9)</f>
        <v>20.907399999999999</v>
      </c>
      <c r="E666" s="10">
        <f>CHOOSE(CONTROL!$C$42, 20.9386, 20.9386) * CHOOSE(CONTROL!$C$21, $C$9, 100%, $E$9)</f>
        <v>20.938600000000001</v>
      </c>
      <c r="F666" s="10">
        <f>CHOOSE(CONTROL!$C$42, 20.6866, 20.6866)*CHOOSE(CONTROL!$C$21, $C$9, 100%, $E$9)</f>
        <v>20.686599999999999</v>
      </c>
      <c r="G666" s="10">
        <f>CHOOSE(CONTROL!$C$42, 20.7028, 20.7028)*CHOOSE(CONTROL!$C$21, $C$9, 100%, $E$9)</f>
        <v>20.7028</v>
      </c>
      <c r="H666" s="10">
        <f>CHOOSE(CONTROL!$C$42, 20.9269, 20.9269) * CHOOSE(CONTROL!$C$21, $C$9, 100%, $E$9)</f>
        <v>20.9269</v>
      </c>
      <c r="I666" s="10">
        <f>CHOOSE(CONTROL!$C$42, 20.7211, 20.7211)* CHOOSE(CONTROL!$C$21, $C$9, 100%, $E$9)</f>
        <v>20.7211</v>
      </c>
      <c r="J666" s="10">
        <f>CHOOSE(CONTROL!$C$42, 20.6792, 20.6792)* CHOOSE(CONTROL!$C$21, $C$9, 100%, $E$9)</f>
        <v>20.679200000000002</v>
      </c>
      <c r="K666" s="10">
        <f>CHOOSE(CONTROL!$C$42, 20.2339, 20.2339) * CHOOSE(CONTROL!$C$21, $C$9, 100%, $E$9)</f>
        <v>20.233899999999998</v>
      </c>
      <c r="L666" s="10">
        <f>CHOOSE(CONTROL!$C$42, 21.5139, 21.5139) * CHOOSE(CONTROL!$C$21, $C$9, 100%, $E$9)</f>
        <v>21.5139</v>
      </c>
      <c r="M666" s="10">
        <f>CHOOSE(CONTROL!$C$42, 20.4238, 20.4238) * CHOOSE(CONTROL!$C$21, $C$9, 100%, $E$9)</f>
        <v>20.4238</v>
      </c>
      <c r="N666" s="10">
        <f>CHOOSE(CONTROL!$C$42, 20.4397, 20.4397) * CHOOSE(CONTROL!$C$21, $C$9, 100%, $E$9)</f>
        <v>20.439699999999998</v>
      </c>
      <c r="O666" s="10">
        <f>CHOOSE(CONTROL!$C$42, 20.668, 20.668) * CHOOSE(CONTROL!$C$21, $C$9, 100%, $E$9)</f>
        <v>20.667999999999999</v>
      </c>
      <c r="P666" s="10">
        <f>CHOOSE(CONTROL!$C$42, 20.4651, 20.4651) * CHOOSE(CONTROL!$C$21, $C$9, 100%, $E$9)</f>
        <v>20.4651</v>
      </c>
      <c r="Q666" s="10">
        <f>CHOOSE(CONTROL!$C$42, 21.2633, 21.2633) * CHOOSE(CONTROL!$C$21, $C$9, 100%, $E$9)</f>
        <v>21.263300000000001</v>
      </c>
      <c r="R666" s="10">
        <f>CHOOSE(CONTROL!$C$42, 21.9034, 21.9034) * CHOOSE(CONTROL!$C$21, $C$9, 100%, $E$9)</f>
        <v>21.903400000000001</v>
      </c>
      <c r="S666" s="10">
        <f>CHOOSE(CONTROL!$C$42, 20.0994, 20.0994) * CHOOSE(CONTROL!$C$21, $C$9, 100%, $E$9)</f>
        <v>20.099399999999999</v>
      </c>
      <c r="T66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66" s="38">
        <f>(1000*CHOOSE(CONTROL!$C$42, 695, 695)*CHOOSE(CONTROL!$C$42, 0.5599, 0.5599)*CHOOSE(CONTROL!$C$42, 30, 30))/1000000</f>
        <v>11.673914999999997</v>
      </c>
      <c r="V666" s="38">
        <f>(1000*CHOOSE(CONTROL!$C$42, 500, 500)*CHOOSE(CONTROL!$C$42, 0.275, 0.275)*CHOOSE(CONTROL!$C$42, 30, 30))/1000000</f>
        <v>4.125</v>
      </c>
      <c r="W666" s="38">
        <f>(1000*CHOOSE(CONTROL!$C$42, 0.1146, 0.1146)*CHOOSE(CONTROL!$C$42, 121.5, 121.5)*CHOOSE(CONTROL!$C$42, 30, 30))/1000000</f>
        <v>0.417717</v>
      </c>
      <c r="X666" s="38">
        <f>(30*0.1790888*245000/1000000)+(30*0.2374*100000/1000000)</f>
        <v>2.0285026799999999</v>
      </c>
      <c r="Y666" s="38">
        <f>(1000*600*CHOOSE(CONTROL!$C$42, 1.0585, 1.0585)*CHOOSE(CONTROL!$C$42, 30, 30))/1000000</f>
        <v>19.053000000000001</v>
      </c>
      <c r="Z666" s="38"/>
      <c r="AA666" s="10"/>
      <c r="AB666" s="39"/>
      <c r="AC666" s="33">
        <f>(B666*194.205+C666*267.466+D666*133.845+E666*53.484+F666*40+G666*185+H666*0+I666*100+J666*300)/(194.205+267.466+133.845+53.484+0+40+185+100+300)</f>
        <v>20.745558199921504</v>
      </c>
      <c r="AD666" s="27">
        <f>(M666*'RAP TEMPLATE-GAS AVAILABILITY'!O665+N666*'RAP TEMPLATE-GAS AVAILABILITY'!P665+O666*'RAP TEMPLATE-GAS AVAILABILITY'!Q665+P666*'RAP TEMPLATE-GAS AVAILABILITY'!R665)/('RAP TEMPLATE-GAS AVAILABILITY'!O665+'RAP TEMPLATE-GAS AVAILABILITY'!P665+'RAP TEMPLATE-GAS AVAILABILITY'!Q665+'RAP TEMPLATE-GAS AVAILABILITY'!R665)</f>
        <v>20.541338129496403</v>
      </c>
    </row>
    <row r="667" spans="1:30" ht="15.75">
      <c r="A667" s="13">
        <v>61575</v>
      </c>
      <c r="B667" s="10">
        <f>CHOOSE(CONTROL!$C$42, 20.3441, 20.3441) * CHOOSE(CONTROL!$C$21, $C$9, 100%, $E$9)</f>
        <v>20.344100000000001</v>
      </c>
      <c r="C667" s="10">
        <f>CHOOSE(CONTROL!$C$42, 20.3521, 20.3521) * CHOOSE(CONTROL!$C$21, $C$9, 100%, $E$9)</f>
        <v>20.3521</v>
      </c>
      <c r="D667" s="10">
        <f>CHOOSE(CONTROL!$C$42, 20.5092, 20.5092) * CHOOSE(CONTROL!$C$21, $C$9, 100%, $E$9)</f>
        <v>20.5092</v>
      </c>
      <c r="E667" s="10">
        <f>CHOOSE(CONTROL!$C$42, 20.5404, 20.5404) * CHOOSE(CONTROL!$C$21, $C$9, 100%, $E$9)</f>
        <v>20.540400000000002</v>
      </c>
      <c r="F667" s="10">
        <f>CHOOSE(CONTROL!$C$42, 20.2888, 20.2888)*CHOOSE(CONTROL!$C$21, $C$9, 100%, $E$9)</f>
        <v>20.288799999999998</v>
      </c>
      <c r="G667" s="10">
        <f>CHOOSE(CONTROL!$C$42, 20.305, 20.305)*CHOOSE(CONTROL!$C$21, $C$9, 100%, $E$9)</f>
        <v>20.305</v>
      </c>
      <c r="H667" s="10">
        <f>CHOOSE(CONTROL!$C$42, 20.5287, 20.5287) * CHOOSE(CONTROL!$C$21, $C$9, 100%, $E$9)</f>
        <v>20.528700000000001</v>
      </c>
      <c r="I667" s="10">
        <f>CHOOSE(CONTROL!$C$42, 20.3229, 20.3229)* CHOOSE(CONTROL!$C$21, $C$9, 100%, $E$9)</f>
        <v>20.322900000000001</v>
      </c>
      <c r="J667" s="10">
        <f>CHOOSE(CONTROL!$C$42, 20.2814, 20.2814)* CHOOSE(CONTROL!$C$21, $C$9, 100%, $E$9)</f>
        <v>20.281400000000001</v>
      </c>
      <c r="K667" s="10">
        <f>CHOOSE(CONTROL!$C$42, 19.8488, 19.8488) * CHOOSE(CONTROL!$C$21, $C$9, 100%, $E$9)</f>
        <v>19.848800000000001</v>
      </c>
      <c r="L667" s="10">
        <f>CHOOSE(CONTROL!$C$42, 21.1157, 21.1157) * CHOOSE(CONTROL!$C$21, $C$9, 100%, $E$9)</f>
        <v>21.1157</v>
      </c>
      <c r="M667" s="10">
        <f>CHOOSE(CONTROL!$C$42, 20.0314, 20.0314) * CHOOSE(CONTROL!$C$21, $C$9, 100%, $E$9)</f>
        <v>20.031400000000001</v>
      </c>
      <c r="N667" s="10">
        <f>CHOOSE(CONTROL!$C$42, 20.0475, 20.0475) * CHOOSE(CONTROL!$C$21, $C$9, 100%, $E$9)</f>
        <v>20.047499999999999</v>
      </c>
      <c r="O667" s="10">
        <f>CHOOSE(CONTROL!$C$42, 20.2753, 20.2753) * CHOOSE(CONTROL!$C$21, $C$9, 100%, $E$9)</f>
        <v>20.275300000000001</v>
      </c>
      <c r="P667" s="10">
        <f>CHOOSE(CONTROL!$C$42, 20.0724, 20.0724) * CHOOSE(CONTROL!$C$21, $C$9, 100%, $E$9)</f>
        <v>20.072399999999998</v>
      </c>
      <c r="Q667" s="10">
        <f>CHOOSE(CONTROL!$C$42, 20.8706, 20.8706) * CHOOSE(CONTROL!$C$21, $C$9, 100%, $E$9)</f>
        <v>20.8706</v>
      </c>
      <c r="R667" s="10">
        <f>CHOOSE(CONTROL!$C$42, 21.5098, 21.5098) * CHOOSE(CONTROL!$C$21, $C$9, 100%, $E$9)</f>
        <v>21.509799999999998</v>
      </c>
      <c r="S667" s="10">
        <f>CHOOSE(CONTROL!$C$42, 19.7138, 19.7138) * CHOOSE(CONTROL!$C$21, $C$9, 100%, $E$9)</f>
        <v>19.713799999999999</v>
      </c>
      <c r="T66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67" s="38">
        <f>(1000*CHOOSE(CONTROL!$C$42, 695, 695)*CHOOSE(CONTROL!$C$42, 0.5599, 0.5599)*CHOOSE(CONTROL!$C$42, 31, 31))/1000000</f>
        <v>12.063045499999998</v>
      </c>
      <c r="V667" s="38">
        <f>(1000*CHOOSE(CONTROL!$C$42, 500, 500)*CHOOSE(CONTROL!$C$42, 0.275, 0.275)*CHOOSE(CONTROL!$C$42, 31, 31))/1000000</f>
        <v>4.2625000000000002</v>
      </c>
      <c r="W667" s="38">
        <f>(1000*CHOOSE(CONTROL!$C$42, 0.1146, 0.1146)*CHOOSE(CONTROL!$C$42, 121.5, 121.5)*CHOOSE(CONTROL!$C$42, 31, 31))/1000000</f>
        <v>0.43164089999999994</v>
      </c>
      <c r="X667" s="38">
        <f>(31*0.1790888*245000/1000000)+(31*0.2374*100000/1000000)</f>
        <v>2.0961194359999999</v>
      </c>
      <c r="Y667" s="38">
        <f>(1000*600*CHOOSE(CONTROL!$C$42, 1.0585, 1.0585)*CHOOSE(CONTROL!$C$42, 31, 31))/1000000</f>
        <v>19.688099999999999</v>
      </c>
      <c r="Z667" s="38"/>
      <c r="AA667" s="10"/>
      <c r="AB667" s="39"/>
      <c r="AC667" s="33">
        <f>(B667*194.205+C667*267.466+D667*133.845+E667*53.484+F667*40+G667*185+H667*0+I667*100+J667*300)/(194.205+267.466+133.845+53.484+0+40+185+100+300)</f>
        <v>20.34752303508634</v>
      </c>
      <c r="AD667" s="27">
        <f>(M667*'RAP TEMPLATE-GAS AVAILABILITY'!O666+N667*'RAP TEMPLATE-GAS AVAILABILITY'!P666+O667*'RAP TEMPLATE-GAS AVAILABILITY'!Q666+P667*'RAP TEMPLATE-GAS AVAILABILITY'!R666)/('RAP TEMPLATE-GAS AVAILABILITY'!O666+'RAP TEMPLATE-GAS AVAILABILITY'!P666+'RAP TEMPLATE-GAS AVAILABILITY'!Q666+'RAP TEMPLATE-GAS AVAILABILITY'!R666)</f>
        <v>20.148770503597124</v>
      </c>
    </row>
    <row r="668" spans="1:30" ht="15.75">
      <c r="A668" s="13">
        <v>61606</v>
      </c>
      <c r="B668" s="10">
        <f>CHOOSE(CONTROL!$C$42, 19.3385, 19.3385) * CHOOSE(CONTROL!$C$21, $C$9, 100%, $E$9)</f>
        <v>19.3385</v>
      </c>
      <c r="C668" s="10">
        <f>CHOOSE(CONTROL!$C$42, 19.3465, 19.3465) * CHOOSE(CONTROL!$C$21, $C$9, 100%, $E$9)</f>
        <v>19.346499999999999</v>
      </c>
      <c r="D668" s="10">
        <f>CHOOSE(CONTROL!$C$42, 19.5036, 19.5036) * CHOOSE(CONTROL!$C$21, $C$9, 100%, $E$9)</f>
        <v>19.503599999999999</v>
      </c>
      <c r="E668" s="10">
        <f>CHOOSE(CONTROL!$C$42, 19.5348, 19.5348) * CHOOSE(CONTROL!$C$21, $C$9, 100%, $E$9)</f>
        <v>19.534800000000001</v>
      </c>
      <c r="F668" s="10">
        <f>CHOOSE(CONTROL!$C$42, 19.2831, 19.2831)*CHOOSE(CONTROL!$C$21, $C$9, 100%, $E$9)</f>
        <v>19.283100000000001</v>
      </c>
      <c r="G668" s="10">
        <f>CHOOSE(CONTROL!$C$42, 19.2993, 19.2993)*CHOOSE(CONTROL!$C$21, $C$9, 100%, $E$9)</f>
        <v>19.299299999999999</v>
      </c>
      <c r="H668" s="10">
        <f>CHOOSE(CONTROL!$C$42, 19.5231, 19.5231) * CHOOSE(CONTROL!$C$21, $C$9, 100%, $E$9)</f>
        <v>19.523099999999999</v>
      </c>
      <c r="I668" s="10">
        <f>CHOOSE(CONTROL!$C$42, 19.3173, 19.3173)* CHOOSE(CONTROL!$C$21, $C$9, 100%, $E$9)</f>
        <v>19.317299999999999</v>
      </c>
      <c r="J668" s="10">
        <f>CHOOSE(CONTROL!$C$42, 19.2757, 19.2757)* CHOOSE(CONTROL!$C$21, $C$9, 100%, $E$9)</f>
        <v>19.275700000000001</v>
      </c>
      <c r="K668" s="10">
        <f>CHOOSE(CONTROL!$C$42, 18.8745, 18.8745) * CHOOSE(CONTROL!$C$21, $C$9, 100%, $E$9)</f>
        <v>18.874500000000001</v>
      </c>
      <c r="L668" s="10">
        <f>CHOOSE(CONTROL!$C$42, 20.1101, 20.1101) * CHOOSE(CONTROL!$C$21, $C$9, 100%, $E$9)</f>
        <v>20.110099999999999</v>
      </c>
      <c r="M668" s="10">
        <f>CHOOSE(CONTROL!$C$42, 19.0398, 19.0398) * CHOOSE(CONTROL!$C$21, $C$9, 100%, $E$9)</f>
        <v>19.0398</v>
      </c>
      <c r="N668" s="10">
        <f>CHOOSE(CONTROL!$C$42, 19.0558, 19.0558) * CHOOSE(CONTROL!$C$21, $C$9, 100%, $E$9)</f>
        <v>19.055800000000001</v>
      </c>
      <c r="O668" s="10">
        <f>CHOOSE(CONTROL!$C$42, 19.2838, 19.2838) * CHOOSE(CONTROL!$C$21, $C$9, 100%, $E$9)</f>
        <v>19.283799999999999</v>
      </c>
      <c r="P668" s="10">
        <f>CHOOSE(CONTROL!$C$42, 19.0809, 19.0809) * CHOOSE(CONTROL!$C$21, $C$9, 100%, $E$9)</f>
        <v>19.0809</v>
      </c>
      <c r="Q668" s="10">
        <f>CHOOSE(CONTROL!$C$42, 19.8791, 19.8791) * CHOOSE(CONTROL!$C$21, $C$9, 100%, $E$9)</f>
        <v>19.879100000000001</v>
      </c>
      <c r="R668" s="10">
        <f>CHOOSE(CONTROL!$C$42, 20.5158, 20.5158) * CHOOSE(CONTROL!$C$21, $C$9, 100%, $E$9)</f>
        <v>20.515799999999999</v>
      </c>
      <c r="S668" s="10">
        <f>CHOOSE(CONTROL!$C$42, 18.7401, 18.7401) * CHOOSE(CONTROL!$C$21, $C$9, 100%, $E$9)</f>
        <v>18.740100000000002</v>
      </c>
      <c r="T66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68" s="38">
        <f>(1000*CHOOSE(CONTROL!$C$42, 695, 695)*CHOOSE(CONTROL!$C$42, 0.5599, 0.5599)*CHOOSE(CONTROL!$C$42, 31, 31))/1000000</f>
        <v>12.063045499999998</v>
      </c>
      <c r="V668" s="38">
        <f>(1000*CHOOSE(CONTROL!$C$42, 500, 500)*CHOOSE(CONTROL!$C$42, 0.275, 0.275)*CHOOSE(CONTROL!$C$42, 31, 31))/1000000</f>
        <v>4.2625000000000002</v>
      </c>
      <c r="W668" s="38">
        <f>(1000*CHOOSE(CONTROL!$C$42, 0.1146, 0.1146)*CHOOSE(CONTROL!$C$42, 121.5, 121.5)*CHOOSE(CONTROL!$C$42, 31, 31))/1000000</f>
        <v>0.43164089999999994</v>
      </c>
      <c r="X668" s="38">
        <f>(31*0.1790888*245000/1000000)+(31*0.2374*100000/1000000)</f>
        <v>2.0961194359999999</v>
      </c>
      <c r="Y668" s="38">
        <f>(1000*600*CHOOSE(CONTROL!$C$42, 1.0585, 1.0585)*CHOOSE(CONTROL!$C$42, 31, 31))/1000000</f>
        <v>19.688099999999999</v>
      </c>
      <c r="Z668" s="38"/>
      <c r="AA668" s="10"/>
      <c r="AB668" s="39"/>
      <c r="AC668" s="33">
        <f>(B668*194.205+C668*267.466+D668*133.845+E668*53.484+F668*40+G668*185+H668*0+I668*100+J668*300)/(194.205+267.466+133.845+53.484+0+40+185+100+300)</f>
        <v>19.341881826295133</v>
      </c>
      <c r="AD668" s="27">
        <f>(M668*'RAP TEMPLATE-GAS AVAILABILITY'!O667+N668*'RAP TEMPLATE-GAS AVAILABILITY'!P667+O668*'RAP TEMPLATE-GAS AVAILABILITY'!Q667+P668*'RAP TEMPLATE-GAS AVAILABILITY'!R667)/('RAP TEMPLATE-GAS AVAILABILITY'!O667+'RAP TEMPLATE-GAS AVAILABILITY'!P667+'RAP TEMPLATE-GAS AVAILABILITY'!Q667+'RAP TEMPLATE-GAS AVAILABILITY'!R667)</f>
        <v>19.157224460431657</v>
      </c>
    </row>
    <row r="669" spans="1:30" ht="15.75">
      <c r="A669" s="13">
        <v>61636</v>
      </c>
      <c r="B669" s="10">
        <f>CHOOSE(CONTROL!$C$42, 18.1099, 18.1099) * CHOOSE(CONTROL!$C$21, $C$9, 100%, $E$9)</f>
        <v>18.1099</v>
      </c>
      <c r="C669" s="10">
        <f>CHOOSE(CONTROL!$C$42, 18.1179, 18.1179) * CHOOSE(CONTROL!$C$21, $C$9, 100%, $E$9)</f>
        <v>18.117899999999999</v>
      </c>
      <c r="D669" s="10">
        <f>CHOOSE(CONTROL!$C$42, 18.2749, 18.2749) * CHOOSE(CONTROL!$C$21, $C$9, 100%, $E$9)</f>
        <v>18.274899999999999</v>
      </c>
      <c r="E669" s="10">
        <f>CHOOSE(CONTROL!$C$42, 18.3062, 18.3062) * CHOOSE(CONTROL!$C$21, $C$9, 100%, $E$9)</f>
        <v>18.3062</v>
      </c>
      <c r="F669" s="10">
        <f>CHOOSE(CONTROL!$C$42, 18.0543, 18.0543)*CHOOSE(CONTROL!$C$21, $C$9, 100%, $E$9)</f>
        <v>18.054300000000001</v>
      </c>
      <c r="G669" s="10">
        <f>CHOOSE(CONTROL!$C$42, 18.0705, 18.0705)*CHOOSE(CONTROL!$C$21, $C$9, 100%, $E$9)</f>
        <v>18.070499999999999</v>
      </c>
      <c r="H669" s="10">
        <f>CHOOSE(CONTROL!$C$42, 18.2945, 18.2945) * CHOOSE(CONTROL!$C$21, $C$9, 100%, $E$9)</f>
        <v>18.294499999999999</v>
      </c>
      <c r="I669" s="10">
        <f>CHOOSE(CONTROL!$C$42, 18.0887, 18.0887)* CHOOSE(CONTROL!$C$21, $C$9, 100%, $E$9)</f>
        <v>18.088699999999999</v>
      </c>
      <c r="J669" s="10">
        <f>CHOOSE(CONTROL!$C$42, 18.0469, 18.0469)* CHOOSE(CONTROL!$C$21, $C$9, 100%, $E$9)</f>
        <v>18.046900000000001</v>
      </c>
      <c r="K669" s="10">
        <f>CHOOSE(CONTROL!$C$42, 17.6838, 17.6838) * CHOOSE(CONTROL!$C$21, $C$9, 100%, $E$9)</f>
        <v>17.683800000000002</v>
      </c>
      <c r="L669" s="10">
        <f>CHOOSE(CONTROL!$C$42, 18.8815, 18.8815) * CHOOSE(CONTROL!$C$21, $C$9, 100%, $E$9)</f>
        <v>18.881499999999999</v>
      </c>
      <c r="M669" s="10">
        <f>CHOOSE(CONTROL!$C$42, 17.8281, 17.8281) * CHOOSE(CONTROL!$C$21, $C$9, 100%, $E$9)</f>
        <v>17.828099999999999</v>
      </c>
      <c r="N669" s="10">
        <f>CHOOSE(CONTROL!$C$42, 17.8441, 17.8441) * CHOOSE(CONTROL!$C$21, $C$9, 100%, $E$9)</f>
        <v>17.844100000000001</v>
      </c>
      <c r="O669" s="10">
        <f>CHOOSE(CONTROL!$C$42, 18.0723, 18.0723) * CHOOSE(CONTROL!$C$21, $C$9, 100%, $E$9)</f>
        <v>18.072299999999998</v>
      </c>
      <c r="P669" s="10">
        <f>CHOOSE(CONTROL!$C$42, 17.8694, 17.8694) * CHOOSE(CONTROL!$C$21, $C$9, 100%, $E$9)</f>
        <v>17.869399999999999</v>
      </c>
      <c r="Q669" s="10">
        <f>CHOOSE(CONTROL!$C$42, 18.6676, 18.6676) * CHOOSE(CONTROL!$C$21, $C$9, 100%, $E$9)</f>
        <v>18.6676</v>
      </c>
      <c r="R669" s="10">
        <f>CHOOSE(CONTROL!$C$42, 19.3013, 19.3013) * CHOOSE(CONTROL!$C$21, $C$9, 100%, $E$9)</f>
        <v>19.301300000000001</v>
      </c>
      <c r="S669" s="10">
        <f>CHOOSE(CONTROL!$C$42, 17.5504, 17.5504) * CHOOSE(CONTROL!$C$21, $C$9, 100%, $E$9)</f>
        <v>17.5504</v>
      </c>
      <c r="T66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69" s="38">
        <f>(1000*CHOOSE(CONTROL!$C$42, 695, 695)*CHOOSE(CONTROL!$C$42, 0.5599, 0.5599)*CHOOSE(CONTROL!$C$42, 30, 30))/1000000</f>
        <v>11.673914999999997</v>
      </c>
      <c r="V669" s="38">
        <f>(1000*CHOOSE(CONTROL!$C$42, 500, 500)*CHOOSE(CONTROL!$C$42, 0.275, 0.275)*CHOOSE(CONTROL!$C$42, 30, 30))/1000000</f>
        <v>4.125</v>
      </c>
      <c r="W669" s="38">
        <f>(1000*CHOOSE(CONTROL!$C$42, 0.1146, 0.1146)*CHOOSE(CONTROL!$C$42, 121.5, 121.5)*CHOOSE(CONTROL!$C$42, 30, 30))/1000000</f>
        <v>0.417717</v>
      </c>
      <c r="X669" s="38">
        <f>(30*0.1790888*245000/1000000)+(30*0.2374*100000/1000000)</f>
        <v>2.0285026799999999</v>
      </c>
      <c r="Y669" s="38">
        <f>(1000*600*CHOOSE(CONTROL!$C$42, 1.0585, 1.0585)*CHOOSE(CONTROL!$C$42, 30, 30))/1000000</f>
        <v>19.053000000000001</v>
      </c>
      <c r="Z669" s="38"/>
      <c r="AA669" s="10"/>
      <c r="AB669" s="39"/>
      <c r="AC669" s="33">
        <f>(B669*194.205+C669*267.466+D669*133.845+E669*53.484+F669*40+G669*185+H669*0+I669*100+J669*300)/(194.205+267.466+133.845+53.484+0+40+185+100+300)</f>
        <v>18.113188902825744</v>
      </c>
      <c r="AD669" s="27">
        <f>(M669*'RAP TEMPLATE-GAS AVAILABILITY'!O668+N669*'RAP TEMPLATE-GAS AVAILABILITY'!P668+O669*'RAP TEMPLATE-GAS AVAILABILITY'!Q668+P669*'RAP TEMPLATE-GAS AVAILABILITY'!R668)/('RAP TEMPLATE-GAS AVAILABILITY'!O668+'RAP TEMPLATE-GAS AVAILABILITY'!P668+'RAP TEMPLATE-GAS AVAILABILITY'!Q668+'RAP TEMPLATE-GAS AVAILABILITY'!R668)</f>
        <v>17.945643884892085</v>
      </c>
    </row>
    <row r="670" spans="1:30" ht="15.75">
      <c r="A670" s="13">
        <v>61667</v>
      </c>
      <c r="B670" s="10">
        <f>CHOOSE(CONTROL!$C$42, 17.7397, 17.7397) * CHOOSE(CONTROL!$C$21, $C$9, 100%, $E$9)</f>
        <v>17.739699999999999</v>
      </c>
      <c r="C670" s="10">
        <f>CHOOSE(CONTROL!$C$42, 17.7451, 17.7451) * CHOOSE(CONTROL!$C$21, $C$9, 100%, $E$9)</f>
        <v>17.745100000000001</v>
      </c>
      <c r="D670" s="10">
        <f>CHOOSE(CONTROL!$C$42, 17.907, 17.907) * CHOOSE(CONTROL!$C$21, $C$9, 100%, $E$9)</f>
        <v>17.907</v>
      </c>
      <c r="E670" s="10">
        <f>CHOOSE(CONTROL!$C$42, 17.9359, 17.9359) * CHOOSE(CONTROL!$C$21, $C$9, 100%, $E$9)</f>
        <v>17.9359</v>
      </c>
      <c r="F670" s="10">
        <f>CHOOSE(CONTROL!$C$42, 17.6861, 17.6861)*CHOOSE(CONTROL!$C$21, $C$9, 100%, $E$9)</f>
        <v>17.6861</v>
      </c>
      <c r="G670" s="10">
        <f>CHOOSE(CONTROL!$C$42, 17.7019, 17.7019)*CHOOSE(CONTROL!$C$21, $C$9, 100%, $E$9)</f>
        <v>17.701899999999998</v>
      </c>
      <c r="H670" s="10">
        <f>CHOOSE(CONTROL!$C$42, 17.9261, 17.9261) * CHOOSE(CONTROL!$C$21, $C$9, 100%, $E$9)</f>
        <v>17.926100000000002</v>
      </c>
      <c r="I670" s="10">
        <f>CHOOSE(CONTROL!$C$42, 17.7202, 17.7202)* CHOOSE(CONTROL!$C$21, $C$9, 100%, $E$9)</f>
        <v>17.720199999999998</v>
      </c>
      <c r="J670" s="10">
        <f>CHOOSE(CONTROL!$C$42, 17.6787, 17.6787)* CHOOSE(CONTROL!$C$21, $C$9, 100%, $E$9)</f>
        <v>17.678699999999999</v>
      </c>
      <c r="K670" s="10">
        <f>CHOOSE(CONTROL!$C$42, 17.3275, 17.3275) * CHOOSE(CONTROL!$C$21, $C$9, 100%, $E$9)</f>
        <v>17.327500000000001</v>
      </c>
      <c r="L670" s="10">
        <f>CHOOSE(CONTROL!$C$42, 18.5131, 18.5131) * CHOOSE(CONTROL!$C$21, $C$9, 100%, $E$9)</f>
        <v>18.513100000000001</v>
      </c>
      <c r="M670" s="10">
        <f>CHOOSE(CONTROL!$C$42, 17.4651, 17.4651) * CHOOSE(CONTROL!$C$21, $C$9, 100%, $E$9)</f>
        <v>17.4651</v>
      </c>
      <c r="N670" s="10">
        <f>CHOOSE(CONTROL!$C$42, 17.4807, 17.4807) * CHOOSE(CONTROL!$C$21, $C$9, 100%, $E$9)</f>
        <v>17.480699999999999</v>
      </c>
      <c r="O670" s="10">
        <f>CHOOSE(CONTROL!$C$42, 17.709, 17.709) * CHOOSE(CONTROL!$C$21, $C$9, 100%, $E$9)</f>
        <v>17.709</v>
      </c>
      <c r="P670" s="10">
        <f>CHOOSE(CONTROL!$C$42, 17.5061, 17.5061) * CHOOSE(CONTROL!$C$21, $C$9, 100%, $E$9)</f>
        <v>17.5061</v>
      </c>
      <c r="Q670" s="10">
        <f>CHOOSE(CONTROL!$C$42, 18.3043, 18.3043) * CHOOSE(CONTROL!$C$21, $C$9, 100%, $E$9)</f>
        <v>18.304300000000001</v>
      </c>
      <c r="R670" s="10">
        <f>CHOOSE(CONTROL!$C$42, 18.9371, 18.9371) * CHOOSE(CONTROL!$C$21, $C$9, 100%, $E$9)</f>
        <v>18.937100000000001</v>
      </c>
      <c r="S670" s="10">
        <f>CHOOSE(CONTROL!$C$42, 17.1937, 17.1937) * CHOOSE(CONTROL!$C$21, $C$9, 100%, $E$9)</f>
        <v>17.1937</v>
      </c>
      <c r="T67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70" s="38">
        <f>(1000*CHOOSE(CONTROL!$C$42, 695, 695)*CHOOSE(CONTROL!$C$42, 0.5599, 0.5599)*CHOOSE(CONTROL!$C$42, 31, 31))/1000000</f>
        <v>12.063045499999998</v>
      </c>
      <c r="V670" s="38">
        <f>(1000*CHOOSE(CONTROL!$C$42, 500, 500)*CHOOSE(CONTROL!$C$42, 0.275, 0.275)*CHOOSE(CONTROL!$C$42, 31, 31))/1000000</f>
        <v>4.2625000000000002</v>
      </c>
      <c r="W670" s="38">
        <f>(1000*CHOOSE(CONTROL!$C$42, 0.1146, 0.1146)*CHOOSE(CONTROL!$C$42, 121.5, 121.5)*CHOOSE(CONTROL!$C$42, 31, 31))/1000000</f>
        <v>0.43164089999999994</v>
      </c>
      <c r="X670" s="38">
        <f>(31*0.1790888*245000/1000000)+(31*0.2374*100000/1000000)</f>
        <v>2.0961194359999999</v>
      </c>
      <c r="Y670" s="38">
        <f>(1000*600*CHOOSE(CONTROL!$C$42, 1.0585, 1.0585)*CHOOSE(CONTROL!$C$42, 31, 31))/1000000</f>
        <v>19.688099999999999</v>
      </c>
      <c r="Z670" s="38"/>
      <c r="AA670" s="10"/>
      <c r="AB670" s="39"/>
      <c r="AC670" s="33">
        <f>(B670*131.881+C670*277.167+D670*79.08+E670*125.872+F670*40+G670*185+H670*0+I670*100+J670*300)/(131.881+277.167+79.08+125.872+0+40+185+100+300)</f>
        <v>17.747799977562551</v>
      </c>
      <c r="AD670" s="27">
        <f>(M670*'RAP TEMPLATE-GAS AVAILABILITY'!O669+N670*'RAP TEMPLATE-GAS AVAILABILITY'!P669+O670*'RAP TEMPLATE-GAS AVAILABILITY'!Q669+P670*'RAP TEMPLATE-GAS AVAILABILITY'!R669)/('RAP TEMPLATE-GAS AVAILABILITY'!O669+'RAP TEMPLATE-GAS AVAILABILITY'!P669+'RAP TEMPLATE-GAS AVAILABILITY'!Q669+'RAP TEMPLATE-GAS AVAILABILITY'!R669)</f>
        <v>17.582441726618704</v>
      </c>
    </row>
    <row r="671" spans="1:30" ht="15.75">
      <c r="A671" s="13">
        <v>61697</v>
      </c>
      <c r="B671" s="10">
        <f>CHOOSE(CONTROL!$C$42, 18.2071, 18.2071) * CHOOSE(CONTROL!$C$21, $C$9, 100%, $E$9)</f>
        <v>18.207100000000001</v>
      </c>
      <c r="C671" s="10">
        <f>CHOOSE(CONTROL!$C$42, 18.2122, 18.2122) * CHOOSE(CONTROL!$C$21, $C$9, 100%, $E$9)</f>
        <v>18.212199999999999</v>
      </c>
      <c r="D671" s="10">
        <f>CHOOSE(CONTROL!$C$42, 18.2369, 18.2369) * CHOOSE(CONTROL!$C$21, $C$9, 100%, $E$9)</f>
        <v>18.236899999999999</v>
      </c>
      <c r="E671" s="10">
        <f>CHOOSE(CONTROL!$C$42, 18.2707, 18.2707) * CHOOSE(CONTROL!$C$21, $C$9, 100%, $E$9)</f>
        <v>18.270700000000001</v>
      </c>
      <c r="F671" s="10">
        <f>CHOOSE(CONTROL!$C$42, 18.1754, 18.1754)*CHOOSE(CONTROL!$C$21, $C$9, 100%, $E$9)</f>
        <v>18.1754</v>
      </c>
      <c r="G671" s="10">
        <f>CHOOSE(CONTROL!$C$42, 18.1914, 18.1914)*CHOOSE(CONTROL!$C$21, $C$9, 100%, $E$9)</f>
        <v>18.191400000000002</v>
      </c>
      <c r="H671" s="10">
        <f>CHOOSE(CONTROL!$C$42, 18.2596, 18.2596) * CHOOSE(CONTROL!$C$21, $C$9, 100%, $E$9)</f>
        <v>18.259599999999999</v>
      </c>
      <c r="I671" s="10">
        <f>CHOOSE(CONTROL!$C$42, 18.2221, 18.2221)* CHOOSE(CONTROL!$C$21, $C$9, 100%, $E$9)</f>
        <v>18.222100000000001</v>
      </c>
      <c r="J671" s="10">
        <f>CHOOSE(CONTROL!$C$42, 18.168, 18.168)* CHOOSE(CONTROL!$C$21, $C$9, 100%, $E$9)</f>
        <v>18.167999999999999</v>
      </c>
      <c r="K671" s="10">
        <f>CHOOSE(CONTROL!$C$42, 17.8159, 17.8159) * CHOOSE(CONTROL!$C$21, $C$9, 100%, $E$9)</f>
        <v>17.815899999999999</v>
      </c>
      <c r="L671" s="10">
        <f>CHOOSE(CONTROL!$C$42, 18.8466, 18.8466) * CHOOSE(CONTROL!$C$21, $C$9, 100%, $E$9)</f>
        <v>18.846599999999999</v>
      </c>
      <c r="M671" s="10">
        <f>CHOOSE(CONTROL!$C$42, 17.9476, 17.9476) * CHOOSE(CONTROL!$C$21, $C$9, 100%, $E$9)</f>
        <v>17.947600000000001</v>
      </c>
      <c r="N671" s="10">
        <f>CHOOSE(CONTROL!$C$42, 17.9634, 17.9634) * CHOOSE(CONTROL!$C$21, $C$9, 100%, $E$9)</f>
        <v>17.9634</v>
      </c>
      <c r="O671" s="10">
        <f>CHOOSE(CONTROL!$C$42, 18.0379, 18.0379) * CHOOSE(CONTROL!$C$21, $C$9, 100%, $E$9)</f>
        <v>18.0379</v>
      </c>
      <c r="P671" s="10">
        <f>CHOOSE(CONTROL!$C$42, 18.001, 18.001) * CHOOSE(CONTROL!$C$21, $C$9, 100%, $E$9)</f>
        <v>18.001000000000001</v>
      </c>
      <c r="Q671" s="10">
        <f>CHOOSE(CONTROL!$C$42, 18.6332, 18.6332) * CHOOSE(CONTROL!$C$21, $C$9, 100%, $E$9)</f>
        <v>18.633199999999999</v>
      </c>
      <c r="R671" s="10">
        <f>CHOOSE(CONTROL!$C$42, 19.2667, 19.2667) * CHOOSE(CONTROL!$C$21, $C$9, 100%, $E$9)</f>
        <v>19.2667</v>
      </c>
      <c r="S671" s="10">
        <f>CHOOSE(CONTROL!$C$42, 17.6466, 17.6466) * CHOOSE(CONTROL!$C$21, $C$9, 100%, $E$9)</f>
        <v>17.646599999999999</v>
      </c>
      <c r="T67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71" s="38">
        <f>(1000*CHOOSE(CONTROL!$C$42, 695, 695)*CHOOSE(CONTROL!$C$42, 0.5599, 0.5599)*CHOOSE(CONTROL!$C$42, 30, 30))/1000000</f>
        <v>11.673914999999997</v>
      </c>
      <c r="V671" s="38">
        <f>(1000*CHOOSE(CONTROL!$C$42, 500, 500)*CHOOSE(CONTROL!$C$42, 0.275, 0.275)*CHOOSE(CONTROL!$C$42, 30, 30))/1000000</f>
        <v>4.125</v>
      </c>
      <c r="W671" s="38">
        <f>(1000*CHOOSE(CONTROL!$C$42, 0.1146, 0.1146)*CHOOSE(CONTROL!$C$42, 121.5, 121.5)*CHOOSE(CONTROL!$C$42, 30, 30))/1000000</f>
        <v>0.417717</v>
      </c>
      <c r="X671" s="38">
        <f>(30*0.1790888*100000/1000000)+(30*0.2374*100000/1000000)</f>
        <v>1.2494664</v>
      </c>
      <c r="Y671" s="38">
        <f>(1000*600*CHOOSE(CONTROL!$C$42, 1.0585, 1.0585)*CHOOSE(CONTROL!$C$42, 30, 30))/1000000</f>
        <v>19.053000000000001</v>
      </c>
      <c r="Z671" s="38"/>
      <c r="AA671" s="10"/>
      <c r="AB671" s="39"/>
      <c r="AC671" s="33">
        <f>(B671*122.58+C671*297.941+D671*89.177+E671*40.302+F671*40+G671*160+H671*0+I671*100+J671*300)/(122.58+297.941+89.177+40.302+0+40+160+100+300)</f>
        <v>18.200778418173911</v>
      </c>
      <c r="AD671" s="27">
        <f>(M671*'RAP TEMPLATE-GAS AVAILABILITY'!O670+N671*'RAP TEMPLATE-GAS AVAILABILITY'!P670+O671*'RAP TEMPLATE-GAS AVAILABILITY'!Q670+P671*'RAP TEMPLATE-GAS AVAILABILITY'!R670)/('RAP TEMPLATE-GAS AVAILABILITY'!O670+'RAP TEMPLATE-GAS AVAILABILITY'!P670+'RAP TEMPLATE-GAS AVAILABILITY'!Q670+'RAP TEMPLATE-GAS AVAILABILITY'!R670)</f>
        <v>17.997120143884892</v>
      </c>
    </row>
    <row r="672" spans="1:30" ht="15.75">
      <c r="A672" s="13">
        <v>61728</v>
      </c>
      <c r="B672" s="10">
        <f>CHOOSE(CONTROL!$C$42, 19.4496, 19.4496) * CHOOSE(CONTROL!$C$21, $C$9, 100%, $E$9)</f>
        <v>19.4496</v>
      </c>
      <c r="C672" s="10">
        <f>CHOOSE(CONTROL!$C$42, 19.4547, 19.4547) * CHOOSE(CONTROL!$C$21, $C$9, 100%, $E$9)</f>
        <v>19.454699999999999</v>
      </c>
      <c r="D672" s="10">
        <f>CHOOSE(CONTROL!$C$42, 19.4793, 19.4793) * CHOOSE(CONTROL!$C$21, $C$9, 100%, $E$9)</f>
        <v>19.479299999999999</v>
      </c>
      <c r="E672" s="10">
        <f>CHOOSE(CONTROL!$C$42, 19.5132, 19.5132) * CHOOSE(CONTROL!$C$21, $C$9, 100%, $E$9)</f>
        <v>19.513200000000001</v>
      </c>
      <c r="F672" s="10">
        <f>CHOOSE(CONTROL!$C$42, 19.4198, 19.4198)*CHOOSE(CONTROL!$C$21, $C$9, 100%, $E$9)</f>
        <v>19.419799999999999</v>
      </c>
      <c r="G672" s="10">
        <f>CHOOSE(CONTROL!$C$42, 19.4363, 19.4363)*CHOOSE(CONTROL!$C$21, $C$9, 100%, $E$9)</f>
        <v>19.436299999999999</v>
      </c>
      <c r="H672" s="10">
        <f>CHOOSE(CONTROL!$C$42, 19.502, 19.502) * CHOOSE(CONTROL!$C$21, $C$9, 100%, $E$9)</f>
        <v>19.501999999999999</v>
      </c>
      <c r="I672" s="10">
        <f>CHOOSE(CONTROL!$C$42, 19.4645, 19.4645)* CHOOSE(CONTROL!$C$21, $C$9, 100%, $E$9)</f>
        <v>19.464500000000001</v>
      </c>
      <c r="J672" s="10">
        <f>CHOOSE(CONTROL!$C$42, 19.4124, 19.4124)* CHOOSE(CONTROL!$C$21, $C$9, 100%, $E$9)</f>
        <v>19.412400000000002</v>
      </c>
      <c r="K672" s="10">
        <f>CHOOSE(CONTROL!$C$42, 19.0236, 19.0236) * CHOOSE(CONTROL!$C$21, $C$9, 100%, $E$9)</f>
        <v>19.023599999999998</v>
      </c>
      <c r="L672" s="10">
        <f>CHOOSE(CONTROL!$C$42, 20.089, 20.089) * CHOOSE(CONTROL!$C$21, $C$9, 100%, $E$9)</f>
        <v>20.088999999999999</v>
      </c>
      <c r="M672" s="10">
        <f>CHOOSE(CONTROL!$C$42, 19.1746, 19.1746) * CHOOSE(CONTROL!$C$21, $C$9, 100%, $E$9)</f>
        <v>19.174600000000002</v>
      </c>
      <c r="N672" s="10">
        <f>CHOOSE(CONTROL!$C$42, 19.1909, 19.1909) * CHOOSE(CONTROL!$C$21, $C$9, 100%, $E$9)</f>
        <v>19.190899999999999</v>
      </c>
      <c r="O672" s="10">
        <f>CHOOSE(CONTROL!$C$42, 19.263, 19.263) * CHOOSE(CONTROL!$C$21, $C$9, 100%, $E$9)</f>
        <v>19.263000000000002</v>
      </c>
      <c r="P672" s="10">
        <f>CHOOSE(CONTROL!$C$42, 19.2261, 19.2261) * CHOOSE(CONTROL!$C$21, $C$9, 100%, $E$9)</f>
        <v>19.226099999999999</v>
      </c>
      <c r="Q672" s="10">
        <f>CHOOSE(CONTROL!$C$42, 19.8583, 19.8583) * CHOOSE(CONTROL!$C$21, $C$9, 100%, $E$9)</f>
        <v>19.8583</v>
      </c>
      <c r="R672" s="10">
        <f>CHOOSE(CONTROL!$C$42, 20.4949, 20.4949) * CHOOSE(CONTROL!$C$21, $C$9, 100%, $E$9)</f>
        <v>20.494900000000001</v>
      </c>
      <c r="S672" s="10">
        <f>CHOOSE(CONTROL!$C$42, 18.8497, 18.8497) * CHOOSE(CONTROL!$C$21, $C$9, 100%, $E$9)</f>
        <v>18.849699999999999</v>
      </c>
      <c r="T67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72" s="38">
        <f>(1000*CHOOSE(CONTROL!$C$42, 695, 695)*CHOOSE(CONTROL!$C$42, 0.5599, 0.5599)*CHOOSE(CONTROL!$C$42, 31, 31))/1000000</f>
        <v>12.063045499999998</v>
      </c>
      <c r="V672" s="38">
        <f>(1000*CHOOSE(CONTROL!$C$42, 500, 500)*CHOOSE(CONTROL!$C$42, 0.275, 0.275)*CHOOSE(CONTROL!$C$42, 31, 31))/1000000</f>
        <v>4.2625000000000002</v>
      </c>
      <c r="W672" s="38">
        <f>(1000*CHOOSE(CONTROL!$C$42, 0.1146, 0.1146)*CHOOSE(CONTROL!$C$42, 121.5, 121.5)*CHOOSE(CONTROL!$C$42, 31, 31))/1000000</f>
        <v>0.43164089999999994</v>
      </c>
      <c r="X672" s="38">
        <f>(31*0.1790888*100000/1000000)+(31*0.2374*100000/1000000)</f>
        <v>1.2911152800000001</v>
      </c>
      <c r="Y672" s="38">
        <f>(1000*600*CHOOSE(CONTROL!$C$42, 1.0585, 1.0585)*CHOOSE(CONTROL!$C$42, 31, 31))/1000000</f>
        <v>19.688099999999999</v>
      </c>
      <c r="Z672" s="38"/>
      <c r="AA672" s="10"/>
      <c r="AB672" s="39"/>
      <c r="AC672" s="33">
        <f>(B672*122.58+C672*297.941+D672*89.177+E672*40.302+F672*40+G672*160+H672*0+I672*100+J672*300)/(122.58+297.941+89.177+40.302+0+40+160+100+300)</f>
        <v>19.444157620173915</v>
      </c>
      <c r="AD672" s="27">
        <f>(M672*'RAP TEMPLATE-GAS AVAILABILITY'!O671+N672*'RAP TEMPLATE-GAS AVAILABILITY'!P671+O672*'RAP TEMPLATE-GAS AVAILABILITY'!Q671+P672*'RAP TEMPLATE-GAS AVAILABILITY'!R671)/('RAP TEMPLATE-GAS AVAILABILITY'!O671+'RAP TEMPLATE-GAS AVAILABILITY'!P671+'RAP TEMPLATE-GAS AVAILABILITY'!Q671+'RAP TEMPLATE-GAS AVAILABILITY'!R671)</f>
        <v>19.223014388489212</v>
      </c>
    </row>
    <row r="673" spans="1:30" ht="15.75">
      <c r="A673" s="13">
        <v>61759</v>
      </c>
      <c r="B673" s="10">
        <f>CHOOSE(CONTROL!$C$42, 20.7634, 20.7634) * CHOOSE(CONTROL!$C$21, $C$9, 100%, $E$9)</f>
        <v>20.763400000000001</v>
      </c>
      <c r="C673" s="10">
        <f>CHOOSE(CONTROL!$C$42, 20.7685, 20.7685) * CHOOSE(CONTROL!$C$21, $C$9, 100%, $E$9)</f>
        <v>20.7685</v>
      </c>
      <c r="D673" s="10">
        <f>CHOOSE(CONTROL!$C$42, 20.8009, 20.8009) * CHOOSE(CONTROL!$C$21, $C$9, 100%, $E$9)</f>
        <v>20.800899999999999</v>
      </c>
      <c r="E673" s="10">
        <f>CHOOSE(CONTROL!$C$42, 20.8347, 20.8347) * CHOOSE(CONTROL!$C$21, $C$9, 100%, $E$9)</f>
        <v>20.834700000000002</v>
      </c>
      <c r="F673" s="10">
        <f>CHOOSE(CONTROL!$C$42, 20.7476, 20.7476)*CHOOSE(CONTROL!$C$21, $C$9, 100%, $E$9)</f>
        <v>20.747599999999998</v>
      </c>
      <c r="G673" s="10">
        <f>CHOOSE(CONTROL!$C$42, 20.7656, 20.7656)*CHOOSE(CONTROL!$C$21, $C$9, 100%, $E$9)</f>
        <v>20.765599999999999</v>
      </c>
      <c r="H673" s="10">
        <f>CHOOSE(CONTROL!$C$42, 20.8236, 20.8236) * CHOOSE(CONTROL!$C$21, $C$9, 100%, $E$9)</f>
        <v>20.823599999999999</v>
      </c>
      <c r="I673" s="10">
        <f>CHOOSE(CONTROL!$C$42, 20.7768, 20.7768)* CHOOSE(CONTROL!$C$21, $C$9, 100%, $E$9)</f>
        <v>20.776800000000001</v>
      </c>
      <c r="J673" s="10">
        <f>CHOOSE(CONTROL!$C$42, 20.7402, 20.7402)* CHOOSE(CONTROL!$C$21, $C$9, 100%, $E$9)</f>
        <v>20.740200000000002</v>
      </c>
      <c r="K673" s="10">
        <f>CHOOSE(CONTROL!$C$42, 20.3089, 20.3089) * CHOOSE(CONTROL!$C$21, $C$9, 100%, $E$9)</f>
        <v>20.308900000000001</v>
      </c>
      <c r="L673" s="10">
        <f>CHOOSE(CONTROL!$C$42, 21.4106, 21.4106) * CHOOSE(CONTROL!$C$21, $C$9, 100%, $E$9)</f>
        <v>21.410599999999999</v>
      </c>
      <c r="M673" s="10">
        <f>CHOOSE(CONTROL!$C$42, 20.4839, 20.4839) * CHOOSE(CONTROL!$C$21, $C$9, 100%, $E$9)</f>
        <v>20.483899999999998</v>
      </c>
      <c r="N673" s="10">
        <f>CHOOSE(CONTROL!$C$42, 20.5016, 20.5016) * CHOOSE(CONTROL!$C$21, $C$9, 100%, $E$9)</f>
        <v>20.5016</v>
      </c>
      <c r="O673" s="10">
        <f>CHOOSE(CONTROL!$C$42, 20.5661, 20.5661) * CHOOSE(CONTROL!$C$21, $C$9, 100%, $E$9)</f>
        <v>20.566099999999999</v>
      </c>
      <c r="P673" s="10">
        <f>CHOOSE(CONTROL!$C$42, 20.5201, 20.5201) * CHOOSE(CONTROL!$C$21, $C$9, 100%, $E$9)</f>
        <v>20.520099999999999</v>
      </c>
      <c r="Q673" s="10">
        <f>CHOOSE(CONTROL!$C$42, 21.1614, 21.1614) * CHOOSE(CONTROL!$C$21, $C$9, 100%, $E$9)</f>
        <v>21.1614</v>
      </c>
      <c r="R673" s="10">
        <f>CHOOSE(CONTROL!$C$42, 21.8013, 21.8013) * CHOOSE(CONTROL!$C$21, $C$9, 100%, $E$9)</f>
        <v>21.801300000000001</v>
      </c>
      <c r="S673" s="10">
        <f>CHOOSE(CONTROL!$C$42, 20.1219, 20.1219) * CHOOSE(CONTROL!$C$21, $C$9, 100%, $E$9)</f>
        <v>20.1219</v>
      </c>
      <c r="T67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73" s="38">
        <f>(1000*CHOOSE(CONTROL!$C$42, 695, 695)*CHOOSE(CONTROL!$C$42, 0.5599, 0.5599)*CHOOSE(CONTROL!$C$42, 31, 31))/1000000</f>
        <v>12.063045499999998</v>
      </c>
      <c r="V673" s="38">
        <f>(1000*CHOOSE(CONTROL!$C$42, 500, 500)*CHOOSE(CONTROL!$C$42, 0.275, 0.275)*CHOOSE(CONTROL!$C$42, 31, 31))/1000000</f>
        <v>4.2625000000000002</v>
      </c>
      <c r="W673" s="38">
        <f>(1000*CHOOSE(CONTROL!$C$42, 0.1146, 0.1146)*CHOOSE(CONTROL!$C$42, 121.5, 121.5)*CHOOSE(CONTROL!$C$42, 31, 31))/1000000</f>
        <v>0.43164089999999994</v>
      </c>
      <c r="X673" s="38">
        <f>(31*0.1790888*100000/1000000)+(31*0.2374*100000/1000000)</f>
        <v>1.2911152800000001</v>
      </c>
      <c r="Y673" s="38">
        <f>(1000*600*CHOOSE(CONTROL!$C$42, 1.0585, 1.0585)*CHOOSE(CONTROL!$C$42, 31, 31))/1000000</f>
        <v>19.688099999999999</v>
      </c>
      <c r="Z673" s="38"/>
      <c r="AA673" s="10"/>
      <c r="AB673" s="39"/>
      <c r="AC673" s="33">
        <f>(B673*122.58+C673*297.941+D673*89.177+E673*40.302+F673*40+G673*160+H673*0+I673*100+J673*300)/(122.58+297.941+89.177+40.302+0+40+160+100+300)</f>
        <v>20.764997538434784</v>
      </c>
      <c r="AD673" s="27">
        <f>(M673*'RAP TEMPLATE-GAS AVAILABILITY'!O672+N673*'RAP TEMPLATE-GAS AVAILABILITY'!P672+O673*'RAP TEMPLATE-GAS AVAILABILITY'!Q672+P673*'RAP TEMPLATE-GAS AVAILABILITY'!R672)/('RAP TEMPLATE-GAS AVAILABILITY'!O672+'RAP TEMPLATE-GAS AVAILABILITY'!P672+'RAP TEMPLATE-GAS AVAILABILITY'!Q672+'RAP TEMPLATE-GAS AVAILABILITY'!R672)</f>
        <v>20.527383453237409</v>
      </c>
    </row>
    <row r="674" spans="1:30" ht="15.75">
      <c r="A674" s="13">
        <v>61787</v>
      </c>
      <c r="B674" s="10">
        <f>CHOOSE(CONTROL!$C$42, 21.1333, 21.1333) * CHOOSE(CONTROL!$C$21, $C$9, 100%, $E$9)</f>
        <v>21.133299999999998</v>
      </c>
      <c r="C674" s="10">
        <f>CHOOSE(CONTROL!$C$42, 21.1384, 21.1384) * CHOOSE(CONTROL!$C$21, $C$9, 100%, $E$9)</f>
        <v>21.138400000000001</v>
      </c>
      <c r="D674" s="10">
        <f>CHOOSE(CONTROL!$C$42, 21.1708, 21.1708) * CHOOSE(CONTROL!$C$21, $C$9, 100%, $E$9)</f>
        <v>21.1708</v>
      </c>
      <c r="E674" s="10">
        <f>CHOOSE(CONTROL!$C$42, 21.2046, 21.2046) * CHOOSE(CONTROL!$C$21, $C$9, 100%, $E$9)</f>
        <v>21.204599999999999</v>
      </c>
      <c r="F674" s="10">
        <f>CHOOSE(CONTROL!$C$42, 21.117, 21.117)*CHOOSE(CONTROL!$C$21, $C$9, 100%, $E$9)</f>
        <v>21.117000000000001</v>
      </c>
      <c r="G674" s="10">
        <f>CHOOSE(CONTROL!$C$42, 21.135, 21.135)*CHOOSE(CONTROL!$C$21, $C$9, 100%, $E$9)</f>
        <v>21.135000000000002</v>
      </c>
      <c r="H674" s="10">
        <f>CHOOSE(CONTROL!$C$42, 21.1935, 21.1935) * CHOOSE(CONTROL!$C$21, $C$9, 100%, $E$9)</f>
        <v>21.1935</v>
      </c>
      <c r="I674" s="10">
        <f>CHOOSE(CONTROL!$C$42, 21.1467, 21.1467)* CHOOSE(CONTROL!$C$21, $C$9, 100%, $E$9)</f>
        <v>21.146699999999999</v>
      </c>
      <c r="J674" s="10">
        <f>CHOOSE(CONTROL!$C$42, 21.1096, 21.1096)* CHOOSE(CONTROL!$C$21, $C$9, 100%, $E$9)</f>
        <v>21.1096</v>
      </c>
      <c r="K674" s="10">
        <f>CHOOSE(CONTROL!$C$42, 20.6663, 20.6663) * CHOOSE(CONTROL!$C$21, $C$9, 100%, $E$9)</f>
        <v>20.6663</v>
      </c>
      <c r="L674" s="10">
        <f>CHOOSE(CONTROL!$C$42, 21.7805, 21.7805) * CHOOSE(CONTROL!$C$21, $C$9, 100%, $E$9)</f>
        <v>21.7805</v>
      </c>
      <c r="M674" s="10">
        <f>CHOOSE(CONTROL!$C$42, 20.8482, 20.8482) * CHOOSE(CONTROL!$C$21, $C$9, 100%, $E$9)</f>
        <v>20.848199999999999</v>
      </c>
      <c r="N674" s="10">
        <f>CHOOSE(CONTROL!$C$42, 20.8658, 20.8658) * CHOOSE(CONTROL!$C$21, $C$9, 100%, $E$9)</f>
        <v>20.8658</v>
      </c>
      <c r="O674" s="10">
        <f>CHOOSE(CONTROL!$C$42, 20.9309, 20.9309) * CHOOSE(CONTROL!$C$21, $C$9, 100%, $E$9)</f>
        <v>20.930900000000001</v>
      </c>
      <c r="P674" s="10">
        <f>CHOOSE(CONTROL!$C$42, 20.8848, 20.8848) * CHOOSE(CONTROL!$C$21, $C$9, 100%, $E$9)</f>
        <v>20.884799999999998</v>
      </c>
      <c r="Q674" s="10">
        <f>CHOOSE(CONTROL!$C$42, 21.5262, 21.5262) * CHOOSE(CONTROL!$C$21, $C$9, 100%, $E$9)</f>
        <v>21.526199999999999</v>
      </c>
      <c r="R674" s="10">
        <f>CHOOSE(CONTROL!$C$42, 22.167, 22.167) * CHOOSE(CONTROL!$C$21, $C$9, 100%, $E$9)</f>
        <v>22.167000000000002</v>
      </c>
      <c r="S674" s="10">
        <f>CHOOSE(CONTROL!$C$42, 20.48, 20.48) * CHOOSE(CONTROL!$C$21, $C$9, 100%, $E$9)</f>
        <v>20.48</v>
      </c>
      <c r="T67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74" s="38">
        <f>(1000*CHOOSE(CONTROL!$C$42, 695, 695)*CHOOSE(CONTROL!$C$42, 0.5599, 0.5599)*CHOOSE(CONTROL!$C$42, 28, 28))/1000000</f>
        <v>10.895653999999999</v>
      </c>
      <c r="V674" s="38">
        <f>(1000*CHOOSE(CONTROL!$C$42, 500, 500)*CHOOSE(CONTROL!$C$42, 0.275, 0.275)*CHOOSE(CONTROL!$C$42, 28, 28))/1000000</f>
        <v>3.85</v>
      </c>
      <c r="W674" s="38">
        <f>(1000*CHOOSE(CONTROL!$C$42, 0.1146, 0.1146)*CHOOSE(CONTROL!$C$42, 121.5, 121.5)*CHOOSE(CONTROL!$C$42, 28, 28))/1000000</f>
        <v>0.38986920000000003</v>
      </c>
      <c r="X674" s="38">
        <f>(28*0.1790888*100000/1000000)+(28*0.2374*100000/1000000)</f>
        <v>1.16616864</v>
      </c>
      <c r="Y674" s="38">
        <f>(1000*600*CHOOSE(CONTROL!$C$42, 1.0585, 1.0585)*CHOOSE(CONTROL!$C$42, 28, 28))/1000000</f>
        <v>17.782800000000002</v>
      </c>
      <c r="Z674" s="38"/>
      <c r="AA674" s="10"/>
      <c r="AB674" s="39"/>
      <c r="AC674" s="33">
        <f>(B674*122.58+C674*297.941+D674*89.177+E674*40.302+F674*40+G674*160+H674*0+I674*100+J674*300)/(122.58+297.941+89.177+40.302+0+40+160+100+300)</f>
        <v>21.134680147130435</v>
      </c>
      <c r="AD674" s="27">
        <f>(M674*'RAP TEMPLATE-GAS AVAILABILITY'!O673+N674*'RAP TEMPLATE-GAS AVAILABILITY'!P673+O674*'RAP TEMPLATE-GAS AVAILABILITY'!Q673+P674*'RAP TEMPLATE-GAS AVAILABILITY'!R673)/('RAP TEMPLATE-GAS AVAILABILITY'!O673+'RAP TEMPLATE-GAS AVAILABILITY'!P673+'RAP TEMPLATE-GAS AVAILABILITY'!Q673+'RAP TEMPLATE-GAS AVAILABILITY'!R673)</f>
        <v>20.891961870503597</v>
      </c>
    </row>
    <row r="675" spans="1:30" ht="15.75">
      <c r="A675" s="13">
        <v>61818</v>
      </c>
      <c r="B675" s="10">
        <f>CHOOSE(CONTROL!$C$42, 20.5328, 20.5328) * CHOOSE(CONTROL!$C$21, $C$9, 100%, $E$9)</f>
        <v>20.532800000000002</v>
      </c>
      <c r="C675" s="10">
        <f>CHOOSE(CONTROL!$C$42, 20.5379, 20.5379) * CHOOSE(CONTROL!$C$21, $C$9, 100%, $E$9)</f>
        <v>20.5379</v>
      </c>
      <c r="D675" s="10">
        <f>CHOOSE(CONTROL!$C$42, 20.5704, 20.5704) * CHOOSE(CONTROL!$C$21, $C$9, 100%, $E$9)</f>
        <v>20.570399999999999</v>
      </c>
      <c r="E675" s="10">
        <f>CHOOSE(CONTROL!$C$42, 20.6042, 20.6042) * CHOOSE(CONTROL!$C$21, $C$9, 100%, $E$9)</f>
        <v>20.604199999999999</v>
      </c>
      <c r="F675" s="10">
        <f>CHOOSE(CONTROL!$C$42, 20.5151, 20.5151)*CHOOSE(CONTROL!$C$21, $C$9, 100%, $E$9)</f>
        <v>20.5151</v>
      </c>
      <c r="G675" s="10">
        <f>CHOOSE(CONTROL!$C$42, 20.5327, 20.5327)*CHOOSE(CONTROL!$C$21, $C$9, 100%, $E$9)</f>
        <v>20.532699999999998</v>
      </c>
      <c r="H675" s="10">
        <f>CHOOSE(CONTROL!$C$42, 20.5931, 20.5931) * CHOOSE(CONTROL!$C$21, $C$9, 100%, $E$9)</f>
        <v>20.5931</v>
      </c>
      <c r="I675" s="10">
        <f>CHOOSE(CONTROL!$C$42, 20.5463, 20.5463)* CHOOSE(CONTROL!$C$21, $C$9, 100%, $E$9)</f>
        <v>20.546299999999999</v>
      </c>
      <c r="J675" s="10">
        <f>CHOOSE(CONTROL!$C$42, 20.5077, 20.5077)* CHOOSE(CONTROL!$C$21, $C$9, 100%, $E$9)</f>
        <v>20.5077</v>
      </c>
      <c r="K675" s="10">
        <f>CHOOSE(CONTROL!$C$42, 20.0814, 20.0814) * CHOOSE(CONTROL!$C$21, $C$9, 100%, $E$9)</f>
        <v>20.081399999999999</v>
      </c>
      <c r="L675" s="10">
        <f>CHOOSE(CONTROL!$C$42, 21.1801, 21.1801) * CHOOSE(CONTROL!$C$21, $C$9, 100%, $E$9)</f>
        <v>21.180099999999999</v>
      </c>
      <c r="M675" s="10">
        <f>CHOOSE(CONTROL!$C$42, 20.2546, 20.2546) * CHOOSE(CONTROL!$C$21, $C$9, 100%, $E$9)</f>
        <v>20.2546</v>
      </c>
      <c r="N675" s="10">
        <f>CHOOSE(CONTROL!$C$42, 20.272, 20.272) * CHOOSE(CONTROL!$C$21, $C$9, 100%, $E$9)</f>
        <v>20.271999999999998</v>
      </c>
      <c r="O675" s="10">
        <f>CHOOSE(CONTROL!$C$42, 20.3388, 20.3388) * CHOOSE(CONTROL!$C$21, $C$9, 100%, $E$9)</f>
        <v>20.338799999999999</v>
      </c>
      <c r="P675" s="10">
        <f>CHOOSE(CONTROL!$C$42, 20.2927, 20.2927) * CHOOSE(CONTROL!$C$21, $C$9, 100%, $E$9)</f>
        <v>20.2927</v>
      </c>
      <c r="Q675" s="10">
        <f>CHOOSE(CONTROL!$C$42, 20.9341, 20.9341) * CHOOSE(CONTROL!$C$21, $C$9, 100%, $E$9)</f>
        <v>20.934100000000001</v>
      </c>
      <c r="R675" s="10">
        <f>CHOOSE(CONTROL!$C$42, 21.5734, 21.5734) * CHOOSE(CONTROL!$C$21, $C$9, 100%, $E$9)</f>
        <v>21.573399999999999</v>
      </c>
      <c r="S675" s="10">
        <f>CHOOSE(CONTROL!$C$42, 19.8986, 19.8986) * CHOOSE(CONTROL!$C$21, $C$9, 100%, $E$9)</f>
        <v>19.898599999999998</v>
      </c>
      <c r="T67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75" s="38">
        <f>(1000*CHOOSE(CONTROL!$C$42, 695, 695)*CHOOSE(CONTROL!$C$42, 0.5599, 0.5599)*CHOOSE(CONTROL!$C$42, 31, 31))/1000000</f>
        <v>12.063045499999998</v>
      </c>
      <c r="V675" s="38">
        <f>(1000*CHOOSE(CONTROL!$C$42, 500, 500)*CHOOSE(CONTROL!$C$42, 0.275, 0.275)*CHOOSE(CONTROL!$C$42, 31, 31))/1000000</f>
        <v>4.2625000000000002</v>
      </c>
      <c r="W675" s="38">
        <f>(1000*CHOOSE(CONTROL!$C$42, 0.1146, 0.1146)*CHOOSE(CONTROL!$C$42, 121.5, 121.5)*CHOOSE(CONTROL!$C$42, 31, 31))/1000000</f>
        <v>0.43164089999999994</v>
      </c>
      <c r="X675" s="38">
        <f>(31*0.1790888*100000/1000000)+(31*0.2374*100000/1000000)</f>
        <v>1.2911152800000001</v>
      </c>
      <c r="Y675" s="38">
        <f>(1000*600*CHOOSE(CONTROL!$C$42, 1.0585, 1.0585)*CHOOSE(CONTROL!$C$42, 31, 31))/1000000</f>
        <v>19.688099999999999</v>
      </c>
      <c r="Z675" s="38"/>
      <c r="AA675" s="10"/>
      <c r="AB675" s="39"/>
      <c r="AC675" s="33">
        <f>(B675*122.58+C675*297.941+D675*89.177+E675*40.302+F675*40+G675*160+H675*0+I675*100+J675*300)/(122.58+297.941+89.177+40.302+0+40+160+100+300)</f>
        <v>20.533535753999995</v>
      </c>
      <c r="AD675" s="27">
        <f>(M675*'RAP TEMPLATE-GAS AVAILABILITY'!O674+N675*'RAP TEMPLATE-GAS AVAILABILITY'!P674+O675*'RAP TEMPLATE-GAS AVAILABILITY'!Q674+P675*'RAP TEMPLATE-GAS AVAILABILITY'!R674)/('RAP TEMPLATE-GAS AVAILABILITY'!O674+'RAP TEMPLATE-GAS AVAILABILITY'!P674+'RAP TEMPLATE-GAS AVAILABILITY'!Q674+'RAP TEMPLATE-GAS AVAILABILITY'!R674)</f>
        <v>20.299246043165468</v>
      </c>
    </row>
    <row r="676" spans="1:30" ht="15.75">
      <c r="A676" s="13">
        <v>61848</v>
      </c>
      <c r="B676" s="10">
        <f>CHOOSE(CONTROL!$C$42, 20.4721, 20.4721) * CHOOSE(CONTROL!$C$21, $C$9, 100%, $E$9)</f>
        <v>20.472100000000001</v>
      </c>
      <c r="C676" s="10">
        <f>CHOOSE(CONTROL!$C$42, 20.4766, 20.4766) * CHOOSE(CONTROL!$C$21, $C$9, 100%, $E$9)</f>
        <v>20.476600000000001</v>
      </c>
      <c r="D676" s="10">
        <f>CHOOSE(CONTROL!$C$42, 20.6367, 20.6367) * CHOOSE(CONTROL!$C$21, $C$9, 100%, $E$9)</f>
        <v>20.636700000000001</v>
      </c>
      <c r="E676" s="10">
        <f>CHOOSE(CONTROL!$C$42, 20.6686, 20.6686) * CHOOSE(CONTROL!$C$21, $C$9, 100%, $E$9)</f>
        <v>20.668600000000001</v>
      </c>
      <c r="F676" s="10">
        <f>CHOOSE(CONTROL!$C$42, 20.4182, 20.4182)*CHOOSE(CONTROL!$C$21, $C$9, 100%, $E$9)</f>
        <v>20.418199999999999</v>
      </c>
      <c r="G676" s="10">
        <f>CHOOSE(CONTROL!$C$42, 20.434, 20.434)*CHOOSE(CONTROL!$C$21, $C$9, 100%, $E$9)</f>
        <v>20.434000000000001</v>
      </c>
      <c r="H676" s="10">
        <f>CHOOSE(CONTROL!$C$42, 20.658, 20.658) * CHOOSE(CONTROL!$C$21, $C$9, 100%, $E$9)</f>
        <v>20.658000000000001</v>
      </c>
      <c r="I676" s="10">
        <f>CHOOSE(CONTROL!$C$42, 20.4522, 20.4522)* CHOOSE(CONTROL!$C$21, $C$9, 100%, $E$9)</f>
        <v>20.452200000000001</v>
      </c>
      <c r="J676" s="10">
        <f>CHOOSE(CONTROL!$C$42, 20.4108, 20.4108)* CHOOSE(CONTROL!$C$21, $C$9, 100%, $E$9)</f>
        <v>20.410799999999998</v>
      </c>
      <c r="K676" s="10">
        <f>CHOOSE(CONTROL!$C$42, 19.9743, 19.9743) * CHOOSE(CONTROL!$C$21, $C$9, 100%, $E$9)</f>
        <v>19.974299999999999</v>
      </c>
      <c r="L676" s="10">
        <f>CHOOSE(CONTROL!$C$42, 21.245, 21.245) * CHOOSE(CONTROL!$C$21, $C$9, 100%, $E$9)</f>
        <v>21.245000000000001</v>
      </c>
      <c r="M676" s="10">
        <f>CHOOSE(CONTROL!$C$42, 20.1591, 20.1591) * CHOOSE(CONTROL!$C$21, $C$9, 100%, $E$9)</f>
        <v>20.159099999999999</v>
      </c>
      <c r="N676" s="10">
        <f>CHOOSE(CONTROL!$C$42, 20.1747, 20.1747) * CHOOSE(CONTROL!$C$21, $C$9, 100%, $E$9)</f>
        <v>20.174700000000001</v>
      </c>
      <c r="O676" s="10">
        <f>CHOOSE(CONTROL!$C$42, 20.4029, 20.4029) * CHOOSE(CONTROL!$C$21, $C$9, 100%, $E$9)</f>
        <v>20.402899999999999</v>
      </c>
      <c r="P676" s="10">
        <f>CHOOSE(CONTROL!$C$42, 20.2, 20.2) * CHOOSE(CONTROL!$C$21, $C$9, 100%, $E$9)</f>
        <v>20.2</v>
      </c>
      <c r="Q676" s="10">
        <f>CHOOSE(CONTROL!$C$42, 20.9982, 20.9982) * CHOOSE(CONTROL!$C$21, $C$9, 100%, $E$9)</f>
        <v>20.998200000000001</v>
      </c>
      <c r="R676" s="10">
        <f>CHOOSE(CONTROL!$C$42, 21.6377, 21.6377) * CHOOSE(CONTROL!$C$21, $C$9, 100%, $E$9)</f>
        <v>21.637699999999999</v>
      </c>
      <c r="S676" s="10">
        <f>CHOOSE(CONTROL!$C$42, 19.839, 19.839) * CHOOSE(CONTROL!$C$21, $C$9, 100%, $E$9)</f>
        <v>19.838999999999999</v>
      </c>
      <c r="T67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76" s="38">
        <f>(1000*CHOOSE(CONTROL!$C$42, 695, 695)*CHOOSE(CONTROL!$C$42, 0.5599, 0.5599)*CHOOSE(CONTROL!$C$42, 30, 30))/1000000</f>
        <v>11.673914999999997</v>
      </c>
      <c r="V676" s="38">
        <f>(1000*CHOOSE(CONTROL!$C$42, 500, 500)*CHOOSE(CONTROL!$C$42, 0.275, 0.275)*CHOOSE(CONTROL!$C$42, 30, 30))/1000000</f>
        <v>4.125</v>
      </c>
      <c r="W676" s="38">
        <f>(1000*CHOOSE(CONTROL!$C$42, 0.1146, 0.1146)*CHOOSE(CONTROL!$C$42, 121.5, 121.5)*CHOOSE(CONTROL!$C$42, 30, 30))/1000000</f>
        <v>0.417717</v>
      </c>
      <c r="X676" s="38">
        <f>(30*0.1790888*245000/1000000)+(30*0.2374*100000/1000000)</f>
        <v>2.0285026799999999</v>
      </c>
      <c r="Y676" s="38">
        <f>(1000*600*CHOOSE(CONTROL!$C$42, 1.0585, 1.0585)*CHOOSE(CONTROL!$C$42, 30, 30))/1000000</f>
        <v>19.053000000000001</v>
      </c>
      <c r="Z676" s="38"/>
      <c r="AA676" s="10"/>
      <c r="AB676" s="39"/>
      <c r="AC676" s="33">
        <f>(B676*141.293+C676*267.993+D676*115.016+E676*89.698+F676*40+G676*185+H676*0+I676*100+J676*300)/(141.293+267.993+115.016+89.698+0+40+185+100+300)</f>
        <v>20.478701096933008</v>
      </c>
      <c r="AD676" s="27">
        <f>(M676*'RAP TEMPLATE-GAS AVAILABILITY'!O675+N676*'RAP TEMPLATE-GAS AVAILABILITY'!P675+O676*'RAP TEMPLATE-GAS AVAILABILITY'!Q675+P676*'RAP TEMPLATE-GAS AVAILABILITY'!R675)/('RAP TEMPLATE-GAS AVAILABILITY'!O675+'RAP TEMPLATE-GAS AVAILABILITY'!P675+'RAP TEMPLATE-GAS AVAILABILITY'!Q675+'RAP TEMPLATE-GAS AVAILABILITY'!R675)</f>
        <v>20.276382014388489</v>
      </c>
    </row>
    <row r="677" spans="1:30" ht="15.75">
      <c r="A677" s="13">
        <v>61879</v>
      </c>
      <c r="B677" s="10">
        <f>CHOOSE(CONTROL!$C$42, 20.6547, 20.6547) * CHOOSE(CONTROL!$C$21, $C$9, 100%, $E$9)</f>
        <v>20.654699999999998</v>
      </c>
      <c r="C677" s="10">
        <f>CHOOSE(CONTROL!$C$42, 20.6627, 20.6627) * CHOOSE(CONTROL!$C$21, $C$9, 100%, $E$9)</f>
        <v>20.662700000000001</v>
      </c>
      <c r="D677" s="10">
        <f>CHOOSE(CONTROL!$C$42, 20.8198, 20.8198) * CHOOSE(CONTROL!$C$21, $C$9, 100%, $E$9)</f>
        <v>20.819800000000001</v>
      </c>
      <c r="E677" s="10">
        <f>CHOOSE(CONTROL!$C$42, 20.851, 20.851) * CHOOSE(CONTROL!$C$21, $C$9, 100%, $E$9)</f>
        <v>20.850999999999999</v>
      </c>
      <c r="F677" s="10">
        <f>CHOOSE(CONTROL!$C$42, 20.5989, 20.5989)*CHOOSE(CONTROL!$C$21, $C$9, 100%, $E$9)</f>
        <v>20.5989</v>
      </c>
      <c r="G677" s="10">
        <f>CHOOSE(CONTROL!$C$42, 20.615, 20.615)*CHOOSE(CONTROL!$C$21, $C$9, 100%, $E$9)</f>
        <v>20.614999999999998</v>
      </c>
      <c r="H677" s="10">
        <f>CHOOSE(CONTROL!$C$42, 20.8393, 20.8393) * CHOOSE(CONTROL!$C$21, $C$9, 100%, $E$9)</f>
        <v>20.839300000000001</v>
      </c>
      <c r="I677" s="10">
        <f>CHOOSE(CONTROL!$C$42, 20.6335, 20.6335)* CHOOSE(CONTROL!$C$21, $C$9, 100%, $E$9)</f>
        <v>20.633500000000002</v>
      </c>
      <c r="J677" s="10">
        <f>CHOOSE(CONTROL!$C$42, 20.5915, 20.5915)* CHOOSE(CONTROL!$C$21, $C$9, 100%, $E$9)</f>
        <v>20.5915</v>
      </c>
      <c r="K677" s="10">
        <f>CHOOSE(CONTROL!$C$42, 20.1486, 20.1486) * CHOOSE(CONTROL!$C$21, $C$9, 100%, $E$9)</f>
        <v>20.148599999999998</v>
      </c>
      <c r="L677" s="10">
        <f>CHOOSE(CONTROL!$C$42, 21.4263, 21.4263) * CHOOSE(CONTROL!$C$21, $C$9, 100%, $E$9)</f>
        <v>21.426300000000001</v>
      </c>
      <c r="M677" s="10">
        <f>CHOOSE(CONTROL!$C$42, 20.3372, 20.3372) * CHOOSE(CONTROL!$C$21, $C$9, 100%, $E$9)</f>
        <v>20.337199999999999</v>
      </c>
      <c r="N677" s="10">
        <f>CHOOSE(CONTROL!$C$42, 20.3531, 20.3531) * CHOOSE(CONTROL!$C$21, $C$9, 100%, $E$9)</f>
        <v>20.353100000000001</v>
      </c>
      <c r="O677" s="10">
        <f>CHOOSE(CONTROL!$C$42, 20.5816, 20.5816) * CHOOSE(CONTROL!$C$21, $C$9, 100%, $E$9)</f>
        <v>20.581600000000002</v>
      </c>
      <c r="P677" s="10">
        <f>CHOOSE(CONTROL!$C$42, 20.3787, 20.3787) * CHOOSE(CONTROL!$C$21, $C$9, 100%, $E$9)</f>
        <v>20.378699999999998</v>
      </c>
      <c r="Q677" s="10">
        <f>CHOOSE(CONTROL!$C$42, 21.1769, 21.1769) * CHOOSE(CONTROL!$C$21, $C$9, 100%, $E$9)</f>
        <v>21.1769</v>
      </c>
      <c r="R677" s="10">
        <f>CHOOSE(CONTROL!$C$42, 21.8169, 21.8169) * CHOOSE(CONTROL!$C$21, $C$9, 100%, $E$9)</f>
        <v>21.8169</v>
      </c>
      <c r="S677" s="10">
        <f>CHOOSE(CONTROL!$C$42, 20.0146, 20.0146) * CHOOSE(CONTROL!$C$21, $C$9, 100%, $E$9)</f>
        <v>20.014600000000002</v>
      </c>
      <c r="T67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77" s="38">
        <f>(1000*CHOOSE(CONTROL!$C$42, 695, 695)*CHOOSE(CONTROL!$C$42, 0.5599, 0.5599)*CHOOSE(CONTROL!$C$42, 31, 31))/1000000</f>
        <v>12.063045499999998</v>
      </c>
      <c r="V677" s="38">
        <f>(1000*CHOOSE(CONTROL!$C$42, 500, 500)*CHOOSE(CONTROL!$C$42, 0.275, 0.275)*CHOOSE(CONTROL!$C$42, 31, 31))/1000000</f>
        <v>4.2625000000000002</v>
      </c>
      <c r="W677" s="38">
        <f>(1000*CHOOSE(CONTROL!$C$42, 0.1146, 0.1146)*CHOOSE(CONTROL!$C$42, 121.5, 121.5)*CHOOSE(CONTROL!$C$42, 31, 31))/1000000</f>
        <v>0.43164089999999994</v>
      </c>
      <c r="X677" s="38">
        <f>(31*0.1790888*245000/1000000)+(31*0.2374*100000/1000000)</f>
        <v>2.0961194359999999</v>
      </c>
      <c r="Y677" s="38">
        <f>(1000*600*CHOOSE(CONTROL!$C$42, 1.0585, 1.0585)*CHOOSE(CONTROL!$C$42, 31, 31))/1000000</f>
        <v>19.688099999999999</v>
      </c>
      <c r="Z677" s="38"/>
      <c r="AA677" s="10"/>
      <c r="AB677" s="39"/>
      <c r="AC677" s="33">
        <f>(B677*194.205+C677*267.466+D677*133.845+E677*53.484+F677*40+G677*185+H677*0+I677*100+J677*300)/(194.205+267.466+133.845+53.484+0+40+185+100+300)</f>
        <v>20.657902469937206</v>
      </c>
      <c r="AD677" s="27">
        <f>(M677*'RAP TEMPLATE-GAS AVAILABILITY'!O676+N677*'RAP TEMPLATE-GAS AVAILABILITY'!P676+O677*'RAP TEMPLATE-GAS AVAILABILITY'!Q676+P677*'RAP TEMPLATE-GAS AVAILABILITY'!R676)/('RAP TEMPLATE-GAS AVAILABILITY'!O676+'RAP TEMPLATE-GAS AVAILABILITY'!P676+'RAP TEMPLATE-GAS AVAILABILITY'!Q676+'RAP TEMPLATE-GAS AVAILABILITY'!R676)</f>
        <v>20.454857553956835</v>
      </c>
    </row>
    <row r="678" spans="1:30" ht="15.75">
      <c r="A678" s="13">
        <v>61909</v>
      </c>
      <c r="B678" s="10">
        <f>CHOOSE(CONTROL!$C$42, 21.241, 21.241) * CHOOSE(CONTROL!$C$21, $C$9, 100%, $E$9)</f>
        <v>21.241</v>
      </c>
      <c r="C678" s="10">
        <f>CHOOSE(CONTROL!$C$42, 21.249, 21.249) * CHOOSE(CONTROL!$C$21, $C$9, 100%, $E$9)</f>
        <v>21.248999999999999</v>
      </c>
      <c r="D678" s="10">
        <f>CHOOSE(CONTROL!$C$42, 21.4061, 21.4061) * CHOOSE(CONTROL!$C$21, $C$9, 100%, $E$9)</f>
        <v>21.406099999999999</v>
      </c>
      <c r="E678" s="10">
        <f>CHOOSE(CONTROL!$C$42, 21.4373, 21.4373) * CHOOSE(CONTROL!$C$21, $C$9, 100%, $E$9)</f>
        <v>21.4373</v>
      </c>
      <c r="F678" s="10">
        <f>CHOOSE(CONTROL!$C$42, 21.1853, 21.1853)*CHOOSE(CONTROL!$C$21, $C$9, 100%, $E$9)</f>
        <v>21.185300000000002</v>
      </c>
      <c r="G678" s="10">
        <f>CHOOSE(CONTROL!$C$42, 21.2015, 21.2015)*CHOOSE(CONTROL!$C$21, $C$9, 100%, $E$9)</f>
        <v>21.201499999999999</v>
      </c>
      <c r="H678" s="10">
        <f>CHOOSE(CONTROL!$C$42, 21.4256, 21.4256) * CHOOSE(CONTROL!$C$21, $C$9, 100%, $E$9)</f>
        <v>21.425599999999999</v>
      </c>
      <c r="I678" s="10">
        <f>CHOOSE(CONTROL!$C$42, 21.2198, 21.2198)* CHOOSE(CONTROL!$C$21, $C$9, 100%, $E$9)</f>
        <v>21.219799999999999</v>
      </c>
      <c r="J678" s="10">
        <f>CHOOSE(CONTROL!$C$42, 21.1779, 21.1779)* CHOOSE(CONTROL!$C$21, $C$9, 100%, $E$9)</f>
        <v>21.177900000000001</v>
      </c>
      <c r="K678" s="10">
        <f>CHOOSE(CONTROL!$C$42, 20.717, 20.717) * CHOOSE(CONTROL!$C$21, $C$9, 100%, $E$9)</f>
        <v>20.716999999999999</v>
      </c>
      <c r="L678" s="10">
        <f>CHOOSE(CONTROL!$C$42, 22.0126, 22.0126) * CHOOSE(CONTROL!$C$21, $C$9, 100%, $E$9)</f>
        <v>22.012599999999999</v>
      </c>
      <c r="M678" s="10">
        <f>CHOOSE(CONTROL!$C$42, 20.9155, 20.9155) * CHOOSE(CONTROL!$C$21, $C$9, 100%, $E$9)</f>
        <v>20.915500000000002</v>
      </c>
      <c r="N678" s="10">
        <f>CHOOSE(CONTROL!$C$42, 20.9315, 20.9315) * CHOOSE(CONTROL!$C$21, $C$9, 100%, $E$9)</f>
        <v>20.9315</v>
      </c>
      <c r="O678" s="10">
        <f>CHOOSE(CONTROL!$C$42, 21.1597, 21.1597) * CHOOSE(CONTROL!$C$21, $C$9, 100%, $E$9)</f>
        <v>21.159700000000001</v>
      </c>
      <c r="P678" s="10">
        <f>CHOOSE(CONTROL!$C$42, 20.9568, 20.9568) * CHOOSE(CONTROL!$C$21, $C$9, 100%, $E$9)</f>
        <v>20.956800000000001</v>
      </c>
      <c r="Q678" s="10">
        <f>CHOOSE(CONTROL!$C$42, 21.755, 21.755) * CHOOSE(CONTROL!$C$21, $C$9, 100%, $E$9)</f>
        <v>21.754999999999999</v>
      </c>
      <c r="R678" s="10">
        <f>CHOOSE(CONTROL!$C$42, 22.3964, 22.3964) * CHOOSE(CONTROL!$C$21, $C$9, 100%, $E$9)</f>
        <v>22.3964</v>
      </c>
      <c r="S678" s="10">
        <f>CHOOSE(CONTROL!$C$42, 20.5823, 20.5823) * CHOOSE(CONTROL!$C$21, $C$9, 100%, $E$9)</f>
        <v>20.5823</v>
      </c>
      <c r="T67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78" s="38">
        <f>(1000*CHOOSE(CONTROL!$C$42, 695, 695)*CHOOSE(CONTROL!$C$42, 0.5599, 0.5599)*CHOOSE(CONTROL!$C$42, 30, 30))/1000000</f>
        <v>11.673914999999997</v>
      </c>
      <c r="V678" s="38">
        <f>(1000*CHOOSE(CONTROL!$C$42, 500, 500)*CHOOSE(CONTROL!$C$42, 0.275, 0.275)*CHOOSE(CONTROL!$C$42, 30, 30))/1000000</f>
        <v>4.125</v>
      </c>
      <c r="W678" s="38">
        <f>(1000*CHOOSE(CONTROL!$C$42, 0.1146, 0.1146)*CHOOSE(CONTROL!$C$42, 121.5, 121.5)*CHOOSE(CONTROL!$C$42, 30, 30))/1000000</f>
        <v>0.417717</v>
      </c>
      <c r="X678" s="38">
        <f>(30*0.1790888*245000/1000000)+(30*0.2374*100000/1000000)</f>
        <v>2.0285026799999999</v>
      </c>
      <c r="Y678" s="38">
        <f>(1000*600*CHOOSE(CONTROL!$C$42, 1.0585, 1.0585)*CHOOSE(CONTROL!$C$42, 30, 30))/1000000</f>
        <v>19.053000000000001</v>
      </c>
      <c r="Z678" s="38"/>
      <c r="AA678" s="10"/>
      <c r="AB678" s="39"/>
      <c r="AC678" s="33">
        <f>(B678*194.205+C678*267.466+D678*133.845+E678*53.484+F678*40+G678*185+H678*0+I678*100+J678*300)/(194.205+267.466+133.845+53.484+0+40+185+100+300)</f>
        <v>21.244258199921507</v>
      </c>
      <c r="AD678" s="27">
        <f>(M678*'RAP TEMPLATE-GAS AVAILABILITY'!O677+N678*'RAP TEMPLATE-GAS AVAILABILITY'!P677+O678*'RAP TEMPLATE-GAS AVAILABILITY'!Q677+P678*'RAP TEMPLATE-GAS AVAILABILITY'!R677)/('RAP TEMPLATE-GAS AVAILABILITY'!O677+'RAP TEMPLATE-GAS AVAILABILITY'!P677+'RAP TEMPLATE-GAS AVAILABILITY'!Q677+'RAP TEMPLATE-GAS AVAILABILITY'!R677)</f>
        <v>21.033043884892088</v>
      </c>
    </row>
    <row r="679" spans="1:30" ht="15.75">
      <c r="A679" s="13">
        <v>61940</v>
      </c>
      <c r="B679" s="10">
        <f>CHOOSE(CONTROL!$C$42, 20.8333, 20.8333) * CHOOSE(CONTROL!$C$21, $C$9, 100%, $E$9)</f>
        <v>20.833300000000001</v>
      </c>
      <c r="C679" s="10">
        <f>CHOOSE(CONTROL!$C$42, 20.8413, 20.8413) * CHOOSE(CONTROL!$C$21, $C$9, 100%, $E$9)</f>
        <v>20.8413</v>
      </c>
      <c r="D679" s="10">
        <f>CHOOSE(CONTROL!$C$42, 20.9983, 20.9983) * CHOOSE(CONTROL!$C$21, $C$9, 100%, $E$9)</f>
        <v>20.9983</v>
      </c>
      <c r="E679" s="10">
        <f>CHOOSE(CONTROL!$C$42, 21.0295, 21.0295) * CHOOSE(CONTROL!$C$21, $C$9, 100%, $E$9)</f>
        <v>21.029499999999999</v>
      </c>
      <c r="F679" s="10">
        <f>CHOOSE(CONTROL!$C$42, 20.7779, 20.7779)*CHOOSE(CONTROL!$C$21, $C$9, 100%, $E$9)</f>
        <v>20.777899999999999</v>
      </c>
      <c r="G679" s="10">
        <f>CHOOSE(CONTROL!$C$42, 20.7942, 20.7942)*CHOOSE(CONTROL!$C$21, $C$9, 100%, $E$9)</f>
        <v>20.7942</v>
      </c>
      <c r="H679" s="10">
        <f>CHOOSE(CONTROL!$C$42, 21.0178, 21.0178) * CHOOSE(CONTROL!$C$21, $C$9, 100%, $E$9)</f>
        <v>21.017800000000001</v>
      </c>
      <c r="I679" s="10">
        <f>CHOOSE(CONTROL!$C$42, 20.812, 20.812)* CHOOSE(CONTROL!$C$21, $C$9, 100%, $E$9)</f>
        <v>20.812000000000001</v>
      </c>
      <c r="J679" s="10">
        <f>CHOOSE(CONTROL!$C$42, 20.7705, 20.7705)* CHOOSE(CONTROL!$C$21, $C$9, 100%, $E$9)</f>
        <v>20.770499999999998</v>
      </c>
      <c r="K679" s="10">
        <f>CHOOSE(CONTROL!$C$42, 20.3227, 20.3227) * CHOOSE(CONTROL!$C$21, $C$9, 100%, $E$9)</f>
        <v>20.322700000000001</v>
      </c>
      <c r="L679" s="10">
        <f>CHOOSE(CONTROL!$C$42, 21.6048, 21.6048) * CHOOSE(CONTROL!$C$21, $C$9, 100%, $E$9)</f>
        <v>21.604800000000001</v>
      </c>
      <c r="M679" s="10">
        <f>CHOOSE(CONTROL!$C$42, 20.5138, 20.5138) * CHOOSE(CONTROL!$C$21, $C$9, 100%, $E$9)</f>
        <v>20.5138</v>
      </c>
      <c r="N679" s="10">
        <f>CHOOSE(CONTROL!$C$42, 20.5298, 20.5298) * CHOOSE(CONTROL!$C$21, $C$9, 100%, $E$9)</f>
        <v>20.529800000000002</v>
      </c>
      <c r="O679" s="10">
        <f>CHOOSE(CONTROL!$C$42, 20.7577, 20.7577) * CHOOSE(CONTROL!$C$21, $C$9, 100%, $E$9)</f>
        <v>20.7577</v>
      </c>
      <c r="P679" s="10">
        <f>CHOOSE(CONTROL!$C$42, 20.5548, 20.5548) * CHOOSE(CONTROL!$C$21, $C$9, 100%, $E$9)</f>
        <v>20.5548</v>
      </c>
      <c r="Q679" s="10">
        <f>CHOOSE(CONTROL!$C$42, 21.353, 21.353) * CHOOSE(CONTROL!$C$21, $C$9, 100%, $E$9)</f>
        <v>21.353000000000002</v>
      </c>
      <c r="R679" s="10">
        <f>CHOOSE(CONTROL!$C$42, 21.9933, 21.9933) * CHOOSE(CONTROL!$C$21, $C$9, 100%, $E$9)</f>
        <v>21.993300000000001</v>
      </c>
      <c r="S679" s="10">
        <f>CHOOSE(CONTROL!$C$42, 20.1874, 20.1874) * CHOOSE(CONTROL!$C$21, $C$9, 100%, $E$9)</f>
        <v>20.1874</v>
      </c>
      <c r="T67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79" s="38">
        <f>(1000*CHOOSE(CONTROL!$C$42, 695, 695)*CHOOSE(CONTROL!$C$42, 0.5599, 0.5599)*CHOOSE(CONTROL!$C$42, 31, 31))/1000000</f>
        <v>12.063045499999998</v>
      </c>
      <c r="V679" s="38">
        <f>(1000*CHOOSE(CONTROL!$C$42, 500, 500)*CHOOSE(CONTROL!$C$42, 0.275, 0.275)*CHOOSE(CONTROL!$C$42, 31, 31))/1000000</f>
        <v>4.2625000000000002</v>
      </c>
      <c r="W679" s="38">
        <f>(1000*CHOOSE(CONTROL!$C$42, 0.1146, 0.1146)*CHOOSE(CONTROL!$C$42, 121.5, 121.5)*CHOOSE(CONTROL!$C$42, 31, 31))/1000000</f>
        <v>0.43164089999999994</v>
      </c>
      <c r="X679" s="38">
        <f>(31*0.1790888*245000/1000000)+(31*0.2374*100000/1000000)</f>
        <v>2.0961194359999999</v>
      </c>
      <c r="Y679" s="38">
        <f>(1000*600*CHOOSE(CONTROL!$C$42, 1.0585, 1.0585)*CHOOSE(CONTROL!$C$42, 31, 31))/1000000</f>
        <v>19.688099999999999</v>
      </c>
      <c r="Z679" s="38"/>
      <c r="AA679" s="10"/>
      <c r="AB679" s="39"/>
      <c r="AC679" s="33">
        <f>(B679*194.205+C679*267.466+D679*133.845+E679*53.484+F679*40+G679*185+H679*0+I679*100+J679*300)/(194.205+267.466+133.845+53.484+0+40+185+100+300)</f>
        <v>20.836673794191523</v>
      </c>
      <c r="AD679" s="27">
        <f>(M679*'RAP TEMPLATE-GAS AVAILABILITY'!O678+N679*'RAP TEMPLATE-GAS AVAILABILITY'!P678+O679*'RAP TEMPLATE-GAS AVAILABILITY'!Q678+P679*'RAP TEMPLATE-GAS AVAILABILITY'!R678)/('RAP TEMPLATE-GAS AVAILABILITY'!O678+'RAP TEMPLATE-GAS AVAILABILITY'!P678+'RAP TEMPLATE-GAS AVAILABILITY'!Q678+'RAP TEMPLATE-GAS AVAILABILITY'!R678)</f>
        <v>20.631164748201439</v>
      </c>
    </row>
    <row r="680" spans="1:30" ht="15.75">
      <c r="A680" s="13">
        <v>61971</v>
      </c>
      <c r="B680" s="10">
        <f>CHOOSE(CONTROL!$C$42, 19.8035, 19.8035) * CHOOSE(CONTROL!$C$21, $C$9, 100%, $E$9)</f>
        <v>19.8035</v>
      </c>
      <c r="C680" s="10">
        <f>CHOOSE(CONTROL!$C$42, 19.8115, 19.8115) * CHOOSE(CONTROL!$C$21, $C$9, 100%, $E$9)</f>
        <v>19.811499999999999</v>
      </c>
      <c r="D680" s="10">
        <f>CHOOSE(CONTROL!$C$42, 19.9686, 19.9686) * CHOOSE(CONTROL!$C$21, $C$9, 100%, $E$9)</f>
        <v>19.968599999999999</v>
      </c>
      <c r="E680" s="10">
        <f>CHOOSE(CONTROL!$C$42, 19.9998, 19.9998) * CHOOSE(CONTROL!$C$21, $C$9, 100%, $E$9)</f>
        <v>19.9998</v>
      </c>
      <c r="F680" s="10">
        <f>CHOOSE(CONTROL!$C$42, 19.7481, 19.7481)*CHOOSE(CONTROL!$C$21, $C$9, 100%, $E$9)</f>
        <v>19.748100000000001</v>
      </c>
      <c r="G680" s="10">
        <f>CHOOSE(CONTROL!$C$42, 19.7643, 19.7643)*CHOOSE(CONTROL!$C$21, $C$9, 100%, $E$9)</f>
        <v>19.764299999999999</v>
      </c>
      <c r="H680" s="10">
        <f>CHOOSE(CONTROL!$C$42, 19.9881, 19.9881) * CHOOSE(CONTROL!$C$21, $C$9, 100%, $E$9)</f>
        <v>19.988099999999999</v>
      </c>
      <c r="I680" s="10">
        <f>CHOOSE(CONTROL!$C$42, 19.7823, 19.7823)* CHOOSE(CONTROL!$C$21, $C$9, 100%, $E$9)</f>
        <v>19.782299999999999</v>
      </c>
      <c r="J680" s="10">
        <f>CHOOSE(CONTROL!$C$42, 19.7407, 19.7407)* CHOOSE(CONTROL!$C$21, $C$9, 100%, $E$9)</f>
        <v>19.7407</v>
      </c>
      <c r="K680" s="10">
        <f>CHOOSE(CONTROL!$C$42, 19.3249, 19.3249) * CHOOSE(CONTROL!$C$21, $C$9, 100%, $E$9)</f>
        <v>19.3249</v>
      </c>
      <c r="L680" s="10">
        <f>CHOOSE(CONTROL!$C$42, 20.5751, 20.5751) * CHOOSE(CONTROL!$C$21, $C$9, 100%, $E$9)</f>
        <v>20.575099999999999</v>
      </c>
      <c r="M680" s="10">
        <f>CHOOSE(CONTROL!$C$42, 19.4983, 19.4983) * CHOOSE(CONTROL!$C$21, $C$9, 100%, $E$9)</f>
        <v>19.4983</v>
      </c>
      <c r="N680" s="10">
        <f>CHOOSE(CONTROL!$C$42, 19.5143, 19.5143) * CHOOSE(CONTROL!$C$21, $C$9, 100%, $E$9)</f>
        <v>19.514299999999999</v>
      </c>
      <c r="O680" s="10">
        <f>CHOOSE(CONTROL!$C$42, 19.7423, 19.7423) * CHOOSE(CONTROL!$C$21, $C$9, 100%, $E$9)</f>
        <v>19.7423</v>
      </c>
      <c r="P680" s="10">
        <f>CHOOSE(CONTROL!$C$42, 19.5394, 19.5394) * CHOOSE(CONTROL!$C$21, $C$9, 100%, $E$9)</f>
        <v>19.539400000000001</v>
      </c>
      <c r="Q680" s="10">
        <f>CHOOSE(CONTROL!$C$42, 20.3376, 20.3376) * CHOOSE(CONTROL!$C$21, $C$9, 100%, $E$9)</f>
        <v>20.337599999999998</v>
      </c>
      <c r="R680" s="10">
        <f>CHOOSE(CONTROL!$C$42, 20.9754, 20.9754) * CHOOSE(CONTROL!$C$21, $C$9, 100%, $E$9)</f>
        <v>20.9754</v>
      </c>
      <c r="S680" s="10">
        <f>CHOOSE(CONTROL!$C$42, 19.1903, 19.1903) * CHOOSE(CONTROL!$C$21, $C$9, 100%, $E$9)</f>
        <v>19.190300000000001</v>
      </c>
      <c r="T68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80" s="38">
        <f>(1000*CHOOSE(CONTROL!$C$42, 695, 695)*CHOOSE(CONTROL!$C$42, 0.5599, 0.5599)*CHOOSE(CONTROL!$C$42, 31, 31))/1000000</f>
        <v>12.063045499999998</v>
      </c>
      <c r="V680" s="38">
        <f>(1000*CHOOSE(CONTROL!$C$42, 500, 500)*CHOOSE(CONTROL!$C$42, 0.275, 0.275)*CHOOSE(CONTROL!$C$42, 31, 31))/1000000</f>
        <v>4.2625000000000002</v>
      </c>
      <c r="W680" s="38">
        <f>(1000*CHOOSE(CONTROL!$C$42, 0.1146, 0.1146)*CHOOSE(CONTROL!$C$42, 121.5, 121.5)*CHOOSE(CONTROL!$C$42, 31, 31))/1000000</f>
        <v>0.43164089999999994</v>
      </c>
      <c r="X680" s="38">
        <f>(31*0.1790888*245000/1000000)+(31*0.2374*100000/1000000)</f>
        <v>2.0961194359999999</v>
      </c>
      <c r="Y680" s="38">
        <f>(1000*600*CHOOSE(CONTROL!$C$42, 1.0585, 1.0585)*CHOOSE(CONTROL!$C$42, 31, 31))/1000000</f>
        <v>19.688099999999999</v>
      </c>
      <c r="Z680" s="38"/>
      <c r="AA680" s="10"/>
      <c r="AB680" s="39"/>
      <c r="AC680" s="33">
        <f>(B680*194.205+C680*267.466+D680*133.845+E680*53.484+F680*40+G680*185+H680*0+I680*100+J680*300)/(194.205+267.466+133.845+53.484+0+40+185+100+300)</f>
        <v>19.806881826295132</v>
      </c>
      <c r="AD680" s="27">
        <f>(M680*'RAP TEMPLATE-GAS AVAILABILITY'!O679+N680*'RAP TEMPLATE-GAS AVAILABILITY'!P679+O680*'RAP TEMPLATE-GAS AVAILABILITY'!Q679+P680*'RAP TEMPLATE-GAS AVAILABILITY'!R679)/('RAP TEMPLATE-GAS AVAILABILITY'!O679+'RAP TEMPLATE-GAS AVAILABILITY'!P679+'RAP TEMPLATE-GAS AVAILABILITY'!Q679+'RAP TEMPLATE-GAS AVAILABILITY'!R679)</f>
        <v>19.615724460431654</v>
      </c>
    </row>
    <row r="681" spans="1:30" ht="15.75">
      <c r="A681" s="13">
        <v>62001</v>
      </c>
      <c r="B681" s="10">
        <f>CHOOSE(CONTROL!$C$42, 18.5454, 18.5454) * CHOOSE(CONTROL!$C$21, $C$9, 100%, $E$9)</f>
        <v>18.545400000000001</v>
      </c>
      <c r="C681" s="10">
        <f>CHOOSE(CONTROL!$C$42, 18.5534, 18.5534) * CHOOSE(CONTROL!$C$21, $C$9, 100%, $E$9)</f>
        <v>18.5534</v>
      </c>
      <c r="D681" s="10">
        <f>CHOOSE(CONTROL!$C$42, 18.7104, 18.7104) * CHOOSE(CONTROL!$C$21, $C$9, 100%, $E$9)</f>
        <v>18.7104</v>
      </c>
      <c r="E681" s="10">
        <f>CHOOSE(CONTROL!$C$42, 18.7416, 18.7416) * CHOOSE(CONTROL!$C$21, $C$9, 100%, $E$9)</f>
        <v>18.741599999999998</v>
      </c>
      <c r="F681" s="10">
        <f>CHOOSE(CONTROL!$C$42, 18.4897, 18.4897)*CHOOSE(CONTROL!$C$21, $C$9, 100%, $E$9)</f>
        <v>18.489699999999999</v>
      </c>
      <c r="G681" s="10">
        <f>CHOOSE(CONTROL!$C$42, 18.5059, 18.5059)*CHOOSE(CONTROL!$C$21, $C$9, 100%, $E$9)</f>
        <v>18.5059</v>
      </c>
      <c r="H681" s="10">
        <f>CHOOSE(CONTROL!$C$42, 18.73, 18.73) * CHOOSE(CONTROL!$C$21, $C$9, 100%, $E$9)</f>
        <v>18.73</v>
      </c>
      <c r="I681" s="10">
        <f>CHOOSE(CONTROL!$C$42, 18.5241, 18.5241)* CHOOSE(CONTROL!$C$21, $C$9, 100%, $E$9)</f>
        <v>18.524100000000001</v>
      </c>
      <c r="J681" s="10">
        <f>CHOOSE(CONTROL!$C$42, 18.4823, 18.4823)* CHOOSE(CONTROL!$C$21, $C$9, 100%, $E$9)</f>
        <v>18.482299999999999</v>
      </c>
      <c r="K681" s="10">
        <f>CHOOSE(CONTROL!$C$42, 18.1056, 18.1056) * CHOOSE(CONTROL!$C$21, $C$9, 100%, $E$9)</f>
        <v>18.105599999999999</v>
      </c>
      <c r="L681" s="10">
        <f>CHOOSE(CONTROL!$C$42, 19.317, 19.317) * CHOOSE(CONTROL!$C$21, $C$9, 100%, $E$9)</f>
        <v>19.317</v>
      </c>
      <c r="M681" s="10">
        <f>CHOOSE(CONTROL!$C$42, 18.2575, 18.2575) * CHOOSE(CONTROL!$C$21, $C$9, 100%, $E$9)</f>
        <v>18.2575</v>
      </c>
      <c r="N681" s="10">
        <f>CHOOSE(CONTROL!$C$42, 18.2735, 18.2735) * CHOOSE(CONTROL!$C$21, $C$9, 100%, $E$9)</f>
        <v>18.273499999999999</v>
      </c>
      <c r="O681" s="10">
        <f>CHOOSE(CONTROL!$C$42, 18.5017, 18.5017) * CHOOSE(CONTROL!$C$21, $C$9, 100%, $E$9)</f>
        <v>18.5017</v>
      </c>
      <c r="P681" s="10">
        <f>CHOOSE(CONTROL!$C$42, 18.2988, 18.2988) * CHOOSE(CONTROL!$C$21, $C$9, 100%, $E$9)</f>
        <v>18.2988</v>
      </c>
      <c r="Q681" s="10">
        <f>CHOOSE(CONTROL!$C$42, 19.097, 19.097) * CHOOSE(CONTROL!$C$21, $C$9, 100%, $E$9)</f>
        <v>19.097000000000001</v>
      </c>
      <c r="R681" s="10">
        <f>CHOOSE(CONTROL!$C$42, 19.7317, 19.7317) * CHOOSE(CONTROL!$C$21, $C$9, 100%, $E$9)</f>
        <v>19.7317</v>
      </c>
      <c r="S681" s="10">
        <f>CHOOSE(CONTROL!$C$42, 17.9721, 17.9721) * CHOOSE(CONTROL!$C$21, $C$9, 100%, $E$9)</f>
        <v>17.972100000000001</v>
      </c>
      <c r="T68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81" s="38">
        <f>(1000*CHOOSE(CONTROL!$C$42, 695, 695)*CHOOSE(CONTROL!$C$42, 0.5599, 0.5599)*CHOOSE(CONTROL!$C$42, 30, 30))/1000000</f>
        <v>11.673914999999997</v>
      </c>
      <c r="V681" s="38">
        <f>(1000*CHOOSE(CONTROL!$C$42, 500, 500)*CHOOSE(CONTROL!$C$42, 0.275, 0.275)*CHOOSE(CONTROL!$C$42, 30, 30))/1000000</f>
        <v>4.125</v>
      </c>
      <c r="W681" s="38">
        <f>(1000*CHOOSE(CONTROL!$C$42, 0.1146, 0.1146)*CHOOSE(CONTROL!$C$42, 121.5, 121.5)*CHOOSE(CONTROL!$C$42, 30, 30))/1000000</f>
        <v>0.417717</v>
      </c>
      <c r="X681" s="38">
        <f>(30*0.1790888*245000/1000000)+(30*0.2374*100000/1000000)</f>
        <v>2.0285026799999999</v>
      </c>
      <c r="Y681" s="38">
        <f>(1000*600*CHOOSE(CONTROL!$C$42, 1.0585, 1.0585)*CHOOSE(CONTROL!$C$42, 30, 30))/1000000</f>
        <v>19.053000000000001</v>
      </c>
      <c r="Z681" s="38"/>
      <c r="AA681" s="10"/>
      <c r="AB681" s="39"/>
      <c r="AC681" s="33">
        <f>(B681*194.205+C681*267.466+D681*133.845+E681*53.484+F681*40+G681*185+H681*0+I681*100+J681*300)/(194.205+267.466+133.845+53.484+0+40+185+100+300)</f>
        <v>18.548635646624803</v>
      </c>
      <c r="AD681" s="27">
        <f>(M681*'RAP TEMPLATE-GAS AVAILABILITY'!O680+N681*'RAP TEMPLATE-GAS AVAILABILITY'!P680+O681*'RAP TEMPLATE-GAS AVAILABILITY'!Q680+P681*'RAP TEMPLATE-GAS AVAILABILITY'!R680)/('RAP TEMPLATE-GAS AVAILABILITY'!O680+'RAP TEMPLATE-GAS AVAILABILITY'!P680+'RAP TEMPLATE-GAS AVAILABILITY'!Q680+'RAP TEMPLATE-GAS AVAILABILITY'!R680)</f>
        <v>18.375043884892087</v>
      </c>
    </row>
    <row r="682" spans="1:30" ht="15.75">
      <c r="A682" s="13">
        <v>62032</v>
      </c>
      <c r="B682" s="10">
        <f>CHOOSE(CONTROL!$C$42, 18.1664, 18.1664) * CHOOSE(CONTROL!$C$21, $C$9, 100%, $E$9)</f>
        <v>18.166399999999999</v>
      </c>
      <c r="C682" s="10">
        <f>CHOOSE(CONTROL!$C$42, 18.1717, 18.1717) * CHOOSE(CONTROL!$C$21, $C$9, 100%, $E$9)</f>
        <v>18.171700000000001</v>
      </c>
      <c r="D682" s="10">
        <f>CHOOSE(CONTROL!$C$42, 18.3336, 18.3336) * CHOOSE(CONTROL!$C$21, $C$9, 100%, $E$9)</f>
        <v>18.333600000000001</v>
      </c>
      <c r="E682" s="10">
        <f>CHOOSE(CONTROL!$C$42, 18.3626, 18.3626) * CHOOSE(CONTROL!$C$21, $C$9, 100%, $E$9)</f>
        <v>18.3626</v>
      </c>
      <c r="F682" s="10">
        <f>CHOOSE(CONTROL!$C$42, 18.1128, 18.1128)*CHOOSE(CONTROL!$C$21, $C$9, 100%, $E$9)</f>
        <v>18.1128</v>
      </c>
      <c r="G682" s="10">
        <f>CHOOSE(CONTROL!$C$42, 18.1286, 18.1286)*CHOOSE(CONTROL!$C$21, $C$9, 100%, $E$9)</f>
        <v>18.128599999999999</v>
      </c>
      <c r="H682" s="10">
        <f>CHOOSE(CONTROL!$C$42, 18.3527, 18.3527) * CHOOSE(CONTROL!$C$21, $C$9, 100%, $E$9)</f>
        <v>18.352699999999999</v>
      </c>
      <c r="I682" s="10">
        <f>CHOOSE(CONTROL!$C$42, 18.1469, 18.1469)* CHOOSE(CONTROL!$C$21, $C$9, 100%, $E$9)</f>
        <v>18.146899999999999</v>
      </c>
      <c r="J682" s="10">
        <f>CHOOSE(CONTROL!$C$42, 18.1054, 18.1054)* CHOOSE(CONTROL!$C$21, $C$9, 100%, $E$9)</f>
        <v>18.105399999999999</v>
      </c>
      <c r="K682" s="10">
        <f>CHOOSE(CONTROL!$C$42, 17.7408, 17.7408) * CHOOSE(CONTROL!$C$21, $C$9, 100%, $E$9)</f>
        <v>17.7408</v>
      </c>
      <c r="L682" s="10">
        <f>CHOOSE(CONTROL!$C$42, 18.9397, 18.9397) * CHOOSE(CONTROL!$C$21, $C$9, 100%, $E$9)</f>
        <v>18.939699999999998</v>
      </c>
      <c r="M682" s="10">
        <f>CHOOSE(CONTROL!$C$42, 17.8858, 17.8858) * CHOOSE(CONTROL!$C$21, $C$9, 100%, $E$9)</f>
        <v>17.8858</v>
      </c>
      <c r="N682" s="10">
        <f>CHOOSE(CONTROL!$C$42, 17.9014, 17.9014) * CHOOSE(CONTROL!$C$21, $C$9, 100%, $E$9)</f>
        <v>17.901399999999999</v>
      </c>
      <c r="O682" s="10">
        <f>CHOOSE(CONTROL!$C$42, 18.1297, 18.1297) * CHOOSE(CONTROL!$C$21, $C$9, 100%, $E$9)</f>
        <v>18.1297</v>
      </c>
      <c r="P682" s="10">
        <f>CHOOSE(CONTROL!$C$42, 17.9268, 17.9268) * CHOOSE(CONTROL!$C$21, $C$9, 100%, $E$9)</f>
        <v>17.9268</v>
      </c>
      <c r="Q682" s="10">
        <f>CHOOSE(CONTROL!$C$42, 18.725, 18.725) * CHOOSE(CONTROL!$C$21, $C$9, 100%, $E$9)</f>
        <v>18.725000000000001</v>
      </c>
      <c r="R682" s="10">
        <f>CHOOSE(CONTROL!$C$42, 19.3588, 19.3588) * CHOOSE(CONTROL!$C$21, $C$9, 100%, $E$9)</f>
        <v>19.358799999999999</v>
      </c>
      <c r="S682" s="10">
        <f>CHOOSE(CONTROL!$C$42, 17.6068, 17.6068) * CHOOSE(CONTROL!$C$21, $C$9, 100%, $E$9)</f>
        <v>17.6068</v>
      </c>
      <c r="T68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82" s="38">
        <f>(1000*CHOOSE(CONTROL!$C$42, 695, 695)*CHOOSE(CONTROL!$C$42, 0.5599, 0.5599)*CHOOSE(CONTROL!$C$42, 31, 31))/1000000</f>
        <v>12.063045499999998</v>
      </c>
      <c r="V682" s="38">
        <f>(1000*CHOOSE(CONTROL!$C$42, 500, 500)*CHOOSE(CONTROL!$C$42, 0.275, 0.275)*CHOOSE(CONTROL!$C$42, 31, 31))/1000000</f>
        <v>4.2625000000000002</v>
      </c>
      <c r="W682" s="38">
        <f>(1000*CHOOSE(CONTROL!$C$42, 0.1146, 0.1146)*CHOOSE(CONTROL!$C$42, 121.5, 121.5)*CHOOSE(CONTROL!$C$42, 31, 31))/1000000</f>
        <v>0.43164089999999994</v>
      </c>
      <c r="X682" s="38">
        <f>(31*0.1790888*245000/1000000)+(31*0.2374*100000/1000000)</f>
        <v>2.0961194359999999</v>
      </c>
      <c r="Y682" s="38">
        <f>(1000*600*CHOOSE(CONTROL!$C$42, 1.0585, 1.0585)*CHOOSE(CONTROL!$C$42, 31, 31))/1000000</f>
        <v>19.688099999999999</v>
      </c>
      <c r="Z682" s="38"/>
      <c r="AA682" s="10"/>
      <c r="AB682" s="39"/>
      <c r="AC682" s="33">
        <f>(B682*131.881+C682*277.167+D682*79.08+E682*125.872+F682*40+G682*185+H682*0+I682*100+J682*300)/(131.881+277.167+79.08+125.872+0+40+185+100+300)</f>
        <v>18.174471224778049</v>
      </c>
      <c r="AD682" s="27">
        <f>(M682*'RAP TEMPLATE-GAS AVAILABILITY'!O681+N682*'RAP TEMPLATE-GAS AVAILABILITY'!P681+O682*'RAP TEMPLATE-GAS AVAILABILITY'!Q681+P682*'RAP TEMPLATE-GAS AVAILABILITY'!R681)/('RAP TEMPLATE-GAS AVAILABILITY'!O681+'RAP TEMPLATE-GAS AVAILABILITY'!P681+'RAP TEMPLATE-GAS AVAILABILITY'!Q681+'RAP TEMPLATE-GAS AVAILABILITY'!R681)</f>
        <v>18.003141726618704</v>
      </c>
    </row>
    <row r="683" spans="1:30" ht="15.75">
      <c r="A683" s="13">
        <v>62062</v>
      </c>
      <c r="B683" s="10">
        <f>CHOOSE(CONTROL!$C$42, 18.645, 18.645) * CHOOSE(CONTROL!$C$21, $C$9, 100%, $E$9)</f>
        <v>18.645</v>
      </c>
      <c r="C683" s="10">
        <f>CHOOSE(CONTROL!$C$42, 18.6501, 18.6501) * CHOOSE(CONTROL!$C$21, $C$9, 100%, $E$9)</f>
        <v>18.650099999999998</v>
      </c>
      <c r="D683" s="10">
        <f>CHOOSE(CONTROL!$C$42, 18.6747, 18.6747) * CHOOSE(CONTROL!$C$21, $C$9, 100%, $E$9)</f>
        <v>18.674700000000001</v>
      </c>
      <c r="E683" s="10">
        <f>CHOOSE(CONTROL!$C$42, 18.7086, 18.7086) * CHOOSE(CONTROL!$C$21, $C$9, 100%, $E$9)</f>
        <v>18.708600000000001</v>
      </c>
      <c r="F683" s="10">
        <f>CHOOSE(CONTROL!$C$42, 18.6133, 18.6133)*CHOOSE(CONTROL!$C$21, $C$9, 100%, $E$9)</f>
        <v>18.613299999999999</v>
      </c>
      <c r="G683" s="10">
        <f>CHOOSE(CONTROL!$C$42, 18.6293, 18.6293)*CHOOSE(CONTROL!$C$21, $C$9, 100%, $E$9)</f>
        <v>18.629300000000001</v>
      </c>
      <c r="H683" s="10">
        <f>CHOOSE(CONTROL!$C$42, 18.6974, 18.6974) * CHOOSE(CONTROL!$C$21, $C$9, 100%, $E$9)</f>
        <v>18.697399999999998</v>
      </c>
      <c r="I683" s="10">
        <f>CHOOSE(CONTROL!$C$42, 18.66, 18.66)* CHOOSE(CONTROL!$C$21, $C$9, 100%, $E$9)</f>
        <v>18.66</v>
      </c>
      <c r="J683" s="10">
        <f>CHOOSE(CONTROL!$C$42, 18.6059, 18.6059)* CHOOSE(CONTROL!$C$21, $C$9, 100%, $E$9)</f>
        <v>18.605899999999998</v>
      </c>
      <c r="K683" s="10">
        <f>CHOOSE(CONTROL!$C$42, 18.24, 18.24) * CHOOSE(CONTROL!$C$21, $C$9, 100%, $E$9)</f>
        <v>18.239999999999998</v>
      </c>
      <c r="L683" s="10">
        <f>CHOOSE(CONTROL!$C$42, 19.2844, 19.2844) * CHOOSE(CONTROL!$C$21, $C$9, 100%, $E$9)</f>
        <v>19.284400000000002</v>
      </c>
      <c r="M683" s="10">
        <f>CHOOSE(CONTROL!$C$42, 18.3793, 18.3793) * CHOOSE(CONTROL!$C$21, $C$9, 100%, $E$9)</f>
        <v>18.379300000000001</v>
      </c>
      <c r="N683" s="10">
        <f>CHOOSE(CONTROL!$C$42, 18.3951, 18.3951) * CHOOSE(CONTROL!$C$21, $C$9, 100%, $E$9)</f>
        <v>18.395099999999999</v>
      </c>
      <c r="O683" s="10">
        <f>CHOOSE(CONTROL!$C$42, 18.4696, 18.4696) * CHOOSE(CONTROL!$C$21, $C$9, 100%, $E$9)</f>
        <v>18.4696</v>
      </c>
      <c r="P683" s="10">
        <f>CHOOSE(CONTROL!$C$42, 18.4327, 18.4327) * CHOOSE(CONTROL!$C$21, $C$9, 100%, $E$9)</f>
        <v>18.432700000000001</v>
      </c>
      <c r="Q683" s="10">
        <f>CHOOSE(CONTROL!$C$42, 19.0649, 19.0649) * CHOOSE(CONTROL!$C$21, $C$9, 100%, $E$9)</f>
        <v>19.064900000000002</v>
      </c>
      <c r="R683" s="10">
        <f>CHOOSE(CONTROL!$C$42, 19.6996, 19.6996) * CHOOSE(CONTROL!$C$21, $C$9, 100%, $E$9)</f>
        <v>19.6996</v>
      </c>
      <c r="S683" s="10">
        <f>CHOOSE(CONTROL!$C$42, 18.0706, 18.0706) * CHOOSE(CONTROL!$C$21, $C$9, 100%, $E$9)</f>
        <v>18.070599999999999</v>
      </c>
      <c r="T68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83" s="38">
        <f>(1000*CHOOSE(CONTROL!$C$42, 695, 695)*CHOOSE(CONTROL!$C$42, 0.5599, 0.5599)*CHOOSE(CONTROL!$C$42, 30, 30))/1000000</f>
        <v>11.673914999999997</v>
      </c>
      <c r="V683" s="38">
        <f>(1000*CHOOSE(CONTROL!$C$42, 500, 500)*CHOOSE(CONTROL!$C$42, 0.275, 0.275)*CHOOSE(CONTROL!$C$42, 30, 30))/1000000</f>
        <v>4.125</v>
      </c>
      <c r="W683" s="38">
        <f>(1000*CHOOSE(CONTROL!$C$42, 0.1146, 0.1146)*CHOOSE(CONTROL!$C$42, 121.5, 121.5)*CHOOSE(CONTROL!$C$42, 30, 30))/1000000</f>
        <v>0.417717</v>
      </c>
      <c r="X683" s="38">
        <f>(30*0.1790888*100000/1000000)+(30*0.2374*100000/1000000)</f>
        <v>1.2494664</v>
      </c>
      <c r="Y683" s="38">
        <f>(1000*600*CHOOSE(CONTROL!$C$42, 1.0585, 1.0585)*CHOOSE(CONTROL!$C$42, 30, 30))/1000000</f>
        <v>19.053000000000001</v>
      </c>
      <c r="Z683" s="38"/>
      <c r="AA683" s="10"/>
      <c r="AB683" s="39"/>
      <c r="AC683" s="33">
        <f>(B683*122.58+C683*297.941+D683*89.177+E683*40.302+F683*40+G683*160+H683*0+I683*100+J683*300)/(122.58+297.941+89.177+40.302+0+40+160+100+300)</f>
        <v>18.638670663652171</v>
      </c>
      <c r="AD683" s="27">
        <f>(M683*'RAP TEMPLATE-GAS AVAILABILITY'!O682+N683*'RAP TEMPLATE-GAS AVAILABILITY'!P682+O683*'RAP TEMPLATE-GAS AVAILABILITY'!Q682+P683*'RAP TEMPLATE-GAS AVAILABILITY'!R682)/('RAP TEMPLATE-GAS AVAILABILITY'!O682+'RAP TEMPLATE-GAS AVAILABILITY'!P682+'RAP TEMPLATE-GAS AVAILABILITY'!Q682+'RAP TEMPLATE-GAS AVAILABILITY'!R682)</f>
        <v>18.428820143884892</v>
      </c>
    </row>
    <row r="684" spans="1:30" ht="15.75">
      <c r="A684" s="13">
        <v>62093</v>
      </c>
      <c r="B684" s="10">
        <f>CHOOSE(CONTROL!$C$42, 19.9173, 19.9173) * CHOOSE(CONTROL!$C$21, $C$9, 100%, $E$9)</f>
        <v>19.917300000000001</v>
      </c>
      <c r="C684" s="10">
        <f>CHOOSE(CONTROL!$C$42, 19.9224, 19.9224) * CHOOSE(CONTROL!$C$21, $C$9, 100%, $E$9)</f>
        <v>19.9224</v>
      </c>
      <c r="D684" s="10">
        <f>CHOOSE(CONTROL!$C$42, 19.9471, 19.9471) * CHOOSE(CONTROL!$C$21, $C$9, 100%, $E$9)</f>
        <v>19.947099999999999</v>
      </c>
      <c r="E684" s="10">
        <f>CHOOSE(CONTROL!$C$42, 19.9809, 19.9809) * CHOOSE(CONTROL!$C$21, $C$9, 100%, $E$9)</f>
        <v>19.980899999999998</v>
      </c>
      <c r="F684" s="10">
        <f>CHOOSE(CONTROL!$C$42, 19.8875, 19.8875)*CHOOSE(CONTROL!$C$21, $C$9, 100%, $E$9)</f>
        <v>19.887499999999999</v>
      </c>
      <c r="G684" s="10">
        <f>CHOOSE(CONTROL!$C$42, 19.904, 19.904)*CHOOSE(CONTROL!$C$21, $C$9, 100%, $E$9)</f>
        <v>19.904</v>
      </c>
      <c r="H684" s="10">
        <f>CHOOSE(CONTROL!$C$42, 19.9697, 19.9697) * CHOOSE(CONTROL!$C$21, $C$9, 100%, $E$9)</f>
        <v>19.9697</v>
      </c>
      <c r="I684" s="10">
        <f>CHOOSE(CONTROL!$C$42, 19.9323, 19.9323)* CHOOSE(CONTROL!$C$21, $C$9, 100%, $E$9)</f>
        <v>19.932300000000001</v>
      </c>
      <c r="J684" s="10">
        <f>CHOOSE(CONTROL!$C$42, 19.8801, 19.8801)* CHOOSE(CONTROL!$C$21, $C$9, 100%, $E$9)</f>
        <v>19.880099999999999</v>
      </c>
      <c r="K684" s="10">
        <f>CHOOSE(CONTROL!$C$42, 19.4768, 19.4768) * CHOOSE(CONTROL!$C$21, $C$9, 100%, $E$9)</f>
        <v>19.476800000000001</v>
      </c>
      <c r="L684" s="10">
        <f>CHOOSE(CONTROL!$C$42, 20.5567, 20.5567) * CHOOSE(CONTROL!$C$21, $C$9, 100%, $E$9)</f>
        <v>20.556699999999999</v>
      </c>
      <c r="M684" s="10">
        <f>CHOOSE(CONTROL!$C$42, 19.6358, 19.6358) * CHOOSE(CONTROL!$C$21, $C$9, 100%, $E$9)</f>
        <v>19.6358</v>
      </c>
      <c r="N684" s="10">
        <f>CHOOSE(CONTROL!$C$42, 19.6521, 19.6521) * CHOOSE(CONTROL!$C$21, $C$9, 100%, $E$9)</f>
        <v>19.652100000000001</v>
      </c>
      <c r="O684" s="10">
        <f>CHOOSE(CONTROL!$C$42, 19.7242, 19.7242) * CHOOSE(CONTROL!$C$21, $C$9, 100%, $E$9)</f>
        <v>19.7242</v>
      </c>
      <c r="P684" s="10">
        <f>CHOOSE(CONTROL!$C$42, 19.6873, 19.6873) * CHOOSE(CONTROL!$C$21, $C$9, 100%, $E$9)</f>
        <v>19.6873</v>
      </c>
      <c r="Q684" s="10">
        <f>CHOOSE(CONTROL!$C$42, 20.3195, 20.3195) * CHOOSE(CONTROL!$C$21, $C$9, 100%, $E$9)</f>
        <v>20.319500000000001</v>
      </c>
      <c r="R684" s="10">
        <f>CHOOSE(CONTROL!$C$42, 20.9573, 20.9573) * CHOOSE(CONTROL!$C$21, $C$9, 100%, $E$9)</f>
        <v>20.9573</v>
      </c>
      <c r="S684" s="10">
        <f>CHOOSE(CONTROL!$C$42, 19.3026, 19.3026) * CHOOSE(CONTROL!$C$21, $C$9, 100%, $E$9)</f>
        <v>19.302600000000002</v>
      </c>
      <c r="T68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84" s="38">
        <f>(1000*CHOOSE(CONTROL!$C$42, 695, 695)*CHOOSE(CONTROL!$C$42, 0.5599, 0.5599)*CHOOSE(CONTROL!$C$42, 31, 31))/1000000</f>
        <v>12.063045499999998</v>
      </c>
      <c r="V684" s="38">
        <f>(1000*CHOOSE(CONTROL!$C$42, 500, 500)*CHOOSE(CONTROL!$C$42, 0.275, 0.275)*CHOOSE(CONTROL!$C$42, 31, 31))/1000000</f>
        <v>4.2625000000000002</v>
      </c>
      <c r="W684" s="38">
        <f>(1000*CHOOSE(CONTROL!$C$42, 0.1146, 0.1146)*CHOOSE(CONTROL!$C$42, 121.5, 121.5)*CHOOSE(CONTROL!$C$42, 31, 31))/1000000</f>
        <v>0.43164089999999994</v>
      </c>
      <c r="X684" s="38">
        <f>(31*0.1790888*100000/1000000)+(31*0.2374*100000/1000000)</f>
        <v>1.2911152800000001</v>
      </c>
      <c r="Y684" s="38">
        <f>(1000*600*CHOOSE(CONTROL!$C$42, 1.0585, 1.0585)*CHOOSE(CONTROL!$C$42, 31, 31))/1000000</f>
        <v>19.688099999999999</v>
      </c>
      <c r="Z684" s="38"/>
      <c r="AA684" s="10"/>
      <c r="AB684" s="39"/>
      <c r="AC684" s="33">
        <f>(B684*122.58+C684*297.941+D684*89.177+E684*40.302+F684*40+G684*160+H684*0+I684*100+J684*300)/(122.58+297.941+89.177+40.302+0+40+160+100+300)</f>
        <v>19.911874070347825</v>
      </c>
      <c r="AD684" s="27">
        <f>(M684*'RAP TEMPLATE-GAS AVAILABILITY'!O683+N684*'RAP TEMPLATE-GAS AVAILABILITY'!P683+O684*'RAP TEMPLATE-GAS AVAILABILITY'!Q683+P684*'RAP TEMPLATE-GAS AVAILABILITY'!R683)/('RAP TEMPLATE-GAS AVAILABILITY'!O683+'RAP TEMPLATE-GAS AVAILABILITY'!P683+'RAP TEMPLATE-GAS AVAILABILITY'!Q683+'RAP TEMPLATE-GAS AVAILABILITY'!R683)</f>
        <v>19.684214388489206</v>
      </c>
    </row>
    <row r="685" spans="1:30" ht="15.75">
      <c r="A685" s="13">
        <v>62124</v>
      </c>
      <c r="B685" s="10">
        <f>CHOOSE(CONTROL!$C$42, 21.2627, 21.2627) * CHOOSE(CONTROL!$C$21, $C$9, 100%, $E$9)</f>
        <v>21.262699999999999</v>
      </c>
      <c r="C685" s="10">
        <f>CHOOSE(CONTROL!$C$42, 21.2678, 21.2678) * CHOOSE(CONTROL!$C$21, $C$9, 100%, $E$9)</f>
        <v>21.267800000000001</v>
      </c>
      <c r="D685" s="10">
        <f>CHOOSE(CONTROL!$C$42, 21.3002, 21.3002) * CHOOSE(CONTROL!$C$21, $C$9, 100%, $E$9)</f>
        <v>21.3002</v>
      </c>
      <c r="E685" s="10">
        <f>CHOOSE(CONTROL!$C$42, 21.334, 21.334) * CHOOSE(CONTROL!$C$21, $C$9, 100%, $E$9)</f>
        <v>21.334</v>
      </c>
      <c r="F685" s="10">
        <f>CHOOSE(CONTROL!$C$42, 21.2469, 21.2469)*CHOOSE(CONTROL!$C$21, $C$9, 100%, $E$9)</f>
        <v>21.2469</v>
      </c>
      <c r="G685" s="10">
        <f>CHOOSE(CONTROL!$C$42, 21.2649, 21.2649)*CHOOSE(CONTROL!$C$21, $C$9, 100%, $E$9)</f>
        <v>21.264900000000001</v>
      </c>
      <c r="H685" s="10">
        <f>CHOOSE(CONTROL!$C$42, 21.3229, 21.3229) * CHOOSE(CONTROL!$C$21, $C$9, 100%, $E$9)</f>
        <v>21.322900000000001</v>
      </c>
      <c r="I685" s="10">
        <f>CHOOSE(CONTROL!$C$42, 21.2761, 21.2761)* CHOOSE(CONTROL!$C$21, $C$9, 100%, $E$9)</f>
        <v>21.2761</v>
      </c>
      <c r="J685" s="10">
        <f>CHOOSE(CONTROL!$C$42, 21.2395, 21.2395)* CHOOSE(CONTROL!$C$21, $C$9, 100%, $E$9)</f>
        <v>21.2395</v>
      </c>
      <c r="K685" s="10">
        <f>CHOOSE(CONTROL!$C$42, 20.7926, 20.7926) * CHOOSE(CONTROL!$C$21, $C$9, 100%, $E$9)</f>
        <v>20.7926</v>
      </c>
      <c r="L685" s="10">
        <f>CHOOSE(CONTROL!$C$42, 21.9099, 21.9099) * CHOOSE(CONTROL!$C$21, $C$9, 100%, $E$9)</f>
        <v>21.9099</v>
      </c>
      <c r="M685" s="10">
        <f>CHOOSE(CONTROL!$C$42, 20.9762, 20.9762) * CHOOSE(CONTROL!$C$21, $C$9, 100%, $E$9)</f>
        <v>20.976199999999999</v>
      </c>
      <c r="N685" s="10">
        <f>CHOOSE(CONTROL!$C$42, 20.994, 20.994) * CHOOSE(CONTROL!$C$21, $C$9, 100%, $E$9)</f>
        <v>20.994</v>
      </c>
      <c r="O685" s="10">
        <f>CHOOSE(CONTROL!$C$42, 21.0584, 21.0584) * CHOOSE(CONTROL!$C$21, $C$9, 100%, $E$9)</f>
        <v>21.058399999999999</v>
      </c>
      <c r="P685" s="10">
        <f>CHOOSE(CONTROL!$C$42, 21.0124, 21.0124) * CHOOSE(CONTROL!$C$21, $C$9, 100%, $E$9)</f>
        <v>21.0124</v>
      </c>
      <c r="Q685" s="10">
        <f>CHOOSE(CONTROL!$C$42, 21.6537, 21.6537) * CHOOSE(CONTROL!$C$21, $C$9, 100%, $E$9)</f>
        <v>21.653700000000001</v>
      </c>
      <c r="R685" s="10">
        <f>CHOOSE(CONTROL!$C$42, 22.2949, 22.2949) * CHOOSE(CONTROL!$C$21, $C$9, 100%, $E$9)</f>
        <v>22.294899999999998</v>
      </c>
      <c r="S685" s="10">
        <f>CHOOSE(CONTROL!$C$42, 20.6053, 20.6053) * CHOOSE(CONTROL!$C$21, $C$9, 100%, $E$9)</f>
        <v>20.6053</v>
      </c>
      <c r="T68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85" s="38">
        <f>(1000*CHOOSE(CONTROL!$C$42, 695, 695)*CHOOSE(CONTROL!$C$42, 0.5599, 0.5599)*CHOOSE(CONTROL!$C$42, 31, 31))/1000000</f>
        <v>12.063045499999998</v>
      </c>
      <c r="V685" s="38">
        <f>(1000*CHOOSE(CONTROL!$C$42, 500, 500)*CHOOSE(CONTROL!$C$42, 0.275, 0.275)*CHOOSE(CONTROL!$C$42, 31, 31))/1000000</f>
        <v>4.2625000000000002</v>
      </c>
      <c r="W685" s="38">
        <f>(1000*CHOOSE(CONTROL!$C$42, 0.1146, 0.1146)*CHOOSE(CONTROL!$C$42, 121.5, 121.5)*CHOOSE(CONTROL!$C$42, 31, 31))/1000000</f>
        <v>0.43164089999999994</v>
      </c>
      <c r="X685" s="38">
        <f>(31*0.1790888*100000/1000000)+(31*0.2374*100000/1000000)</f>
        <v>1.2911152800000001</v>
      </c>
      <c r="Y685" s="38">
        <f>(1000*600*CHOOSE(CONTROL!$C$42, 1.0585, 1.0585)*CHOOSE(CONTROL!$C$42, 31, 31))/1000000</f>
        <v>19.688099999999999</v>
      </c>
      <c r="Z685" s="38"/>
      <c r="AA685" s="10"/>
      <c r="AB685" s="39"/>
      <c r="AC685" s="33">
        <f>(B685*122.58+C685*297.941+D685*89.177+E685*40.302+F685*40+G685*160+H685*0+I685*100+J685*300)/(122.58+297.941+89.177+40.302+0+40+160+100+300)</f>
        <v>21.264297538434782</v>
      </c>
      <c r="AD685" s="27">
        <f>(M685*'RAP TEMPLATE-GAS AVAILABILITY'!O684+N685*'RAP TEMPLATE-GAS AVAILABILITY'!P684+O685*'RAP TEMPLATE-GAS AVAILABILITY'!Q684+P685*'RAP TEMPLATE-GAS AVAILABILITY'!R684)/('RAP TEMPLATE-GAS AVAILABILITY'!O684+'RAP TEMPLATE-GAS AVAILABILITY'!P684+'RAP TEMPLATE-GAS AVAILABILITY'!Q684+'RAP TEMPLATE-GAS AVAILABILITY'!R684)</f>
        <v>21.019689208633093</v>
      </c>
    </row>
    <row r="686" spans="1:30" ht="15.75">
      <c r="A686" s="13">
        <v>62152</v>
      </c>
      <c r="B686" s="10">
        <f>CHOOSE(CONTROL!$C$42, 21.6415, 21.6415) * CHOOSE(CONTROL!$C$21, $C$9, 100%, $E$9)</f>
        <v>21.641500000000001</v>
      </c>
      <c r="C686" s="10">
        <f>CHOOSE(CONTROL!$C$42, 21.6466, 21.6466) * CHOOSE(CONTROL!$C$21, $C$9, 100%, $E$9)</f>
        <v>21.646599999999999</v>
      </c>
      <c r="D686" s="10">
        <f>CHOOSE(CONTROL!$C$42, 21.679, 21.679) * CHOOSE(CONTROL!$C$21, $C$9, 100%, $E$9)</f>
        <v>21.678999999999998</v>
      </c>
      <c r="E686" s="10">
        <f>CHOOSE(CONTROL!$C$42, 21.7128, 21.7128) * CHOOSE(CONTROL!$C$21, $C$9, 100%, $E$9)</f>
        <v>21.712800000000001</v>
      </c>
      <c r="F686" s="10">
        <f>CHOOSE(CONTROL!$C$42, 21.6252, 21.6252)*CHOOSE(CONTROL!$C$21, $C$9, 100%, $E$9)</f>
        <v>21.6252</v>
      </c>
      <c r="G686" s="10">
        <f>CHOOSE(CONTROL!$C$42, 21.6431, 21.6431)*CHOOSE(CONTROL!$C$21, $C$9, 100%, $E$9)</f>
        <v>21.6431</v>
      </c>
      <c r="H686" s="10">
        <f>CHOOSE(CONTROL!$C$42, 21.7017, 21.7017) * CHOOSE(CONTROL!$C$21, $C$9, 100%, $E$9)</f>
        <v>21.701699999999999</v>
      </c>
      <c r="I686" s="10">
        <f>CHOOSE(CONTROL!$C$42, 21.6549, 21.6549)* CHOOSE(CONTROL!$C$21, $C$9, 100%, $E$9)</f>
        <v>21.654900000000001</v>
      </c>
      <c r="J686" s="10">
        <f>CHOOSE(CONTROL!$C$42, 21.6178, 21.6178)* CHOOSE(CONTROL!$C$21, $C$9, 100%, $E$9)</f>
        <v>21.617799999999999</v>
      </c>
      <c r="K686" s="10">
        <f>CHOOSE(CONTROL!$C$42, 21.1586, 21.1586) * CHOOSE(CONTROL!$C$21, $C$9, 100%, $E$9)</f>
        <v>21.1586</v>
      </c>
      <c r="L686" s="10">
        <f>CHOOSE(CONTROL!$C$42, 22.2887, 22.2887) * CHOOSE(CONTROL!$C$21, $C$9, 100%, $E$9)</f>
        <v>22.288699999999999</v>
      </c>
      <c r="M686" s="10">
        <f>CHOOSE(CONTROL!$C$42, 21.3492, 21.3492) * CHOOSE(CONTROL!$C$21, $C$9, 100%, $E$9)</f>
        <v>21.3492</v>
      </c>
      <c r="N686" s="10">
        <f>CHOOSE(CONTROL!$C$42, 21.3669, 21.3669) * CHOOSE(CONTROL!$C$21, $C$9, 100%, $E$9)</f>
        <v>21.366900000000001</v>
      </c>
      <c r="O686" s="10">
        <f>CHOOSE(CONTROL!$C$42, 21.4319, 21.4319) * CHOOSE(CONTROL!$C$21, $C$9, 100%, $E$9)</f>
        <v>21.431899999999999</v>
      </c>
      <c r="P686" s="10">
        <f>CHOOSE(CONTROL!$C$42, 21.3859, 21.3859) * CHOOSE(CONTROL!$C$21, $C$9, 100%, $E$9)</f>
        <v>21.385899999999999</v>
      </c>
      <c r="Q686" s="10">
        <f>CHOOSE(CONTROL!$C$42, 22.0272, 22.0272) * CHOOSE(CONTROL!$C$21, $C$9, 100%, $E$9)</f>
        <v>22.027200000000001</v>
      </c>
      <c r="R686" s="10">
        <f>CHOOSE(CONTROL!$C$42, 22.6693, 22.6693) * CHOOSE(CONTROL!$C$21, $C$9, 100%, $E$9)</f>
        <v>22.6693</v>
      </c>
      <c r="S686" s="10">
        <f>CHOOSE(CONTROL!$C$42, 20.9721, 20.9721) * CHOOSE(CONTROL!$C$21, $C$9, 100%, $E$9)</f>
        <v>20.972100000000001</v>
      </c>
      <c r="T68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86" s="38">
        <f>(1000*CHOOSE(CONTROL!$C$42, 695, 695)*CHOOSE(CONTROL!$C$42, 0.5599, 0.5599)*CHOOSE(CONTROL!$C$42, 28, 28))/1000000</f>
        <v>10.895653999999999</v>
      </c>
      <c r="V686" s="38">
        <f>(1000*CHOOSE(CONTROL!$C$42, 500, 500)*CHOOSE(CONTROL!$C$42, 0.275, 0.275)*CHOOSE(CONTROL!$C$42, 28, 28))/1000000</f>
        <v>3.85</v>
      </c>
      <c r="W686" s="38">
        <f>(1000*CHOOSE(CONTROL!$C$42, 0.1146, 0.1146)*CHOOSE(CONTROL!$C$42, 121.5, 121.5)*CHOOSE(CONTROL!$C$42, 28, 28))/1000000</f>
        <v>0.38986920000000003</v>
      </c>
      <c r="X686" s="38">
        <f>(28*0.1790888*100000/1000000)+(28*0.2374*100000/1000000)</f>
        <v>1.16616864</v>
      </c>
      <c r="Y686" s="38">
        <f>(1000*600*CHOOSE(CONTROL!$C$42, 1.0585, 1.0585)*CHOOSE(CONTROL!$C$42, 28, 28))/1000000</f>
        <v>17.782800000000002</v>
      </c>
      <c r="Z686" s="38"/>
      <c r="AA686" s="10"/>
      <c r="AB686" s="39"/>
      <c r="AC686" s="33">
        <f>(B686*122.58+C686*297.941+D686*89.177+E686*40.302+F686*40+G686*160+H686*0+I686*100+J686*300)/(122.58+297.941+89.177+40.302+0+40+160+100+300)</f>
        <v>21.642866234086956</v>
      </c>
      <c r="AD686" s="27">
        <f>(M686*'RAP TEMPLATE-GAS AVAILABILITY'!O685+N686*'RAP TEMPLATE-GAS AVAILABILITY'!P685+O686*'RAP TEMPLATE-GAS AVAILABILITY'!Q685+P686*'RAP TEMPLATE-GAS AVAILABILITY'!R685)/('RAP TEMPLATE-GAS AVAILABILITY'!O685+'RAP TEMPLATE-GAS AVAILABILITY'!P685+'RAP TEMPLATE-GAS AVAILABILITY'!Q685+'RAP TEMPLATE-GAS AVAILABILITY'!R685)</f>
        <v>21.39298201438849</v>
      </c>
    </row>
    <row r="687" spans="1:30" ht="15.75">
      <c r="A687" s="13">
        <v>62183</v>
      </c>
      <c r="B687" s="10">
        <f>CHOOSE(CONTROL!$C$42, 21.0266, 21.0266) * CHOOSE(CONTROL!$C$21, $C$9, 100%, $E$9)</f>
        <v>21.026599999999998</v>
      </c>
      <c r="C687" s="10">
        <f>CHOOSE(CONTROL!$C$42, 21.0317, 21.0317) * CHOOSE(CONTROL!$C$21, $C$9, 100%, $E$9)</f>
        <v>21.031700000000001</v>
      </c>
      <c r="D687" s="10">
        <f>CHOOSE(CONTROL!$C$42, 21.0641, 21.0641) * CHOOSE(CONTROL!$C$21, $C$9, 100%, $E$9)</f>
        <v>21.0641</v>
      </c>
      <c r="E687" s="10">
        <f>CHOOSE(CONTROL!$C$42, 21.0979, 21.0979) * CHOOSE(CONTROL!$C$21, $C$9, 100%, $E$9)</f>
        <v>21.097899999999999</v>
      </c>
      <c r="F687" s="10">
        <f>CHOOSE(CONTROL!$C$42, 21.0088, 21.0088)*CHOOSE(CONTROL!$C$21, $C$9, 100%, $E$9)</f>
        <v>21.008800000000001</v>
      </c>
      <c r="G687" s="10">
        <f>CHOOSE(CONTROL!$C$42, 21.0264, 21.0264)*CHOOSE(CONTROL!$C$21, $C$9, 100%, $E$9)</f>
        <v>21.026399999999999</v>
      </c>
      <c r="H687" s="10">
        <f>CHOOSE(CONTROL!$C$42, 21.0868, 21.0868) * CHOOSE(CONTROL!$C$21, $C$9, 100%, $E$9)</f>
        <v>21.0868</v>
      </c>
      <c r="I687" s="10">
        <f>CHOOSE(CONTROL!$C$42, 21.04, 21.04)* CHOOSE(CONTROL!$C$21, $C$9, 100%, $E$9)</f>
        <v>21.04</v>
      </c>
      <c r="J687" s="10">
        <f>CHOOSE(CONTROL!$C$42, 21.0014, 21.0014)* CHOOSE(CONTROL!$C$21, $C$9, 100%, $E$9)</f>
        <v>21.0014</v>
      </c>
      <c r="K687" s="10">
        <f>CHOOSE(CONTROL!$C$42, 20.5598, 20.5598) * CHOOSE(CONTROL!$C$21, $C$9, 100%, $E$9)</f>
        <v>20.559799999999999</v>
      </c>
      <c r="L687" s="10">
        <f>CHOOSE(CONTROL!$C$42, 21.6738, 21.6738) * CHOOSE(CONTROL!$C$21, $C$9, 100%, $E$9)</f>
        <v>21.6738</v>
      </c>
      <c r="M687" s="10">
        <f>CHOOSE(CONTROL!$C$42, 20.7415, 20.7415) * CHOOSE(CONTROL!$C$21, $C$9, 100%, $E$9)</f>
        <v>20.741499999999998</v>
      </c>
      <c r="N687" s="10">
        <f>CHOOSE(CONTROL!$C$42, 20.7588, 20.7588) * CHOOSE(CONTROL!$C$21, $C$9, 100%, $E$9)</f>
        <v>20.758800000000001</v>
      </c>
      <c r="O687" s="10">
        <f>CHOOSE(CONTROL!$C$42, 20.8256, 20.8256) * CHOOSE(CONTROL!$C$21, $C$9, 100%, $E$9)</f>
        <v>20.825600000000001</v>
      </c>
      <c r="P687" s="10">
        <f>CHOOSE(CONTROL!$C$42, 20.7796, 20.7796) * CHOOSE(CONTROL!$C$21, $C$9, 100%, $E$9)</f>
        <v>20.779599999999999</v>
      </c>
      <c r="Q687" s="10">
        <f>CHOOSE(CONTROL!$C$42, 21.4209, 21.4209) * CHOOSE(CONTROL!$C$21, $C$9, 100%, $E$9)</f>
        <v>21.4209</v>
      </c>
      <c r="R687" s="10">
        <f>CHOOSE(CONTROL!$C$42, 22.0615, 22.0615) * CHOOSE(CONTROL!$C$21, $C$9, 100%, $E$9)</f>
        <v>22.061499999999999</v>
      </c>
      <c r="S687" s="10">
        <f>CHOOSE(CONTROL!$C$42, 20.3767, 20.3767) * CHOOSE(CONTROL!$C$21, $C$9, 100%, $E$9)</f>
        <v>20.3767</v>
      </c>
      <c r="T68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87" s="38">
        <f>(1000*CHOOSE(CONTROL!$C$42, 695, 695)*CHOOSE(CONTROL!$C$42, 0.5599, 0.5599)*CHOOSE(CONTROL!$C$42, 31, 31))/1000000</f>
        <v>12.063045499999998</v>
      </c>
      <c r="V687" s="38">
        <f>(1000*CHOOSE(CONTROL!$C$42, 500, 500)*CHOOSE(CONTROL!$C$42, 0.275, 0.275)*CHOOSE(CONTROL!$C$42, 31, 31))/1000000</f>
        <v>4.2625000000000002</v>
      </c>
      <c r="W687" s="38">
        <f>(1000*CHOOSE(CONTROL!$C$42, 0.1146, 0.1146)*CHOOSE(CONTROL!$C$42, 121.5, 121.5)*CHOOSE(CONTROL!$C$42, 31, 31))/1000000</f>
        <v>0.43164089999999994</v>
      </c>
      <c r="X687" s="38">
        <f>(31*0.1790888*100000/1000000)+(31*0.2374*100000/1000000)</f>
        <v>1.2911152800000001</v>
      </c>
      <c r="Y687" s="38">
        <f>(1000*600*CHOOSE(CONTROL!$C$42, 1.0585, 1.0585)*CHOOSE(CONTROL!$C$42, 31, 31))/1000000</f>
        <v>19.688099999999999</v>
      </c>
      <c r="Z687" s="38"/>
      <c r="AA687" s="10"/>
      <c r="AB687" s="39"/>
      <c r="AC687" s="33">
        <f>(B687*122.58+C687*297.941+D687*89.177+E687*40.302+F687*40+G687*160+H687*0+I687*100+J687*300)/(122.58+297.941+89.177+40.302+0+40+160+100+300)</f>
        <v>21.027272321043476</v>
      </c>
      <c r="AD687" s="27">
        <f>(M687*'RAP TEMPLATE-GAS AVAILABILITY'!O686+N687*'RAP TEMPLATE-GAS AVAILABILITY'!P686+O687*'RAP TEMPLATE-GAS AVAILABILITY'!Q686+P687*'RAP TEMPLATE-GAS AVAILABILITY'!R686)/('RAP TEMPLATE-GAS AVAILABILITY'!O686+'RAP TEMPLATE-GAS AVAILABILITY'!P686+'RAP TEMPLATE-GAS AVAILABILITY'!Q686+'RAP TEMPLATE-GAS AVAILABILITY'!R686)</f>
        <v>20.786094964028777</v>
      </c>
    </row>
    <row r="688" spans="1:30" ht="15.75">
      <c r="A688" s="13">
        <v>62213</v>
      </c>
      <c r="B688" s="10">
        <f>CHOOSE(CONTROL!$C$42, 20.9643, 20.9643) * CHOOSE(CONTROL!$C$21, $C$9, 100%, $E$9)</f>
        <v>20.964300000000001</v>
      </c>
      <c r="C688" s="10">
        <f>CHOOSE(CONTROL!$C$42, 20.9689, 20.9689) * CHOOSE(CONTROL!$C$21, $C$9, 100%, $E$9)</f>
        <v>20.968900000000001</v>
      </c>
      <c r="D688" s="10">
        <f>CHOOSE(CONTROL!$C$42, 21.129, 21.129) * CHOOSE(CONTROL!$C$21, $C$9, 100%, $E$9)</f>
        <v>21.129000000000001</v>
      </c>
      <c r="E688" s="10">
        <f>CHOOSE(CONTROL!$C$42, 21.1609, 21.1609) * CHOOSE(CONTROL!$C$21, $C$9, 100%, $E$9)</f>
        <v>21.160900000000002</v>
      </c>
      <c r="F688" s="10">
        <f>CHOOSE(CONTROL!$C$42, 20.9105, 20.9105)*CHOOSE(CONTROL!$C$21, $C$9, 100%, $E$9)</f>
        <v>20.910499999999999</v>
      </c>
      <c r="G688" s="10">
        <f>CHOOSE(CONTROL!$C$42, 20.9263, 20.9263)*CHOOSE(CONTROL!$C$21, $C$9, 100%, $E$9)</f>
        <v>20.926300000000001</v>
      </c>
      <c r="H688" s="10">
        <f>CHOOSE(CONTROL!$C$42, 21.1503, 21.1503) * CHOOSE(CONTROL!$C$21, $C$9, 100%, $E$9)</f>
        <v>21.150300000000001</v>
      </c>
      <c r="I688" s="10">
        <f>CHOOSE(CONTROL!$C$42, 20.9445, 20.9445)* CHOOSE(CONTROL!$C$21, $C$9, 100%, $E$9)</f>
        <v>20.944500000000001</v>
      </c>
      <c r="J688" s="10">
        <f>CHOOSE(CONTROL!$C$42, 20.9031, 20.9031)* CHOOSE(CONTROL!$C$21, $C$9, 100%, $E$9)</f>
        <v>20.903099999999998</v>
      </c>
      <c r="K688" s="10">
        <f>CHOOSE(CONTROL!$C$42, 20.4512, 20.4512) * CHOOSE(CONTROL!$C$21, $C$9, 100%, $E$9)</f>
        <v>20.4512</v>
      </c>
      <c r="L688" s="10">
        <f>CHOOSE(CONTROL!$C$42, 21.7373, 21.7373) * CHOOSE(CONTROL!$C$21, $C$9, 100%, $E$9)</f>
        <v>21.737300000000001</v>
      </c>
      <c r="M688" s="10">
        <f>CHOOSE(CONTROL!$C$42, 20.6445, 20.6445) * CHOOSE(CONTROL!$C$21, $C$9, 100%, $E$9)</f>
        <v>20.644500000000001</v>
      </c>
      <c r="N688" s="10">
        <f>CHOOSE(CONTROL!$C$42, 20.6601, 20.6601) * CHOOSE(CONTROL!$C$21, $C$9, 100%, $E$9)</f>
        <v>20.6601</v>
      </c>
      <c r="O688" s="10">
        <f>CHOOSE(CONTROL!$C$42, 20.8883, 20.8883) * CHOOSE(CONTROL!$C$21, $C$9, 100%, $E$9)</f>
        <v>20.888300000000001</v>
      </c>
      <c r="P688" s="10">
        <f>CHOOSE(CONTROL!$C$42, 20.6854, 20.6854) * CHOOSE(CONTROL!$C$21, $C$9, 100%, $E$9)</f>
        <v>20.685400000000001</v>
      </c>
      <c r="Q688" s="10">
        <f>CHOOSE(CONTROL!$C$42, 21.4836, 21.4836) * CHOOSE(CONTROL!$C$21, $C$9, 100%, $E$9)</f>
        <v>21.483599999999999</v>
      </c>
      <c r="R688" s="10">
        <f>CHOOSE(CONTROL!$C$42, 22.1243, 22.1243) * CHOOSE(CONTROL!$C$21, $C$9, 100%, $E$9)</f>
        <v>22.124300000000002</v>
      </c>
      <c r="S688" s="10">
        <f>CHOOSE(CONTROL!$C$42, 20.3157, 20.3157) * CHOOSE(CONTROL!$C$21, $C$9, 100%, $E$9)</f>
        <v>20.3157</v>
      </c>
      <c r="T68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688" s="38">
        <f>(1000*CHOOSE(CONTROL!$C$42, 695, 695)*CHOOSE(CONTROL!$C$42, 0.5599, 0.5599)*CHOOSE(CONTROL!$C$42, 30, 30))/1000000</f>
        <v>11.673914999999997</v>
      </c>
      <c r="V688" s="38">
        <f>(1000*CHOOSE(CONTROL!$C$42, 500, 500)*CHOOSE(CONTROL!$C$42, 0.275, 0.275)*CHOOSE(CONTROL!$C$42, 30, 30))/1000000</f>
        <v>4.125</v>
      </c>
      <c r="W688" s="38">
        <f>(1000*CHOOSE(CONTROL!$C$42, 0.1146, 0.1146)*CHOOSE(CONTROL!$C$42, 121.5, 121.5)*CHOOSE(CONTROL!$C$42, 30, 30))/1000000</f>
        <v>0.417717</v>
      </c>
      <c r="X688" s="38">
        <f>(30*0.1790888*245000/1000000)+(30*0.2374*100000/1000000)</f>
        <v>2.0285026799999999</v>
      </c>
      <c r="Y688" s="38">
        <f>(1000*600*CHOOSE(CONTROL!$C$42, 1.0585, 1.0585)*CHOOSE(CONTROL!$C$42, 30, 30))/1000000</f>
        <v>19.053000000000001</v>
      </c>
      <c r="Z688" s="38"/>
      <c r="AA688" s="10"/>
      <c r="AB688" s="39"/>
      <c r="AC688" s="33">
        <f>(B688*141.293+C688*267.993+D688*115.016+E688*89.698+F688*40+G688*185+H688*0+I688*100+J688*300)/(141.293+267.993+115.016+89.698+0+40+185+100+300)</f>
        <v>20.970989693139632</v>
      </c>
      <c r="AD688" s="27">
        <f>(M688*'RAP TEMPLATE-GAS AVAILABILITY'!O687+N688*'RAP TEMPLATE-GAS AVAILABILITY'!P687+O688*'RAP TEMPLATE-GAS AVAILABILITY'!Q687+P688*'RAP TEMPLATE-GAS AVAILABILITY'!R687)/('RAP TEMPLATE-GAS AVAILABILITY'!O687+'RAP TEMPLATE-GAS AVAILABILITY'!P687+'RAP TEMPLATE-GAS AVAILABILITY'!Q687+'RAP TEMPLATE-GAS AVAILABILITY'!R687)</f>
        <v>20.761782014388491</v>
      </c>
    </row>
    <row r="689" spans="1:30" ht="15.75">
      <c r="A689" s="13">
        <v>62244</v>
      </c>
      <c r="B689" s="10">
        <f>CHOOSE(CONTROL!$C$42, 21.1513, 21.1513) * CHOOSE(CONTROL!$C$21, $C$9, 100%, $E$9)</f>
        <v>21.151299999999999</v>
      </c>
      <c r="C689" s="10">
        <f>CHOOSE(CONTROL!$C$42, 21.1593, 21.1593) * CHOOSE(CONTROL!$C$21, $C$9, 100%, $E$9)</f>
        <v>21.159300000000002</v>
      </c>
      <c r="D689" s="10">
        <f>CHOOSE(CONTROL!$C$42, 21.3164, 21.3164) * CHOOSE(CONTROL!$C$21, $C$9, 100%, $E$9)</f>
        <v>21.316400000000002</v>
      </c>
      <c r="E689" s="10">
        <f>CHOOSE(CONTROL!$C$42, 21.3476, 21.3476) * CHOOSE(CONTROL!$C$21, $C$9, 100%, $E$9)</f>
        <v>21.3476</v>
      </c>
      <c r="F689" s="10">
        <f>CHOOSE(CONTROL!$C$42, 21.0955, 21.0955)*CHOOSE(CONTROL!$C$21, $C$9, 100%, $E$9)</f>
        <v>21.095500000000001</v>
      </c>
      <c r="G689" s="10">
        <f>CHOOSE(CONTROL!$C$42, 21.1116, 21.1116)*CHOOSE(CONTROL!$C$21, $C$9, 100%, $E$9)</f>
        <v>21.111599999999999</v>
      </c>
      <c r="H689" s="10">
        <f>CHOOSE(CONTROL!$C$42, 21.3359, 21.3359) * CHOOSE(CONTROL!$C$21, $C$9, 100%, $E$9)</f>
        <v>21.335899999999999</v>
      </c>
      <c r="I689" s="10">
        <f>CHOOSE(CONTROL!$C$42, 21.1301, 21.1301)* CHOOSE(CONTROL!$C$21, $C$9, 100%, $E$9)</f>
        <v>21.130099999999999</v>
      </c>
      <c r="J689" s="10">
        <f>CHOOSE(CONTROL!$C$42, 21.0881, 21.0881)* CHOOSE(CONTROL!$C$21, $C$9, 100%, $E$9)</f>
        <v>21.088100000000001</v>
      </c>
      <c r="K689" s="10">
        <f>CHOOSE(CONTROL!$C$42, 20.6297, 20.6297) * CHOOSE(CONTROL!$C$21, $C$9, 100%, $E$9)</f>
        <v>20.6297</v>
      </c>
      <c r="L689" s="10">
        <f>CHOOSE(CONTROL!$C$42, 21.9229, 21.9229) * CHOOSE(CONTROL!$C$21, $C$9, 100%, $E$9)</f>
        <v>21.922899999999998</v>
      </c>
      <c r="M689" s="10">
        <f>CHOOSE(CONTROL!$C$42, 20.8269, 20.8269) * CHOOSE(CONTROL!$C$21, $C$9, 100%, $E$9)</f>
        <v>20.826899999999998</v>
      </c>
      <c r="N689" s="10">
        <f>CHOOSE(CONTROL!$C$42, 20.8428, 20.8428) * CHOOSE(CONTROL!$C$21, $C$9, 100%, $E$9)</f>
        <v>20.8428</v>
      </c>
      <c r="O689" s="10">
        <f>CHOOSE(CONTROL!$C$42, 21.0713, 21.0713) * CHOOSE(CONTROL!$C$21, $C$9, 100%, $E$9)</f>
        <v>21.071300000000001</v>
      </c>
      <c r="P689" s="10">
        <f>CHOOSE(CONTROL!$C$42, 20.8684, 20.8684) * CHOOSE(CONTROL!$C$21, $C$9, 100%, $E$9)</f>
        <v>20.868400000000001</v>
      </c>
      <c r="Q689" s="10">
        <f>CHOOSE(CONTROL!$C$42, 21.6666, 21.6666) * CHOOSE(CONTROL!$C$21, $C$9, 100%, $E$9)</f>
        <v>21.666599999999999</v>
      </c>
      <c r="R689" s="10">
        <f>CHOOSE(CONTROL!$C$42, 22.3078, 22.3078) * CHOOSE(CONTROL!$C$21, $C$9, 100%, $E$9)</f>
        <v>22.3078</v>
      </c>
      <c r="S689" s="10">
        <f>CHOOSE(CONTROL!$C$42, 20.4954, 20.4954) * CHOOSE(CONTROL!$C$21, $C$9, 100%, $E$9)</f>
        <v>20.4954</v>
      </c>
      <c r="T68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689" s="38">
        <f>(1000*CHOOSE(CONTROL!$C$42, 695, 695)*CHOOSE(CONTROL!$C$42, 0.5599, 0.5599)*CHOOSE(CONTROL!$C$42, 31, 31))/1000000</f>
        <v>12.063045499999998</v>
      </c>
      <c r="V689" s="38">
        <f>(1000*CHOOSE(CONTROL!$C$42, 500, 500)*CHOOSE(CONTROL!$C$42, 0.275, 0.275)*CHOOSE(CONTROL!$C$42, 31, 31))/1000000</f>
        <v>4.2625000000000002</v>
      </c>
      <c r="W689" s="38">
        <f>(1000*CHOOSE(CONTROL!$C$42, 0.1146, 0.1146)*CHOOSE(CONTROL!$C$42, 121.5, 121.5)*CHOOSE(CONTROL!$C$42, 31, 31))/1000000</f>
        <v>0.43164089999999994</v>
      </c>
      <c r="X689" s="38">
        <f>(31*0.1790888*245000/1000000)+(31*0.2374*100000/1000000)</f>
        <v>2.0961194359999999</v>
      </c>
      <c r="Y689" s="38">
        <f>(1000*600*CHOOSE(CONTROL!$C$42, 1.0585, 1.0585)*CHOOSE(CONTROL!$C$42, 31, 31))/1000000</f>
        <v>19.688099999999999</v>
      </c>
      <c r="Z689" s="38"/>
      <c r="AA689" s="10"/>
      <c r="AB689" s="39"/>
      <c r="AC689" s="33">
        <f>(B689*194.205+C689*267.466+D689*133.845+E689*53.484+F689*40+G689*185+H689*0+I689*100+J689*300)/(194.205+267.466+133.845+53.484+0+40+185+100+300)</f>
        <v>21.154502469937206</v>
      </c>
      <c r="AD689" s="27">
        <f>(M689*'RAP TEMPLATE-GAS AVAILABILITY'!O688+N689*'RAP TEMPLATE-GAS AVAILABILITY'!P688+O689*'RAP TEMPLATE-GAS AVAILABILITY'!Q688+P689*'RAP TEMPLATE-GAS AVAILABILITY'!R688)/('RAP TEMPLATE-GAS AVAILABILITY'!O688+'RAP TEMPLATE-GAS AVAILABILITY'!P688+'RAP TEMPLATE-GAS AVAILABILITY'!Q688+'RAP TEMPLATE-GAS AVAILABILITY'!R688)</f>
        <v>20.944557553956834</v>
      </c>
    </row>
    <row r="690" spans="1:30" ht="15.75">
      <c r="A690" s="13">
        <v>62274</v>
      </c>
      <c r="B690" s="10">
        <f>CHOOSE(CONTROL!$C$42, 21.7517, 21.7517) * CHOOSE(CONTROL!$C$21, $C$9, 100%, $E$9)</f>
        <v>21.7517</v>
      </c>
      <c r="C690" s="10">
        <f>CHOOSE(CONTROL!$C$42, 21.7597, 21.7597) * CHOOSE(CONTROL!$C$21, $C$9, 100%, $E$9)</f>
        <v>21.759699999999999</v>
      </c>
      <c r="D690" s="10">
        <f>CHOOSE(CONTROL!$C$42, 21.9168, 21.9168) * CHOOSE(CONTROL!$C$21, $C$9, 100%, $E$9)</f>
        <v>21.916799999999999</v>
      </c>
      <c r="E690" s="10">
        <f>CHOOSE(CONTROL!$C$42, 21.948, 21.948) * CHOOSE(CONTROL!$C$21, $C$9, 100%, $E$9)</f>
        <v>21.948</v>
      </c>
      <c r="F690" s="10">
        <f>CHOOSE(CONTROL!$C$42, 21.696, 21.696)*CHOOSE(CONTROL!$C$21, $C$9, 100%, $E$9)</f>
        <v>21.696000000000002</v>
      </c>
      <c r="G690" s="10">
        <f>CHOOSE(CONTROL!$C$42, 21.7122, 21.7122)*CHOOSE(CONTROL!$C$21, $C$9, 100%, $E$9)</f>
        <v>21.712199999999999</v>
      </c>
      <c r="H690" s="10">
        <f>CHOOSE(CONTROL!$C$42, 21.9363, 21.9363) * CHOOSE(CONTROL!$C$21, $C$9, 100%, $E$9)</f>
        <v>21.936299999999999</v>
      </c>
      <c r="I690" s="10">
        <f>CHOOSE(CONTROL!$C$42, 21.7305, 21.7305)* CHOOSE(CONTROL!$C$21, $C$9, 100%, $E$9)</f>
        <v>21.730499999999999</v>
      </c>
      <c r="J690" s="10">
        <f>CHOOSE(CONTROL!$C$42, 21.6886, 21.6886)* CHOOSE(CONTROL!$C$21, $C$9, 100%, $E$9)</f>
        <v>21.688600000000001</v>
      </c>
      <c r="K690" s="10">
        <f>CHOOSE(CONTROL!$C$42, 21.2118, 21.2118) * CHOOSE(CONTROL!$C$21, $C$9, 100%, $E$9)</f>
        <v>21.2118</v>
      </c>
      <c r="L690" s="10">
        <f>CHOOSE(CONTROL!$C$42, 22.5233, 22.5233) * CHOOSE(CONTROL!$C$21, $C$9, 100%, $E$9)</f>
        <v>22.523299999999999</v>
      </c>
      <c r="M690" s="10">
        <f>CHOOSE(CONTROL!$C$42, 21.4191, 21.4191) * CHOOSE(CONTROL!$C$21, $C$9, 100%, $E$9)</f>
        <v>21.4191</v>
      </c>
      <c r="N690" s="10">
        <f>CHOOSE(CONTROL!$C$42, 21.435, 21.435) * CHOOSE(CONTROL!$C$21, $C$9, 100%, $E$9)</f>
        <v>21.434999999999999</v>
      </c>
      <c r="O690" s="10">
        <f>CHOOSE(CONTROL!$C$42, 21.6633, 21.6633) * CHOOSE(CONTROL!$C$21, $C$9, 100%, $E$9)</f>
        <v>21.6633</v>
      </c>
      <c r="P690" s="10">
        <f>CHOOSE(CONTROL!$C$42, 21.4604, 21.4604) * CHOOSE(CONTROL!$C$21, $C$9, 100%, $E$9)</f>
        <v>21.4604</v>
      </c>
      <c r="Q690" s="10">
        <f>CHOOSE(CONTROL!$C$42, 22.2586, 22.2586) * CHOOSE(CONTROL!$C$21, $C$9, 100%, $E$9)</f>
        <v>22.258600000000001</v>
      </c>
      <c r="R690" s="10">
        <f>CHOOSE(CONTROL!$C$42, 22.9012, 22.9012) * CHOOSE(CONTROL!$C$21, $C$9, 100%, $E$9)</f>
        <v>22.901199999999999</v>
      </c>
      <c r="S690" s="10">
        <f>CHOOSE(CONTROL!$C$42, 21.0768, 21.0768) * CHOOSE(CONTROL!$C$21, $C$9, 100%, $E$9)</f>
        <v>21.076799999999999</v>
      </c>
      <c r="T69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690" s="38">
        <f>(1000*CHOOSE(CONTROL!$C$42, 695, 695)*CHOOSE(CONTROL!$C$42, 0.5599, 0.5599)*CHOOSE(CONTROL!$C$42, 30, 30))/1000000</f>
        <v>11.673914999999997</v>
      </c>
      <c r="V690" s="38">
        <f>(1000*CHOOSE(CONTROL!$C$42, 500, 500)*CHOOSE(CONTROL!$C$42, 0.275, 0.275)*CHOOSE(CONTROL!$C$42, 30, 30))/1000000</f>
        <v>4.125</v>
      </c>
      <c r="W690" s="38">
        <f>(1000*CHOOSE(CONTROL!$C$42, 0.1146, 0.1146)*CHOOSE(CONTROL!$C$42, 121.5, 121.5)*CHOOSE(CONTROL!$C$42, 30, 30))/1000000</f>
        <v>0.417717</v>
      </c>
      <c r="X690" s="38">
        <f>(30*0.1790888*245000/1000000)+(30*0.2374*100000/1000000)</f>
        <v>2.0285026799999999</v>
      </c>
      <c r="Y690" s="38">
        <f>(1000*600*CHOOSE(CONTROL!$C$42, 1.0585, 1.0585)*CHOOSE(CONTROL!$C$42, 30, 30))/1000000</f>
        <v>19.053000000000001</v>
      </c>
      <c r="Z690" s="38"/>
      <c r="AA690" s="10"/>
      <c r="AB690" s="39"/>
      <c r="AC690" s="33">
        <f>(B690*194.205+C690*267.466+D690*133.845+E690*53.484+F690*40+G690*185+H690*0+I690*100+J690*300)/(194.205+267.466+133.845+53.484+0+40+185+100+300)</f>
        <v>21.754958199921504</v>
      </c>
      <c r="AD690" s="27">
        <f>(M690*'RAP TEMPLATE-GAS AVAILABILITY'!O689+N690*'RAP TEMPLATE-GAS AVAILABILITY'!P689+O690*'RAP TEMPLATE-GAS AVAILABILITY'!Q689+P690*'RAP TEMPLATE-GAS AVAILABILITY'!R689)/('RAP TEMPLATE-GAS AVAILABILITY'!O689+'RAP TEMPLATE-GAS AVAILABILITY'!P689+'RAP TEMPLATE-GAS AVAILABILITY'!Q689+'RAP TEMPLATE-GAS AVAILABILITY'!R689)</f>
        <v>21.536638129496399</v>
      </c>
    </row>
    <row r="691" spans="1:30" ht="15.75">
      <c r="A691" s="13">
        <v>62305</v>
      </c>
      <c r="B691" s="10">
        <f>CHOOSE(CONTROL!$C$42, 21.3342, 21.3342) * CHOOSE(CONTROL!$C$21, $C$9, 100%, $E$9)</f>
        <v>21.334199999999999</v>
      </c>
      <c r="C691" s="10">
        <f>CHOOSE(CONTROL!$C$42, 21.3422, 21.3422) * CHOOSE(CONTROL!$C$21, $C$9, 100%, $E$9)</f>
        <v>21.342199999999998</v>
      </c>
      <c r="D691" s="10">
        <f>CHOOSE(CONTROL!$C$42, 21.4992, 21.4992) * CHOOSE(CONTROL!$C$21, $C$9, 100%, $E$9)</f>
        <v>21.499199999999998</v>
      </c>
      <c r="E691" s="10">
        <f>CHOOSE(CONTROL!$C$42, 21.5304, 21.5304) * CHOOSE(CONTROL!$C$21, $C$9, 100%, $E$9)</f>
        <v>21.5304</v>
      </c>
      <c r="F691" s="10">
        <f>CHOOSE(CONTROL!$C$42, 21.2788, 21.2788)*CHOOSE(CONTROL!$C$21, $C$9, 100%, $E$9)</f>
        <v>21.2788</v>
      </c>
      <c r="G691" s="10">
        <f>CHOOSE(CONTROL!$C$42, 21.2951, 21.2951)*CHOOSE(CONTROL!$C$21, $C$9, 100%, $E$9)</f>
        <v>21.295100000000001</v>
      </c>
      <c r="H691" s="10">
        <f>CHOOSE(CONTROL!$C$42, 21.5187, 21.5187) * CHOOSE(CONTROL!$C$21, $C$9, 100%, $E$9)</f>
        <v>21.518699999999999</v>
      </c>
      <c r="I691" s="10">
        <f>CHOOSE(CONTROL!$C$42, 21.3129, 21.3129)* CHOOSE(CONTROL!$C$21, $C$9, 100%, $E$9)</f>
        <v>21.312899999999999</v>
      </c>
      <c r="J691" s="10">
        <f>CHOOSE(CONTROL!$C$42, 21.2714, 21.2714)* CHOOSE(CONTROL!$C$21, $C$9, 100%, $E$9)</f>
        <v>21.2714</v>
      </c>
      <c r="K691" s="10">
        <f>CHOOSE(CONTROL!$C$42, 20.8079, 20.8079) * CHOOSE(CONTROL!$C$21, $C$9, 100%, $E$9)</f>
        <v>20.8079</v>
      </c>
      <c r="L691" s="10">
        <f>CHOOSE(CONTROL!$C$42, 22.1057, 22.1057) * CHOOSE(CONTROL!$C$21, $C$9, 100%, $E$9)</f>
        <v>22.105699999999999</v>
      </c>
      <c r="M691" s="10">
        <f>CHOOSE(CONTROL!$C$42, 21.0077, 21.0077) * CHOOSE(CONTROL!$C$21, $C$9, 100%, $E$9)</f>
        <v>21.0077</v>
      </c>
      <c r="N691" s="10">
        <f>CHOOSE(CONTROL!$C$42, 21.0237, 21.0237) * CHOOSE(CONTROL!$C$21, $C$9, 100%, $E$9)</f>
        <v>21.023700000000002</v>
      </c>
      <c r="O691" s="10">
        <f>CHOOSE(CONTROL!$C$42, 21.2516, 21.2516) * CHOOSE(CONTROL!$C$21, $C$9, 100%, $E$9)</f>
        <v>21.2516</v>
      </c>
      <c r="P691" s="10">
        <f>CHOOSE(CONTROL!$C$42, 21.0487, 21.0487) * CHOOSE(CONTROL!$C$21, $C$9, 100%, $E$9)</f>
        <v>21.0487</v>
      </c>
      <c r="Q691" s="10">
        <f>CHOOSE(CONTROL!$C$42, 21.8469, 21.8469) * CHOOSE(CONTROL!$C$21, $C$9, 100%, $E$9)</f>
        <v>21.846900000000002</v>
      </c>
      <c r="R691" s="10">
        <f>CHOOSE(CONTROL!$C$42, 22.4885, 22.4885) * CHOOSE(CONTROL!$C$21, $C$9, 100%, $E$9)</f>
        <v>22.488499999999998</v>
      </c>
      <c r="S691" s="10">
        <f>CHOOSE(CONTROL!$C$42, 20.6725, 20.6725) * CHOOSE(CONTROL!$C$21, $C$9, 100%, $E$9)</f>
        <v>20.672499999999999</v>
      </c>
      <c r="T69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691" s="38">
        <f>(1000*CHOOSE(CONTROL!$C$42, 695, 695)*CHOOSE(CONTROL!$C$42, 0.5599, 0.5599)*CHOOSE(CONTROL!$C$42, 31, 31))/1000000</f>
        <v>12.063045499999998</v>
      </c>
      <c r="V691" s="38">
        <f>(1000*CHOOSE(CONTROL!$C$42, 500, 500)*CHOOSE(CONTROL!$C$42, 0.275, 0.275)*CHOOSE(CONTROL!$C$42, 31, 31))/1000000</f>
        <v>4.2625000000000002</v>
      </c>
      <c r="W691" s="38">
        <f>(1000*CHOOSE(CONTROL!$C$42, 0.1146, 0.1146)*CHOOSE(CONTROL!$C$42, 121.5, 121.5)*CHOOSE(CONTROL!$C$42, 31, 31))/1000000</f>
        <v>0.43164089999999994</v>
      </c>
      <c r="X691" s="38">
        <f>(31*0.1790888*245000/1000000)+(31*0.2374*100000/1000000)</f>
        <v>2.0961194359999999</v>
      </c>
      <c r="Y691" s="38">
        <f>(1000*600*CHOOSE(CONTROL!$C$42, 1.0585, 1.0585)*CHOOSE(CONTROL!$C$42, 31, 31))/1000000</f>
        <v>19.688099999999999</v>
      </c>
      <c r="Z691" s="38"/>
      <c r="AA691" s="10"/>
      <c r="AB691" s="39"/>
      <c r="AC691" s="33">
        <f>(B691*194.205+C691*267.466+D691*133.845+E691*53.484+F691*40+G691*185+H691*0+I691*100+J691*300)/(194.205+267.466+133.845+53.484+0+40+185+100+300)</f>
        <v>21.33757379419152</v>
      </c>
      <c r="AD691" s="27">
        <f>(M691*'RAP TEMPLATE-GAS AVAILABILITY'!O690+N691*'RAP TEMPLATE-GAS AVAILABILITY'!P690+O691*'RAP TEMPLATE-GAS AVAILABILITY'!Q690+P691*'RAP TEMPLATE-GAS AVAILABILITY'!R690)/('RAP TEMPLATE-GAS AVAILABILITY'!O690+'RAP TEMPLATE-GAS AVAILABILITY'!P690+'RAP TEMPLATE-GAS AVAILABILITY'!Q690+'RAP TEMPLATE-GAS AVAILABILITY'!R690)</f>
        <v>21.125064748201435</v>
      </c>
    </row>
    <row r="692" spans="1:30" ht="15.75">
      <c r="A692" s="13">
        <v>62336</v>
      </c>
      <c r="B692" s="10">
        <f>CHOOSE(CONTROL!$C$42, 20.2797, 20.2797) * CHOOSE(CONTROL!$C$21, $C$9, 100%, $E$9)</f>
        <v>20.279699999999998</v>
      </c>
      <c r="C692" s="10">
        <f>CHOOSE(CONTROL!$C$42, 20.2877, 20.2877) * CHOOSE(CONTROL!$C$21, $C$9, 100%, $E$9)</f>
        <v>20.287700000000001</v>
      </c>
      <c r="D692" s="10">
        <f>CHOOSE(CONTROL!$C$42, 20.4447, 20.4447) * CHOOSE(CONTROL!$C$21, $C$9, 100%, $E$9)</f>
        <v>20.444700000000001</v>
      </c>
      <c r="E692" s="10">
        <f>CHOOSE(CONTROL!$C$42, 20.4759, 20.4759) * CHOOSE(CONTROL!$C$21, $C$9, 100%, $E$9)</f>
        <v>20.475899999999999</v>
      </c>
      <c r="F692" s="10">
        <f>CHOOSE(CONTROL!$C$42, 20.2242, 20.2242)*CHOOSE(CONTROL!$C$21, $C$9, 100%, $E$9)</f>
        <v>20.2242</v>
      </c>
      <c r="G692" s="10">
        <f>CHOOSE(CONTROL!$C$42, 20.2405, 20.2405)*CHOOSE(CONTROL!$C$21, $C$9, 100%, $E$9)</f>
        <v>20.240500000000001</v>
      </c>
      <c r="H692" s="10">
        <f>CHOOSE(CONTROL!$C$42, 20.4643, 20.4643) * CHOOSE(CONTROL!$C$21, $C$9, 100%, $E$9)</f>
        <v>20.464300000000001</v>
      </c>
      <c r="I692" s="10">
        <f>CHOOSE(CONTROL!$C$42, 20.2584, 20.2584)* CHOOSE(CONTROL!$C$21, $C$9, 100%, $E$9)</f>
        <v>20.258400000000002</v>
      </c>
      <c r="J692" s="10">
        <f>CHOOSE(CONTROL!$C$42, 20.2168, 20.2168)* CHOOSE(CONTROL!$C$21, $C$9, 100%, $E$9)</f>
        <v>20.216799999999999</v>
      </c>
      <c r="K692" s="10">
        <f>CHOOSE(CONTROL!$C$42, 19.7862, 19.7862) * CHOOSE(CONTROL!$C$21, $C$9, 100%, $E$9)</f>
        <v>19.786200000000001</v>
      </c>
      <c r="L692" s="10">
        <f>CHOOSE(CONTROL!$C$42, 21.0513, 21.0513) * CHOOSE(CONTROL!$C$21, $C$9, 100%, $E$9)</f>
        <v>21.051300000000001</v>
      </c>
      <c r="M692" s="10">
        <f>CHOOSE(CONTROL!$C$42, 19.9678, 19.9678) * CHOOSE(CONTROL!$C$21, $C$9, 100%, $E$9)</f>
        <v>19.9678</v>
      </c>
      <c r="N692" s="10">
        <f>CHOOSE(CONTROL!$C$42, 19.9838, 19.9838) * CHOOSE(CONTROL!$C$21, $C$9, 100%, $E$9)</f>
        <v>19.983799999999999</v>
      </c>
      <c r="O692" s="10">
        <f>CHOOSE(CONTROL!$C$42, 20.2118, 20.2118) * CHOOSE(CONTROL!$C$21, $C$9, 100%, $E$9)</f>
        <v>20.2118</v>
      </c>
      <c r="P692" s="10">
        <f>CHOOSE(CONTROL!$C$42, 20.0089, 20.0089) * CHOOSE(CONTROL!$C$21, $C$9, 100%, $E$9)</f>
        <v>20.008900000000001</v>
      </c>
      <c r="Q692" s="10">
        <f>CHOOSE(CONTROL!$C$42, 20.8071, 20.8071) * CHOOSE(CONTROL!$C$21, $C$9, 100%, $E$9)</f>
        <v>20.807099999999998</v>
      </c>
      <c r="R692" s="10">
        <f>CHOOSE(CONTROL!$C$42, 21.4461, 21.4461) * CHOOSE(CONTROL!$C$21, $C$9, 100%, $E$9)</f>
        <v>21.446100000000001</v>
      </c>
      <c r="S692" s="10">
        <f>CHOOSE(CONTROL!$C$42, 19.6514, 19.6514) * CHOOSE(CONTROL!$C$21, $C$9, 100%, $E$9)</f>
        <v>19.651399999999999</v>
      </c>
      <c r="T69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692" s="38">
        <f>(1000*CHOOSE(CONTROL!$C$42, 695, 695)*CHOOSE(CONTROL!$C$42, 0.5599, 0.5599)*CHOOSE(CONTROL!$C$42, 31, 31))/1000000</f>
        <v>12.063045499999998</v>
      </c>
      <c r="V692" s="38">
        <f>(1000*CHOOSE(CONTROL!$C$42, 500, 500)*CHOOSE(CONTROL!$C$42, 0.275, 0.275)*CHOOSE(CONTROL!$C$42, 31, 31))/1000000</f>
        <v>4.2625000000000002</v>
      </c>
      <c r="W692" s="38">
        <f>(1000*CHOOSE(CONTROL!$C$42, 0.1146, 0.1146)*CHOOSE(CONTROL!$C$42, 121.5, 121.5)*CHOOSE(CONTROL!$C$42, 31, 31))/1000000</f>
        <v>0.43164089999999994</v>
      </c>
      <c r="X692" s="38">
        <f>(31*0.1790888*245000/1000000)+(31*0.2374*100000/1000000)</f>
        <v>2.0961194359999999</v>
      </c>
      <c r="Y692" s="38">
        <f>(1000*600*CHOOSE(CONTROL!$C$42, 1.0585, 1.0585)*CHOOSE(CONTROL!$C$42, 31, 31))/1000000</f>
        <v>19.688099999999999</v>
      </c>
      <c r="Z692" s="38"/>
      <c r="AA692" s="10"/>
      <c r="AB692" s="39"/>
      <c r="AC692" s="33">
        <f>(B692*194.205+C692*267.466+D692*133.845+E692*53.484+F692*40+G692*185+H692*0+I692*100+J692*300)/(194.205+267.466+133.845+53.484+0+40+185+100+300)</f>
        <v>20.283032585400314</v>
      </c>
      <c r="AD692" s="27">
        <f>(M692*'RAP TEMPLATE-GAS AVAILABILITY'!O691+N692*'RAP TEMPLATE-GAS AVAILABILITY'!P691+O692*'RAP TEMPLATE-GAS AVAILABILITY'!Q691+P692*'RAP TEMPLATE-GAS AVAILABILITY'!R691)/('RAP TEMPLATE-GAS AVAILABILITY'!O691+'RAP TEMPLATE-GAS AVAILABILITY'!P691+'RAP TEMPLATE-GAS AVAILABILITY'!Q691+'RAP TEMPLATE-GAS AVAILABILITY'!R691)</f>
        <v>20.085224460431654</v>
      </c>
    </row>
    <row r="693" spans="1:30" ht="15.75">
      <c r="A693" s="13">
        <v>62366</v>
      </c>
      <c r="B693" s="10">
        <f>CHOOSE(CONTROL!$C$42, 18.9913, 18.9913) * CHOOSE(CONTROL!$C$21, $C$9, 100%, $E$9)</f>
        <v>18.991299999999999</v>
      </c>
      <c r="C693" s="10">
        <f>CHOOSE(CONTROL!$C$42, 18.9993, 18.9993) * CHOOSE(CONTROL!$C$21, $C$9, 100%, $E$9)</f>
        <v>18.999300000000002</v>
      </c>
      <c r="D693" s="10">
        <f>CHOOSE(CONTROL!$C$42, 19.1563, 19.1563) * CHOOSE(CONTROL!$C$21, $C$9, 100%, $E$9)</f>
        <v>19.156300000000002</v>
      </c>
      <c r="E693" s="10">
        <f>CHOOSE(CONTROL!$C$42, 19.1876, 19.1876) * CHOOSE(CONTROL!$C$21, $C$9, 100%, $E$9)</f>
        <v>19.1876</v>
      </c>
      <c r="F693" s="10">
        <f>CHOOSE(CONTROL!$C$42, 18.9357, 18.9357)*CHOOSE(CONTROL!$C$21, $C$9, 100%, $E$9)</f>
        <v>18.935700000000001</v>
      </c>
      <c r="G693" s="10">
        <f>CHOOSE(CONTROL!$C$42, 18.9519, 18.9519)*CHOOSE(CONTROL!$C$21, $C$9, 100%, $E$9)</f>
        <v>18.951899999999998</v>
      </c>
      <c r="H693" s="10">
        <f>CHOOSE(CONTROL!$C$42, 19.1759, 19.1759) * CHOOSE(CONTROL!$C$21, $C$9, 100%, $E$9)</f>
        <v>19.175899999999999</v>
      </c>
      <c r="I693" s="10">
        <f>CHOOSE(CONTROL!$C$42, 18.9701, 18.9701)* CHOOSE(CONTROL!$C$21, $C$9, 100%, $E$9)</f>
        <v>18.970099999999999</v>
      </c>
      <c r="J693" s="10">
        <f>CHOOSE(CONTROL!$C$42, 18.9283, 18.9283)* CHOOSE(CONTROL!$C$21, $C$9, 100%, $E$9)</f>
        <v>18.9283</v>
      </c>
      <c r="K693" s="10">
        <f>CHOOSE(CONTROL!$C$42, 18.5376, 18.5376) * CHOOSE(CONTROL!$C$21, $C$9, 100%, $E$9)</f>
        <v>18.537600000000001</v>
      </c>
      <c r="L693" s="10">
        <f>CHOOSE(CONTROL!$C$42, 19.7629, 19.7629) * CHOOSE(CONTROL!$C$21, $C$9, 100%, $E$9)</f>
        <v>19.762899999999998</v>
      </c>
      <c r="M693" s="10">
        <f>CHOOSE(CONTROL!$C$42, 18.6972, 18.6972) * CHOOSE(CONTROL!$C$21, $C$9, 100%, $E$9)</f>
        <v>18.697199999999999</v>
      </c>
      <c r="N693" s="10">
        <f>CHOOSE(CONTROL!$C$42, 18.7132, 18.7132) * CHOOSE(CONTROL!$C$21, $C$9, 100%, $E$9)</f>
        <v>18.713200000000001</v>
      </c>
      <c r="O693" s="10">
        <f>CHOOSE(CONTROL!$C$42, 18.9414, 18.9414) * CHOOSE(CONTROL!$C$21, $C$9, 100%, $E$9)</f>
        <v>18.941400000000002</v>
      </c>
      <c r="P693" s="10">
        <f>CHOOSE(CONTROL!$C$42, 18.7385, 18.7385) * CHOOSE(CONTROL!$C$21, $C$9, 100%, $E$9)</f>
        <v>18.738499999999998</v>
      </c>
      <c r="Q693" s="10">
        <f>CHOOSE(CONTROL!$C$42, 19.5367, 19.5367) * CHOOSE(CONTROL!$C$21, $C$9, 100%, $E$9)</f>
        <v>19.5367</v>
      </c>
      <c r="R693" s="10">
        <f>CHOOSE(CONTROL!$C$42, 20.1725, 20.1725) * CHOOSE(CONTROL!$C$21, $C$9, 100%, $E$9)</f>
        <v>20.172499999999999</v>
      </c>
      <c r="S693" s="10">
        <f>CHOOSE(CONTROL!$C$42, 18.4039, 18.4039) * CHOOSE(CONTROL!$C$21, $C$9, 100%, $E$9)</f>
        <v>18.4039</v>
      </c>
      <c r="T69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693" s="38">
        <f>(1000*CHOOSE(CONTROL!$C$42, 695, 695)*CHOOSE(CONTROL!$C$42, 0.5599, 0.5599)*CHOOSE(CONTROL!$C$42, 30, 30))/1000000</f>
        <v>11.673914999999997</v>
      </c>
      <c r="V693" s="38">
        <f>(1000*CHOOSE(CONTROL!$C$42, 500, 500)*CHOOSE(CONTROL!$C$42, 0.275, 0.275)*CHOOSE(CONTROL!$C$42, 30, 30))/1000000</f>
        <v>4.125</v>
      </c>
      <c r="W693" s="38">
        <f>(1000*CHOOSE(CONTROL!$C$42, 0.1146, 0.1146)*CHOOSE(CONTROL!$C$42, 121.5, 121.5)*CHOOSE(CONTROL!$C$42, 30, 30))/1000000</f>
        <v>0.417717</v>
      </c>
      <c r="X693" s="38">
        <f>(30*0.1790888*245000/1000000)+(30*0.2374*100000/1000000)</f>
        <v>2.0285026799999999</v>
      </c>
      <c r="Y693" s="38">
        <f>(1000*600*CHOOSE(CONTROL!$C$42, 1.0585, 1.0585)*CHOOSE(CONTROL!$C$42, 30, 30))/1000000</f>
        <v>19.053000000000001</v>
      </c>
      <c r="Z693" s="38"/>
      <c r="AA693" s="10"/>
      <c r="AB693" s="39"/>
      <c r="AC693" s="33">
        <f>(B693*194.205+C693*267.466+D693*133.845+E693*53.484+F693*40+G693*185+H693*0+I693*100+J693*300)/(194.205+267.466+133.845+53.484+0+40+185+100+300)</f>
        <v>18.994588902825743</v>
      </c>
      <c r="AD693" s="27">
        <f>(M693*'RAP TEMPLATE-GAS AVAILABILITY'!O692+N693*'RAP TEMPLATE-GAS AVAILABILITY'!P692+O693*'RAP TEMPLATE-GAS AVAILABILITY'!Q692+P693*'RAP TEMPLATE-GAS AVAILABILITY'!R692)/('RAP TEMPLATE-GAS AVAILABILITY'!O692+'RAP TEMPLATE-GAS AVAILABILITY'!P692+'RAP TEMPLATE-GAS AVAILABILITY'!Q692+'RAP TEMPLATE-GAS AVAILABILITY'!R692)</f>
        <v>18.814743884892088</v>
      </c>
    </row>
    <row r="694" spans="1:30" ht="15.75">
      <c r="A694" s="13">
        <v>62397</v>
      </c>
      <c r="B694" s="10">
        <f>CHOOSE(CONTROL!$C$42, 18.6032, 18.6032) * CHOOSE(CONTROL!$C$21, $C$9, 100%, $E$9)</f>
        <v>18.603200000000001</v>
      </c>
      <c r="C694" s="10">
        <f>CHOOSE(CONTROL!$C$42, 18.6086, 18.6086) * CHOOSE(CONTROL!$C$21, $C$9, 100%, $E$9)</f>
        <v>18.608599999999999</v>
      </c>
      <c r="D694" s="10">
        <f>CHOOSE(CONTROL!$C$42, 18.7705, 18.7705) * CHOOSE(CONTROL!$C$21, $C$9, 100%, $E$9)</f>
        <v>18.770499999999998</v>
      </c>
      <c r="E694" s="10">
        <f>CHOOSE(CONTROL!$C$42, 18.7994, 18.7994) * CHOOSE(CONTROL!$C$21, $C$9, 100%, $E$9)</f>
        <v>18.799399999999999</v>
      </c>
      <c r="F694" s="10">
        <f>CHOOSE(CONTROL!$C$42, 18.5496, 18.5496)*CHOOSE(CONTROL!$C$21, $C$9, 100%, $E$9)</f>
        <v>18.549600000000002</v>
      </c>
      <c r="G694" s="10">
        <f>CHOOSE(CONTROL!$C$42, 18.5654, 18.5654)*CHOOSE(CONTROL!$C$21, $C$9, 100%, $E$9)</f>
        <v>18.5654</v>
      </c>
      <c r="H694" s="10">
        <f>CHOOSE(CONTROL!$C$42, 18.7896, 18.7896) * CHOOSE(CONTROL!$C$21, $C$9, 100%, $E$9)</f>
        <v>18.7896</v>
      </c>
      <c r="I694" s="10">
        <f>CHOOSE(CONTROL!$C$42, 18.5837, 18.5837)* CHOOSE(CONTROL!$C$21, $C$9, 100%, $E$9)</f>
        <v>18.5837</v>
      </c>
      <c r="J694" s="10">
        <f>CHOOSE(CONTROL!$C$42, 18.5422, 18.5422)* CHOOSE(CONTROL!$C$21, $C$9, 100%, $E$9)</f>
        <v>18.542200000000001</v>
      </c>
      <c r="K694" s="10">
        <f>CHOOSE(CONTROL!$C$42, 18.164, 18.164) * CHOOSE(CONTROL!$C$21, $C$9, 100%, $E$9)</f>
        <v>18.164000000000001</v>
      </c>
      <c r="L694" s="10">
        <f>CHOOSE(CONTROL!$C$42, 19.3766, 19.3766) * CHOOSE(CONTROL!$C$21, $C$9, 100%, $E$9)</f>
        <v>19.3766</v>
      </c>
      <c r="M694" s="10">
        <f>CHOOSE(CONTROL!$C$42, 18.3166, 18.3166) * CHOOSE(CONTROL!$C$21, $C$9, 100%, $E$9)</f>
        <v>18.316600000000001</v>
      </c>
      <c r="N694" s="10">
        <f>CHOOSE(CONTROL!$C$42, 18.3322, 18.3322) * CHOOSE(CONTROL!$C$21, $C$9, 100%, $E$9)</f>
        <v>18.3322</v>
      </c>
      <c r="O694" s="10">
        <f>CHOOSE(CONTROL!$C$42, 18.5604, 18.5604) * CHOOSE(CONTROL!$C$21, $C$9, 100%, $E$9)</f>
        <v>18.560400000000001</v>
      </c>
      <c r="P694" s="10">
        <f>CHOOSE(CONTROL!$C$42, 18.3576, 18.3576) * CHOOSE(CONTROL!$C$21, $C$9, 100%, $E$9)</f>
        <v>18.357600000000001</v>
      </c>
      <c r="Q694" s="10">
        <f>CHOOSE(CONTROL!$C$42, 19.1557, 19.1557) * CHOOSE(CONTROL!$C$21, $C$9, 100%, $E$9)</f>
        <v>19.1557</v>
      </c>
      <c r="R694" s="10">
        <f>CHOOSE(CONTROL!$C$42, 19.7906, 19.7906) * CHOOSE(CONTROL!$C$21, $C$9, 100%, $E$9)</f>
        <v>19.790600000000001</v>
      </c>
      <c r="S694" s="10">
        <f>CHOOSE(CONTROL!$C$42, 18.0298, 18.0298) * CHOOSE(CONTROL!$C$21, $C$9, 100%, $E$9)</f>
        <v>18.029800000000002</v>
      </c>
      <c r="T69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694" s="38">
        <f>(1000*CHOOSE(CONTROL!$C$42, 695, 695)*CHOOSE(CONTROL!$C$42, 0.5599, 0.5599)*CHOOSE(CONTROL!$C$42, 31, 31))/1000000</f>
        <v>12.063045499999998</v>
      </c>
      <c r="V694" s="38">
        <f>(1000*CHOOSE(CONTROL!$C$42, 500, 500)*CHOOSE(CONTROL!$C$42, 0.275, 0.275)*CHOOSE(CONTROL!$C$42, 31, 31))/1000000</f>
        <v>4.2625000000000002</v>
      </c>
      <c r="W694" s="38">
        <f>(1000*CHOOSE(CONTROL!$C$42, 0.1146, 0.1146)*CHOOSE(CONTROL!$C$42, 121.5, 121.5)*CHOOSE(CONTROL!$C$42, 31, 31))/1000000</f>
        <v>0.43164089999999994</v>
      </c>
      <c r="X694" s="38">
        <f>(31*0.1790888*245000/1000000)+(31*0.2374*100000/1000000)</f>
        <v>2.0961194359999999</v>
      </c>
      <c r="Y694" s="38">
        <f>(1000*600*CHOOSE(CONTROL!$C$42, 1.0585, 1.0585)*CHOOSE(CONTROL!$C$42, 31, 31))/1000000</f>
        <v>19.688099999999999</v>
      </c>
      <c r="Z694" s="38"/>
      <c r="AA694" s="10"/>
      <c r="AB694" s="39"/>
      <c r="AC694" s="33">
        <f>(B694*131.881+C694*277.167+D694*79.08+E694*125.872+F694*40+G694*185+H694*0+I694*100+J694*300)/(131.881+277.167+79.08+125.872+0+40+185+100+300)</f>
        <v>18.611299977562549</v>
      </c>
      <c r="AD694" s="27">
        <f>(M694*'RAP TEMPLATE-GAS AVAILABILITY'!O693+N694*'RAP TEMPLATE-GAS AVAILABILITY'!P693+O694*'RAP TEMPLATE-GAS AVAILABILITY'!Q693+P694*'RAP TEMPLATE-GAS AVAILABILITY'!R693)/('RAP TEMPLATE-GAS AVAILABILITY'!O693+'RAP TEMPLATE-GAS AVAILABILITY'!P693+'RAP TEMPLATE-GAS AVAILABILITY'!Q693+'RAP TEMPLATE-GAS AVAILABILITY'!R693)</f>
        <v>18.433896402877703</v>
      </c>
    </row>
    <row r="695" spans="1:30" ht="15.75">
      <c r="A695" s="13">
        <v>62427</v>
      </c>
      <c r="B695" s="10">
        <f>CHOOSE(CONTROL!$C$42, 19.0933, 19.0933) * CHOOSE(CONTROL!$C$21, $C$9, 100%, $E$9)</f>
        <v>19.093299999999999</v>
      </c>
      <c r="C695" s="10">
        <f>CHOOSE(CONTROL!$C$42, 19.0984, 19.0984) * CHOOSE(CONTROL!$C$21, $C$9, 100%, $E$9)</f>
        <v>19.098400000000002</v>
      </c>
      <c r="D695" s="10">
        <f>CHOOSE(CONTROL!$C$42, 19.1231, 19.1231) * CHOOSE(CONTROL!$C$21, $C$9, 100%, $E$9)</f>
        <v>19.123100000000001</v>
      </c>
      <c r="E695" s="10">
        <f>CHOOSE(CONTROL!$C$42, 19.1569, 19.1569) * CHOOSE(CONTROL!$C$21, $C$9, 100%, $E$9)</f>
        <v>19.1569</v>
      </c>
      <c r="F695" s="10">
        <f>CHOOSE(CONTROL!$C$42, 19.0617, 19.0617)*CHOOSE(CONTROL!$C$21, $C$9, 100%, $E$9)</f>
        <v>19.061699999999998</v>
      </c>
      <c r="G695" s="10">
        <f>CHOOSE(CONTROL!$C$42, 19.0777, 19.0777)*CHOOSE(CONTROL!$C$21, $C$9, 100%, $E$9)</f>
        <v>19.0777</v>
      </c>
      <c r="H695" s="10">
        <f>CHOOSE(CONTROL!$C$42, 19.1458, 19.1458) * CHOOSE(CONTROL!$C$21, $C$9, 100%, $E$9)</f>
        <v>19.145800000000001</v>
      </c>
      <c r="I695" s="10">
        <f>CHOOSE(CONTROL!$C$42, 19.1083, 19.1083)* CHOOSE(CONTROL!$C$21, $C$9, 100%, $E$9)</f>
        <v>19.1083</v>
      </c>
      <c r="J695" s="10">
        <f>CHOOSE(CONTROL!$C$42, 19.0543, 19.0543)* CHOOSE(CONTROL!$C$21, $C$9, 100%, $E$9)</f>
        <v>19.054300000000001</v>
      </c>
      <c r="K695" s="10">
        <f>CHOOSE(CONTROL!$C$42, 18.6744, 18.6744) * CHOOSE(CONTROL!$C$21, $C$9, 100%, $E$9)</f>
        <v>18.674399999999999</v>
      </c>
      <c r="L695" s="10">
        <f>CHOOSE(CONTROL!$C$42, 19.7328, 19.7328) * CHOOSE(CONTROL!$C$21, $C$9, 100%, $E$9)</f>
        <v>19.732800000000001</v>
      </c>
      <c r="M695" s="10">
        <f>CHOOSE(CONTROL!$C$42, 18.8215, 18.8215) * CHOOSE(CONTROL!$C$21, $C$9, 100%, $E$9)</f>
        <v>18.8215</v>
      </c>
      <c r="N695" s="10">
        <f>CHOOSE(CONTROL!$C$42, 18.8373, 18.8373) * CHOOSE(CONTROL!$C$21, $C$9, 100%, $E$9)</f>
        <v>18.837299999999999</v>
      </c>
      <c r="O695" s="10">
        <f>CHOOSE(CONTROL!$C$42, 18.9117, 18.9117) * CHOOSE(CONTROL!$C$21, $C$9, 100%, $E$9)</f>
        <v>18.9117</v>
      </c>
      <c r="P695" s="10">
        <f>CHOOSE(CONTROL!$C$42, 18.8748, 18.8748) * CHOOSE(CONTROL!$C$21, $C$9, 100%, $E$9)</f>
        <v>18.8748</v>
      </c>
      <c r="Q695" s="10">
        <f>CHOOSE(CONTROL!$C$42, 19.507, 19.507) * CHOOSE(CONTROL!$C$21, $C$9, 100%, $E$9)</f>
        <v>19.507000000000001</v>
      </c>
      <c r="R695" s="10">
        <f>CHOOSE(CONTROL!$C$42, 20.1428, 20.1428) * CHOOSE(CONTROL!$C$21, $C$9, 100%, $E$9)</f>
        <v>20.142800000000001</v>
      </c>
      <c r="S695" s="10">
        <f>CHOOSE(CONTROL!$C$42, 18.5047, 18.5047) * CHOOSE(CONTROL!$C$21, $C$9, 100%, $E$9)</f>
        <v>18.5047</v>
      </c>
      <c r="T69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695" s="38">
        <f>(1000*CHOOSE(CONTROL!$C$42, 695, 695)*CHOOSE(CONTROL!$C$42, 0.5599, 0.5599)*CHOOSE(CONTROL!$C$42, 30, 30))/1000000</f>
        <v>11.673914999999997</v>
      </c>
      <c r="V695" s="38">
        <f>(1000*CHOOSE(CONTROL!$C$42, 500, 500)*CHOOSE(CONTROL!$C$42, 0.275, 0.275)*CHOOSE(CONTROL!$C$42, 30, 30))/1000000</f>
        <v>4.125</v>
      </c>
      <c r="W695" s="38">
        <f>(1000*CHOOSE(CONTROL!$C$42, 0.1146, 0.1146)*CHOOSE(CONTROL!$C$42, 121.5, 121.5)*CHOOSE(CONTROL!$C$42, 30, 30))/1000000</f>
        <v>0.417717</v>
      </c>
      <c r="X695" s="38">
        <f>(30*0.1790888*100000/1000000)+(30*0.2374*100000/1000000)</f>
        <v>1.2494664</v>
      </c>
      <c r="Y695" s="38">
        <f>(1000*600*CHOOSE(CONTROL!$C$42, 1.0585, 1.0585)*CHOOSE(CONTROL!$C$42, 30, 30))/1000000</f>
        <v>19.053000000000001</v>
      </c>
      <c r="Z695" s="38"/>
      <c r="AA695" s="10"/>
      <c r="AB695" s="39"/>
      <c r="AC695" s="33">
        <f>(B695*122.58+C695*297.941+D695*89.177+E695*40.302+F695*40+G695*160+H695*0+I695*100+J695*300)/(122.58+297.941+89.177+40.302+0+40+160+100+300)</f>
        <v>19.087021896434781</v>
      </c>
      <c r="AD695" s="27">
        <f>(M695*'RAP TEMPLATE-GAS AVAILABILITY'!O694+N695*'RAP TEMPLATE-GAS AVAILABILITY'!P694+O695*'RAP TEMPLATE-GAS AVAILABILITY'!Q694+P695*'RAP TEMPLATE-GAS AVAILABILITY'!R694)/('RAP TEMPLATE-GAS AVAILABILITY'!O694+'RAP TEMPLATE-GAS AVAILABILITY'!P694+'RAP TEMPLATE-GAS AVAILABILITY'!Q694+'RAP TEMPLATE-GAS AVAILABILITY'!R694)</f>
        <v>18.870960431654677</v>
      </c>
    </row>
    <row r="696" spans="1:30" ht="15.75">
      <c r="A696" s="13">
        <v>62458</v>
      </c>
      <c r="B696" s="10">
        <f>CHOOSE(CONTROL!$C$42, 20.3962, 20.3962) * CHOOSE(CONTROL!$C$21, $C$9, 100%, $E$9)</f>
        <v>20.3962</v>
      </c>
      <c r="C696" s="10">
        <f>CHOOSE(CONTROL!$C$42, 20.4013, 20.4013) * CHOOSE(CONTROL!$C$21, $C$9, 100%, $E$9)</f>
        <v>20.401299999999999</v>
      </c>
      <c r="D696" s="10">
        <f>CHOOSE(CONTROL!$C$42, 20.426, 20.426) * CHOOSE(CONTROL!$C$21, $C$9, 100%, $E$9)</f>
        <v>20.425999999999998</v>
      </c>
      <c r="E696" s="10">
        <f>CHOOSE(CONTROL!$C$42, 20.4598, 20.4598) * CHOOSE(CONTROL!$C$21, $C$9, 100%, $E$9)</f>
        <v>20.459800000000001</v>
      </c>
      <c r="F696" s="10">
        <f>CHOOSE(CONTROL!$C$42, 20.3665, 20.3665)*CHOOSE(CONTROL!$C$21, $C$9, 100%, $E$9)</f>
        <v>20.366499999999998</v>
      </c>
      <c r="G696" s="10">
        <f>CHOOSE(CONTROL!$C$42, 20.383, 20.383)*CHOOSE(CONTROL!$C$21, $C$9, 100%, $E$9)</f>
        <v>20.382999999999999</v>
      </c>
      <c r="H696" s="10">
        <f>CHOOSE(CONTROL!$C$42, 20.4487, 20.4487) * CHOOSE(CONTROL!$C$21, $C$9, 100%, $E$9)</f>
        <v>20.448699999999999</v>
      </c>
      <c r="I696" s="10">
        <f>CHOOSE(CONTROL!$C$42, 20.4112, 20.4112)* CHOOSE(CONTROL!$C$21, $C$9, 100%, $E$9)</f>
        <v>20.411200000000001</v>
      </c>
      <c r="J696" s="10">
        <f>CHOOSE(CONTROL!$C$42, 20.3591, 20.3591)* CHOOSE(CONTROL!$C$21, $C$9, 100%, $E$9)</f>
        <v>20.359100000000002</v>
      </c>
      <c r="K696" s="10">
        <f>CHOOSE(CONTROL!$C$42, 19.9408, 19.9408) * CHOOSE(CONTROL!$C$21, $C$9, 100%, $E$9)</f>
        <v>19.940799999999999</v>
      </c>
      <c r="L696" s="10">
        <f>CHOOSE(CONTROL!$C$42, 21.0357, 21.0357) * CHOOSE(CONTROL!$C$21, $C$9, 100%, $E$9)</f>
        <v>21.035699999999999</v>
      </c>
      <c r="M696" s="10">
        <f>CHOOSE(CONTROL!$C$42, 20.1081, 20.1081) * CHOOSE(CONTROL!$C$21, $C$9, 100%, $E$9)</f>
        <v>20.1081</v>
      </c>
      <c r="N696" s="10">
        <f>CHOOSE(CONTROL!$C$42, 20.1243, 20.1243) * CHOOSE(CONTROL!$C$21, $C$9, 100%, $E$9)</f>
        <v>20.124300000000002</v>
      </c>
      <c r="O696" s="10">
        <f>CHOOSE(CONTROL!$C$42, 20.1964, 20.1964) * CHOOSE(CONTROL!$C$21, $C$9, 100%, $E$9)</f>
        <v>20.196400000000001</v>
      </c>
      <c r="P696" s="10">
        <f>CHOOSE(CONTROL!$C$42, 20.1595, 20.1595) * CHOOSE(CONTROL!$C$21, $C$9, 100%, $E$9)</f>
        <v>20.159500000000001</v>
      </c>
      <c r="Q696" s="10">
        <f>CHOOSE(CONTROL!$C$42, 20.7917, 20.7917) * CHOOSE(CONTROL!$C$21, $C$9, 100%, $E$9)</f>
        <v>20.791699999999999</v>
      </c>
      <c r="R696" s="10">
        <f>CHOOSE(CONTROL!$C$42, 21.4307, 21.4307) * CHOOSE(CONTROL!$C$21, $C$9, 100%, $E$9)</f>
        <v>21.430700000000002</v>
      </c>
      <c r="S696" s="10">
        <f>CHOOSE(CONTROL!$C$42, 19.7663, 19.7663) * CHOOSE(CONTROL!$C$21, $C$9, 100%, $E$9)</f>
        <v>19.766300000000001</v>
      </c>
      <c r="T69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696" s="38">
        <f>(1000*CHOOSE(CONTROL!$C$42, 695, 695)*CHOOSE(CONTROL!$C$42, 0.5599, 0.5599)*CHOOSE(CONTROL!$C$42, 31, 31))/1000000</f>
        <v>12.063045499999998</v>
      </c>
      <c r="V696" s="38">
        <f>(1000*CHOOSE(CONTROL!$C$42, 500, 500)*CHOOSE(CONTROL!$C$42, 0.275, 0.275)*CHOOSE(CONTROL!$C$42, 31, 31))/1000000</f>
        <v>4.2625000000000002</v>
      </c>
      <c r="W696" s="38">
        <f>(1000*CHOOSE(CONTROL!$C$42, 0.1146, 0.1146)*CHOOSE(CONTROL!$C$42, 121.5, 121.5)*CHOOSE(CONTROL!$C$42, 31, 31))/1000000</f>
        <v>0.43164089999999994</v>
      </c>
      <c r="X696" s="38">
        <f>(31*0.1790888*100000/1000000)+(31*0.2374*100000/1000000)</f>
        <v>1.2911152800000001</v>
      </c>
      <c r="Y696" s="38">
        <f>(1000*600*CHOOSE(CONTROL!$C$42, 1.0585, 1.0585)*CHOOSE(CONTROL!$C$42, 31, 31))/1000000</f>
        <v>19.688099999999999</v>
      </c>
      <c r="Z696" s="38"/>
      <c r="AA696" s="10"/>
      <c r="AB696" s="39"/>
      <c r="AC696" s="33">
        <f>(B696*122.58+C696*297.941+D696*89.177+E696*40.302+F696*40+G696*160+H696*0+I696*100+J696*300)/(122.58+297.941+89.177+40.302+0+40+160+100+300)</f>
        <v>20.390817548608695</v>
      </c>
      <c r="AD696" s="27">
        <f>(M696*'RAP TEMPLATE-GAS AVAILABILITY'!O695+N696*'RAP TEMPLATE-GAS AVAILABILITY'!P695+O696*'RAP TEMPLATE-GAS AVAILABILITY'!Q695+P696*'RAP TEMPLATE-GAS AVAILABILITY'!R695)/('RAP TEMPLATE-GAS AVAILABILITY'!O695+'RAP TEMPLATE-GAS AVAILABILITY'!P695+'RAP TEMPLATE-GAS AVAILABILITY'!Q695+'RAP TEMPLATE-GAS AVAILABILITY'!R695)</f>
        <v>20.156448920863308</v>
      </c>
    </row>
    <row r="697" spans="1:30" ht="15.75">
      <c r="A697" s="13">
        <v>62489</v>
      </c>
      <c r="B697" s="10">
        <f>CHOOSE(CONTROL!$C$42, 21.7739, 21.7739) * CHOOSE(CONTROL!$C$21, $C$9, 100%, $E$9)</f>
        <v>21.773900000000001</v>
      </c>
      <c r="C697" s="10">
        <f>CHOOSE(CONTROL!$C$42, 21.779, 21.779) * CHOOSE(CONTROL!$C$21, $C$9, 100%, $E$9)</f>
        <v>21.779</v>
      </c>
      <c r="D697" s="10">
        <f>CHOOSE(CONTROL!$C$42, 21.8115, 21.8115) * CHOOSE(CONTROL!$C$21, $C$9, 100%, $E$9)</f>
        <v>21.811499999999999</v>
      </c>
      <c r="E697" s="10">
        <f>CHOOSE(CONTROL!$C$42, 21.8453, 21.8453) * CHOOSE(CONTROL!$C$21, $C$9, 100%, $E$9)</f>
        <v>21.845300000000002</v>
      </c>
      <c r="F697" s="10">
        <f>CHOOSE(CONTROL!$C$42, 21.7581, 21.7581)*CHOOSE(CONTROL!$C$21, $C$9, 100%, $E$9)</f>
        <v>21.758099999999999</v>
      </c>
      <c r="G697" s="10">
        <f>CHOOSE(CONTROL!$C$42, 21.7762, 21.7762)*CHOOSE(CONTROL!$C$21, $C$9, 100%, $E$9)</f>
        <v>21.776199999999999</v>
      </c>
      <c r="H697" s="10">
        <f>CHOOSE(CONTROL!$C$42, 21.8342, 21.8342) * CHOOSE(CONTROL!$C$21, $C$9, 100%, $E$9)</f>
        <v>21.834199999999999</v>
      </c>
      <c r="I697" s="10">
        <f>CHOOSE(CONTROL!$C$42, 21.7874, 21.7874)* CHOOSE(CONTROL!$C$21, $C$9, 100%, $E$9)</f>
        <v>21.787400000000002</v>
      </c>
      <c r="J697" s="10">
        <f>CHOOSE(CONTROL!$C$42, 21.7507, 21.7507)* CHOOSE(CONTROL!$C$21, $C$9, 100%, $E$9)</f>
        <v>21.750699999999998</v>
      </c>
      <c r="K697" s="10">
        <f>CHOOSE(CONTROL!$C$42, 21.2879, 21.2879) * CHOOSE(CONTROL!$C$21, $C$9, 100%, $E$9)</f>
        <v>21.2879</v>
      </c>
      <c r="L697" s="10">
        <f>CHOOSE(CONTROL!$C$42, 22.4212, 22.4212) * CHOOSE(CONTROL!$C$21, $C$9, 100%, $E$9)</f>
        <v>22.421199999999999</v>
      </c>
      <c r="M697" s="10">
        <f>CHOOSE(CONTROL!$C$42, 21.4803, 21.4803) * CHOOSE(CONTROL!$C$21, $C$9, 100%, $E$9)</f>
        <v>21.4803</v>
      </c>
      <c r="N697" s="10">
        <f>CHOOSE(CONTROL!$C$42, 21.4981, 21.4981) * CHOOSE(CONTROL!$C$21, $C$9, 100%, $E$9)</f>
        <v>21.498100000000001</v>
      </c>
      <c r="O697" s="10">
        <f>CHOOSE(CONTROL!$C$42, 21.5626, 21.5626) * CHOOSE(CONTROL!$C$21, $C$9, 100%, $E$9)</f>
        <v>21.5626</v>
      </c>
      <c r="P697" s="10">
        <f>CHOOSE(CONTROL!$C$42, 21.5165, 21.5165) * CHOOSE(CONTROL!$C$21, $C$9, 100%, $E$9)</f>
        <v>21.516500000000001</v>
      </c>
      <c r="Q697" s="10">
        <f>CHOOSE(CONTROL!$C$42, 22.1579, 22.1579) * CHOOSE(CONTROL!$C$21, $C$9, 100%, $E$9)</f>
        <v>22.157900000000001</v>
      </c>
      <c r="R697" s="10">
        <f>CHOOSE(CONTROL!$C$42, 22.8003, 22.8003) * CHOOSE(CONTROL!$C$21, $C$9, 100%, $E$9)</f>
        <v>22.8003</v>
      </c>
      <c r="S697" s="10">
        <f>CHOOSE(CONTROL!$C$42, 21.1004, 21.1004) * CHOOSE(CONTROL!$C$21, $C$9, 100%, $E$9)</f>
        <v>21.1004</v>
      </c>
      <c r="T69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697" s="38">
        <f>(1000*CHOOSE(CONTROL!$C$42, 695, 695)*CHOOSE(CONTROL!$C$42, 0.5599, 0.5599)*CHOOSE(CONTROL!$C$42, 31, 31))/1000000</f>
        <v>12.063045499999998</v>
      </c>
      <c r="V697" s="38">
        <f>(1000*CHOOSE(CONTROL!$C$42, 500, 500)*CHOOSE(CONTROL!$C$42, 0.275, 0.275)*CHOOSE(CONTROL!$C$42, 31, 31))/1000000</f>
        <v>4.2625000000000002</v>
      </c>
      <c r="W697" s="38">
        <f>(1000*CHOOSE(CONTROL!$C$42, 0.1146, 0.1146)*CHOOSE(CONTROL!$C$42, 121.5, 121.5)*CHOOSE(CONTROL!$C$42, 31, 31))/1000000</f>
        <v>0.43164089999999994</v>
      </c>
      <c r="X697" s="38">
        <f>(31*0.1790888*100000/1000000)+(31*0.2374*100000/1000000)</f>
        <v>1.2911152800000001</v>
      </c>
      <c r="Y697" s="38">
        <f>(1000*600*CHOOSE(CONTROL!$C$42, 1.0585, 1.0585)*CHOOSE(CONTROL!$C$42, 31, 31))/1000000</f>
        <v>19.688099999999999</v>
      </c>
      <c r="Z697" s="38"/>
      <c r="AA697" s="10"/>
      <c r="AB697" s="39"/>
      <c r="AC697" s="33">
        <f>(B697*122.58+C697*297.941+D697*89.177+E697*40.302+F697*40+G697*160+H697*0+I697*100+J697*300)/(122.58+297.941+89.177+40.302+0+40+160+100+300)</f>
        <v>21.775531406173915</v>
      </c>
      <c r="AD697" s="27">
        <f>(M697*'RAP TEMPLATE-GAS AVAILABILITY'!O696+N697*'RAP TEMPLATE-GAS AVAILABILITY'!P696+O697*'RAP TEMPLATE-GAS AVAILABILITY'!Q696+P697*'RAP TEMPLATE-GAS AVAILABILITY'!R696)/('RAP TEMPLATE-GAS AVAILABILITY'!O696+'RAP TEMPLATE-GAS AVAILABILITY'!P696+'RAP TEMPLATE-GAS AVAILABILITY'!Q696+'RAP TEMPLATE-GAS AVAILABILITY'!R696)</f>
        <v>21.523834532374103</v>
      </c>
    </row>
    <row r="698" spans="1:30" ht="15.75">
      <c r="A698" s="13">
        <v>62517</v>
      </c>
      <c r="B698" s="10">
        <f>CHOOSE(CONTROL!$C$42, 22.1618, 22.1618) * CHOOSE(CONTROL!$C$21, $C$9, 100%, $E$9)</f>
        <v>22.161799999999999</v>
      </c>
      <c r="C698" s="10">
        <f>CHOOSE(CONTROL!$C$42, 22.1669, 22.1669) * CHOOSE(CONTROL!$C$21, $C$9, 100%, $E$9)</f>
        <v>22.166899999999998</v>
      </c>
      <c r="D698" s="10">
        <f>CHOOSE(CONTROL!$C$42, 22.1994, 22.1994) * CHOOSE(CONTROL!$C$21, $C$9, 100%, $E$9)</f>
        <v>22.199400000000001</v>
      </c>
      <c r="E698" s="10">
        <f>CHOOSE(CONTROL!$C$42, 22.2332, 22.2332) * CHOOSE(CONTROL!$C$21, $C$9, 100%, $E$9)</f>
        <v>22.2332</v>
      </c>
      <c r="F698" s="10">
        <f>CHOOSE(CONTROL!$C$42, 22.1456, 22.1456)*CHOOSE(CONTROL!$C$21, $C$9, 100%, $E$9)</f>
        <v>22.145600000000002</v>
      </c>
      <c r="G698" s="10">
        <f>CHOOSE(CONTROL!$C$42, 22.1635, 22.1635)*CHOOSE(CONTROL!$C$21, $C$9, 100%, $E$9)</f>
        <v>22.163499999999999</v>
      </c>
      <c r="H698" s="10">
        <f>CHOOSE(CONTROL!$C$42, 22.2221, 22.2221) * CHOOSE(CONTROL!$C$21, $C$9, 100%, $E$9)</f>
        <v>22.222100000000001</v>
      </c>
      <c r="I698" s="10">
        <f>CHOOSE(CONTROL!$C$42, 22.1753, 22.1753)* CHOOSE(CONTROL!$C$21, $C$9, 100%, $E$9)</f>
        <v>22.1753</v>
      </c>
      <c r="J698" s="10">
        <f>CHOOSE(CONTROL!$C$42, 22.1382, 22.1382)* CHOOSE(CONTROL!$C$21, $C$9, 100%, $E$9)</f>
        <v>22.138200000000001</v>
      </c>
      <c r="K698" s="10">
        <f>CHOOSE(CONTROL!$C$42, 21.6627, 21.6627) * CHOOSE(CONTROL!$C$21, $C$9, 100%, $E$9)</f>
        <v>21.662700000000001</v>
      </c>
      <c r="L698" s="10">
        <f>CHOOSE(CONTROL!$C$42, 22.8091, 22.8091) * CHOOSE(CONTROL!$C$21, $C$9, 100%, $E$9)</f>
        <v>22.809100000000001</v>
      </c>
      <c r="M698" s="10">
        <f>CHOOSE(CONTROL!$C$42, 21.8624, 21.8624) * CHOOSE(CONTROL!$C$21, $C$9, 100%, $E$9)</f>
        <v>21.862400000000001</v>
      </c>
      <c r="N698" s="10">
        <f>CHOOSE(CONTROL!$C$42, 21.88, 21.88) * CHOOSE(CONTROL!$C$21, $C$9, 100%, $E$9)</f>
        <v>21.88</v>
      </c>
      <c r="O698" s="10">
        <f>CHOOSE(CONTROL!$C$42, 21.9451, 21.9451) * CHOOSE(CONTROL!$C$21, $C$9, 100%, $E$9)</f>
        <v>21.9451</v>
      </c>
      <c r="P698" s="10">
        <f>CHOOSE(CONTROL!$C$42, 21.899, 21.899) * CHOOSE(CONTROL!$C$21, $C$9, 100%, $E$9)</f>
        <v>21.899000000000001</v>
      </c>
      <c r="Q698" s="10">
        <f>CHOOSE(CONTROL!$C$42, 22.5404, 22.5404) * CHOOSE(CONTROL!$C$21, $C$9, 100%, $E$9)</f>
        <v>22.540400000000002</v>
      </c>
      <c r="R698" s="10">
        <f>CHOOSE(CONTROL!$C$42, 23.1837, 23.1837) * CHOOSE(CONTROL!$C$21, $C$9, 100%, $E$9)</f>
        <v>23.183700000000002</v>
      </c>
      <c r="S698" s="10">
        <f>CHOOSE(CONTROL!$C$42, 21.476, 21.476) * CHOOSE(CONTROL!$C$21, $C$9, 100%, $E$9)</f>
        <v>21.475999999999999</v>
      </c>
      <c r="T69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698" s="38">
        <f>(1000*CHOOSE(CONTROL!$C$42, 695, 695)*CHOOSE(CONTROL!$C$42, 0.5599, 0.5599)*CHOOSE(CONTROL!$C$42, 28, 28))/1000000</f>
        <v>10.895653999999999</v>
      </c>
      <c r="V698" s="38">
        <f>(1000*CHOOSE(CONTROL!$C$42, 500, 500)*CHOOSE(CONTROL!$C$42, 0.275, 0.275)*CHOOSE(CONTROL!$C$42, 28, 28))/1000000</f>
        <v>3.85</v>
      </c>
      <c r="W698" s="38">
        <f>(1000*CHOOSE(CONTROL!$C$42, 0.1146, 0.1146)*CHOOSE(CONTROL!$C$42, 121.5, 121.5)*CHOOSE(CONTROL!$C$42, 28, 28))/1000000</f>
        <v>0.38986920000000003</v>
      </c>
      <c r="X698" s="38">
        <f>(28*0.1790888*100000/1000000)+(28*0.2374*100000/1000000)</f>
        <v>1.16616864</v>
      </c>
      <c r="Y698" s="38">
        <f>(1000*600*CHOOSE(CONTROL!$C$42, 1.0585, 1.0585)*CHOOSE(CONTROL!$C$42, 28, 28))/1000000</f>
        <v>17.782800000000002</v>
      </c>
      <c r="Z698" s="38"/>
      <c r="AA698" s="10"/>
      <c r="AB698" s="39"/>
      <c r="AC698" s="33">
        <f>(B698*122.58+C698*297.941+D698*89.177+E698*40.302+F698*40+G698*160+H698*0+I698*100+J698*300)/(122.58+297.941+89.177+40.302+0+40+160+100+300)</f>
        <v>22.163229667043474</v>
      </c>
      <c r="AD698" s="27">
        <f>(M698*'RAP TEMPLATE-GAS AVAILABILITY'!O697+N698*'RAP TEMPLATE-GAS AVAILABILITY'!P697+O698*'RAP TEMPLATE-GAS AVAILABILITY'!Q697+P698*'RAP TEMPLATE-GAS AVAILABILITY'!R697)/('RAP TEMPLATE-GAS AVAILABILITY'!O697+'RAP TEMPLATE-GAS AVAILABILITY'!P697+'RAP TEMPLATE-GAS AVAILABILITY'!Q697+'RAP TEMPLATE-GAS AVAILABILITY'!R697)</f>
        <v>21.906161870503595</v>
      </c>
    </row>
    <row r="699" spans="1:30" ht="15.75">
      <c r="A699" s="13">
        <v>62548</v>
      </c>
      <c r="B699" s="10">
        <f>CHOOSE(CONTROL!$C$42, 21.5322, 21.5322) * CHOOSE(CONTROL!$C$21, $C$9, 100%, $E$9)</f>
        <v>21.5322</v>
      </c>
      <c r="C699" s="10">
        <f>CHOOSE(CONTROL!$C$42, 21.5373, 21.5373) * CHOOSE(CONTROL!$C$21, $C$9, 100%, $E$9)</f>
        <v>21.537299999999998</v>
      </c>
      <c r="D699" s="10">
        <f>CHOOSE(CONTROL!$C$42, 21.5697, 21.5697) * CHOOSE(CONTROL!$C$21, $C$9, 100%, $E$9)</f>
        <v>21.569700000000001</v>
      </c>
      <c r="E699" s="10">
        <f>CHOOSE(CONTROL!$C$42, 21.6035, 21.6035) * CHOOSE(CONTROL!$C$21, $C$9, 100%, $E$9)</f>
        <v>21.6035</v>
      </c>
      <c r="F699" s="10">
        <f>CHOOSE(CONTROL!$C$42, 21.5144, 21.5144)*CHOOSE(CONTROL!$C$21, $C$9, 100%, $E$9)</f>
        <v>21.514399999999998</v>
      </c>
      <c r="G699" s="10">
        <f>CHOOSE(CONTROL!$C$42, 21.532, 21.532)*CHOOSE(CONTROL!$C$21, $C$9, 100%, $E$9)</f>
        <v>21.532</v>
      </c>
      <c r="H699" s="10">
        <f>CHOOSE(CONTROL!$C$42, 21.5924, 21.5924) * CHOOSE(CONTROL!$C$21, $C$9, 100%, $E$9)</f>
        <v>21.592400000000001</v>
      </c>
      <c r="I699" s="10">
        <f>CHOOSE(CONTROL!$C$42, 21.5456, 21.5456)* CHOOSE(CONTROL!$C$21, $C$9, 100%, $E$9)</f>
        <v>21.5456</v>
      </c>
      <c r="J699" s="10">
        <f>CHOOSE(CONTROL!$C$42, 21.507, 21.507)* CHOOSE(CONTROL!$C$21, $C$9, 100%, $E$9)</f>
        <v>21.507000000000001</v>
      </c>
      <c r="K699" s="10">
        <f>CHOOSE(CONTROL!$C$42, 21.0496, 21.0496) * CHOOSE(CONTROL!$C$21, $C$9, 100%, $E$9)</f>
        <v>21.049600000000002</v>
      </c>
      <c r="L699" s="10">
        <f>CHOOSE(CONTROL!$C$42, 22.1794, 22.1794) * CHOOSE(CONTROL!$C$21, $C$9, 100%, $E$9)</f>
        <v>22.179400000000001</v>
      </c>
      <c r="M699" s="10">
        <f>CHOOSE(CONTROL!$C$42, 21.24, 21.24) * CHOOSE(CONTROL!$C$21, $C$9, 100%, $E$9)</f>
        <v>21.24</v>
      </c>
      <c r="N699" s="10">
        <f>CHOOSE(CONTROL!$C$42, 21.2574, 21.2574) * CHOOSE(CONTROL!$C$21, $C$9, 100%, $E$9)</f>
        <v>21.257400000000001</v>
      </c>
      <c r="O699" s="10">
        <f>CHOOSE(CONTROL!$C$42, 21.3242, 21.3242) * CHOOSE(CONTROL!$C$21, $C$9, 100%, $E$9)</f>
        <v>21.324200000000001</v>
      </c>
      <c r="P699" s="10">
        <f>CHOOSE(CONTROL!$C$42, 21.2781, 21.2781) * CHOOSE(CONTROL!$C$21, $C$9, 100%, $E$9)</f>
        <v>21.278099999999998</v>
      </c>
      <c r="Q699" s="10">
        <f>CHOOSE(CONTROL!$C$42, 21.9195, 21.9195) * CHOOSE(CONTROL!$C$21, $C$9, 100%, $E$9)</f>
        <v>21.919499999999999</v>
      </c>
      <c r="R699" s="10">
        <f>CHOOSE(CONTROL!$C$42, 22.5613, 22.5613) * CHOOSE(CONTROL!$C$21, $C$9, 100%, $E$9)</f>
        <v>22.561299999999999</v>
      </c>
      <c r="S699" s="10">
        <f>CHOOSE(CONTROL!$C$42, 20.8663, 20.8663) * CHOOSE(CONTROL!$C$21, $C$9, 100%, $E$9)</f>
        <v>20.866299999999999</v>
      </c>
      <c r="T69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699" s="38">
        <f>(1000*CHOOSE(CONTROL!$C$42, 695, 695)*CHOOSE(CONTROL!$C$42, 0.5599, 0.5599)*CHOOSE(CONTROL!$C$42, 31, 31))/1000000</f>
        <v>12.063045499999998</v>
      </c>
      <c r="V699" s="38">
        <f>(1000*CHOOSE(CONTROL!$C$42, 500, 500)*CHOOSE(CONTROL!$C$42, 0.275, 0.275)*CHOOSE(CONTROL!$C$42, 31, 31))/1000000</f>
        <v>4.2625000000000002</v>
      </c>
      <c r="W699" s="38">
        <f>(1000*CHOOSE(CONTROL!$C$42, 0.1146, 0.1146)*CHOOSE(CONTROL!$C$42, 121.5, 121.5)*CHOOSE(CONTROL!$C$42, 31, 31))/1000000</f>
        <v>0.43164089999999994</v>
      </c>
      <c r="X699" s="38">
        <f>(31*0.1790888*100000/1000000)+(31*0.2374*100000/1000000)</f>
        <v>1.2911152800000001</v>
      </c>
      <c r="Y699" s="38">
        <f>(1000*600*CHOOSE(CONTROL!$C$42, 1.0585, 1.0585)*CHOOSE(CONTROL!$C$42, 31, 31))/1000000</f>
        <v>19.688099999999999</v>
      </c>
      <c r="Z699" s="38"/>
      <c r="AA699" s="10"/>
      <c r="AB699" s="39"/>
      <c r="AC699" s="33">
        <f>(B699*122.58+C699*297.941+D699*89.177+E699*40.302+F699*40+G699*160+H699*0+I699*100+J699*300)/(122.58+297.941+89.177+40.302+0+40+160+100+300)</f>
        <v>21.532872321043477</v>
      </c>
      <c r="AD699" s="27">
        <f>(M699*'RAP TEMPLATE-GAS AVAILABILITY'!O698+N699*'RAP TEMPLATE-GAS AVAILABILITY'!P698+O699*'RAP TEMPLATE-GAS AVAILABILITY'!Q698+P699*'RAP TEMPLATE-GAS AVAILABILITY'!R698)/('RAP TEMPLATE-GAS AVAILABILITY'!O698+'RAP TEMPLATE-GAS AVAILABILITY'!P698+'RAP TEMPLATE-GAS AVAILABILITY'!Q698+'RAP TEMPLATE-GAS AVAILABILITY'!R698)</f>
        <v>21.284646043165466</v>
      </c>
    </row>
    <row r="700" spans="1:30" ht="15.75">
      <c r="A700" s="13">
        <v>62578</v>
      </c>
      <c r="B700" s="10">
        <f>CHOOSE(CONTROL!$C$42, 21.4684, 21.4684) * CHOOSE(CONTROL!$C$21, $C$9, 100%, $E$9)</f>
        <v>21.468399999999999</v>
      </c>
      <c r="C700" s="10">
        <f>CHOOSE(CONTROL!$C$42, 21.473, 21.473) * CHOOSE(CONTROL!$C$21, $C$9, 100%, $E$9)</f>
        <v>21.472999999999999</v>
      </c>
      <c r="D700" s="10">
        <f>CHOOSE(CONTROL!$C$42, 21.6331, 21.6331) * CHOOSE(CONTROL!$C$21, $C$9, 100%, $E$9)</f>
        <v>21.633099999999999</v>
      </c>
      <c r="E700" s="10">
        <f>CHOOSE(CONTROL!$C$42, 21.6649, 21.6649) * CHOOSE(CONTROL!$C$21, $C$9, 100%, $E$9)</f>
        <v>21.664899999999999</v>
      </c>
      <c r="F700" s="10">
        <f>CHOOSE(CONTROL!$C$42, 21.4145, 21.4145)*CHOOSE(CONTROL!$C$21, $C$9, 100%, $E$9)</f>
        <v>21.4145</v>
      </c>
      <c r="G700" s="10">
        <f>CHOOSE(CONTROL!$C$42, 21.4304, 21.4304)*CHOOSE(CONTROL!$C$21, $C$9, 100%, $E$9)</f>
        <v>21.430399999999999</v>
      </c>
      <c r="H700" s="10">
        <f>CHOOSE(CONTROL!$C$42, 21.6544, 21.6544) * CHOOSE(CONTROL!$C$21, $C$9, 100%, $E$9)</f>
        <v>21.654399999999999</v>
      </c>
      <c r="I700" s="10">
        <f>CHOOSE(CONTROL!$C$42, 21.4486, 21.4486)* CHOOSE(CONTROL!$C$21, $C$9, 100%, $E$9)</f>
        <v>21.448599999999999</v>
      </c>
      <c r="J700" s="10">
        <f>CHOOSE(CONTROL!$C$42, 21.4071, 21.4071)* CHOOSE(CONTROL!$C$21, $C$9, 100%, $E$9)</f>
        <v>21.4071</v>
      </c>
      <c r="K700" s="10">
        <f>CHOOSE(CONTROL!$C$42, 20.9396, 20.9396) * CHOOSE(CONTROL!$C$21, $C$9, 100%, $E$9)</f>
        <v>20.939599999999999</v>
      </c>
      <c r="L700" s="10">
        <f>CHOOSE(CONTROL!$C$42, 22.2414, 22.2414) * CHOOSE(CONTROL!$C$21, $C$9, 100%, $E$9)</f>
        <v>22.241399999999999</v>
      </c>
      <c r="M700" s="10">
        <f>CHOOSE(CONTROL!$C$42, 21.1415, 21.1415) * CHOOSE(CONTROL!$C$21, $C$9, 100%, $E$9)</f>
        <v>21.141500000000001</v>
      </c>
      <c r="N700" s="10">
        <f>CHOOSE(CONTROL!$C$42, 21.1571, 21.1571) * CHOOSE(CONTROL!$C$21, $C$9, 100%, $E$9)</f>
        <v>21.1571</v>
      </c>
      <c r="O700" s="10">
        <f>CHOOSE(CONTROL!$C$42, 21.3853, 21.3853) * CHOOSE(CONTROL!$C$21, $C$9, 100%, $E$9)</f>
        <v>21.385300000000001</v>
      </c>
      <c r="P700" s="10">
        <f>CHOOSE(CONTROL!$C$42, 21.1824, 21.1824) * CHOOSE(CONTROL!$C$21, $C$9, 100%, $E$9)</f>
        <v>21.182400000000001</v>
      </c>
      <c r="Q700" s="10">
        <f>CHOOSE(CONTROL!$C$42, 21.9806, 21.9806) * CHOOSE(CONTROL!$C$21, $C$9, 100%, $E$9)</f>
        <v>21.980599999999999</v>
      </c>
      <c r="R700" s="10">
        <f>CHOOSE(CONTROL!$C$42, 22.6226, 22.6226) * CHOOSE(CONTROL!$C$21, $C$9, 100%, $E$9)</f>
        <v>22.622599999999998</v>
      </c>
      <c r="S700" s="10">
        <f>CHOOSE(CONTROL!$C$42, 20.8038, 20.8038) * CHOOSE(CONTROL!$C$21, $C$9, 100%, $E$9)</f>
        <v>20.803799999999999</v>
      </c>
      <c r="T70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00" s="38">
        <f>(1000*CHOOSE(CONTROL!$C$42, 695, 695)*CHOOSE(CONTROL!$C$42, 0.5599, 0.5599)*CHOOSE(CONTROL!$C$42, 30, 30))/1000000</f>
        <v>11.673914999999997</v>
      </c>
      <c r="V700" s="38">
        <f>(1000*CHOOSE(CONTROL!$C$42, 500, 500)*CHOOSE(CONTROL!$C$42, 0.275, 0.275)*CHOOSE(CONTROL!$C$42, 30, 30))/1000000</f>
        <v>4.125</v>
      </c>
      <c r="W700" s="38">
        <f>(1000*CHOOSE(CONTROL!$C$42, 0.1146, 0.1146)*CHOOSE(CONTROL!$C$42, 121.5, 121.5)*CHOOSE(CONTROL!$C$42, 30, 30))/1000000</f>
        <v>0.417717</v>
      </c>
      <c r="X700" s="38">
        <f>(30*0.1790888*245000/1000000)+(30*0.2374*100000/1000000)</f>
        <v>2.0285026799999999</v>
      </c>
      <c r="Y700" s="38">
        <f>(1000*600*CHOOSE(CONTROL!$C$42, 1.0585, 1.0585)*CHOOSE(CONTROL!$C$42, 30, 30))/1000000</f>
        <v>19.053000000000001</v>
      </c>
      <c r="Z700" s="38"/>
      <c r="AA700" s="10"/>
      <c r="AB700" s="39"/>
      <c r="AC700" s="33">
        <f>(B700*141.293+C700*267.993+D700*115.016+E700*89.698+F700*40+G700*185+H700*0+I700*100+J700*300)/(141.293+267.993+115.016+89.698+0+40+185+100+300)</f>
        <v>21.475055012106537</v>
      </c>
      <c r="AD700" s="27">
        <f>(M700*'RAP TEMPLATE-GAS AVAILABILITY'!O699+N700*'RAP TEMPLATE-GAS AVAILABILITY'!P699+O700*'RAP TEMPLATE-GAS AVAILABILITY'!Q699+P700*'RAP TEMPLATE-GAS AVAILABILITY'!R699)/('RAP TEMPLATE-GAS AVAILABILITY'!O699+'RAP TEMPLATE-GAS AVAILABILITY'!P699+'RAP TEMPLATE-GAS AVAILABILITY'!Q699+'RAP TEMPLATE-GAS AVAILABILITY'!R699)</f>
        <v>21.258782014388487</v>
      </c>
    </row>
    <row r="701" spans="1:30" ht="15.75">
      <c r="A701" s="13">
        <v>62609</v>
      </c>
      <c r="B701" s="10">
        <f>CHOOSE(CONTROL!$C$42, 21.6599, 21.6599) * CHOOSE(CONTROL!$C$21, $C$9, 100%, $E$9)</f>
        <v>21.6599</v>
      </c>
      <c r="C701" s="10">
        <f>CHOOSE(CONTROL!$C$42, 21.6679, 21.6679) * CHOOSE(CONTROL!$C$21, $C$9, 100%, $E$9)</f>
        <v>21.667899999999999</v>
      </c>
      <c r="D701" s="10">
        <f>CHOOSE(CONTROL!$C$42, 21.8249, 21.8249) * CHOOSE(CONTROL!$C$21, $C$9, 100%, $E$9)</f>
        <v>21.8249</v>
      </c>
      <c r="E701" s="10">
        <f>CHOOSE(CONTROL!$C$42, 21.8561, 21.8561) * CHOOSE(CONTROL!$C$21, $C$9, 100%, $E$9)</f>
        <v>21.856100000000001</v>
      </c>
      <c r="F701" s="10">
        <f>CHOOSE(CONTROL!$C$42, 21.604, 21.604)*CHOOSE(CONTROL!$C$21, $C$9, 100%, $E$9)</f>
        <v>21.603999999999999</v>
      </c>
      <c r="G701" s="10">
        <f>CHOOSE(CONTROL!$C$42, 21.6201, 21.6201)*CHOOSE(CONTROL!$C$21, $C$9, 100%, $E$9)</f>
        <v>21.620100000000001</v>
      </c>
      <c r="H701" s="10">
        <f>CHOOSE(CONTROL!$C$42, 21.8445, 21.8445) * CHOOSE(CONTROL!$C$21, $C$9, 100%, $E$9)</f>
        <v>21.8445</v>
      </c>
      <c r="I701" s="10">
        <f>CHOOSE(CONTROL!$C$42, 21.6387, 21.6387)* CHOOSE(CONTROL!$C$21, $C$9, 100%, $E$9)</f>
        <v>21.6387</v>
      </c>
      <c r="J701" s="10">
        <f>CHOOSE(CONTROL!$C$42, 21.5966, 21.5966)* CHOOSE(CONTROL!$C$21, $C$9, 100%, $E$9)</f>
        <v>21.596599999999999</v>
      </c>
      <c r="K701" s="10">
        <f>CHOOSE(CONTROL!$C$42, 21.1224, 21.1224) * CHOOSE(CONTROL!$C$21, $C$9, 100%, $E$9)</f>
        <v>21.122399999999999</v>
      </c>
      <c r="L701" s="10">
        <f>CHOOSE(CONTROL!$C$42, 22.4315, 22.4315) * CHOOSE(CONTROL!$C$21, $C$9, 100%, $E$9)</f>
        <v>22.4315</v>
      </c>
      <c r="M701" s="10">
        <f>CHOOSE(CONTROL!$C$42, 21.3283, 21.3283) * CHOOSE(CONTROL!$C$21, $C$9, 100%, $E$9)</f>
        <v>21.328299999999999</v>
      </c>
      <c r="N701" s="10">
        <f>CHOOSE(CONTROL!$C$42, 21.3442, 21.3442) * CHOOSE(CONTROL!$C$21, $C$9, 100%, $E$9)</f>
        <v>21.344200000000001</v>
      </c>
      <c r="O701" s="10">
        <f>CHOOSE(CONTROL!$C$42, 21.5727, 21.5727) * CHOOSE(CONTROL!$C$21, $C$9, 100%, $E$9)</f>
        <v>21.572700000000001</v>
      </c>
      <c r="P701" s="10">
        <f>CHOOSE(CONTROL!$C$42, 21.3699, 21.3699) * CHOOSE(CONTROL!$C$21, $C$9, 100%, $E$9)</f>
        <v>21.369900000000001</v>
      </c>
      <c r="Q701" s="10">
        <f>CHOOSE(CONTROL!$C$42, 22.168, 22.168) * CHOOSE(CONTROL!$C$21, $C$9, 100%, $E$9)</f>
        <v>22.167999999999999</v>
      </c>
      <c r="R701" s="10">
        <f>CHOOSE(CONTROL!$C$42, 22.8105, 22.8105) * CHOOSE(CONTROL!$C$21, $C$9, 100%, $E$9)</f>
        <v>22.810500000000001</v>
      </c>
      <c r="S701" s="10">
        <f>CHOOSE(CONTROL!$C$42, 20.9879, 20.9879) * CHOOSE(CONTROL!$C$21, $C$9, 100%, $E$9)</f>
        <v>20.9879</v>
      </c>
      <c r="T70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01" s="38">
        <f>(1000*CHOOSE(CONTROL!$C$42, 695, 695)*CHOOSE(CONTROL!$C$42, 0.5599, 0.5599)*CHOOSE(CONTROL!$C$42, 31, 31))/1000000</f>
        <v>12.063045499999998</v>
      </c>
      <c r="V701" s="38">
        <f>(1000*CHOOSE(CONTROL!$C$42, 500, 500)*CHOOSE(CONTROL!$C$42, 0.275, 0.275)*CHOOSE(CONTROL!$C$42, 31, 31))/1000000</f>
        <v>4.2625000000000002</v>
      </c>
      <c r="W701" s="38">
        <f>(1000*CHOOSE(CONTROL!$C$42, 0.1146, 0.1146)*CHOOSE(CONTROL!$C$42, 121.5, 121.5)*CHOOSE(CONTROL!$C$42, 31, 31))/1000000</f>
        <v>0.43164089999999994</v>
      </c>
      <c r="X701" s="38">
        <f>(31*0.1790888*245000/1000000)+(31*0.2374*100000/1000000)</f>
        <v>2.0961194359999999</v>
      </c>
      <c r="Y701" s="38">
        <f>(1000*600*CHOOSE(CONTROL!$C$42, 1.0585, 1.0585)*CHOOSE(CONTROL!$C$42, 31, 31))/1000000</f>
        <v>19.688099999999999</v>
      </c>
      <c r="Z701" s="38"/>
      <c r="AA701" s="10"/>
      <c r="AB701" s="39"/>
      <c r="AC701" s="33">
        <f>(B701*194.205+C701*267.466+D701*133.845+E701*53.484+F701*40+G701*185+H701*0+I701*100+J701*300)/(194.205+267.466+133.845+53.484+0+40+185+100+300)</f>
        <v>21.663046557142856</v>
      </c>
      <c r="AD701" s="27">
        <f>(M701*'RAP TEMPLATE-GAS AVAILABILITY'!O700+N701*'RAP TEMPLATE-GAS AVAILABILITY'!P700+O701*'RAP TEMPLATE-GAS AVAILABILITY'!Q700+P701*'RAP TEMPLATE-GAS AVAILABILITY'!R700)/('RAP TEMPLATE-GAS AVAILABILITY'!O700+'RAP TEMPLATE-GAS AVAILABILITY'!P700+'RAP TEMPLATE-GAS AVAILABILITY'!Q700+'RAP TEMPLATE-GAS AVAILABILITY'!R700)</f>
        <v>21.445971942446043</v>
      </c>
    </row>
    <row r="702" spans="1:30" ht="15.75">
      <c r="A702" s="13">
        <v>62639</v>
      </c>
      <c r="B702" s="10">
        <f>CHOOSE(CONTROL!$C$42, 22.2747, 22.2747) * CHOOSE(CONTROL!$C$21, $C$9, 100%, $E$9)</f>
        <v>22.274699999999999</v>
      </c>
      <c r="C702" s="10">
        <f>CHOOSE(CONTROL!$C$42, 22.2827, 22.2827) * CHOOSE(CONTROL!$C$21, $C$9, 100%, $E$9)</f>
        <v>22.282699999999998</v>
      </c>
      <c r="D702" s="10">
        <f>CHOOSE(CONTROL!$C$42, 22.4397, 22.4397) * CHOOSE(CONTROL!$C$21, $C$9, 100%, $E$9)</f>
        <v>22.439699999999998</v>
      </c>
      <c r="E702" s="10">
        <f>CHOOSE(CONTROL!$C$42, 22.471, 22.471) * CHOOSE(CONTROL!$C$21, $C$9, 100%, $E$9)</f>
        <v>22.471</v>
      </c>
      <c r="F702" s="10">
        <f>CHOOSE(CONTROL!$C$42, 22.219, 22.219)*CHOOSE(CONTROL!$C$21, $C$9, 100%, $E$9)</f>
        <v>22.219000000000001</v>
      </c>
      <c r="G702" s="10">
        <f>CHOOSE(CONTROL!$C$42, 22.2352, 22.2352)*CHOOSE(CONTROL!$C$21, $C$9, 100%, $E$9)</f>
        <v>22.235199999999999</v>
      </c>
      <c r="H702" s="10">
        <f>CHOOSE(CONTROL!$C$42, 22.4593, 22.4593) * CHOOSE(CONTROL!$C$21, $C$9, 100%, $E$9)</f>
        <v>22.459299999999999</v>
      </c>
      <c r="I702" s="10">
        <f>CHOOSE(CONTROL!$C$42, 22.2535, 22.2535)* CHOOSE(CONTROL!$C$21, $C$9, 100%, $E$9)</f>
        <v>22.253499999999999</v>
      </c>
      <c r="J702" s="10">
        <f>CHOOSE(CONTROL!$C$42, 22.2116, 22.2116)* CHOOSE(CONTROL!$C$21, $C$9, 100%, $E$9)</f>
        <v>22.211600000000001</v>
      </c>
      <c r="K702" s="10">
        <f>CHOOSE(CONTROL!$C$42, 21.7184, 21.7184) * CHOOSE(CONTROL!$C$21, $C$9, 100%, $E$9)</f>
        <v>21.718399999999999</v>
      </c>
      <c r="L702" s="10">
        <f>CHOOSE(CONTROL!$C$42, 23.0463, 23.0463) * CHOOSE(CONTROL!$C$21, $C$9, 100%, $E$9)</f>
        <v>23.046299999999999</v>
      </c>
      <c r="M702" s="10">
        <f>CHOOSE(CONTROL!$C$42, 21.9348, 21.9348) * CHOOSE(CONTROL!$C$21, $C$9, 100%, $E$9)</f>
        <v>21.934799999999999</v>
      </c>
      <c r="N702" s="10">
        <f>CHOOSE(CONTROL!$C$42, 21.9507, 21.9507) * CHOOSE(CONTROL!$C$21, $C$9, 100%, $E$9)</f>
        <v>21.950700000000001</v>
      </c>
      <c r="O702" s="10">
        <f>CHOOSE(CONTROL!$C$42, 22.179, 22.179) * CHOOSE(CONTROL!$C$21, $C$9, 100%, $E$9)</f>
        <v>22.178999999999998</v>
      </c>
      <c r="P702" s="10">
        <f>CHOOSE(CONTROL!$C$42, 21.9761, 21.9761) * CHOOSE(CONTROL!$C$21, $C$9, 100%, $E$9)</f>
        <v>21.976099999999999</v>
      </c>
      <c r="Q702" s="10">
        <f>CHOOSE(CONTROL!$C$42, 22.7743, 22.7743) * CHOOSE(CONTROL!$C$21, $C$9, 100%, $E$9)</f>
        <v>22.7743</v>
      </c>
      <c r="R702" s="10">
        <f>CHOOSE(CONTROL!$C$42, 23.4182, 23.4182) * CHOOSE(CONTROL!$C$21, $C$9, 100%, $E$9)</f>
        <v>23.418199999999999</v>
      </c>
      <c r="S702" s="10">
        <f>CHOOSE(CONTROL!$C$42, 21.5832, 21.5832) * CHOOSE(CONTROL!$C$21, $C$9, 100%, $E$9)</f>
        <v>21.583200000000001</v>
      </c>
      <c r="T70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02" s="38">
        <f>(1000*CHOOSE(CONTROL!$C$42, 695, 695)*CHOOSE(CONTROL!$C$42, 0.5599, 0.5599)*CHOOSE(CONTROL!$C$42, 30, 30))/1000000</f>
        <v>11.673914999999997</v>
      </c>
      <c r="V702" s="38">
        <f>(1000*CHOOSE(CONTROL!$C$42, 500, 500)*CHOOSE(CONTROL!$C$42, 0.275, 0.275)*CHOOSE(CONTROL!$C$42, 30, 30))/1000000</f>
        <v>4.125</v>
      </c>
      <c r="W702" s="38">
        <f>(1000*CHOOSE(CONTROL!$C$42, 0.1146, 0.1146)*CHOOSE(CONTROL!$C$42, 121.5, 121.5)*CHOOSE(CONTROL!$C$42, 30, 30))/1000000</f>
        <v>0.417717</v>
      </c>
      <c r="X702" s="38">
        <f>(30*0.1790888*245000/1000000)+(30*0.2374*100000/1000000)</f>
        <v>2.0285026799999999</v>
      </c>
      <c r="Y702" s="38">
        <f>(1000*600*CHOOSE(CONTROL!$C$42, 1.0585, 1.0585)*CHOOSE(CONTROL!$C$42, 30, 30))/1000000</f>
        <v>19.053000000000001</v>
      </c>
      <c r="Z702" s="38"/>
      <c r="AA702" s="10"/>
      <c r="AB702" s="39"/>
      <c r="AC702" s="33">
        <f>(B702*194.205+C702*267.466+D702*133.845+E702*53.484+F702*40+G702*185+H702*0+I702*100+J702*300)/(194.205+267.466+133.845+53.484+0+40+185+100+300)</f>
        <v>22.277947694034534</v>
      </c>
      <c r="AD702" s="27">
        <f>(M702*'RAP TEMPLATE-GAS AVAILABILITY'!O701+N702*'RAP TEMPLATE-GAS AVAILABILITY'!P701+O702*'RAP TEMPLATE-GAS AVAILABILITY'!Q701+P702*'RAP TEMPLATE-GAS AVAILABILITY'!R701)/('RAP TEMPLATE-GAS AVAILABILITY'!O701+'RAP TEMPLATE-GAS AVAILABILITY'!P701+'RAP TEMPLATE-GAS AVAILABILITY'!Q701+'RAP TEMPLATE-GAS AVAILABILITY'!R701)</f>
        <v>22.052338129496402</v>
      </c>
    </row>
    <row r="703" spans="1:30" ht="15.75">
      <c r="A703" s="13">
        <v>62670</v>
      </c>
      <c r="B703" s="10">
        <f>CHOOSE(CONTROL!$C$42, 21.8471, 21.8471) * CHOOSE(CONTROL!$C$21, $C$9, 100%, $E$9)</f>
        <v>21.847100000000001</v>
      </c>
      <c r="C703" s="10">
        <f>CHOOSE(CONTROL!$C$42, 21.8551, 21.8551) * CHOOSE(CONTROL!$C$21, $C$9, 100%, $E$9)</f>
        <v>21.8551</v>
      </c>
      <c r="D703" s="10">
        <f>CHOOSE(CONTROL!$C$42, 22.0121, 22.0121) * CHOOSE(CONTROL!$C$21, $C$9, 100%, $E$9)</f>
        <v>22.0121</v>
      </c>
      <c r="E703" s="10">
        <f>CHOOSE(CONTROL!$C$42, 22.0434, 22.0434) * CHOOSE(CONTROL!$C$21, $C$9, 100%, $E$9)</f>
        <v>22.043399999999998</v>
      </c>
      <c r="F703" s="10">
        <f>CHOOSE(CONTROL!$C$42, 21.7917, 21.7917)*CHOOSE(CONTROL!$C$21, $C$9, 100%, $E$9)</f>
        <v>21.791699999999999</v>
      </c>
      <c r="G703" s="10">
        <f>CHOOSE(CONTROL!$C$42, 21.808, 21.808)*CHOOSE(CONTROL!$C$21, $C$9, 100%, $E$9)</f>
        <v>21.808</v>
      </c>
      <c r="H703" s="10">
        <f>CHOOSE(CONTROL!$C$42, 22.0317, 22.0317) * CHOOSE(CONTROL!$C$21, $C$9, 100%, $E$9)</f>
        <v>22.031700000000001</v>
      </c>
      <c r="I703" s="10">
        <f>CHOOSE(CONTROL!$C$42, 21.8259, 21.8259)* CHOOSE(CONTROL!$C$21, $C$9, 100%, $E$9)</f>
        <v>21.825900000000001</v>
      </c>
      <c r="J703" s="10">
        <f>CHOOSE(CONTROL!$C$42, 21.7843, 21.7843)* CHOOSE(CONTROL!$C$21, $C$9, 100%, $E$9)</f>
        <v>21.784300000000002</v>
      </c>
      <c r="K703" s="10">
        <f>CHOOSE(CONTROL!$C$42, 21.3049, 21.3049) * CHOOSE(CONTROL!$C$21, $C$9, 100%, $E$9)</f>
        <v>21.3049</v>
      </c>
      <c r="L703" s="10">
        <f>CHOOSE(CONTROL!$C$42, 22.6187, 22.6187) * CHOOSE(CONTROL!$C$21, $C$9, 100%, $E$9)</f>
        <v>22.6187</v>
      </c>
      <c r="M703" s="10">
        <f>CHOOSE(CONTROL!$C$42, 21.5134, 21.5134) * CHOOSE(CONTROL!$C$21, $C$9, 100%, $E$9)</f>
        <v>21.513400000000001</v>
      </c>
      <c r="N703" s="10">
        <f>CHOOSE(CONTROL!$C$42, 21.5295, 21.5295) * CHOOSE(CONTROL!$C$21, $C$9, 100%, $E$9)</f>
        <v>21.529499999999999</v>
      </c>
      <c r="O703" s="10">
        <f>CHOOSE(CONTROL!$C$42, 21.7573, 21.7573) * CHOOSE(CONTROL!$C$21, $C$9, 100%, $E$9)</f>
        <v>21.757300000000001</v>
      </c>
      <c r="P703" s="10">
        <f>CHOOSE(CONTROL!$C$42, 21.5544, 21.5544) * CHOOSE(CONTROL!$C$21, $C$9, 100%, $E$9)</f>
        <v>21.554400000000001</v>
      </c>
      <c r="Q703" s="10">
        <f>CHOOSE(CONTROL!$C$42, 22.3526, 22.3526) * CHOOSE(CONTROL!$C$21, $C$9, 100%, $E$9)</f>
        <v>22.352599999999999</v>
      </c>
      <c r="R703" s="10">
        <f>CHOOSE(CONTROL!$C$42, 22.9955, 22.9955) * CHOOSE(CONTROL!$C$21, $C$9, 100%, $E$9)</f>
        <v>22.9955</v>
      </c>
      <c r="S703" s="10">
        <f>CHOOSE(CONTROL!$C$42, 21.1691, 21.1691) * CHOOSE(CONTROL!$C$21, $C$9, 100%, $E$9)</f>
        <v>21.1691</v>
      </c>
      <c r="T70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03" s="38">
        <f>(1000*CHOOSE(CONTROL!$C$42, 695, 695)*CHOOSE(CONTROL!$C$42, 0.5599, 0.5599)*CHOOSE(CONTROL!$C$42, 31, 31))/1000000</f>
        <v>12.063045499999998</v>
      </c>
      <c r="V703" s="38">
        <f>(1000*CHOOSE(CONTROL!$C$42, 500, 500)*CHOOSE(CONTROL!$C$42, 0.275, 0.275)*CHOOSE(CONTROL!$C$42, 31, 31))/1000000</f>
        <v>4.2625000000000002</v>
      </c>
      <c r="W703" s="38">
        <f>(1000*CHOOSE(CONTROL!$C$42, 0.1146, 0.1146)*CHOOSE(CONTROL!$C$42, 121.5, 121.5)*CHOOSE(CONTROL!$C$42, 31, 31))/1000000</f>
        <v>0.43164089999999994</v>
      </c>
      <c r="X703" s="38">
        <f>(31*0.1790888*245000/1000000)+(31*0.2374*100000/1000000)</f>
        <v>2.0961194359999999</v>
      </c>
      <c r="Y703" s="38">
        <f>(1000*600*CHOOSE(CONTROL!$C$42, 1.0585, 1.0585)*CHOOSE(CONTROL!$C$42, 31, 31))/1000000</f>
        <v>19.688099999999999</v>
      </c>
      <c r="Z703" s="38"/>
      <c r="AA703" s="10"/>
      <c r="AB703" s="39"/>
      <c r="AC703" s="33">
        <f>(B703*194.205+C703*267.466+D703*133.845+E703*53.484+F703*40+G703*185+H703*0+I703*100+J703*300)/(194.205+267.466+133.845+53.484+0+40+185+100+300)</f>
        <v>21.850485841601259</v>
      </c>
      <c r="AD703" s="27">
        <f>(M703*'RAP TEMPLATE-GAS AVAILABILITY'!O702+N703*'RAP TEMPLATE-GAS AVAILABILITY'!P702+O703*'RAP TEMPLATE-GAS AVAILABILITY'!Q702+P703*'RAP TEMPLATE-GAS AVAILABILITY'!R702)/('RAP TEMPLATE-GAS AVAILABILITY'!O702+'RAP TEMPLATE-GAS AVAILABILITY'!P702+'RAP TEMPLATE-GAS AVAILABILITY'!Q702+'RAP TEMPLATE-GAS AVAILABILITY'!R702)</f>
        <v>21.630770503597127</v>
      </c>
    </row>
    <row r="704" spans="1:30" ht="15.75">
      <c r="A704" s="13">
        <v>62701</v>
      </c>
      <c r="B704" s="10">
        <f>CHOOSE(CONTROL!$C$42, 20.7673, 20.7673) * CHOOSE(CONTROL!$C$21, $C$9, 100%, $E$9)</f>
        <v>20.767299999999999</v>
      </c>
      <c r="C704" s="10">
        <f>CHOOSE(CONTROL!$C$42, 20.7753, 20.7753) * CHOOSE(CONTROL!$C$21, $C$9, 100%, $E$9)</f>
        <v>20.775300000000001</v>
      </c>
      <c r="D704" s="10">
        <f>CHOOSE(CONTROL!$C$42, 20.9323, 20.9323) * CHOOSE(CONTROL!$C$21, $C$9, 100%, $E$9)</f>
        <v>20.932300000000001</v>
      </c>
      <c r="E704" s="10">
        <f>CHOOSE(CONTROL!$C$42, 20.9635, 20.9635) * CHOOSE(CONTROL!$C$21, $C$9, 100%, $E$9)</f>
        <v>20.9635</v>
      </c>
      <c r="F704" s="10">
        <f>CHOOSE(CONTROL!$C$42, 20.7118, 20.7118)*CHOOSE(CONTROL!$C$21, $C$9, 100%, $E$9)</f>
        <v>20.7118</v>
      </c>
      <c r="G704" s="10">
        <f>CHOOSE(CONTROL!$C$42, 20.7281, 20.7281)*CHOOSE(CONTROL!$C$21, $C$9, 100%, $E$9)</f>
        <v>20.728100000000001</v>
      </c>
      <c r="H704" s="10">
        <f>CHOOSE(CONTROL!$C$42, 20.9519, 20.9519) * CHOOSE(CONTROL!$C$21, $C$9, 100%, $E$9)</f>
        <v>20.951899999999998</v>
      </c>
      <c r="I704" s="10">
        <f>CHOOSE(CONTROL!$C$42, 20.746, 20.746)* CHOOSE(CONTROL!$C$21, $C$9, 100%, $E$9)</f>
        <v>20.745999999999999</v>
      </c>
      <c r="J704" s="10">
        <f>CHOOSE(CONTROL!$C$42, 20.7044, 20.7044)* CHOOSE(CONTROL!$C$21, $C$9, 100%, $E$9)</f>
        <v>20.7044</v>
      </c>
      <c r="K704" s="10">
        <f>CHOOSE(CONTROL!$C$42, 20.2586, 20.2586) * CHOOSE(CONTROL!$C$21, $C$9, 100%, $E$9)</f>
        <v>20.258600000000001</v>
      </c>
      <c r="L704" s="10">
        <f>CHOOSE(CONTROL!$C$42, 21.5389, 21.5389) * CHOOSE(CONTROL!$C$21, $C$9, 100%, $E$9)</f>
        <v>21.538900000000002</v>
      </c>
      <c r="M704" s="10">
        <f>CHOOSE(CONTROL!$C$42, 20.4486, 20.4486) * CHOOSE(CONTROL!$C$21, $C$9, 100%, $E$9)</f>
        <v>20.448599999999999</v>
      </c>
      <c r="N704" s="10">
        <f>CHOOSE(CONTROL!$C$42, 20.4646, 20.4646) * CHOOSE(CONTROL!$C$21, $C$9, 100%, $E$9)</f>
        <v>20.464600000000001</v>
      </c>
      <c r="O704" s="10">
        <f>CHOOSE(CONTROL!$C$42, 20.6926, 20.6926) * CHOOSE(CONTROL!$C$21, $C$9, 100%, $E$9)</f>
        <v>20.692599999999999</v>
      </c>
      <c r="P704" s="10">
        <f>CHOOSE(CONTROL!$C$42, 20.4897, 20.4897) * CHOOSE(CONTROL!$C$21, $C$9, 100%, $E$9)</f>
        <v>20.489699999999999</v>
      </c>
      <c r="Q704" s="10">
        <f>CHOOSE(CONTROL!$C$42, 21.2879, 21.2879) * CHOOSE(CONTROL!$C$21, $C$9, 100%, $E$9)</f>
        <v>21.2879</v>
      </c>
      <c r="R704" s="10">
        <f>CHOOSE(CONTROL!$C$42, 21.9281, 21.9281) * CHOOSE(CONTROL!$C$21, $C$9, 100%, $E$9)</f>
        <v>21.928100000000001</v>
      </c>
      <c r="S704" s="10">
        <f>CHOOSE(CONTROL!$C$42, 20.1235, 20.1235) * CHOOSE(CONTROL!$C$21, $C$9, 100%, $E$9)</f>
        <v>20.1235</v>
      </c>
      <c r="T70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04" s="38">
        <f>(1000*CHOOSE(CONTROL!$C$42, 695, 695)*CHOOSE(CONTROL!$C$42, 0.5599, 0.5599)*CHOOSE(CONTROL!$C$42, 31, 31))/1000000</f>
        <v>12.063045499999998</v>
      </c>
      <c r="V704" s="38">
        <f>(1000*CHOOSE(CONTROL!$C$42, 500, 500)*CHOOSE(CONTROL!$C$42, 0.275, 0.275)*CHOOSE(CONTROL!$C$42, 31, 31))/1000000</f>
        <v>4.2625000000000002</v>
      </c>
      <c r="W704" s="38">
        <f>(1000*CHOOSE(CONTROL!$C$42, 0.1146, 0.1146)*CHOOSE(CONTROL!$C$42, 121.5, 121.5)*CHOOSE(CONTROL!$C$42, 31, 31))/1000000</f>
        <v>0.43164089999999994</v>
      </c>
      <c r="X704" s="38">
        <f>(31*0.1790888*245000/1000000)+(31*0.2374*100000/1000000)</f>
        <v>2.0961194359999999</v>
      </c>
      <c r="Y704" s="38">
        <f>(1000*600*CHOOSE(CONTROL!$C$42, 1.0585, 1.0585)*CHOOSE(CONTROL!$C$42, 31, 31))/1000000</f>
        <v>19.688099999999999</v>
      </c>
      <c r="Z704" s="38"/>
      <c r="AA704" s="10"/>
      <c r="AB704" s="39"/>
      <c r="AC704" s="33">
        <f>(B704*194.205+C704*267.466+D704*133.845+E704*53.484+F704*40+G704*185+H704*0+I704*100+J704*300)/(194.205+267.466+133.845+53.484+0+40+185+100+300)</f>
        <v>20.770632585400314</v>
      </c>
      <c r="AD704" s="27">
        <f>(M704*'RAP TEMPLATE-GAS AVAILABILITY'!O703+N704*'RAP TEMPLATE-GAS AVAILABILITY'!P703+O704*'RAP TEMPLATE-GAS AVAILABILITY'!Q703+P704*'RAP TEMPLATE-GAS AVAILABILITY'!R703)/('RAP TEMPLATE-GAS AVAILABILITY'!O703+'RAP TEMPLATE-GAS AVAILABILITY'!P703+'RAP TEMPLATE-GAS AVAILABILITY'!Q703+'RAP TEMPLATE-GAS AVAILABILITY'!R703)</f>
        <v>20.566024460431652</v>
      </c>
    </row>
    <row r="705" spans="1:30" ht="15.75">
      <c r="A705" s="13">
        <v>62731</v>
      </c>
      <c r="B705" s="10">
        <f>CHOOSE(CONTROL!$C$42, 19.4479, 19.4479) * CHOOSE(CONTROL!$C$21, $C$9, 100%, $E$9)</f>
        <v>19.447900000000001</v>
      </c>
      <c r="C705" s="10">
        <f>CHOOSE(CONTROL!$C$42, 19.4559, 19.4559) * CHOOSE(CONTROL!$C$21, $C$9, 100%, $E$9)</f>
        <v>19.4559</v>
      </c>
      <c r="D705" s="10">
        <f>CHOOSE(CONTROL!$C$42, 19.613, 19.613) * CHOOSE(CONTROL!$C$21, $C$9, 100%, $E$9)</f>
        <v>19.613</v>
      </c>
      <c r="E705" s="10">
        <f>CHOOSE(CONTROL!$C$42, 19.6442, 19.6442) * CHOOSE(CONTROL!$C$21, $C$9, 100%, $E$9)</f>
        <v>19.644200000000001</v>
      </c>
      <c r="F705" s="10">
        <f>CHOOSE(CONTROL!$C$42, 19.3923, 19.3923)*CHOOSE(CONTROL!$C$21, $C$9, 100%, $E$9)</f>
        <v>19.392299999999999</v>
      </c>
      <c r="G705" s="10">
        <f>CHOOSE(CONTROL!$C$42, 19.4085, 19.4085)*CHOOSE(CONTROL!$C$21, $C$9, 100%, $E$9)</f>
        <v>19.4085</v>
      </c>
      <c r="H705" s="10">
        <f>CHOOSE(CONTROL!$C$42, 19.6325, 19.6325) * CHOOSE(CONTROL!$C$21, $C$9, 100%, $E$9)</f>
        <v>19.6325</v>
      </c>
      <c r="I705" s="10">
        <f>CHOOSE(CONTROL!$C$42, 19.4267, 19.4267)* CHOOSE(CONTROL!$C$21, $C$9, 100%, $E$9)</f>
        <v>19.4267</v>
      </c>
      <c r="J705" s="10">
        <f>CHOOSE(CONTROL!$C$42, 19.3849, 19.3849)* CHOOSE(CONTROL!$C$21, $C$9, 100%, $E$9)</f>
        <v>19.384899999999998</v>
      </c>
      <c r="K705" s="10">
        <f>CHOOSE(CONTROL!$C$42, 18.98, 18.98) * CHOOSE(CONTROL!$C$21, $C$9, 100%, $E$9)</f>
        <v>18.98</v>
      </c>
      <c r="L705" s="10">
        <f>CHOOSE(CONTROL!$C$42, 20.2195, 20.2195) * CHOOSE(CONTROL!$C$21, $C$9, 100%, $E$9)</f>
        <v>20.2195</v>
      </c>
      <c r="M705" s="10">
        <f>CHOOSE(CONTROL!$C$42, 19.1475, 19.1475) * CHOOSE(CONTROL!$C$21, $C$9, 100%, $E$9)</f>
        <v>19.147500000000001</v>
      </c>
      <c r="N705" s="10">
        <f>CHOOSE(CONTROL!$C$42, 19.1635, 19.1635) * CHOOSE(CONTROL!$C$21, $C$9, 100%, $E$9)</f>
        <v>19.163499999999999</v>
      </c>
      <c r="O705" s="10">
        <f>CHOOSE(CONTROL!$C$42, 19.3917, 19.3917) * CHOOSE(CONTROL!$C$21, $C$9, 100%, $E$9)</f>
        <v>19.3917</v>
      </c>
      <c r="P705" s="10">
        <f>CHOOSE(CONTROL!$C$42, 19.1888, 19.1888) * CHOOSE(CONTROL!$C$21, $C$9, 100%, $E$9)</f>
        <v>19.188800000000001</v>
      </c>
      <c r="Q705" s="10">
        <f>CHOOSE(CONTROL!$C$42, 19.987, 19.987) * CHOOSE(CONTROL!$C$21, $C$9, 100%, $E$9)</f>
        <v>19.986999999999998</v>
      </c>
      <c r="R705" s="10">
        <f>CHOOSE(CONTROL!$C$42, 20.6239, 20.6239) * CHOOSE(CONTROL!$C$21, $C$9, 100%, $E$9)</f>
        <v>20.623899999999999</v>
      </c>
      <c r="S705" s="10">
        <f>CHOOSE(CONTROL!$C$42, 18.846, 18.846) * CHOOSE(CONTROL!$C$21, $C$9, 100%, $E$9)</f>
        <v>18.846</v>
      </c>
      <c r="T70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05" s="38">
        <f>(1000*CHOOSE(CONTROL!$C$42, 695, 695)*CHOOSE(CONTROL!$C$42, 0.5599, 0.5599)*CHOOSE(CONTROL!$C$42, 30, 30))/1000000</f>
        <v>11.673914999999997</v>
      </c>
      <c r="V705" s="38">
        <f>(1000*CHOOSE(CONTROL!$C$42, 500, 500)*CHOOSE(CONTROL!$C$42, 0.275, 0.275)*CHOOSE(CONTROL!$C$42, 30, 30))/1000000</f>
        <v>4.125</v>
      </c>
      <c r="W705" s="38">
        <f>(1000*CHOOSE(CONTROL!$C$42, 0.1146, 0.1146)*CHOOSE(CONTROL!$C$42, 121.5, 121.5)*CHOOSE(CONTROL!$C$42, 30, 30))/1000000</f>
        <v>0.417717</v>
      </c>
      <c r="X705" s="38">
        <f>(30*0.1790888*245000/1000000)+(30*0.2374*100000/1000000)</f>
        <v>2.0285026799999999</v>
      </c>
      <c r="Y705" s="38">
        <f>(1000*600*CHOOSE(CONTROL!$C$42, 1.0585, 1.0585)*CHOOSE(CONTROL!$C$42, 30, 30))/1000000</f>
        <v>19.053000000000001</v>
      </c>
      <c r="Z705" s="38"/>
      <c r="AA705" s="10"/>
      <c r="AB705" s="39"/>
      <c r="AC705" s="33">
        <f>(B705*194.205+C705*267.466+D705*133.845+E705*53.484+F705*40+G705*185+H705*0+I705*100+J705*300)/(194.205+267.466+133.845+53.484+0+40+185+100+300)</f>
        <v>19.451199408712718</v>
      </c>
      <c r="AD705" s="27">
        <f>(M705*'RAP TEMPLATE-GAS AVAILABILITY'!O704+N705*'RAP TEMPLATE-GAS AVAILABILITY'!P704+O705*'RAP TEMPLATE-GAS AVAILABILITY'!Q704+P705*'RAP TEMPLATE-GAS AVAILABILITY'!R704)/('RAP TEMPLATE-GAS AVAILABILITY'!O704+'RAP TEMPLATE-GAS AVAILABILITY'!P704+'RAP TEMPLATE-GAS AVAILABILITY'!Q704+'RAP TEMPLATE-GAS AVAILABILITY'!R704)</f>
        <v>19.265043884892087</v>
      </c>
    </row>
    <row r="706" spans="1:30" ht="15.75">
      <c r="A706" s="13">
        <v>62762</v>
      </c>
      <c r="B706" s="10">
        <f>CHOOSE(CONTROL!$C$42, 19.0506, 19.0506) * CHOOSE(CONTROL!$C$21, $C$9, 100%, $E$9)</f>
        <v>19.050599999999999</v>
      </c>
      <c r="C706" s="10">
        <f>CHOOSE(CONTROL!$C$42, 19.056, 19.056) * CHOOSE(CONTROL!$C$21, $C$9, 100%, $E$9)</f>
        <v>19.056000000000001</v>
      </c>
      <c r="D706" s="10">
        <f>CHOOSE(CONTROL!$C$42, 19.2179, 19.2179) * CHOOSE(CONTROL!$C$21, $C$9, 100%, $E$9)</f>
        <v>19.2179</v>
      </c>
      <c r="E706" s="10">
        <f>CHOOSE(CONTROL!$C$42, 19.2468, 19.2468) * CHOOSE(CONTROL!$C$21, $C$9, 100%, $E$9)</f>
        <v>19.2468</v>
      </c>
      <c r="F706" s="10">
        <f>CHOOSE(CONTROL!$C$42, 18.997, 18.997)*CHOOSE(CONTROL!$C$21, $C$9, 100%, $E$9)</f>
        <v>18.997</v>
      </c>
      <c r="G706" s="10">
        <f>CHOOSE(CONTROL!$C$42, 19.0128, 19.0128)*CHOOSE(CONTROL!$C$21, $C$9, 100%, $E$9)</f>
        <v>19.012799999999999</v>
      </c>
      <c r="H706" s="10">
        <f>CHOOSE(CONTROL!$C$42, 19.2369, 19.2369) * CHOOSE(CONTROL!$C$21, $C$9, 100%, $E$9)</f>
        <v>19.236899999999999</v>
      </c>
      <c r="I706" s="10">
        <f>CHOOSE(CONTROL!$C$42, 19.0311, 19.0311)* CHOOSE(CONTROL!$C$21, $C$9, 100%, $E$9)</f>
        <v>19.031099999999999</v>
      </c>
      <c r="J706" s="10">
        <f>CHOOSE(CONTROL!$C$42, 18.9896, 18.9896)* CHOOSE(CONTROL!$C$21, $C$9, 100%, $E$9)</f>
        <v>18.989599999999999</v>
      </c>
      <c r="K706" s="10">
        <f>CHOOSE(CONTROL!$C$42, 18.5974, 18.5974) * CHOOSE(CONTROL!$C$21, $C$9, 100%, $E$9)</f>
        <v>18.5974</v>
      </c>
      <c r="L706" s="10">
        <f>CHOOSE(CONTROL!$C$42, 19.8239, 19.8239) * CHOOSE(CONTROL!$C$21, $C$9, 100%, $E$9)</f>
        <v>19.823899999999998</v>
      </c>
      <c r="M706" s="10">
        <f>CHOOSE(CONTROL!$C$42, 18.7577, 18.7577) * CHOOSE(CONTROL!$C$21, $C$9, 100%, $E$9)</f>
        <v>18.7577</v>
      </c>
      <c r="N706" s="10">
        <f>CHOOSE(CONTROL!$C$42, 18.7733, 18.7733) * CHOOSE(CONTROL!$C$21, $C$9, 100%, $E$9)</f>
        <v>18.773299999999999</v>
      </c>
      <c r="O706" s="10">
        <f>CHOOSE(CONTROL!$C$42, 19.0016, 19.0016) * CHOOSE(CONTROL!$C$21, $C$9, 100%, $E$9)</f>
        <v>19.0016</v>
      </c>
      <c r="P706" s="10">
        <f>CHOOSE(CONTROL!$C$42, 18.7987, 18.7987) * CHOOSE(CONTROL!$C$21, $C$9, 100%, $E$9)</f>
        <v>18.7987</v>
      </c>
      <c r="Q706" s="10">
        <f>CHOOSE(CONTROL!$C$42, 19.5969, 19.5969) * CHOOSE(CONTROL!$C$21, $C$9, 100%, $E$9)</f>
        <v>19.596900000000002</v>
      </c>
      <c r="R706" s="10">
        <f>CHOOSE(CONTROL!$C$42, 20.2329, 20.2329) * CHOOSE(CONTROL!$C$21, $C$9, 100%, $E$9)</f>
        <v>20.232900000000001</v>
      </c>
      <c r="S706" s="10">
        <f>CHOOSE(CONTROL!$C$42, 18.463, 18.463) * CHOOSE(CONTROL!$C$21, $C$9, 100%, $E$9)</f>
        <v>18.463000000000001</v>
      </c>
      <c r="T70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06" s="38">
        <f>(1000*CHOOSE(CONTROL!$C$42, 695, 695)*CHOOSE(CONTROL!$C$42, 0.5599, 0.5599)*CHOOSE(CONTROL!$C$42, 31, 31))/1000000</f>
        <v>12.063045499999998</v>
      </c>
      <c r="V706" s="38">
        <f>(1000*CHOOSE(CONTROL!$C$42, 500, 500)*CHOOSE(CONTROL!$C$42, 0.275, 0.275)*CHOOSE(CONTROL!$C$42, 31, 31))/1000000</f>
        <v>4.2625000000000002</v>
      </c>
      <c r="W706" s="38">
        <f>(1000*CHOOSE(CONTROL!$C$42, 0.1146, 0.1146)*CHOOSE(CONTROL!$C$42, 121.5, 121.5)*CHOOSE(CONTROL!$C$42, 31, 31))/1000000</f>
        <v>0.43164089999999994</v>
      </c>
      <c r="X706" s="38">
        <f>(31*0.1790888*245000/1000000)+(31*0.2374*100000/1000000)</f>
        <v>2.0961194359999999</v>
      </c>
      <c r="Y706" s="38">
        <f>(1000*600*CHOOSE(CONTROL!$C$42, 1.0585, 1.0585)*CHOOSE(CONTROL!$C$42, 31, 31))/1000000</f>
        <v>19.688099999999999</v>
      </c>
      <c r="Z706" s="38"/>
      <c r="AA706" s="10"/>
      <c r="AB706" s="39"/>
      <c r="AC706" s="33">
        <f>(B706*131.881+C706*277.167+D706*79.08+E706*125.872+F706*40+G706*185+H706*0+I706*100+J706*300)/(131.881+277.167+79.08+125.872+0+40+185+100+300)</f>
        <v>19.058699977562551</v>
      </c>
      <c r="AD706" s="27">
        <f>(M706*'RAP TEMPLATE-GAS AVAILABILITY'!O705+N706*'RAP TEMPLATE-GAS AVAILABILITY'!P705+O706*'RAP TEMPLATE-GAS AVAILABILITY'!Q705+P706*'RAP TEMPLATE-GAS AVAILABILITY'!R705)/('RAP TEMPLATE-GAS AVAILABILITY'!O705+'RAP TEMPLATE-GAS AVAILABILITY'!P705+'RAP TEMPLATE-GAS AVAILABILITY'!Q705+'RAP TEMPLATE-GAS AVAILABILITY'!R705)</f>
        <v>18.875041726618704</v>
      </c>
    </row>
    <row r="707" spans="1:30" ht="15.75">
      <c r="A707" s="13">
        <v>62792</v>
      </c>
      <c r="B707" s="10">
        <f>CHOOSE(CONTROL!$C$42, 19.5525, 19.5525) * CHOOSE(CONTROL!$C$21, $C$9, 100%, $E$9)</f>
        <v>19.552499999999998</v>
      </c>
      <c r="C707" s="10">
        <f>CHOOSE(CONTROL!$C$42, 19.5576, 19.5576) * CHOOSE(CONTROL!$C$21, $C$9, 100%, $E$9)</f>
        <v>19.557600000000001</v>
      </c>
      <c r="D707" s="10">
        <f>CHOOSE(CONTROL!$C$42, 19.5823, 19.5823) * CHOOSE(CONTROL!$C$21, $C$9, 100%, $E$9)</f>
        <v>19.5823</v>
      </c>
      <c r="E707" s="10">
        <f>CHOOSE(CONTROL!$C$42, 19.6161, 19.6161) * CHOOSE(CONTROL!$C$21, $C$9, 100%, $E$9)</f>
        <v>19.616099999999999</v>
      </c>
      <c r="F707" s="10">
        <f>CHOOSE(CONTROL!$C$42, 19.5208, 19.5208)*CHOOSE(CONTROL!$C$21, $C$9, 100%, $E$9)</f>
        <v>19.520800000000001</v>
      </c>
      <c r="G707" s="10">
        <f>CHOOSE(CONTROL!$C$42, 19.5368, 19.5368)*CHOOSE(CONTROL!$C$21, $C$9, 100%, $E$9)</f>
        <v>19.536799999999999</v>
      </c>
      <c r="H707" s="10">
        <f>CHOOSE(CONTROL!$C$42, 19.605, 19.605) * CHOOSE(CONTROL!$C$21, $C$9, 100%, $E$9)</f>
        <v>19.605</v>
      </c>
      <c r="I707" s="10">
        <f>CHOOSE(CONTROL!$C$42, 19.5675, 19.5675)* CHOOSE(CONTROL!$C$21, $C$9, 100%, $E$9)</f>
        <v>19.567499999999999</v>
      </c>
      <c r="J707" s="10">
        <f>CHOOSE(CONTROL!$C$42, 19.5134, 19.5134)* CHOOSE(CONTROL!$C$21, $C$9, 100%, $E$9)</f>
        <v>19.513400000000001</v>
      </c>
      <c r="K707" s="10">
        <f>CHOOSE(CONTROL!$C$42, 19.1193, 19.1193) * CHOOSE(CONTROL!$C$21, $C$9, 100%, $E$9)</f>
        <v>19.119299999999999</v>
      </c>
      <c r="L707" s="10">
        <f>CHOOSE(CONTROL!$C$42, 20.192, 20.192) * CHOOSE(CONTROL!$C$21, $C$9, 100%, $E$9)</f>
        <v>20.192</v>
      </c>
      <c r="M707" s="10">
        <f>CHOOSE(CONTROL!$C$42, 19.2742, 19.2742) * CHOOSE(CONTROL!$C$21, $C$9, 100%, $E$9)</f>
        <v>19.2742</v>
      </c>
      <c r="N707" s="10">
        <f>CHOOSE(CONTROL!$C$42, 19.29, 19.29) * CHOOSE(CONTROL!$C$21, $C$9, 100%, $E$9)</f>
        <v>19.29</v>
      </c>
      <c r="O707" s="10">
        <f>CHOOSE(CONTROL!$C$42, 19.3645, 19.3645) * CHOOSE(CONTROL!$C$21, $C$9, 100%, $E$9)</f>
        <v>19.3645</v>
      </c>
      <c r="P707" s="10">
        <f>CHOOSE(CONTROL!$C$42, 19.3276, 19.3276) * CHOOSE(CONTROL!$C$21, $C$9, 100%, $E$9)</f>
        <v>19.3276</v>
      </c>
      <c r="Q707" s="10">
        <f>CHOOSE(CONTROL!$C$42, 19.9598, 19.9598) * CHOOSE(CONTROL!$C$21, $C$9, 100%, $E$9)</f>
        <v>19.959800000000001</v>
      </c>
      <c r="R707" s="10">
        <f>CHOOSE(CONTROL!$C$42, 20.5967, 20.5967) * CHOOSE(CONTROL!$C$21, $C$9, 100%, $E$9)</f>
        <v>20.596699999999998</v>
      </c>
      <c r="S707" s="10">
        <f>CHOOSE(CONTROL!$C$42, 18.9493, 18.9493) * CHOOSE(CONTROL!$C$21, $C$9, 100%, $E$9)</f>
        <v>18.949300000000001</v>
      </c>
      <c r="T70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07" s="38">
        <f>(1000*CHOOSE(CONTROL!$C$42, 695, 695)*CHOOSE(CONTROL!$C$42, 0.5599, 0.5599)*CHOOSE(CONTROL!$C$42, 30, 30))/1000000</f>
        <v>11.673914999999997</v>
      </c>
      <c r="V707" s="38">
        <f>(1000*CHOOSE(CONTROL!$C$42, 500, 500)*CHOOSE(CONTROL!$C$42, 0.275, 0.275)*CHOOSE(CONTROL!$C$42, 30, 30))/1000000</f>
        <v>4.125</v>
      </c>
      <c r="W707" s="38">
        <f>(1000*CHOOSE(CONTROL!$C$42, 0.1146, 0.1146)*CHOOSE(CONTROL!$C$42, 121.5, 121.5)*CHOOSE(CONTROL!$C$42, 30, 30))/1000000</f>
        <v>0.417717</v>
      </c>
      <c r="X707" s="38">
        <f>(30*0.1790888*100000/1000000)+(30*0.2374*100000/1000000)</f>
        <v>1.2494664</v>
      </c>
      <c r="Y707" s="38">
        <f>(1000*600*CHOOSE(CONTROL!$C$42, 1.0585, 1.0585)*CHOOSE(CONTROL!$C$42, 30, 30))/1000000</f>
        <v>19.053000000000001</v>
      </c>
      <c r="Z707" s="38"/>
      <c r="AA707" s="10"/>
      <c r="AB707" s="39"/>
      <c r="AC707" s="33">
        <f>(B707*122.58+C707*297.941+D707*89.177+E707*40.302+F707*40+G707*160+H707*0+I707*100+J707*300)/(122.58+297.941+89.177+40.302+0+40+160+100+300)</f>
        <v>19.546178418173913</v>
      </c>
      <c r="AD707" s="27">
        <f>(M707*'RAP TEMPLATE-GAS AVAILABILITY'!O706+N707*'RAP TEMPLATE-GAS AVAILABILITY'!P706+O707*'RAP TEMPLATE-GAS AVAILABILITY'!Q706+P707*'RAP TEMPLATE-GAS AVAILABILITY'!R706)/('RAP TEMPLATE-GAS AVAILABILITY'!O706+'RAP TEMPLATE-GAS AVAILABILITY'!P706+'RAP TEMPLATE-GAS AVAILABILITY'!Q706+'RAP TEMPLATE-GAS AVAILABILITY'!R706)</f>
        <v>19.323720143884891</v>
      </c>
    </row>
    <row r="708" spans="1:30" ht="15.75">
      <c r="A708" s="13">
        <v>62823</v>
      </c>
      <c r="B708" s="10">
        <f>CHOOSE(CONTROL!$C$42, 20.8867, 20.8867) * CHOOSE(CONTROL!$C$21, $C$9, 100%, $E$9)</f>
        <v>20.886700000000001</v>
      </c>
      <c r="C708" s="10">
        <f>CHOOSE(CONTROL!$C$42, 20.8918, 20.8918) * CHOOSE(CONTROL!$C$21, $C$9, 100%, $E$9)</f>
        <v>20.8918</v>
      </c>
      <c r="D708" s="10">
        <f>CHOOSE(CONTROL!$C$42, 20.9165, 20.9165) * CHOOSE(CONTROL!$C$21, $C$9, 100%, $E$9)</f>
        <v>20.916499999999999</v>
      </c>
      <c r="E708" s="10">
        <f>CHOOSE(CONTROL!$C$42, 20.9503, 20.9503) * CHOOSE(CONTROL!$C$21, $C$9, 100%, $E$9)</f>
        <v>20.950299999999999</v>
      </c>
      <c r="F708" s="10">
        <f>CHOOSE(CONTROL!$C$42, 20.857, 20.857)*CHOOSE(CONTROL!$C$21, $C$9, 100%, $E$9)</f>
        <v>20.856999999999999</v>
      </c>
      <c r="G708" s="10">
        <f>CHOOSE(CONTROL!$C$42, 20.8734, 20.8734)*CHOOSE(CONTROL!$C$21, $C$9, 100%, $E$9)</f>
        <v>20.8734</v>
      </c>
      <c r="H708" s="10">
        <f>CHOOSE(CONTROL!$C$42, 20.9392, 20.9392) * CHOOSE(CONTROL!$C$21, $C$9, 100%, $E$9)</f>
        <v>20.9392</v>
      </c>
      <c r="I708" s="10">
        <f>CHOOSE(CONTROL!$C$42, 20.9017, 20.9017)* CHOOSE(CONTROL!$C$21, $C$9, 100%, $E$9)</f>
        <v>20.901700000000002</v>
      </c>
      <c r="J708" s="10">
        <f>CHOOSE(CONTROL!$C$42, 20.8496, 20.8496)* CHOOSE(CONTROL!$C$21, $C$9, 100%, $E$9)</f>
        <v>20.849599999999999</v>
      </c>
      <c r="K708" s="10">
        <f>CHOOSE(CONTROL!$C$42, 20.4159, 20.4159) * CHOOSE(CONTROL!$C$21, $C$9, 100%, $E$9)</f>
        <v>20.415900000000001</v>
      </c>
      <c r="L708" s="10">
        <f>CHOOSE(CONTROL!$C$42, 21.5262, 21.5262) * CHOOSE(CONTROL!$C$21, $C$9, 100%, $E$9)</f>
        <v>21.526199999999999</v>
      </c>
      <c r="M708" s="10">
        <f>CHOOSE(CONTROL!$C$42, 20.5917, 20.5917) * CHOOSE(CONTROL!$C$21, $C$9, 100%, $E$9)</f>
        <v>20.591699999999999</v>
      </c>
      <c r="N708" s="10">
        <f>CHOOSE(CONTROL!$C$42, 20.6079, 20.6079) * CHOOSE(CONTROL!$C$21, $C$9, 100%, $E$9)</f>
        <v>20.607900000000001</v>
      </c>
      <c r="O708" s="10">
        <f>CHOOSE(CONTROL!$C$42, 20.6801, 20.6801) * CHOOSE(CONTROL!$C$21, $C$9, 100%, $E$9)</f>
        <v>20.680099999999999</v>
      </c>
      <c r="P708" s="10">
        <f>CHOOSE(CONTROL!$C$42, 20.6432, 20.6432) * CHOOSE(CONTROL!$C$21, $C$9, 100%, $E$9)</f>
        <v>20.6432</v>
      </c>
      <c r="Q708" s="10">
        <f>CHOOSE(CONTROL!$C$42, 21.2754, 21.2754) * CHOOSE(CONTROL!$C$21, $C$9, 100%, $E$9)</f>
        <v>21.275400000000001</v>
      </c>
      <c r="R708" s="10">
        <f>CHOOSE(CONTROL!$C$42, 21.9155, 21.9155) * CHOOSE(CONTROL!$C$21, $C$9, 100%, $E$9)</f>
        <v>21.915500000000002</v>
      </c>
      <c r="S708" s="10">
        <f>CHOOSE(CONTROL!$C$42, 20.2412, 20.2412) * CHOOSE(CONTROL!$C$21, $C$9, 100%, $E$9)</f>
        <v>20.241199999999999</v>
      </c>
      <c r="T70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08" s="38">
        <f>(1000*CHOOSE(CONTROL!$C$42, 695, 695)*CHOOSE(CONTROL!$C$42, 0.5599, 0.5599)*CHOOSE(CONTROL!$C$42, 31, 31))/1000000</f>
        <v>12.063045499999998</v>
      </c>
      <c r="V708" s="38">
        <f>(1000*CHOOSE(CONTROL!$C$42, 500, 500)*CHOOSE(CONTROL!$C$42, 0.275, 0.275)*CHOOSE(CONTROL!$C$42, 31, 31))/1000000</f>
        <v>4.2625000000000002</v>
      </c>
      <c r="W708" s="38">
        <f>(1000*CHOOSE(CONTROL!$C$42, 0.1146, 0.1146)*CHOOSE(CONTROL!$C$42, 121.5, 121.5)*CHOOSE(CONTROL!$C$42, 31, 31))/1000000</f>
        <v>0.43164089999999994</v>
      </c>
      <c r="X708" s="38">
        <f>(31*0.1790888*100000/1000000)+(31*0.2374*100000/1000000)</f>
        <v>1.2911152800000001</v>
      </c>
      <c r="Y708" s="38">
        <f>(1000*600*CHOOSE(CONTROL!$C$42, 1.0585, 1.0585)*CHOOSE(CONTROL!$C$42, 31, 31))/1000000</f>
        <v>19.688099999999999</v>
      </c>
      <c r="Z708" s="38"/>
      <c r="AA708" s="10"/>
      <c r="AB708" s="39"/>
      <c r="AC708" s="33">
        <f>(B708*122.58+C708*297.941+D708*89.177+E708*40.302+F708*40+G708*160+H708*0+I708*100+J708*300)/(122.58+297.941+89.177+40.302+0+40+160+100+300)</f>
        <v>20.881303635565217</v>
      </c>
      <c r="AD708" s="27">
        <f>(M708*'RAP TEMPLATE-GAS AVAILABILITY'!O707+N708*'RAP TEMPLATE-GAS AVAILABILITY'!P707+O708*'RAP TEMPLATE-GAS AVAILABILITY'!Q707+P708*'RAP TEMPLATE-GAS AVAILABILITY'!R707)/('RAP TEMPLATE-GAS AVAILABILITY'!O707+'RAP TEMPLATE-GAS AVAILABILITY'!P707+'RAP TEMPLATE-GAS AVAILABILITY'!Q707+'RAP TEMPLATE-GAS AVAILABILITY'!R707)</f>
        <v>20.640108633093522</v>
      </c>
    </row>
    <row r="709" spans="1:30" ht="15.75">
      <c r="A709" s="13">
        <v>62854</v>
      </c>
      <c r="B709" s="10">
        <f>CHOOSE(CONTROL!$C$42, 22.2975, 22.2975) * CHOOSE(CONTROL!$C$21, $C$9, 100%, $E$9)</f>
        <v>22.297499999999999</v>
      </c>
      <c r="C709" s="10">
        <f>CHOOSE(CONTROL!$C$42, 22.3026, 22.3026) * CHOOSE(CONTROL!$C$21, $C$9, 100%, $E$9)</f>
        <v>22.302600000000002</v>
      </c>
      <c r="D709" s="10">
        <f>CHOOSE(CONTROL!$C$42, 22.335, 22.335) * CHOOSE(CONTROL!$C$21, $C$9, 100%, $E$9)</f>
        <v>22.335000000000001</v>
      </c>
      <c r="E709" s="10">
        <f>CHOOSE(CONTROL!$C$42, 22.3688, 22.3688) * CHOOSE(CONTROL!$C$21, $C$9, 100%, $E$9)</f>
        <v>22.3688</v>
      </c>
      <c r="F709" s="10">
        <f>CHOOSE(CONTROL!$C$42, 22.2817, 22.2817)*CHOOSE(CONTROL!$C$21, $C$9, 100%, $E$9)</f>
        <v>22.281700000000001</v>
      </c>
      <c r="G709" s="10">
        <f>CHOOSE(CONTROL!$C$42, 22.2997, 22.2997)*CHOOSE(CONTROL!$C$21, $C$9, 100%, $E$9)</f>
        <v>22.299700000000001</v>
      </c>
      <c r="H709" s="10">
        <f>CHOOSE(CONTROL!$C$42, 22.3577, 22.3577) * CHOOSE(CONTROL!$C$21, $C$9, 100%, $E$9)</f>
        <v>22.357700000000001</v>
      </c>
      <c r="I709" s="10">
        <f>CHOOSE(CONTROL!$C$42, 22.311, 22.311)* CHOOSE(CONTROL!$C$21, $C$9, 100%, $E$9)</f>
        <v>22.311</v>
      </c>
      <c r="J709" s="10">
        <f>CHOOSE(CONTROL!$C$42, 22.2743, 22.2743)* CHOOSE(CONTROL!$C$21, $C$9, 100%, $E$9)</f>
        <v>22.2743</v>
      </c>
      <c r="K709" s="10">
        <f>CHOOSE(CONTROL!$C$42, 21.7951, 21.7951) * CHOOSE(CONTROL!$C$21, $C$9, 100%, $E$9)</f>
        <v>21.795100000000001</v>
      </c>
      <c r="L709" s="10">
        <f>CHOOSE(CONTROL!$C$42, 22.9447, 22.9447) * CHOOSE(CONTROL!$C$21, $C$9, 100%, $E$9)</f>
        <v>22.944700000000001</v>
      </c>
      <c r="M709" s="10">
        <f>CHOOSE(CONTROL!$C$42, 21.9966, 21.9966) * CHOOSE(CONTROL!$C$21, $C$9, 100%, $E$9)</f>
        <v>21.996600000000001</v>
      </c>
      <c r="N709" s="10">
        <f>CHOOSE(CONTROL!$C$42, 22.0144, 22.0144) * CHOOSE(CONTROL!$C$21, $C$9, 100%, $E$9)</f>
        <v>22.014399999999998</v>
      </c>
      <c r="O709" s="10">
        <f>CHOOSE(CONTROL!$C$42, 22.0788, 22.0788) * CHOOSE(CONTROL!$C$21, $C$9, 100%, $E$9)</f>
        <v>22.078800000000001</v>
      </c>
      <c r="P709" s="10">
        <f>CHOOSE(CONTROL!$C$42, 22.0328, 22.0328) * CHOOSE(CONTROL!$C$21, $C$9, 100%, $E$9)</f>
        <v>22.032800000000002</v>
      </c>
      <c r="Q709" s="10">
        <f>CHOOSE(CONTROL!$C$42, 22.6741, 22.6741) * CHOOSE(CONTROL!$C$21, $C$9, 100%, $E$9)</f>
        <v>22.674099999999999</v>
      </c>
      <c r="R709" s="10">
        <f>CHOOSE(CONTROL!$C$42, 23.3178, 23.3178) * CHOOSE(CONTROL!$C$21, $C$9, 100%, $E$9)</f>
        <v>23.317799999999998</v>
      </c>
      <c r="S709" s="10">
        <f>CHOOSE(CONTROL!$C$42, 21.6073, 21.6073) * CHOOSE(CONTROL!$C$21, $C$9, 100%, $E$9)</f>
        <v>21.607299999999999</v>
      </c>
      <c r="T70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09" s="38">
        <f>(1000*CHOOSE(CONTROL!$C$42, 695, 695)*CHOOSE(CONTROL!$C$42, 0.5599, 0.5599)*CHOOSE(CONTROL!$C$42, 31, 31))/1000000</f>
        <v>12.063045499999998</v>
      </c>
      <c r="V709" s="38">
        <f>(1000*CHOOSE(CONTROL!$C$42, 500, 500)*CHOOSE(CONTROL!$C$42, 0.275, 0.275)*CHOOSE(CONTROL!$C$42, 31, 31))/1000000</f>
        <v>4.2625000000000002</v>
      </c>
      <c r="W709" s="38">
        <f>(1000*CHOOSE(CONTROL!$C$42, 0.1146, 0.1146)*CHOOSE(CONTROL!$C$42, 121.5, 121.5)*CHOOSE(CONTROL!$C$42, 31, 31))/1000000</f>
        <v>0.43164089999999994</v>
      </c>
      <c r="X709" s="38">
        <f>(31*0.1790888*100000/1000000)+(31*0.2374*100000/1000000)</f>
        <v>1.2911152800000001</v>
      </c>
      <c r="Y709" s="38">
        <f>(1000*600*CHOOSE(CONTROL!$C$42, 1.0585, 1.0585)*CHOOSE(CONTROL!$C$42, 31, 31))/1000000</f>
        <v>19.688099999999999</v>
      </c>
      <c r="Z709" s="38"/>
      <c r="AA709" s="10"/>
      <c r="AB709" s="39"/>
      <c r="AC709" s="33">
        <f>(B709*122.58+C709*297.941+D709*89.177+E709*40.302+F709*40+G709*160+H709*0+I709*100+J709*300)/(122.58+297.941+89.177+40.302+0+40+160+100+300)</f>
        <v>22.29910623408696</v>
      </c>
      <c r="AD709" s="27">
        <f>(M709*'RAP TEMPLATE-GAS AVAILABILITY'!O708+N709*'RAP TEMPLATE-GAS AVAILABILITY'!P708+O709*'RAP TEMPLATE-GAS AVAILABILITY'!Q708+P709*'RAP TEMPLATE-GAS AVAILABILITY'!R708)/('RAP TEMPLATE-GAS AVAILABILITY'!O708+'RAP TEMPLATE-GAS AVAILABILITY'!P708+'RAP TEMPLATE-GAS AVAILABILITY'!Q708+'RAP TEMPLATE-GAS AVAILABILITY'!R708)</f>
        <v>22.040089208633095</v>
      </c>
    </row>
    <row r="710" spans="1:30" ht="15.75">
      <c r="A710" s="13">
        <v>62883</v>
      </c>
      <c r="B710" s="10">
        <f>CHOOSE(CONTROL!$C$42, 22.6947, 22.6947) * CHOOSE(CONTROL!$C$21, $C$9, 100%, $E$9)</f>
        <v>22.694700000000001</v>
      </c>
      <c r="C710" s="10">
        <f>CHOOSE(CONTROL!$C$42, 22.6998, 22.6998) * CHOOSE(CONTROL!$C$21, $C$9, 100%, $E$9)</f>
        <v>22.6998</v>
      </c>
      <c r="D710" s="10">
        <f>CHOOSE(CONTROL!$C$42, 22.7323, 22.7323) * CHOOSE(CONTROL!$C$21, $C$9, 100%, $E$9)</f>
        <v>22.732299999999999</v>
      </c>
      <c r="E710" s="10">
        <f>CHOOSE(CONTROL!$C$42, 22.7661, 22.7661) * CHOOSE(CONTROL!$C$21, $C$9, 100%, $E$9)</f>
        <v>22.766100000000002</v>
      </c>
      <c r="F710" s="10">
        <f>CHOOSE(CONTROL!$C$42, 22.6785, 22.6785)*CHOOSE(CONTROL!$C$21, $C$9, 100%, $E$9)</f>
        <v>22.6785</v>
      </c>
      <c r="G710" s="10">
        <f>CHOOSE(CONTROL!$C$42, 22.6964, 22.6964)*CHOOSE(CONTROL!$C$21, $C$9, 100%, $E$9)</f>
        <v>22.696400000000001</v>
      </c>
      <c r="H710" s="10">
        <f>CHOOSE(CONTROL!$C$42, 22.7549, 22.7549) * CHOOSE(CONTROL!$C$21, $C$9, 100%, $E$9)</f>
        <v>22.754899999999999</v>
      </c>
      <c r="I710" s="10">
        <f>CHOOSE(CONTROL!$C$42, 22.7082, 22.7082)* CHOOSE(CONTROL!$C$21, $C$9, 100%, $E$9)</f>
        <v>22.708200000000001</v>
      </c>
      <c r="J710" s="10">
        <f>CHOOSE(CONTROL!$C$42, 22.6711, 22.6711)* CHOOSE(CONTROL!$C$21, $C$9, 100%, $E$9)</f>
        <v>22.671099999999999</v>
      </c>
      <c r="K710" s="10">
        <f>CHOOSE(CONTROL!$C$42, 22.179, 22.179) * CHOOSE(CONTROL!$C$21, $C$9, 100%, $E$9)</f>
        <v>22.178999999999998</v>
      </c>
      <c r="L710" s="10">
        <f>CHOOSE(CONTROL!$C$42, 23.3419, 23.3419) * CHOOSE(CONTROL!$C$21, $C$9, 100%, $E$9)</f>
        <v>23.341899999999999</v>
      </c>
      <c r="M710" s="10">
        <f>CHOOSE(CONTROL!$C$42, 22.3878, 22.3878) * CHOOSE(CONTROL!$C$21, $C$9, 100%, $E$9)</f>
        <v>22.387799999999999</v>
      </c>
      <c r="N710" s="10">
        <f>CHOOSE(CONTROL!$C$42, 22.4055, 22.4055) * CHOOSE(CONTROL!$C$21, $C$9, 100%, $E$9)</f>
        <v>22.4055</v>
      </c>
      <c r="O710" s="10">
        <f>CHOOSE(CONTROL!$C$42, 22.4705, 22.4705) * CHOOSE(CONTROL!$C$21, $C$9, 100%, $E$9)</f>
        <v>22.470500000000001</v>
      </c>
      <c r="P710" s="10">
        <f>CHOOSE(CONTROL!$C$42, 22.4244, 22.4244) * CHOOSE(CONTROL!$C$21, $C$9, 100%, $E$9)</f>
        <v>22.424399999999999</v>
      </c>
      <c r="Q710" s="10">
        <f>CHOOSE(CONTROL!$C$42, 23.0658, 23.0658) * CHOOSE(CONTROL!$C$21, $C$9, 100%, $E$9)</f>
        <v>23.065799999999999</v>
      </c>
      <c r="R710" s="10">
        <f>CHOOSE(CONTROL!$C$42, 23.7105, 23.7105) * CHOOSE(CONTROL!$C$21, $C$9, 100%, $E$9)</f>
        <v>23.7105</v>
      </c>
      <c r="S710" s="10">
        <f>CHOOSE(CONTROL!$C$42, 21.992, 21.992) * CHOOSE(CONTROL!$C$21, $C$9, 100%, $E$9)</f>
        <v>21.992000000000001</v>
      </c>
      <c r="T710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710" s="38">
        <f>(1000*CHOOSE(CONTROL!$C$42, 695, 695)*CHOOSE(CONTROL!$C$42, 0.5599, 0.5599)*CHOOSE(CONTROL!$C$42, 29, 29))/1000000</f>
        <v>11.284784499999999</v>
      </c>
      <c r="V710" s="38">
        <f>(1000*CHOOSE(CONTROL!$C$42, 500, 500)*CHOOSE(CONTROL!$C$42, 0.275, 0.275)*CHOOSE(CONTROL!$C$42, 29, 29))/1000000</f>
        <v>3.9874999999999998</v>
      </c>
      <c r="W710" s="38">
        <f>(1000*CHOOSE(CONTROL!$C$42, 0.1146, 0.1146)*CHOOSE(CONTROL!$C$42, 121.5, 121.5)*CHOOSE(CONTROL!$C$42, 29, 29))/1000000</f>
        <v>0.40379309999999996</v>
      </c>
      <c r="X710" s="38">
        <f>(29*0.1790888*100000/1000000)+(29*0.2374*100000/1000000)</f>
        <v>1.2078175199999999</v>
      </c>
      <c r="Y710" s="38">
        <f>(1000*600*CHOOSE(CONTROL!$C$42, 1.0585, 1.0585)*CHOOSE(CONTROL!$C$42, 29, 29))/1000000</f>
        <v>18.417899999999999</v>
      </c>
      <c r="Z710" s="38"/>
      <c r="AA710" s="10"/>
      <c r="AB710" s="39"/>
      <c r="AC710" s="33">
        <f>(B710*122.58+C710*297.941+D710*89.177+E710*40.302+F710*40+G710*160+H710*0+I710*100+J710*300)/(122.58+297.941+89.177+40.302+0+40+160+100+300)</f>
        <v>22.696129667043476</v>
      </c>
      <c r="AD710" s="27">
        <f>(M710*'RAP TEMPLATE-GAS AVAILABILITY'!O709+N710*'RAP TEMPLATE-GAS AVAILABILITY'!P709+O710*'RAP TEMPLATE-GAS AVAILABILITY'!Q709+P710*'RAP TEMPLATE-GAS AVAILABILITY'!R709)/('RAP TEMPLATE-GAS AVAILABILITY'!O709+'RAP TEMPLATE-GAS AVAILABILITY'!P709+'RAP TEMPLATE-GAS AVAILABILITY'!Q709+'RAP TEMPLATE-GAS AVAILABILITY'!R709)</f>
        <v>22.431567625899284</v>
      </c>
    </row>
    <row r="711" spans="1:30" ht="15.75">
      <c r="A711" s="13">
        <v>62914</v>
      </c>
      <c r="B711" s="10">
        <f>CHOOSE(CONTROL!$C$42, 22.0499, 22.0499) * CHOOSE(CONTROL!$C$21, $C$9, 100%, $E$9)</f>
        <v>22.049900000000001</v>
      </c>
      <c r="C711" s="10">
        <f>CHOOSE(CONTROL!$C$42, 22.055, 22.055) * CHOOSE(CONTROL!$C$21, $C$9, 100%, $E$9)</f>
        <v>22.055</v>
      </c>
      <c r="D711" s="10">
        <f>CHOOSE(CONTROL!$C$42, 22.0875, 22.0875) * CHOOSE(CONTROL!$C$21, $C$9, 100%, $E$9)</f>
        <v>22.087499999999999</v>
      </c>
      <c r="E711" s="10">
        <f>CHOOSE(CONTROL!$C$42, 22.1213, 22.1213) * CHOOSE(CONTROL!$C$21, $C$9, 100%, $E$9)</f>
        <v>22.121300000000002</v>
      </c>
      <c r="F711" s="10">
        <f>CHOOSE(CONTROL!$C$42, 22.0322, 22.0322)*CHOOSE(CONTROL!$C$21, $C$9, 100%, $E$9)</f>
        <v>22.0322</v>
      </c>
      <c r="G711" s="10">
        <f>CHOOSE(CONTROL!$C$42, 22.0498, 22.0498)*CHOOSE(CONTROL!$C$21, $C$9, 100%, $E$9)</f>
        <v>22.049800000000001</v>
      </c>
      <c r="H711" s="10">
        <f>CHOOSE(CONTROL!$C$42, 22.1102, 22.1102) * CHOOSE(CONTROL!$C$21, $C$9, 100%, $E$9)</f>
        <v>22.110199999999999</v>
      </c>
      <c r="I711" s="10">
        <f>CHOOSE(CONTROL!$C$42, 22.0634, 22.0634)* CHOOSE(CONTROL!$C$21, $C$9, 100%, $E$9)</f>
        <v>22.063400000000001</v>
      </c>
      <c r="J711" s="10">
        <f>CHOOSE(CONTROL!$C$42, 22.0248, 22.0248)* CHOOSE(CONTROL!$C$21, $C$9, 100%, $E$9)</f>
        <v>22.024799999999999</v>
      </c>
      <c r="K711" s="10">
        <f>CHOOSE(CONTROL!$C$42, 21.5512, 21.5512) * CHOOSE(CONTROL!$C$21, $C$9, 100%, $E$9)</f>
        <v>21.551200000000001</v>
      </c>
      <c r="L711" s="10">
        <f>CHOOSE(CONTROL!$C$42, 22.6972, 22.6972) * CHOOSE(CONTROL!$C$21, $C$9, 100%, $E$9)</f>
        <v>22.697199999999999</v>
      </c>
      <c r="M711" s="10">
        <f>CHOOSE(CONTROL!$C$42, 21.7506, 21.7506) * CHOOSE(CONTROL!$C$21, $C$9, 100%, $E$9)</f>
        <v>21.750599999999999</v>
      </c>
      <c r="N711" s="10">
        <f>CHOOSE(CONTROL!$C$42, 21.7679, 21.7679) * CHOOSE(CONTROL!$C$21, $C$9, 100%, $E$9)</f>
        <v>21.767900000000001</v>
      </c>
      <c r="O711" s="10">
        <f>CHOOSE(CONTROL!$C$42, 21.8347, 21.8347) * CHOOSE(CONTROL!$C$21, $C$9, 100%, $E$9)</f>
        <v>21.834700000000002</v>
      </c>
      <c r="P711" s="10">
        <f>CHOOSE(CONTROL!$C$42, 21.7887, 21.7887) * CHOOSE(CONTROL!$C$21, $C$9, 100%, $E$9)</f>
        <v>21.788699999999999</v>
      </c>
      <c r="Q711" s="10">
        <f>CHOOSE(CONTROL!$C$42, 22.43, 22.43) * CHOOSE(CONTROL!$C$21, $C$9, 100%, $E$9)</f>
        <v>22.43</v>
      </c>
      <c r="R711" s="10">
        <f>CHOOSE(CONTROL!$C$42, 23.0731, 23.0731) * CHOOSE(CONTROL!$C$21, $C$9, 100%, $E$9)</f>
        <v>23.0731</v>
      </c>
      <c r="S711" s="10">
        <f>CHOOSE(CONTROL!$C$42, 21.3676, 21.3676) * CHOOSE(CONTROL!$C$21, $C$9, 100%, $E$9)</f>
        <v>21.367599999999999</v>
      </c>
      <c r="T71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11" s="38">
        <f>(1000*CHOOSE(CONTROL!$C$42, 695, 695)*CHOOSE(CONTROL!$C$42, 0.5599, 0.5599)*CHOOSE(CONTROL!$C$42, 31, 31))/1000000</f>
        <v>12.063045499999998</v>
      </c>
      <c r="V711" s="38">
        <f>(1000*CHOOSE(CONTROL!$C$42, 500, 500)*CHOOSE(CONTROL!$C$42, 0.275, 0.275)*CHOOSE(CONTROL!$C$42, 31, 31))/1000000</f>
        <v>4.2625000000000002</v>
      </c>
      <c r="W711" s="38">
        <f>(1000*CHOOSE(CONTROL!$C$42, 0.1146, 0.1146)*CHOOSE(CONTROL!$C$42, 121.5, 121.5)*CHOOSE(CONTROL!$C$42, 31, 31))/1000000</f>
        <v>0.43164089999999994</v>
      </c>
      <c r="X711" s="38">
        <f>(31*0.1790888*100000/1000000)+(31*0.2374*100000/1000000)</f>
        <v>1.2911152800000001</v>
      </c>
      <c r="Y711" s="38">
        <f>(1000*600*CHOOSE(CONTROL!$C$42, 1.0585, 1.0585)*CHOOSE(CONTROL!$C$42, 31, 31))/1000000</f>
        <v>19.688099999999999</v>
      </c>
      <c r="Z711" s="38"/>
      <c r="AA711" s="10"/>
      <c r="AB711" s="39"/>
      <c r="AC711" s="33">
        <f>(B711*122.58+C711*297.941+D711*89.177+E711*40.302+F711*40+G711*160+H711*0+I711*100+J711*300)/(122.58+297.941+89.177+40.302+0+40+160+100+300)</f>
        <v>22.050635753999998</v>
      </c>
      <c r="AD711" s="27">
        <f>(M711*'RAP TEMPLATE-GAS AVAILABILITY'!O710+N711*'RAP TEMPLATE-GAS AVAILABILITY'!P710+O711*'RAP TEMPLATE-GAS AVAILABILITY'!Q710+P711*'RAP TEMPLATE-GAS AVAILABILITY'!R710)/('RAP TEMPLATE-GAS AVAILABILITY'!O710+'RAP TEMPLATE-GAS AVAILABILITY'!P710+'RAP TEMPLATE-GAS AVAILABILITY'!Q710+'RAP TEMPLATE-GAS AVAILABILITY'!R710)</f>
        <v>21.795194964028774</v>
      </c>
    </row>
    <row r="712" spans="1:30" ht="15.75">
      <c r="A712" s="13">
        <v>62944</v>
      </c>
      <c r="B712" s="10">
        <f>CHOOSE(CONTROL!$C$42, 21.9846, 21.9846) * CHOOSE(CONTROL!$C$21, $C$9, 100%, $E$9)</f>
        <v>21.9846</v>
      </c>
      <c r="C712" s="10">
        <f>CHOOSE(CONTROL!$C$42, 21.9892, 21.9892) * CHOOSE(CONTROL!$C$21, $C$9, 100%, $E$9)</f>
        <v>21.9892</v>
      </c>
      <c r="D712" s="10">
        <f>CHOOSE(CONTROL!$C$42, 22.1493, 22.1493) * CHOOSE(CONTROL!$C$21, $C$9, 100%, $E$9)</f>
        <v>22.1493</v>
      </c>
      <c r="E712" s="10">
        <f>CHOOSE(CONTROL!$C$42, 22.1811, 22.1811) * CHOOSE(CONTROL!$C$21, $C$9, 100%, $E$9)</f>
        <v>22.181100000000001</v>
      </c>
      <c r="F712" s="10">
        <f>CHOOSE(CONTROL!$C$42, 21.9307, 21.9307)*CHOOSE(CONTROL!$C$21, $C$9, 100%, $E$9)</f>
        <v>21.930700000000002</v>
      </c>
      <c r="G712" s="10">
        <f>CHOOSE(CONTROL!$C$42, 21.9466, 21.9466)*CHOOSE(CONTROL!$C$21, $C$9, 100%, $E$9)</f>
        <v>21.9466</v>
      </c>
      <c r="H712" s="10">
        <f>CHOOSE(CONTROL!$C$42, 22.1706, 22.1706) * CHOOSE(CONTROL!$C$21, $C$9, 100%, $E$9)</f>
        <v>22.1706</v>
      </c>
      <c r="I712" s="10">
        <f>CHOOSE(CONTROL!$C$42, 21.9648, 21.9648)* CHOOSE(CONTROL!$C$21, $C$9, 100%, $E$9)</f>
        <v>21.9648</v>
      </c>
      <c r="J712" s="10">
        <f>CHOOSE(CONTROL!$C$42, 21.9233, 21.9233)* CHOOSE(CONTROL!$C$21, $C$9, 100%, $E$9)</f>
        <v>21.923300000000001</v>
      </c>
      <c r="K712" s="10">
        <f>CHOOSE(CONTROL!$C$42, 21.4396, 21.4396) * CHOOSE(CONTROL!$C$21, $C$9, 100%, $E$9)</f>
        <v>21.439599999999999</v>
      </c>
      <c r="L712" s="10">
        <f>CHOOSE(CONTROL!$C$42, 22.7576, 22.7576) * CHOOSE(CONTROL!$C$21, $C$9, 100%, $E$9)</f>
        <v>22.7576</v>
      </c>
      <c r="M712" s="10">
        <f>CHOOSE(CONTROL!$C$42, 21.6505, 21.6505) * CHOOSE(CONTROL!$C$21, $C$9, 100%, $E$9)</f>
        <v>21.650500000000001</v>
      </c>
      <c r="N712" s="10">
        <f>CHOOSE(CONTROL!$C$42, 21.6661, 21.6661) * CHOOSE(CONTROL!$C$21, $C$9, 100%, $E$9)</f>
        <v>21.6661</v>
      </c>
      <c r="O712" s="10">
        <f>CHOOSE(CONTROL!$C$42, 21.8943, 21.8943) * CHOOSE(CONTROL!$C$21, $C$9, 100%, $E$9)</f>
        <v>21.894300000000001</v>
      </c>
      <c r="P712" s="10">
        <f>CHOOSE(CONTROL!$C$42, 21.6914, 21.6914) * CHOOSE(CONTROL!$C$21, $C$9, 100%, $E$9)</f>
        <v>21.691400000000002</v>
      </c>
      <c r="Q712" s="10">
        <f>CHOOSE(CONTROL!$C$42, 22.4896, 22.4896) * CHOOSE(CONTROL!$C$21, $C$9, 100%, $E$9)</f>
        <v>22.489599999999999</v>
      </c>
      <c r="R712" s="10">
        <f>CHOOSE(CONTROL!$C$42, 23.1328, 23.1328) * CHOOSE(CONTROL!$C$21, $C$9, 100%, $E$9)</f>
        <v>23.1328</v>
      </c>
      <c r="S712" s="10">
        <f>CHOOSE(CONTROL!$C$42, 21.3036, 21.3036) * CHOOSE(CONTROL!$C$21, $C$9, 100%, $E$9)</f>
        <v>21.303599999999999</v>
      </c>
      <c r="T71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12" s="38">
        <f>(1000*CHOOSE(CONTROL!$C$42, 695, 695)*CHOOSE(CONTROL!$C$42, 0.5599, 0.5599)*CHOOSE(CONTROL!$C$42, 30, 30))/1000000</f>
        <v>11.673914999999997</v>
      </c>
      <c r="V712" s="38">
        <f>(1000*CHOOSE(CONTROL!$C$42, 500, 500)*CHOOSE(CONTROL!$C$42, 0.275, 0.275)*CHOOSE(CONTROL!$C$42, 30, 30))/1000000</f>
        <v>4.125</v>
      </c>
      <c r="W712" s="38">
        <f>(1000*CHOOSE(CONTROL!$C$42, 0.1146, 0.1146)*CHOOSE(CONTROL!$C$42, 121.5, 121.5)*CHOOSE(CONTROL!$C$42, 30, 30))/1000000</f>
        <v>0.417717</v>
      </c>
      <c r="X712" s="38">
        <f>(30*0.1790888*245000/1000000)+(30*0.2374*100000/1000000)</f>
        <v>2.0285026799999999</v>
      </c>
      <c r="Y712" s="38">
        <f>(1000*600*CHOOSE(CONTROL!$C$42, 1.0585, 1.0585)*CHOOSE(CONTROL!$C$42, 30, 30))/1000000</f>
        <v>19.053000000000001</v>
      </c>
      <c r="Z712" s="38"/>
      <c r="AA712" s="10"/>
      <c r="AB712" s="39"/>
      <c r="AC712" s="33">
        <f>(B712*141.293+C712*267.993+D712*115.016+E712*89.698+F712*40+G712*185+H712*0+I712*100+J712*300)/(141.293+267.993+115.016+89.698+0+40+185+100+300)</f>
        <v>21.991255012106539</v>
      </c>
      <c r="AD712" s="27">
        <f>(M712*'RAP TEMPLATE-GAS AVAILABILITY'!O711+N712*'RAP TEMPLATE-GAS AVAILABILITY'!P711+O712*'RAP TEMPLATE-GAS AVAILABILITY'!Q711+P712*'RAP TEMPLATE-GAS AVAILABILITY'!R711)/('RAP TEMPLATE-GAS AVAILABILITY'!O711+'RAP TEMPLATE-GAS AVAILABILITY'!P711+'RAP TEMPLATE-GAS AVAILABILITY'!Q711+'RAP TEMPLATE-GAS AVAILABILITY'!R711)</f>
        <v>21.767782014388491</v>
      </c>
    </row>
    <row r="713" spans="1:30" ht="15.75">
      <c r="A713" s="13">
        <v>62975</v>
      </c>
      <c r="B713" s="10">
        <f>CHOOSE(CONTROL!$C$42, 22.1806, 22.1806) * CHOOSE(CONTROL!$C$21, $C$9, 100%, $E$9)</f>
        <v>22.180599999999998</v>
      </c>
      <c r="C713" s="10">
        <f>CHOOSE(CONTROL!$C$42, 22.1886, 22.1886) * CHOOSE(CONTROL!$C$21, $C$9, 100%, $E$9)</f>
        <v>22.188600000000001</v>
      </c>
      <c r="D713" s="10">
        <f>CHOOSE(CONTROL!$C$42, 22.3457, 22.3457) * CHOOSE(CONTROL!$C$21, $C$9, 100%, $E$9)</f>
        <v>22.345700000000001</v>
      </c>
      <c r="E713" s="10">
        <f>CHOOSE(CONTROL!$C$42, 22.3769, 22.3769) * CHOOSE(CONTROL!$C$21, $C$9, 100%, $E$9)</f>
        <v>22.376899999999999</v>
      </c>
      <c r="F713" s="10">
        <f>CHOOSE(CONTROL!$C$42, 22.1248, 22.1248)*CHOOSE(CONTROL!$C$21, $C$9, 100%, $E$9)</f>
        <v>22.1248</v>
      </c>
      <c r="G713" s="10">
        <f>CHOOSE(CONTROL!$C$42, 22.1409, 22.1409)*CHOOSE(CONTROL!$C$21, $C$9, 100%, $E$9)</f>
        <v>22.140899999999998</v>
      </c>
      <c r="H713" s="10">
        <f>CHOOSE(CONTROL!$C$42, 22.3652, 22.3652) * CHOOSE(CONTROL!$C$21, $C$9, 100%, $E$9)</f>
        <v>22.365200000000002</v>
      </c>
      <c r="I713" s="10">
        <f>CHOOSE(CONTROL!$C$42, 22.1594, 22.1594)* CHOOSE(CONTROL!$C$21, $C$9, 100%, $E$9)</f>
        <v>22.159400000000002</v>
      </c>
      <c r="J713" s="10">
        <f>CHOOSE(CONTROL!$C$42, 22.1174, 22.1174)* CHOOSE(CONTROL!$C$21, $C$9, 100%, $E$9)</f>
        <v>22.1174</v>
      </c>
      <c r="K713" s="10">
        <f>CHOOSE(CONTROL!$C$42, 21.6269, 21.6269) * CHOOSE(CONTROL!$C$21, $C$9, 100%, $E$9)</f>
        <v>21.626899999999999</v>
      </c>
      <c r="L713" s="10">
        <f>CHOOSE(CONTROL!$C$42, 22.9522, 22.9522) * CHOOSE(CONTROL!$C$21, $C$9, 100%, $E$9)</f>
        <v>22.952200000000001</v>
      </c>
      <c r="M713" s="10">
        <f>CHOOSE(CONTROL!$C$42, 21.8418, 21.8418) * CHOOSE(CONTROL!$C$21, $C$9, 100%, $E$9)</f>
        <v>21.841799999999999</v>
      </c>
      <c r="N713" s="10">
        <f>CHOOSE(CONTROL!$C$42, 21.8577, 21.8577) * CHOOSE(CONTROL!$C$21, $C$9, 100%, $E$9)</f>
        <v>21.857700000000001</v>
      </c>
      <c r="O713" s="10">
        <f>CHOOSE(CONTROL!$C$42, 22.0862, 22.0862) * CHOOSE(CONTROL!$C$21, $C$9, 100%, $E$9)</f>
        <v>22.086200000000002</v>
      </c>
      <c r="P713" s="10">
        <f>CHOOSE(CONTROL!$C$42, 21.8834, 21.8834) * CHOOSE(CONTROL!$C$21, $C$9, 100%, $E$9)</f>
        <v>21.883400000000002</v>
      </c>
      <c r="Q713" s="10">
        <f>CHOOSE(CONTROL!$C$42, 22.6815, 22.6815) * CHOOSE(CONTROL!$C$21, $C$9, 100%, $E$9)</f>
        <v>22.6815</v>
      </c>
      <c r="R713" s="10">
        <f>CHOOSE(CONTROL!$C$42, 23.3252, 23.3252) * CHOOSE(CONTROL!$C$21, $C$9, 100%, $E$9)</f>
        <v>23.325199999999999</v>
      </c>
      <c r="S713" s="10">
        <f>CHOOSE(CONTROL!$C$42, 21.4921, 21.4921) * CHOOSE(CONTROL!$C$21, $C$9, 100%, $E$9)</f>
        <v>21.492100000000001</v>
      </c>
      <c r="T71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13" s="38">
        <f>(1000*CHOOSE(CONTROL!$C$42, 695, 695)*CHOOSE(CONTROL!$C$42, 0.5599, 0.5599)*CHOOSE(CONTROL!$C$42, 31, 31))/1000000</f>
        <v>12.063045499999998</v>
      </c>
      <c r="V713" s="38">
        <f>(1000*CHOOSE(CONTROL!$C$42, 500, 500)*CHOOSE(CONTROL!$C$42, 0.275, 0.275)*CHOOSE(CONTROL!$C$42, 31, 31))/1000000</f>
        <v>4.2625000000000002</v>
      </c>
      <c r="W713" s="38">
        <f>(1000*CHOOSE(CONTROL!$C$42, 0.1146, 0.1146)*CHOOSE(CONTROL!$C$42, 121.5, 121.5)*CHOOSE(CONTROL!$C$42, 31, 31))/1000000</f>
        <v>0.43164089999999994</v>
      </c>
      <c r="X713" s="38">
        <f>(31*0.1790888*245000/1000000)+(31*0.2374*100000/1000000)</f>
        <v>2.0961194359999999</v>
      </c>
      <c r="Y713" s="38">
        <f>(1000*600*CHOOSE(CONTROL!$C$42, 1.0585, 1.0585)*CHOOSE(CONTROL!$C$42, 31, 31))/1000000</f>
        <v>19.688099999999999</v>
      </c>
      <c r="Z713" s="38"/>
      <c r="AA713" s="10"/>
      <c r="AB713" s="39"/>
      <c r="AC713" s="33">
        <f>(B713*194.205+C713*267.466+D713*133.845+E713*53.484+F713*40+G713*185+H713*0+I713*100+J713*300)/(194.205+267.466+133.845+53.484+0+40+185+100+300)</f>
        <v>22.183802469937209</v>
      </c>
      <c r="AD713" s="27">
        <f>(M713*'RAP TEMPLATE-GAS AVAILABILITY'!O712+N713*'RAP TEMPLATE-GAS AVAILABILITY'!P712+O713*'RAP TEMPLATE-GAS AVAILABILITY'!Q712+P713*'RAP TEMPLATE-GAS AVAILABILITY'!R712)/('RAP TEMPLATE-GAS AVAILABILITY'!O712+'RAP TEMPLATE-GAS AVAILABILITY'!P712+'RAP TEMPLATE-GAS AVAILABILITY'!Q712+'RAP TEMPLATE-GAS AVAILABILITY'!R712)</f>
        <v>21.959471942446044</v>
      </c>
    </row>
    <row r="714" spans="1:30" ht="15.75">
      <c r="A714" s="13">
        <v>63005</v>
      </c>
      <c r="B714" s="10">
        <f>CHOOSE(CONTROL!$C$42, 22.8102, 22.8102) * CHOOSE(CONTROL!$C$21, $C$9, 100%, $E$9)</f>
        <v>22.810199999999998</v>
      </c>
      <c r="C714" s="10">
        <f>CHOOSE(CONTROL!$C$42, 22.8182, 22.8182) * CHOOSE(CONTROL!$C$21, $C$9, 100%, $E$9)</f>
        <v>22.818200000000001</v>
      </c>
      <c r="D714" s="10">
        <f>CHOOSE(CONTROL!$C$42, 22.9753, 22.9753) * CHOOSE(CONTROL!$C$21, $C$9, 100%, $E$9)</f>
        <v>22.975300000000001</v>
      </c>
      <c r="E714" s="10">
        <f>CHOOSE(CONTROL!$C$42, 23.0065, 23.0065) * CHOOSE(CONTROL!$C$21, $C$9, 100%, $E$9)</f>
        <v>23.006499999999999</v>
      </c>
      <c r="F714" s="10">
        <f>CHOOSE(CONTROL!$C$42, 22.7545, 22.7545)*CHOOSE(CONTROL!$C$21, $C$9, 100%, $E$9)</f>
        <v>22.7545</v>
      </c>
      <c r="G714" s="10">
        <f>CHOOSE(CONTROL!$C$42, 22.7707, 22.7707)*CHOOSE(CONTROL!$C$21, $C$9, 100%, $E$9)</f>
        <v>22.770700000000001</v>
      </c>
      <c r="H714" s="10">
        <f>CHOOSE(CONTROL!$C$42, 22.9948, 22.9948) * CHOOSE(CONTROL!$C$21, $C$9, 100%, $E$9)</f>
        <v>22.994800000000001</v>
      </c>
      <c r="I714" s="10">
        <f>CHOOSE(CONTROL!$C$42, 22.789, 22.789)* CHOOSE(CONTROL!$C$21, $C$9, 100%, $E$9)</f>
        <v>22.789000000000001</v>
      </c>
      <c r="J714" s="10">
        <f>CHOOSE(CONTROL!$C$42, 22.7471, 22.7471)* CHOOSE(CONTROL!$C$21, $C$9, 100%, $E$9)</f>
        <v>22.7471</v>
      </c>
      <c r="K714" s="10">
        <f>CHOOSE(CONTROL!$C$42, 22.2372, 22.2372) * CHOOSE(CONTROL!$C$21, $C$9, 100%, $E$9)</f>
        <v>22.237200000000001</v>
      </c>
      <c r="L714" s="10">
        <f>CHOOSE(CONTROL!$C$42, 23.5818, 23.5818) * CHOOSE(CONTROL!$C$21, $C$9, 100%, $E$9)</f>
        <v>23.581800000000001</v>
      </c>
      <c r="M714" s="10">
        <f>CHOOSE(CONTROL!$C$42, 22.4628, 22.4628) * CHOOSE(CONTROL!$C$21, $C$9, 100%, $E$9)</f>
        <v>22.462800000000001</v>
      </c>
      <c r="N714" s="10">
        <f>CHOOSE(CONTROL!$C$42, 22.4788, 22.4788) * CHOOSE(CONTROL!$C$21, $C$9, 100%, $E$9)</f>
        <v>22.4788</v>
      </c>
      <c r="O714" s="10">
        <f>CHOOSE(CONTROL!$C$42, 22.707, 22.707) * CHOOSE(CONTROL!$C$21, $C$9, 100%, $E$9)</f>
        <v>22.707000000000001</v>
      </c>
      <c r="P714" s="10">
        <f>CHOOSE(CONTROL!$C$42, 22.5041, 22.5041) * CHOOSE(CONTROL!$C$21, $C$9, 100%, $E$9)</f>
        <v>22.504100000000001</v>
      </c>
      <c r="Q714" s="10">
        <f>CHOOSE(CONTROL!$C$42, 23.3023, 23.3023) * CHOOSE(CONTROL!$C$21, $C$9, 100%, $E$9)</f>
        <v>23.302299999999999</v>
      </c>
      <c r="R714" s="10">
        <f>CHOOSE(CONTROL!$C$42, 23.9476, 23.9476) * CHOOSE(CONTROL!$C$21, $C$9, 100%, $E$9)</f>
        <v>23.947600000000001</v>
      </c>
      <c r="S714" s="10">
        <f>CHOOSE(CONTROL!$C$42, 22.1017, 22.1017) * CHOOSE(CONTROL!$C$21, $C$9, 100%, $E$9)</f>
        <v>22.101700000000001</v>
      </c>
      <c r="T71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14" s="38">
        <f>(1000*CHOOSE(CONTROL!$C$42, 695, 695)*CHOOSE(CONTROL!$C$42, 0.5599, 0.5599)*CHOOSE(CONTROL!$C$42, 30, 30))/1000000</f>
        <v>11.673914999999997</v>
      </c>
      <c r="V714" s="38">
        <f>(1000*CHOOSE(CONTROL!$C$42, 500, 500)*CHOOSE(CONTROL!$C$42, 0.275, 0.275)*CHOOSE(CONTROL!$C$42, 30, 30))/1000000</f>
        <v>4.125</v>
      </c>
      <c r="W714" s="38">
        <f>(1000*CHOOSE(CONTROL!$C$42, 0.1146, 0.1146)*CHOOSE(CONTROL!$C$42, 121.5, 121.5)*CHOOSE(CONTROL!$C$42, 30, 30))/1000000</f>
        <v>0.417717</v>
      </c>
      <c r="X714" s="38">
        <f>(30*0.1790888*245000/1000000)+(30*0.2374*100000/1000000)</f>
        <v>2.0285026799999999</v>
      </c>
      <c r="Y714" s="38">
        <f>(1000*600*CHOOSE(CONTROL!$C$42, 1.0585, 1.0585)*CHOOSE(CONTROL!$C$42, 30, 30))/1000000</f>
        <v>19.053000000000001</v>
      </c>
      <c r="Z714" s="38"/>
      <c r="AA714" s="10"/>
      <c r="AB714" s="39"/>
      <c r="AC714" s="33">
        <f>(B714*194.205+C714*267.466+D714*133.845+E714*53.484+F714*40+G714*185+H714*0+I714*100+J714*300)/(194.205+267.466+133.845+53.484+0+40+185+100+300)</f>
        <v>22.813458199921509</v>
      </c>
      <c r="AD714" s="27">
        <f>(M714*'RAP TEMPLATE-GAS AVAILABILITY'!O713+N714*'RAP TEMPLATE-GAS AVAILABILITY'!P713+O714*'RAP TEMPLATE-GAS AVAILABILITY'!Q713+P714*'RAP TEMPLATE-GAS AVAILABILITY'!R713)/('RAP TEMPLATE-GAS AVAILABILITY'!O713+'RAP TEMPLATE-GAS AVAILABILITY'!P713+'RAP TEMPLATE-GAS AVAILABILITY'!Q713+'RAP TEMPLATE-GAS AVAILABILITY'!R713)</f>
        <v>22.580343884892088</v>
      </c>
    </row>
    <row r="715" spans="1:30" ht="15.75">
      <c r="A715" s="13">
        <v>63036</v>
      </c>
      <c r="B715" s="10">
        <f>CHOOSE(CONTROL!$C$42, 22.3723, 22.3723) * CHOOSE(CONTROL!$C$21, $C$9, 100%, $E$9)</f>
        <v>22.372299999999999</v>
      </c>
      <c r="C715" s="10">
        <f>CHOOSE(CONTROL!$C$42, 22.3803, 22.3803) * CHOOSE(CONTROL!$C$21, $C$9, 100%, $E$9)</f>
        <v>22.380299999999998</v>
      </c>
      <c r="D715" s="10">
        <f>CHOOSE(CONTROL!$C$42, 22.5374, 22.5374) * CHOOSE(CONTROL!$C$21, $C$9, 100%, $E$9)</f>
        <v>22.537400000000002</v>
      </c>
      <c r="E715" s="10">
        <f>CHOOSE(CONTROL!$C$42, 22.5686, 22.5686) * CHOOSE(CONTROL!$C$21, $C$9, 100%, $E$9)</f>
        <v>22.5686</v>
      </c>
      <c r="F715" s="10">
        <f>CHOOSE(CONTROL!$C$42, 22.317, 22.317)*CHOOSE(CONTROL!$C$21, $C$9, 100%, $E$9)</f>
        <v>22.317</v>
      </c>
      <c r="G715" s="10">
        <f>CHOOSE(CONTROL!$C$42, 22.3332, 22.3332)*CHOOSE(CONTROL!$C$21, $C$9, 100%, $E$9)</f>
        <v>22.333200000000001</v>
      </c>
      <c r="H715" s="10">
        <f>CHOOSE(CONTROL!$C$42, 22.5569, 22.5569) * CHOOSE(CONTROL!$C$21, $C$9, 100%, $E$9)</f>
        <v>22.556899999999999</v>
      </c>
      <c r="I715" s="10">
        <f>CHOOSE(CONTROL!$C$42, 22.3511, 22.3511)* CHOOSE(CONTROL!$C$21, $C$9, 100%, $E$9)</f>
        <v>22.351099999999999</v>
      </c>
      <c r="J715" s="10">
        <f>CHOOSE(CONTROL!$C$42, 22.3096, 22.3096)* CHOOSE(CONTROL!$C$21, $C$9, 100%, $E$9)</f>
        <v>22.3096</v>
      </c>
      <c r="K715" s="10">
        <f>CHOOSE(CONTROL!$C$42, 21.8137, 21.8137) * CHOOSE(CONTROL!$C$21, $C$9, 100%, $E$9)</f>
        <v>21.813700000000001</v>
      </c>
      <c r="L715" s="10">
        <f>CHOOSE(CONTROL!$C$42, 23.1439, 23.1439) * CHOOSE(CONTROL!$C$21, $C$9, 100%, $E$9)</f>
        <v>23.143899999999999</v>
      </c>
      <c r="M715" s="10">
        <f>CHOOSE(CONTROL!$C$42, 22.0314, 22.0314) * CHOOSE(CONTROL!$C$21, $C$9, 100%, $E$9)</f>
        <v>22.031400000000001</v>
      </c>
      <c r="N715" s="10">
        <f>CHOOSE(CONTROL!$C$42, 22.0474, 22.0474) * CHOOSE(CONTROL!$C$21, $C$9, 100%, $E$9)</f>
        <v>22.0474</v>
      </c>
      <c r="O715" s="10">
        <f>CHOOSE(CONTROL!$C$42, 22.2753, 22.2753) * CHOOSE(CONTROL!$C$21, $C$9, 100%, $E$9)</f>
        <v>22.275300000000001</v>
      </c>
      <c r="P715" s="10">
        <f>CHOOSE(CONTROL!$C$42, 22.0724, 22.0724) * CHOOSE(CONTROL!$C$21, $C$9, 100%, $E$9)</f>
        <v>22.072399999999998</v>
      </c>
      <c r="Q715" s="10">
        <f>CHOOSE(CONTROL!$C$42, 22.8706, 22.8706) * CHOOSE(CONTROL!$C$21, $C$9, 100%, $E$9)</f>
        <v>22.8706</v>
      </c>
      <c r="R715" s="10">
        <f>CHOOSE(CONTROL!$C$42, 23.5147, 23.5147) * CHOOSE(CONTROL!$C$21, $C$9, 100%, $E$9)</f>
        <v>23.514700000000001</v>
      </c>
      <c r="S715" s="10">
        <f>CHOOSE(CONTROL!$C$42, 21.6777, 21.6777) * CHOOSE(CONTROL!$C$21, $C$9, 100%, $E$9)</f>
        <v>21.677700000000002</v>
      </c>
      <c r="T71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15" s="38">
        <f>(1000*CHOOSE(CONTROL!$C$42, 695, 695)*CHOOSE(CONTROL!$C$42, 0.5599, 0.5599)*CHOOSE(CONTROL!$C$42, 31, 31))/1000000</f>
        <v>12.063045499999998</v>
      </c>
      <c r="V715" s="38">
        <f>(1000*CHOOSE(CONTROL!$C$42, 500, 500)*CHOOSE(CONTROL!$C$42, 0.275, 0.275)*CHOOSE(CONTROL!$C$42, 31, 31))/1000000</f>
        <v>4.2625000000000002</v>
      </c>
      <c r="W715" s="38">
        <f>(1000*CHOOSE(CONTROL!$C$42, 0.1146, 0.1146)*CHOOSE(CONTROL!$C$42, 121.5, 121.5)*CHOOSE(CONTROL!$C$42, 31, 31))/1000000</f>
        <v>0.43164089999999994</v>
      </c>
      <c r="X715" s="38">
        <f>(31*0.1790888*245000/1000000)+(31*0.2374*100000/1000000)</f>
        <v>2.0961194359999999</v>
      </c>
      <c r="Y715" s="38">
        <f>(1000*600*CHOOSE(CONTROL!$C$42, 1.0585, 1.0585)*CHOOSE(CONTROL!$C$42, 31, 31))/1000000</f>
        <v>19.688099999999999</v>
      </c>
      <c r="Z715" s="38"/>
      <c r="AA715" s="10"/>
      <c r="AB715" s="39"/>
      <c r="AC715" s="33">
        <f>(B715*194.205+C715*267.466+D715*133.845+E715*53.484+F715*40+G715*185+H715*0+I715*100+J715*300)/(194.205+267.466+133.845+53.484+0+40+185+100+300)</f>
        <v>22.375723035086345</v>
      </c>
      <c r="AD715" s="27">
        <f>(M715*'RAP TEMPLATE-GAS AVAILABILITY'!O714+N715*'RAP TEMPLATE-GAS AVAILABILITY'!P714+O715*'RAP TEMPLATE-GAS AVAILABILITY'!Q714+P715*'RAP TEMPLATE-GAS AVAILABILITY'!R714)/('RAP TEMPLATE-GAS AVAILABILITY'!O714+'RAP TEMPLATE-GAS AVAILABILITY'!P714+'RAP TEMPLATE-GAS AVAILABILITY'!Q714+'RAP TEMPLATE-GAS AVAILABILITY'!R714)</f>
        <v>22.148764748201437</v>
      </c>
    </row>
    <row r="716" spans="1:30" ht="15.75">
      <c r="A716" s="13">
        <v>63067</v>
      </c>
      <c r="B716" s="10">
        <f>CHOOSE(CONTROL!$C$42, 21.2666, 21.2666) * CHOOSE(CONTROL!$C$21, $C$9, 100%, $E$9)</f>
        <v>21.2666</v>
      </c>
      <c r="C716" s="10">
        <f>CHOOSE(CONTROL!$C$42, 21.2746, 21.2746) * CHOOSE(CONTROL!$C$21, $C$9, 100%, $E$9)</f>
        <v>21.2746</v>
      </c>
      <c r="D716" s="10">
        <f>CHOOSE(CONTROL!$C$42, 21.4316, 21.4316) * CHOOSE(CONTROL!$C$21, $C$9, 100%, $E$9)</f>
        <v>21.4316</v>
      </c>
      <c r="E716" s="10">
        <f>CHOOSE(CONTROL!$C$42, 21.4628, 21.4628) * CHOOSE(CONTROL!$C$21, $C$9, 100%, $E$9)</f>
        <v>21.462800000000001</v>
      </c>
      <c r="F716" s="10">
        <f>CHOOSE(CONTROL!$C$42, 21.2112, 21.2112)*CHOOSE(CONTROL!$C$21, $C$9, 100%, $E$9)</f>
        <v>21.211200000000002</v>
      </c>
      <c r="G716" s="10">
        <f>CHOOSE(CONTROL!$C$42, 21.2274, 21.2274)*CHOOSE(CONTROL!$C$21, $C$9, 100%, $E$9)</f>
        <v>21.227399999999999</v>
      </c>
      <c r="H716" s="10">
        <f>CHOOSE(CONTROL!$C$42, 21.4512, 21.4512) * CHOOSE(CONTROL!$C$21, $C$9, 100%, $E$9)</f>
        <v>21.4512</v>
      </c>
      <c r="I716" s="10">
        <f>CHOOSE(CONTROL!$C$42, 21.2454, 21.2454)* CHOOSE(CONTROL!$C$21, $C$9, 100%, $E$9)</f>
        <v>21.2454</v>
      </c>
      <c r="J716" s="10">
        <f>CHOOSE(CONTROL!$C$42, 21.2038, 21.2038)* CHOOSE(CONTROL!$C$21, $C$9, 100%, $E$9)</f>
        <v>21.203800000000001</v>
      </c>
      <c r="K716" s="10">
        <f>CHOOSE(CONTROL!$C$42, 20.7423, 20.7423) * CHOOSE(CONTROL!$C$21, $C$9, 100%, $E$9)</f>
        <v>20.7423</v>
      </c>
      <c r="L716" s="10">
        <f>CHOOSE(CONTROL!$C$42, 22.0382, 22.0382) * CHOOSE(CONTROL!$C$21, $C$9, 100%, $E$9)</f>
        <v>22.0382</v>
      </c>
      <c r="M716" s="10">
        <f>CHOOSE(CONTROL!$C$42, 20.941, 20.941) * CHOOSE(CONTROL!$C$21, $C$9, 100%, $E$9)</f>
        <v>20.940999999999999</v>
      </c>
      <c r="N716" s="10">
        <f>CHOOSE(CONTROL!$C$42, 20.957, 20.957) * CHOOSE(CONTROL!$C$21, $C$9, 100%, $E$9)</f>
        <v>20.957000000000001</v>
      </c>
      <c r="O716" s="10">
        <f>CHOOSE(CONTROL!$C$42, 21.1849, 21.1849) * CHOOSE(CONTROL!$C$21, $C$9, 100%, $E$9)</f>
        <v>21.184899999999999</v>
      </c>
      <c r="P716" s="10">
        <f>CHOOSE(CONTROL!$C$42, 20.982, 20.982) * CHOOSE(CONTROL!$C$21, $C$9, 100%, $E$9)</f>
        <v>20.981999999999999</v>
      </c>
      <c r="Q716" s="10">
        <f>CHOOSE(CONTROL!$C$42, 21.7802, 21.7802) * CHOOSE(CONTROL!$C$21, $C$9, 100%, $E$9)</f>
        <v>21.780200000000001</v>
      </c>
      <c r="R716" s="10">
        <f>CHOOSE(CONTROL!$C$42, 22.4217, 22.4217) * CHOOSE(CONTROL!$C$21, $C$9, 100%, $E$9)</f>
        <v>22.421700000000001</v>
      </c>
      <c r="S716" s="10">
        <f>CHOOSE(CONTROL!$C$42, 20.607, 20.607) * CHOOSE(CONTROL!$C$21, $C$9, 100%, $E$9)</f>
        <v>20.606999999999999</v>
      </c>
      <c r="T71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16" s="38">
        <f>(1000*CHOOSE(CONTROL!$C$42, 695, 695)*CHOOSE(CONTROL!$C$42, 0.5599, 0.5599)*CHOOSE(CONTROL!$C$42, 31, 31))/1000000</f>
        <v>12.063045499999998</v>
      </c>
      <c r="V716" s="38">
        <f>(1000*CHOOSE(CONTROL!$C$42, 500, 500)*CHOOSE(CONTROL!$C$42, 0.275, 0.275)*CHOOSE(CONTROL!$C$42, 31, 31))/1000000</f>
        <v>4.2625000000000002</v>
      </c>
      <c r="W716" s="38">
        <f>(1000*CHOOSE(CONTROL!$C$42, 0.1146, 0.1146)*CHOOSE(CONTROL!$C$42, 121.5, 121.5)*CHOOSE(CONTROL!$C$42, 31, 31))/1000000</f>
        <v>0.43164089999999994</v>
      </c>
      <c r="X716" s="38">
        <f>(31*0.1790888*245000/1000000)+(31*0.2374*100000/1000000)</f>
        <v>2.0961194359999999</v>
      </c>
      <c r="Y716" s="38">
        <f>(1000*600*CHOOSE(CONTROL!$C$42, 1.0585, 1.0585)*CHOOSE(CONTROL!$C$42, 31, 31))/1000000</f>
        <v>19.688099999999999</v>
      </c>
      <c r="Z716" s="38"/>
      <c r="AA716" s="10"/>
      <c r="AB716" s="39"/>
      <c r="AC716" s="33">
        <f>(B716*194.205+C716*267.466+D716*133.845+E716*53.484+F716*40+G716*185+H716*0+I716*100+J716*300)/(194.205+267.466+133.845+53.484+0+40+185+100+300)</f>
        <v>21.269967122291995</v>
      </c>
      <c r="AD716" s="27">
        <f>(M716*'RAP TEMPLATE-GAS AVAILABILITY'!O715+N716*'RAP TEMPLATE-GAS AVAILABILITY'!P715+O716*'RAP TEMPLATE-GAS AVAILABILITY'!Q715+P716*'RAP TEMPLATE-GAS AVAILABILITY'!R715)/('RAP TEMPLATE-GAS AVAILABILITY'!O715+'RAP TEMPLATE-GAS AVAILABILITY'!P715+'RAP TEMPLATE-GAS AVAILABILITY'!Q715+'RAP TEMPLATE-GAS AVAILABILITY'!R715)</f>
        <v>21.058364748201438</v>
      </c>
    </row>
    <row r="717" spans="1:30" ht="15.75">
      <c r="A717" s="13">
        <v>63097</v>
      </c>
      <c r="B717" s="10">
        <f>CHOOSE(CONTROL!$C$42, 19.9155, 19.9155) * CHOOSE(CONTROL!$C$21, $C$9, 100%, $E$9)</f>
        <v>19.915500000000002</v>
      </c>
      <c r="C717" s="10">
        <f>CHOOSE(CONTROL!$C$42, 19.9235, 19.9235) * CHOOSE(CONTROL!$C$21, $C$9, 100%, $E$9)</f>
        <v>19.923500000000001</v>
      </c>
      <c r="D717" s="10">
        <f>CHOOSE(CONTROL!$C$42, 20.0806, 20.0806) * CHOOSE(CONTROL!$C$21, $C$9, 100%, $E$9)</f>
        <v>20.0806</v>
      </c>
      <c r="E717" s="10">
        <f>CHOOSE(CONTROL!$C$42, 20.1118, 20.1118) * CHOOSE(CONTROL!$C$21, $C$9, 100%, $E$9)</f>
        <v>20.111799999999999</v>
      </c>
      <c r="F717" s="10">
        <f>CHOOSE(CONTROL!$C$42, 19.8599, 19.8599)*CHOOSE(CONTROL!$C$21, $C$9, 100%, $E$9)</f>
        <v>19.8599</v>
      </c>
      <c r="G717" s="10">
        <f>CHOOSE(CONTROL!$C$42, 19.8761, 19.8761)*CHOOSE(CONTROL!$C$21, $C$9, 100%, $E$9)</f>
        <v>19.876100000000001</v>
      </c>
      <c r="H717" s="10">
        <f>CHOOSE(CONTROL!$C$42, 20.1001, 20.1001) * CHOOSE(CONTROL!$C$21, $C$9, 100%, $E$9)</f>
        <v>20.100100000000001</v>
      </c>
      <c r="I717" s="10">
        <f>CHOOSE(CONTROL!$C$42, 19.8943, 19.8943)* CHOOSE(CONTROL!$C$21, $C$9, 100%, $E$9)</f>
        <v>19.894300000000001</v>
      </c>
      <c r="J717" s="10">
        <f>CHOOSE(CONTROL!$C$42, 19.8525, 19.8525)* CHOOSE(CONTROL!$C$21, $C$9, 100%, $E$9)</f>
        <v>19.852499999999999</v>
      </c>
      <c r="K717" s="10">
        <f>CHOOSE(CONTROL!$C$42, 19.433, 19.433) * CHOOSE(CONTROL!$C$21, $C$9, 100%, $E$9)</f>
        <v>19.433</v>
      </c>
      <c r="L717" s="10">
        <f>CHOOSE(CONTROL!$C$42, 20.6871, 20.6871) * CHOOSE(CONTROL!$C$21, $C$9, 100%, $E$9)</f>
        <v>20.687100000000001</v>
      </c>
      <c r="M717" s="10">
        <f>CHOOSE(CONTROL!$C$42, 19.6086, 19.6086) * CHOOSE(CONTROL!$C$21, $C$9, 100%, $E$9)</f>
        <v>19.608599999999999</v>
      </c>
      <c r="N717" s="10">
        <f>CHOOSE(CONTROL!$C$42, 19.6245, 19.6245) * CHOOSE(CONTROL!$C$21, $C$9, 100%, $E$9)</f>
        <v>19.624500000000001</v>
      </c>
      <c r="O717" s="10">
        <f>CHOOSE(CONTROL!$C$42, 19.8527, 19.8527) * CHOOSE(CONTROL!$C$21, $C$9, 100%, $E$9)</f>
        <v>19.852699999999999</v>
      </c>
      <c r="P717" s="10">
        <f>CHOOSE(CONTROL!$C$42, 19.6499, 19.6499) * CHOOSE(CONTROL!$C$21, $C$9, 100%, $E$9)</f>
        <v>19.649899999999999</v>
      </c>
      <c r="Q717" s="10">
        <f>CHOOSE(CONTROL!$C$42, 20.448, 20.448) * CHOOSE(CONTROL!$C$21, $C$9, 100%, $E$9)</f>
        <v>20.448</v>
      </c>
      <c r="R717" s="10">
        <f>CHOOSE(CONTROL!$C$42, 21.0862, 21.0862) * CHOOSE(CONTROL!$C$21, $C$9, 100%, $E$9)</f>
        <v>21.086200000000002</v>
      </c>
      <c r="S717" s="10">
        <f>CHOOSE(CONTROL!$C$42, 19.2988, 19.2988) * CHOOSE(CONTROL!$C$21, $C$9, 100%, $E$9)</f>
        <v>19.2988</v>
      </c>
      <c r="T71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17" s="38">
        <f>(1000*CHOOSE(CONTROL!$C$42, 695, 695)*CHOOSE(CONTROL!$C$42, 0.5599, 0.5599)*CHOOSE(CONTROL!$C$42, 30, 30))/1000000</f>
        <v>11.673914999999997</v>
      </c>
      <c r="V717" s="38">
        <f>(1000*CHOOSE(CONTROL!$C$42, 500, 500)*CHOOSE(CONTROL!$C$42, 0.275, 0.275)*CHOOSE(CONTROL!$C$42, 30, 30))/1000000</f>
        <v>4.125</v>
      </c>
      <c r="W717" s="38">
        <f>(1000*CHOOSE(CONTROL!$C$42, 0.1146, 0.1146)*CHOOSE(CONTROL!$C$42, 121.5, 121.5)*CHOOSE(CONTROL!$C$42, 30, 30))/1000000</f>
        <v>0.417717</v>
      </c>
      <c r="X717" s="38">
        <f>(30*0.1790888*245000/1000000)+(30*0.2374*100000/1000000)</f>
        <v>2.0285026799999999</v>
      </c>
      <c r="Y717" s="38">
        <f>(1000*600*CHOOSE(CONTROL!$C$42, 1.0585, 1.0585)*CHOOSE(CONTROL!$C$42, 30, 30))/1000000</f>
        <v>19.053000000000001</v>
      </c>
      <c r="Z717" s="38"/>
      <c r="AA717" s="10"/>
      <c r="AB717" s="39"/>
      <c r="AC717" s="33">
        <f>(B717*194.205+C717*267.466+D717*133.845+E717*53.484+F717*40+G717*185+H717*0+I717*100+J717*300)/(194.205+267.466+133.845+53.484+0+40+185+100+300)</f>
        <v>19.918799408712715</v>
      </c>
      <c r="AD717" s="27">
        <f>(M717*'RAP TEMPLATE-GAS AVAILABILITY'!O716+N717*'RAP TEMPLATE-GAS AVAILABILITY'!P716+O717*'RAP TEMPLATE-GAS AVAILABILITY'!Q716+P717*'RAP TEMPLATE-GAS AVAILABILITY'!R716)/('RAP TEMPLATE-GAS AVAILABILITY'!O716+'RAP TEMPLATE-GAS AVAILABILITY'!P716+'RAP TEMPLATE-GAS AVAILABILITY'!Q716+'RAP TEMPLATE-GAS AVAILABILITY'!R716)</f>
        <v>19.726092805755393</v>
      </c>
    </row>
    <row r="718" spans="1:30" ht="15.75">
      <c r="A718" s="13">
        <v>63128</v>
      </c>
      <c r="B718" s="10">
        <f>CHOOSE(CONTROL!$C$42, 19.5087, 19.5087) * CHOOSE(CONTROL!$C$21, $C$9, 100%, $E$9)</f>
        <v>19.508700000000001</v>
      </c>
      <c r="C718" s="10">
        <f>CHOOSE(CONTROL!$C$42, 19.5141, 19.5141) * CHOOSE(CONTROL!$C$21, $C$9, 100%, $E$9)</f>
        <v>19.514099999999999</v>
      </c>
      <c r="D718" s="10">
        <f>CHOOSE(CONTROL!$C$42, 19.676, 19.676) * CHOOSE(CONTROL!$C$21, $C$9, 100%, $E$9)</f>
        <v>19.675999999999998</v>
      </c>
      <c r="E718" s="10">
        <f>CHOOSE(CONTROL!$C$42, 19.7049, 19.7049) * CHOOSE(CONTROL!$C$21, $C$9, 100%, $E$9)</f>
        <v>19.704899999999999</v>
      </c>
      <c r="F718" s="10">
        <f>CHOOSE(CONTROL!$C$42, 19.4551, 19.4551)*CHOOSE(CONTROL!$C$21, $C$9, 100%, $E$9)</f>
        <v>19.455100000000002</v>
      </c>
      <c r="G718" s="10">
        <f>CHOOSE(CONTROL!$C$42, 19.4709, 19.4709)*CHOOSE(CONTROL!$C$21, $C$9, 100%, $E$9)</f>
        <v>19.4709</v>
      </c>
      <c r="H718" s="10">
        <f>CHOOSE(CONTROL!$C$42, 19.695, 19.695) * CHOOSE(CONTROL!$C$21, $C$9, 100%, $E$9)</f>
        <v>19.695</v>
      </c>
      <c r="I718" s="10">
        <f>CHOOSE(CONTROL!$C$42, 19.4892, 19.4892)* CHOOSE(CONTROL!$C$21, $C$9, 100%, $E$9)</f>
        <v>19.4892</v>
      </c>
      <c r="J718" s="10">
        <f>CHOOSE(CONTROL!$C$42, 19.4477, 19.4477)* CHOOSE(CONTROL!$C$21, $C$9, 100%, $E$9)</f>
        <v>19.447700000000001</v>
      </c>
      <c r="K718" s="10">
        <f>CHOOSE(CONTROL!$C$42, 19.0412, 19.0412) * CHOOSE(CONTROL!$C$21, $C$9, 100%, $E$9)</f>
        <v>19.0412</v>
      </c>
      <c r="L718" s="10">
        <f>CHOOSE(CONTROL!$C$42, 20.282, 20.282) * CHOOSE(CONTROL!$C$21, $C$9, 100%, $E$9)</f>
        <v>20.282</v>
      </c>
      <c r="M718" s="10">
        <f>CHOOSE(CONTROL!$C$42, 19.2094, 19.2094) * CHOOSE(CONTROL!$C$21, $C$9, 100%, $E$9)</f>
        <v>19.209399999999999</v>
      </c>
      <c r="N718" s="10">
        <f>CHOOSE(CONTROL!$C$42, 19.225, 19.225) * CHOOSE(CONTROL!$C$21, $C$9, 100%, $E$9)</f>
        <v>19.225000000000001</v>
      </c>
      <c r="O718" s="10">
        <f>CHOOSE(CONTROL!$C$42, 19.4533, 19.4533) * CHOOSE(CONTROL!$C$21, $C$9, 100%, $E$9)</f>
        <v>19.453299999999999</v>
      </c>
      <c r="P718" s="10">
        <f>CHOOSE(CONTROL!$C$42, 19.2504, 19.2504) * CHOOSE(CONTROL!$C$21, $C$9, 100%, $E$9)</f>
        <v>19.250399999999999</v>
      </c>
      <c r="Q718" s="10">
        <f>CHOOSE(CONTROL!$C$42, 20.0486, 20.0486) * CHOOSE(CONTROL!$C$21, $C$9, 100%, $E$9)</f>
        <v>20.0486</v>
      </c>
      <c r="R718" s="10">
        <f>CHOOSE(CONTROL!$C$42, 20.6857, 20.6857) * CHOOSE(CONTROL!$C$21, $C$9, 100%, $E$9)</f>
        <v>20.685700000000001</v>
      </c>
      <c r="S718" s="10">
        <f>CHOOSE(CONTROL!$C$42, 18.9066, 18.9066) * CHOOSE(CONTROL!$C$21, $C$9, 100%, $E$9)</f>
        <v>18.906600000000001</v>
      </c>
      <c r="T71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18" s="38">
        <f>(1000*CHOOSE(CONTROL!$C$42, 695, 695)*CHOOSE(CONTROL!$C$42, 0.5599, 0.5599)*CHOOSE(CONTROL!$C$42, 31, 31))/1000000</f>
        <v>12.063045499999998</v>
      </c>
      <c r="V718" s="38">
        <f>(1000*CHOOSE(CONTROL!$C$42, 500, 500)*CHOOSE(CONTROL!$C$42, 0.275, 0.275)*CHOOSE(CONTROL!$C$42, 31, 31))/1000000</f>
        <v>4.2625000000000002</v>
      </c>
      <c r="W718" s="38">
        <f>(1000*CHOOSE(CONTROL!$C$42, 0.1146, 0.1146)*CHOOSE(CONTROL!$C$42, 121.5, 121.5)*CHOOSE(CONTROL!$C$42, 31, 31))/1000000</f>
        <v>0.43164089999999994</v>
      </c>
      <c r="X718" s="38">
        <f>(31*0.1790888*245000/1000000)+(31*0.2374*100000/1000000)</f>
        <v>2.0961194359999999</v>
      </c>
      <c r="Y718" s="38">
        <f>(1000*600*CHOOSE(CONTROL!$C$42, 1.0585, 1.0585)*CHOOSE(CONTROL!$C$42, 31, 31))/1000000</f>
        <v>19.688099999999999</v>
      </c>
      <c r="Z718" s="38"/>
      <c r="AA718" s="10"/>
      <c r="AB718" s="39"/>
      <c r="AC718" s="33">
        <f>(B718*131.881+C718*277.167+D718*79.08+E718*125.872+F718*40+G718*185+H718*0+I718*100+J718*300)/(131.881+277.167+79.08+125.872+0+40+185+100+300)</f>
        <v>19.516799977562549</v>
      </c>
      <c r="AD718" s="27">
        <f>(M718*'RAP TEMPLATE-GAS AVAILABILITY'!O717+N718*'RAP TEMPLATE-GAS AVAILABILITY'!P717+O718*'RAP TEMPLATE-GAS AVAILABILITY'!Q717+P718*'RAP TEMPLATE-GAS AVAILABILITY'!R717)/('RAP TEMPLATE-GAS AVAILABILITY'!O717+'RAP TEMPLATE-GAS AVAILABILITY'!P717+'RAP TEMPLATE-GAS AVAILABILITY'!Q717+'RAP TEMPLATE-GAS AVAILABILITY'!R717)</f>
        <v>19.326741726618707</v>
      </c>
    </row>
    <row r="719" spans="1:30" ht="15.75">
      <c r="A719" s="13">
        <v>63158</v>
      </c>
      <c r="B719" s="10">
        <f>CHOOSE(CONTROL!$C$42, 20.0227, 20.0227) * CHOOSE(CONTROL!$C$21, $C$9, 100%, $E$9)</f>
        <v>20.0227</v>
      </c>
      <c r="C719" s="10">
        <f>CHOOSE(CONTROL!$C$42, 20.0278, 20.0278) * CHOOSE(CONTROL!$C$21, $C$9, 100%, $E$9)</f>
        <v>20.027799999999999</v>
      </c>
      <c r="D719" s="10">
        <f>CHOOSE(CONTROL!$C$42, 20.0525, 20.0525) * CHOOSE(CONTROL!$C$21, $C$9, 100%, $E$9)</f>
        <v>20.052499999999998</v>
      </c>
      <c r="E719" s="10">
        <f>CHOOSE(CONTROL!$C$42, 20.0863, 20.0863) * CHOOSE(CONTROL!$C$21, $C$9, 100%, $E$9)</f>
        <v>20.086300000000001</v>
      </c>
      <c r="F719" s="10">
        <f>CHOOSE(CONTROL!$C$42, 19.991, 19.991)*CHOOSE(CONTROL!$C$21, $C$9, 100%, $E$9)</f>
        <v>19.991</v>
      </c>
      <c r="G719" s="10">
        <f>CHOOSE(CONTROL!$C$42, 20.007, 20.007)*CHOOSE(CONTROL!$C$21, $C$9, 100%, $E$9)</f>
        <v>20.007000000000001</v>
      </c>
      <c r="H719" s="10">
        <f>CHOOSE(CONTROL!$C$42, 20.0752, 20.0752) * CHOOSE(CONTROL!$C$21, $C$9, 100%, $E$9)</f>
        <v>20.075199999999999</v>
      </c>
      <c r="I719" s="10">
        <f>CHOOSE(CONTROL!$C$42, 20.0377, 20.0377)* CHOOSE(CONTROL!$C$21, $C$9, 100%, $E$9)</f>
        <v>20.037700000000001</v>
      </c>
      <c r="J719" s="10">
        <f>CHOOSE(CONTROL!$C$42, 19.9836, 19.9836)* CHOOSE(CONTROL!$C$21, $C$9, 100%, $E$9)</f>
        <v>19.983599999999999</v>
      </c>
      <c r="K719" s="10">
        <f>CHOOSE(CONTROL!$C$42, 19.5748, 19.5748) * CHOOSE(CONTROL!$C$21, $C$9, 100%, $E$9)</f>
        <v>19.5748</v>
      </c>
      <c r="L719" s="10">
        <f>CHOOSE(CONTROL!$C$42, 20.6622, 20.6622) * CHOOSE(CONTROL!$C$21, $C$9, 100%, $E$9)</f>
        <v>20.662199999999999</v>
      </c>
      <c r="M719" s="10">
        <f>CHOOSE(CONTROL!$C$42, 19.7378, 19.7378) * CHOOSE(CONTROL!$C$21, $C$9, 100%, $E$9)</f>
        <v>19.7378</v>
      </c>
      <c r="N719" s="10">
        <f>CHOOSE(CONTROL!$C$42, 19.7536, 19.7536) * CHOOSE(CONTROL!$C$21, $C$9, 100%, $E$9)</f>
        <v>19.753599999999999</v>
      </c>
      <c r="O719" s="10">
        <f>CHOOSE(CONTROL!$C$42, 19.8281, 19.8281) * CHOOSE(CONTROL!$C$21, $C$9, 100%, $E$9)</f>
        <v>19.828099999999999</v>
      </c>
      <c r="P719" s="10">
        <f>CHOOSE(CONTROL!$C$42, 19.7912, 19.7912) * CHOOSE(CONTROL!$C$21, $C$9, 100%, $E$9)</f>
        <v>19.7912</v>
      </c>
      <c r="Q719" s="10">
        <f>CHOOSE(CONTROL!$C$42, 20.4234, 20.4234) * CHOOSE(CONTROL!$C$21, $C$9, 100%, $E$9)</f>
        <v>20.423400000000001</v>
      </c>
      <c r="R719" s="10">
        <f>CHOOSE(CONTROL!$C$42, 21.0615, 21.0615) * CHOOSE(CONTROL!$C$21, $C$9, 100%, $E$9)</f>
        <v>21.061499999999999</v>
      </c>
      <c r="S719" s="10">
        <f>CHOOSE(CONTROL!$C$42, 19.4046, 19.4046) * CHOOSE(CONTROL!$C$21, $C$9, 100%, $E$9)</f>
        <v>19.404599999999999</v>
      </c>
      <c r="T71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19" s="38">
        <f>(1000*CHOOSE(CONTROL!$C$42, 695, 695)*CHOOSE(CONTROL!$C$42, 0.5599, 0.5599)*CHOOSE(CONTROL!$C$42, 30, 30))/1000000</f>
        <v>11.673914999999997</v>
      </c>
      <c r="V719" s="38">
        <f>(1000*CHOOSE(CONTROL!$C$42, 500, 500)*CHOOSE(CONTROL!$C$42, 0.275, 0.275)*CHOOSE(CONTROL!$C$42, 30, 30))/1000000</f>
        <v>4.125</v>
      </c>
      <c r="W719" s="38">
        <f>(1000*CHOOSE(CONTROL!$C$42, 0.1146, 0.1146)*CHOOSE(CONTROL!$C$42, 121.5, 121.5)*CHOOSE(CONTROL!$C$42, 30, 30))/1000000</f>
        <v>0.417717</v>
      </c>
      <c r="X719" s="38">
        <f>(30*0.1790888*100000/1000000)+(30*0.2374*100000/1000000)</f>
        <v>1.2494664</v>
      </c>
      <c r="Y719" s="38">
        <f>(1000*600*CHOOSE(CONTROL!$C$42, 1.0585, 1.0585)*CHOOSE(CONTROL!$C$42, 30, 30))/1000000</f>
        <v>19.053000000000001</v>
      </c>
      <c r="Z719" s="38"/>
      <c r="AA719" s="10"/>
      <c r="AB719" s="39"/>
      <c r="AC719" s="33">
        <f>(B719*122.58+C719*297.941+D719*89.177+E719*40.302+F719*40+G719*160+H719*0+I719*100+J719*300)/(122.58+297.941+89.177+40.302+0+40+160+100+300)</f>
        <v>20.016378418173915</v>
      </c>
      <c r="AD719" s="27">
        <f>(M719*'RAP TEMPLATE-GAS AVAILABILITY'!O718+N719*'RAP TEMPLATE-GAS AVAILABILITY'!P718+O719*'RAP TEMPLATE-GAS AVAILABILITY'!Q718+P719*'RAP TEMPLATE-GAS AVAILABILITY'!R718)/('RAP TEMPLATE-GAS AVAILABILITY'!O718+'RAP TEMPLATE-GAS AVAILABILITY'!P718+'RAP TEMPLATE-GAS AVAILABILITY'!Q718+'RAP TEMPLATE-GAS AVAILABILITY'!R718)</f>
        <v>19.787320143884891</v>
      </c>
    </row>
    <row r="720" spans="1:30" ht="15.75">
      <c r="A720" s="13">
        <v>63189</v>
      </c>
      <c r="B720" s="10">
        <f>CHOOSE(CONTROL!$C$42, 21.3889, 21.3889) * CHOOSE(CONTROL!$C$21, $C$9, 100%, $E$9)</f>
        <v>21.3889</v>
      </c>
      <c r="C720" s="10">
        <f>CHOOSE(CONTROL!$C$42, 21.394, 21.394) * CHOOSE(CONTROL!$C$21, $C$9, 100%, $E$9)</f>
        <v>21.393999999999998</v>
      </c>
      <c r="D720" s="10">
        <f>CHOOSE(CONTROL!$C$42, 21.4187, 21.4187) * CHOOSE(CONTROL!$C$21, $C$9, 100%, $E$9)</f>
        <v>21.418700000000001</v>
      </c>
      <c r="E720" s="10">
        <f>CHOOSE(CONTROL!$C$42, 21.4525, 21.4525) * CHOOSE(CONTROL!$C$21, $C$9, 100%, $E$9)</f>
        <v>21.452500000000001</v>
      </c>
      <c r="F720" s="10">
        <f>CHOOSE(CONTROL!$C$42, 21.3592, 21.3592)*CHOOSE(CONTROL!$C$21, $C$9, 100%, $E$9)</f>
        <v>21.359200000000001</v>
      </c>
      <c r="G720" s="10">
        <f>CHOOSE(CONTROL!$C$42, 21.3757, 21.3757)*CHOOSE(CONTROL!$C$21, $C$9, 100%, $E$9)</f>
        <v>21.375699999999998</v>
      </c>
      <c r="H720" s="10">
        <f>CHOOSE(CONTROL!$C$42, 21.4414, 21.4414) * CHOOSE(CONTROL!$C$21, $C$9, 100%, $E$9)</f>
        <v>21.441400000000002</v>
      </c>
      <c r="I720" s="10">
        <f>CHOOSE(CONTROL!$C$42, 21.4039, 21.4039)* CHOOSE(CONTROL!$C$21, $C$9, 100%, $E$9)</f>
        <v>21.4039</v>
      </c>
      <c r="J720" s="10">
        <f>CHOOSE(CONTROL!$C$42, 21.3518, 21.3518)* CHOOSE(CONTROL!$C$21, $C$9, 100%, $E$9)</f>
        <v>21.351800000000001</v>
      </c>
      <c r="K720" s="10">
        <f>CHOOSE(CONTROL!$C$42, 20.9025, 20.9025) * CHOOSE(CONTROL!$C$21, $C$9, 100%, $E$9)</f>
        <v>20.9025</v>
      </c>
      <c r="L720" s="10">
        <f>CHOOSE(CONTROL!$C$42, 22.0284, 22.0284) * CHOOSE(CONTROL!$C$21, $C$9, 100%, $E$9)</f>
        <v>22.028400000000001</v>
      </c>
      <c r="M720" s="10">
        <f>CHOOSE(CONTROL!$C$42, 21.0869, 21.0869) * CHOOSE(CONTROL!$C$21, $C$9, 100%, $E$9)</f>
        <v>21.0869</v>
      </c>
      <c r="N720" s="10">
        <f>CHOOSE(CONTROL!$C$42, 21.1032, 21.1032) * CHOOSE(CONTROL!$C$21, $C$9, 100%, $E$9)</f>
        <v>21.103200000000001</v>
      </c>
      <c r="O720" s="10">
        <f>CHOOSE(CONTROL!$C$42, 21.1753, 21.1753) * CHOOSE(CONTROL!$C$21, $C$9, 100%, $E$9)</f>
        <v>21.1753</v>
      </c>
      <c r="P720" s="10">
        <f>CHOOSE(CONTROL!$C$42, 21.1384, 21.1384) * CHOOSE(CONTROL!$C$21, $C$9, 100%, $E$9)</f>
        <v>21.138400000000001</v>
      </c>
      <c r="Q720" s="10">
        <f>CHOOSE(CONTROL!$C$42, 21.7706, 21.7706) * CHOOSE(CONTROL!$C$21, $C$9, 100%, $E$9)</f>
        <v>21.770600000000002</v>
      </c>
      <c r="R720" s="10">
        <f>CHOOSE(CONTROL!$C$42, 22.412, 22.412) * CHOOSE(CONTROL!$C$21, $C$9, 100%, $E$9)</f>
        <v>22.411999999999999</v>
      </c>
      <c r="S720" s="10">
        <f>CHOOSE(CONTROL!$C$42, 20.7276, 20.7276) * CHOOSE(CONTROL!$C$21, $C$9, 100%, $E$9)</f>
        <v>20.727599999999999</v>
      </c>
      <c r="T72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20" s="38">
        <f>(1000*CHOOSE(CONTROL!$C$42, 695, 695)*CHOOSE(CONTROL!$C$42, 0.5599, 0.5599)*CHOOSE(CONTROL!$C$42, 31, 31))/1000000</f>
        <v>12.063045499999998</v>
      </c>
      <c r="V720" s="38">
        <f>(1000*CHOOSE(CONTROL!$C$42, 500, 500)*CHOOSE(CONTROL!$C$42, 0.275, 0.275)*CHOOSE(CONTROL!$C$42, 31, 31))/1000000</f>
        <v>4.2625000000000002</v>
      </c>
      <c r="W720" s="38">
        <f>(1000*CHOOSE(CONTROL!$C$42, 0.1146, 0.1146)*CHOOSE(CONTROL!$C$42, 121.5, 121.5)*CHOOSE(CONTROL!$C$42, 31, 31))/1000000</f>
        <v>0.43164089999999994</v>
      </c>
      <c r="X720" s="38">
        <f>(31*0.1790888*100000/1000000)+(31*0.2374*100000/1000000)</f>
        <v>1.2911152800000001</v>
      </c>
      <c r="Y720" s="38">
        <f>(1000*600*CHOOSE(CONTROL!$C$42, 1.0585, 1.0585)*CHOOSE(CONTROL!$C$42, 31, 31))/1000000</f>
        <v>19.688099999999999</v>
      </c>
      <c r="Z720" s="38"/>
      <c r="AA720" s="10"/>
      <c r="AB720" s="39"/>
      <c r="AC720" s="33">
        <f>(B720*122.58+C720*297.941+D720*89.177+E720*40.302+F720*40+G720*160+H720*0+I720*100+J720*300)/(122.58+297.941+89.177+40.302+0+40+160+100+300)</f>
        <v>21.383517548608697</v>
      </c>
      <c r="AD720" s="27">
        <f>(M720*'RAP TEMPLATE-GAS AVAILABILITY'!O719+N720*'RAP TEMPLATE-GAS AVAILABILITY'!P719+O720*'RAP TEMPLATE-GAS AVAILABILITY'!Q719+P720*'RAP TEMPLATE-GAS AVAILABILITY'!R719)/('RAP TEMPLATE-GAS AVAILABILITY'!O719+'RAP TEMPLATE-GAS AVAILABILITY'!P719+'RAP TEMPLATE-GAS AVAILABILITY'!Q719+'RAP TEMPLATE-GAS AVAILABILITY'!R719)</f>
        <v>21.13531438848921</v>
      </c>
    </row>
    <row r="721" spans="1:30" ht="15.75">
      <c r="A721" s="13">
        <v>63220</v>
      </c>
      <c r="B721" s="10">
        <f>CHOOSE(CONTROL!$C$42, 22.8337, 22.8337) * CHOOSE(CONTROL!$C$21, $C$9, 100%, $E$9)</f>
        <v>22.8337</v>
      </c>
      <c r="C721" s="10">
        <f>CHOOSE(CONTROL!$C$42, 22.8388, 22.8388) * CHOOSE(CONTROL!$C$21, $C$9, 100%, $E$9)</f>
        <v>22.838799999999999</v>
      </c>
      <c r="D721" s="10">
        <f>CHOOSE(CONTROL!$C$42, 22.8712, 22.8712) * CHOOSE(CONTROL!$C$21, $C$9, 100%, $E$9)</f>
        <v>22.871200000000002</v>
      </c>
      <c r="E721" s="10">
        <f>CHOOSE(CONTROL!$C$42, 22.905, 22.905) * CHOOSE(CONTROL!$C$21, $C$9, 100%, $E$9)</f>
        <v>22.905000000000001</v>
      </c>
      <c r="F721" s="10">
        <f>CHOOSE(CONTROL!$C$42, 22.8178, 22.8178)*CHOOSE(CONTROL!$C$21, $C$9, 100%, $E$9)</f>
        <v>22.817799999999998</v>
      </c>
      <c r="G721" s="10">
        <f>CHOOSE(CONTROL!$C$42, 22.8359, 22.8359)*CHOOSE(CONTROL!$C$21, $C$9, 100%, $E$9)</f>
        <v>22.835899999999999</v>
      </c>
      <c r="H721" s="10">
        <f>CHOOSE(CONTROL!$C$42, 22.8939, 22.8939) * CHOOSE(CONTROL!$C$21, $C$9, 100%, $E$9)</f>
        <v>22.893899999999999</v>
      </c>
      <c r="I721" s="10">
        <f>CHOOSE(CONTROL!$C$42, 22.8471, 22.8471)* CHOOSE(CONTROL!$C$21, $C$9, 100%, $E$9)</f>
        <v>22.847100000000001</v>
      </c>
      <c r="J721" s="10">
        <f>CHOOSE(CONTROL!$C$42, 22.8104, 22.8104)* CHOOSE(CONTROL!$C$21, $C$9, 100%, $E$9)</f>
        <v>22.810400000000001</v>
      </c>
      <c r="K721" s="10">
        <f>CHOOSE(CONTROL!$C$42, 22.3145, 22.3145) * CHOOSE(CONTROL!$C$21, $C$9, 100%, $E$9)</f>
        <v>22.314499999999999</v>
      </c>
      <c r="L721" s="10">
        <f>CHOOSE(CONTROL!$C$42, 23.4809, 23.4809) * CHOOSE(CONTROL!$C$21, $C$9, 100%, $E$9)</f>
        <v>23.480899999999998</v>
      </c>
      <c r="M721" s="10">
        <f>CHOOSE(CONTROL!$C$42, 22.5252, 22.5252) * CHOOSE(CONTROL!$C$21, $C$9, 100%, $E$9)</f>
        <v>22.525200000000002</v>
      </c>
      <c r="N721" s="10">
        <f>CHOOSE(CONTROL!$C$42, 22.543, 22.543) * CHOOSE(CONTROL!$C$21, $C$9, 100%, $E$9)</f>
        <v>22.542999999999999</v>
      </c>
      <c r="O721" s="10">
        <f>CHOOSE(CONTROL!$C$42, 22.6075, 22.6075) * CHOOSE(CONTROL!$C$21, $C$9, 100%, $E$9)</f>
        <v>22.607500000000002</v>
      </c>
      <c r="P721" s="10">
        <f>CHOOSE(CONTROL!$C$42, 22.5614, 22.5614) * CHOOSE(CONTROL!$C$21, $C$9, 100%, $E$9)</f>
        <v>22.561399999999999</v>
      </c>
      <c r="Q721" s="10">
        <f>CHOOSE(CONTROL!$C$42, 23.2028, 23.2028) * CHOOSE(CONTROL!$C$21, $C$9, 100%, $E$9)</f>
        <v>23.2028</v>
      </c>
      <c r="R721" s="10">
        <f>CHOOSE(CONTROL!$C$42, 23.8478, 23.8478) * CHOOSE(CONTROL!$C$21, $C$9, 100%, $E$9)</f>
        <v>23.847799999999999</v>
      </c>
      <c r="S721" s="10">
        <f>CHOOSE(CONTROL!$C$42, 22.1265, 22.1265) * CHOOSE(CONTROL!$C$21, $C$9, 100%, $E$9)</f>
        <v>22.1265</v>
      </c>
      <c r="T72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21" s="38">
        <f>(1000*CHOOSE(CONTROL!$C$42, 695, 695)*CHOOSE(CONTROL!$C$42, 0.5599, 0.5599)*CHOOSE(CONTROL!$C$42, 31, 31))/1000000</f>
        <v>12.063045499999998</v>
      </c>
      <c r="V721" s="38">
        <f>(1000*CHOOSE(CONTROL!$C$42, 500, 500)*CHOOSE(CONTROL!$C$42, 0.275, 0.275)*CHOOSE(CONTROL!$C$42, 31, 31))/1000000</f>
        <v>4.2625000000000002</v>
      </c>
      <c r="W721" s="38">
        <f>(1000*CHOOSE(CONTROL!$C$42, 0.1146, 0.1146)*CHOOSE(CONTROL!$C$42, 121.5, 121.5)*CHOOSE(CONTROL!$C$42, 31, 31))/1000000</f>
        <v>0.43164089999999994</v>
      </c>
      <c r="X721" s="38">
        <f>(31*0.1790888*100000/1000000)+(31*0.2374*100000/1000000)</f>
        <v>1.2911152800000001</v>
      </c>
      <c r="Y721" s="38">
        <f>(1000*600*CHOOSE(CONTROL!$C$42, 1.0585, 1.0585)*CHOOSE(CONTROL!$C$42, 31, 31))/1000000</f>
        <v>19.688099999999999</v>
      </c>
      <c r="Z721" s="38"/>
      <c r="AA721" s="10"/>
      <c r="AB721" s="39"/>
      <c r="AC721" s="33">
        <f>(B721*122.58+C721*297.941+D721*89.177+E721*40.302+F721*40+G721*160+H721*0+I721*100+J721*300)/(122.58+297.941+89.177+40.302+0+40+160+100+300)</f>
        <v>22.835267973217391</v>
      </c>
      <c r="AD721" s="27">
        <f>(M721*'RAP TEMPLATE-GAS AVAILABILITY'!O720+N721*'RAP TEMPLATE-GAS AVAILABILITY'!P720+O721*'RAP TEMPLATE-GAS AVAILABILITY'!Q720+P721*'RAP TEMPLATE-GAS AVAILABILITY'!R720)/('RAP TEMPLATE-GAS AVAILABILITY'!O720+'RAP TEMPLATE-GAS AVAILABILITY'!P720+'RAP TEMPLATE-GAS AVAILABILITY'!Q720+'RAP TEMPLATE-GAS AVAILABILITY'!R720)</f>
        <v>22.568734532374101</v>
      </c>
    </row>
    <row r="722" spans="1:30" ht="15.75">
      <c r="A722" s="13">
        <v>63248</v>
      </c>
      <c r="B722" s="10">
        <f>CHOOSE(CONTROL!$C$42, 23.2404, 23.2404) * CHOOSE(CONTROL!$C$21, $C$9, 100%, $E$9)</f>
        <v>23.240400000000001</v>
      </c>
      <c r="C722" s="10">
        <f>CHOOSE(CONTROL!$C$42, 23.2455, 23.2455) * CHOOSE(CONTROL!$C$21, $C$9, 100%, $E$9)</f>
        <v>23.2455</v>
      </c>
      <c r="D722" s="10">
        <f>CHOOSE(CONTROL!$C$42, 23.2779, 23.2779) * CHOOSE(CONTROL!$C$21, $C$9, 100%, $E$9)</f>
        <v>23.277899999999999</v>
      </c>
      <c r="E722" s="10">
        <f>CHOOSE(CONTROL!$C$42, 23.3118, 23.3118) * CHOOSE(CONTROL!$C$21, $C$9, 100%, $E$9)</f>
        <v>23.311800000000002</v>
      </c>
      <c r="F722" s="10">
        <f>CHOOSE(CONTROL!$C$42, 23.2241, 23.2241)*CHOOSE(CONTROL!$C$21, $C$9, 100%, $E$9)</f>
        <v>23.2241</v>
      </c>
      <c r="G722" s="10">
        <f>CHOOSE(CONTROL!$C$42, 23.2421, 23.2421)*CHOOSE(CONTROL!$C$21, $C$9, 100%, $E$9)</f>
        <v>23.242100000000001</v>
      </c>
      <c r="H722" s="10">
        <f>CHOOSE(CONTROL!$C$42, 23.3006, 23.3006) * CHOOSE(CONTROL!$C$21, $C$9, 100%, $E$9)</f>
        <v>23.300599999999999</v>
      </c>
      <c r="I722" s="10">
        <f>CHOOSE(CONTROL!$C$42, 23.2539, 23.2539)* CHOOSE(CONTROL!$C$21, $C$9, 100%, $E$9)</f>
        <v>23.253900000000002</v>
      </c>
      <c r="J722" s="10">
        <f>CHOOSE(CONTROL!$C$42, 23.2167, 23.2167)* CHOOSE(CONTROL!$C$21, $C$9, 100%, $E$9)</f>
        <v>23.216699999999999</v>
      </c>
      <c r="K722" s="10">
        <f>CHOOSE(CONTROL!$C$42, 22.7076, 22.7076) * CHOOSE(CONTROL!$C$21, $C$9, 100%, $E$9)</f>
        <v>22.707599999999999</v>
      </c>
      <c r="L722" s="10">
        <f>CHOOSE(CONTROL!$C$42, 23.8876, 23.8876) * CHOOSE(CONTROL!$C$21, $C$9, 100%, $E$9)</f>
        <v>23.887599999999999</v>
      </c>
      <c r="M722" s="10">
        <f>CHOOSE(CONTROL!$C$42, 22.9259, 22.9259) * CHOOSE(CONTROL!$C$21, $C$9, 100%, $E$9)</f>
        <v>22.925899999999999</v>
      </c>
      <c r="N722" s="10">
        <f>CHOOSE(CONTROL!$C$42, 22.9435, 22.9435) * CHOOSE(CONTROL!$C$21, $C$9, 100%, $E$9)</f>
        <v>22.9435</v>
      </c>
      <c r="O722" s="10">
        <f>CHOOSE(CONTROL!$C$42, 23.0086, 23.0086) * CHOOSE(CONTROL!$C$21, $C$9, 100%, $E$9)</f>
        <v>23.008600000000001</v>
      </c>
      <c r="P722" s="10">
        <f>CHOOSE(CONTROL!$C$42, 22.9625, 22.9625) * CHOOSE(CONTROL!$C$21, $C$9, 100%, $E$9)</f>
        <v>22.962499999999999</v>
      </c>
      <c r="Q722" s="10">
        <f>CHOOSE(CONTROL!$C$42, 23.6039, 23.6039) * CHOOSE(CONTROL!$C$21, $C$9, 100%, $E$9)</f>
        <v>23.603899999999999</v>
      </c>
      <c r="R722" s="10">
        <f>CHOOSE(CONTROL!$C$42, 24.2499, 24.2499) * CHOOSE(CONTROL!$C$21, $C$9, 100%, $E$9)</f>
        <v>24.2499</v>
      </c>
      <c r="S722" s="10">
        <f>CHOOSE(CONTROL!$C$42, 22.5204, 22.5204) * CHOOSE(CONTROL!$C$21, $C$9, 100%, $E$9)</f>
        <v>22.520399999999999</v>
      </c>
      <c r="T72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22" s="38">
        <f>(1000*CHOOSE(CONTROL!$C$42, 695, 695)*CHOOSE(CONTROL!$C$42, 0.5599, 0.5599)*CHOOSE(CONTROL!$C$42, 28, 28))/1000000</f>
        <v>10.895653999999999</v>
      </c>
      <c r="V722" s="38">
        <f>(1000*CHOOSE(CONTROL!$C$42, 500, 500)*CHOOSE(CONTROL!$C$42, 0.275, 0.275)*CHOOSE(CONTROL!$C$42, 28, 28))/1000000</f>
        <v>3.85</v>
      </c>
      <c r="W722" s="38">
        <f>(1000*CHOOSE(CONTROL!$C$42, 0.1146, 0.1146)*CHOOSE(CONTROL!$C$42, 121.5, 121.5)*CHOOSE(CONTROL!$C$42, 28, 28))/1000000</f>
        <v>0.38986920000000003</v>
      </c>
      <c r="X722" s="38">
        <f>(28*0.1790888*100000/1000000)+(28*0.2374*100000/1000000)</f>
        <v>1.16616864</v>
      </c>
      <c r="Y722" s="38">
        <f>(1000*600*CHOOSE(CONTROL!$C$42, 1.0585, 1.0585)*CHOOSE(CONTROL!$C$42, 28, 28))/1000000</f>
        <v>17.782800000000002</v>
      </c>
      <c r="Z722" s="38"/>
      <c r="AA722" s="10"/>
      <c r="AB722" s="39"/>
      <c r="AC722" s="33">
        <f>(B722*122.58+C722*297.941+D722*89.177+E722*40.302+F722*40+G722*160+H722*0+I722*100+J722*300)/(122.58+297.941+89.177+40.302+0+40+160+100+300)</f>
        <v>23.241792347304347</v>
      </c>
      <c r="AD722" s="27">
        <f>(M722*'RAP TEMPLATE-GAS AVAILABILITY'!O721+N722*'RAP TEMPLATE-GAS AVAILABILITY'!P721+O722*'RAP TEMPLATE-GAS AVAILABILITY'!Q721+P722*'RAP TEMPLATE-GAS AVAILABILITY'!R721)/('RAP TEMPLATE-GAS AVAILABILITY'!O721+'RAP TEMPLATE-GAS AVAILABILITY'!P721+'RAP TEMPLATE-GAS AVAILABILITY'!Q721+'RAP TEMPLATE-GAS AVAILABILITY'!R721)</f>
        <v>22.969661870503597</v>
      </c>
    </row>
    <row r="723" spans="1:30" ht="15.75">
      <c r="A723" s="13">
        <v>63279</v>
      </c>
      <c r="B723" s="10">
        <f>CHOOSE(CONTROL!$C$42, 22.5801, 22.5801) * CHOOSE(CONTROL!$C$21, $C$9, 100%, $E$9)</f>
        <v>22.580100000000002</v>
      </c>
      <c r="C723" s="10">
        <f>CHOOSE(CONTROL!$C$42, 22.5852, 22.5852) * CHOOSE(CONTROL!$C$21, $C$9, 100%, $E$9)</f>
        <v>22.5852</v>
      </c>
      <c r="D723" s="10">
        <f>CHOOSE(CONTROL!$C$42, 22.6177, 22.6177) * CHOOSE(CONTROL!$C$21, $C$9, 100%, $E$9)</f>
        <v>22.617699999999999</v>
      </c>
      <c r="E723" s="10">
        <f>CHOOSE(CONTROL!$C$42, 22.6515, 22.6515) * CHOOSE(CONTROL!$C$21, $C$9, 100%, $E$9)</f>
        <v>22.651499999999999</v>
      </c>
      <c r="F723" s="10">
        <f>CHOOSE(CONTROL!$C$42, 22.5624, 22.5624)*CHOOSE(CONTROL!$C$21, $C$9, 100%, $E$9)</f>
        <v>22.5624</v>
      </c>
      <c r="G723" s="10">
        <f>CHOOSE(CONTROL!$C$42, 22.58, 22.58)*CHOOSE(CONTROL!$C$21, $C$9, 100%, $E$9)</f>
        <v>22.58</v>
      </c>
      <c r="H723" s="10">
        <f>CHOOSE(CONTROL!$C$42, 22.6404, 22.6404) * CHOOSE(CONTROL!$C$21, $C$9, 100%, $E$9)</f>
        <v>22.6404</v>
      </c>
      <c r="I723" s="10">
        <f>CHOOSE(CONTROL!$C$42, 22.5936, 22.5936)* CHOOSE(CONTROL!$C$21, $C$9, 100%, $E$9)</f>
        <v>22.593599999999999</v>
      </c>
      <c r="J723" s="10">
        <f>CHOOSE(CONTROL!$C$42, 22.555, 22.555)* CHOOSE(CONTROL!$C$21, $C$9, 100%, $E$9)</f>
        <v>22.555</v>
      </c>
      <c r="K723" s="10">
        <f>CHOOSE(CONTROL!$C$42, 22.0648, 22.0648) * CHOOSE(CONTROL!$C$21, $C$9, 100%, $E$9)</f>
        <v>22.064800000000002</v>
      </c>
      <c r="L723" s="10">
        <f>CHOOSE(CONTROL!$C$42, 23.2274, 23.2274) * CHOOSE(CONTROL!$C$21, $C$9, 100%, $E$9)</f>
        <v>23.227399999999999</v>
      </c>
      <c r="M723" s="10">
        <f>CHOOSE(CONTROL!$C$42, 22.2734, 22.2734) * CHOOSE(CONTROL!$C$21, $C$9, 100%, $E$9)</f>
        <v>22.273399999999999</v>
      </c>
      <c r="N723" s="10">
        <f>CHOOSE(CONTROL!$C$42, 22.2907, 22.2907) * CHOOSE(CONTROL!$C$21, $C$9, 100%, $E$9)</f>
        <v>22.290700000000001</v>
      </c>
      <c r="O723" s="10">
        <f>CHOOSE(CONTROL!$C$42, 22.3575, 22.3575) * CHOOSE(CONTROL!$C$21, $C$9, 100%, $E$9)</f>
        <v>22.357500000000002</v>
      </c>
      <c r="P723" s="10">
        <f>CHOOSE(CONTROL!$C$42, 22.3115, 22.3115) * CHOOSE(CONTROL!$C$21, $C$9, 100%, $E$9)</f>
        <v>22.311499999999999</v>
      </c>
      <c r="Q723" s="10">
        <f>CHOOSE(CONTROL!$C$42, 22.9528, 22.9528) * CHOOSE(CONTROL!$C$21, $C$9, 100%, $E$9)</f>
        <v>22.9528</v>
      </c>
      <c r="R723" s="10">
        <f>CHOOSE(CONTROL!$C$42, 23.5972, 23.5972) * CHOOSE(CONTROL!$C$21, $C$9, 100%, $E$9)</f>
        <v>23.597200000000001</v>
      </c>
      <c r="S723" s="10">
        <f>CHOOSE(CONTROL!$C$42, 21.881, 21.881) * CHOOSE(CONTROL!$C$21, $C$9, 100%, $E$9)</f>
        <v>21.881</v>
      </c>
      <c r="T72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23" s="38">
        <f>(1000*CHOOSE(CONTROL!$C$42, 695, 695)*CHOOSE(CONTROL!$C$42, 0.5599, 0.5599)*CHOOSE(CONTROL!$C$42, 31, 31))/1000000</f>
        <v>12.063045499999998</v>
      </c>
      <c r="V723" s="38">
        <f>(1000*CHOOSE(CONTROL!$C$42, 500, 500)*CHOOSE(CONTROL!$C$42, 0.275, 0.275)*CHOOSE(CONTROL!$C$42, 31, 31))/1000000</f>
        <v>4.2625000000000002</v>
      </c>
      <c r="W723" s="38">
        <f>(1000*CHOOSE(CONTROL!$C$42, 0.1146, 0.1146)*CHOOSE(CONTROL!$C$42, 121.5, 121.5)*CHOOSE(CONTROL!$C$42, 31, 31))/1000000</f>
        <v>0.43164089999999994</v>
      </c>
      <c r="X723" s="38">
        <f>(31*0.1790888*100000/1000000)+(31*0.2374*100000/1000000)</f>
        <v>1.2911152800000001</v>
      </c>
      <c r="Y723" s="38">
        <f>(1000*600*CHOOSE(CONTROL!$C$42, 1.0585, 1.0585)*CHOOSE(CONTROL!$C$42, 31, 31))/1000000</f>
        <v>19.688099999999999</v>
      </c>
      <c r="Z723" s="38"/>
      <c r="AA723" s="10"/>
      <c r="AB723" s="39"/>
      <c r="AC723" s="33">
        <f>(B723*122.58+C723*297.941+D723*89.177+E723*40.302+F723*40+G723*160+H723*0+I723*100+J723*300)/(122.58+297.941+89.177+40.302+0+40+160+100+300)</f>
        <v>22.580835753999999</v>
      </c>
      <c r="AD723" s="27">
        <f>(M723*'RAP TEMPLATE-GAS AVAILABILITY'!O722+N723*'RAP TEMPLATE-GAS AVAILABILITY'!P722+O723*'RAP TEMPLATE-GAS AVAILABILITY'!Q722+P723*'RAP TEMPLATE-GAS AVAILABILITY'!R722)/('RAP TEMPLATE-GAS AVAILABILITY'!O722+'RAP TEMPLATE-GAS AVAILABILITY'!P722+'RAP TEMPLATE-GAS AVAILABILITY'!Q722+'RAP TEMPLATE-GAS AVAILABILITY'!R722)</f>
        <v>22.317994964028777</v>
      </c>
    </row>
    <row r="724" spans="1:30" ht="15.75">
      <c r="A724" s="13">
        <v>63309</v>
      </c>
      <c r="B724" s="10">
        <f>CHOOSE(CONTROL!$C$42, 22.5132, 22.5132) * CHOOSE(CONTROL!$C$21, $C$9, 100%, $E$9)</f>
        <v>22.513200000000001</v>
      </c>
      <c r="C724" s="10">
        <f>CHOOSE(CONTROL!$C$42, 22.5178, 22.5178) * CHOOSE(CONTROL!$C$21, $C$9, 100%, $E$9)</f>
        <v>22.517800000000001</v>
      </c>
      <c r="D724" s="10">
        <f>CHOOSE(CONTROL!$C$42, 22.6779, 22.6779) * CHOOSE(CONTROL!$C$21, $C$9, 100%, $E$9)</f>
        <v>22.677900000000001</v>
      </c>
      <c r="E724" s="10">
        <f>CHOOSE(CONTROL!$C$42, 22.7098, 22.7098) * CHOOSE(CONTROL!$C$21, $C$9, 100%, $E$9)</f>
        <v>22.709800000000001</v>
      </c>
      <c r="F724" s="10">
        <f>CHOOSE(CONTROL!$C$42, 22.4594, 22.4594)*CHOOSE(CONTROL!$C$21, $C$9, 100%, $E$9)</f>
        <v>22.459399999999999</v>
      </c>
      <c r="G724" s="10">
        <f>CHOOSE(CONTROL!$C$42, 22.4752, 22.4752)*CHOOSE(CONTROL!$C$21, $C$9, 100%, $E$9)</f>
        <v>22.475200000000001</v>
      </c>
      <c r="H724" s="10">
        <f>CHOOSE(CONTROL!$C$42, 22.6992, 22.6992) * CHOOSE(CONTROL!$C$21, $C$9, 100%, $E$9)</f>
        <v>22.699200000000001</v>
      </c>
      <c r="I724" s="10">
        <f>CHOOSE(CONTROL!$C$42, 22.4934, 22.4934)* CHOOSE(CONTROL!$C$21, $C$9, 100%, $E$9)</f>
        <v>22.493400000000001</v>
      </c>
      <c r="J724" s="10">
        <f>CHOOSE(CONTROL!$C$42, 22.452, 22.452)* CHOOSE(CONTROL!$C$21, $C$9, 100%, $E$9)</f>
        <v>22.452000000000002</v>
      </c>
      <c r="K724" s="10">
        <f>CHOOSE(CONTROL!$C$42, 21.9517, 21.9517) * CHOOSE(CONTROL!$C$21, $C$9, 100%, $E$9)</f>
        <v>21.951699999999999</v>
      </c>
      <c r="L724" s="10">
        <f>CHOOSE(CONTROL!$C$42, 23.2862, 23.2862) * CHOOSE(CONTROL!$C$21, $C$9, 100%, $E$9)</f>
        <v>23.286200000000001</v>
      </c>
      <c r="M724" s="10">
        <f>CHOOSE(CONTROL!$C$42, 22.1718, 22.1718) * CHOOSE(CONTROL!$C$21, $C$9, 100%, $E$9)</f>
        <v>22.171800000000001</v>
      </c>
      <c r="N724" s="10">
        <f>CHOOSE(CONTROL!$C$42, 22.1874, 22.1874) * CHOOSE(CONTROL!$C$21, $C$9, 100%, $E$9)</f>
        <v>22.1874</v>
      </c>
      <c r="O724" s="10">
        <f>CHOOSE(CONTROL!$C$42, 22.4156, 22.4156) * CHOOSE(CONTROL!$C$21, $C$9, 100%, $E$9)</f>
        <v>22.415600000000001</v>
      </c>
      <c r="P724" s="10">
        <f>CHOOSE(CONTROL!$C$42, 22.2127, 22.2127) * CHOOSE(CONTROL!$C$21, $C$9, 100%, $E$9)</f>
        <v>22.212700000000002</v>
      </c>
      <c r="Q724" s="10">
        <f>CHOOSE(CONTROL!$C$42, 23.0109, 23.0109) * CHOOSE(CONTROL!$C$21, $C$9, 100%, $E$9)</f>
        <v>23.010899999999999</v>
      </c>
      <c r="R724" s="10">
        <f>CHOOSE(CONTROL!$C$42, 23.6554, 23.6554) * CHOOSE(CONTROL!$C$21, $C$9, 100%, $E$9)</f>
        <v>23.6554</v>
      </c>
      <c r="S724" s="10">
        <f>CHOOSE(CONTROL!$C$42, 21.8155, 21.8155) * CHOOSE(CONTROL!$C$21, $C$9, 100%, $E$9)</f>
        <v>21.8155</v>
      </c>
      <c r="T72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24" s="38">
        <f>(1000*CHOOSE(CONTROL!$C$42, 695, 695)*CHOOSE(CONTROL!$C$42, 0.5599, 0.5599)*CHOOSE(CONTROL!$C$42, 30, 30))/1000000</f>
        <v>11.673914999999997</v>
      </c>
      <c r="V724" s="38">
        <f>(1000*CHOOSE(CONTROL!$C$42, 500, 500)*CHOOSE(CONTROL!$C$42, 0.275, 0.275)*CHOOSE(CONTROL!$C$42, 30, 30))/1000000</f>
        <v>4.125</v>
      </c>
      <c r="W724" s="38">
        <f>(1000*CHOOSE(CONTROL!$C$42, 0.1146, 0.1146)*CHOOSE(CONTROL!$C$42, 121.5, 121.5)*CHOOSE(CONTROL!$C$42, 30, 30))/1000000</f>
        <v>0.417717</v>
      </c>
      <c r="X724" s="38">
        <f>(30*0.1790888*245000/1000000)+(30*0.2374*100000/1000000)</f>
        <v>2.0285026799999999</v>
      </c>
      <c r="Y724" s="38">
        <f>(1000*600*CHOOSE(CONTROL!$C$42, 1.0585, 1.0585)*CHOOSE(CONTROL!$C$42, 30, 30))/1000000</f>
        <v>19.053000000000001</v>
      </c>
      <c r="Z724" s="38"/>
      <c r="AA724" s="10"/>
      <c r="AB724" s="39"/>
      <c r="AC724" s="33">
        <f>(B724*141.293+C724*267.993+D724*115.016+E724*89.698+F724*40+G724*185+H724*0+I724*100+J724*300)/(141.293+267.993+115.016+89.698+0+40+185+100+300)</f>
        <v>22.519889693139632</v>
      </c>
      <c r="AD724" s="27">
        <f>(M724*'RAP TEMPLATE-GAS AVAILABILITY'!O723+N724*'RAP TEMPLATE-GAS AVAILABILITY'!P723+O724*'RAP TEMPLATE-GAS AVAILABILITY'!Q723+P724*'RAP TEMPLATE-GAS AVAILABILITY'!R723)/('RAP TEMPLATE-GAS AVAILABILITY'!O723+'RAP TEMPLATE-GAS AVAILABILITY'!P723+'RAP TEMPLATE-GAS AVAILABILITY'!Q723+'RAP TEMPLATE-GAS AVAILABILITY'!R723)</f>
        <v>22.289082014388491</v>
      </c>
    </row>
    <row r="725" spans="1:30" ht="15.75">
      <c r="A725" s="13">
        <v>63340</v>
      </c>
      <c r="B725" s="10">
        <f>CHOOSE(CONTROL!$C$42, 22.7139, 22.7139) * CHOOSE(CONTROL!$C$21, $C$9, 100%, $E$9)</f>
        <v>22.713899999999999</v>
      </c>
      <c r="C725" s="10">
        <f>CHOOSE(CONTROL!$C$42, 22.7219, 22.7219) * CHOOSE(CONTROL!$C$21, $C$9, 100%, $E$9)</f>
        <v>22.721900000000002</v>
      </c>
      <c r="D725" s="10">
        <f>CHOOSE(CONTROL!$C$42, 22.879, 22.879) * CHOOSE(CONTROL!$C$21, $C$9, 100%, $E$9)</f>
        <v>22.879000000000001</v>
      </c>
      <c r="E725" s="10">
        <f>CHOOSE(CONTROL!$C$42, 22.9102, 22.9102) * CHOOSE(CONTROL!$C$21, $C$9, 100%, $E$9)</f>
        <v>22.9102</v>
      </c>
      <c r="F725" s="10">
        <f>CHOOSE(CONTROL!$C$42, 22.658, 22.658)*CHOOSE(CONTROL!$C$21, $C$9, 100%, $E$9)</f>
        <v>22.658000000000001</v>
      </c>
      <c r="G725" s="10">
        <f>CHOOSE(CONTROL!$C$42, 22.6742, 22.6742)*CHOOSE(CONTROL!$C$21, $C$9, 100%, $E$9)</f>
        <v>22.674199999999999</v>
      </c>
      <c r="H725" s="10">
        <f>CHOOSE(CONTROL!$C$42, 22.8985, 22.8985) * CHOOSE(CONTROL!$C$21, $C$9, 100%, $E$9)</f>
        <v>22.898499999999999</v>
      </c>
      <c r="I725" s="10">
        <f>CHOOSE(CONTROL!$C$42, 22.6927, 22.6927)* CHOOSE(CONTROL!$C$21, $C$9, 100%, $E$9)</f>
        <v>22.692699999999999</v>
      </c>
      <c r="J725" s="10">
        <f>CHOOSE(CONTROL!$C$42, 22.6506, 22.6506)* CHOOSE(CONTROL!$C$21, $C$9, 100%, $E$9)</f>
        <v>22.650600000000001</v>
      </c>
      <c r="K725" s="10">
        <f>CHOOSE(CONTROL!$C$42, 22.1435, 22.1435) * CHOOSE(CONTROL!$C$21, $C$9, 100%, $E$9)</f>
        <v>22.1435</v>
      </c>
      <c r="L725" s="10">
        <f>CHOOSE(CONTROL!$C$42, 23.4855, 23.4855) * CHOOSE(CONTROL!$C$21, $C$9, 100%, $E$9)</f>
        <v>23.485499999999998</v>
      </c>
      <c r="M725" s="10">
        <f>CHOOSE(CONTROL!$C$42, 22.3677, 22.3677) * CHOOSE(CONTROL!$C$21, $C$9, 100%, $E$9)</f>
        <v>22.367699999999999</v>
      </c>
      <c r="N725" s="10">
        <f>CHOOSE(CONTROL!$C$42, 22.3836, 22.3836) * CHOOSE(CONTROL!$C$21, $C$9, 100%, $E$9)</f>
        <v>22.383600000000001</v>
      </c>
      <c r="O725" s="10">
        <f>CHOOSE(CONTROL!$C$42, 22.6121, 22.6121) * CHOOSE(CONTROL!$C$21, $C$9, 100%, $E$9)</f>
        <v>22.612100000000002</v>
      </c>
      <c r="P725" s="10">
        <f>CHOOSE(CONTROL!$C$42, 22.4092, 22.4092) * CHOOSE(CONTROL!$C$21, $C$9, 100%, $E$9)</f>
        <v>22.409199999999998</v>
      </c>
      <c r="Q725" s="10">
        <f>CHOOSE(CONTROL!$C$42, 23.2074, 23.2074) * CHOOSE(CONTROL!$C$21, $C$9, 100%, $E$9)</f>
        <v>23.2074</v>
      </c>
      <c r="R725" s="10">
        <f>CHOOSE(CONTROL!$C$42, 23.8524, 23.8524) * CHOOSE(CONTROL!$C$21, $C$9, 100%, $E$9)</f>
        <v>23.852399999999999</v>
      </c>
      <c r="S725" s="10">
        <f>CHOOSE(CONTROL!$C$42, 22.0085, 22.0085) * CHOOSE(CONTROL!$C$21, $C$9, 100%, $E$9)</f>
        <v>22.008500000000002</v>
      </c>
      <c r="T72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25" s="38">
        <f>(1000*CHOOSE(CONTROL!$C$42, 695, 695)*CHOOSE(CONTROL!$C$42, 0.5599, 0.5599)*CHOOSE(CONTROL!$C$42, 31, 31))/1000000</f>
        <v>12.063045499999998</v>
      </c>
      <c r="V725" s="38">
        <f>(1000*CHOOSE(CONTROL!$C$42, 500, 500)*CHOOSE(CONTROL!$C$42, 0.275, 0.275)*CHOOSE(CONTROL!$C$42, 31, 31))/1000000</f>
        <v>4.2625000000000002</v>
      </c>
      <c r="W725" s="38">
        <f>(1000*CHOOSE(CONTROL!$C$42, 0.1146, 0.1146)*CHOOSE(CONTROL!$C$42, 121.5, 121.5)*CHOOSE(CONTROL!$C$42, 31, 31))/1000000</f>
        <v>0.43164089999999994</v>
      </c>
      <c r="X725" s="38">
        <f>(31*0.1790888*245000/1000000)+(31*0.2374*100000/1000000)</f>
        <v>2.0961194359999999</v>
      </c>
      <c r="Y725" s="38">
        <f>(1000*600*CHOOSE(CONTROL!$C$42, 1.0585, 1.0585)*CHOOSE(CONTROL!$C$42, 31, 31))/1000000</f>
        <v>19.688099999999999</v>
      </c>
      <c r="Z725" s="38"/>
      <c r="AA725" s="10"/>
      <c r="AB725" s="39"/>
      <c r="AC725" s="33">
        <f>(B725*194.205+C725*267.466+D725*133.845+E725*53.484+F725*40+G725*185+H725*0+I725*100+J725*300)/(194.205+267.466+133.845+53.484+0+40+185+100+300)</f>
        <v>22.717075782339091</v>
      </c>
      <c r="AD725" s="27">
        <f>(M725*'RAP TEMPLATE-GAS AVAILABILITY'!O724+N725*'RAP TEMPLATE-GAS AVAILABILITY'!P724+O725*'RAP TEMPLATE-GAS AVAILABILITY'!Q724+P725*'RAP TEMPLATE-GAS AVAILABILITY'!R724)/('RAP TEMPLATE-GAS AVAILABILITY'!O724+'RAP TEMPLATE-GAS AVAILABILITY'!P724+'RAP TEMPLATE-GAS AVAILABILITY'!Q724+'RAP TEMPLATE-GAS AVAILABILITY'!R724)</f>
        <v>22.485357553956835</v>
      </c>
    </row>
    <row r="726" spans="1:30" ht="15.75">
      <c r="A726" s="13">
        <v>63370</v>
      </c>
      <c r="B726" s="10">
        <f>CHOOSE(CONTROL!$C$42, 23.3586, 23.3586) * CHOOSE(CONTROL!$C$21, $C$9, 100%, $E$9)</f>
        <v>23.358599999999999</v>
      </c>
      <c r="C726" s="10">
        <f>CHOOSE(CONTROL!$C$42, 23.3666, 23.3666) * CHOOSE(CONTROL!$C$21, $C$9, 100%, $E$9)</f>
        <v>23.366599999999998</v>
      </c>
      <c r="D726" s="10">
        <f>CHOOSE(CONTROL!$C$42, 23.5237, 23.5237) * CHOOSE(CONTROL!$C$21, $C$9, 100%, $E$9)</f>
        <v>23.523700000000002</v>
      </c>
      <c r="E726" s="10">
        <f>CHOOSE(CONTROL!$C$42, 23.5549, 23.5549) * CHOOSE(CONTROL!$C$21, $C$9, 100%, $E$9)</f>
        <v>23.5549</v>
      </c>
      <c r="F726" s="10">
        <f>CHOOSE(CONTROL!$C$42, 23.3029, 23.3029)*CHOOSE(CONTROL!$C$21, $C$9, 100%, $E$9)</f>
        <v>23.302900000000001</v>
      </c>
      <c r="G726" s="10">
        <f>CHOOSE(CONTROL!$C$42, 23.3191, 23.3191)*CHOOSE(CONTROL!$C$21, $C$9, 100%, $E$9)</f>
        <v>23.319099999999999</v>
      </c>
      <c r="H726" s="10">
        <f>CHOOSE(CONTROL!$C$42, 23.5432, 23.5432) * CHOOSE(CONTROL!$C$21, $C$9, 100%, $E$9)</f>
        <v>23.543199999999999</v>
      </c>
      <c r="I726" s="10">
        <f>CHOOSE(CONTROL!$C$42, 23.3374, 23.3374)* CHOOSE(CONTROL!$C$21, $C$9, 100%, $E$9)</f>
        <v>23.337399999999999</v>
      </c>
      <c r="J726" s="10">
        <f>CHOOSE(CONTROL!$C$42, 23.2955, 23.2955)* CHOOSE(CONTROL!$C$21, $C$9, 100%, $E$9)</f>
        <v>23.295500000000001</v>
      </c>
      <c r="K726" s="10">
        <f>CHOOSE(CONTROL!$C$42, 22.7685, 22.7685) * CHOOSE(CONTROL!$C$21, $C$9, 100%, $E$9)</f>
        <v>22.7685</v>
      </c>
      <c r="L726" s="10">
        <f>CHOOSE(CONTROL!$C$42, 24.1302, 24.1302) * CHOOSE(CONTROL!$C$21, $C$9, 100%, $E$9)</f>
        <v>24.130199999999999</v>
      </c>
      <c r="M726" s="10">
        <f>CHOOSE(CONTROL!$C$42, 23.0036, 23.0036) * CHOOSE(CONTROL!$C$21, $C$9, 100%, $E$9)</f>
        <v>23.003599999999999</v>
      </c>
      <c r="N726" s="10">
        <f>CHOOSE(CONTROL!$C$42, 23.0195, 23.0195) * CHOOSE(CONTROL!$C$21, $C$9, 100%, $E$9)</f>
        <v>23.019500000000001</v>
      </c>
      <c r="O726" s="10">
        <f>CHOOSE(CONTROL!$C$42, 23.2478, 23.2478) * CHOOSE(CONTROL!$C$21, $C$9, 100%, $E$9)</f>
        <v>23.247800000000002</v>
      </c>
      <c r="P726" s="10">
        <f>CHOOSE(CONTROL!$C$42, 23.0449, 23.0449) * CHOOSE(CONTROL!$C$21, $C$9, 100%, $E$9)</f>
        <v>23.044899999999998</v>
      </c>
      <c r="Q726" s="10">
        <f>CHOOSE(CONTROL!$C$42, 23.8431, 23.8431) * CHOOSE(CONTROL!$C$21, $C$9, 100%, $E$9)</f>
        <v>23.8431</v>
      </c>
      <c r="R726" s="10">
        <f>CHOOSE(CONTROL!$C$42, 24.4897, 24.4897) * CHOOSE(CONTROL!$C$21, $C$9, 100%, $E$9)</f>
        <v>24.489699999999999</v>
      </c>
      <c r="S726" s="10">
        <f>CHOOSE(CONTROL!$C$42, 22.6327, 22.6327) * CHOOSE(CONTROL!$C$21, $C$9, 100%, $E$9)</f>
        <v>22.6327</v>
      </c>
      <c r="T72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26" s="38">
        <f>(1000*CHOOSE(CONTROL!$C$42, 695, 695)*CHOOSE(CONTROL!$C$42, 0.5599, 0.5599)*CHOOSE(CONTROL!$C$42, 30, 30))/1000000</f>
        <v>11.673914999999997</v>
      </c>
      <c r="V726" s="38">
        <f>(1000*CHOOSE(CONTROL!$C$42, 500, 500)*CHOOSE(CONTROL!$C$42, 0.275, 0.275)*CHOOSE(CONTROL!$C$42, 30, 30))/1000000</f>
        <v>4.125</v>
      </c>
      <c r="W726" s="38">
        <f>(1000*CHOOSE(CONTROL!$C$42, 0.1146, 0.1146)*CHOOSE(CONTROL!$C$42, 121.5, 121.5)*CHOOSE(CONTROL!$C$42, 30, 30))/1000000</f>
        <v>0.417717</v>
      </c>
      <c r="X726" s="38">
        <f>(30*0.1790888*245000/1000000)+(30*0.2374*100000/1000000)</f>
        <v>2.0285026799999999</v>
      </c>
      <c r="Y726" s="38">
        <f>(1000*600*CHOOSE(CONTROL!$C$42, 1.0585, 1.0585)*CHOOSE(CONTROL!$C$42, 30, 30))/1000000</f>
        <v>19.053000000000001</v>
      </c>
      <c r="Z726" s="38"/>
      <c r="AA726" s="10"/>
      <c r="AB726" s="39"/>
      <c r="AC726" s="33">
        <f>(B726*194.205+C726*267.466+D726*133.845+E726*53.484+F726*40+G726*185+H726*0+I726*100+J726*300)/(194.205+267.466+133.845+53.484+0+40+185+100+300)</f>
        <v>23.361858199921503</v>
      </c>
      <c r="AD726" s="27">
        <f>(M726*'RAP TEMPLATE-GAS AVAILABILITY'!O725+N726*'RAP TEMPLATE-GAS AVAILABILITY'!P725+O726*'RAP TEMPLATE-GAS AVAILABILITY'!Q725+P726*'RAP TEMPLATE-GAS AVAILABILITY'!R725)/('RAP TEMPLATE-GAS AVAILABILITY'!O725+'RAP TEMPLATE-GAS AVAILABILITY'!P725+'RAP TEMPLATE-GAS AVAILABILITY'!Q725+'RAP TEMPLATE-GAS AVAILABILITY'!R725)</f>
        <v>23.121138129496405</v>
      </c>
    </row>
    <row r="727" spans="1:30" ht="15.75">
      <c r="A727" s="13">
        <v>63401</v>
      </c>
      <c r="B727" s="10">
        <f>CHOOSE(CONTROL!$C$42, 22.9102, 22.9102) * CHOOSE(CONTROL!$C$21, $C$9, 100%, $E$9)</f>
        <v>22.9102</v>
      </c>
      <c r="C727" s="10">
        <f>CHOOSE(CONTROL!$C$42, 22.9182, 22.9182) * CHOOSE(CONTROL!$C$21, $C$9, 100%, $E$9)</f>
        <v>22.918199999999999</v>
      </c>
      <c r="D727" s="10">
        <f>CHOOSE(CONTROL!$C$42, 23.0753, 23.0753) * CHOOSE(CONTROL!$C$21, $C$9, 100%, $E$9)</f>
        <v>23.075299999999999</v>
      </c>
      <c r="E727" s="10">
        <f>CHOOSE(CONTROL!$C$42, 23.1065, 23.1065) * CHOOSE(CONTROL!$C$21, $C$9, 100%, $E$9)</f>
        <v>23.1065</v>
      </c>
      <c r="F727" s="10">
        <f>CHOOSE(CONTROL!$C$42, 22.8549, 22.8549)*CHOOSE(CONTROL!$C$21, $C$9, 100%, $E$9)</f>
        <v>22.854900000000001</v>
      </c>
      <c r="G727" s="10">
        <f>CHOOSE(CONTROL!$C$42, 22.8711, 22.8711)*CHOOSE(CONTROL!$C$21, $C$9, 100%, $E$9)</f>
        <v>22.871099999999998</v>
      </c>
      <c r="H727" s="10">
        <f>CHOOSE(CONTROL!$C$42, 23.0948, 23.0948) * CHOOSE(CONTROL!$C$21, $C$9, 100%, $E$9)</f>
        <v>23.094799999999999</v>
      </c>
      <c r="I727" s="10">
        <f>CHOOSE(CONTROL!$C$42, 22.889, 22.889)* CHOOSE(CONTROL!$C$21, $C$9, 100%, $E$9)</f>
        <v>22.888999999999999</v>
      </c>
      <c r="J727" s="10">
        <f>CHOOSE(CONTROL!$C$42, 22.8475, 22.8475)* CHOOSE(CONTROL!$C$21, $C$9, 100%, $E$9)</f>
        <v>22.8475</v>
      </c>
      <c r="K727" s="10">
        <f>CHOOSE(CONTROL!$C$42, 22.3348, 22.3348) * CHOOSE(CONTROL!$C$21, $C$9, 100%, $E$9)</f>
        <v>22.334800000000001</v>
      </c>
      <c r="L727" s="10">
        <f>CHOOSE(CONTROL!$C$42, 23.6818, 23.6818) * CHOOSE(CONTROL!$C$21, $C$9, 100%, $E$9)</f>
        <v>23.681799999999999</v>
      </c>
      <c r="M727" s="10">
        <f>CHOOSE(CONTROL!$C$42, 22.5617, 22.5617) * CHOOSE(CONTROL!$C$21, $C$9, 100%, $E$9)</f>
        <v>22.561699999999998</v>
      </c>
      <c r="N727" s="10">
        <f>CHOOSE(CONTROL!$C$42, 22.5778, 22.5778) * CHOOSE(CONTROL!$C$21, $C$9, 100%, $E$9)</f>
        <v>22.5778</v>
      </c>
      <c r="O727" s="10">
        <f>CHOOSE(CONTROL!$C$42, 22.8056, 22.8056) * CHOOSE(CONTROL!$C$21, $C$9, 100%, $E$9)</f>
        <v>22.805599999999998</v>
      </c>
      <c r="P727" s="10">
        <f>CHOOSE(CONTROL!$C$42, 22.6028, 22.6028) * CHOOSE(CONTROL!$C$21, $C$9, 100%, $E$9)</f>
        <v>22.602799999999998</v>
      </c>
      <c r="Q727" s="10">
        <f>CHOOSE(CONTROL!$C$42, 23.4009, 23.4009) * CHOOSE(CONTROL!$C$21, $C$9, 100%, $E$9)</f>
        <v>23.4009</v>
      </c>
      <c r="R727" s="10">
        <f>CHOOSE(CONTROL!$C$42, 24.0464, 24.0464) * CHOOSE(CONTROL!$C$21, $C$9, 100%, $E$9)</f>
        <v>24.046399999999998</v>
      </c>
      <c r="S727" s="10">
        <f>CHOOSE(CONTROL!$C$42, 22.1986, 22.1986) * CHOOSE(CONTROL!$C$21, $C$9, 100%, $E$9)</f>
        <v>22.198599999999999</v>
      </c>
      <c r="T72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27" s="38">
        <f>(1000*CHOOSE(CONTROL!$C$42, 695, 695)*CHOOSE(CONTROL!$C$42, 0.5599, 0.5599)*CHOOSE(CONTROL!$C$42, 31, 31))/1000000</f>
        <v>12.063045499999998</v>
      </c>
      <c r="V727" s="38">
        <f>(1000*CHOOSE(CONTROL!$C$42, 500, 500)*CHOOSE(CONTROL!$C$42, 0.275, 0.275)*CHOOSE(CONTROL!$C$42, 31, 31))/1000000</f>
        <v>4.2625000000000002</v>
      </c>
      <c r="W727" s="38">
        <f>(1000*CHOOSE(CONTROL!$C$42, 0.1146, 0.1146)*CHOOSE(CONTROL!$C$42, 121.5, 121.5)*CHOOSE(CONTROL!$C$42, 31, 31))/1000000</f>
        <v>0.43164089999999994</v>
      </c>
      <c r="X727" s="38">
        <f>(31*0.1790888*245000/1000000)+(31*0.2374*100000/1000000)</f>
        <v>2.0961194359999999</v>
      </c>
      <c r="Y727" s="38">
        <f>(1000*600*CHOOSE(CONTROL!$C$42, 1.0585, 1.0585)*CHOOSE(CONTROL!$C$42, 31, 31))/1000000</f>
        <v>19.688099999999999</v>
      </c>
      <c r="Z727" s="38"/>
      <c r="AA727" s="10"/>
      <c r="AB727" s="39"/>
      <c r="AC727" s="33">
        <f>(B727*194.205+C727*267.466+D727*133.845+E727*53.484+F727*40+G727*185+H727*0+I727*100+J727*300)/(194.205+267.466+133.845+53.484+0+40+185+100+300)</f>
        <v>22.913623035086342</v>
      </c>
      <c r="AD727" s="27">
        <f>(M727*'RAP TEMPLATE-GAS AVAILABILITY'!O726+N727*'RAP TEMPLATE-GAS AVAILABILITY'!P726+O727*'RAP TEMPLATE-GAS AVAILABILITY'!Q726+P727*'RAP TEMPLATE-GAS AVAILABILITY'!R726)/('RAP TEMPLATE-GAS AVAILABILITY'!O726+'RAP TEMPLATE-GAS AVAILABILITY'!P726+'RAP TEMPLATE-GAS AVAILABILITY'!Q726+'RAP TEMPLATE-GAS AVAILABILITY'!R726)</f>
        <v>22.67908489208633</v>
      </c>
    </row>
    <row r="728" spans="1:30" ht="15.75">
      <c r="A728" s="13">
        <v>63432</v>
      </c>
      <c r="B728" s="10">
        <f>CHOOSE(CONTROL!$C$42, 21.7779, 21.7779) * CHOOSE(CONTROL!$C$21, $C$9, 100%, $E$9)</f>
        <v>21.777899999999999</v>
      </c>
      <c r="C728" s="10">
        <f>CHOOSE(CONTROL!$C$42, 21.7859, 21.7859) * CHOOSE(CONTROL!$C$21, $C$9, 100%, $E$9)</f>
        <v>21.785900000000002</v>
      </c>
      <c r="D728" s="10">
        <f>CHOOSE(CONTROL!$C$42, 21.9429, 21.9429) * CHOOSE(CONTROL!$C$21, $C$9, 100%, $E$9)</f>
        <v>21.942900000000002</v>
      </c>
      <c r="E728" s="10">
        <f>CHOOSE(CONTROL!$C$42, 21.9742, 21.9742) * CHOOSE(CONTROL!$C$21, $C$9, 100%, $E$9)</f>
        <v>21.9742</v>
      </c>
      <c r="F728" s="10">
        <f>CHOOSE(CONTROL!$C$42, 21.7225, 21.7225)*CHOOSE(CONTROL!$C$21, $C$9, 100%, $E$9)</f>
        <v>21.7225</v>
      </c>
      <c r="G728" s="10">
        <f>CHOOSE(CONTROL!$C$42, 21.7387, 21.7387)*CHOOSE(CONTROL!$C$21, $C$9, 100%, $E$9)</f>
        <v>21.738700000000001</v>
      </c>
      <c r="H728" s="10">
        <f>CHOOSE(CONTROL!$C$42, 21.9625, 21.9625) * CHOOSE(CONTROL!$C$21, $C$9, 100%, $E$9)</f>
        <v>21.962499999999999</v>
      </c>
      <c r="I728" s="10">
        <f>CHOOSE(CONTROL!$C$42, 21.7567, 21.7567)* CHOOSE(CONTROL!$C$21, $C$9, 100%, $E$9)</f>
        <v>21.756699999999999</v>
      </c>
      <c r="J728" s="10">
        <f>CHOOSE(CONTROL!$C$42, 21.7151, 21.7151)* CHOOSE(CONTROL!$C$21, $C$9, 100%, $E$9)</f>
        <v>21.7151</v>
      </c>
      <c r="K728" s="10">
        <f>CHOOSE(CONTROL!$C$42, 21.2377, 21.2377) * CHOOSE(CONTROL!$C$21, $C$9, 100%, $E$9)</f>
        <v>21.2377</v>
      </c>
      <c r="L728" s="10">
        <f>CHOOSE(CONTROL!$C$42, 22.5495, 22.5495) * CHOOSE(CONTROL!$C$21, $C$9, 100%, $E$9)</f>
        <v>22.549499999999998</v>
      </c>
      <c r="M728" s="10">
        <f>CHOOSE(CONTROL!$C$42, 21.4451, 21.4451) * CHOOSE(CONTROL!$C$21, $C$9, 100%, $E$9)</f>
        <v>21.4451</v>
      </c>
      <c r="N728" s="10">
        <f>CHOOSE(CONTROL!$C$42, 21.4612, 21.4612) * CHOOSE(CONTROL!$C$21, $C$9, 100%, $E$9)</f>
        <v>21.461200000000002</v>
      </c>
      <c r="O728" s="10">
        <f>CHOOSE(CONTROL!$C$42, 21.6891, 21.6891) * CHOOSE(CONTROL!$C$21, $C$9, 100%, $E$9)</f>
        <v>21.6891</v>
      </c>
      <c r="P728" s="10">
        <f>CHOOSE(CONTROL!$C$42, 21.4862, 21.4862) * CHOOSE(CONTROL!$C$21, $C$9, 100%, $E$9)</f>
        <v>21.4862</v>
      </c>
      <c r="Q728" s="10">
        <f>CHOOSE(CONTROL!$C$42, 22.2844, 22.2844) * CHOOSE(CONTROL!$C$21, $C$9, 100%, $E$9)</f>
        <v>22.284400000000002</v>
      </c>
      <c r="R728" s="10">
        <f>CHOOSE(CONTROL!$C$42, 22.9271, 22.9271) * CHOOSE(CONTROL!$C$21, $C$9, 100%, $E$9)</f>
        <v>22.927099999999999</v>
      </c>
      <c r="S728" s="10">
        <f>CHOOSE(CONTROL!$C$42, 21.1021, 21.1021) * CHOOSE(CONTROL!$C$21, $C$9, 100%, $E$9)</f>
        <v>21.1021</v>
      </c>
      <c r="T72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28" s="38">
        <f>(1000*CHOOSE(CONTROL!$C$42, 695, 695)*CHOOSE(CONTROL!$C$42, 0.5599, 0.5599)*CHOOSE(CONTROL!$C$42, 31, 31))/1000000</f>
        <v>12.063045499999998</v>
      </c>
      <c r="V728" s="38">
        <f>(1000*CHOOSE(CONTROL!$C$42, 500, 500)*CHOOSE(CONTROL!$C$42, 0.275, 0.275)*CHOOSE(CONTROL!$C$42, 31, 31))/1000000</f>
        <v>4.2625000000000002</v>
      </c>
      <c r="W728" s="38">
        <f>(1000*CHOOSE(CONTROL!$C$42, 0.1146, 0.1146)*CHOOSE(CONTROL!$C$42, 121.5, 121.5)*CHOOSE(CONTROL!$C$42, 31, 31))/1000000</f>
        <v>0.43164089999999994</v>
      </c>
      <c r="X728" s="38">
        <f>(31*0.1790888*245000/1000000)+(31*0.2374*100000/1000000)</f>
        <v>2.0961194359999999</v>
      </c>
      <c r="Y728" s="38">
        <f>(1000*600*CHOOSE(CONTROL!$C$42, 1.0585, 1.0585)*CHOOSE(CONTROL!$C$42, 31, 31))/1000000</f>
        <v>19.688099999999999</v>
      </c>
      <c r="Z728" s="38"/>
      <c r="AA728" s="10"/>
      <c r="AB728" s="39"/>
      <c r="AC728" s="33">
        <f>(B728*194.205+C728*267.466+D728*133.845+E728*53.484+F728*40+G728*185+H728*0+I728*100+J728*300)/(194.205+267.466+133.845+53.484+0+40+185+100+300)</f>
        <v>21.781271320408162</v>
      </c>
      <c r="AD728" s="27">
        <f>(M728*'RAP TEMPLATE-GAS AVAILABILITY'!O727+N728*'RAP TEMPLATE-GAS AVAILABILITY'!P727+O728*'RAP TEMPLATE-GAS AVAILABILITY'!Q727+P728*'RAP TEMPLATE-GAS AVAILABILITY'!R727)/('RAP TEMPLATE-GAS AVAILABILITY'!O727+'RAP TEMPLATE-GAS AVAILABILITY'!P727+'RAP TEMPLATE-GAS AVAILABILITY'!Q727+'RAP TEMPLATE-GAS AVAILABILITY'!R727)</f>
        <v>21.562530215827341</v>
      </c>
    </row>
    <row r="729" spans="1:30" ht="15.75">
      <c r="A729" s="13">
        <v>63462</v>
      </c>
      <c r="B729" s="10">
        <f>CHOOSE(CONTROL!$C$42, 20.3944, 20.3944) * CHOOSE(CONTROL!$C$21, $C$9, 100%, $E$9)</f>
        <v>20.394400000000001</v>
      </c>
      <c r="C729" s="10">
        <f>CHOOSE(CONTROL!$C$42, 20.4024, 20.4024) * CHOOSE(CONTROL!$C$21, $C$9, 100%, $E$9)</f>
        <v>20.4024</v>
      </c>
      <c r="D729" s="10">
        <f>CHOOSE(CONTROL!$C$42, 20.5594, 20.5594) * CHOOSE(CONTROL!$C$21, $C$9, 100%, $E$9)</f>
        <v>20.5594</v>
      </c>
      <c r="E729" s="10">
        <f>CHOOSE(CONTROL!$C$42, 20.5907, 20.5907) * CHOOSE(CONTROL!$C$21, $C$9, 100%, $E$9)</f>
        <v>20.590699999999998</v>
      </c>
      <c r="F729" s="10">
        <f>CHOOSE(CONTROL!$C$42, 20.3388, 20.3388)*CHOOSE(CONTROL!$C$21, $C$9, 100%, $E$9)</f>
        <v>20.338799999999999</v>
      </c>
      <c r="G729" s="10">
        <f>CHOOSE(CONTROL!$C$42, 20.355, 20.355)*CHOOSE(CONTROL!$C$21, $C$9, 100%, $E$9)</f>
        <v>20.355</v>
      </c>
      <c r="H729" s="10">
        <f>CHOOSE(CONTROL!$C$42, 20.579, 20.579) * CHOOSE(CONTROL!$C$21, $C$9, 100%, $E$9)</f>
        <v>20.579000000000001</v>
      </c>
      <c r="I729" s="10">
        <f>CHOOSE(CONTROL!$C$42, 20.3732, 20.3732)* CHOOSE(CONTROL!$C$21, $C$9, 100%, $E$9)</f>
        <v>20.373200000000001</v>
      </c>
      <c r="J729" s="10">
        <f>CHOOSE(CONTROL!$C$42, 20.3314, 20.3314)* CHOOSE(CONTROL!$C$21, $C$9, 100%, $E$9)</f>
        <v>20.331399999999999</v>
      </c>
      <c r="K729" s="10">
        <f>CHOOSE(CONTROL!$C$42, 19.8969, 19.8969) * CHOOSE(CONTROL!$C$21, $C$9, 100%, $E$9)</f>
        <v>19.896899999999999</v>
      </c>
      <c r="L729" s="10">
        <f>CHOOSE(CONTROL!$C$42, 21.166, 21.166) * CHOOSE(CONTROL!$C$21, $C$9, 100%, $E$9)</f>
        <v>21.166</v>
      </c>
      <c r="M729" s="10">
        <f>CHOOSE(CONTROL!$C$42, 20.0807, 20.0807) * CHOOSE(CONTROL!$C$21, $C$9, 100%, $E$9)</f>
        <v>20.0807</v>
      </c>
      <c r="N729" s="10">
        <f>CHOOSE(CONTROL!$C$42, 20.0967, 20.0967) * CHOOSE(CONTROL!$C$21, $C$9, 100%, $E$9)</f>
        <v>20.096699999999998</v>
      </c>
      <c r="O729" s="10">
        <f>CHOOSE(CONTROL!$C$42, 20.3249, 20.3249) * CHOOSE(CONTROL!$C$21, $C$9, 100%, $E$9)</f>
        <v>20.3249</v>
      </c>
      <c r="P729" s="10">
        <f>CHOOSE(CONTROL!$C$42, 20.122, 20.122) * CHOOSE(CONTROL!$C$21, $C$9, 100%, $E$9)</f>
        <v>20.122</v>
      </c>
      <c r="Q729" s="10">
        <f>CHOOSE(CONTROL!$C$42, 20.9202, 20.9202) * CHOOSE(CONTROL!$C$21, $C$9, 100%, $E$9)</f>
        <v>20.920200000000001</v>
      </c>
      <c r="R729" s="10">
        <f>CHOOSE(CONTROL!$C$42, 21.5595, 21.5595) * CHOOSE(CONTROL!$C$21, $C$9, 100%, $E$9)</f>
        <v>21.5595</v>
      </c>
      <c r="S729" s="10">
        <f>CHOOSE(CONTROL!$C$42, 19.7625, 19.7625) * CHOOSE(CONTROL!$C$21, $C$9, 100%, $E$9)</f>
        <v>19.762499999999999</v>
      </c>
      <c r="T72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29" s="38">
        <f>(1000*CHOOSE(CONTROL!$C$42, 695, 695)*CHOOSE(CONTROL!$C$42, 0.5599, 0.5599)*CHOOSE(CONTROL!$C$42, 30, 30))/1000000</f>
        <v>11.673914999999997</v>
      </c>
      <c r="V729" s="38">
        <f>(1000*CHOOSE(CONTROL!$C$42, 500, 500)*CHOOSE(CONTROL!$C$42, 0.275, 0.275)*CHOOSE(CONTROL!$C$42, 30, 30))/1000000</f>
        <v>4.125</v>
      </c>
      <c r="W729" s="38">
        <f>(1000*CHOOSE(CONTROL!$C$42, 0.1146, 0.1146)*CHOOSE(CONTROL!$C$42, 121.5, 121.5)*CHOOSE(CONTROL!$C$42, 30, 30))/1000000</f>
        <v>0.417717</v>
      </c>
      <c r="X729" s="38">
        <f>(30*0.1790888*245000/1000000)+(30*0.2374*100000/1000000)</f>
        <v>2.0285026799999999</v>
      </c>
      <c r="Y729" s="38">
        <f>(1000*600*CHOOSE(CONTROL!$C$42, 1.0585, 1.0585)*CHOOSE(CONTROL!$C$42, 30, 30))/1000000</f>
        <v>19.053000000000001</v>
      </c>
      <c r="Z729" s="38"/>
      <c r="AA729" s="10"/>
      <c r="AB729" s="39"/>
      <c r="AC729" s="33">
        <f>(B729*194.205+C729*267.466+D729*133.845+E729*53.484+F729*40+G729*185+H729*0+I729*100+J729*300)/(194.205+267.466+133.845+53.484+0+40+185+100+300)</f>
        <v>20.397688902825745</v>
      </c>
      <c r="AD729" s="27">
        <f>(M729*'RAP TEMPLATE-GAS AVAILABILITY'!O728+N729*'RAP TEMPLATE-GAS AVAILABILITY'!P728+O729*'RAP TEMPLATE-GAS AVAILABILITY'!Q728+P729*'RAP TEMPLATE-GAS AVAILABILITY'!R728)/('RAP TEMPLATE-GAS AVAILABILITY'!O728+'RAP TEMPLATE-GAS AVAILABILITY'!P728+'RAP TEMPLATE-GAS AVAILABILITY'!Q728+'RAP TEMPLATE-GAS AVAILABILITY'!R728)</f>
        <v>20.198243884892086</v>
      </c>
    </row>
    <row r="730" spans="1:30" ht="15.75">
      <c r="A730" s="13">
        <v>63493</v>
      </c>
      <c r="B730" s="10">
        <f>CHOOSE(CONTROL!$C$42, 19.9778, 19.9778) * CHOOSE(CONTROL!$C$21, $C$9, 100%, $E$9)</f>
        <v>19.977799999999998</v>
      </c>
      <c r="C730" s="10">
        <f>CHOOSE(CONTROL!$C$42, 19.9832, 19.9832) * CHOOSE(CONTROL!$C$21, $C$9, 100%, $E$9)</f>
        <v>19.9832</v>
      </c>
      <c r="D730" s="10">
        <f>CHOOSE(CONTROL!$C$42, 20.1451, 20.1451) * CHOOSE(CONTROL!$C$21, $C$9, 100%, $E$9)</f>
        <v>20.145099999999999</v>
      </c>
      <c r="E730" s="10">
        <f>CHOOSE(CONTROL!$C$42, 20.174, 20.174) * CHOOSE(CONTROL!$C$21, $C$9, 100%, $E$9)</f>
        <v>20.173999999999999</v>
      </c>
      <c r="F730" s="10">
        <f>CHOOSE(CONTROL!$C$42, 19.9242, 19.9242)*CHOOSE(CONTROL!$C$21, $C$9, 100%, $E$9)</f>
        <v>19.924199999999999</v>
      </c>
      <c r="G730" s="10">
        <f>CHOOSE(CONTROL!$C$42, 19.94, 19.94)*CHOOSE(CONTROL!$C$21, $C$9, 100%, $E$9)</f>
        <v>19.940000000000001</v>
      </c>
      <c r="H730" s="10">
        <f>CHOOSE(CONTROL!$C$42, 20.1642, 20.1642) * CHOOSE(CONTROL!$C$21, $C$9, 100%, $E$9)</f>
        <v>20.164200000000001</v>
      </c>
      <c r="I730" s="10">
        <f>CHOOSE(CONTROL!$C$42, 19.9583, 19.9583)* CHOOSE(CONTROL!$C$21, $C$9, 100%, $E$9)</f>
        <v>19.958300000000001</v>
      </c>
      <c r="J730" s="10">
        <f>CHOOSE(CONTROL!$C$42, 19.9168, 19.9168)* CHOOSE(CONTROL!$C$21, $C$9, 100%, $E$9)</f>
        <v>19.916799999999999</v>
      </c>
      <c r="K730" s="10">
        <f>CHOOSE(CONTROL!$C$42, 19.4957, 19.4957) * CHOOSE(CONTROL!$C$21, $C$9, 100%, $E$9)</f>
        <v>19.495699999999999</v>
      </c>
      <c r="L730" s="10">
        <f>CHOOSE(CONTROL!$C$42, 20.7512, 20.7512) * CHOOSE(CONTROL!$C$21, $C$9, 100%, $E$9)</f>
        <v>20.751200000000001</v>
      </c>
      <c r="M730" s="10">
        <f>CHOOSE(CONTROL!$C$42, 19.672, 19.672) * CHOOSE(CONTROL!$C$21, $C$9, 100%, $E$9)</f>
        <v>19.672000000000001</v>
      </c>
      <c r="N730" s="10">
        <f>CHOOSE(CONTROL!$C$42, 19.6876, 19.6876) * CHOOSE(CONTROL!$C$21, $C$9, 100%, $E$9)</f>
        <v>19.6876</v>
      </c>
      <c r="O730" s="10">
        <f>CHOOSE(CONTROL!$C$42, 19.9159, 19.9159) * CHOOSE(CONTROL!$C$21, $C$9, 100%, $E$9)</f>
        <v>19.915900000000001</v>
      </c>
      <c r="P730" s="10">
        <f>CHOOSE(CONTROL!$C$42, 19.713, 19.713) * CHOOSE(CONTROL!$C$21, $C$9, 100%, $E$9)</f>
        <v>19.713000000000001</v>
      </c>
      <c r="Q730" s="10">
        <f>CHOOSE(CONTROL!$C$42, 20.5112, 20.5112) * CHOOSE(CONTROL!$C$21, $C$9, 100%, $E$9)</f>
        <v>20.511199999999999</v>
      </c>
      <c r="R730" s="10">
        <f>CHOOSE(CONTROL!$C$42, 21.1495, 21.1495) * CHOOSE(CONTROL!$C$21, $C$9, 100%, $E$9)</f>
        <v>21.1495</v>
      </c>
      <c r="S730" s="10">
        <f>CHOOSE(CONTROL!$C$42, 19.3608, 19.3608) * CHOOSE(CONTROL!$C$21, $C$9, 100%, $E$9)</f>
        <v>19.360800000000001</v>
      </c>
      <c r="T73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30" s="38">
        <f>(1000*CHOOSE(CONTROL!$C$42, 695, 695)*CHOOSE(CONTROL!$C$42, 0.5599, 0.5599)*CHOOSE(CONTROL!$C$42, 31, 31))/1000000</f>
        <v>12.063045499999998</v>
      </c>
      <c r="V730" s="38">
        <f>(1000*CHOOSE(CONTROL!$C$42, 500, 500)*CHOOSE(CONTROL!$C$42, 0.275, 0.275)*CHOOSE(CONTROL!$C$42, 31, 31))/1000000</f>
        <v>4.2625000000000002</v>
      </c>
      <c r="W730" s="38">
        <f>(1000*CHOOSE(CONTROL!$C$42, 0.1146, 0.1146)*CHOOSE(CONTROL!$C$42, 121.5, 121.5)*CHOOSE(CONTROL!$C$42, 31, 31))/1000000</f>
        <v>0.43164089999999994</v>
      </c>
      <c r="X730" s="38">
        <f>(31*0.1790888*245000/1000000)+(31*0.2374*100000/1000000)</f>
        <v>2.0961194359999999</v>
      </c>
      <c r="Y730" s="38">
        <f>(1000*600*CHOOSE(CONTROL!$C$42, 1.0585, 1.0585)*CHOOSE(CONTROL!$C$42, 31, 31))/1000000</f>
        <v>19.688099999999999</v>
      </c>
      <c r="Z730" s="38"/>
      <c r="AA730" s="10"/>
      <c r="AB730" s="39"/>
      <c r="AC730" s="33">
        <f>(B730*131.881+C730*277.167+D730*79.08+E730*125.872+F730*40+G730*185+H730*0+I730*100+J730*300)/(131.881+277.167+79.08+125.872+0+40+185+100+300)</f>
        <v>19.985899977562553</v>
      </c>
      <c r="AD730" s="27">
        <f>(M730*'RAP TEMPLATE-GAS AVAILABILITY'!O729+N730*'RAP TEMPLATE-GAS AVAILABILITY'!P729+O730*'RAP TEMPLATE-GAS AVAILABILITY'!Q729+P730*'RAP TEMPLATE-GAS AVAILABILITY'!R729)/('RAP TEMPLATE-GAS AVAILABILITY'!O729+'RAP TEMPLATE-GAS AVAILABILITY'!P729+'RAP TEMPLATE-GAS AVAILABILITY'!Q729+'RAP TEMPLATE-GAS AVAILABILITY'!R729)</f>
        <v>19.789341726618705</v>
      </c>
    </row>
    <row r="731" spans="1:30" ht="15.75">
      <c r="A731" s="13">
        <v>63523</v>
      </c>
      <c r="B731" s="10">
        <f>CHOOSE(CONTROL!$C$42, 20.5042, 20.5042) * CHOOSE(CONTROL!$C$21, $C$9, 100%, $E$9)</f>
        <v>20.504200000000001</v>
      </c>
      <c r="C731" s="10">
        <f>CHOOSE(CONTROL!$C$42, 20.5093, 20.5093) * CHOOSE(CONTROL!$C$21, $C$9, 100%, $E$9)</f>
        <v>20.5093</v>
      </c>
      <c r="D731" s="10">
        <f>CHOOSE(CONTROL!$C$42, 20.534, 20.534) * CHOOSE(CONTROL!$C$21, $C$9, 100%, $E$9)</f>
        <v>20.533999999999999</v>
      </c>
      <c r="E731" s="10">
        <f>CHOOSE(CONTROL!$C$42, 20.5678, 20.5678) * CHOOSE(CONTROL!$C$21, $C$9, 100%, $E$9)</f>
        <v>20.567799999999998</v>
      </c>
      <c r="F731" s="10">
        <f>CHOOSE(CONTROL!$C$42, 20.4725, 20.4725)*CHOOSE(CONTROL!$C$21, $C$9, 100%, $E$9)</f>
        <v>20.4725</v>
      </c>
      <c r="G731" s="10">
        <f>CHOOSE(CONTROL!$C$42, 20.4885, 20.4885)*CHOOSE(CONTROL!$C$21, $C$9, 100%, $E$9)</f>
        <v>20.488499999999998</v>
      </c>
      <c r="H731" s="10">
        <f>CHOOSE(CONTROL!$C$42, 20.5566, 20.5566) * CHOOSE(CONTROL!$C$21, $C$9, 100%, $E$9)</f>
        <v>20.5566</v>
      </c>
      <c r="I731" s="10">
        <f>CHOOSE(CONTROL!$C$42, 20.5192, 20.5192)* CHOOSE(CONTROL!$C$21, $C$9, 100%, $E$9)</f>
        <v>20.519200000000001</v>
      </c>
      <c r="J731" s="10">
        <f>CHOOSE(CONTROL!$C$42, 20.4651, 20.4651)* CHOOSE(CONTROL!$C$21, $C$9, 100%, $E$9)</f>
        <v>20.4651</v>
      </c>
      <c r="K731" s="10">
        <f>CHOOSE(CONTROL!$C$42, 20.0412, 20.0412) * CHOOSE(CONTROL!$C$21, $C$9, 100%, $E$9)</f>
        <v>20.0412</v>
      </c>
      <c r="L731" s="10">
        <f>CHOOSE(CONTROL!$C$42, 21.1436, 21.1436) * CHOOSE(CONTROL!$C$21, $C$9, 100%, $E$9)</f>
        <v>21.143599999999999</v>
      </c>
      <c r="M731" s="10">
        <f>CHOOSE(CONTROL!$C$42, 20.2126, 20.2126) * CHOOSE(CONTROL!$C$21, $C$9, 100%, $E$9)</f>
        <v>20.212599999999998</v>
      </c>
      <c r="N731" s="10">
        <f>CHOOSE(CONTROL!$C$42, 20.2284, 20.2284) * CHOOSE(CONTROL!$C$21, $C$9, 100%, $E$9)</f>
        <v>20.228400000000001</v>
      </c>
      <c r="O731" s="10">
        <f>CHOOSE(CONTROL!$C$42, 20.3029, 20.3029) * CHOOSE(CONTROL!$C$21, $C$9, 100%, $E$9)</f>
        <v>20.302900000000001</v>
      </c>
      <c r="P731" s="10">
        <f>CHOOSE(CONTROL!$C$42, 20.266, 20.266) * CHOOSE(CONTROL!$C$21, $C$9, 100%, $E$9)</f>
        <v>20.265999999999998</v>
      </c>
      <c r="Q731" s="10">
        <f>CHOOSE(CONTROL!$C$42, 20.8982, 20.8982) * CHOOSE(CONTROL!$C$21, $C$9, 100%, $E$9)</f>
        <v>20.898199999999999</v>
      </c>
      <c r="R731" s="10">
        <f>CHOOSE(CONTROL!$C$42, 21.5374, 21.5374) * CHOOSE(CONTROL!$C$21, $C$9, 100%, $E$9)</f>
        <v>21.537400000000002</v>
      </c>
      <c r="S731" s="10">
        <f>CHOOSE(CONTROL!$C$42, 19.8708, 19.8708) * CHOOSE(CONTROL!$C$21, $C$9, 100%, $E$9)</f>
        <v>19.870799999999999</v>
      </c>
      <c r="T73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31" s="38">
        <f>(1000*CHOOSE(CONTROL!$C$42, 695, 695)*CHOOSE(CONTROL!$C$42, 0.5599, 0.5599)*CHOOSE(CONTROL!$C$42, 30, 30))/1000000</f>
        <v>11.673914999999997</v>
      </c>
      <c r="V731" s="38">
        <f>(1000*CHOOSE(CONTROL!$C$42, 500, 500)*CHOOSE(CONTROL!$C$42, 0.275, 0.275)*CHOOSE(CONTROL!$C$42, 30, 30))/1000000</f>
        <v>4.125</v>
      </c>
      <c r="W731" s="38">
        <f>(1000*CHOOSE(CONTROL!$C$42, 0.1146, 0.1146)*CHOOSE(CONTROL!$C$42, 121.5, 121.5)*CHOOSE(CONTROL!$C$42, 30, 30))/1000000</f>
        <v>0.417717</v>
      </c>
      <c r="X731" s="38">
        <f>(30*0.1790888*100000/1000000)+(30*0.2374*100000/1000000)</f>
        <v>1.2494664</v>
      </c>
      <c r="Y731" s="38">
        <f>(1000*600*CHOOSE(CONTROL!$C$42, 1.0585, 1.0585)*CHOOSE(CONTROL!$C$42, 30, 30))/1000000</f>
        <v>19.053000000000001</v>
      </c>
      <c r="Z731" s="38"/>
      <c r="AA731" s="10"/>
      <c r="AB731" s="39"/>
      <c r="AC731" s="33">
        <f>(B731*122.58+C731*297.941+D731*89.177+E731*40.302+F731*40+G731*160+H731*0+I731*100+J731*300)/(122.58+297.941+89.177+40.302+0+40+160+100+300)</f>
        <v>20.497878418173912</v>
      </c>
      <c r="AD731" s="27">
        <f>(M731*'RAP TEMPLATE-GAS AVAILABILITY'!O730+N731*'RAP TEMPLATE-GAS AVAILABILITY'!P730+O731*'RAP TEMPLATE-GAS AVAILABILITY'!Q730+P731*'RAP TEMPLATE-GAS AVAILABILITY'!R730)/('RAP TEMPLATE-GAS AVAILABILITY'!O730+'RAP TEMPLATE-GAS AVAILABILITY'!P730+'RAP TEMPLATE-GAS AVAILABILITY'!Q730+'RAP TEMPLATE-GAS AVAILABILITY'!R730)</f>
        <v>20.262120143884893</v>
      </c>
    </row>
    <row r="732" spans="1:30" ht="15.75">
      <c r="A732" s="13">
        <v>63554</v>
      </c>
      <c r="B732" s="10">
        <f>CHOOSE(CONTROL!$C$42, 21.9032, 21.9032) * CHOOSE(CONTROL!$C$21, $C$9, 100%, $E$9)</f>
        <v>21.903199999999998</v>
      </c>
      <c r="C732" s="10">
        <f>CHOOSE(CONTROL!$C$42, 21.9083, 21.9083) * CHOOSE(CONTROL!$C$21, $C$9, 100%, $E$9)</f>
        <v>21.908300000000001</v>
      </c>
      <c r="D732" s="10">
        <f>CHOOSE(CONTROL!$C$42, 21.933, 21.933) * CHOOSE(CONTROL!$C$21, $C$9, 100%, $E$9)</f>
        <v>21.933</v>
      </c>
      <c r="E732" s="10">
        <f>CHOOSE(CONTROL!$C$42, 21.9668, 21.9668) * CHOOSE(CONTROL!$C$21, $C$9, 100%, $E$9)</f>
        <v>21.966799999999999</v>
      </c>
      <c r="F732" s="10">
        <f>CHOOSE(CONTROL!$C$42, 21.8735, 21.8735)*CHOOSE(CONTROL!$C$21, $C$9, 100%, $E$9)</f>
        <v>21.8735</v>
      </c>
      <c r="G732" s="10">
        <f>CHOOSE(CONTROL!$C$42, 21.89, 21.89)*CHOOSE(CONTROL!$C$21, $C$9, 100%, $E$9)</f>
        <v>21.89</v>
      </c>
      <c r="H732" s="10">
        <f>CHOOSE(CONTROL!$C$42, 21.9557, 21.9557) * CHOOSE(CONTROL!$C$21, $C$9, 100%, $E$9)</f>
        <v>21.9557</v>
      </c>
      <c r="I732" s="10">
        <f>CHOOSE(CONTROL!$C$42, 21.9182, 21.9182)* CHOOSE(CONTROL!$C$21, $C$9, 100%, $E$9)</f>
        <v>21.918199999999999</v>
      </c>
      <c r="J732" s="10">
        <f>CHOOSE(CONTROL!$C$42, 21.8661, 21.8661)* CHOOSE(CONTROL!$C$21, $C$9, 100%, $E$9)</f>
        <v>21.866099999999999</v>
      </c>
      <c r="K732" s="10">
        <f>CHOOSE(CONTROL!$C$42, 21.4007, 21.4007) * CHOOSE(CONTROL!$C$21, $C$9, 100%, $E$9)</f>
        <v>21.400700000000001</v>
      </c>
      <c r="L732" s="10">
        <f>CHOOSE(CONTROL!$C$42, 22.5427, 22.5427) * CHOOSE(CONTROL!$C$21, $C$9, 100%, $E$9)</f>
        <v>22.5427</v>
      </c>
      <c r="M732" s="10">
        <f>CHOOSE(CONTROL!$C$42, 21.5941, 21.5941) * CHOOSE(CONTROL!$C$21, $C$9, 100%, $E$9)</f>
        <v>21.594100000000001</v>
      </c>
      <c r="N732" s="10">
        <f>CHOOSE(CONTROL!$C$42, 21.6103, 21.6103) * CHOOSE(CONTROL!$C$21, $C$9, 100%, $E$9)</f>
        <v>21.610299999999999</v>
      </c>
      <c r="O732" s="10">
        <f>CHOOSE(CONTROL!$C$42, 21.6824, 21.6824) * CHOOSE(CONTROL!$C$21, $C$9, 100%, $E$9)</f>
        <v>21.682400000000001</v>
      </c>
      <c r="P732" s="10">
        <f>CHOOSE(CONTROL!$C$42, 21.6455, 21.6455) * CHOOSE(CONTROL!$C$21, $C$9, 100%, $E$9)</f>
        <v>21.645499999999998</v>
      </c>
      <c r="Q732" s="10">
        <f>CHOOSE(CONTROL!$C$42, 22.2777, 22.2777) * CHOOSE(CONTROL!$C$21, $C$9, 100%, $E$9)</f>
        <v>22.277699999999999</v>
      </c>
      <c r="R732" s="10">
        <f>CHOOSE(CONTROL!$C$42, 22.9204, 22.9204) * CHOOSE(CONTROL!$C$21, $C$9, 100%, $E$9)</f>
        <v>22.920400000000001</v>
      </c>
      <c r="S732" s="10">
        <f>CHOOSE(CONTROL!$C$42, 21.2256, 21.2256) * CHOOSE(CONTROL!$C$21, $C$9, 100%, $E$9)</f>
        <v>21.2256</v>
      </c>
      <c r="T73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32" s="38">
        <f>(1000*CHOOSE(CONTROL!$C$42, 695, 695)*CHOOSE(CONTROL!$C$42, 0.5599, 0.5599)*CHOOSE(CONTROL!$C$42, 31, 31))/1000000</f>
        <v>12.063045499999998</v>
      </c>
      <c r="V732" s="38">
        <f>(1000*CHOOSE(CONTROL!$C$42, 500, 500)*CHOOSE(CONTROL!$C$42, 0.275, 0.275)*CHOOSE(CONTROL!$C$42, 31, 31))/1000000</f>
        <v>4.2625000000000002</v>
      </c>
      <c r="W732" s="38">
        <f>(1000*CHOOSE(CONTROL!$C$42, 0.1146, 0.1146)*CHOOSE(CONTROL!$C$42, 121.5, 121.5)*CHOOSE(CONTROL!$C$42, 31, 31))/1000000</f>
        <v>0.43164089999999994</v>
      </c>
      <c r="X732" s="38">
        <f>(31*0.1790888*100000/1000000)+(31*0.2374*100000/1000000)</f>
        <v>1.2911152800000001</v>
      </c>
      <c r="Y732" s="38">
        <f>(1000*600*CHOOSE(CONTROL!$C$42, 1.0585, 1.0585)*CHOOSE(CONTROL!$C$42, 31, 31))/1000000</f>
        <v>19.688099999999999</v>
      </c>
      <c r="Z732" s="38"/>
      <c r="AA732" s="10"/>
      <c r="AB732" s="39"/>
      <c r="AC732" s="33">
        <f>(B732*122.58+C732*297.941+D732*89.177+E732*40.302+F732*40+G732*160+H732*0+I732*100+J732*300)/(122.58+297.941+89.177+40.302+0+40+160+100+300)</f>
        <v>21.897817548608696</v>
      </c>
      <c r="AD732" s="27">
        <f>(M732*'RAP TEMPLATE-GAS AVAILABILITY'!O731+N732*'RAP TEMPLATE-GAS AVAILABILITY'!P731+O732*'RAP TEMPLATE-GAS AVAILABILITY'!Q731+P732*'RAP TEMPLATE-GAS AVAILABILITY'!R731)/('RAP TEMPLATE-GAS AVAILABILITY'!O731+'RAP TEMPLATE-GAS AVAILABILITY'!P731+'RAP TEMPLATE-GAS AVAILABILITY'!Q731+'RAP TEMPLATE-GAS AVAILABILITY'!R731)</f>
        <v>21.642448920863309</v>
      </c>
    </row>
    <row r="733" spans="1:30" ht="15.75">
      <c r="A733" s="13">
        <v>63585</v>
      </c>
      <c r="B733" s="10">
        <f>CHOOSE(CONTROL!$C$42, 23.3827, 23.3827) * CHOOSE(CONTROL!$C$21, $C$9, 100%, $E$9)</f>
        <v>23.3827</v>
      </c>
      <c r="C733" s="10">
        <f>CHOOSE(CONTROL!$C$42, 23.3878, 23.3878) * CHOOSE(CONTROL!$C$21, $C$9, 100%, $E$9)</f>
        <v>23.387799999999999</v>
      </c>
      <c r="D733" s="10">
        <f>CHOOSE(CONTROL!$C$42, 23.4202, 23.4202) * CHOOSE(CONTROL!$C$21, $C$9, 100%, $E$9)</f>
        <v>23.420200000000001</v>
      </c>
      <c r="E733" s="10">
        <f>CHOOSE(CONTROL!$C$42, 23.454, 23.454) * CHOOSE(CONTROL!$C$21, $C$9, 100%, $E$9)</f>
        <v>23.454000000000001</v>
      </c>
      <c r="F733" s="10">
        <f>CHOOSE(CONTROL!$C$42, 23.3669, 23.3669)*CHOOSE(CONTROL!$C$21, $C$9, 100%, $E$9)</f>
        <v>23.366900000000001</v>
      </c>
      <c r="G733" s="10">
        <f>CHOOSE(CONTROL!$C$42, 23.3849, 23.3849)*CHOOSE(CONTROL!$C$21, $C$9, 100%, $E$9)</f>
        <v>23.384899999999998</v>
      </c>
      <c r="H733" s="10">
        <f>CHOOSE(CONTROL!$C$42, 23.4429, 23.4429) * CHOOSE(CONTROL!$C$21, $C$9, 100%, $E$9)</f>
        <v>23.442900000000002</v>
      </c>
      <c r="I733" s="10">
        <f>CHOOSE(CONTROL!$C$42, 23.3961, 23.3961)* CHOOSE(CONTROL!$C$21, $C$9, 100%, $E$9)</f>
        <v>23.396100000000001</v>
      </c>
      <c r="J733" s="10">
        <f>CHOOSE(CONTROL!$C$42, 23.3595, 23.3595)* CHOOSE(CONTROL!$C$21, $C$9, 100%, $E$9)</f>
        <v>23.359500000000001</v>
      </c>
      <c r="K733" s="10">
        <f>CHOOSE(CONTROL!$C$42, 22.8464, 22.8464) * CHOOSE(CONTROL!$C$21, $C$9, 100%, $E$9)</f>
        <v>22.846399999999999</v>
      </c>
      <c r="L733" s="10">
        <f>CHOOSE(CONTROL!$C$42, 24.0299, 24.0299) * CHOOSE(CONTROL!$C$21, $C$9, 100%, $E$9)</f>
        <v>24.029900000000001</v>
      </c>
      <c r="M733" s="10">
        <f>CHOOSE(CONTROL!$C$42, 23.0666, 23.0666) * CHOOSE(CONTROL!$C$21, $C$9, 100%, $E$9)</f>
        <v>23.066600000000001</v>
      </c>
      <c r="N733" s="10">
        <f>CHOOSE(CONTROL!$C$42, 23.0844, 23.0844) * CHOOSE(CONTROL!$C$21, $C$9, 100%, $E$9)</f>
        <v>23.084399999999999</v>
      </c>
      <c r="O733" s="10">
        <f>CHOOSE(CONTROL!$C$42, 23.1489, 23.1489) * CHOOSE(CONTROL!$C$21, $C$9, 100%, $E$9)</f>
        <v>23.148900000000001</v>
      </c>
      <c r="P733" s="10">
        <f>CHOOSE(CONTROL!$C$42, 23.1028, 23.1028) * CHOOSE(CONTROL!$C$21, $C$9, 100%, $E$9)</f>
        <v>23.102799999999998</v>
      </c>
      <c r="Q733" s="10">
        <f>CHOOSE(CONTROL!$C$42, 23.7442, 23.7442) * CHOOSE(CONTROL!$C$21, $C$9, 100%, $E$9)</f>
        <v>23.744199999999999</v>
      </c>
      <c r="R733" s="10">
        <f>CHOOSE(CONTROL!$C$42, 24.3905, 24.3905) * CHOOSE(CONTROL!$C$21, $C$9, 100%, $E$9)</f>
        <v>24.390499999999999</v>
      </c>
      <c r="S733" s="10">
        <f>CHOOSE(CONTROL!$C$42, 22.6581, 22.6581) * CHOOSE(CONTROL!$C$21, $C$9, 100%, $E$9)</f>
        <v>22.658100000000001</v>
      </c>
      <c r="T73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33" s="38">
        <f>(1000*CHOOSE(CONTROL!$C$42, 695, 695)*CHOOSE(CONTROL!$C$42, 0.5599, 0.5599)*CHOOSE(CONTROL!$C$42, 31, 31))/1000000</f>
        <v>12.063045499999998</v>
      </c>
      <c r="V733" s="38">
        <f>(1000*CHOOSE(CONTROL!$C$42, 500, 500)*CHOOSE(CONTROL!$C$42, 0.275, 0.275)*CHOOSE(CONTROL!$C$42, 31, 31))/1000000</f>
        <v>4.2625000000000002</v>
      </c>
      <c r="W733" s="38">
        <f>(1000*CHOOSE(CONTROL!$C$42, 0.1146, 0.1146)*CHOOSE(CONTROL!$C$42, 121.5, 121.5)*CHOOSE(CONTROL!$C$42, 31, 31))/1000000</f>
        <v>0.43164089999999994</v>
      </c>
      <c r="X733" s="38">
        <f>(31*0.1790888*100000/1000000)+(31*0.2374*100000/1000000)</f>
        <v>1.2911152800000001</v>
      </c>
      <c r="Y733" s="38">
        <f>(1000*600*CHOOSE(CONTROL!$C$42, 1.0585, 1.0585)*CHOOSE(CONTROL!$C$42, 31, 31))/1000000</f>
        <v>19.688099999999999</v>
      </c>
      <c r="Z733" s="38"/>
      <c r="AA733" s="10"/>
      <c r="AB733" s="39"/>
      <c r="AC733" s="33">
        <f>(B733*122.58+C733*297.941+D733*89.177+E733*40.302+F733*40+G733*160+H733*0+I733*100+J733*300)/(122.58+297.941+89.177+40.302+0+40+160+100+300)</f>
        <v>23.384297538434787</v>
      </c>
      <c r="AD733" s="27">
        <f>(M733*'RAP TEMPLATE-GAS AVAILABILITY'!O732+N733*'RAP TEMPLATE-GAS AVAILABILITY'!P732+O733*'RAP TEMPLATE-GAS AVAILABILITY'!Q732+P733*'RAP TEMPLATE-GAS AVAILABILITY'!R732)/('RAP TEMPLATE-GAS AVAILABILITY'!O732+'RAP TEMPLATE-GAS AVAILABILITY'!P732+'RAP TEMPLATE-GAS AVAILABILITY'!Q732+'RAP TEMPLATE-GAS AVAILABILITY'!R732)</f>
        <v>23.110134532374101</v>
      </c>
    </row>
    <row r="734" spans="1:30" ht="15.75">
      <c r="A734" s="13">
        <v>63613</v>
      </c>
      <c r="B734" s="10">
        <f>CHOOSE(CONTROL!$C$42, 23.7992, 23.7992) * CHOOSE(CONTROL!$C$21, $C$9, 100%, $E$9)</f>
        <v>23.799199999999999</v>
      </c>
      <c r="C734" s="10">
        <f>CHOOSE(CONTROL!$C$42, 23.8043, 23.8043) * CHOOSE(CONTROL!$C$21, $C$9, 100%, $E$9)</f>
        <v>23.804300000000001</v>
      </c>
      <c r="D734" s="10">
        <f>CHOOSE(CONTROL!$C$42, 23.8367, 23.8367) * CHOOSE(CONTROL!$C$21, $C$9, 100%, $E$9)</f>
        <v>23.8367</v>
      </c>
      <c r="E734" s="10">
        <f>CHOOSE(CONTROL!$C$42, 23.8705, 23.8705) * CHOOSE(CONTROL!$C$21, $C$9, 100%, $E$9)</f>
        <v>23.8705</v>
      </c>
      <c r="F734" s="10">
        <f>CHOOSE(CONTROL!$C$42, 23.7829, 23.7829)*CHOOSE(CONTROL!$C$21, $C$9, 100%, $E$9)</f>
        <v>23.782900000000001</v>
      </c>
      <c r="G734" s="10">
        <f>CHOOSE(CONTROL!$C$42, 23.8009, 23.8009)*CHOOSE(CONTROL!$C$21, $C$9, 100%, $E$9)</f>
        <v>23.800899999999999</v>
      </c>
      <c r="H734" s="10">
        <f>CHOOSE(CONTROL!$C$42, 23.8594, 23.8594) * CHOOSE(CONTROL!$C$21, $C$9, 100%, $E$9)</f>
        <v>23.859400000000001</v>
      </c>
      <c r="I734" s="10">
        <f>CHOOSE(CONTROL!$C$42, 23.8127, 23.8127)* CHOOSE(CONTROL!$C$21, $C$9, 100%, $E$9)</f>
        <v>23.8127</v>
      </c>
      <c r="J734" s="10">
        <f>CHOOSE(CONTROL!$C$42, 23.7755, 23.7755)* CHOOSE(CONTROL!$C$21, $C$9, 100%, $E$9)</f>
        <v>23.775500000000001</v>
      </c>
      <c r="K734" s="10">
        <f>CHOOSE(CONTROL!$C$42, 23.249, 23.249) * CHOOSE(CONTROL!$C$21, $C$9, 100%, $E$9)</f>
        <v>23.248999999999999</v>
      </c>
      <c r="L734" s="10">
        <f>CHOOSE(CONTROL!$C$42, 24.4464, 24.4464) * CHOOSE(CONTROL!$C$21, $C$9, 100%, $E$9)</f>
        <v>24.446400000000001</v>
      </c>
      <c r="M734" s="10">
        <f>CHOOSE(CONTROL!$C$42, 23.4769, 23.4769) * CHOOSE(CONTROL!$C$21, $C$9, 100%, $E$9)</f>
        <v>23.476900000000001</v>
      </c>
      <c r="N734" s="10">
        <f>CHOOSE(CONTROL!$C$42, 23.4946, 23.4946) * CHOOSE(CONTROL!$C$21, $C$9, 100%, $E$9)</f>
        <v>23.494599999999998</v>
      </c>
      <c r="O734" s="10">
        <f>CHOOSE(CONTROL!$C$42, 23.5596, 23.5596) * CHOOSE(CONTROL!$C$21, $C$9, 100%, $E$9)</f>
        <v>23.5596</v>
      </c>
      <c r="P734" s="10">
        <f>CHOOSE(CONTROL!$C$42, 23.5135, 23.5135) * CHOOSE(CONTROL!$C$21, $C$9, 100%, $E$9)</f>
        <v>23.513500000000001</v>
      </c>
      <c r="Q734" s="10">
        <f>CHOOSE(CONTROL!$C$42, 24.1549, 24.1549) * CHOOSE(CONTROL!$C$21, $C$9, 100%, $E$9)</f>
        <v>24.154900000000001</v>
      </c>
      <c r="R734" s="10">
        <f>CHOOSE(CONTROL!$C$42, 24.8023, 24.8023) * CHOOSE(CONTROL!$C$21, $C$9, 100%, $E$9)</f>
        <v>24.802299999999999</v>
      </c>
      <c r="S734" s="10">
        <f>CHOOSE(CONTROL!$C$42, 23.0614, 23.0614) * CHOOSE(CONTROL!$C$21, $C$9, 100%, $E$9)</f>
        <v>23.061399999999999</v>
      </c>
      <c r="T73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34" s="38">
        <f>(1000*CHOOSE(CONTROL!$C$42, 695, 695)*CHOOSE(CONTROL!$C$42, 0.5599, 0.5599)*CHOOSE(CONTROL!$C$42, 28, 28))/1000000</f>
        <v>10.895653999999999</v>
      </c>
      <c r="V734" s="38">
        <f>(1000*CHOOSE(CONTROL!$C$42, 500, 500)*CHOOSE(CONTROL!$C$42, 0.275, 0.275)*CHOOSE(CONTROL!$C$42, 28, 28))/1000000</f>
        <v>3.85</v>
      </c>
      <c r="W734" s="38">
        <f>(1000*CHOOSE(CONTROL!$C$42, 0.1146, 0.1146)*CHOOSE(CONTROL!$C$42, 121.5, 121.5)*CHOOSE(CONTROL!$C$42, 28, 28))/1000000</f>
        <v>0.38986920000000003</v>
      </c>
      <c r="X734" s="38">
        <f>(28*0.1790888*100000/1000000)+(28*0.2374*100000/1000000)</f>
        <v>1.16616864</v>
      </c>
      <c r="Y734" s="38">
        <f>(1000*600*CHOOSE(CONTROL!$C$42, 1.0585, 1.0585)*CHOOSE(CONTROL!$C$42, 28, 28))/1000000</f>
        <v>17.782800000000002</v>
      </c>
      <c r="Z734" s="38"/>
      <c r="AA734" s="10"/>
      <c r="AB734" s="39"/>
      <c r="AC734" s="33">
        <f>(B734*122.58+C734*297.941+D734*89.177+E734*40.302+F734*40+G734*160+H734*0+I734*100+J734*300)/(122.58+297.941+89.177+40.302+0+40+160+100+300)</f>
        <v>23.800588842782609</v>
      </c>
      <c r="AD734" s="27">
        <f>(M734*'RAP TEMPLATE-GAS AVAILABILITY'!O733+N734*'RAP TEMPLATE-GAS AVAILABILITY'!P733+O734*'RAP TEMPLATE-GAS AVAILABILITY'!Q733+P734*'RAP TEMPLATE-GAS AVAILABILITY'!R733)/('RAP TEMPLATE-GAS AVAILABILITY'!O733+'RAP TEMPLATE-GAS AVAILABILITY'!P733+'RAP TEMPLATE-GAS AVAILABILITY'!Q733+'RAP TEMPLATE-GAS AVAILABILITY'!R733)</f>
        <v>23.520667625899279</v>
      </c>
    </row>
    <row r="735" spans="1:30" ht="15.75">
      <c r="A735" s="13">
        <v>63644</v>
      </c>
      <c r="B735" s="10">
        <f>CHOOSE(CONTROL!$C$42, 23.1231, 23.1231) * CHOOSE(CONTROL!$C$21, $C$9, 100%, $E$9)</f>
        <v>23.123100000000001</v>
      </c>
      <c r="C735" s="10">
        <f>CHOOSE(CONTROL!$C$42, 23.1282, 23.1282) * CHOOSE(CONTROL!$C$21, $C$9, 100%, $E$9)</f>
        <v>23.1282</v>
      </c>
      <c r="D735" s="10">
        <f>CHOOSE(CONTROL!$C$42, 23.1606, 23.1606) * CHOOSE(CONTROL!$C$21, $C$9, 100%, $E$9)</f>
        <v>23.160599999999999</v>
      </c>
      <c r="E735" s="10">
        <f>CHOOSE(CONTROL!$C$42, 23.1944, 23.1944) * CHOOSE(CONTROL!$C$21, $C$9, 100%, $E$9)</f>
        <v>23.194400000000002</v>
      </c>
      <c r="F735" s="10">
        <f>CHOOSE(CONTROL!$C$42, 23.1053, 23.1053)*CHOOSE(CONTROL!$C$21, $C$9, 100%, $E$9)</f>
        <v>23.1053</v>
      </c>
      <c r="G735" s="10">
        <f>CHOOSE(CONTROL!$C$42, 23.1229, 23.1229)*CHOOSE(CONTROL!$C$21, $C$9, 100%, $E$9)</f>
        <v>23.122900000000001</v>
      </c>
      <c r="H735" s="10">
        <f>CHOOSE(CONTROL!$C$42, 23.1833, 23.1833) * CHOOSE(CONTROL!$C$21, $C$9, 100%, $E$9)</f>
        <v>23.183299999999999</v>
      </c>
      <c r="I735" s="10">
        <f>CHOOSE(CONTROL!$C$42, 23.1365, 23.1365)* CHOOSE(CONTROL!$C$21, $C$9, 100%, $E$9)</f>
        <v>23.136500000000002</v>
      </c>
      <c r="J735" s="10">
        <f>CHOOSE(CONTROL!$C$42, 23.0979, 23.0979)* CHOOSE(CONTROL!$C$21, $C$9, 100%, $E$9)</f>
        <v>23.097899999999999</v>
      </c>
      <c r="K735" s="10">
        <f>CHOOSE(CONTROL!$C$42, 22.5908, 22.5908) * CHOOSE(CONTROL!$C$21, $C$9, 100%, $E$9)</f>
        <v>22.590800000000002</v>
      </c>
      <c r="L735" s="10">
        <f>CHOOSE(CONTROL!$C$42, 23.7703, 23.7703) * CHOOSE(CONTROL!$C$21, $C$9, 100%, $E$9)</f>
        <v>23.770299999999999</v>
      </c>
      <c r="M735" s="10">
        <f>CHOOSE(CONTROL!$C$42, 22.8087, 22.8087) * CHOOSE(CONTROL!$C$21, $C$9, 100%, $E$9)</f>
        <v>22.808700000000002</v>
      </c>
      <c r="N735" s="10">
        <f>CHOOSE(CONTROL!$C$42, 22.826, 22.826) * CHOOSE(CONTROL!$C$21, $C$9, 100%, $E$9)</f>
        <v>22.826000000000001</v>
      </c>
      <c r="O735" s="10">
        <f>CHOOSE(CONTROL!$C$42, 22.8929, 22.8929) * CHOOSE(CONTROL!$C$21, $C$9, 100%, $E$9)</f>
        <v>22.892900000000001</v>
      </c>
      <c r="P735" s="10">
        <f>CHOOSE(CONTROL!$C$42, 22.8468, 22.8468) * CHOOSE(CONTROL!$C$21, $C$9, 100%, $E$9)</f>
        <v>22.846800000000002</v>
      </c>
      <c r="Q735" s="10">
        <f>CHOOSE(CONTROL!$C$42, 23.4882, 23.4882) * CHOOSE(CONTROL!$C$21, $C$9, 100%, $E$9)</f>
        <v>23.488199999999999</v>
      </c>
      <c r="R735" s="10">
        <f>CHOOSE(CONTROL!$C$42, 24.1339, 24.1339) * CHOOSE(CONTROL!$C$21, $C$9, 100%, $E$9)</f>
        <v>24.133900000000001</v>
      </c>
      <c r="S735" s="10">
        <f>CHOOSE(CONTROL!$C$42, 22.4067, 22.4067) * CHOOSE(CONTROL!$C$21, $C$9, 100%, $E$9)</f>
        <v>22.406700000000001</v>
      </c>
      <c r="T73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35" s="38">
        <f>(1000*CHOOSE(CONTROL!$C$42, 695, 695)*CHOOSE(CONTROL!$C$42, 0.5599, 0.5599)*CHOOSE(CONTROL!$C$42, 31, 31))/1000000</f>
        <v>12.063045499999998</v>
      </c>
      <c r="V735" s="38">
        <f>(1000*CHOOSE(CONTROL!$C$42, 500, 500)*CHOOSE(CONTROL!$C$42, 0.275, 0.275)*CHOOSE(CONTROL!$C$42, 31, 31))/1000000</f>
        <v>4.2625000000000002</v>
      </c>
      <c r="W735" s="38">
        <f>(1000*CHOOSE(CONTROL!$C$42, 0.1146, 0.1146)*CHOOSE(CONTROL!$C$42, 121.5, 121.5)*CHOOSE(CONTROL!$C$42, 31, 31))/1000000</f>
        <v>0.43164089999999994</v>
      </c>
      <c r="X735" s="38">
        <f>(31*0.1790888*100000/1000000)+(31*0.2374*100000/1000000)</f>
        <v>1.2911152800000001</v>
      </c>
      <c r="Y735" s="38">
        <f>(1000*600*CHOOSE(CONTROL!$C$42, 1.0585, 1.0585)*CHOOSE(CONTROL!$C$42, 31, 31))/1000000</f>
        <v>19.688099999999999</v>
      </c>
      <c r="Z735" s="38"/>
      <c r="AA735" s="10"/>
      <c r="AB735" s="39"/>
      <c r="AC735" s="33">
        <f>(B735*122.58+C735*297.941+D735*89.177+E735*40.302+F735*40+G735*160+H735*0+I735*100+J735*300)/(122.58+297.941+89.177+40.302+0+40+160+100+300)</f>
        <v>23.123772321043479</v>
      </c>
      <c r="AD735" s="27">
        <f>(M735*'RAP TEMPLATE-GAS AVAILABILITY'!O734+N735*'RAP TEMPLATE-GAS AVAILABILITY'!P734+O735*'RAP TEMPLATE-GAS AVAILABILITY'!Q734+P735*'RAP TEMPLATE-GAS AVAILABILITY'!R734)/('RAP TEMPLATE-GAS AVAILABILITY'!O734+'RAP TEMPLATE-GAS AVAILABILITY'!P734+'RAP TEMPLATE-GAS AVAILABILITY'!Q734+'RAP TEMPLATE-GAS AVAILABILITY'!R734)</f>
        <v>22.853340287769786</v>
      </c>
    </row>
    <row r="736" spans="1:30" ht="15.75">
      <c r="A736" s="13">
        <v>63674</v>
      </c>
      <c r="B736" s="10">
        <f>CHOOSE(CONTROL!$C$42, 23.0546, 23.0546) * CHOOSE(CONTROL!$C$21, $C$9, 100%, $E$9)</f>
        <v>23.054600000000001</v>
      </c>
      <c r="C736" s="10">
        <f>CHOOSE(CONTROL!$C$42, 23.0591, 23.0591) * CHOOSE(CONTROL!$C$21, $C$9, 100%, $E$9)</f>
        <v>23.059100000000001</v>
      </c>
      <c r="D736" s="10">
        <f>CHOOSE(CONTROL!$C$42, 23.2192, 23.2192) * CHOOSE(CONTROL!$C$21, $C$9, 100%, $E$9)</f>
        <v>23.219200000000001</v>
      </c>
      <c r="E736" s="10">
        <f>CHOOSE(CONTROL!$C$42, 23.2511, 23.2511) * CHOOSE(CONTROL!$C$21, $C$9, 100%, $E$9)</f>
        <v>23.251100000000001</v>
      </c>
      <c r="F736" s="10">
        <f>CHOOSE(CONTROL!$C$42, 23.0007, 23.0007)*CHOOSE(CONTROL!$C$21, $C$9, 100%, $E$9)</f>
        <v>23.000699999999998</v>
      </c>
      <c r="G736" s="10">
        <f>CHOOSE(CONTROL!$C$42, 23.0165, 23.0165)*CHOOSE(CONTROL!$C$21, $C$9, 100%, $E$9)</f>
        <v>23.016500000000001</v>
      </c>
      <c r="H736" s="10">
        <f>CHOOSE(CONTROL!$C$42, 23.2405, 23.2405) * CHOOSE(CONTROL!$C$21, $C$9, 100%, $E$9)</f>
        <v>23.240500000000001</v>
      </c>
      <c r="I736" s="10">
        <f>CHOOSE(CONTROL!$C$42, 23.0347, 23.0347)* CHOOSE(CONTROL!$C$21, $C$9, 100%, $E$9)</f>
        <v>23.034700000000001</v>
      </c>
      <c r="J736" s="10">
        <f>CHOOSE(CONTROL!$C$42, 22.9933, 22.9933)* CHOOSE(CONTROL!$C$21, $C$9, 100%, $E$9)</f>
        <v>22.993300000000001</v>
      </c>
      <c r="K736" s="10">
        <f>CHOOSE(CONTROL!$C$42, 22.4762, 22.4762) * CHOOSE(CONTROL!$C$21, $C$9, 100%, $E$9)</f>
        <v>22.476199999999999</v>
      </c>
      <c r="L736" s="10">
        <f>CHOOSE(CONTROL!$C$42, 23.8275, 23.8275) * CHOOSE(CONTROL!$C$21, $C$9, 100%, $E$9)</f>
        <v>23.827500000000001</v>
      </c>
      <c r="M736" s="10">
        <f>CHOOSE(CONTROL!$C$42, 22.7055, 22.7055) * CHOOSE(CONTROL!$C$21, $C$9, 100%, $E$9)</f>
        <v>22.705500000000001</v>
      </c>
      <c r="N736" s="10">
        <f>CHOOSE(CONTROL!$C$42, 22.7211, 22.7211) * CHOOSE(CONTROL!$C$21, $C$9, 100%, $E$9)</f>
        <v>22.7211</v>
      </c>
      <c r="O736" s="10">
        <f>CHOOSE(CONTROL!$C$42, 22.9493, 22.9493) * CHOOSE(CONTROL!$C$21, $C$9, 100%, $E$9)</f>
        <v>22.949300000000001</v>
      </c>
      <c r="P736" s="10">
        <f>CHOOSE(CONTROL!$C$42, 22.7464, 22.7464) * CHOOSE(CONTROL!$C$21, $C$9, 100%, $E$9)</f>
        <v>22.746400000000001</v>
      </c>
      <c r="Q736" s="10">
        <f>CHOOSE(CONTROL!$C$42, 23.5446, 23.5446) * CHOOSE(CONTROL!$C$21, $C$9, 100%, $E$9)</f>
        <v>23.544599999999999</v>
      </c>
      <c r="R736" s="10">
        <f>CHOOSE(CONTROL!$C$42, 24.1905, 24.1905) * CHOOSE(CONTROL!$C$21, $C$9, 100%, $E$9)</f>
        <v>24.1905</v>
      </c>
      <c r="S736" s="10">
        <f>CHOOSE(CONTROL!$C$42, 22.3396, 22.3396) * CHOOSE(CONTROL!$C$21, $C$9, 100%, $E$9)</f>
        <v>22.339600000000001</v>
      </c>
      <c r="T73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36" s="38">
        <f>(1000*CHOOSE(CONTROL!$C$42, 695, 695)*CHOOSE(CONTROL!$C$42, 0.5599, 0.5599)*CHOOSE(CONTROL!$C$42, 30, 30))/1000000</f>
        <v>11.673914999999997</v>
      </c>
      <c r="V736" s="38">
        <f>(1000*CHOOSE(CONTROL!$C$42, 500, 500)*CHOOSE(CONTROL!$C$42, 0.275, 0.275)*CHOOSE(CONTROL!$C$42, 30, 30))/1000000</f>
        <v>4.125</v>
      </c>
      <c r="W736" s="38">
        <f>(1000*CHOOSE(CONTROL!$C$42, 0.1146, 0.1146)*CHOOSE(CONTROL!$C$42, 121.5, 121.5)*CHOOSE(CONTROL!$C$42, 30, 30))/1000000</f>
        <v>0.417717</v>
      </c>
      <c r="X736" s="38">
        <f>(30*0.1790888*245000/1000000)+(30*0.2374*100000/1000000)</f>
        <v>2.0285026799999999</v>
      </c>
      <c r="Y736" s="38">
        <f>(1000*600*CHOOSE(CONTROL!$C$42, 1.0585, 1.0585)*CHOOSE(CONTROL!$C$42, 30, 30))/1000000</f>
        <v>19.053000000000001</v>
      </c>
      <c r="Z736" s="38"/>
      <c r="AA736" s="10"/>
      <c r="AB736" s="39"/>
      <c r="AC736" s="33">
        <f>(B736*141.293+C736*267.993+D736*115.016+E736*89.698+F736*40+G736*185+H736*0+I736*100+J736*300)/(141.293+267.993+115.016+89.698+0+40+185+100+300)</f>
        <v>23.061201096933011</v>
      </c>
      <c r="AD736" s="27">
        <f>(M736*'RAP TEMPLATE-GAS AVAILABILITY'!O735+N736*'RAP TEMPLATE-GAS AVAILABILITY'!P735+O736*'RAP TEMPLATE-GAS AVAILABILITY'!Q735+P736*'RAP TEMPLATE-GAS AVAILABILITY'!R735)/('RAP TEMPLATE-GAS AVAILABILITY'!O735+'RAP TEMPLATE-GAS AVAILABILITY'!P735+'RAP TEMPLATE-GAS AVAILABILITY'!Q735+'RAP TEMPLATE-GAS AVAILABILITY'!R735)</f>
        <v>22.822782014388491</v>
      </c>
    </row>
    <row r="737" spans="1:30" ht="15.75">
      <c r="A737" s="13">
        <v>63705</v>
      </c>
      <c r="B737" s="10">
        <f>CHOOSE(CONTROL!$C$42, 23.26, 23.26) * CHOOSE(CONTROL!$C$21, $C$9, 100%, $E$9)</f>
        <v>23.26</v>
      </c>
      <c r="C737" s="10">
        <f>CHOOSE(CONTROL!$C$42, 23.268, 23.268) * CHOOSE(CONTROL!$C$21, $C$9, 100%, $E$9)</f>
        <v>23.268000000000001</v>
      </c>
      <c r="D737" s="10">
        <f>CHOOSE(CONTROL!$C$42, 23.425, 23.425) * CHOOSE(CONTROL!$C$21, $C$9, 100%, $E$9)</f>
        <v>23.425000000000001</v>
      </c>
      <c r="E737" s="10">
        <f>CHOOSE(CONTROL!$C$42, 23.4563, 23.4563) * CHOOSE(CONTROL!$C$21, $C$9, 100%, $E$9)</f>
        <v>23.456299999999999</v>
      </c>
      <c r="F737" s="10">
        <f>CHOOSE(CONTROL!$C$42, 23.2041, 23.2041)*CHOOSE(CONTROL!$C$21, $C$9, 100%, $E$9)</f>
        <v>23.2041</v>
      </c>
      <c r="G737" s="10">
        <f>CHOOSE(CONTROL!$C$42, 23.2203, 23.2203)*CHOOSE(CONTROL!$C$21, $C$9, 100%, $E$9)</f>
        <v>23.220300000000002</v>
      </c>
      <c r="H737" s="10">
        <f>CHOOSE(CONTROL!$C$42, 23.4446, 23.4446) * CHOOSE(CONTROL!$C$21, $C$9, 100%, $E$9)</f>
        <v>23.444600000000001</v>
      </c>
      <c r="I737" s="10">
        <f>CHOOSE(CONTROL!$C$42, 23.2388, 23.2388)* CHOOSE(CONTROL!$C$21, $C$9, 100%, $E$9)</f>
        <v>23.238800000000001</v>
      </c>
      <c r="J737" s="10">
        <f>CHOOSE(CONTROL!$C$42, 23.1967, 23.1967)* CHOOSE(CONTROL!$C$21, $C$9, 100%, $E$9)</f>
        <v>23.1967</v>
      </c>
      <c r="K737" s="10">
        <f>CHOOSE(CONTROL!$C$42, 22.6726, 22.6726) * CHOOSE(CONTROL!$C$21, $C$9, 100%, $E$9)</f>
        <v>22.672599999999999</v>
      </c>
      <c r="L737" s="10">
        <f>CHOOSE(CONTROL!$C$42, 24.0316, 24.0316) * CHOOSE(CONTROL!$C$21, $C$9, 100%, $E$9)</f>
        <v>24.031600000000001</v>
      </c>
      <c r="M737" s="10">
        <f>CHOOSE(CONTROL!$C$42, 22.9061, 22.9061) * CHOOSE(CONTROL!$C$21, $C$9, 100%, $E$9)</f>
        <v>22.906099999999999</v>
      </c>
      <c r="N737" s="10">
        <f>CHOOSE(CONTROL!$C$42, 22.922, 22.922) * CHOOSE(CONTROL!$C$21, $C$9, 100%, $E$9)</f>
        <v>22.922000000000001</v>
      </c>
      <c r="O737" s="10">
        <f>CHOOSE(CONTROL!$C$42, 23.1505, 23.1505) * CHOOSE(CONTROL!$C$21, $C$9, 100%, $E$9)</f>
        <v>23.150500000000001</v>
      </c>
      <c r="P737" s="10">
        <f>CHOOSE(CONTROL!$C$42, 22.9476, 22.9476) * CHOOSE(CONTROL!$C$21, $C$9, 100%, $E$9)</f>
        <v>22.947600000000001</v>
      </c>
      <c r="Q737" s="10">
        <f>CHOOSE(CONTROL!$C$42, 23.7458, 23.7458) * CHOOSE(CONTROL!$C$21, $C$9, 100%, $E$9)</f>
        <v>23.745799999999999</v>
      </c>
      <c r="R737" s="10">
        <f>CHOOSE(CONTROL!$C$42, 24.3922, 24.3922) * CHOOSE(CONTROL!$C$21, $C$9, 100%, $E$9)</f>
        <v>24.392199999999999</v>
      </c>
      <c r="S737" s="10">
        <f>CHOOSE(CONTROL!$C$42, 22.5373, 22.5373) * CHOOSE(CONTROL!$C$21, $C$9, 100%, $E$9)</f>
        <v>22.537299999999998</v>
      </c>
      <c r="T73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37" s="38">
        <f>(1000*CHOOSE(CONTROL!$C$42, 695, 695)*CHOOSE(CONTROL!$C$42, 0.5599, 0.5599)*CHOOSE(CONTROL!$C$42, 31, 31))/1000000</f>
        <v>12.063045499999998</v>
      </c>
      <c r="V737" s="38">
        <f>(1000*CHOOSE(CONTROL!$C$42, 500, 500)*CHOOSE(CONTROL!$C$42, 0.275, 0.275)*CHOOSE(CONTROL!$C$42, 31, 31))/1000000</f>
        <v>4.2625000000000002</v>
      </c>
      <c r="W737" s="38">
        <f>(1000*CHOOSE(CONTROL!$C$42, 0.1146, 0.1146)*CHOOSE(CONTROL!$C$42, 121.5, 121.5)*CHOOSE(CONTROL!$C$42, 31, 31))/1000000</f>
        <v>0.43164089999999994</v>
      </c>
      <c r="X737" s="38">
        <f>(31*0.1790888*245000/1000000)+(31*0.2374*100000/1000000)</f>
        <v>2.0961194359999999</v>
      </c>
      <c r="Y737" s="38">
        <f>(1000*600*CHOOSE(CONTROL!$C$42, 1.0585, 1.0585)*CHOOSE(CONTROL!$C$42, 31, 31))/1000000</f>
        <v>19.688099999999999</v>
      </c>
      <c r="Z737" s="38"/>
      <c r="AA737" s="10"/>
      <c r="AB737" s="39"/>
      <c r="AC737" s="33">
        <f>(B737*194.205+C737*267.466+D737*133.845+E737*53.484+F737*40+G737*185+H737*0+I737*100+J737*300)/(194.205+267.466+133.845+53.484+0+40+185+100+300)</f>
        <v>23.263165276452124</v>
      </c>
      <c r="AD737" s="27">
        <f>(M737*'RAP TEMPLATE-GAS AVAILABILITY'!O736+N737*'RAP TEMPLATE-GAS AVAILABILITY'!P736+O737*'RAP TEMPLATE-GAS AVAILABILITY'!Q736+P737*'RAP TEMPLATE-GAS AVAILABILITY'!R736)/('RAP TEMPLATE-GAS AVAILABILITY'!O736+'RAP TEMPLATE-GAS AVAILABILITY'!P736+'RAP TEMPLATE-GAS AVAILABILITY'!Q736+'RAP TEMPLATE-GAS AVAILABILITY'!R736)</f>
        <v>23.023757553956834</v>
      </c>
    </row>
    <row r="738" spans="1:30" ht="15.75">
      <c r="A738" s="13">
        <v>63735</v>
      </c>
      <c r="B738" s="10">
        <f>CHOOSE(CONTROL!$C$42, 23.9202, 23.9202) * CHOOSE(CONTROL!$C$21, $C$9, 100%, $E$9)</f>
        <v>23.920200000000001</v>
      </c>
      <c r="C738" s="10">
        <f>CHOOSE(CONTROL!$C$42, 23.9282, 23.9282) * CHOOSE(CONTROL!$C$21, $C$9, 100%, $E$9)</f>
        <v>23.9282</v>
      </c>
      <c r="D738" s="10">
        <f>CHOOSE(CONTROL!$C$42, 24.0852, 24.0852) * CHOOSE(CONTROL!$C$21, $C$9, 100%, $E$9)</f>
        <v>24.0852</v>
      </c>
      <c r="E738" s="10">
        <f>CHOOSE(CONTROL!$C$42, 24.1165, 24.1165) * CHOOSE(CONTROL!$C$21, $C$9, 100%, $E$9)</f>
        <v>24.116499999999998</v>
      </c>
      <c r="F738" s="10">
        <f>CHOOSE(CONTROL!$C$42, 23.8645, 23.8645)*CHOOSE(CONTROL!$C$21, $C$9, 100%, $E$9)</f>
        <v>23.8645</v>
      </c>
      <c r="G738" s="10">
        <f>CHOOSE(CONTROL!$C$42, 23.8807, 23.8807)*CHOOSE(CONTROL!$C$21, $C$9, 100%, $E$9)</f>
        <v>23.880700000000001</v>
      </c>
      <c r="H738" s="10">
        <f>CHOOSE(CONTROL!$C$42, 24.1048, 24.1048) * CHOOSE(CONTROL!$C$21, $C$9, 100%, $E$9)</f>
        <v>24.104800000000001</v>
      </c>
      <c r="I738" s="10">
        <f>CHOOSE(CONTROL!$C$42, 23.899, 23.899)* CHOOSE(CONTROL!$C$21, $C$9, 100%, $E$9)</f>
        <v>23.899000000000001</v>
      </c>
      <c r="J738" s="10">
        <f>CHOOSE(CONTROL!$C$42, 23.8571, 23.8571)* CHOOSE(CONTROL!$C$21, $C$9, 100%, $E$9)</f>
        <v>23.857099999999999</v>
      </c>
      <c r="K738" s="10">
        <f>CHOOSE(CONTROL!$C$42, 23.3126, 23.3126) * CHOOSE(CONTROL!$C$21, $C$9, 100%, $E$9)</f>
        <v>23.3126</v>
      </c>
      <c r="L738" s="10">
        <f>CHOOSE(CONTROL!$C$42, 24.6918, 24.6918) * CHOOSE(CONTROL!$C$21, $C$9, 100%, $E$9)</f>
        <v>24.691800000000001</v>
      </c>
      <c r="M738" s="10">
        <f>CHOOSE(CONTROL!$C$42, 23.5573, 23.5573) * CHOOSE(CONTROL!$C$21, $C$9, 100%, $E$9)</f>
        <v>23.557300000000001</v>
      </c>
      <c r="N738" s="10">
        <f>CHOOSE(CONTROL!$C$42, 23.5733, 23.5733) * CHOOSE(CONTROL!$C$21, $C$9, 100%, $E$9)</f>
        <v>23.5733</v>
      </c>
      <c r="O738" s="10">
        <f>CHOOSE(CONTROL!$C$42, 23.8015, 23.8015) * CHOOSE(CONTROL!$C$21, $C$9, 100%, $E$9)</f>
        <v>23.801500000000001</v>
      </c>
      <c r="P738" s="10">
        <f>CHOOSE(CONTROL!$C$42, 23.5986, 23.5986) * CHOOSE(CONTROL!$C$21, $C$9, 100%, $E$9)</f>
        <v>23.598600000000001</v>
      </c>
      <c r="Q738" s="10">
        <f>CHOOSE(CONTROL!$C$42, 24.3968, 24.3968) * CHOOSE(CONTROL!$C$21, $C$9, 100%, $E$9)</f>
        <v>24.396799999999999</v>
      </c>
      <c r="R738" s="10">
        <f>CHOOSE(CONTROL!$C$42, 25.0448, 25.0448) * CHOOSE(CONTROL!$C$21, $C$9, 100%, $E$9)</f>
        <v>25.044799999999999</v>
      </c>
      <c r="S738" s="10">
        <f>CHOOSE(CONTROL!$C$42, 23.1765, 23.1765) * CHOOSE(CONTROL!$C$21, $C$9, 100%, $E$9)</f>
        <v>23.176500000000001</v>
      </c>
      <c r="T73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38" s="38">
        <f>(1000*CHOOSE(CONTROL!$C$42, 695, 695)*CHOOSE(CONTROL!$C$42, 0.5599, 0.5599)*CHOOSE(CONTROL!$C$42, 30, 30))/1000000</f>
        <v>11.673914999999997</v>
      </c>
      <c r="V738" s="38">
        <f>(1000*CHOOSE(CONTROL!$C$42, 500, 500)*CHOOSE(CONTROL!$C$42, 0.275, 0.275)*CHOOSE(CONTROL!$C$42, 30, 30))/1000000</f>
        <v>4.125</v>
      </c>
      <c r="W738" s="38">
        <f>(1000*CHOOSE(CONTROL!$C$42, 0.1146, 0.1146)*CHOOSE(CONTROL!$C$42, 121.5, 121.5)*CHOOSE(CONTROL!$C$42, 30, 30))/1000000</f>
        <v>0.417717</v>
      </c>
      <c r="X738" s="38">
        <f>(30*0.1790888*245000/1000000)+(30*0.2374*100000/1000000)</f>
        <v>2.0285026799999999</v>
      </c>
      <c r="Y738" s="38">
        <f>(1000*600*CHOOSE(CONTROL!$C$42, 1.0585, 1.0585)*CHOOSE(CONTROL!$C$42, 30, 30))/1000000</f>
        <v>19.053000000000001</v>
      </c>
      <c r="Z738" s="38"/>
      <c r="AA738" s="10"/>
      <c r="AB738" s="39"/>
      <c r="AC738" s="33">
        <f>(B738*194.205+C738*267.466+D738*133.845+E738*53.484+F738*40+G738*185+H738*0+I738*100+J738*300)/(194.205+267.466+133.845+53.484+0+40+185+100+300)</f>
        <v>23.92344769403454</v>
      </c>
      <c r="AD738" s="27">
        <f>(M738*'RAP TEMPLATE-GAS AVAILABILITY'!O737+N738*'RAP TEMPLATE-GAS AVAILABILITY'!P737+O738*'RAP TEMPLATE-GAS AVAILABILITY'!Q737+P738*'RAP TEMPLATE-GAS AVAILABILITY'!R737)/('RAP TEMPLATE-GAS AVAILABILITY'!O737+'RAP TEMPLATE-GAS AVAILABILITY'!P737+'RAP TEMPLATE-GAS AVAILABILITY'!Q737+'RAP TEMPLATE-GAS AVAILABILITY'!R737)</f>
        <v>23.674843884892088</v>
      </c>
    </row>
    <row r="739" spans="1:30" ht="15.75">
      <c r="A739" s="13">
        <v>63766</v>
      </c>
      <c r="B739" s="10">
        <f>CHOOSE(CONTROL!$C$42, 23.461, 23.461) * CHOOSE(CONTROL!$C$21, $C$9, 100%, $E$9)</f>
        <v>23.460999999999999</v>
      </c>
      <c r="C739" s="10">
        <f>CHOOSE(CONTROL!$C$42, 23.469, 23.469) * CHOOSE(CONTROL!$C$21, $C$9, 100%, $E$9)</f>
        <v>23.469000000000001</v>
      </c>
      <c r="D739" s="10">
        <f>CHOOSE(CONTROL!$C$42, 23.6261, 23.6261) * CHOOSE(CONTROL!$C$21, $C$9, 100%, $E$9)</f>
        <v>23.626100000000001</v>
      </c>
      <c r="E739" s="10">
        <f>CHOOSE(CONTROL!$C$42, 23.6573, 23.6573) * CHOOSE(CONTROL!$C$21, $C$9, 100%, $E$9)</f>
        <v>23.657299999999999</v>
      </c>
      <c r="F739" s="10">
        <f>CHOOSE(CONTROL!$C$42, 23.4057, 23.4057)*CHOOSE(CONTROL!$C$21, $C$9, 100%, $E$9)</f>
        <v>23.4057</v>
      </c>
      <c r="G739" s="10">
        <f>CHOOSE(CONTROL!$C$42, 23.4219, 23.4219)*CHOOSE(CONTROL!$C$21, $C$9, 100%, $E$9)</f>
        <v>23.421900000000001</v>
      </c>
      <c r="H739" s="10">
        <f>CHOOSE(CONTROL!$C$42, 23.6456, 23.6456) * CHOOSE(CONTROL!$C$21, $C$9, 100%, $E$9)</f>
        <v>23.645600000000002</v>
      </c>
      <c r="I739" s="10">
        <f>CHOOSE(CONTROL!$C$42, 23.4398, 23.4398)* CHOOSE(CONTROL!$C$21, $C$9, 100%, $E$9)</f>
        <v>23.439800000000002</v>
      </c>
      <c r="J739" s="10">
        <f>CHOOSE(CONTROL!$C$42, 23.3983, 23.3983)* CHOOSE(CONTROL!$C$21, $C$9, 100%, $E$9)</f>
        <v>23.398299999999999</v>
      </c>
      <c r="K739" s="10">
        <f>CHOOSE(CONTROL!$C$42, 22.8684, 22.8684) * CHOOSE(CONTROL!$C$21, $C$9, 100%, $E$9)</f>
        <v>22.868400000000001</v>
      </c>
      <c r="L739" s="10">
        <f>CHOOSE(CONTROL!$C$42, 24.2326, 24.2326) * CHOOSE(CONTROL!$C$21, $C$9, 100%, $E$9)</f>
        <v>24.232600000000001</v>
      </c>
      <c r="M739" s="10">
        <f>CHOOSE(CONTROL!$C$42, 23.1049, 23.1049) * CHOOSE(CONTROL!$C$21, $C$9, 100%, $E$9)</f>
        <v>23.104900000000001</v>
      </c>
      <c r="N739" s="10">
        <f>CHOOSE(CONTROL!$C$42, 23.1209, 23.1209) * CHOOSE(CONTROL!$C$21, $C$9, 100%, $E$9)</f>
        <v>23.120899999999999</v>
      </c>
      <c r="O739" s="10">
        <f>CHOOSE(CONTROL!$C$42, 23.3488, 23.3488) * CHOOSE(CONTROL!$C$21, $C$9, 100%, $E$9)</f>
        <v>23.348800000000001</v>
      </c>
      <c r="P739" s="10">
        <f>CHOOSE(CONTROL!$C$42, 23.1459, 23.1459) * CHOOSE(CONTROL!$C$21, $C$9, 100%, $E$9)</f>
        <v>23.145900000000001</v>
      </c>
      <c r="Q739" s="10">
        <f>CHOOSE(CONTROL!$C$42, 23.9441, 23.9441) * CHOOSE(CONTROL!$C$21, $C$9, 100%, $E$9)</f>
        <v>23.944099999999999</v>
      </c>
      <c r="R739" s="10">
        <f>CHOOSE(CONTROL!$C$42, 24.5909, 24.5909) * CHOOSE(CONTROL!$C$21, $C$9, 100%, $E$9)</f>
        <v>24.590900000000001</v>
      </c>
      <c r="S739" s="10">
        <f>CHOOSE(CONTROL!$C$42, 22.7319, 22.7319) * CHOOSE(CONTROL!$C$21, $C$9, 100%, $E$9)</f>
        <v>22.7319</v>
      </c>
      <c r="T73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39" s="38">
        <f>(1000*CHOOSE(CONTROL!$C$42, 695, 695)*CHOOSE(CONTROL!$C$42, 0.5599, 0.5599)*CHOOSE(CONTROL!$C$42, 31, 31))/1000000</f>
        <v>12.063045499999998</v>
      </c>
      <c r="V739" s="38">
        <f>(1000*CHOOSE(CONTROL!$C$42, 500, 500)*CHOOSE(CONTROL!$C$42, 0.275, 0.275)*CHOOSE(CONTROL!$C$42, 31, 31))/1000000</f>
        <v>4.2625000000000002</v>
      </c>
      <c r="W739" s="38">
        <f>(1000*CHOOSE(CONTROL!$C$42, 0.1146, 0.1146)*CHOOSE(CONTROL!$C$42, 121.5, 121.5)*CHOOSE(CONTROL!$C$42, 31, 31))/1000000</f>
        <v>0.43164089999999994</v>
      </c>
      <c r="X739" s="38">
        <f>(31*0.1790888*245000/1000000)+(31*0.2374*100000/1000000)</f>
        <v>2.0961194359999999</v>
      </c>
      <c r="Y739" s="38">
        <f>(1000*600*CHOOSE(CONTROL!$C$42, 1.0585, 1.0585)*CHOOSE(CONTROL!$C$42, 31, 31))/1000000</f>
        <v>19.688099999999999</v>
      </c>
      <c r="Z739" s="38"/>
      <c r="AA739" s="10"/>
      <c r="AB739" s="39"/>
      <c r="AC739" s="33">
        <f>(B739*194.205+C739*267.466+D739*133.845+E739*53.484+F739*40+G739*185+H739*0+I739*100+J739*300)/(194.205+267.466+133.845+53.484+0+40+185+100+300)</f>
        <v>23.464423035086341</v>
      </c>
      <c r="AD739" s="27">
        <f>(M739*'RAP TEMPLATE-GAS AVAILABILITY'!O738+N739*'RAP TEMPLATE-GAS AVAILABILITY'!P738+O739*'RAP TEMPLATE-GAS AVAILABILITY'!Q738+P739*'RAP TEMPLATE-GAS AVAILABILITY'!R738)/('RAP TEMPLATE-GAS AVAILABILITY'!O738+'RAP TEMPLATE-GAS AVAILABILITY'!P738+'RAP TEMPLATE-GAS AVAILABILITY'!Q738+'RAP TEMPLATE-GAS AVAILABILITY'!R738)</f>
        <v>23.222264748201443</v>
      </c>
    </row>
    <row r="740" spans="1:30" ht="15.75">
      <c r="A740" s="13">
        <v>63797</v>
      </c>
      <c r="B740" s="10">
        <f>CHOOSE(CONTROL!$C$42, 22.3015, 22.3015) * CHOOSE(CONTROL!$C$21, $C$9, 100%, $E$9)</f>
        <v>22.301500000000001</v>
      </c>
      <c r="C740" s="10">
        <f>CHOOSE(CONTROL!$C$42, 22.3095, 22.3095) * CHOOSE(CONTROL!$C$21, $C$9, 100%, $E$9)</f>
        <v>22.3095</v>
      </c>
      <c r="D740" s="10">
        <f>CHOOSE(CONTROL!$C$42, 22.4665, 22.4665) * CHOOSE(CONTROL!$C$21, $C$9, 100%, $E$9)</f>
        <v>22.4665</v>
      </c>
      <c r="E740" s="10">
        <f>CHOOSE(CONTROL!$C$42, 22.4977, 22.4977) * CHOOSE(CONTROL!$C$21, $C$9, 100%, $E$9)</f>
        <v>22.497699999999998</v>
      </c>
      <c r="F740" s="10">
        <f>CHOOSE(CONTROL!$C$42, 22.2461, 22.2461)*CHOOSE(CONTROL!$C$21, $C$9, 100%, $E$9)</f>
        <v>22.246099999999998</v>
      </c>
      <c r="G740" s="10">
        <f>CHOOSE(CONTROL!$C$42, 22.2623, 22.2623)*CHOOSE(CONTROL!$C$21, $C$9, 100%, $E$9)</f>
        <v>22.2623</v>
      </c>
      <c r="H740" s="10">
        <f>CHOOSE(CONTROL!$C$42, 22.4861, 22.4861) * CHOOSE(CONTROL!$C$21, $C$9, 100%, $E$9)</f>
        <v>22.4861</v>
      </c>
      <c r="I740" s="10">
        <f>CHOOSE(CONTROL!$C$42, 22.2803, 22.2803)* CHOOSE(CONTROL!$C$21, $C$9, 100%, $E$9)</f>
        <v>22.2803</v>
      </c>
      <c r="J740" s="10">
        <f>CHOOSE(CONTROL!$C$42, 22.2387, 22.2387)* CHOOSE(CONTROL!$C$21, $C$9, 100%, $E$9)</f>
        <v>22.238700000000001</v>
      </c>
      <c r="K740" s="10">
        <f>CHOOSE(CONTROL!$C$42, 21.7449, 21.7449) * CHOOSE(CONTROL!$C$21, $C$9, 100%, $E$9)</f>
        <v>21.744900000000001</v>
      </c>
      <c r="L740" s="10">
        <f>CHOOSE(CONTROL!$C$42, 23.0731, 23.0731) * CHOOSE(CONTROL!$C$21, $C$9, 100%, $E$9)</f>
        <v>23.0731</v>
      </c>
      <c r="M740" s="10">
        <f>CHOOSE(CONTROL!$C$42, 21.9614, 21.9614) * CHOOSE(CONTROL!$C$21, $C$9, 100%, $E$9)</f>
        <v>21.961400000000001</v>
      </c>
      <c r="N740" s="10">
        <f>CHOOSE(CONTROL!$C$42, 21.9774, 21.9774) * CHOOSE(CONTROL!$C$21, $C$9, 100%, $E$9)</f>
        <v>21.977399999999999</v>
      </c>
      <c r="O740" s="10">
        <f>CHOOSE(CONTROL!$C$42, 22.2054, 22.2054) * CHOOSE(CONTROL!$C$21, $C$9, 100%, $E$9)</f>
        <v>22.205400000000001</v>
      </c>
      <c r="P740" s="10">
        <f>CHOOSE(CONTROL!$C$42, 22.0025, 22.0025) * CHOOSE(CONTROL!$C$21, $C$9, 100%, $E$9)</f>
        <v>22.002500000000001</v>
      </c>
      <c r="Q740" s="10">
        <f>CHOOSE(CONTROL!$C$42, 22.8007, 22.8007) * CHOOSE(CONTROL!$C$21, $C$9, 100%, $E$9)</f>
        <v>22.800699999999999</v>
      </c>
      <c r="R740" s="10">
        <f>CHOOSE(CONTROL!$C$42, 23.4447, 23.4447) * CHOOSE(CONTROL!$C$21, $C$9, 100%, $E$9)</f>
        <v>23.444700000000001</v>
      </c>
      <c r="S740" s="10">
        <f>CHOOSE(CONTROL!$C$42, 21.6091, 21.6091) * CHOOSE(CONTROL!$C$21, $C$9, 100%, $E$9)</f>
        <v>21.609100000000002</v>
      </c>
      <c r="T74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40" s="38">
        <f>(1000*CHOOSE(CONTROL!$C$42, 695, 695)*CHOOSE(CONTROL!$C$42, 0.5599, 0.5599)*CHOOSE(CONTROL!$C$42, 31, 31))/1000000</f>
        <v>12.063045499999998</v>
      </c>
      <c r="V740" s="38">
        <f>(1000*CHOOSE(CONTROL!$C$42, 500, 500)*CHOOSE(CONTROL!$C$42, 0.275, 0.275)*CHOOSE(CONTROL!$C$42, 31, 31))/1000000</f>
        <v>4.2625000000000002</v>
      </c>
      <c r="W740" s="38">
        <f>(1000*CHOOSE(CONTROL!$C$42, 0.1146, 0.1146)*CHOOSE(CONTROL!$C$42, 121.5, 121.5)*CHOOSE(CONTROL!$C$42, 31, 31))/1000000</f>
        <v>0.43164089999999994</v>
      </c>
      <c r="X740" s="38">
        <f>(31*0.1790888*245000/1000000)+(31*0.2374*100000/1000000)</f>
        <v>2.0961194359999999</v>
      </c>
      <c r="Y740" s="38">
        <f>(1000*600*CHOOSE(CONTROL!$C$42, 1.0585, 1.0585)*CHOOSE(CONTROL!$C$42, 31, 31))/1000000</f>
        <v>19.688099999999999</v>
      </c>
      <c r="Z740" s="38"/>
      <c r="AA740" s="10"/>
      <c r="AB740" s="39"/>
      <c r="AC740" s="33">
        <f>(B740*194.205+C740*267.466+D740*133.845+E740*53.484+F740*40+G740*185+H740*0+I740*100+J740*300)/(194.205+267.466+133.845+53.484+0+40+185+100+300)</f>
        <v>22.304867122291991</v>
      </c>
      <c r="AD740" s="27">
        <f>(M740*'RAP TEMPLATE-GAS AVAILABILITY'!O739+N740*'RAP TEMPLATE-GAS AVAILABILITY'!P739+O740*'RAP TEMPLATE-GAS AVAILABILITY'!Q739+P740*'RAP TEMPLATE-GAS AVAILABILITY'!R739)/('RAP TEMPLATE-GAS AVAILABILITY'!O739+'RAP TEMPLATE-GAS AVAILABILITY'!P739+'RAP TEMPLATE-GAS AVAILABILITY'!Q739+'RAP TEMPLATE-GAS AVAILABILITY'!R739)</f>
        <v>22.078824460431655</v>
      </c>
    </row>
    <row r="741" spans="1:30" ht="15.75">
      <c r="A741" s="13">
        <v>63827</v>
      </c>
      <c r="B741" s="10">
        <f>CHOOSE(CONTROL!$C$42, 20.8847, 20.8847) * CHOOSE(CONTROL!$C$21, $C$9, 100%, $E$9)</f>
        <v>20.884699999999999</v>
      </c>
      <c r="C741" s="10">
        <f>CHOOSE(CONTROL!$C$42, 20.8927, 20.8927) * CHOOSE(CONTROL!$C$21, $C$9, 100%, $E$9)</f>
        <v>20.892700000000001</v>
      </c>
      <c r="D741" s="10">
        <f>CHOOSE(CONTROL!$C$42, 21.0498, 21.0498) * CHOOSE(CONTROL!$C$21, $C$9, 100%, $E$9)</f>
        <v>21.049800000000001</v>
      </c>
      <c r="E741" s="10">
        <f>CHOOSE(CONTROL!$C$42, 21.081, 21.081) * CHOOSE(CONTROL!$C$21, $C$9, 100%, $E$9)</f>
        <v>21.081</v>
      </c>
      <c r="F741" s="10">
        <f>CHOOSE(CONTROL!$C$42, 20.8291, 20.8291)*CHOOSE(CONTROL!$C$21, $C$9, 100%, $E$9)</f>
        <v>20.8291</v>
      </c>
      <c r="G741" s="10">
        <f>CHOOSE(CONTROL!$C$42, 20.8453, 20.8453)*CHOOSE(CONTROL!$C$21, $C$9, 100%, $E$9)</f>
        <v>20.845300000000002</v>
      </c>
      <c r="H741" s="10">
        <f>CHOOSE(CONTROL!$C$42, 21.0693, 21.0693) * CHOOSE(CONTROL!$C$21, $C$9, 100%, $E$9)</f>
        <v>21.069299999999998</v>
      </c>
      <c r="I741" s="10">
        <f>CHOOSE(CONTROL!$C$42, 20.8635, 20.8635)* CHOOSE(CONTROL!$C$21, $C$9, 100%, $E$9)</f>
        <v>20.863499999999998</v>
      </c>
      <c r="J741" s="10">
        <f>CHOOSE(CONTROL!$C$42, 20.8217, 20.8217)* CHOOSE(CONTROL!$C$21, $C$9, 100%, $E$9)</f>
        <v>20.8217</v>
      </c>
      <c r="K741" s="10">
        <f>CHOOSE(CONTROL!$C$42, 20.372, 20.372) * CHOOSE(CONTROL!$C$21, $C$9, 100%, $E$9)</f>
        <v>20.372</v>
      </c>
      <c r="L741" s="10">
        <f>CHOOSE(CONTROL!$C$42, 21.6563, 21.6563) * CHOOSE(CONTROL!$C$21, $C$9, 100%, $E$9)</f>
        <v>21.656300000000002</v>
      </c>
      <c r="M741" s="10">
        <f>CHOOSE(CONTROL!$C$42, 20.5643, 20.5643) * CHOOSE(CONTROL!$C$21, $C$9, 100%, $E$9)</f>
        <v>20.564299999999999</v>
      </c>
      <c r="N741" s="10">
        <f>CHOOSE(CONTROL!$C$42, 20.5802, 20.5802) * CHOOSE(CONTROL!$C$21, $C$9, 100%, $E$9)</f>
        <v>20.580200000000001</v>
      </c>
      <c r="O741" s="10">
        <f>CHOOSE(CONTROL!$C$42, 20.8084, 20.8084) * CHOOSE(CONTROL!$C$21, $C$9, 100%, $E$9)</f>
        <v>20.808399999999999</v>
      </c>
      <c r="P741" s="10">
        <f>CHOOSE(CONTROL!$C$42, 20.6055, 20.6055) * CHOOSE(CONTROL!$C$21, $C$9, 100%, $E$9)</f>
        <v>20.605499999999999</v>
      </c>
      <c r="Q741" s="10">
        <f>CHOOSE(CONTROL!$C$42, 21.4037, 21.4037) * CHOOSE(CONTROL!$C$21, $C$9, 100%, $E$9)</f>
        <v>21.403700000000001</v>
      </c>
      <c r="R741" s="10">
        <f>CHOOSE(CONTROL!$C$42, 22.0442, 22.0442) * CHOOSE(CONTROL!$C$21, $C$9, 100%, $E$9)</f>
        <v>22.0442</v>
      </c>
      <c r="S741" s="10">
        <f>CHOOSE(CONTROL!$C$42, 20.2373, 20.2373) * CHOOSE(CONTROL!$C$21, $C$9, 100%, $E$9)</f>
        <v>20.237300000000001</v>
      </c>
      <c r="T74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41" s="38">
        <f>(1000*CHOOSE(CONTROL!$C$42, 695, 695)*CHOOSE(CONTROL!$C$42, 0.5599, 0.5599)*CHOOSE(CONTROL!$C$42, 30, 30))/1000000</f>
        <v>11.673914999999997</v>
      </c>
      <c r="V741" s="38">
        <f>(1000*CHOOSE(CONTROL!$C$42, 500, 500)*CHOOSE(CONTROL!$C$42, 0.275, 0.275)*CHOOSE(CONTROL!$C$42, 30, 30))/1000000</f>
        <v>4.125</v>
      </c>
      <c r="W741" s="38">
        <f>(1000*CHOOSE(CONTROL!$C$42, 0.1146, 0.1146)*CHOOSE(CONTROL!$C$42, 121.5, 121.5)*CHOOSE(CONTROL!$C$42, 30, 30))/1000000</f>
        <v>0.417717</v>
      </c>
      <c r="X741" s="38">
        <f>(30*0.1790888*245000/1000000)+(30*0.2374*100000/1000000)</f>
        <v>2.0285026799999999</v>
      </c>
      <c r="Y741" s="38">
        <f>(1000*600*CHOOSE(CONTROL!$C$42, 1.0585, 1.0585)*CHOOSE(CONTROL!$C$42, 30, 30))/1000000</f>
        <v>19.053000000000001</v>
      </c>
      <c r="Z741" s="38"/>
      <c r="AA741" s="10"/>
      <c r="AB741" s="39"/>
      <c r="AC741" s="33">
        <f>(B741*194.205+C741*267.466+D741*133.845+E741*53.484+F741*40+G741*185+H741*0+I741*100+J741*300)/(194.205+267.466+133.845+53.484+0+40+185+100+300)</f>
        <v>20.887999408712719</v>
      </c>
      <c r="AD741" s="27">
        <f>(M741*'RAP TEMPLATE-GAS AVAILABILITY'!O740+N741*'RAP TEMPLATE-GAS AVAILABILITY'!P740+O741*'RAP TEMPLATE-GAS AVAILABILITY'!Q740+P741*'RAP TEMPLATE-GAS AVAILABILITY'!R740)/('RAP TEMPLATE-GAS AVAILABILITY'!O740+'RAP TEMPLATE-GAS AVAILABILITY'!P740+'RAP TEMPLATE-GAS AVAILABILITY'!Q740+'RAP TEMPLATE-GAS AVAILABILITY'!R740)</f>
        <v>20.681778417266187</v>
      </c>
    </row>
    <row r="742" spans="1:30" ht="15.75">
      <c r="A742" s="13">
        <v>63858</v>
      </c>
      <c r="B742" s="10">
        <f>CHOOSE(CONTROL!$C$42, 20.4582, 20.4582) * CHOOSE(CONTROL!$C$21, $C$9, 100%, $E$9)</f>
        <v>20.458200000000001</v>
      </c>
      <c r="C742" s="10">
        <f>CHOOSE(CONTROL!$C$42, 20.4636, 20.4636) * CHOOSE(CONTROL!$C$21, $C$9, 100%, $E$9)</f>
        <v>20.4636</v>
      </c>
      <c r="D742" s="10">
        <f>CHOOSE(CONTROL!$C$42, 20.6255, 20.6255) * CHOOSE(CONTROL!$C$21, $C$9, 100%, $E$9)</f>
        <v>20.625499999999999</v>
      </c>
      <c r="E742" s="10">
        <f>CHOOSE(CONTROL!$C$42, 20.6544, 20.6544) * CHOOSE(CONTROL!$C$21, $C$9, 100%, $E$9)</f>
        <v>20.654399999999999</v>
      </c>
      <c r="F742" s="10">
        <f>CHOOSE(CONTROL!$C$42, 20.4046, 20.4046)*CHOOSE(CONTROL!$C$21, $C$9, 100%, $E$9)</f>
        <v>20.404599999999999</v>
      </c>
      <c r="G742" s="10">
        <f>CHOOSE(CONTROL!$C$42, 20.4204, 20.4204)*CHOOSE(CONTROL!$C$21, $C$9, 100%, $E$9)</f>
        <v>20.420400000000001</v>
      </c>
      <c r="H742" s="10">
        <f>CHOOSE(CONTROL!$C$42, 20.6446, 20.6446) * CHOOSE(CONTROL!$C$21, $C$9, 100%, $E$9)</f>
        <v>20.644600000000001</v>
      </c>
      <c r="I742" s="10">
        <f>CHOOSE(CONTROL!$C$42, 20.4387, 20.4387)* CHOOSE(CONTROL!$C$21, $C$9, 100%, $E$9)</f>
        <v>20.438700000000001</v>
      </c>
      <c r="J742" s="10">
        <f>CHOOSE(CONTROL!$C$42, 20.3972, 20.3972)* CHOOSE(CONTROL!$C$21, $C$9, 100%, $E$9)</f>
        <v>20.397200000000002</v>
      </c>
      <c r="K742" s="10">
        <f>CHOOSE(CONTROL!$C$42, 19.9611, 19.9611) * CHOOSE(CONTROL!$C$21, $C$9, 100%, $E$9)</f>
        <v>19.961099999999998</v>
      </c>
      <c r="L742" s="10">
        <f>CHOOSE(CONTROL!$C$42, 21.2316, 21.2316) * CHOOSE(CONTROL!$C$21, $C$9, 100%, $E$9)</f>
        <v>21.2316</v>
      </c>
      <c r="M742" s="10">
        <f>CHOOSE(CONTROL!$C$42, 20.1457, 20.1457) * CHOOSE(CONTROL!$C$21, $C$9, 100%, $E$9)</f>
        <v>20.145700000000001</v>
      </c>
      <c r="N742" s="10">
        <f>CHOOSE(CONTROL!$C$42, 20.1613, 20.1613) * CHOOSE(CONTROL!$C$21, $C$9, 100%, $E$9)</f>
        <v>20.161300000000001</v>
      </c>
      <c r="O742" s="10">
        <f>CHOOSE(CONTROL!$C$42, 20.3896, 20.3896) * CHOOSE(CONTROL!$C$21, $C$9, 100%, $E$9)</f>
        <v>20.389600000000002</v>
      </c>
      <c r="P742" s="10">
        <f>CHOOSE(CONTROL!$C$42, 20.1867, 20.1867) * CHOOSE(CONTROL!$C$21, $C$9, 100%, $E$9)</f>
        <v>20.186699999999998</v>
      </c>
      <c r="Q742" s="10">
        <f>CHOOSE(CONTROL!$C$42, 20.9849, 20.9849) * CHOOSE(CONTROL!$C$21, $C$9, 100%, $E$9)</f>
        <v>20.9849</v>
      </c>
      <c r="R742" s="10">
        <f>CHOOSE(CONTROL!$C$42, 21.6243, 21.6243) * CHOOSE(CONTROL!$C$21, $C$9, 100%, $E$9)</f>
        <v>21.624300000000002</v>
      </c>
      <c r="S742" s="10">
        <f>CHOOSE(CONTROL!$C$42, 19.826, 19.826) * CHOOSE(CONTROL!$C$21, $C$9, 100%, $E$9)</f>
        <v>19.826000000000001</v>
      </c>
      <c r="T74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42" s="38">
        <f>(1000*CHOOSE(CONTROL!$C$42, 695, 695)*CHOOSE(CONTROL!$C$42, 0.5599, 0.5599)*CHOOSE(CONTROL!$C$42, 31, 31))/1000000</f>
        <v>12.063045499999998</v>
      </c>
      <c r="V742" s="38">
        <f>(1000*CHOOSE(CONTROL!$C$42, 500, 500)*CHOOSE(CONTROL!$C$42, 0.275, 0.275)*CHOOSE(CONTROL!$C$42, 31, 31))/1000000</f>
        <v>4.2625000000000002</v>
      </c>
      <c r="W742" s="38">
        <f>(1000*CHOOSE(CONTROL!$C$42, 0.1146, 0.1146)*CHOOSE(CONTROL!$C$42, 121.5, 121.5)*CHOOSE(CONTROL!$C$42, 31, 31))/1000000</f>
        <v>0.43164089999999994</v>
      </c>
      <c r="X742" s="38">
        <f>(31*0.1790888*245000/1000000)+(31*0.2374*100000/1000000)</f>
        <v>2.0961194359999999</v>
      </c>
      <c r="Y742" s="38">
        <f>(1000*600*CHOOSE(CONTROL!$C$42, 1.0585, 1.0585)*CHOOSE(CONTROL!$C$42, 31, 31))/1000000</f>
        <v>19.688099999999999</v>
      </c>
      <c r="Z742" s="38"/>
      <c r="AA742" s="10"/>
      <c r="AB742" s="39"/>
      <c r="AC742" s="33">
        <f>(B742*131.881+C742*277.167+D742*79.08+E742*125.872+F742*40+G742*185+H742*0+I742*100+J742*300)/(131.881+277.167+79.08+125.872+0+40+185+100+300)</f>
        <v>20.466299977562546</v>
      </c>
      <c r="AD742" s="27">
        <f>(M742*'RAP TEMPLATE-GAS AVAILABILITY'!O741+N742*'RAP TEMPLATE-GAS AVAILABILITY'!P741+O742*'RAP TEMPLATE-GAS AVAILABILITY'!Q741+P742*'RAP TEMPLATE-GAS AVAILABILITY'!R741)/('RAP TEMPLATE-GAS AVAILABILITY'!O741+'RAP TEMPLATE-GAS AVAILABILITY'!P741+'RAP TEMPLATE-GAS AVAILABILITY'!Q741+'RAP TEMPLATE-GAS AVAILABILITY'!R741)</f>
        <v>20.263041726618706</v>
      </c>
    </row>
    <row r="743" spans="1:30" ht="15.75">
      <c r="A743" s="13">
        <v>63888</v>
      </c>
      <c r="B743" s="10">
        <f>CHOOSE(CONTROL!$C$42, 20.9972, 20.9972) * CHOOSE(CONTROL!$C$21, $C$9, 100%, $E$9)</f>
        <v>20.997199999999999</v>
      </c>
      <c r="C743" s="10">
        <f>CHOOSE(CONTROL!$C$42, 21.0023, 21.0023) * CHOOSE(CONTROL!$C$21, $C$9, 100%, $E$9)</f>
        <v>21.002300000000002</v>
      </c>
      <c r="D743" s="10">
        <f>CHOOSE(CONTROL!$C$42, 21.027, 21.027) * CHOOSE(CONTROL!$C$21, $C$9, 100%, $E$9)</f>
        <v>21.027000000000001</v>
      </c>
      <c r="E743" s="10">
        <f>CHOOSE(CONTROL!$C$42, 21.0608, 21.0608) * CHOOSE(CONTROL!$C$21, $C$9, 100%, $E$9)</f>
        <v>21.0608</v>
      </c>
      <c r="F743" s="10">
        <f>CHOOSE(CONTROL!$C$42, 20.9655, 20.9655)*CHOOSE(CONTROL!$C$21, $C$9, 100%, $E$9)</f>
        <v>20.965499999999999</v>
      </c>
      <c r="G743" s="10">
        <f>CHOOSE(CONTROL!$C$42, 20.9816, 20.9816)*CHOOSE(CONTROL!$C$21, $C$9, 100%, $E$9)</f>
        <v>20.9816</v>
      </c>
      <c r="H743" s="10">
        <f>CHOOSE(CONTROL!$C$42, 21.0497, 21.0497) * CHOOSE(CONTROL!$C$21, $C$9, 100%, $E$9)</f>
        <v>21.049700000000001</v>
      </c>
      <c r="I743" s="10">
        <f>CHOOSE(CONTROL!$C$42, 21.0122, 21.0122)* CHOOSE(CONTROL!$C$21, $C$9, 100%, $E$9)</f>
        <v>21.0122</v>
      </c>
      <c r="J743" s="10">
        <f>CHOOSE(CONTROL!$C$42, 20.9581, 20.9581)* CHOOSE(CONTROL!$C$21, $C$9, 100%, $E$9)</f>
        <v>20.958100000000002</v>
      </c>
      <c r="K743" s="10">
        <f>CHOOSE(CONTROL!$C$42, 20.5189, 20.5189) * CHOOSE(CONTROL!$C$21, $C$9, 100%, $E$9)</f>
        <v>20.518899999999999</v>
      </c>
      <c r="L743" s="10">
        <f>CHOOSE(CONTROL!$C$42, 21.6367, 21.6367) * CHOOSE(CONTROL!$C$21, $C$9, 100%, $E$9)</f>
        <v>21.636700000000001</v>
      </c>
      <c r="M743" s="10">
        <f>CHOOSE(CONTROL!$C$42, 20.6988, 20.6988) * CHOOSE(CONTROL!$C$21, $C$9, 100%, $E$9)</f>
        <v>20.698799999999999</v>
      </c>
      <c r="N743" s="10">
        <f>CHOOSE(CONTROL!$C$42, 20.7146, 20.7146) * CHOOSE(CONTROL!$C$21, $C$9, 100%, $E$9)</f>
        <v>20.714600000000001</v>
      </c>
      <c r="O743" s="10">
        <f>CHOOSE(CONTROL!$C$42, 20.789, 20.789) * CHOOSE(CONTROL!$C$21, $C$9, 100%, $E$9)</f>
        <v>20.789000000000001</v>
      </c>
      <c r="P743" s="10">
        <f>CHOOSE(CONTROL!$C$42, 20.7521, 20.7521) * CHOOSE(CONTROL!$C$21, $C$9, 100%, $E$9)</f>
        <v>20.752099999999999</v>
      </c>
      <c r="Q743" s="10">
        <f>CHOOSE(CONTROL!$C$42, 21.3843, 21.3843) * CHOOSE(CONTROL!$C$21, $C$9, 100%, $E$9)</f>
        <v>21.3843</v>
      </c>
      <c r="R743" s="10">
        <f>CHOOSE(CONTROL!$C$42, 22.0248, 22.0248) * CHOOSE(CONTROL!$C$21, $C$9, 100%, $E$9)</f>
        <v>22.024799999999999</v>
      </c>
      <c r="S743" s="10">
        <f>CHOOSE(CONTROL!$C$42, 20.3483, 20.3483) * CHOOSE(CONTROL!$C$21, $C$9, 100%, $E$9)</f>
        <v>20.348299999999998</v>
      </c>
      <c r="T74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43" s="38">
        <f>(1000*CHOOSE(CONTROL!$C$42, 695, 695)*CHOOSE(CONTROL!$C$42, 0.5599, 0.5599)*CHOOSE(CONTROL!$C$42, 30, 30))/1000000</f>
        <v>11.673914999999997</v>
      </c>
      <c r="V743" s="38">
        <f>(1000*CHOOSE(CONTROL!$C$42, 500, 500)*CHOOSE(CONTROL!$C$42, 0.275, 0.275)*CHOOSE(CONTROL!$C$42, 30, 30))/1000000</f>
        <v>4.125</v>
      </c>
      <c r="W743" s="38">
        <f>(1000*CHOOSE(CONTROL!$C$42, 0.1146, 0.1146)*CHOOSE(CONTROL!$C$42, 121.5, 121.5)*CHOOSE(CONTROL!$C$42, 30, 30))/1000000</f>
        <v>0.417717</v>
      </c>
      <c r="X743" s="38">
        <f>(30*0.1790888*100000/1000000)+(30*0.2374*100000/1000000)</f>
        <v>1.2494664</v>
      </c>
      <c r="Y743" s="38">
        <f>(1000*600*CHOOSE(CONTROL!$C$42, 1.0585, 1.0585)*CHOOSE(CONTROL!$C$42, 30, 30))/1000000</f>
        <v>19.053000000000001</v>
      </c>
      <c r="Z743" s="38"/>
      <c r="AA743" s="10"/>
      <c r="AB743" s="39"/>
      <c r="AC743" s="33">
        <f>(B743*122.58+C743*297.941+D743*89.177+E743*40.302+F743*40+G743*160+H743*0+I743*100+J743*300)/(122.58+297.941+89.177+40.302+0+40+160+100+300)</f>
        <v>20.990892331217395</v>
      </c>
      <c r="AD743" s="27">
        <f>(M743*'RAP TEMPLATE-GAS AVAILABILITY'!O742+N743*'RAP TEMPLATE-GAS AVAILABILITY'!P742+O743*'RAP TEMPLATE-GAS AVAILABILITY'!Q742+P743*'RAP TEMPLATE-GAS AVAILABILITY'!R742)/('RAP TEMPLATE-GAS AVAILABILITY'!O742+'RAP TEMPLATE-GAS AVAILABILITY'!P742+'RAP TEMPLATE-GAS AVAILABILITY'!Q742+'RAP TEMPLATE-GAS AVAILABILITY'!R742)</f>
        <v>20.748260431654678</v>
      </c>
    </row>
    <row r="744" spans="1:30" ht="15.75">
      <c r="A744" s="13">
        <v>63919</v>
      </c>
      <c r="B744" s="10">
        <f>CHOOSE(CONTROL!$C$42, 22.4299, 22.4299) * CHOOSE(CONTROL!$C$21, $C$9, 100%, $E$9)</f>
        <v>22.4299</v>
      </c>
      <c r="C744" s="10">
        <f>CHOOSE(CONTROL!$C$42, 22.435, 22.435) * CHOOSE(CONTROL!$C$21, $C$9, 100%, $E$9)</f>
        <v>22.434999999999999</v>
      </c>
      <c r="D744" s="10">
        <f>CHOOSE(CONTROL!$C$42, 22.4597, 22.4597) * CHOOSE(CONTROL!$C$21, $C$9, 100%, $E$9)</f>
        <v>22.459700000000002</v>
      </c>
      <c r="E744" s="10">
        <f>CHOOSE(CONTROL!$C$42, 22.4935, 22.4935) * CHOOSE(CONTROL!$C$21, $C$9, 100%, $E$9)</f>
        <v>22.493500000000001</v>
      </c>
      <c r="F744" s="10">
        <f>CHOOSE(CONTROL!$C$42, 22.4002, 22.4002)*CHOOSE(CONTROL!$C$21, $C$9, 100%, $E$9)</f>
        <v>22.400200000000002</v>
      </c>
      <c r="G744" s="10">
        <f>CHOOSE(CONTROL!$C$42, 22.4166, 22.4166)*CHOOSE(CONTROL!$C$21, $C$9, 100%, $E$9)</f>
        <v>22.416599999999999</v>
      </c>
      <c r="H744" s="10">
        <f>CHOOSE(CONTROL!$C$42, 22.4824, 22.4824) * CHOOSE(CONTROL!$C$21, $C$9, 100%, $E$9)</f>
        <v>22.482399999999998</v>
      </c>
      <c r="I744" s="10">
        <f>CHOOSE(CONTROL!$C$42, 22.4449, 22.4449)* CHOOSE(CONTROL!$C$21, $C$9, 100%, $E$9)</f>
        <v>22.444900000000001</v>
      </c>
      <c r="J744" s="10">
        <f>CHOOSE(CONTROL!$C$42, 22.3928, 22.3928)* CHOOSE(CONTROL!$C$21, $C$9, 100%, $E$9)</f>
        <v>22.392800000000001</v>
      </c>
      <c r="K744" s="10">
        <f>CHOOSE(CONTROL!$C$42, 21.911, 21.911) * CHOOSE(CONTROL!$C$21, $C$9, 100%, $E$9)</f>
        <v>21.911000000000001</v>
      </c>
      <c r="L744" s="10">
        <f>CHOOSE(CONTROL!$C$42, 23.0694, 23.0694) * CHOOSE(CONTROL!$C$21, $C$9, 100%, $E$9)</f>
        <v>23.069400000000002</v>
      </c>
      <c r="M744" s="10">
        <f>CHOOSE(CONTROL!$C$42, 22.1134, 22.1134) * CHOOSE(CONTROL!$C$21, $C$9, 100%, $E$9)</f>
        <v>22.113399999999999</v>
      </c>
      <c r="N744" s="10">
        <f>CHOOSE(CONTROL!$C$42, 22.1296, 22.1296) * CHOOSE(CONTROL!$C$21, $C$9, 100%, $E$9)</f>
        <v>22.1296</v>
      </c>
      <c r="O744" s="10">
        <f>CHOOSE(CONTROL!$C$42, 22.2017, 22.2017) * CHOOSE(CONTROL!$C$21, $C$9, 100%, $E$9)</f>
        <v>22.201699999999999</v>
      </c>
      <c r="P744" s="10">
        <f>CHOOSE(CONTROL!$C$42, 22.1648, 22.1648) * CHOOSE(CONTROL!$C$21, $C$9, 100%, $E$9)</f>
        <v>22.1648</v>
      </c>
      <c r="Q744" s="10">
        <f>CHOOSE(CONTROL!$C$42, 22.797, 22.797) * CHOOSE(CONTROL!$C$21, $C$9, 100%, $E$9)</f>
        <v>22.797000000000001</v>
      </c>
      <c r="R744" s="10">
        <f>CHOOSE(CONTROL!$C$42, 23.441, 23.441) * CHOOSE(CONTROL!$C$21, $C$9, 100%, $E$9)</f>
        <v>23.440999999999999</v>
      </c>
      <c r="S744" s="10">
        <f>CHOOSE(CONTROL!$C$42, 21.7355, 21.7355) * CHOOSE(CONTROL!$C$21, $C$9, 100%, $E$9)</f>
        <v>21.735499999999998</v>
      </c>
      <c r="T74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44" s="38">
        <f>(1000*CHOOSE(CONTROL!$C$42, 695, 695)*CHOOSE(CONTROL!$C$42, 0.5599, 0.5599)*CHOOSE(CONTROL!$C$42, 31, 31))/1000000</f>
        <v>12.063045499999998</v>
      </c>
      <c r="V744" s="38">
        <f>(1000*CHOOSE(CONTROL!$C$42, 500, 500)*CHOOSE(CONTROL!$C$42, 0.275, 0.275)*CHOOSE(CONTROL!$C$42, 31, 31))/1000000</f>
        <v>4.2625000000000002</v>
      </c>
      <c r="W744" s="38">
        <f>(1000*CHOOSE(CONTROL!$C$42, 0.1146, 0.1146)*CHOOSE(CONTROL!$C$42, 121.5, 121.5)*CHOOSE(CONTROL!$C$42, 31, 31))/1000000</f>
        <v>0.43164089999999994</v>
      </c>
      <c r="X744" s="38">
        <f>(31*0.1790888*100000/1000000)+(31*0.2374*100000/1000000)</f>
        <v>1.2911152800000001</v>
      </c>
      <c r="Y744" s="38">
        <f>(1000*600*CHOOSE(CONTROL!$C$42, 1.0585, 1.0585)*CHOOSE(CONTROL!$C$42, 31, 31))/1000000</f>
        <v>19.688099999999999</v>
      </c>
      <c r="Z744" s="38"/>
      <c r="AA744" s="10"/>
      <c r="AB744" s="39"/>
      <c r="AC744" s="33">
        <f>(B744*122.58+C744*297.941+D744*89.177+E744*40.302+F744*40+G744*160+H744*0+I744*100+J744*300)/(122.58+297.941+89.177+40.302+0+40+160+100+300)</f>
        <v>22.424503635565216</v>
      </c>
      <c r="AD744" s="27">
        <f>(M744*'RAP TEMPLATE-GAS AVAILABILITY'!O743+N744*'RAP TEMPLATE-GAS AVAILABILITY'!P743+O744*'RAP TEMPLATE-GAS AVAILABILITY'!Q743+P744*'RAP TEMPLATE-GAS AVAILABILITY'!R743)/('RAP TEMPLATE-GAS AVAILABILITY'!O743+'RAP TEMPLATE-GAS AVAILABILITY'!P743+'RAP TEMPLATE-GAS AVAILABILITY'!Q743+'RAP TEMPLATE-GAS AVAILABILITY'!R743)</f>
        <v>22.161748920863307</v>
      </c>
    </row>
    <row r="745" spans="1:30" ht="15.75">
      <c r="A745" s="13">
        <v>63950</v>
      </c>
      <c r="B745" s="10">
        <f>CHOOSE(CONTROL!$C$42, 23.9449, 23.9449) * CHOOSE(CONTROL!$C$21, $C$9, 100%, $E$9)</f>
        <v>23.944900000000001</v>
      </c>
      <c r="C745" s="10">
        <f>CHOOSE(CONTROL!$C$42, 23.95, 23.95) * CHOOSE(CONTROL!$C$21, $C$9, 100%, $E$9)</f>
        <v>23.95</v>
      </c>
      <c r="D745" s="10">
        <f>CHOOSE(CONTROL!$C$42, 23.9824, 23.9824) * CHOOSE(CONTROL!$C$21, $C$9, 100%, $E$9)</f>
        <v>23.982399999999998</v>
      </c>
      <c r="E745" s="10">
        <f>CHOOSE(CONTROL!$C$42, 24.0162, 24.0162) * CHOOSE(CONTROL!$C$21, $C$9, 100%, $E$9)</f>
        <v>24.016200000000001</v>
      </c>
      <c r="F745" s="10">
        <f>CHOOSE(CONTROL!$C$42, 23.9291, 23.9291)*CHOOSE(CONTROL!$C$21, $C$9, 100%, $E$9)</f>
        <v>23.929099999999998</v>
      </c>
      <c r="G745" s="10">
        <f>CHOOSE(CONTROL!$C$42, 23.9471, 23.9471)*CHOOSE(CONTROL!$C$21, $C$9, 100%, $E$9)</f>
        <v>23.947099999999999</v>
      </c>
      <c r="H745" s="10">
        <f>CHOOSE(CONTROL!$C$42, 24.0051, 24.0051) * CHOOSE(CONTROL!$C$21, $C$9, 100%, $E$9)</f>
        <v>24.005099999999999</v>
      </c>
      <c r="I745" s="10">
        <f>CHOOSE(CONTROL!$C$42, 23.9583, 23.9583)* CHOOSE(CONTROL!$C$21, $C$9, 100%, $E$9)</f>
        <v>23.958300000000001</v>
      </c>
      <c r="J745" s="10">
        <f>CHOOSE(CONTROL!$C$42, 23.9217, 23.9217)* CHOOSE(CONTROL!$C$21, $C$9, 100%, $E$9)</f>
        <v>23.921700000000001</v>
      </c>
      <c r="K745" s="10">
        <f>CHOOSE(CONTROL!$C$42, 23.3911, 23.3911) * CHOOSE(CONTROL!$C$21, $C$9, 100%, $E$9)</f>
        <v>23.391100000000002</v>
      </c>
      <c r="L745" s="10">
        <f>CHOOSE(CONTROL!$C$42, 24.5921, 24.5921) * CHOOSE(CONTROL!$C$21, $C$9, 100%, $E$9)</f>
        <v>24.592099999999999</v>
      </c>
      <c r="M745" s="10">
        <f>CHOOSE(CONTROL!$C$42, 23.621, 23.621) * CHOOSE(CONTROL!$C$21, $C$9, 100%, $E$9)</f>
        <v>23.620999999999999</v>
      </c>
      <c r="N745" s="10">
        <f>CHOOSE(CONTROL!$C$42, 23.6388, 23.6388) * CHOOSE(CONTROL!$C$21, $C$9, 100%, $E$9)</f>
        <v>23.6388</v>
      </c>
      <c r="O745" s="10">
        <f>CHOOSE(CONTROL!$C$42, 23.7032, 23.7032) * CHOOSE(CONTROL!$C$21, $C$9, 100%, $E$9)</f>
        <v>23.703199999999999</v>
      </c>
      <c r="P745" s="10">
        <f>CHOOSE(CONTROL!$C$42, 23.6572, 23.6572) * CHOOSE(CONTROL!$C$21, $C$9, 100%, $E$9)</f>
        <v>23.6572</v>
      </c>
      <c r="Q745" s="10">
        <f>CHOOSE(CONTROL!$C$42, 24.2985, 24.2985) * CHOOSE(CONTROL!$C$21, $C$9, 100%, $E$9)</f>
        <v>24.298500000000001</v>
      </c>
      <c r="R745" s="10">
        <f>CHOOSE(CONTROL!$C$42, 24.9463, 24.9463) * CHOOSE(CONTROL!$C$21, $C$9, 100%, $E$9)</f>
        <v>24.946300000000001</v>
      </c>
      <c r="S745" s="10">
        <f>CHOOSE(CONTROL!$C$42, 23.2025, 23.2025) * CHOOSE(CONTROL!$C$21, $C$9, 100%, $E$9)</f>
        <v>23.202500000000001</v>
      </c>
      <c r="T74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45" s="38">
        <f>(1000*CHOOSE(CONTROL!$C$42, 695, 695)*CHOOSE(CONTROL!$C$42, 0.5599, 0.5599)*CHOOSE(CONTROL!$C$42, 31, 31))/1000000</f>
        <v>12.063045499999998</v>
      </c>
      <c r="V745" s="38">
        <f>(1000*CHOOSE(CONTROL!$C$42, 500, 500)*CHOOSE(CONTROL!$C$42, 0.275, 0.275)*CHOOSE(CONTROL!$C$42, 31, 31))/1000000</f>
        <v>4.2625000000000002</v>
      </c>
      <c r="W745" s="38">
        <f>(1000*CHOOSE(CONTROL!$C$42, 0.1146, 0.1146)*CHOOSE(CONTROL!$C$42, 121.5, 121.5)*CHOOSE(CONTROL!$C$42, 31, 31))/1000000</f>
        <v>0.43164089999999994</v>
      </c>
      <c r="X745" s="38">
        <f>(31*0.1790888*100000/1000000)+(31*0.2374*100000/1000000)</f>
        <v>1.2911152800000001</v>
      </c>
      <c r="Y745" s="38">
        <f>(1000*600*CHOOSE(CONTROL!$C$42, 1.0585, 1.0585)*CHOOSE(CONTROL!$C$42, 31, 31))/1000000</f>
        <v>19.688099999999999</v>
      </c>
      <c r="Z745" s="38"/>
      <c r="AA745" s="10"/>
      <c r="AB745" s="39"/>
      <c r="AC745" s="33">
        <f>(B745*122.58+C745*297.941+D745*89.177+E745*40.302+F745*40+G745*160+H745*0+I745*100+J745*300)/(122.58+297.941+89.177+40.302+0+40+160+100+300)</f>
        <v>23.946497538434784</v>
      </c>
      <c r="AD745" s="27">
        <f>(M745*'RAP TEMPLATE-GAS AVAILABILITY'!O744+N745*'RAP TEMPLATE-GAS AVAILABILITY'!P744+O745*'RAP TEMPLATE-GAS AVAILABILITY'!Q744+P745*'RAP TEMPLATE-GAS AVAILABILITY'!R744)/('RAP TEMPLATE-GAS AVAILABILITY'!O744+'RAP TEMPLATE-GAS AVAILABILITY'!P744+'RAP TEMPLATE-GAS AVAILABILITY'!Q744+'RAP TEMPLATE-GAS AVAILABILITY'!R744)</f>
        <v>23.664489208633093</v>
      </c>
    </row>
    <row r="746" spans="1:30" ht="15.75">
      <c r="A746" s="13">
        <v>63978</v>
      </c>
      <c r="B746" s="10">
        <f>CHOOSE(CONTROL!$C$42, 24.3714, 24.3714) * CHOOSE(CONTROL!$C$21, $C$9, 100%, $E$9)</f>
        <v>24.371400000000001</v>
      </c>
      <c r="C746" s="10">
        <f>CHOOSE(CONTROL!$C$42, 24.3765, 24.3765) * CHOOSE(CONTROL!$C$21, $C$9, 100%, $E$9)</f>
        <v>24.3765</v>
      </c>
      <c r="D746" s="10">
        <f>CHOOSE(CONTROL!$C$42, 24.409, 24.409) * CHOOSE(CONTROL!$C$21, $C$9, 100%, $E$9)</f>
        <v>24.408999999999999</v>
      </c>
      <c r="E746" s="10">
        <f>CHOOSE(CONTROL!$C$42, 24.4428, 24.4428) * CHOOSE(CONTROL!$C$21, $C$9, 100%, $E$9)</f>
        <v>24.442799999999998</v>
      </c>
      <c r="F746" s="10">
        <f>CHOOSE(CONTROL!$C$42, 24.3552, 24.3552)*CHOOSE(CONTROL!$C$21, $C$9, 100%, $E$9)</f>
        <v>24.3552</v>
      </c>
      <c r="G746" s="10">
        <f>CHOOSE(CONTROL!$C$42, 24.3731, 24.3731)*CHOOSE(CONTROL!$C$21, $C$9, 100%, $E$9)</f>
        <v>24.373100000000001</v>
      </c>
      <c r="H746" s="10">
        <f>CHOOSE(CONTROL!$C$42, 24.4317, 24.4317) * CHOOSE(CONTROL!$C$21, $C$9, 100%, $E$9)</f>
        <v>24.431699999999999</v>
      </c>
      <c r="I746" s="10">
        <f>CHOOSE(CONTROL!$C$42, 24.3849, 24.3849)* CHOOSE(CONTROL!$C$21, $C$9, 100%, $E$9)</f>
        <v>24.384899999999998</v>
      </c>
      <c r="J746" s="10">
        <f>CHOOSE(CONTROL!$C$42, 24.3478, 24.3478)* CHOOSE(CONTROL!$C$21, $C$9, 100%, $E$9)</f>
        <v>24.347799999999999</v>
      </c>
      <c r="K746" s="10">
        <f>CHOOSE(CONTROL!$C$42, 23.8033, 23.8033) * CHOOSE(CONTROL!$C$21, $C$9, 100%, $E$9)</f>
        <v>23.8033</v>
      </c>
      <c r="L746" s="10">
        <f>CHOOSE(CONTROL!$C$42, 25.0187, 25.0187) * CHOOSE(CONTROL!$C$21, $C$9, 100%, $E$9)</f>
        <v>25.018699999999999</v>
      </c>
      <c r="M746" s="10">
        <f>CHOOSE(CONTROL!$C$42, 24.0411, 24.0411) * CHOOSE(CONTROL!$C$21, $C$9, 100%, $E$9)</f>
        <v>24.0411</v>
      </c>
      <c r="N746" s="10">
        <f>CHOOSE(CONTROL!$C$42, 24.0588, 24.0588) * CHOOSE(CONTROL!$C$21, $C$9, 100%, $E$9)</f>
        <v>24.058800000000002</v>
      </c>
      <c r="O746" s="10">
        <f>CHOOSE(CONTROL!$C$42, 24.1238, 24.1238) * CHOOSE(CONTROL!$C$21, $C$9, 100%, $E$9)</f>
        <v>24.123799999999999</v>
      </c>
      <c r="P746" s="10">
        <f>CHOOSE(CONTROL!$C$42, 24.0778, 24.0778) * CHOOSE(CONTROL!$C$21, $C$9, 100%, $E$9)</f>
        <v>24.0778</v>
      </c>
      <c r="Q746" s="10">
        <f>CHOOSE(CONTROL!$C$42, 24.7191, 24.7191) * CHOOSE(CONTROL!$C$21, $C$9, 100%, $E$9)</f>
        <v>24.719100000000001</v>
      </c>
      <c r="R746" s="10">
        <f>CHOOSE(CONTROL!$C$42, 25.3679, 25.3679) * CHOOSE(CONTROL!$C$21, $C$9, 100%, $E$9)</f>
        <v>25.367899999999999</v>
      </c>
      <c r="S746" s="10">
        <f>CHOOSE(CONTROL!$C$42, 23.6155, 23.6155) * CHOOSE(CONTROL!$C$21, $C$9, 100%, $E$9)</f>
        <v>23.615500000000001</v>
      </c>
      <c r="T74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46" s="38">
        <f>(1000*CHOOSE(CONTROL!$C$42, 695, 695)*CHOOSE(CONTROL!$C$42, 0.5599, 0.5599)*CHOOSE(CONTROL!$C$42, 28, 28))/1000000</f>
        <v>10.895653999999999</v>
      </c>
      <c r="V746" s="38">
        <f>(1000*CHOOSE(CONTROL!$C$42, 500, 500)*CHOOSE(CONTROL!$C$42, 0.275, 0.275)*CHOOSE(CONTROL!$C$42, 28, 28))/1000000</f>
        <v>3.85</v>
      </c>
      <c r="W746" s="38">
        <f>(1000*CHOOSE(CONTROL!$C$42, 0.1146, 0.1146)*CHOOSE(CONTROL!$C$42, 121.5, 121.5)*CHOOSE(CONTROL!$C$42, 28, 28))/1000000</f>
        <v>0.38986920000000003</v>
      </c>
      <c r="X746" s="38">
        <f>(28*0.1790888*100000/1000000)+(28*0.2374*100000/1000000)</f>
        <v>1.16616864</v>
      </c>
      <c r="Y746" s="38">
        <f>(1000*600*CHOOSE(CONTROL!$C$42, 1.0585, 1.0585)*CHOOSE(CONTROL!$C$42, 28, 28))/1000000</f>
        <v>17.782800000000002</v>
      </c>
      <c r="Z746" s="38"/>
      <c r="AA746" s="10"/>
      <c r="AB746" s="39"/>
      <c r="AC746" s="33">
        <f>(B746*122.58+C746*297.941+D746*89.177+E746*40.302+F746*40+G746*160+H746*0+I746*100+J746*300)/(122.58+297.941+89.177+40.302+0+40+160+100+300)</f>
        <v>24.372829667043479</v>
      </c>
      <c r="AD746" s="27">
        <f>(M746*'RAP TEMPLATE-GAS AVAILABILITY'!O745+N746*'RAP TEMPLATE-GAS AVAILABILITY'!P745+O746*'RAP TEMPLATE-GAS AVAILABILITY'!Q745+P746*'RAP TEMPLATE-GAS AVAILABILITY'!R745)/('RAP TEMPLATE-GAS AVAILABILITY'!O745+'RAP TEMPLATE-GAS AVAILABILITY'!P745+'RAP TEMPLATE-GAS AVAILABILITY'!Q745+'RAP TEMPLATE-GAS AVAILABILITY'!R745)</f>
        <v>24.084882014388487</v>
      </c>
    </row>
    <row r="747" spans="1:30" ht="15.75">
      <c r="A747" s="13">
        <v>64009</v>
      </c>
      <c r="B747" s="10">
        <f>CHOOSE(CONTROL!$C$42, 23.6791, 23.6791) * CHOOSE(CONTROL!$C$21, $C$9, 100%, $E$9)</f>
        <v>23.679099999999998</v>
      </c>
      <c r="C747" s="10">
        <f>CHOOSE(CONTROL!$C$42, 23.6842, 23.6842) * CHOOSE(CONTROL!$C$21, $C$9, 100%, $E$9)</f>
        <v>23.684200000000001</v>
      </c>
      <c r="D747" s="10">
        <f>CHOOSE(CONTROL!$C$42, 23.7166, 23.7166) * CHOOSE(CONTROL!$C$21, $C$9, 100%, $E$9)</f>
        <v>23.7166</v>
      </c>
      <c r="E747" s="10">
        <f>CHOOSE(CONTROL!$C$42, 23.7504, 23.7504) * CHOOSE(CONTROL!$C$21, $C$9, 100%, $E$9)</f>
        <v>23.750399999999999</v>
      </c>
      <c r="F747" s="10">
        <f>CHOOSE(CONTROL!$C$42, 23.6613, 23.6613)*CHOOSE(CONTROL!$C$21, $C$9, 100%, $E$9)</f>
        <v>23.661300000000001</v>
      </c>
      <c r="G747" s="10">
        <f>CHOOSE(CONTROL!$C$42, 23.6789, 23.6789)*CHOOSE(CONTROL!$C$21, $C$9, 100%, $E$9)</f>
        <v>23.678899999999999</v>
      </c>
      <c r="H747" s="10">
        <f>CHOOSE(CONTROL!$C$42, 23.7393, 23.7393) * CHOOSE(CONTROL!$C$21, $C$9, 100%, $E$9)</f>
        <v>23.7393</v>
      </c>
      <c r="I747" s="10">
        <f>CHOOSE(CONTROL!$C$42, 23.6925, 23.6925)* CHOOSE(CONTROL!$C$21, $C$9, 100%, $E$9)</f>
        <v>23.692499999999999</v>
      </c>
      <c r="J747" s="10">
        <f>CHOOSE(CONTROL!$C$42, 23.6539, 23.6539)* CHOOSE(CONTROL!$C$21, $C$9, 100%, $E$9)</f>
        <v>23.6539</v>
      </c>
      <c r="K747" s="10">
        <f>CHOOSE(CONTROL!$C$42, 23.1294, 23.1294) * CHOOSE(CONTROL!$C$21, $C$9, 100%, $E$9)</f>
        <v>23.1294</v>
      </c>
      <c r="L747" s="10">
        <f>CHOOSE(CONTROL!$C$42, 24.3263, 24.3263) * CHOOSE(CONTROL!$C$21, $C$9, 100%, $E$9)</f>
        <v>24.3263</v>
      </c>
      <c r="M747" s="10">
        <f>CHOOSE(CONTROL!$C$42, 23.3569, 23.3569) * CHOOSE(CONTROL!$C$21, $C$9, 100%, $E$9)</f>
        <v>23.3569</v>
      </c>
      <c r="N747" s="10">
        <f>CHOOSE(CONTROL!$C$42, 23.3743, 23.3743) * CHOOSE(CONTROL!$C$21, $C$9, 100%, $E$9)</f>
        <v>23.374300000000002</v>
      </c>
      <c r="O747" s="10">
        <f>CHOOSE(CONTROL!$C$42, 23.4411, 23.4411) * CHOOSE(CONTROL!$C$21, $C$9, 100%, $E$9)</f>
        <v>23.441099999999999</v>
      </c>
      <c r="P747" s="10">
        <f>CHOOSE(CONTROL!$C$42, 23.395, 23.395) * CHOOSE(CONTROL!$C$21, $C$9, 100%, $E$9)</f>
        <v>23.395</v>
      </c>
      <c r="Q747" s="10">
        <f>CHOOSE(CONTROL!$C$42, 24.0364, 24.0364) * CHOOSE(CONTROL!$C$21, $C$9, 100%, $E$9)</f>
        <v>24.0364</v>
      </c>
      <c r="R747" s="10">
        <f>CHOOSE(CONTROL!$C$42, 24.6835, 24.6835) * CHOOSE(CONTROL!$C$21, $C$9, 100%, $E$9)</f>
        <v>24.683499999999999</v>
      </c>
      <c r="S747" s="10">
        <f>CHOOSE(CONTROL!$C$42, 22.9451, 22.9451) * CHOOSE(CONTROL!$C$21, $C$9, 100%, $E$9)</f>
        <v>22.9451</v>
      </c>
      <c r="T74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47" s="38">
        <f>(1000*CHOOSE(CONTROL!$C$42, 695, 695)*CHOOSE(CONTROL!$C$42, 0.5599, 0.5599)*CHOOSE(CONTROL!$C$42, 31, 31))/1000000</f>
        <v>12.063045499999998</v>
      </c>
      <c r="V747" s="38">
        <f>(1000*CHOOSE(CONTROL!$C$42, 500, 500)*CHOOSE(CONTROL!$C$42, 0.275, 0.275)*CHOOSE(CONTROL!$C$42, 31, 31))/1000000</f>
        <v>4.2625000000000002</v>
      </c>
      <c r="W747" s="38">
        <f>(1000*CHOOSE(CONTROL!$C$42, 0.1146, 0.1146)*CHOOSE(CONTROL!$C$42, 121.5, 121.5)*CHOOSE(CONTROL!$C$42, 31, 31))/1000000</f>
        <v>0.43164089999999994</v>
      </c>
      <c r="X747" s="38">
        <f>(31*0.1790888*100000/1000000)+(31*0.2374*100000/1000000)</f>
        <v>1.2911152800000001</v>
      </c>
      <c r="Y747" s="38">
        <f>(1000*600*CHOOSE(CONTROL!$C$42, 1.0585, 1.0585)*CHOOSE(CONTROL!$C$42, 31, 31))/1000000</f>
        <v>19.688099999999999</v>
      </c>
      <c r="Z747" s="38"/>
      <c r="AA747" s="10"/>
      <c r="AB747" s="39"/>
      <c r="AC747" s="33">
        <f>(B747*122.58+C747*297.941+D747*89.177+E747*40.302+F747*40+G747*160+H747*0+I747*100+J747*300)/(122.58+297.941+89.177+40.302+0+40+160+100+300)</f>
        <v>23.679772321043476</v>
      </c>
      <c r="AD747" s="27">
        <f>(M747*'RAP TEMPLATE-GAS AVAILABILITY'!O746+N747*'RAP TEMPLATE-GAS AVAILABILITY'!P746+O747*'RAP TEMPLATE-GAS AVAILABILITY'!Q746+P747*'RAP TEMPLATE-GAS AVAILABILITY'!R746)/('RAP TEMPLATE-GAS AVAILABILITY'!O746+'RAP TEMPLATE-GAS AVAILABILITY'!P746+'RAP TEMPLATE-GAS AVAILABILITY'!Q746+'RAP TEMPLATE-GAS AVAILABILITY'!R746)</f>
        <v>23.401546043165467</v>
      </c>
    </row>
    <row r="748" spans="1:30" ht="15.75">
      <c r="A748" s="13">
        <v>64039</v>
      </c>
      <c r="B748" s="10">
        <f>CHOOSE(CONTROL!$C$42, 23.6089, 23.6089) * CHOOSE(CONTROL!$C$21, $C$9, 100%, $E$9)</f>
        <v>23.608899999999998</v>
      </c>
      <c r="C748" s="10">
        <f>CHOOSE(CONTROL!$C$42, 23.6134, 23.6134) * CHOOSE(CONTROL!$C$21, $C$9, 100%, $E$9)</f>
        <v>23.613399999999999</v>
      </c>
      <c r="D748" s="10">
        <f>CHOOSE(CONTROL!$C$42, 23.7735, 23.7735) * CHOOSE(CONTROL!$C$21, $C$9, 100%, $E$9)</f>
        <v>23.773499999999999</v>
      </c>
      <c r="E748" s="10">
        <f>CHOOSE(CONTROL!$C$42, 23.8054, 23.8054) * CHOOSE(CONTROL!$C$21, $C$9, 100%, $E$9)</f>
        <v>23.805399999999999</v>
      </c>
      <c r="F748" s="10">
        <f>CHOOSE(CONTROL!$C$42, 23.555, 23.555)*CHOOSE(CONTROL!$C$21, $C$9, 100%, $E$9)</f>
        <v>23.555</v>
      </c>
      <c r="G748" s="10">
        <f>CHOOSE(CONTROL!$C$42, 23.5708, 23.5708)*CHOOSE(CONTROL!$C$21, $C$9, 100%, $E$9)</f>
        <v>23.570799999999998</v>
      </c>
      <c r="H748" s="10">
        <f>CHOOSE(CONTROL!$C$42, 23.7948, 23.7948) * CHOOSE(CONTROL!$C$21, $C$9, 100%, $E$9)</f>
        <v>23.794799999999999</v>
      </c>
      <c r="I748" s="10">
        <f>CHOOSE(CONTROL!$C$42, 23.589, 23.589)* CHOOSE(CONTROL!$C$21, $C$9, 100%, $E$9)</f>
        <v>23.588999999999999</v>
      </c>
      <c r="J748" s="10">
        <f>CHOOSE(CONTROL!$C$42, 23.5476, 23.5476)* CHOOSE(CONTROL!$C$21, $C$9, 100%, $E$9)</f>
        <v>23.547599999999999</v>
      </c>
      <c r="K748" s="10">
        <f>CHOOSE(CONTROL!$C$42, 23.0132, 23.0132) * CHOOSE(CONTROL!$C$21, $C$9, 100%, $E$9)</f>
        <v>23.013200000000001</v>
      </c>
      <c r="L748" s="10">
        <f>CHOOSE(CONTROL!$C$42, 24.3818, 24.3818) * CHOOSE(CONTROL!$C$21, $C$9, 100%, $E$9)</f>
        <v>24.381799999999998</v>
      </c>
      <c r="M748" s="10">
        <f>CHOOSE(CONTROL!$C$42, 23.2521, 23.2521) * CHOOSE(CONTROL!$C$21, $C$9, 100%, $E$9)</f>
        <v>23.252099999999999</v>
      </c>
      <c r="N748" s="10">
        <f>CHOOSE(CONTROL!$C$42, 23.2677, 23.2677) * CHOOSE(CONTROL!$C$21, $C$9, 100%, $E$9)</f>
        <v>23.267700000000001</v>
      </c>
      <c r="O748" s="10">
        <f>CHOOSE(CONTROL!$C$42, 23.4959, 23.4959) * CHOOSE(CONTROL!$C$21, $C$9, 100%, $E$9)</f>
        <v>23.495899999999999</v>
      </c>
      <c r="P748" s="10">
        <f>CHOOSE(CONTROL!$C$42, 23.293, 23.293) * CHOOSE(CONTROL!$C$21, $C$9, 100%, $E$9)</f>
        <v>23.292999999999999</v>
      </c>
      <c r="Q748" s="10">
        <f>CHOOSE(CONTROL!$C$42, 24.0912, 24.0912) * CHOOSE(CONTROL!$C$21, $C$9, 100%, $E$9)</f>
        <v>24.091200000000001</v>
      </c>
      <c r="R748" s="10">
        <f>CHOOSE(CONTROL!$C$42, 24.7384, 24.7384) * CHOOSE(CONTROL!$C$21, $C$9, 100%, $E$9)</f>
        <v>24.738399999999999</v>
      </c>
      <c r="S748" s="10">
        <f>CHOOSE(CONTROL!$C$42, 22.8764, 22.8764) * CHOOSE(CONTROL!$C$21, $C$9, 100%, $E$9)</f>
        <v>22.8764</v>
      </c>
      <c r="T74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48" s="38">
        <f>(1000*CHOOSE(CONTROL!$C$42, 695, 695)*CHOOSE(CONTROL!$C$42, 0.5599, 0.5599)*CHOOSE(CONTROL!$C$42, 30, 30))/1000000</f>
        <v>11.673914999999997</v>
      </c>
      <c r="V748" s="38">
        <f>(1000*CHOOSE(CONTROL!$C$42, 500, 500)*CHOOSE(CONTROL!$C$42, 0.275, 0.275)*CHOOSE(CONTROL!$C$42, 30, 30))/1000000</f>
        <v>4.125</v>
      </c>
      <c r="W748" s="38">
        <f>(1000*CHOOSE(CONTROL!$C$42, 0.1146, 0.1146)*CHOOSE(CONTROL!$C$42, 121.5, 121.5)*CHOOSE(CONTROL!$C$42, 30, 30))/1000000</f>
        <v>0.417717</v>
      </c>
      <c r="X748" s="38">
        <f>(30*0.1790888*245000/1000000)+(30*0.2374*100000/1000000)</f>
        <v>2.0285026799999999</v>
      </c>
      <c r="Y748" s="38">
        <f>(1000*600*CHOOSE(CONTROL!$C$42, 1.0585, 1.0585)*CHOOSE(CONTROL!$C$42, 30, 30))/1000000</f>
        <v>19.053000000000001</v>
      </c>
      <c r="Z748" s="38"/>
      <c r="AA748" s="10"/>
      <c r="AB748" s="39"/>
      <c r="AC748" s="33">
        <f>(B748*141.293+C748*267.993+D748*115.016+E748*89.698+F748*40+G748*185+H748*0+I748*100+J748*300)/(141.293+267.993+115.016+89.698+0+40+185+100+300)</f>
        <v>23.615501096933009</v>
      </c>
      <c r="AD748" s="27">
        <f>(M748*'RAP TEMPLATE-GAS AVAILABILITY'!O747+N748*'RAP TEMPLATE-GAS AVAILABILITY'!P747+O748*'RAP TEMPLATE-GAS AVAILABILITY'!Q747+P748*'RAP TEMPLATE-GAS AVAILABILITY'!R747)/('RAP TEMPLATE-GAS AVAILABILITY'!O747+'RAP TEMPLATE-GAS AVAILABILITY'!P747+'RAP TEMPLATE-GAS AVAILABILITY'!Q747+'RAP TEMPLATE-GAS AVAILABILITY'!R747)</f>
        <v>23.369382014388488</v>
      </c>
    </row>
    <row r="749" spans="1:30" ht="15.75">
      <c r="A749" s="13">
        <v>64070</v>
      </c>
      <c r="B749" s="10">
        <f>CHOOSE(CONTROL!$C$42, 23.8192, 23.8192) * CHOOSE(CONTROL!$C$21, $C$9, 100%, $E$9)</f>
        <v>23.819199999999999</v>
      </c>
      <c r="C749" s="10">
        <f>CHOOSE(CONTROL!$C$42, 23.8272, 23.8272) * CHOOSE(CONTROL!$C$21, $C$9, 100%, $E$9)</f>
        <v>23.827200000000001</v>
      </c>
      <c r="D749" s="10">
        <f>CHOOSE(CONTROL!$C$42, 23.9843, 23.9843) * CHOOSE(CONTROL!$C$21, $C$9, 100%, $E$9)</f>
        <v>23.984300000000001</v>
      </c>
      <c r="E749" s="10">
        <f>CHOOSE(CONTROL!$C$42, 24.0155, 24.0155) * CHOOSE(CONTROL!$C$21, $C$9, 100%, $E$9)</f>
        <v>24.015499999999999</v>
      </c>
      <c r="F749" s="10">
        <f>CHOOSE(CONTROL!$C$42, 23.7633, 23.7633)*CHOOSE(CONTROL!$C$21, $C$9, 100%, $E$9)</f>
        <v>23.763300000000001</v>
      </c>
      <c r="G749" s="10">
        <f>CHOOSE(CONTROL!$C$42, 23.7795, 23.7795)*CHOOSE(CONTROL!$C$21, $C$9, 100%, $E$9)</f>
        <v>23.779499999999999</v>
      </c>
      <c r="H749" s="10">
        <f>CHOOSE(CONTROL!$C$42, 24.0038, 24.0038) * CHOOSE(CONTROL!$C$21, $C$9, 100%, $E$9)</f>
        <v>24.003799999999998</v>
      </c>
      <c r="I749" s="10">
        <f>CHOOSE(CONTROL!$C$42, 23.798, 23.798)* CHOOSE(CONTROL!$C$21, $C$9, 100%, $E$9)</f>
        <v>23.797999999999998</v>
      </c>
      <c r="J749" s="10">
        <f>CHOOSE(CONTROL!$C$42, 23.7559, 23.7559)* CHOOSE(CONTROL!$C$21, $C$9, 100%, $E$9)</f>
        <v>23.7559</v>
      </c>
      <c r="K749" s="10">
        <f>CHOOSE(CONTROL!$C$42, 23.2143, 23.2143) * CHOOSE(CONTROL!$C$21, $C$9, 100%, $E$9)</f>
        <v>23.214300000000001</v>
      </c>
      <c r="L749" s="10">
        <f>CHOOSE(CONTROL!$C$42, 24.5908, 24.5908) * CHOOSE(CONTROL!$C$21, $C$9, 100%, $E$9)</f>
        <v>24.590800000000002</v>
      </c>
      <c r="M749" s="10">
        <f>CHOOSE(CONTROL!$C$42, 23.4575, 23.4575) * CHOOSE(CONTROL!$C$21, $C$9, 100%, $E$9)</f>
        <v>23.4575</v>
      </c>
      <c r="N749" s="10">
        <f>CHOOSE(CONTROL!$C$42, 23.4734, 23.4734) * CHOOSE(CONTROL!$C$21, $C$9, 100%, $E$9)</f>
        <v>23.473400000000002</v>
      </c>
      <c r="O749" s="10">
        <f>CHOOSE(CONTROL!$C$42, 23.7019, 23.7019) * CHOOSE(CONTROL!$C$21, $C$9, 100%, $E$9)</f>
        <v>23.701899999999998</v>
      </c>
      <c r="P749" s="10">
        <f>CHOOSE(CONTROL!$C$42, 23.4991, 23.4991) * CHOOSE(CONTROL!$C$21, $C$9, 100%, $E$9)</f>
        <v>23.499099999999999</v>
      </c>
      <c r="Q749" s="10">
        <f>CHOOSE(CONTROL!$C$42, 24.2972, 24.2972) * CHOOSE(CONTROL!$C$21, $C$9, 100%, $E$9)</f>
        <v>24.2972</v>
      </c>
      <c r="R749" s="10">
        <f>CHOOSE(CONTROL!$C$42, 24.945, 24.945) * CHOOSE(CONTROL!$C$21, $C$9, 100%, $E$9)</f>
        <v>24.945</v>
      </c>
      <c r="S749" s="10">
        <f>CHOOSE(CONTROL!$C$42, 23.0787, 23.0787) * CHOOSE(CONTROL!$C$21, $C$9, 100%, $E$9)</f>
        <v>23.078700000000001</v>
      </c>
      <c r="T74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49" s="38">
        <f>(1000*CHOOSE(CONTROL!$C$42, 695, 695)*CHOOSE(CONTROL!$C$42, 0.5599, 0.5599)*CHOOSE(CONTROL!$C$42, 31, 31))/1000000</f>
        <v>12.063045499999998</v>
      </c>
      <c r="V749" s="38">
        <f>(1000*CHOOSE(CONTROL!$C$42, 500, 500)*CHOOSE(CONTROL!$C$42, 0.275, 0.275)*CHOOSE(CONTROL!$C$42, 31, 31))/1000000</f>
        <v>4.2625000000000002</v>
      </c>
      <c r="W749" s="38">
        <f>(1000*CHOOSE(CONTROL!$C$42, 0.1146, 0.1146)*CHOOSE(CONTROL!$C$42, 121.5, 121.5)*CHOOSE(CONTROL!$C$42, 31, 31))/1000000</f>
        <v>0.43164089999999994</v>
      </c>
      <c r="X749" s="38">
        <f>(31*0.1790888*245000/1000000)+(31*0.2374*100000/1000000)</f>
        <v>2.0961194359999999</v>
      </c>
      <c r="Y749" s="38">
        <f>(1000*600*CHOOSE(CONTROL!$C$42, 1.0585, 1.0585)*CHOOSE(CONTROL!$C$42, 31, 31))/1000000</f>
        <v>19.688099999999999</v>
      </c>
      <c r="Z749" s="38"/>
      <c r="AA749" s="10"/>
      <c r="AB749" s="39"/>
      <c r="AC749" s="33">
        <f>(B749*194.205+C749*267.466+D749*133.845+E749*53.484+F749*40+G749*185+H749*0+I749*100+J749*300)/(194.205+267.466+133.845+53.484+0+40+185+100+300)</f>
        <v>23.82237578233909</v>
      </c>
      <c r="AD749" s="27">
        <f>(M749*'RAP TEMPLATE-GAS AVAILABILITY'!O748+N749*'RAP TEMPLATE-GAS AVAILABILITY'!P748+O749*'RAP TEMPLATE-GAS AVAILABILITY'!Q748+P749*'RAP TEMPLATE-GAS AVAILABILITY'!R748)/('RAP TEMPLATE-GAS AVAILABILITY'!O748+'RAP TEMPLATE-GAS AVAILABILITY'!P748+'RAP TEMPLATE-GAS AVAILABILITY'!Q748+'RAP TEMPLATE-GAS AVAILABILITY'!R748)</f>
        <v>23.575171942446044</v>
      </c>
    </row>
    <row r="750" spans="1:30" ht="15.75">
      <c r="A750" s="13">
        <v>64100</v>
      </c>
      <c r="B750" s="10">
        <f>CHOOSE(CONTROL!$C$42, 24.4953, 24.4953) * CHOOSE(CONTROL!$C$21, $C$9, 100%, $E$9)</f>
        <v>24.4953</v>
      </c>
      <c r="C750" s="10">
        <f>CHOOSE(CONTROL!$C$42, 24.5033, 24.5033) * CHOOSE(CONTROL!$C$21, $C$9, 100%, $E$9)</f>
        <v>24.503299999999999</v>
      </c>
      <c r="D750" s="10">
        <f>CHOOSE(CONTROL!$C$42, 24.6603, 24.6603) * CHOOSE(CONTROL!$C$21, $C$9, 100%, $E$9)</f>
        <v>24.660299999999999</v>
      </c>
      <c r="E750" s="10">
        <f>CHOOSE(CONTROL!$C$42, 24.6915, 24.6915) * CHOOSE(CONTROL!$C$21, $C$9, 100%, $E$9)</f>
        <v>24.691500000000001</v>
      </c>
      <c r="F750" s="10">
        <f>CHOOSE(CONTROL!$C$42, 24.4396, 24.4396)*CHOOSE(CONTROL!$C$21, $C$9, 100%, $E$9)</f>
        <v>24.439599999999999</v>
      </c>
      <c r="G750" s="10">
        <f>CHOOSE(CONTROL!$C$42, 24.4558, 24.4558)*CHOOSE(CONTROL!$C$21, $C$9, 100%, $E$9)</f>
        <v>24.4558</v>
      </c>
      <c r="H750" s="10">
        <f>CHOOSE(CONTROL!$C$42, 24.6799, 24.6799) * CHOOSE(CONTROL!$C$21, $C$9, 100%, $E$9)</f>
        <v>24.6799</v>
      </c>
      <c r="I750" s="10">
        <f>CHOOSE(CONTROL!$C$42, 24.474, 24.474)* CHOOSE(CONTROL!$C$21, $C$9, 100%, $E$9)</f>
        <v>24.474</v>
      </c>
      <c r="J750" s="10">
        <f>CHOOSE(CONTROL!$C$42, 24.4322, 24.4322)* CHOOSE(CONTROL!$C$21, $C$9, 100%, $E$9)</f>
        <v>24.432200000000002</v>
      </c>
      <c r="K750" s="10">
        <f>CHOOSE(CONTROL!$C$42, 23.8697, 23.8697) * CHOOSE(CONTROL!$C$21, $C$9, 100%, $E$9)</f>
        <v>23.869700000000002</v>
      </c>
      <c r="L750" s="10">
        <f>CHOOSE(CONTROL!$C$42, 25.2669, 25.2669) * CHOOSE(CONTROL!$C$21, $C$9, 100%, $E$9)</f>
        <v>25.2669</v>
      </c>
      <c r="M750" s="10">
        <f>CHOOSE(CONTROL!$C$42, 24.1243, 24.1243) * CHOOSE(CONTROL!$C$21, $C$9, 100%, $E$9)</f>
        <v>24.124300000000002</v>
      </c>
      <c r="N750" s="10">
        <f>CHOOSE(CONTROL!$C$42, 24.1403, 24.1403) * CHOOSE(CONTROL!$C$21, $C$9, 100%, $E$9)</f>
        <v>24.1403</v>
      </c>
      <c r="O750" s="10">
        <f>CHOOSE(CONTROL!$C$42, 24.3686, 24.3686) * CHOOSE(CONTROL!$C$21, $C$9, 100%, $E$9)</f>
        <v>24.368600000000001</v>
      </c>
      <c r="P750" s="10">
        <f>CHOOSE(CONTROL!$C$42, 24.1657, 24.1657) * CHOOSE(CONTROL!$C$21, $C$9, 100%, $E$9)</f>
        <v>24.165700000000001</v>
      </c>
      <c r="Q750" s="10">
        <f>CHOOSE(CONTROL!$C$42, 24.9639, 24.9639) * CHOOSE(CONTROL!$C$21, $C$9, 100%, $E$9)</f>
        <v>24.963899999999999</v>
      </c>
      <c r="R750" s="10">
        <f>CHOOSE(CONTROL!$C$42, 25.6133, 25.6133) * CHOOSE(CONTROL!$C$21, $C$9, 100%, $E$9)</f>
        <v>25.613299999999999</v>
      </c>
      <c r="S750" s="10">
        <f>CHOOSE(CONTROL!$C$42, 23.7334, 23.7334) * CHOOSE(CONTROL!$C$21, $C$9, 100%, $E$9)</f>
        <v>23.7334</v>
      </c>
      <c r="T75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50" s="38">
        <f>(1000*CHOOSE(CONTROL!$C$42, 695, 695)*CHOOSE(CONTROL!$C$42, 0.5599, 0.5599)*CHOOSE(CONTROL!$C$42, 30, 30))/1000000</f>
        <v>11.673914999999997</v>
      </c>
      <c r="V750" s="38">
        <f>(1000*CHOOSE(CONTROL!$C$42, 500, 500)*CHOOSE(CONTROL!$C$42, 0.275, 0.275)*CHOOSE(CONTROL!$C$42, 30, 30))/1000000</f>
        <v>4.125</v>
      </c>
      <c r="W750" s="38">
        <f>(1000*CHOOSE(CONTROL!$C$42, 0.1146, 0.1146)*CHOOSE(CONTROL!$C$42, 121.5, 121.5)*CHOOSE(CONTROL!$C$42, 30, 30))/1000000</f>
        <v>0.417717</v>
      </c>
      <c r="X750" s="38">
        <f>(30*0.1790888*245000/1000000)+(30*0.2374*100000/1000000)</f>
        <v>2.0285026799999999</v>
      </c>
      <c r="Y750" s="38">
        <f>(1000*600*CHOOSE(CONTROL!$C$42, 1.0585, 1.0585)*CHOOSE(CONTROL!$C$42, 30, 30))/1000000</f>
        <v>19.053000000000001</v>
      </c>
      <c r="Z750" s="38"/>
      <c r="AA750" s="10"/>
      <c r="AB750" s="39"/>
      <c r="AC750" s="33">
        <f>(B750*194.205+C750*267.466+D750*133.845+E750*53.484+F750*40+G750*185+H750*0+I750*100+J750*300)/(194.205+267.466+133.845+53.484+0+40+185+100+300)</f>
        <v>24.498535646624806</v>
      </c>
      <c r="AD750" s="27">
        <f>(M750*'RAP TEMPLATE-GAS AVAILABILITY'!O749+N750*'RAP TEMPLATE-GAS AVAILABILITY'!P749+O750*'RAP TEMPLATE-GAS AVAILABILITY'!Q749+P750*'RAP TEMPLATE-GAS AVAILABILITY'!R749)/('RAP TEMPLATE-GAS AVAILABILITY'!O749+'RAP TEMPLATE-GAS AVAILABILITY'!P749+'RAP TEMPLATE-GAS AVAILABILITY'!Q749+'RAP TEMPLATE-GAS AVAILABILITY'!R749)</f>
        <v>24.241903597122302</v>
      </c>
    </row>
    <row r="751" spans="1:30" ht="15.75">
      <c r="A751" s="13">
        <v>64131</v>
      </c>
      <c r="B751" s="10">
        <f>CHOOSE(CONTROL!$C$42, 24.0251, 24.0251) * CHOOSE(CONTROL!$C$21, $C$9, 100%, $E$9)</f>
        <v>24.025099999999998</v>
      </c>
      <c r="C751" s="10">
        <f>CHOOSE(CONTROL!$C$42, 24.0331, 24.0331) * CHOOSE(CONTROL!$C$21, $C$9, 100%, $E$9)</f>
        <v>24.033100000000001</v>
      </c>
      <c r="D751" s="10">
        <f>CHOOSE(CONTROL!$C$42, 24.1901, 24.1901) * CHOOSE(CONTROL!$C$21, $C$9, 100%, $E$9)</f>
        <v>24.190100000000001</v>
      </c>
      <c r="E751" s="10">
        <f>CHOOSE(CONTROL!$C$42, 24.2213, 24.2213) * CHOOSE(CONTROL!$C$21, $C$9, 100%, $E$9)</f>
        <v>24.221299999999999</v>
      </c>
      <c r="F751" s="10">
        <f>CHOOSE(CONTROL!$C$42, 23.9697, 23.9697)*CHOOSE(CONTROL!$C$21, $C$9, 100%, $E$9)</f>
        <v>23.9697</v>
      </c>
      <c r="G751" s="10">
        <f>CHOOSE(CONTROL!$C$42, 23.986, 23.986)*CHOOSE(CONTROL!$C$21, $C$9, 100%, $E$9)</f>
        <v>23.986000000000001</v>
      </c>
      <c r="H751" s="10">
        <f>CHOOSE(CONTROL!$C$42, 24.2097, 24.2097) * CHOOSE(CONTROL!$C$21, $C$9, 100%, $E$9)</f>
        <v>24.209700000000002</v>
      </c>
      <c r="I751" s="10">
        <f>CHOOSE(CONTROL!$C$42, 24.0038, 24.0038)* CHOOSE(CONTROL!$C$21, $C$9, 100%, $E$9)</f>
        <v>24.003799999999998</v>
      </c>
      <c r="J751" s="10">
        <f>CHOOSE(CONTROL!$C$42, 23.9623, 23.9623)* CHOOSE(CONTROL!$C$21, $C$9, 100%, $E$9)</f>
        <v>23.962299999999999</v>
      </c>
      <c r="K751" s="10">
        <f>CHOOSE(CONTROL!$C$42, 23.4148, 23.4148) * CHOOSE(CONTROL!$C$21, $C$9, 100%, $E$9)</f>
        <v>23.4148</v>
      </c>
      <c r="L751" s="10">
        <f>CHOOSE(CONTROL!$C$42, 24.7967, 24.7967) * CHOOSE(CONTROL!$C$21, $C$9, 100%, $E$9)</f>
        <v>24.796700000000001</v>
      </c>
      <c r="M751" s="10">
        <f>CHOOSE(CONTROL!$C$42, 23.661, 23.661) * CHOOSE(CONTROL!$C$21, $C$9, 100%, $E$9)</f>
        <v>23.661000000000001</v>
      </c>
      <c r="N751" s="10">
        <f>CHOOSE(CONTROL!$C$42, 23.6771, 23.6771) * CHOOSE(CONTROL!$C$21, $C$9, 100%, $E$9)</f>
        <v>23.677099999999999</v>
      </c>
      <c r="O751" s="10">
        <f>CHOOSE(CONTROL!$C$42, 23.9049, 23.9049) * CHOOSE(CONTROL!$C$21, $C$9, 100%, $E$9)</f>
        <v>23.904900000000001</v>
      </c>
      <c r="P751" s="10">
        <f>CHOOSE(CONTROL!$C$42, 23.702, 23.702) * CHOOSE(CONTROL!$C$21, $C$9, 100%, $E$9)</f>
        <v>23.702000000000002</v>
      </c>
      <c r="Q751" s="10">
        <f>CHOOSE(CONTROL!$C$42, 24.5002, 24.5002) * CHOOSE(CONTROL!$C$21, $C$9, 100%, $E$9)</f>
        <v>24.5002</v>
      </c>
      <c r="R751" s="10">
        <f>CHOOSE(CONTROL!$C$42, 25.1485, 25.1485) * CHOOSE(CONTROL!$C$21, $C$9, 100%, $E$9)</f>
        <v>25.148499999999999</v>
      </c>
      <c r="S751" s="10">
        <f>CHOOSE(CONTROL!$C$42, 23.2781, 23.2781) * CHOOSE(CONTROL!$C$21, $C$9, 100%, $E$9)</f>
        <v>23.278099999999998</v>
      </c>
      <c r="T75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51" s="38">
        <f>(1000*CHOOSE(CONTROL!$C$42, 695, 695)*CHOOSE(CONTROL!$C$42, 0.5599, 0.5599)*CHOOSE(CONTROL!$C$42, 31, 31))/1000000</f>
        <v>12.063045499999998</v>
      </c>
      <c r="V751" s="38">
        <f>(1000*CHOOSE(CONTROL!$C$42, 500, 500)*CHOOSE(CONTROL!$C$42, 0.275, 0.275)*CHOOSE(CONTROL!$C$42, 31, 31))/1000000</f>
        <v>4.2625000000000002</v>
      </c>
      <c r="W751" s="38">
        <f>(1000*CHOOSE(CONTROL!$C$42, 0.1146, 0.1146)*CHOOSE(CONTROL!$C$42, 121.5, 121.5)*CHOOSE(CONTROL!$C$42, 31, 31))/1000000</f>
        <v>0.43164089999999994</v>
      </c>
      <c r="X751" s="38">
        <f>(31*0.1790888*245000/1000000)+(31*0.2374*100000/1000000)</f>
        <v>2.0961194359999999</v>
      </c>
      <c r="Y751" s="38">
        <f>(1000*600*CHOOSE(CONTROL!$C$42, 1.0585, 1.0585)*CHOOSE(CONTROL!$C$42, 31, 31))/1000000</f>
        <v>19.688099999999999</v>
      </c>
      <c r="Z751" s="38"/>
      <c r="AA751" s="10"/>
      <c r="AB751" s="39"/>
      <c r="AC751" s="33">
        <f>(B751*194.205+C751*267.466+D751*133.845+E751*53.484+F751*40+G751*185+H751*0+I751*100+J751*300)/(194.205+267.466+133.845+53.484+0+40+185+100+300)</f>
        <v>24.028473794191523</v>
      </c>
      <c r="AD751" s="27">
        <f>(M751*'RAP TEMPLATE-GAS AVAILABILITY'!O750+N751*'RAP TEMPLATE-GAS AVAILABILITY'!P750+O751*'RAP TEMPLATE-GAS AVAILABILITY'!Q750+P751*'RAP TEMPLATE-GAS AVAILABILITY'!R750)/('RAP TEMPLATE-GAS AVAILABILITY'!O750+'RAP TEMPLATE-GAS AVAILABILITY'!P750+'RAP TEMPLATE-GAS AVAILABILITY'!Q750+'RAP TEMPLATE-GAS AVAILABILITY'!R750)</f>
        <v>23.778370503597127</v>
      </c>
    </row>
    <row r="752" spans="1:30" ht="15.75">
      <c r="A752" s="13">
        <v>64162</v>
      </c>
      <c r="B752" s="10">
        <f>CHOOSE(CONTROL!$C$42, 22.8377, 22.8377) * CHOOSE(CONTROL!$C$21, $C$9, 100%, $E$9)</f>
        <v>22.837700000000002</v>
      </c>
      <c r="C752" s="10">
        <f>CHOOSE(CONTROL!$C$42, 22.8457, 22.8457) * CHOOSE(CONTROL!$C$21, $C$9, 100%, $E$9)</f>
        <v>22.845700000000001</v>
      </c>
      <c r="D752" s="10">
        <f>CHOOSE(CONTROL!$C$42, 23.0027, 23.0027) * CHOOSE(CONTROL!$C$21, $C$9, 100%, $E$9)</f>
        <v>23.002700000000001</v>
      </c>
      <c r="E752" s="10">
        <f>CHOOSE(CONTROL!$C$42, 23.0339, 23.0339) * CHOOSE(CONTROL!$C$21, $C$9, 100%, $E$9)</f>
        <v>23.033899999999999</v>
      </c>
      <c r="F752" s="10">
        <f>CHOOSE(CONTROL!$C$42, 22.7822, 22.7822)*CHOOSE(CONTROL!$C$21, $C$9, 100%, $E$9)</f>
        <v>22.7822</v>
      </c>
      <c r="G752" s="10">
        <f>CHOOSE(CONTROL!$C$42, 22.7985, 22.7985)*CHOOSE(CONTROL!$C$21, $C$9, 100%, $E$9)</f>
        <v>22.798500000000001</v>
      </c>
      <c r="H752" s="10">
        <f>CHOOSE(CONTROL!$C$42, 23.0223, 23.0223) * CHOOSE(CONTROL!$C$21, $C$9, 100%, $E$9)</f>
        <v>23.022300000000001</v>
      </c>
      <c r="I752" s="10">
        <f>CHOOSE(CONTROL!$C$42, 22.8164, 22.8164)* CHOOSE(CONTROL!$C$21, $C$9, 100%, $E$9)</f>
        <v>22.816400000000002</v>
      </c>
      <c r="J752" s="10">
        <f>CHOOSE(CONTROL!$C$42, 22.7748, 22.7748)* CHOOSE(CONTROL!$C$21, $C$9, 100%, $E$9)</f>
        <v>22.774799999999999</v>
      </c>
      <c r="K752" s="10">
        <f>CHOOSE(CONTROL!$C$42, 22.2644, 22.2644) * CHOOSE(CONTROL!$C$21, $C$9, 100%, $E$9)</f>
        <v>22.264399999999998</v>
      </c>
      <c r="L752" s="10">
        <f>CHOOSE(CONTROL!$C$42, 23.6093, 23.6093) * CHOOSE(CONTROL!$C$21, $C$9, 100%, $E$9)</f>
        <v>23.609300000000001</v>
      </c>
      <c r="M752" s="10">
        <f>CHOOSE(CONTROL!$C$42, 22.4901, 22.4901) * CHOOSE(CONTROL!$C$21, $C$9, 100%, $E$9)</f>
        <v>22.490100000000002</v>
      </c>
      <c r="N752" s="10">
        <f>CHOOSE(CONTROL!$C$42, 22.5061, 22.5061) * CHOOSE(CONTROL!$C$21, $C$9, 100%, $E$9)</f>
        <v>22.5061</v>
      </c>
      <c r="O752" s="10">
        <f>CHOOSE(CONTROL!$C$42, 22.7341, 22.7341) * CHOOSE(CONTROL!$C$21, $C$9, 100%, $E$9)</f>
        <v>22.734100000000002</v>
      </c>
      <c r="P752" s="10">
        <f>CHOOSE(CONTROL!$C$42, 22.5312, 22.5312) * CHOOSE(CONTROL!$C$21, $C$9, 100%, $E$9)</f>
        <v>22.531199999999998</v>
      </c>
      <c r="Q752" s="10">
        <f>CHOOSE(CONTROL!$C$42, 23.3294, 23.3294) * CHOOSE(CONTROL!$C$21, $C$9, 100%, $E$9)</f>
        <v>23.3294</v>
      </c>
      <c r="R752" s="10">
        <f>CHOOSE(CONTROL!$C$42, 23.9747, 23.9747) * CHOOSE(CONTROL!$C$21, $C$9, 100%, $E$9)</f>
        <v>23.974699999999999</v>
      </c>
      <c r="S752" s="10">
        <f>CHOOSE(CONTROL!$C$42, 22.1283, 22.1283) * CHOOSE(CONTROL!$C$21, $C$9, 100%, $E$9)</f>
        <v>22.128299999999999</v>
      </c>
      <c r="T75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52" s="38">
        <f>(1000*CHOOSE(CONTROL!$C$42, 695, 695)*CHOOSE(CONTROL!$C$42, 0.5599, 0.5599)*CHOOSE(CONTROL!$C$42, 31, 31))/1000000</f>
        <v>12.063045499999998</v>
      </c>
      <c r="V752" s="38">
        <f>(1000*CHOOSE(CONTROL!$C$42, 500, 500)*CHOOSE(CONTROL!$C$42, 0.275, 0.275)*CHOOSE(CONTROL!$C$42, 31, 31))/1000000</f>
        <v>4.2625000000000002</v>
      </c>
      <c r="W752" s="38">
        <f>(1000*CHOOSE(CONTROL!$C$42, 0.1146, 0.1146)*CHOOSE(CONTROL!$C$42, 121.5, 121.5)*CHOOSE(CONTROL!$C$42, 31, 31))/1000000</f>
        <v>0.43164089999999994</v>
      </c>
      <c r="X752" s="38">
        <f>(31*0.1790888*245000/1000000)+(31*0.2374*100000/1000000)</f>
        <v>2.0961194359999999</v>
      </c>
      <c r="Y752" s="38">
        <f>(1000*600*CHOOSE(CONTROL!$C$42, 1.0585, 1.0585)*CHOOSE(CONTROL!$C$42, 31, 31))/1000000</f>
        <v>19.688099999999999</v>
      </c>
      <c r="Z752" s="38"/>
      <c r="AA752" s="10"/>
      <c r="AB752" s="39"/>
      <c r="AC752" s="33">
        <f>(B752*194.205+C752*267.466+D752*133.845+E752*53.484+F752*40+G752*185+H752*0+I752*100+J752*300)/(194.205+267.466+133.845+53.484+0+40+185+100+300)</f>
        <v>22.841032585400313</v>
      </c>
      <c r="AD752" s="27">
        <f>(M752*'RAP TEMPLATE-GAS AVAILABILITY'!O751+N752*'RAP TEMPLATE-GAS AVAILABILITY'!P751+O752*'RAP TEMPLATE-GAS AVAILABILITY'!Q751+P752*'RAP TEMPLATE-GAS AVAILABILITY'!R751)/('RAP TEMPLATE-GAS AVAILABILITY'!O751+'RAP TEMPLATE-GAS AVAILABILITY'!P751+'RAP TEMPLATE-GAS AVAILABILITY'!Q751+'RAP TEMPLATE-GAS AVAILABILITY'!R751)</f>
        <v>22.607524460431655</v>
      </c>
    </row>
    <row r="753" spans="1:30" ht="15.75">
      <c r="A753" s="13">
        <v>64192</v>
      </c>
      <c r="B753" s="10">
        <f>CHOOSE(CONTROL!$C$42, 21.3869, 21.3869) * CHOOSE(CONTROL!$C$21, $C$9, 100%, $E$9)</f>
        <v>21.386900000000001</v>
      </c>
      <c r="C753" s="10">
        <f>CHOOSE(CONTROL!$C$42, 21.3949, 21.3949) * CHOOSE(CONTROL!$C$21, $C$9, 100%, $E$9)</f>
        <v>21.3949</v>
      </c>
      <c r="D753" s="10">
        <f>CHOOSE(CONTROL!$C$42, 21.5519, 21.5519) * CHOOSE(CONTROL!$C$21, $C$9, 100%, $E$9)</f>
        <v>21.5519</v>
      </c>
      <c r="E753" s="10">
        <f>CHOOSE(CONTROL!$C$42, 21.5831, 21.5831) * CHOOSE(CONTROL!$C$21, $C$9, 100%, $E$9)</f>
        <v>21.583100000000002</v>
      </c>
      <c r="F753" s="10">
        <f>CHOOSE(CONTROL!$C$42, 21.3312, 21.3312)*CHOOSE(CONTROL!$C$21, $C$9, 100%, $E$9)</f>
        <v>21.331199999999999</v>
      </c>
      <c r="G753" s="10">
        <f>CHOOSE(CONTROL!$C$42, 21.3474, 21.3474)*CHOOSE(CONTROL!$C$21, $C$9, 100%, $E$9)</f>
        <v>21.3474</v>
      </c>
      <c r="H753" s="10">
        <f>CHOOSE(CONTROL!$C$42, 21.5715, 21.5715) * CHOOSE(CONTROL!$C$21, $C$9, 100%, $E$9)</f>
        <v>21.5715</v>
      </c>
      <c r="I753" s="10">
        <f>CHOOSE(CONTROL!$C$42, 21.3657, 21.3657)* CHOOSE(CONTROL!$C$21, $C$9, 100%, $E$9)</f>
        <v>21.3657</v>
      </c>
      <c r="J753" s="10">
        <f>CHOOSE(CONTROL!$C$42, 21.3238, 21.3238)* CHOOSE(CONTROL!$C$21, $C$9, 100%, $E$9)</f>
        <v>21.323799999999999</v>
      </c>
      <c r="K753" s="10">
        <f>CHOOSE(CONTROL!$C$42, 20.8584, 20.8584) * CHOOSE(CONTROL!$C$21, $C$9, 100%, $E$9)</f>
        <v>20.8584</v>
      </c>
      <c r="L753" s="10">
        <f>CHOOSE(CONTROL!$C$42, 22.1585, 22.1585) * CHOOSE(CONTROL!$C$21, $C$9, 100%, $E$9)</f>
        <v>22.1585</v>
      </c>
      <c r="M753" s="10">
        <f>CHOOSE(CONTROL!$C$42, 21.0594, 21.0594) * CHOOSE(CONTROL!$C$21, $C$9, 100%, $E$9)</f>
        <v>21.0594</v>
      </c>
      <c r="N753" s="10">
        <f>CHOOSE(CONTROL!$C$42, 21.0753, 21.0753) * CHOOSE(CONTROL!$C$21, $C$9, 100%, $E$9)</f>
        <v>21.075299999999999</v>
      </c>
      <c r="O753" s="10">
        <f>CHOOSE(CONTROL!$C$42, 21.3036, 21.3036) * CHOOSE(CONTROL!$C$21, $C$9, 100%, $E$9)</f>
        <v>21.303599999999999</v>
      </c>
      <c r="P753" s="10">
        <f>CHOOSE(CONTROL!$C$42, 21.1007, 21.1007) * CHOOSE(CONTROL!$C$21, $C$9, 100%, $E$9)</f>
        <v>21.1007</v>
      </c>
      <c r="Q753" s="10">
        <f>CHOOSE(CONTROL!$C$42, 21.8989, 21.8989) * CHOOSE(CONTROL!$C$21, $C$9, 100%, $E$9)</f>
        <v>21.898900000000001</v>
      </c>
      <c r="R753" s="10">
        <f>CHOOSE(CONTROL!$C$42, 22.5406, 22.5406) * CHOOSE(CONTROL!$C$21, $C$9, 100%, $E$9)</f>
        <v>22.540600000000001</v>
      </c>
      <c r="S753" s="10">
        <f>CHOOSE(CONTROL!$C$42, 20.7235, 20.7235) * CHOOSE(CONTROL!$C$21, $C$9, 100%, $E$9)</f>
        <v>20.723500000000001</v>
      </c>
      <c r="T75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53" s="38">
        <f>(1000*CHOOSE(CONTROL!$C$42, 695, 695)*CHOOSE(CONTROL!$C$42, 0.5599, 0.5599)*CHOOSE(CONTROL!$C$42, 30, 30))/1000000</f>
        <v>11.673914999999997</v>
      </c>
      <c r="V753" s="38">
        <f>(1000*CHOOSE(CONTROL!$C$42, 500, 500)*CHOOSE(CONTROL!$C$42, 0.275, 0.275)*CHOOSE(CONTROL!$C$42, 30, 30))/1000000</f>
        <v>4.125</v>
      </c>
      <c r="W753" s="38">
        <f>(1000*CHOOSE(CONTROL!$C$42, 0.1146, 0.1146)*CHOOSE(CONTROL!$C$42, 121.5, 121.5)*CHOOSE(CONTROL!$C$42, 30, 30))/1000000</f>
        <v>0.417717</v>
      </c>
      <c r="X753" s="38">
        <f>(30*0.1790888*245000/1000000)+(30*0.2374*100000/1000000)</f>
        <v>2.0285026799999999</v>
      </c>
      <c r="Y753" s="38">
        <f>(1000*600*CHOOSE(CONTROL!$C$42, 1.0585, 1.0585)*CHOOSE(CONTROL!$C$42, 30, 30))/1000000</f>
        <v>19.053000000000001</v>
      </c>
      <c r="Z753" s="38"/>
      <c r="AA753" s="10"/>
      <c r="AB753" s="39"/>
      <c r="AC753" s="33">
        <f>(B753*194.205+C753*267.466+D753*133.845+E753*53.484+F753*40+G753*185+H753*0+I753*100+J753*300)/(194.205+267.466+133.845+53.484+0+40+185+100+300)</f>
        <v>21.390143495918366</v>
      </c>
      <c r="AD753" s="27">
        <f>(M753*'RAP TEMPLATE-GAS AVAILABILITY'!O752+N753*'RAP TEMPLATE-GAS AVAILABILITY'!P752+O753*'RAP TEMPLATE-GAS AVAILABILITY'!Q752+P753*'RAP TEMPLATE-GAS AVAILABILITY'!R752)/('RAP TEMPLATE-GAS AVAILABILITY'!O752+'RAP TEMPLATE-GAS AVAILABILITY'!P752+'RAP TEMPLATE-GAS AVAILABILITY'!Q752+'RAP TEMPLATE-GAS AVAILABILITY'!R752)</f>
        <v>21.176938129496403</v>
      </c>
    </row>
    <row r="754" spans="1:30" ht="15.75">
      <c r="A754" s="13">
        <v>64223</v>
      </c>
      <c r="B754" s="10">
        <f>CHOOSE(CONTROL!$C$42, 20.9502, 20.9502) * CHOOSE(CONTROL!$C$21, $C$9, 100%, $E$9)</f>
        <v>20.950199999999999</v>
      </c>
      <c r="C754" s="10">
        <f>CHOOSE(CONTROL!$C$42, 20.9555, 20.9555) * CHOOSE(CONTROL!$C$21, $C$9, 100%, $E$9)</f>
        <v>20.955500000000001</v>
      </c>
      <c r="D754" s="10">
        <f>CHOOSE(CONTROL!$C$42, 21.1174, 21.1174) * CHOOSE(CONTROL!$C$21, $C$9, 100%, $E$9)</f>
        <v>21.1174</v>
      </c>
      <c r="E754" s="10">
        <f>CHOOSE(CONTROL!$C$42, 21.1464, 21.1464) * CHOOSE(CONTROL!$C$21, $C$9, 100%, $E$9)</f>
        <v>21.1464</v>
      </c>
      <c r="F754" s="10">
        <f>CHOOSE(CONTROL!$C$42, 20.8966, 20.8966)*CHOOSE(CONTROL!$C$21, $C$9, 100%, $E$9)</f>
        <v>20.896599999999999</v>
      </c>
      <c r="G754" s="10">
        <f>CHOOSE(CONTROL!$C$42, 20.9124, 20.9124)*CHOOSE(CONTROL!$C$21, $C$9, 100%, $E$9)</f>
        <v>20.912400000000002</v>
      </c>
      <c r="H754" s="10">
        <f>CHOOSE(CONTROL!$C$42, 21.1365, 21.1365) * CHOOSE(CONTROL!$C$21, $C$9, 100%, $E$9)</f>
        <v>21.136500000000002</v>
      </c>
      <c r="I754" s="10">
        <f>CHOOSE(CONTROL!$C$42, 20.9307, 20.9307)* CHOOSE(CONTROL!$C$21, $C$9, 100%, $E$9)</f>
        <v>20.930700000000002</v>
      </c>
      <c r="J754" s="10">
        <f>CHOOSE(CONTROL!$C$42, 20.8892, 20.8892)* CHOOSE(CONTROL!$C$21, $C$9, 100%, $E$9)</f>
        <v>20.889199999999999</v>
      </c>
      <c r="K754" s="10">
        <f>CHOOSE(CONTROL!$C$42, 20.4377, 20.4377) * CHOOSE(CONTROL!$C$21, $C$9, 100%, $E$9)</f>
        <v>20.4377</v>
      </c>
      <c r="L754" s="10">
        <f>CHOOSE(CONTROL!$C$42, 21.7235, 21.7235) * CHOOSE(CONTROL!$C$21, $C$9, 100%, $E$9)</f>
        <v>21.723500000000001</v>
      </c>
      <c r="M754" s="10">
        <f>CHOOSE(CONTROL!$C$42, 20.6308, 20.6308) * CHOOSE(CONTROL!$C$21, $C$9, 100%, $E$9)</f>
        <v>20.630800000000001</v>
      </c>
      <c r="N754" s="10">
        <f>CHOOSE(CONTROL!$C$42, 20.6464, 20.6464) * CHOOSE(CONTROL!$C$21, $C$9, 100%, $E$9)</f>
        <v>20.6464</v>
      </c>
      <c r="O754" s="10">
        <f>CHOOSE(CONTROL!$C$42, 20.8746, 20.8746) * CHOOSE(CONTROL!$C$21, $C$9, 100%, $E$9)</f>
        <v>20.874600000000001</v>
      </c>
      <c r="P754" s="10">
        <f>CHOOSE(CONTROL!$C$42, 20.6718, 20.6718) * CHOOSE(CONTROL!$C$21, $C$9, 100%, $E$9)</f>
        <v>20.671800000000001</v>
      </c>
      <c r="Q754" s="10">
        <f>CHOOSE(CONTROL!$C$42, 21.4699, 21.4699) * CHOOSE(CONTROL!$C$21, $C$9, 100%, $E$9)</f>
        <v>21.469899999999999</v>
      </c>
      <c r="R754" s="10">
        <f>CHOOSE(CONTROL!$C$42, 22.1106, 22.1106) * CHOOSE(CONTROL!$C$21, $C$9, 100%, $E$9)</f>
        <v>22.110600000000002</v>
      </c>
      <c r="S754" s="10">
        <f>CHOOSE(CONTROL!$C$42, 20.3023, 20.3023) * CHOOSE(CONTROL!$C$21, $C$9, 100%, $E$9)</f>
        <v>20.302299999999999</v>
      </c>
      <c r="T75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54" s="38">
        <f>(1000*CHOOSE(CONTROL!$C$42, 695, 695)*CHOOSE(CONTROL!$C$42, 0.5599, 0.5599)*CHOOSE(CONTROL!$C$42, 31, 31))/1000000</f>
        <v>12.063045499999998</v>
      </c>
      <c r="V754" s="38">
        <f>(1000*CHOOSE(CONTROL!$C$42, 500, 500)*CHOOSE(CONTROL!$C$42, 0.275, 0.275)*CHOOSE(CONTROL!$C$42, 31, 31))/1000000</f>
        <v>4.2625000000000002</v>
      </c>
      <c r="W754" s="38">
        <f>(1000*CHOOSE(CONTROL!$C$42, 0.1146, 0.1146)*CHOOSE(CONTROL!$C$42, 121.5, 121.5)*CHOOSE(CONTROL!$C$42, 31, 31))/1000000</f>
        <v>0.43164089999999994</v>
      </c>
      <c r="X754" s="38">
        <f>(31*0.1790888*245000/1000000)+(31*0.2374*100000/1000000)</f>
        <v>2.0961194359999999</v>
      </c>
      <c r="Y754" s="38">
        <f>(1000*600*CHOOSE(CONTROL!$C$42, 1.0585, 1.0585)*CHOOSE(CONTROL!$C$42, 31, 31))/1000000</f>
        <v>19.688099999999999</v>
      </c>
      <c r="Z754" s="38"/>
      <c r="AA754" s="10"/>
      <c r="AB754" s="39"/>
      <c r="AC754" s="33">
        <f>(B754*131.881+C754*277.167+D754*79.08+E754*125.872+F754*40+G754*185+H754*0+I754*100+J754*300)/(131.881+277.167+79.08+125.872+0+40+185+100+300)</f>
        <v>20.958271224778048</v>
      </c>
      <c r="AD754" s="27">
        <f>(M754*'RAP TEMPLATE-GAS AVAILABILITY'!O753+N754*'RAP TEMPLATE-GAS AVAILABILITY'!P753+O754*'RAP TEMPLATE-GAS AVAILABILITY'!Q753+P754*'RAP TEMPLATE-GAS AVAILABILITY'!R753)/('RAP TEMPLATE-GAS AVAILABILITY'!O753+'RAP TEMPLATE-GAS AVAILABILITY'!P753+'RAP TEMPLATE-GAS AVAILABILITY'!Q753+'RAP TEMPLATE-GAS AVAILABILITY'!R753)</f>
        <v>20.748096402877696</v>
      </c>
    </row>
    <row r="755" spans="1:30" ht="15.75">
      <c r="A755" s="13">
        <v>64253</v>
      </c>
      <c r="B755" s="10">
        <f>CHOOSE(CONTROL!$C$42, 21.5021, 21.5021) * CHOOSE(CONTROL!$C$21, $C$9, 100%, $E$9)</f>
        <v>21.502099999999999</v>
      </c>
      <c r="C755" s="10">
        <f>CHOOSE(CONTROL!$C$42, 21.5072, 21.5072) * CHOOSE(CONTROL!$C$21, $C$9, 100%, $E$9)</f>
        <v>21.507200000000001</v>
      </c>
      <c r="D755" s="10">
        <f>CHOOSE(CONTROL!$C$42, 21.5319, 21.5319) * CHOOSE(CONTROL!$C$21, $C$9, 100%, $E$9)</f>
        <v>21.5319</v>
      </c>
      <c r="E755" s="10">
        <f>CHOOSE(CONTROL!$C$42, 21.5657, 21.5657) * CHOOSE(CONTROL!$C$21, $C$9, 100%, $E$9)</f>
        <v>21.5657</v>
      </c>
      <c r="F755" s="10">
        <f>CHOOSE(CONTROL!$C$42, 21.4704, 21.4704)*CHOOSE(CONTROL!$C$21, $C$9, 100%, $E$9)</f>
        <v>21.470400000000001</v>
      </c>
      <c r="G755" s="10">
        <f>CHOOSE(CONTROL!$C$42, 21.4865, 21.4865)*CHOOSE(CONTROL!$C$21, $C$9, 100%, $E$9)</f>
        <v>21.486499999999999</v>
      </c>
      <c r="H755" s="10">
        <f>CHOOSE(CONTROL!$C$42, 21.5546, 21.5546) * CHOOSE(CONTROL!$C$21, $C$9, 100%, $E$9)</f>
        <v>21.554600000000001</v>
      </c>
      <c r="I755" s="10">
        <f>CHOOSE(CONTROL!$C$42, 21.5171, 21.5171)* CHOOSE(CONTROL!$C$21, $C$9, 100%, $E$9)</f>
        <v>21.517099999999999</v>
      </c>
      <c r="J755" s="10">
        <f>CHOOSE(CONTROL!$C$42, 21.463, 21.463)* CHOOSE(CONTROL!$C$21, $C$9, 100%, $E$9)</f>
        <v>21.463000000000001</v>
      </c>
      <c r="K755" s="10">
        <f>CHOOSE(CONTROL!$C$42, 21.008, 21.008) * CHOOSE(CONTROL!$C$21, $C$9, 100%, $E$9)</f>
        <v>21.007999999999999</v>
      </c>
      <c r="L755" s="10">
        <f>CHOOSE(CONTROL!$C$42, 22.1416, 22.1416) * CHOOSE(CONTROL!$C$21, $C$9, 100%, $E$9)</f>
        <v>22.1416</v>
      </c>
      <c r="M755" s="10">
        <f>CHOOSE(CONTROL!$C$42, 21.1966, 21.1966) * CHOOSE(CONTROL!$C$21, $C$9, 100%, $E$9)</f>
        <v>21.1966</v>
      </c>
      <c r="N755" s="10">
        <f>CHOOSE(CONTROL!$C$42, 21.2124, 21.2124) * CHOOSE(CONTROL!$C$21, $C$9, 100%, $E$9)</f>
        <v>21.212399999999999</v>
      </c>
      <c r="O755" s="10">
        <f>CHOOSE(CONTROL!$C$42, 21.2869, 21.2869) * CHOOSE(CONTROL!$C$21, $C$9, 100%, $E$9)</f>
        <v>21.286899999999999</v>
      </c>
      <c r="P755" s="10">
        <f>CHOOSE(CONTROL!$C$42, 21.25, 21.25) * CHOOSE(CONTROL!$C$21, $C$9, 100%, $E$9)</f>
        <v>21.25</v>
      </c>
      <c r="Q755" s="10">
        <f>CHOOSE(CONTROL!$C$42, 21.8822, 21.8822) * CHOOSE(CONTROL!$C$21, $C$9, 100%, $E$9)</f>
        <v>21.882200000000001</v>
      </c>
      <c r="R755" s="10">
        <f>CHOOSE(CONTROL!$C$42, 22.5239, 22.5239) * CHOOSE(CONTROL!$C$21, $C$9, 100%, $E$9)</f>
        <v>22.523900000000001</v>
      </c>
      <c r="S755" s="10">
        <f>CHOOSE(CONTROL!$C$42, 20.8372, 20.8372) * CHOOSE(CONTROL!$C$21, $C$9, 100%, $E$9)</f>
        <v>20.837199999999999</v>
      </c>
      <c r="T75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55" s="38">
        <f>(1000*CHOOSE(CONTROL!$C$42, 695, 695)*CHOOSE(CONTROL!$C$42, 0.5599, 0.5599)*CHOOSE(CONTROL!$C$42, 30, 30))/1000000</f>
        <v>11.673914999999997</v>
      </c>
      <c r="V755" s="38">
        <f>(1000*CHOOSE(CONTROL!$C$42, 500, 500)*CHOOSE(CONTROL!$C$42, 0.275, 0.275)*CHOOSE(CONTROL!$C$42, 30, 30))/1000000</f>
        <v>4.125</v>
      </c>
      <c r="W755" s="38">
        <f>(1000*CHOOSE(CONTROL!$C$42, 0.1146, 0.1146)*CHOOSE(CONTROL!$C$42, 121.5, 121.5)*CHOOSE(CONTROL!$C$42, 30, 30))/1000000</f>
        <v>0.417717</v>
      </c>
      <c r="X755" s="38">
        <f>(30*0.1790888*100000/1000000)+(30*0.2374*100000/1000000)</f>
        <v>1.2494664</v>
      </c>
      <c r="Y755" s="38">
        <f>(1000*600*CHOOSE(CONTROL!$C$42, 1.0585, 1.0585)*CHOOSE(CONTROL!$C$42, 30, 30))/1000000</f>
        <v>19.053000000000001</v>
      </c>
      <c r="Z755" s="38"/>
      <c r="AA755" s="10"/>
      <c r="AB755" s="39"/>
      <c r="AC755" s="33">
        <f>(B755*122.58+C755*297.941+D755*89.177+E755*40.302+F755*40+G755*160+H755*0+I755*100+J755*300)/(122.58+297.941+89.177+40.302+0+40+160+100+300)</f>
        <v>21.495792331217395</v>
      </c>
      <c r="AD755" s="27">
        <f>(M755*'RAP TEMPLATE-GAS AVAILABILITY'!O754+N755*'RAP TEMPLATE-GAS AVAILABILITY'!P754+O755*'RAP TEMPLATE-GAS AVAILABILITY'!Q754+P755*'RAP TEMPLATE-GAS AVAILABILITY'!R754)/('RAP TEMPLATE-GAS AVAILABILITY'!O754+'RAP TEMPLATE-GAS AVAILABILITY'!P754+'RAP TEMPLATE-GAS AVAILABILITY'!Q754+'RAP TEMPLATE-GAS AVAILABILITY'!R754)</f>
        <v>21.246120143884891</v>
      </c>
    </row>
    <row r="756" spans="1:30" ht="15.75">
      <c r="A756" s="13">
        <v>64284</v>
      </c>
      <c r="B756" s="10">
        <f>CHOOSE(CONTROL!$C$42, 22.9692, 22.9692) * CHOOSE(CONTROL!$C$21, $C$9, 100%, $E$9)</f>
        <v>22.969200000000001</v>
      </c>
      <c r="C756" s="10">
        <f>CHOOSE(CONTROL!$C$42, 22.9743, 22.9743) * CHOOSE(CONTROL!$C$21, $C$9, 100%, $E$9)</f>
        <v>22.974299999999999</v>
      </c>
      <c r="D756" s="10">
        <f>CHOOSE(CONTROL!$C$42, 22.999, 22.999) * CHOOSE(CONTROL!$C$21, $C$9, 100%, $E$9)</f>
        <v>22.998999999999999</v>
      </c>
      <c r="E756" s="10">
        <f>CHOOSE(CONTROL!$C$42, 23.0328, 23.0328) * CHOOSE(CONTROL!$C$21, $C$9, 100%, $E$9)</f>
        <v>23.032800000000002</v>
      </c>
      <c r="F756" s="10">
        <f>CHOOSE(CONTROL!$C$42, 22.9395, 22.9395)*CHOOSE(CONTROL!$C$21, $C$9, 100%, $E$9)</f>
        <v>22.939499999999999</v>
      </c>
      <c r="G756" s="10">
        <f>CHOOSE(CONTROL!$C$42, 22.956, 22.956)*CHOOSE(CONTROL!$C$21, $C$9, 100%, $E$9)</f>
        <v>22.956</v>
      </c>
      <c r="H756" s="10">
        <f>CHOOSE(CONTROL!$C$42, 23.0217, 23.0217) * CHOOSE(CONTROL!$C$21, $C$9, 100%, $E$9)</f>
        <v>23.021699999999999</v>
      </c>
      <c r="I756" s="10">
        <f>CHOOSE(CONTROL!$C$42, 22.9842, 22.9842)* CHOOSE(CONTROL!$C$21, $C$9, 100%, $E$9)</f>
        <v>22.984200000000001</v>
      </c>
      <c r="J756" s="10">
        <f>CHOOSE(CONTROL!$C$42, 22.9321, 22.9321)* CHOOSE(CONTROL!$C$21, $C$9, 100%, $E$9)</f>
        <v>22.932099999999998</v>
      </c>
      <c r="K756" s="10">
        <f>CHOOSE(CONTROL!$C$42, 22.4334, 22.4334) * CHOOSE(CONTROL!$C$21, $C$9, 100%, $E$9)</f>
        <v>22.433399999999999</v>
      </c>
      <c r="L756" s="10">
        <f>CHOOSE(CONTROL!$C$42, 23.6087, 23.6087) * CHOOSE(CONTROL!$C$21, $C$9, 100%, $E$9)</f>
        <v>23.608699999999999</v>
      </c>
      <c r="M756" s="10">
        <f>CHOOSE(CONTROL!$C$42, 22.6452, 22.6452) * CHOOSE(CONTROL!$C$21, $C$9, 100%, $E$9)</f>
        <v>22.645199999999999</v>
      </c>
      <c r="N756" s="10">
        <f>CHOOSE(CONTROL!$C$42, 22.6614, 22.6614) * CHOOSE(CONTROL!$C$21, $C$9, 100%, $E$9)</f>
        <v>22.6614</v>
      </c>
      <c r="O756" s="10">
        <f>CHOOSE(CONTROL!$C$42, 22.7335, 22.7335) * CHOOSE(CONTROL!$C$21, $C$9, 100%, $E$9)</f>
        <v>22.733499999999999</v>
      </c>
      <c r="P756" s="10">
        <f>CHOOSE(CONTROL!$C$42, 22.6966, 22.6966) * CHOOSE(CONTROL!$C$21, $C$9, 100%, $E$9)</f>
        <v>22.6966</v>
      </c>
      <c r="Q756" s="10">
        <f>CHOOSE(CONTROL!$C$42, 23.3288, 23.3288) * CHOOSE(CONTROL!$C$21, $C$9, 100%, $E$9)</f>
        <v>23.328800000000001</v>
      </c>
      <c r="R756" s="10">
        <f>CHOOSE(CONTROL!$C$42, 23.9742, 23.9742) * CHOOSE(CONTROL!$C$21, $C$9, 100%, $E$9)</f>
        <v>23.9742</v>
      </c>
      <c r="S756" s="10">
        <f>CHOOSE(CONTROL!$C$42, 22.2578, 22.2578) * CHOOSE(CONTROL!$C$21, $C$9, 100%, $E$9)</f>
        <v>22.2578</v>
      </c>
      <c r="T75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56" s="38">
        <f>(1000*CHOOSE(CONTROL!$C$42, 695, 695)*CHOOSE(CONTROL!$C$42, 0.5599, 0.5599)*CHOOSE(CONTROL!$C$42, 31, 31))/1000000</f>
        <v>12.063045499999998</v>
      </c>
      <c r="V756" s="38">
        <f>(1000*CHOOSE(CONTROL!$C$42, 500, 500)*CHOOSE(CONTROL!$C$42, 0.275, 0.275)*CHOOSE(CONTROL!$C$42, 31, 31))/1000000</f>
        <v>4.2625000000000002</v>
      </c>
      <c r="W756" s="38">
        <f>(1000*CHOOSE(CONTROL!$C$42, 0.1146, 0.1146)*CHOOSE(CONTROL!$C$42, 121.5, 121.5)*CHOOSE(CONTROL!$C$42, 31, 31))/1000000</f>
        <v>0.43164089999999994</v>
      </c>
      <c r="X756" s="38">
        <f>(31*0.1790888*100000/1000000)+(31*0.2374*100000/1000000)</f>
        <v>1.2911152800000001</v>
      </c>
      <c r="Y756" s="38">
        <f>(1000*600*CHOOSE(CONTROL!$C$42, 1.0585, 1.0585)*CHOOSE(CONTROL!$C$42, 31, 31))/1000000</f>
        <v>19.688099999999999</v>
      </c>
      <c r="Z756" s="38"/>
      <c r="AA756" s="10"/>
      <c r="AB756" s="39"/>
      <c r="AC756" s="33">
        <f>(B756*122.58+C756*297.941+D756*89.177+E756*40.302+F756*40+G756*160+H756*0+I756*100+J756*300)/(122.58+297.941+89.177+40.302+0+40+160+100+300)</f>
        <v>22.963817548608692</v>
      </c>
      <c r="AD756" s="27">
        <f>(M756*'RAP TEMPLATE-GAS AVAILABILITY'!O755+N756*'RAP TEMPLATE-GAS AVAILABILITY'!P755+O756*'RAP TEMPLATE-GAS AVAILABILITY'!Q755+P756*'RAP TEMPLATE-GAS AVAILABILITY'!R755)/('RAP TEMPLATE-GAS AVAILABILITY'!O755+'RAP TEMPLATE-GAS AVAILABILITY'!P755+'RAP TEMPLATE-GAS AVAILABILITY'!Q755+'RAP TEMPLATE-GAS AVAILABILITY'!R755)</f>
        <v>22.693548920863307</v>
      </c>
    </row>
    <row r="757" spans="1:30" ht="15.75">
      <c r="A757" s="13">
        <v>64315</v>
      </c>
      <c r="B757" s="10">
        <f>CHOOSE(CONTROL!$C$42, 24.5206, 24.5206) * CHOOSE(CONTROL!$C$21, $C$9, 100%, $E$9)</f>
        <v>24.520600000000002</v>
      </c>
      <c r="C757" s="10">
        <f>CHOOSE(CONTROL!$C$42, 24.5257, 24.5257) * CHOOSE(CONTROL!$C$21, $C$9, 100%, $E$9)</f>
        <v>24.525700000000001</v>
      </c>
      <c r="D757" s="10">
        <f>CHOOSE(CONTROL!$C$42, 24.5581, 24.5581) * CHOOSE(CONTROL!$C$21, $C$9, 100%, $E$9)</f>
        <v>24.5581</v>
      </c>
      <c r="E757" s="10">
        <f>CHOOSE(CONTROL!$C$42, 24.592, 24.592) * CHOOSE(CONTROL!$C$21, $C$9, 100%, $E$9)</f>
        <v>24.591999999999999</v>
      </c>
      <c r="F757" s="10">
        <f>CHOOSE(CONTROL!$C$42, 24.5048, 24.5048)*CHOOSE(CONTROL!$C$21, $C$9, 100%, $E$9)</f>
        <v>24.504799999999999</v>
      </c>
      <c r="G757" s="10">
        <f>CHOOSE(CONTROL!$C$42, 24.5228, 24.5228)*CHOOSE(CONTROL!$C$21, $C$9, 100%, $E$9)</f>
        <v>24.5228</v>
      </c>
      <c r="H757" s="10">
        <f>CHOOSE(CONTROL!$C$42, 24.5808, 24.5808) * CHOOSE(CONTROL!$C$21, $C$9, 100%, $E$9)</f>
        <v>24.5808</v>
      </c>
      <c r="I757" s="10">
        <f>CHOOSE(CONTROL!$C$42, 24.5341, 24.5341)* CHOOSE(CONTROL!$C$21, $C$9, 100%, $E$9)</f>
        <v>24.534099999999999</v>
      </c>
      <c r="J757" s="10">
        <f>CHOOSE(CONTROL!$C$42, 24.4974, 24.4974)* CHOOSE(CONTROL!$C$21, $C$9, 100%, $E$9)</f>
        <v>24.497399999999999</v>
      </c>
      <c r="K757" s="10">
        <f>CHOOSE(CONTROL!$C$42, 23.9488, 23.9488) * CHOOSE(CONTROL!$C$21, $C$9, 100%, $E$9)</f>
        <v>23.948799999999999</v>
      </c>
      <c r="L757" s="10">
        <f>CHOOSE(CONTROL!$C$42, 25.1678, 25.1678) * CHOOSE(CONTROL!$C$21, $C$9, 100%, $E$9)</f>
        <v>25.1678</v>
      </c>
      <c r="M757" s="10">
        <f>CHOOSE(CONTROL!$C$42, 24.1887, 24.1887) * CHOOSE(CONTROL!$C$21, $C$9, 100%, $E$9)</f>
        <v>24.188700000000001</v>
      </c>
      <c r="N757" s="10">
        <f>CHOOSE(CONTROL!$C$42, 24.2065, 24.2065) * CHOOSE(CONTROL!$C$21, $C$9, 100%, $E$9)</f>
        <v>24.206499999999998</v>
      </c>
      <c r="O757" s="10">
        <f>CHOOSE(CONTROL!$C$42, 24.2709, 24.2709) * CHOOSE(CONTROL!$C$21, $C$9, 100%, $E$9)</f>
        <v>24.270900000000001</v>
      </c>
      <c r="P757" s="10">
        <f>CHOOSE(CONTROL!$C$42, 24.2249, 24.2249) * CHOOSE(CONTROL!$C$21, $C$9, 100%, $E$9)</f>
        <v>24.224900000000002</v>
      </c>
      <c r="Q757" s="10">
        <f>CHOOSE(CONTROL!$C$42, 24.8662, 24.8662) * CHOOSE(CONTROL!$C$21, $C$9, 100%, $E$9)</f>
        <v>24.866199999999999</v>
      </c>
      <c r="R757" s="10">
        <f>CHOOSE(CONTROL!$C$42, 25.5154, 25.5154) * CHOOSE(CONTROL!$C$21, $C$9, 100%, $E$9)</f>
        <v>25.5154</v>
      </c>
      <c r="S757" s="10">
        <f>CHOOSE(CONTROL!$C$42, 23.76, 23.76) * CHOOSE(CONTROL!$C$21, $C$9, 100%, $E$9)</f>
        <v>23.76</v>
      </c>
      <c r="T75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57" s="38">
        <f>(1000*CHOOSE(CONTROL!$C$42, 695, 695)*CHOOSE(CONTROL!$C$42, 0.5599, 0.5599)*CHOOSE(CONTROL!$C$42, 31, 31))/1000000</f>
        <v>12.063045499999998</v>
      </c>
      <c r="V757" s="38">
        <f>(1000*CHOOSE(CONTROL!$C$42, 500, 500)*CHOOSE(CONTROL!$C$42, 0.275, 0.275)*CHOOSE(CONTROL!$C$42, 31, 31))/1000000</f>
        <v>4.2625000000000002</v>
      </c>
      <c r="W757" s="38">
        <f>(1000*CHOOSE(CONTROL!$C$42, 0.1146, 0.1146)*CHOOSE(CONTROL!$C$42, 121.5, 121.5)*CHOOSE(CONTROL!$C$42, 31, 31))/1000000</f>
        <v>0.43164089999999994</v>
      </c>
      <c r="X757" s="38">
        <f>(31*0.1790888*100000/1000000)+(31*0.2374*100000/1000000)</f>
        <v>1.2911152800000001</v>
      </c>
      <c r="Y757" s="38">
        <f>(1000*600*CHOOSE(CONTROL!$C$42, 1.0585, 1.0585)*CHOOSE(CONTROL!$C$42, 31, 31))/1000000</f>
        <v>19.688099999999999</v>
      </c>
      <c r="Z757" s="38"/>
      <c r="AA757" s="10"/>
      <c r="AB757" s="39"/>
      <c r="AC757" s="33">
        <f>(B757*122.58+C757*297.941+D757*89.177+E757*40.302+F757*40+G757*160+H757*0+I757*100+J757*300)/(122.58+297.941+89.177+40.302+0+40+160+100+300)</f>
        <v>24.522209738608698</v>
      </c>
      <c r="AD757" s="27">
        <f>(M757*'RAP TEMPLATE-GAS AVAILABILITY'!O756+N757*'RAP TEMPLATE-GAS AVAILABILITY'!P756+O757*'RAP TEMPLATE-GAS AVAILABILITY'!Q756+P757*'RAP TEMPLATE-GAS AVAILABILITY'!R756)/('RAP TEMPLATE-GAS AVAILABILITY'!O756+'RAP TEMPLATE-GAS AVAILABILITY'!P756+'RAP TEMPLATE-GAS AVAILABILITY'!Q756+'RAP TEMPLATE-GAS AVAILABILITY'!R756)</f>
        <v>24.232189208633095</v>
      </c>
    </row>
    <row r="758" spans="1:30" ht="15.75">
      <c r="A758" s="13">
        <v>64344</v>
      </c>
      <c r="B758" s="10">
        <f>CHOOSE(CONTROL!$C$42, 24.9574, 24.9574) * CHOOSE(CONTROL!$C$21, $C$9, 100%, $E$9)</f>
        <v>24.9574</v>
      </c>
      <c r="C758" s="10">
        <f>CHOOSE(CONTROL!$C$42, 24.9625, 24.9625) * CHOOSE(CONTROL!$C$21, $C$9, 100%, $E$9)</f>
        <v>24.962499999999999</v>
      </c>
      <c r="D758" s="10">
        <f>CHOOSE(CONTROL!$C$42, 24.9949, 24.9949) * CHOOSE(CONTROL!$C$21, $C$9, 100%, $E$9)</f>
        <v>24.994900000000001</v>
      </c>
      <c r="E758" s="10">
        <f>CHOOSE(CONTROL!$C$42, 25.0287, 25.0287) * CHOOSE(CONTROL!$C$21, $C$9, 100%, $E$9)</f>
        <v>25.028700000000001</v>
      </c>
      <c r="F758" s="10">
        <f>CHOOSE(CONTROL!$C$42, 24.9411, 24.9411)*CHOOSE(CONTROL!$C$21, $C$9, 100%, $E$9)</f>
        <v>24.941099999999999</v>
      </c>
      <c r="G758" s="10">
        <f>CHOOSE(CONTROL!$C$42, 24.9591, 24.9591)*CHOOSE(CONTROL!$C$21, $C$9, 100%, $E$9)</f>
        <v>24.959099999999999</v>
      </c>
      <c r="H758" s="10">
        <f>CHOOSE(CONTROL!$C$42, 25.0176, 25.0176) * CHOOSE(CONTROL!$C$21, $C$9, 100%, $E$9)</f>
        <v>25.017600000000002</v>
      </c>
      <c r="I758" s="10">
        <f>CHOOSE(CONTROL!$C$42, 24.9708, 24.9708)* CHOOSE(CONTROL!$C$21, $C$9, 100%, $E$9)</f>
        <v>24.970800000000001</v>
      </c>
      <c r="J758" s="10">
        <f>CHOOSE(CONTROL!$C$42, 24.9337, 24.9337)* CHOOSE(CONTROL!$C$21, $C$9, 100%, $E$9)</f>
        <v>24.933700000000002</v>
      </c>
      <c r="K758" s="10">
        <f>CHOOSE(CONTROL!$C$42, 24.371, 24.371) * CHOOSE(CONTROL!$C$21, $C$9, 100%, $E$9)</f>
        <v>24.370999999999999</v>
      </c>
      <c r="L758" s="10">
        <f>CHOOSE(CONTROL!$C$42, 25.6046, 25.6046) * CHOOSE(CONTROL!$C$21, $C$9, 100%, $E$9)</f>
        <v>25.604600000000001</v>
      </c>
      <c r="M758" s="10">
        <f>CHOOSE(CONTROL!$C$42, 24.6189, 24.6189) * CHOOSE(CONTROL!$C$21, $C$9, 100%, $E$9)</f>
        <v>24.6189</v>
      </c>
      <c r="N758" s="10">
        <f>CHOOSE(CONTROL!$C$42, 24.6366, 24.6366) * CHOOSE(CONTROL!$C$21, $C$9, 100%, $E$9)</f>
        <v>24.636600000000001</v>
      </c>
      <c r="O758" s="10">
        <f>CHOOSE(CONTROL!$C$42, 24.7016, 24.7016) * CHOOSE(CONTROL!$C$21, $C$9, 100%, $E$9)</f>
        <v>24.701599999999999</v>
      </c>
      <c r="P758" s="10">
        <f>CHOOSE(CONTROL!$C$42, 24.6556, 24.6556) * CHOOSE(CONTROL!$C$21, $C$9, 100%, $E$9)</f>
        <v>24.6556</v>
      </c>
      <c r="Q758" s="10">
        <f>CHOOSE(CONTROL!$C$42, 25.2969, 25.2969) * CHOOSE(CONTROL!$C$21, $C$9, 100%, $E$9)</f>
        <v>25.296900000000001</v>
      </c>
      <c r="R758" s="10">
        <f>CHOOSE(CONTROL!$C$42, 25.9472, 25.9472) * CHOOSE(CONTROL!$C$21, $C$9, 100%, $E$9)</f>
        <v>25.947199999999999</v>
      </c>
      <c r="S758" s="10">
        <f>CHOOSE(CONTROL!$C$42, 24.1829, 24.1829) * CHOOSE(CONTROL!$C$21, $C$9, 100%, $E$9)</f>
        <v>24.1829</v>
      </c>
      <c r="T758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758" s="38">
        <f>(1000*CHOOSE(CONTROL!$C$42, 695, 695)*CHOOSE(CONTROL!$C$42, 0.5599, 0.5599)*CHOOSE(CONTROL!$C$42, 29, 29))/1000000</f>
        <v>11.284784499999999</v>
      </c>
      <c r="V758" s="38">
        <f>(1000*CHOOSE(CONTROL!$C$42, 500, 500)*CHOOSE(CONTROL!$C$42, 0.275, 0.275)*CHOOSE(CONTROL!$C$42, 29, 29))/1000000</f>
        <v>3.9874999999999998</v>
      </c>
      <c r="W758" s="38">
        <f>(1000*CHOOSE(CONTROL!$C$42, 0.1146, 0.1146)*CHOOSE(CONTROL!$C$42, 121.5, 121.5)*CHOOSE(CONTROL!$C$42, 29, 29))/1000000</f>
        <v>0.40379309999999996</v>
      </c>
      <c r="X758" s="38">
        <f>(29*0.1790888*100000/1000000)+(29*0.2374*100000/1000000)</f>
        <v>1.2078175199999999</v>
      </c>
      <c r="Y758" s="38">
        <f>(1000*600*CHOOSE(CONTROL!$C$42, 1.0585, 1.0585)*CHOOSE(CONTROL!$C$42, 29, 29))/1000000</f>
        <v>18.417899999999999</v>
      </c>
      <c r="Z758" s="38"/>
      <c r="AA758" s="10"/>
      <c r="AB758" s="39"/>
      <c r="AC758" s="33">
        <f>(B758*122.58+C758*297.941+D758*89.177+E758*40.302+F758*40+G758*160+H758*0+I758*100+J758*300)/(122.58+297.941+89.177+40.302+0+40+160+100+300)</f>
        <v>24.958780147130437</v>
      </c>
      <c r="AD758" s="27">
        <f>(M758*'RAP TEMPLATE-GAS AVAILABILITY'!O757+N758*'RAP TEMPLATE-GAS AVAILABILITY'!P757+O758*'RAP TEMPLATE-GAS AVAILABILITY'!Q757+P758*'RAP TEMPLATE-GAS AVAILABILITY'!R757)/('RAP TEMPLATE-GAS AVAILABILITY'!O757+'RAP TEMPLATE-GAS AVAILABILITY'!P757+'RAP TEMPLATE-GAS AVAILABILITY'!Q757+'RAP TEMPLATE-GAS AVAILABILITY'!R757)</f>
        <v>24.662682014388491</v>
      </c>
    </row>
    <row r="759" spans="1:30" ht="15.75">
      <c r="A759" s="13">
        <v>64375</v>
      </c>
      <c r="B759" s="10">
        <f>CHOOSE(CONTROL!$C$42, 24.2484, 24.2484) * CHOOSE(CONTROL!$C$21, $C$9, 100%, $E$9)</f>
        <v>24.2484</v>
      </c>
      <c r="C759" s="10">
        <f>CHOOSE(CONTROL!$C$42, 24.2535, 24.2535) * CHOOSE(CONTROL!$C$21, $C$9, 100%, $E$9)</f>
        <v>24.253499999999999</v>
      </c>
      <c r="D759" s="10">
        <f>CHOOSE(CONTROL!$C$42, 24.2859, 24.2859) * CHOOSE(CONTROL!$C$21, $C$9, 100%, $E$9)</f>
        <v>24.285900000000002</v>
      </c>
      <c r="E759" s="10">
        <f>CHOOSE(CONTROL!$C$42, 24.3197, 24.3197) * CHOOSE(CONTROL!$C$21, $C$9, 100%, $E$9)</f>
        <v>24.319700000000001</v>
      </c>
      <c r="F759" s="10">
        <f>CHOOSE(CONTROL!$C$42, 24.2306, 24.2306)*CHOOSE(CONTROL!$C$21, $C$9, 100%, $E$9)</f>
        <v>24.230599999999999</v>
      </c>
      <c r="G759" s="10">
        <f>CHOOSE(CONTROL!$C$42, 24.2482, 24.2482)*CHOOSE(CONTROL!$C$21, $C$9, 100%, $E$9)</f>
        <v>24.248200000000001</v>
      </c>
      <c r="H759" s="10">
        <f>CHOOSE(CONTROL!$C$42, 24.3086, 24.3086) * CHOOSE(CONTROL!$C$21, $C$9, 100%, $E$9)</f>
        <v>24.308599999999998</v>
      </c>
      <c r="I759" s="10">
        <f>CHOOSE(CONTROL!$C$42, 24.2618, 24.2618)* CHOOSE(CONTROL!$C$21, $C$9, 100%, $E$9)</f>
        <v>24.261800000000001</v>
      </c>
      <c r="J759" s="10">
        <f>CHOOSE(CONTROL!$C$42, 24.2232, 24.2232)* CHOOSE(CONTROL!$C$21, $C$9, 100%, $E$9)</f>
        <v>24.223199999999999</v>
      </c>
      <c r="K759" s="10">
        <f>CHOOSE(CONTROL!$C$42, 23.681, 23.681) * CHOOSE(CONTROL!$C$21, $C$9, 100%, $E$9)</f>
        <v>23.681000000000001</v>
      </c>
      <c r="L759" s="10">
        <f>CHOOSE(CONTROL!$C$42, 24.8956, 24.8956) * CHOOSE(CONTROL!$C$21, $C$9, 100%, $E$9)</f>
        <v>24.895600000000002</v>
      </c>
      <c r="M759" s="10">
        <f>CHOOSE(CONTROL!$C$42, 23.9183, 23.9183) * CHOOSE(CONTROL!$C$21, $C$9, 100%, $E$9)</f>
        <v>23.918299999999999</v>
      </c>
      <c r="N759" s="10">
        <f>CHOOSE(CONTROL!$C$42, 23.9357, 23.9357) * CHOOSE(CONTROL!$C$21, $C$9, 100%, $E$9)</f>
        <v>23.935700000000001</v>
      </c>
      <c r="O759" s="10">
        <f>CHOOSE(CONTROL!$C$42, 24.0025, 24.0025) * CHOOSE(CONTROL!$C$21, $C$9, 100%, $E$9)</f>
        <v>24.002500000000001</v>
      </c>
      <c r="P759" s="10">
        <f>CHOOSE(CONTROL!$C$42, 23.9564, 23.9564) * CHOOSE(CONTROL!$C$21, $C$9, 100%, $E$9)</f>
        <v>23.956399999999999</v>
      </c>
      <c r="Q759" s="10">
        <f>CHOOSE(CONTROL!$C$42, 24.5978, 24.5978) * CHOOSE(CONTROL!$C$21, $C$9, 100%, $E$9)</f>
        <v>24.597799999999999</v>
      </c>
      <c r="R759" s="10">
        <f>CHOOSE(CONTROL!$C$42, 25.2463, 25.2463) * CHOOSE(CONTROL!$C$21, $C$9, 100%, $E$9)</f>
        <v>25.246300000000002</v>
      </c>
      <c r="S759" s="10">
        <f>CHOOSE(CONTROL!$C$42, 23.4964, 23.4964) * CHOOSE(CONTROL!$C$21, $C$9, 100%, $E$9)</f>
        <v>23.496400000000001</v>
      </c>
      <c r="T75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59" s="38">
        <f>(1000*CHOOSE(CONTROL!$C$42, 695, 695)*CHOOSE(CONTROL!$C$42, 0.5599, 0.5599)*CHOOSE(CONTROL!$C$42, 31, 31))/1000000</f>
        <v>12.063045499999998</v>
      </c>
      <c r="V759" s="38">
        <f>(1000*CHOOSE(CONTROL!$C$42, 500, 500)*CHOOSE(CONTROL!$C$42, 0.275, 0.275)*CHOOSE(CONTROL!$C$42, 31, 31))/1000000</f>
        <v>4.2625000000000002</v>
      </c>
      <c r="W759" s="38">
        <f>(1000*CHOOSE(CONTROL!$C$42, 0.1146, 0.1146)*CHOOSE(CONTROL!$C$42, 121.5, 121.5)*CHOOSE(CONTROL!$C$42, 31, 31))/1000000</f>
        <v>0.43164089999999994</v>
      </c>
      <c r="X759" s="38">
        <f>(31*0.1790888*100000/1000000)+(31*0.2374*100000/1000000)</f>
        <v>1.2911152800000001</v>
      </c>
      <c r="Y759" s="38">
        <f>(1000*600*CHOOSE(CONTROL!$C$42, 1.0585, 1.0585)*CHOOSE(CONTROL!$C$42, 31, 31))/1000000</f>
        <v>19.688099999999999</v>
      </c>
      <c r="Z759" s="38"/>
      <c r="AA759" s="10"/>
      <c r="AB759" s="39"/>
      <c r="AC759" s="33">
        <f>(B759*122.58+C759*297.941+D759*89.177+E759*40.302+F759*40+G759*160+H759*0+I759*100+J759*300)/(122.58+297.941+89.177+40.302+0+40+160+100+300)</f>
        <v>24.249072321043478</v>
      </c>
      <c r="AD759" s="27">
        <f>(M759*'RAP TEMPLATE-GAS AVAILABILITY'!O758+N759*'RAP TEMPLATE-GAS AVAILABILITY'!P758+O759*'RAP TEMPLATE-GAS AVAILABILITY'!Q758+P759*'RAP TEMPLATE-GAS AVAILABILITY'!R758)/('RAP TEMPLATE-GAS AVAILABILITY'!O758+'RAP TEMPLATE-GAS AVAILABILITY'!P758+'RAP TEMPLATE-GAS AVAILABILITY'!Q758+'RAP TEMPLATE-GAS AVAILABILITY'!R758)</f>
        <v>23.96294604316547</v>
      </c>
    </row>
    <row r="760" spans="1:30" ht="15.75">
      <c r="A760" s="13">
        <v>64405</v>
      </c>
      <c r="B760" s="10">
        <f>CHOOSE(CONTROL!$C$42, 24.1765, 24.1765) * CHOOSE(CONTROL!$C$21, $C$9, 100%, $E$9)</f>
        <v>24.176500000000001</v>
      </c>
      <c r="C760" s="10">
        <f>CHOOSE(CONTROL!$C$42, 24.181, 24.181) * CHOOSE(CONTROL!$C$21, $C$9, 100%, $E$9)</f>
        <v>24.181000000000001</v>
      </c>
      <c r="D760" s="10">
        <f>CHOOSE(CONTROL!$C$42, 24.3412, 24.3412) * CHOOSE(CONTROL!$C$21, $C$9, 100%, $E$9)</f>
        <v>24.341200000000001</v>
      </c>
      <c r="E760" s="10">
        <f>CHOOSE(CONTROL!$C$42, 24.373, 24.373) * CHOOSE(CONTROL!$C$21, $C$9, 100%, $E$9)</f>
        <v>24.373000000000001</v>
      </c>
      <c r="F760" s="10">
        <f>CHOOSE(CONTROL!$C$42, 24.1226, 24.1226)*CHOOSE(CONTROL!$C$21, $C$9, 100%, $E$9)</f>
        <v>24.122599999999998</v>
      </c>
      <c r="G760" s="10">
        <f>CHOOSE(CONTROL!$C$42, 24.1384, 24.1384)*CHOOSE(CONTROL!$C$21, $C$9, 100%, $E$9)</f>
        <v>24.138400000000001</v>
      </c>
      <c r="H760" s="10">
        <f>CHOOSE(CONTROL!$C$42, 24.3625, 24.3625) * CHOOSE(CONTROL!$C$21, $C$9, 100%, $E$9)</f>
        <v>24.362500000000001</v>
      </c>
      <c r="I760" s="10">
        <f>CHOOSE(CONTROL!$C$42, 24.1566, 24.1566)* CHOOSE(CONTROL!$C$21, $C$9, 100%, $E$9)</f>
        <v>24.156600000000001</v>
      </c>
      <c r="J760" s="10">
        <f>CHOOSE(CONTROL!$C$42, 24.1152, 24.1152)* CHOOSE(CONTROL!$C$21, $C$9, 100%, $E$9)</f>
        <v>24.115200000000002</v>
      </c>
      <c r="K760" s="10">
        <f>CHOOSE(CONTROL!$C$42, 23.5631, 23.5631) * CHOOSE(CONTROL!$C$21, $C$9, 100%, $E$9)</f>
        <v>23.563099999999999</v>
      </c>
      <c r="L760" s="10">
        <f>CHOOSE(CONTROL!$C$42, 24.9495, 24.9495) * CHOOSE(CONTROL!$C$21, $C$9, 100%, $E$9)</f>
        <v>24.9495</v>
      </c>
      <c r="M760" s="10">
        <f>CHOOSE(CONTROL!$C$42, 23.8118, 23.8118) * CHOOSE(CONTROL!$C$21, $C$9, 100%, $E$9)</f>
        <v>23.811800000000002</v>
      </c>
      <c r="N760" s="10">
        <f>CHOOSE(CONTROL!$C$42, 23.8274, 23.8274) * CHOOSE(CONTROL!$C$21, $C$9, 100%, $E$9)</f>
        <v>23.827400000000001</v>
      </c>
      <c r="O760" s="10">
        <f>CHOOSE(CONTROL!$C$42, 24.0556, 24.0556) * CHOOSE(CONTROL!$C$21, $C$9, 100%, $E$9)</f>
        <v>24.055599999999998</v>
      </c>
      <c r="P760" s="10">
        <f>CHOOSE(CONTROL!$C$42, 23.8527, 23.8527) * CHOOSE(CONTROL!$C$21, $C$9, 100%, $E$9)</f>
        <v>23.852699999999999</v>
      </c>
      <c r="Q760" s="10">
        <f>CHOOSE(CONTROL!$C$42, 24.6509, 24.6509) * CHOOSE(CONTROL!$C$21, $C$9, 100%, $E$9)</f>
        <v>24.6509</v>
      </c>
      <c r="R760" s="10">
        <f>CHOOSE(CONTROL!$C$42, 25.2995, 25.2995) * CHOOSE(CONTROL!$C$21, $C$9, 100%, $E$9)</f>
        <v>25.299499999999998</v>
      </c>
      <c r="S760" s="10">
        <f>CHOOSE(CONTROL!$C$42, 23.426, 23.426) * CHOOSE(CONTROL!$C$21, $C$9, 100%, $E$9)</f>
        <v>23.425999999999998</v>
      </c>
      <c r="T76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60" s="38">
        <f>(1000*CHOOSE(CONTROL!$C$42, 695, 695)*CHOOSE(CONTROL!$C$42, 0.5599, 0.5599)*CHOOSE(CONTROL!$C$42, 30, 30))/1000000</f>
        <v>11.673914999999997</v>
      </c>
      <c r="V760" s="38">
        <f>(1000*CHOOSE(CONTROL!$C$42, 500, 500)*CHOOSE(CONTROL!$C$42, 0.275, 0.275)*CHOOSE(CONTROL!$C$42, 30, 30))/1000000</f>
        <v>4.125</v>
      </c>
      <c r="W760" s="38">
        <f>(1000*CHOOSE(CONTROL!$C$42, 0.1146, 0.1146)*CHOOSE(CONTROL!$C$42, 121.5, 121.5)*CHOOSE(CONTROL!$C$42, 30, 30))/1000000</f>
        <v>0.417717</v>
      </c>
      <c r="X760" s="38">
        <f>(30*0.1790888*245000/1000000)+(30*0.2374*100000/1000000)</f>
        <v>2.0285026799999999</v>
      </c>
      <c r="Y760" s="38">
        <f>(1000*600*CHOOSE(CONTROL!$C$42, 1.0585, 1.0585)*CHOOSE(CONTROL!$C$42, 30, 30))/1000000</f>
        <v>19.053000000000001</v>
      </c>
      <c r="Z760" s="38"/>
      <c r="AA760" s="10"/>
      <c r="AB760" s="39"/>
      <c r="AC760" s="33">
        <f>(B760*141.293+C760*267.993+D760*115.016+E760*89.698+F760*40+G760*185+H760*0+I760*100+J760*300)/(141.293+267.993+115.016+89.698+0+40+185+100+300)</f>
        <v>24.183110379903152</v>
      </c>
      <c r="AD760" s="27">
        <f>(M760*'RAP TEMPLATE-GAS AVAILABILITY'!O759+N760*'RAP TEMPLATE-GAS AVAILABILITY'!P759+O760*'RAP TEMPLATE-GAS AVAILABILITY'!Q759+P760*'RAP TEMPLATE-GAS AVAILABILITY'!R759)/('RAP TEMPLATE-GAS AVAILABILITY'!O759+'RAP TEMPLATE-GAS AVAILABILITY'!P759+'RAP TEMPLATE-GAS AVAILABILITY'!Q759+'RAP TEMPLATE-GAS AVAILABILITY'!R759)</f>
        <v>23.929082014388488</v>
      </c>
    </row>
    <row r="761" spans="1:30" ht="15.75">
      <c r="A761" s="13">
        <v>64436</v>
      </c>
      <c r="B761" s="10">
        <f>CHOOSE(CONTROL!$C$42, 24.3918, 24.3918) * CHOOSE(CONTROL!$C$21, $C$9, 100%, $E$9)</f>
        <v>24.3918</v>
      </c>
      <c r="C761" s="10">
        <f>CHOOSE(CONTROL!$C$42, 24.3998, 24.3998) * CHOOSE(CONTROL!$C$21, $C$9, 100%, $E$9)</f>
        <v>24.399799999999999</v>
      </c>
      <c r="D761" s="10">
        <f>CHOOSE(CONTROL!$C$42, 24.5569, 24.5569) * CHOOSE(CONTROL!$C$21, $C$9, 100%, $E$9)</f>
        <v>24.556899999999999</v>
      </c>
      <c r="E761" s="10">
        <f>CHOOSE(CONTROL!$C$42, 24.5881, 24.5881) * CHOOSE(CONTROL!$C$21, $C$9, 100%, $E$9)</f>
        <v>24.588100000000001</v>
      </c>
      <c r="F761" s="10">
        <f>CHOOSE(CONTROL!$C$42, 24.336, 24.336)*CHOOSE(CONTROL!$C$21, $C$9, 100%, $E$9)</f>
        <v>24.335999999999999</v>
      </c>
      <c r="G761" s="10">
        <f>CHOOSE(CONTROL!$C$42, 24.3521, 24.3521)*CHOOSE(CONTROL!$C$21, $C$9, 100%, $E$9)</f>
        <v>24.3521</v>
      </c>
      <c r="H761" s="10">
        <f>CHOOSE(CONTROL!$C$42, 24.5764, 24.5764) * CHOOSE(CONTROL!$C$21, $C$9, 100%, $E$9)</f>
        <v>24.5764</v>
      </c>
      <c r="I761" s="10">
        <f>CHOOSE(CONTROL!$C$42, 24.3706, 24.3706)* CHOOSE(CONTROL!$C$21, $C$9, 100%, $E$9)</f>
        <v>24.3706</v>
      </c>
      <c r="J761" s="10">
        <f>CHOOSE(CONTROL!$C$42, 24.3286, 24.3286)* CHOOSE(CONTROL!$C$21, $C$9, 100%, $E$9)</f>
        <v>24.328600000000002</v>
      </c>
      <c r="K761" s="10">
        <f>CHOOSE(CONTROL!$C$42, 23.7691, 23.7691) * CHOOSE(CONTROL!$C$21, $C$9, 100%, $E$9)</f>
        <v>23.769100000000002</v>
      </c>
      <c r="L761" s="10">
        <f>CHOOSE(CONTROL!$C$42, 25.1634, 25.1634) * CHOOSE(CONTROL!$C$21, $C$9, 100%, $E$9)</f>
        <v>25.163399999999999</v>
      </c>
      <c r="M761" s="10">
        <f>CHOOSE(CONTROL!$C$42, 24.0222, 24.0222) * CHOOSE(CONTROL!$C$21, $C$9, 100%, $E$9)</f>
        <v>24.022200000000002</v>
      </c>
      <c r="N761" s="10">
        <f>CHOOSE(CONTROL!$C$42, 24.0381, 24.0381) * CHOOSE(CONTROL!$C$21, $C$9, 100%, $E$9)</f>
        <v>24.0381</v>
      </c>
      <c r="O761" s="10">
        <f>CHOOSE(CONTROL!$C$42, 24.2666, 24.2666) * CHOOSE(CONTROL!$C$21, $C$9, 100%, $E$9)</f>
        <v>24.2666</v>
      </c>
      <c r="P761" s="10">
        <f>CHOOSE(CONTROL!$C$42, 24.0637, 24.0637) * CHOOSE(CONTROL!$C$21, $C$9, 100%, $E$9)</f>
        <v>24.063700000000001</v>
      </c>
      <c r="Q761" s="10">
        <f>CHOOSE(CONTROL!$C$42, 24.8619, 24.8619) * CHOOSE(CONTROL!$C$21, $C$9, 100%, $E$9)</f>
        <v>24.861899999999999</v>
      </c>
      <c r="R761" s="10">
        <f>CHOOSE(CONTROL!$C$42, 25.5111, 25.5111) * CHOOSE(CONTROL!$C$21, $C$9, 100%, $E$9)</f>
        <v>25.511099999999999</v>
      </c>
      <c r="S761" s="10">
        <f>CHOOSE(CONTROL!$C$42, 23.6332, 23.6332) * CHOOSE(CONTROL!$C$21, $C$9, 100%, $E$9)</f>
        <v>23.633199999999999</v>
      </c>
      <c r="T76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61" s="38">
        <f>(1000*CHOOSE(CONTROL!$C$42, 695, 695)*CHOOSE(CONTROL!$C$42, 0.5599, 0.5599)*CHOOSE(CONTROL!$C$42, 31, 31))/1000000</f>
        <v>12.063045499999998</v>
      </c>
      <c r="V761" s="38">
        <f>(1000*CHOOSE(CONTROL!$C$42, 500, 500)*CHOOSE(CONTROL!$C$42, 0.275, 0.275)*CHOOSE(CONTROL!$C$42, 31, 31))/1000000</f>
        <v>4.2625000000000002</v>
      </c>
      <c r="W761" s="38">
        <f>(1000*CHOOSE(CONTROL!$C$42, 0.1146, 0.1146)*CHOOSE(CONTROL!$C$42, 121.5, 121.5)*CHOOSE(CONTROL!$C$42, 31, 31))/1000000</f>
        <v>0.43164089999999994</v>
      </c>
      <c r="X761" s="38">
        <f>(31*0.1790888*245000/1000000)+(31*0.2374*100000/1000000)</f>
        <v>2.0961194359999999</v>
      </c>
      <c r="Y761" s="38">
        <f>(1000*600*CHOOSE(CONTROL!$C$42, 1.0585, 1.0585)*CHOOSE(CONTROL!$C$42, 31, 31))/1000000</f>
        <v>19.688099999999999</v>
      </c>
      <c r="Z761" s="38"/>
      <c r="AA761" s="10"/>
      <c r="AB761" s="39"/>
      <c r="AC761" s="33">
        <f>(B761*194.205+C761*267.466+D761*133.845+E761*53.484+F761*40+G761*185+H761*0+I761*100+J761*300)/(194.205+267.466+133.845+53.484+0+40+185+100+300)</f>
        <v>24.395002469937207</v>
      </c>
      <c r="AD761" s="27">
        <f>(M761*'RAP TEMPLATE-GAS AVAILABILITY'!O760+N761*'RAP TEMPLATE-GAS AVAILABILITY'!P760+O761*'RAP TEMPLATE-GAS AVAILABILITY'!Q760+P761*'RAP TEMPLATE-GAS AVAILABILITY'!R760)/('RAP TEMPLATE-GAS AVAILABILITY'!O760+'RAP TEMPLATE-GAS AVAILABILITY'!P760+'RAP TEMPLATE-GAS AVAILABILITY'!Q760+'RAP TEMPLATE-GAS AVAILABILITY'!R760)</f>
        <v>24.139857553956837</v>
      </c>
    </row>
    <row r="762" spans="1:30" ht="15.75">
      <c r="A762" s="13">
        <v>64466</v>
      </c>
      <c r="B762" s="10">
        <f>CHOOSE(CONTROL!$C$42, 25.0841, 25.0841) * CHOOSE(CONTROL!$C$21, $C$9, 100%, $E$9)</f>
        <v>25.084099999999999</v>
      </c>
      <c r="C762" s="10">
        <f>CHOOSE(CONTROL!$C$42, 25.0921, 25.0921) * CHOOSE(CONTROL!$C$21, $C$9, 100%, $E$9)</f>
        <v>25.092099999999999</v>
      </c>
      <c r="D762" s="10">
        <f>CHOOSE(CONTROL!$C$42, 25.2492, 25.2492) * CHOOSE(CONTROL!$C$21, $C$9, 100%, $E$9)</f>
        <v>25.249199999999998</v>
      </c>
      <c r="E762" s="10">
        <f>CHOOSE(CONTROL!$C$42, 25.2804, 25.2804) * CHOOSE(CONTROL!$C$21, $C$9, 100%, $E$9)</f>
        <v>25.2804</v>
      </c>
      <c r="F762" s="10">
        <f>CHOOSE(CONTROL!$C$42, 25.0285, 25.0285)*CHOOSE(CONTROL!$C$21, $C$9, 100%, $E$9)</f>
        <v>25.028500000000001</v>
      </c>
      <c r="G762" s="10">
        <f>CHOOSE(CONTROL!$C$42, 25.0446, 25.0446)*CHOOSE(CONTROL!$C$21, $C$9, 100%, $E$9)</f>
        <v>25.044599999999999</v>
      </c>
      <c r="H762" s="10">
        <f>CHOOSE(CONTROL!$C$42, 25.2687, 25.2687) * CHOOSE(CONTROL!$C$21, $C$9, 100%, $E$9)</f>
        <v>25.268699999999999</v>
      </c>
      <c r="I762" s="10">
        <f>CHOOSE(CONTROL!$C$42, 25.0629, 25.0629)* CHOOSE(CONTROL!$C$21, $C$9, 100%, $E$9)</f>
        <v>25.062899999999999</v>
      </c>
      <c r="J762" s="10">
        <f>CHOOSE(CONTROL!$C$42, 25.0211, 25.0211)* CHOOSE(CONTROL!$C$21, $C$9, 100%, $E$9)</f>
        <v>25.021100000000001</v>
      </c>
      <c r="K762" s="10">
        <f>CHOOSE(CONTROL!$C$42, 24.4402, 24.4402) * CHOOSE(CONTROL!$C$21, $C$9, 100%, $E$9)</f>
        <v>24.440200000000001</v>
      </c>
      <c r="L762" s="10">
        <f>CHOOSE(CONTROL!$C$42, 25.8557, 25.8557) * CHOOSE(CONTROL!$C$21, $C$9, 100%, $E$9)</f>
        <v>25.855699999999999</v>
      </c>
      <c r="M762" s="10">
        <f>CHOOSE(CONTROL!$C$42, 24.705, 24.705) * CHOOSE(CONTROL!$C$21, $C$9, 100%, $E$9)</f>
        <v>24.704999999999998</v>
      </c>
      <c r="N762" s="10">
        <f>CHOOSE(CONTROL!$C$42, 24.721, 24.721) * CHOOSE(CONTROL!$C$21, $C$9, 100%, $E$9)</f>
        <v>24.721</v>
      </c>
      <c r="O762" s="10">
        <f>CHOOSE(CONTROL!$C$42, 24.9492, 24.9492) * CHOOSE(CONTROL!$C$21, $C$9, 100%, $E$9)</f>
        <v>24.949200000000001</v>
      </c>
      <c r="P762" s="10">
        <f>CHOOSE(CONTROL!$C$42, 24.7463, 24.7463) * CHOOSE(CONTROL!$C$21, $C$9, 100%, $E$9)</f>
        <v>24.746300000000002</v>
      </c>
      <c r="Q762" s="10">
        <f>CHOOSE(CONTROL!$C$42, 25.5445, 25.5445) * CHOOSE(CONTROL!$C$21, $C$9, 100%, $E$9)</f>
        <v>25.544499999999999</v>
      </c>
      <c r="R762" s="10">
        <f>CHOOSE(CONTROL!$C$42, 26.1954, 26.1954) * CHOOSE(CONTROL!$C$21, $C$9, 100%, $E$9)</f>
        <v>26.195399999999999</v>
      </c>
      <c r="S762" s="10">
        <f>CHOOSE(CONTROL!$C$42, 24.3036, 24.3036) * CHOOSE(CONTROL!$C$21, $C$9, 100%, $E$9)</f>
        <v>24.303599999999999</v>
      </c>
      <c r="T76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62" s="38">
        <f>(1000*CHOOSE(CONTROL!$C$42, 695, 695)*CHOOSE(CONTROL!$C$42, 0.5599, 0.5599)*CHOOSE(CONTROL!$C$42, 30, 30))/1000000</f>
        <v>11.673914999999997</v>
      </c>
      <c r="V762" s="38">
        <f>(1000*CHOOSE(CONTROL!$C$42, 500, 500)*CHOOSE(CONTROL!$C$42, 0.275, 0.275)*CHOOSE(CONTROL!$C$42, 30, 30))/1000000</f>
        <v>4.125</v>
      </c>
      <c r="W762" s="38">
        <f>(1000*CHOOSE(CONTROL!$C$42, 0.1146, 0.1146)*CHOOSE(CONTROL!$C$42, 121.5, 121.5)*CHOOSE(CONTROL!$C$42, 30, 30))/1000000</f>
        <v>0.417717</v>
      </c>
      <c r="X762" s="38">
        <f>(30*0.1790888*245000/1000000)+(30*0.2374*100000/1000000)</f>
        <v>2.0285026799999999</v>
      </c>
      <c r="Y762" s="38">
        <f>(1000*600*CHOOSE(CONTROL!$C$42, 1.0585, 1.0585)*CHOOSE(CONTROL!$C$42, 30, 30))/1000000</f>
        <v>19.053000000000001</v>
      </c>
      <c r="Z762" s="38"/>
      <c r="AA762" s="10"/>
      <c r="AB762" s="39"/>
      <c r="AC762" s="33">
        <f>(B762*194.205+C762*267.466+D762*133.845+E762*53.484+F762*40+G762*185+H762*0+I762*100+J762*300)/(194.205+267.466+133.845+53.484+0+40+185+100+300)</f>
        <v>25.087384887519622</v>
      </c>
      <c r="AD762" s="27">
        <f>(M762*'RAP TEMPLATE-GAS AVAILABILITY'!O761+N762*'RAP TEMPLATE-GAS AVAILABILITY'!P761+O762*'RAP TEMPLATE-GAS AVAILABILITY'!Q761+P762*'RAP TEMPLATE-GAS AVAILABILITY'!R761)/('RAP TEMPLATE-GAS AVAILABILITY'!O761+'RAP TEMPLATE-GAS AVAILABILITY'!P761+'RAP TEMPLATE-GAS AVAILABILITY'!Q761+'RAP TEMPLATE-GAS AVAILABILITY'!R761)</f>
        <v>24.822543884892088</v>
      </c>
    </row>
    <row r="763" spans="1:30" ht="15.75">
      <c r="A763" s="13">
        <v>64497</v>
      </c>
      <c r="B763" s="10">
        <f>CHOOSE(CONTROL!$C$42, 24.6026, 24.6026) * CHOOSE(CONTROL!$C$21, $C$9, 100%, $E$9)</f>
        <v>24.602599999999999</v>
      </c>
      <c r="C763" s="10">
        <f>CHOOSE(CONTROL!$C$42, 24.6106, 24.6106) * CHOOSE(CONTROL!$C$21, $C$9, 100%, $E$9)</f>
        <v>24.610600000000002</v>
      </c>
      <c r="D763" s="10">
        <f>CHOOSE(CONTROL!$C$42, 24.7677, 24.7677) * CHOOSE(CONTROL!$C$21, $C$9, 100%, $E$9)</f>
        <v>24.767700000000001</v>
      </c>
      <c r="E763" s="10">
        <f>CHOOSE(CONTROL!$C$42, 24.7989, 24.7989) * CHOOSE(CONTROL!$C$21, $C$9, 100%, $E$9)</f>
        <v>24.7989</v>
      </c>
      <c r="F763" s="10">
        <f>CHOOSE(CONTROL!$C$42, 24.5473, 24.5473)*CHOOSE(CONTROL!$C$21, $C$9, 100%, $E$9)</f>
        <v>24.5473</v>
      </c>
      <c r="G763" s="10">
        <f>CHOOSE(CONTROL!$C$42, 24.5635, 24.5635)*CHOOSE(CONTROL!$C$21, $C$9, 100%, $E$9)</f>
        <v>24.563500000000001</v>
      </c>
      <c r="H763" s="10">
        <f>CHOOSE(CONTROL!$C$42, 24.7872, 24.7872) * CHOOSE(CONTROL!$C$21, $C$9, 100%, $E$9)</f>
        <v>24.787199999999999</v>
      </c>
      <c r="I763" s="10">
        <f>CHOOSE(CONTROL!$C$42, 24.5814, 24.5814)* CHOOSE(CONTROL!$C$21, $C$9, 100%, $E$9)</f>
        <v>24.581399999999999</v>
      </c>
      <c r="J763" s="10">
        <f>CHOOSE(CONTROL!$C$42, 24.5399, 24.5399)* CHOOSE(CONTROL!$C$21, $C$9, 100%, $E$9)</f>
        <v>24.539899999999999</v>
      </c>
      <c r="K763" s="10">
        <f>CHOOSE(CONTROL!$C$42, 23.9744, 23.9744) * CHOOSE(CONTROL!$C$21, $C$9, 100%, $E$9)</f>
        <v>23.974399999999999</v>
      </c>
      <c r="L763" s="10">
        <f>CHOOSE(CONTROL!$C$42, 25.3742, 25.3742) * CHOOSE(CONTROL!$C$21, $C$9, 100%, $E$9)</f>
        <v>25.374199999999998</v>
      </c>
      <c r="M763" s="10">
        <f>CHOOSE(CONTROL!$C$42, 24.2306, 24.2306) * CHOOSE(CONTROL!$C$21, $C$9, 100%, $E$9)</f>
        <v>24.230599999999999</v>
      </c>
      <c r="N763" s="10">
        <f>CHOOSE(CONTROL!$C$42, 24.2466, 24.2466) * CHOOSE(CONTROL!$C$21, $C$9, 100%, $E$9)</f>
        <v>24.246600000000001</v>
      </c>
      <c r="O763" s="10">
        <f>CHOOSE(CONTROL!$C$42, 24.4745, 24.4745) * CHOOSE(CONTROL!$C$21, $C$9, 100%, $E$9)</f>
        <v>24.474499999999999</v>
      </c>
      <c r="P763" s="10">
        <f>CHOOSE(CONTROL!$C$42, 24.2716, 24.2716) * CHOOSE(CONTROL!$C$21, $C$9, 100%, $E$9)</f>
        <v>24.271599999999999</v>
      </c>
      <c r="Q763" s="10">
        <f>CHOOSE(CONTROL!$C$42, 25.0698, 25.0698) * CHOOSE(CONTROL!$C$21, $C$9, 100%, $E$9)</f>
        <v>25.069800000000001</v>
      </c>
      <c r="R763" s="10">
        <f>CHOOSE(CONTROL!$C$42, 25.7194, 25.7194) * CHOOSE(CONTROL!$C$21, $C$9, 100%, $E$9)</f>
        <v>25.7194</v>
      </c>
      <c r="S763" s="10">
        <f>CHOOSE(CONTROL!$C$42, 23.8373, 23.8373) * CHOOSE(CONTROL!$C$21, $C$9, 100%, $E$9)</f>
        <v>23.837299999999999</v>
      </c>
      <c r="T76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63" s="38">
        <f>(1000*CHOOSE(CONTROL!$C$42, 695, 695)*CHOOSE(CONTROL!$C$42, 0.5599, 0.5599)*CHOOSE(CONTROL!$C$42, 31, 31))/1000000</f>
        <v>12.063045499999998</v>
      </c>
      <c r="V763" s="38">
        <f>(1000*CHOOSE(CONTROL!$C$42, 500, 500)*CHOOSE(CONTROL!$C$42, 0.275, 0.275)*CHOOSE(CONTROL!$C$42, 31, 31))/1000000</f>
        <v>4.2625000000000002</v>
      </c>
      <c r="W763" s="38">
        <f>(1000*CHOOSE(CONTROL!$C$42, 0.1146, 0.1146)*CHOOSE(CONTROL!$C$42, 121.5, 121.5)*CHOOSE(CONTROL!$C$42, 31, 31))/1000000</f>
        <v>0.43164089999999994</v>
      </c>
      <c r="X763" s="38">
        <f>(31*0.1790888*245000/1000000)+(31*0.2374*100000/1000000)</f>
        <v>2.0961194359999999</v>
      </c>
      <c r="Y763" s="38">
        <f>(1000*600*CHOOSE(CONTROL!$C$42, 1.0585, 1.0585)*CHOOSE(CONTROL!$C$42, 31, 31))/1000000</f>
        <v>19.688099999999999</v>
      </c>
      <c r="Z763" s="38"/>
      <c r="AA763" s="10"/>
      <c r="AB763" s="39"/>
      <c r="AC763" s="33">
        <f>(B763*194.205+C763*267.466+D763*133.845+E763*53.484+F763*40+G763*185+H763*0+I763*100+J763*300)/(194.205+267.466+133.845+53.484+0+40+185+100+300)</f>
        <v>24.606023035086348</v>
      </c>
      <c r="AD763" s="27">
        <f>(M763*'RAP TEMPLATE-GAS AVAILABILITY'!O762+N763*'RAP TEMPLATE-GAS AVAILABILITY'!P762+O763*'RAP TEMPLATE-GAS AVAILABILITY'!Q762+P763*'RAP TEMPLATE-GAS AVAILABILITY'!R762)/('RAP TEMPLATE-GAS AVAILABILITY'!O762+'RAP TEMPLATE-GAS AVAILABILITY'!P762+'RAP TEMPLATE-GAS AVAILABILITY'!Q762+'RAP TEMPLATE-GAS AVAILABILITY'!R762)</f>
        <v>24.347964748201441</v>
      </c>
    </row>
    <row r="764" spans="1:30" ht="15.75">
      <c r="A764" s="13">
        <v>64528</v>
      </c>
      <c r="B764" s="10">
        <f>CHOOSE(CONTROL!$C$42, 23.3867, 23.3867) * CHOOSE(CONTROL!$C$21, $C$9, 100%, $E$9)</f>
        <v>23.386700000000001</v>
      </c>
      <c r="C764" s="10">
        <f>CHOOSE(CONTROL!$C$42, 23.3947, 23.3947) * CHOOSE(CONTROL!$C$21, $C$9, 100%, $E$9)</f>
        <v>23.3947</v>
      </c>
      <c r="D764" s="10">
        <f>CHOOSE(CONTROL!$C$42, 23.5518, 23.5518) * CHOOSE(CONTROL!$C$21, $C$9, 100%, $E$9)</f>
        <v>23.5518</v>
      </c>
      <c r="E764" s="10">
        <f>CHOOSE(CONTROL!$C$42, 23.583, 23.583) * CHOOSE(CONTROL!$C$21, $C$9, 100%, $E$9)</f>
        <v>23.582999999999998</v>
      </c>
      <c r="F764" s="10">
        <f>CHOOSE(CONTROL!$C$42, 23.3313, 23.3313)*CHOOSE(CONTROL!$C$21, $C$9, 100%, $E$9)</f>
        <v>23.331299999999999</v>
      </c>
      <c r="G764" s="10">
        <f>CHOOSE(CONTROL!$C$42, 23.3475, 23.3475)*CHOOSE(CONTROL!$C$21, $C$9, 100%, $E$9)</f>
        <v>23.3475</v>
      </c>
      <c r="H764" s="10">
        <f>CHOOSE(CONTROL!$C$42, 23.5713, 23.5713) * CHOOSE(CONTROL!$C$21, $C$9, 100%, $E$9)</f>
        <v>23.571300000000001</v>
      </c>
      <c r="I764" s="10">
        <f>CHOOSE(CONTROL!$C$42, 23.3655, 23.3655)* CHOOSE(CONTROL!$C$21, $C$9, 100%, $E$9)</f>
        <v>23.365500000000001</v>
      </c>
      <c r="J764" s="10">
        <f>CHOOSE(CONTROL!$C$42, 23.3239, 23.3239)* CHOOSE(CONTROL!$C$21, $C$9, 100%, $E$9)</f>
        <v>23.323899999999998</v>
      </c>
      <c r="K764" s="10">
        <f>CHOOSE(CONTROL!$C$42, 22.7963, 22.7963) * CHOOSE(CONTROL!$C$21, $C$9, 100%, $E$9)</f>
        <v>22.796299999999999</v>
      </c>
      <c r="L764" s="10">
        <f>CHOOSE(CONTROL!$C$42, 24.1583, 24.1583) * CHOOSE(CONTROL!$C$21, $C$9, 100%, $E$9)</f>
        <v>24.158300000000001</v>
      </c>
      <c r="M764" s="10">
        <f>CHOOSE(CONTROL!$C$42, 23.0315, 23.0315) * CHOOSE(CONTROL!$C$21, $C$9, 100%, $E$9)</f>
        <v>23.031500000000001</v>
      </c>
      <c r="N764" s="10">
        <f>CHOOSE(CONTROL!$C$42, 23.0475, 23.0475) * CHOOSE(CONTROL!$C$21, $C$9, 100%, $E$9)</f>
        <v>23.047499999999999</v>
      </c>
      <c r="O764" s="10">
        <f>CHOOSE(CONTROL!$C$42, 23.2755, 23.2755) * CHOOSE(CONTROL!$C$21, $C$9, 100%, $E$9)</f>
        <v>23.275500000000001</v>
      </c>
      <c r="P764" s="10">
        <f>CHOOSE(CONTROL!$C$42, 23.0726, 23.0726) * CHOOSE(CONTROL!$C$21, $C$9, 100%, $E$9)</f>
        <v>23.072600000000001</v>
      </c>
      <c r="Q764" s="10">
        <f>CHOOSE(CONTROL!$C$42, 23.8708, 23.8708) * CHOOSE(CONTROL!$C$21, $C$9, 100%, $E$9)</f>
        <v>23.870799999999999</v>
      </c>
      <c r="R764" s="10">
        <f>CHOOSE(CONTROL!$C$42, 24.5175, 24.5175) * CHOOSE(CONTROL!$C$21, $C$9, 100%, $E$9)</f>
        <v>24.517499999999998</v>
      </c>
      <c r="S764" s="10">
        <f>CHOOSE(CONTROL!$C$42, 22.66, 22.66) * CHOOSE(CONTROL!$C$21, $C$9, 100%, $E$9)</f>
        <v>22.66</v>
      </c>
      <c r="T76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64" s="38">
        <f>(1000*CHOOSE(CONTROL!$C$42, 695, 695)*CHOOSE(CONTROL!$C$42, 0.5599, 0.5599)*CHOOSE(CONTROL!$C$42, 31, 31))/1000000</f>
        <v>12.063045499999998</v>
      </c>
      <c r="V764" s="38">
        <f>(1000*CHOOSE(CONTROL!$C$42, 500, 500)*CHOOSE(CONTROL!$C$42, 0.275, 0.275)*CHOOSE(CONTROL!$C$42, 31, 31))/1000000</f>
        <v>4.2625000000000002</v>
      </c>
      <c r="W764" s="38">
        <f>(1000*CHOOSE(CONTROL!$C$42, 0.1146, 0.1146)*CHOOSE(CONTROL!$C$42, 121.5, 121.5)*CHOOSE(CONTROL!$C$42, 31, 31))/1000000</f>
        <v>0.43164089999999994</v>
      </c>
      <c r="X764" s="38">
        <f>(31*0.1790888*245000/1000000)+(31*0.2374*100000/1000000)</f>
        <v>2.0961194359999999</v>
      </c>
      <c r="Y764" s="38">
        <f>(1000*600*CHOOSE(CONTROL!$C$42, 1.0585, 1.0585)*CHOOSE(CONTROL!$C$42, 31, 31))/1000000</f>
        <v>19.688099999999999</v>
      </c>
      <c r="Z764" s="38"/>
      <c r="AA764" s="10"/>
      <c r="AB764" s="39"/>
      <c r="AC764" s="33">
        <f>(B764*194.205+C764*267.466+D764*133.845+E764*53.484+F764*40+G764*185+H764*0+I764*100+J764*300)/(194.205+267.466+133.845+53.484+0+40+185+100+300)</f>
        <v>23.39008182629513</v>
      </c>
      <c r="AD764" s="27">
        <f>(M764*'RAP TEMPLATE-GAS AVAILABILITY'!O763+N764*'RAP TEMPLATE-GAS AVAILABILITY'!P763+O764*'RAP TEMPLATE-GAS AVAILABILITY'!Q763+P764*'RAP TEMPLATE-GAS AVAILABILITY'!R763)/('RAP TEMPLATE-GAS AVAILABILITY'!O763+'RAP TEMPLATE-GAS AVAILABILITY'!P763+'RAP TEMPLATE-GAS AVAILABILITY'!Q763+'RAP TEMPLATE-GAS AVAILABILITY'!R763)</f>
        <v>23.148924460431655</v>
      </c>
    </row>
    <row r="765" spans="1:30" ht="15.75">
      <c r="A765" s="13">
        <v>64558</v>
      </c>
      <c r="B765" s="10">
        <f>CHOOSE(CONTROL!$C$42, 21.9011, 21.9011) * CHOOSE(CONTROL!$C$21, $C$9, 100%, $E$9)</f>
        <v>21.9011</v>
      </c>
      <c r="C765" s="10">
        <f>CHOOSE(CONTROL!$C$42, 21.9091, 21.9091) * CHOOSE(CONTROL!$C$21, $C$9, 100%, $E$9)</f>
        <v>21.909099999999999</v>
      </c>
      <c r="D765" s="10">
        <f>CHOOSE(CONTROL!$C$42, 22.0661, 22.0661) * CHOOSE(CONTROL!$C$21, $C$9, 100%, $E$9)</f>
        <v>22.066099999999999</v>
      </c>
      <c r="E765" s="10">
        <f>CHOOSE(CONTROL!$C$42, 22.0973, 22.0973) * CHOOSE(CONTROL!$C$21, $C$9, 100%, $E$9)</f>
        <v>22.097300000000001</v>
      </c>
      <c r="F765" s="10">
        <f>CHOOSE(CONTROL!$C$42, 21.8454, 21.8454)*CHOOSE(CONTROL!$C$21, $C$9, 100%, $E$9)</f>
        <v>21.845400000000001</v>
      </c>
      <c r="G765" s="10">
        <f>CHOOSE(CONTROL!$C$42, 21.8616, 21.8616)*CHOOSE(CONTROL!$C$21, $C$9, 100%, $E$9)</f>
        <v>21.861599999999999</v>
      </c>
      <c r="H765" s="10">
        <f>CHOOSE(CONTROL!$C$42, 22.0857, 22.0857) * CHOOSE(CONTROL!$C$21, $C$9, 100%, $E$9)</f>
        <v>22.085699999999999</v>
      </c>
      <c r="I765" s="10">
        <f>CHOOSE(CONTROL!$C$42, 21.8799, 21.8799)* CHOOSE(CONTROL!$C$21, $C$9, 100%, $E$9)</f>
        <v>21.879899999999999</v>
      </c>
      <c r="J765" s="10">
        <f>CHOOSE(CONTROL!$C$42, 21.838, 21.838)* CHOOSE(CONTROL!$C$21, $C$9, 100%, $E$9)</f>
        <v>21.838000000000001</v>
      </c>
      <c r="K765" s="10">
        <f>CHOOSE(CONTROL!$C$42, 21.3566, 21.3566) * CHOOSE(CONTROL!$C$21, $C$9, 100%, $E$9)</f>
        <v>21.3566</v>
      </c>
      <c r="L765" s="10">
        <f>CHOOSE(CONTROL!$C$42, 22.6727, 22.6727) * CHOOSE(CONTROL!$C$21, $C$9, 100%, $E$9)</f>
        <v>22.672699999999999</v>
      </c>
      <c r="M765" s="10">
        <f>CHOOSE(CONTROL!$C$42, 21.5664, 21.5664) * CHOOSE(CONTROL!$C$21, $C$9, 100%, $E$9)</f>
        <v>21.566400000000002</v>
      </c>
      <c r="N765" s="10">
        <f>CHOOSE(CONTROL!$C$42, 21.5824, 21.5824) * CHOOSE(CONTROL!$C$21, $C$9, 100%, $E$9)</f>
        <v>21.5824</v>
      </c>
      <c r="O765" s="10">
        <f>CHOOSE(CONTROL!$C$42, 21.8106, 21.8106) * CHOOSE(CONTROL!$C$21, $C$9, 100%, $E$9)</f>
        <v>21.810600000000001</v>
      </c>
      <c r="P765" s="10">
        <f>CHOOSE(CONTROL!$C$42, 21.6077, 21.6077) * CHOOSE(CONTROL!$C$21, $C$9, 100%, $E$9)</f>
        <v>21.607700000000001</v>
      </c>
      <c r="Q765" s="10">
        <f>CHOOSE(CONTROL!$C$42, 22.4059, 22.4059) * CHOOSE(CONTROL!$C$21, $C$9, 100%, $E$9)</f>
        <v>22.405899999999999</v>
      </c>
      <c r="R765" s="10">
        <f>CHOOSE(CONTROL!$C$42, 23.0489, 23.0489) * CHOOSE(CONTROL!$C$21, $C$9, 100%, $E$9)</f>
        <v>23.0489</v>
      </c>
      <c r="S765" s="10">
        <f>CHOOSE(CONTROL!$C$42, 21.2214, 21.2214) * CHOOSE(CONTROL!$C$21, $C$9, 100%, $E$9)</f>
        <v>21.221399999999999</v>
      </c>
      <c r="T76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65" s="38">
        <f>(1000*CHOOSE(CONTROL!$C$42, 695, 695)*CHOOSE(CONTROL!$C$42, 0.5599, 0.5599)*CHOOSE(CONTROL!$C$42, 30, 30))/1000000</f>
        <v>11.673914999999997</v>
      </c>
      <c r="V765" s="38">
        <f>(1000*CHOOSE(CONTROL!$C$42, 500, 500)*CHOOSE(CONTROL!$C$42, 0.275, 0.275)*CHOOSE(CONTROL!$C$42, 30, 30))/1000000</f>
        <v>4.125</v>
      </c>
      <c r="W765" s="38">
        <f>(1000*CHOOSE(CONTROL!$C$42, 0.1146, 0.1146)*CHOOSE(CONTROL!$C$42, 121.5, 121.5)*CHOOSE(CONTROL!$C$42, 30, 30))/1000000</f>
        <v>0.417717</v>
      </c>
      <c r="X765" s="38">
        <f>(30*0.1790888*245000/1000000)+(30*0.2374*100000/1000000)</f>
        <v>2.0285026799999999</v>
      </c>
      <c r="Y765" s="38">
        <f>(1000*600*CHOOSE(CONTROL!$C$42, 1.0585, 1.0585)*CHOOSE(CONTROL!$C$42, 30, 30))/1000000</f>
        <v>19.053000000000001</v>
      </c>
      <c r="Z765" s="38"/>
      <c r="AA765" s="10"/>
      <c r="AB765" s="39"/>
      <c r="AC765" s="33">
        <f>(B765*194.205+C765*267.466+D765*133.845+E765*53.484+F765*40+G765*185+H765*0+I765*100+J765*300)/(194.205+267.466+133.845+53.484+0+40+185+100+300)</f>
        <v>21.904343495918372</v>
      </c>
      <c r="AD765" s="27">
        <f>(M765*'RAP TEMPLATE-GAS AVAILABILITY'!O764+N765*'RAP TEMPLATE-GAS AVAILABILITY'!P764+O765*'RAP TEMPLATE-GAS AVAILABILITY'!Q764+P765*'RAP TEMPLATE-GAS AVAILABILITY'!R764)/('RAP TEMPLATE-GAS AVAILABILITY'!O764+'RAP TEMPLATE-GAS AVAILABILITY'!P764+'RAP TEMPLATE-GAS AVAILABILITY'!Q764+'RAP TEMPLATE-GAS AVAILABILITY'!R764)</f>
        <v>21.683943884892088</v>
      </c>
    </row>
    <row r="766" spans="1:30" ht="15.75">
      <c r="A766" s="13">
        <v>64589</v>
      </c>
      <c r="B766" s="10">
        <f>CHOOSE(CONTROL!$C$42, 21.4539, 21.4539) * CHOOSE(CONTROL!$C$21, $C$9, 100%, $E$9)</f>
        <v>21.453900000000001</v>
      </c>
      <c r="C766" s="10">
        <f>CHOOSE(CONTROL!$C$42, 21.4593, 21.4593) * CHOOSE(CONTROL!$C$21, $C$9, 100%, $E$9)</f>
        <v>21.459299999999999</v>
      </c>
      <c r="D766" s="10">
        <f>CHOOSE(CONTROL!$C$42, 21.6212, 21.6212) * CHOOSE(CONTROL!$C$21, $C$9, 100%, $E$9)</f>
        <v>21.621200000000002</v>
      </c>
      <c r="E766" s="10">
        <f>CHOOSE(CONTROL!$C$42, 21.6501, 21.6501) * CHOOSE(CONTROL!$C$21, $C$9, 100%, $E$9)</f>
        <v>21.650099999999998</v>
      </c>
      <c r="F766" s="10">
        <f>CHOOSE(CONTROL!$C$42, 21.4003, 21.4003)*CHOOSE(CONTROL!$C$21, $C$9, 100%, $E$9)</f>
        <v>21.400300000000001</v>
      </c>
      <c r="G766" s="10">
        <f>CHOOSE(CONTROL!$C$42, 21.4161, 21.4161)*CHOOSE(CONTROL!$C$21, $C$9, 100%, $E$9)</f>
        <v>21.4161</v>
      </c>
      <c r="H766" s="10">
        <f>CHOOSE(CONTROL!$C$42, 21.6403, 21.6403) * CHOOSE(CONTROL!$C$21, $C$9, 100%, $E$9)</f>
        <v>21.6403</v>
      </c>
      <c r="I766" s="10">
        <f>CHOOSE(CONTROL!$C$42, 21.4344, 21.4344)* CHOOSE(CONTROL!$C$21, $C$9, 100%, $E$9)</f>
        <v>21.4344</v>
      </c>
      <c r="J766" s="10">
        <f>CHOOSE(CONTROL!$C$42, 21.3929, 21.3929)* CHOOSE(CONTROL!$C$21, $C$9, 100%, $E$9)</f>
        <v>21.392900000000001</v>
      </c>
      <c r="K766" s="10">
        <f>CHOOSE(CONTROL!$C$42, 20.9257, 20.9257) * CHOOSE(CONTROL!$C$21, $C$9, 100%, $E$9)</f>
        <v>20.925699999999999</v>
      </c>
      <c r="L766" s="10">
        <f>CHOOSE(CONTROL!$C$42, 22.2273, 22.2273) * CHOOSE(CONTROL!$C$21, $C$9, 100%, $E$9)</f>
        <v>22.2273</v>
      </c>
      <c r="M766" s="10">
        <f>CHOOSE(CONTROL!$C$42, 21.1275, 21.1275) * CHOOSE(CONTROL!$C$21, $C$9, 100%, $E$9)</f>
        <v>21.127500000000001</v>
      </c>
      <c r="N766" s="10">
        <f>CHOOSE(CONTROL!$C$42, 21.1431, 21.1431) * CHOOSE(CONTROL!$C$21, $C$9, 100%, $E$9)</f>
        <v>21.1431</v>
      </c>
      <c r="O766" s="10">
        <f>CHOOSE(CONTROL!$C$42, 21.3714, 21.3714) * CHOOSE(CONTROL!$C$21, $C$9, 100%, $E$9)</f>
        <v>21.371400000000001</v>
      </c>
      <c r="P766" s="10">
        <f>CHOOSE(CONTROL!$C$42, 21.1685, 21.1685) * CHOOSE(CONTROL!$C$21, $C$9, 100%, $E$9)</f>
        <v>21.168500000000002</v>
      </c>
      <c r="Q766" s="10">
        <f>CHOOSE(CONTROL!$C$42, 21.9667, 21.9667) * CHOOSE(CONTROL!$C$21, $C$9, 100%, $E$9)</f>
        <v>21.966699999999999</v>
      </c>
      <c r="R766" s="10">
        <f>CHOOSE(CONTROL!$C$42, 22.6086, 22.6086) * CHOOSE(CONTROL!$C$21, $C$9, 100%, $E$9)</f>
        <v>22.608599999999999</v>
      </c>
      <c r="S766" s="10">
        <f>CHOOSE(CONTROL!$C$42, 20.7901, 20.7901) * CHOOSE(CONTROL!$C$21, $C$9, 100%, $E$9)</f>
        <v>20.790099999999999</v>
      </c>
      <c r="T76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66" s="38">
        <f>(1000*CHOOSE(CONTROL!$C$42, 695, 695)*CHOOSE(CONTROL!$C$42, 0.5599, 0.5599)*CHOOSE(CONTROL!$C$42, 31, 31))/1000000</f>
        <v>12.063045499999998</v>
      </c>
      <c r="V766" s="38">
        <f>(1000*CHOOSE(CONTROL!$C$42, 500, 500)*CHOOSE(CONTROL!$C$42, 0.275, 0.275)*CHOOSE(CONTROL!$C$42, 31, 31))/1000000</f>
        <v>4.2625000000000002</v>
      </c>
      <c r="W766" s="38">
        <f>(1000*CHOOSE(CONTROL!$C$42, 0.1146, 0.1146)*CHOOSE(CONTROL!$C$42, 121.5, 121.5)*CHOOSE(CONTROL!$C$42, 31, 31))/1000000</f>
        <v>0.43164089999999994</v>
      </c>
      <c r="X766" s="38">
        <f>(31*0.1790888*245000/1000000)+(31*0.2374*100000/1000000)</f>
        <v>2.0961194359999999</v>
      </c>
      <c r="Y766" s="38">
        <f>(1000*600*CHOOSE(CONTROL!$C$42, 1.0585, 1.0585)*CHOOSE(CONTROL!$C$42, 31, 31))/1000000</f>
        <v>19.688099999999999</v>
      </c>
      <c r="Z766" s="38"/>
      <c r="AA766" s="10"/>
      <c r="AB766" s="39"/>
      <c r="AC766" s="33">
        <f>(B766*131.881+C766*277.167+D766*79.08+E766*125.872+F766*40+G766*185+H766*0+I766*100+J766*300)/(131.881+277.167+79.08+125.872+0+40+185+100+300)</f>
        <v>21.461999977562549</v>
      </c>
      <c r="AD766" s="27">
        <f>(M766*'RAP TEMPLATE-GAS AVAILABILITY'!O765+N766*'RAP TEMPLATE-GAS AVAILABILITY'!P765+O766*'RAP TEMPLATE-GAS AVAILABILITY'!Q765+P766*'RAP TEMPLATE-GAS AVAILABILITY'!R765)/('RAP TEMPLATE-GAS AVAILABILITY'!O765+'RAP TEMPLATE-GAS AVAILABILITY'!P765+'RAP TEMPLATE-GAS AVAILABILITY'!Q765+'RAP TEMPLATE-GAS AVAILABILITY'!R765)</f>
        <v>21.244841726618706</v>
      </c>
    </row>
    <row r="767" spans="1:30" ht="15.75">
      <c r="A767" s="13">
        <v>64619</v>
      </c>
      <c r="B767" s="10">
        <f>CHOOSE(CONTROL!$C$42, 22.0191, 22.0191) * CHOOSE(CONTROL!$C$21, $C$9, 100%, $E$9)</f>
        <v>22.019100000000002</v>
      </c>
      <c r="C767" s="10">
        <f>CHOOSE(CONTROL!$C$42, 22.0242, 22.0242) * CHOOSE(CONTROL!$C$21, $C$9, 100%, $E$9)</f>
        <v>22.0242</v>
      </c>
      <c r="D767" s="10">
        <f>CHOOSE(CONTROL!$C$42, 22.0489, 22.0489) * CHOOSE(CONTROL!$C$21, $C$9, 100%, $E$9)</f>
        <v>22.0489</v>
      </c>
      <c r="E767" s="10">
        <f>CHOOSE(CONTROL!$C$42, 22.0827, 22.0827) * CHOOSE(CONTROL!$C$21, $C$9, 100%, $E$9)</f>
        <v>22.082699999999999</v>
      </c>
      <c r="F767" s="10">
        <f>CHOOSE(CONTROL!$C$42, 21.9875, 21.9875)*CHOOSE(CONTROL!$C$21, $C$9, 100%, $E$9)</f>
        <v>21.987500000000001</v>
      </c>
      <c r="G767" s="10">
        <f>CHOOSE(CONTROL!$C$42, 22.0035, 22.0035)*CHOOSE(CONTROL!$C$21, $C$9, 100%, $E$9)</f>
        <v>22.003499999999999</v>
      </c>
      <c r="H767" s="10">
        <f>CHOOSE(CONTROL!$C$42, 22.0716, 22.0716) * CHOOSE(CONTROL!$C$21, $C$9, 100%, $E$9)</f>
        <v>22.0716</v>
      </c>
      <c r="I767" s="10">
        <f>CHOOSE(CONTROL!$C$42, 22.0341, 22.0341)* CHOOSE(CONTROL!$C$21, $C$9, 100%, $E$9)</f>
        <v>22.034099999999999</v>
      </c>
      <c r="J767" s="10">
        <f>CHOOSE(CONTROL!$C$42, 21.9801, 21.9801)* CHOOSE(CONTROL!$C$21, $C$9, 100%, $E$9)</f>
        <v>21.9801</v>
      </c>
      <c r="K767" s="10">
        <f>CHOOSE(CONTROL!$C$42, 21.5089, 21.5089) * CHOOSE(CONTROL!$C$21, $C$9, 100%, $E$9)</f>
        <v>21.508900000000001</v>
      </c>
      <c r="L767" s="10">
        <f>CHOOSE(CONTROL!$C$42, 22.6586, 22.6586) * CHOOSE(CONTROL!$C$21, $C$9, 100%, $E$9)</f>
        <v>22.6586</v>
      </c>
      <c r="M767" s="10">
        <f>CHOOSE(CONTROL!$C$42, 21.7065, 21.7065) * CHOOSE(CONTROL!$C$21, $C$9, 100%, $E$9)</f>
        <v>21.706499999999998</v>
      </c>
      <c r="N767" s="10">
        <f>CHOOSE(CONTROL!$C$42, 21.7222, 21.7222) * CHOOSE(CONTROL!$C$21, $C$9, 100%, $E$9)</f>
        <v>21.722200000000001</v>
      </c>
      <c r="O767" s="10">
        <f>CHOOSE(CONTROL!$C$42, 21.7967, 21.7967) * CHOOSE(CONTROL!$C$21, $C$9, 100%, $E$9)</f>
        <v>21.796700000000001</v>
      </c>
      <c r="P767" s="10">
        <f>CHOOSE(CONTROL!$C$42, 21.7598, 21.7598) * CHOOSE(CONTROL!$C$21, $C$9, 100%, $E$9)</f>
        <v>21.759799999999998</v>
      </c>
      <c r="Q767" s="10">
        <f>CHOOSE(CONTROL!$C$42, 22.392, 22.392) * CHOOSE(CONTROL!$C$21, $C$9, 100%, $E$9)</f>
        <v>22.391999999999999</v>
      </c>
      <c r="R767" s="10">
        <f>CHOOSE(CONTROL!$C$42, 23.035, 23.035) * CHOOSE(CONTROL!$C$21, $C$9, 100%, $E$9)</f>
        <v>23.035</v>
      </c>
      <c r="S767" s="10">
        <f>CHOOSE(CONTROL!$C$42, 21.3378, 21.3378) * CHOOSE(CONTROL!$C$21, $C$9, 100%, $E$9)</f>
        <v>21.337800000000001</v>
      </c>
      <c r="T76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67" s="38">
        <f>(1000*CHOOSE(CONTROL!$C$42, 695, 695)*CHOOSE(CONTROL!$C$42, 0.5599, 0.5599)*CHOOSE(CONTROL!$C$42, 30, 30))/1000000</f>
        <v>11.673914999999997</v>
      </c>
      <c r="V767" s="38">
        <f>(1000*CHOOSE(CONTROL!$C$42, 500, 500)*CHOOSE(CONTROL!$C$42, 0.275, 0.275)*CHOOSE(CONTROL!$C$42, 30, 30))/1000000</f>
        <v>4.125</v>
      </c>
      <c r="W767" s="38">
        <f>(1000*CHOOSE(CONTROL!$C$42, 0.1146, 0.1146)*CHOOSE(CONTROL!$C$42, 121.5, 121.5)*CHOOSE(CONTROL!$C$42, 30, 30))/1000000</f>
        <v>0.417717</v>
      </c>
      <c r="X767" s="38">
        <f>(30*0.1790888*100000/1000000)+(30*0.2374*100000/1000000)</f>
        <v>1.2494664</v>
      </c>
      <c r="Y767" s="38">
        <f>(1000*600*CHOOSE(CONTROL!$C$42, 1.0585, 1.0585)*CHOOSE(CONTROL!$C$42, 30, 30))/1000000</f>
        <v>19.053000000000001</v>
      </c>
      <c r="Z767" s="38"/>
      <c r="AA767" s="10"/>
      <c r="AB767" s="39"/>
      <c r="AC767" s="33">
        <f>(B767*122.58+C767*297.941+D767*89.177+E767*40.302+F767*40+G767*160+H767*0+I767*100+J767*300)/(122.58+297.941+89.177+40.302+0+40+160+100+300)</f>
        <v>22.012821896434783</v>
      </c>
      <c r="AD767" s="27">
        <f>(M767*'RAP TEMPLATE-GAS AVAILABILITY'!O766+N767*'RAP TEMPLATE-GAS AVAILABILITY'!P766+O767*'RAP TEMPLATE-GAS AVAILABILITY'!Q766+P767*'RAP TEMPLATE-GAS AVAILABILITY'!R766)/('RAP TEMPLATE-GAS AVAILABILITY'!O766+'RAP TEMPLATE-GAS AVAILABILITY'!P766+'RAP TEMPLATE-GAS AVAILABILITY'!Q766+'RAP TEMPLATE-GAS AVAILABILITY'!R766)</f>
        <v>21.755954676258991</v>
      </c>
    </row>
    <row r="768" spans="1:30" ht="15.75">
      <c r="A768" s="13">
        <v>64650</v>
      </c>
      <c r="B768" s="10">
        <f>CHOOSE(CONTROL!$C$42, 23.5215, 23.5215) * CHOOSE(CONTROL!$C$21, $C$9, 100%, $E$9)</f>
        <v>23.5215</v>
      </c>
      <c r="C768" s="10">
        <f>CHOOSE(CONTROL!$C$42, 23.5266, 23.5266) * CHOOSE(CONTROL!$C$21, $C$9, 100%, $E$9)</f>
        <v>23.526599999999998</v>
      </c>
      <c r="D768" s="10">
        <f>CHOOSE(CONTROL!$C$42, 23.5513, 23.5513) * CHOOSE(CONTROL!$C$21, $C$9, 100%, $E$9)</f>
        <v>23.551300000000001</v>
      </c>
      <c r="E768" s="10">
        <f>CHOOSE(CONTROL!$C$42, 23.5851, 23.5851) * CHOOSE(CONTROL!$C$21, $C$9, 100%, $E$9)</f>
        <v>23.585100000000001</v>
      </c>
      <c r="F768" s="10">
        <f>CHOOSE(CONTROL!$C$42, 23.4918, 23.4918)*CHOOSE(CONTROL!$C$21, $C$9, 100%, $E$9)</f>
        <v>23.491800000000001</v>
      </c>
      <c r="G768" s="10">
        <f>CHOOSE(CONTROL!$C$42, 23.5082, 23.5082)*CHOOSE(CONTROL!$C$21, $C$9, 100%, $E$9)</f>
        <v>23.508199999999999</v>
      </c>
      <c r="H768" s="10">
        <f>CHOOSE(CONTROL!$C$42, 23.574, 23.574) * CHOOSE(CONTROL!$C$21, $C$9, 100%, $E$9)</f>
        <v>23.574000000000002</v>
      </c>
      <c r="I768" s="10">
        <f>CHOOSE(CONTROL!$C$42, 23.5365, 23.5365)* CHOOSE(CONTROL!$C$21, $C$9, 100%, $E$9)</f>
        <v>23.5365</v>
      </c>
      <c r="J768" s="10">
        <f>CHOOSE(CONTROL!$C$42, 23.4844, 23.4844)* CHOOSE(CONTROL!$C$21, $C$9, 100%, $E$9)</f>
        <v>23.484400000000001</v>
      </c>
      <c r="K768" s="10">
        <f>CHOOSE(CONTROL!$C$42, 22.9685, 22.9685) * CHOOSE(CONTROL!$C$21, $C$9, 100%, $E$9)</f>
        <v>22.968499999999999</v>
      </c>
      <c r="L768" s="10">
        <f>CHOOSE(CONTROL!$C$42, 24.161, 24.161) * CHOOSE(CONTROL!$C$21, $C$9, 100%, $E$9)</f>
        <v>24.161000000000001</v>
      </c>
      <c r="M768" s="10">
        <f>CHOOSE(CONTROL!$C$42, 23.1898, 23.1898) * CHOOSE(CONTROL!$C$21, $C$9, 100%, $E$9)</f>
        <v>23.189800000000002</v>
      </c>
      <c r="N768" s="10">
        <f>CHOOSE(CONTROL!$C$42, 23.206, 23.206) * CHOOSE(CONTROL!$C$21, $C$9, 100%, $E$9)</f>
        <v>23.206</v>
      </c>
      <c r="O768" s="10">
        <f>CHOOSE(CONTROL!$C$42, 23.2781, 23.2781) * CHOOSE(CONTROL!$C$21, $C$9, 100%, $E$9)</f>
        <v>23.278099999999998</v>
      </c>
      <c r="P768" s="10">
        <f>CHOOSE(CONTROL!$C$42, 23.2412, 23.2412) * CHOOSE(CONTROL!$C$21, $C$9, 100%, $E$9)</f>
        <v>23.241199999999999</v>
      </c>
      <c r="Q768" s="10">
        <f>CHOOSE(CONTROL!$C$42, 23.8734, 23.8734) * CHOOSE(CONTROL!$C$21, $C$9, 100%, $E$9)</f>
        <v>23.8734</v>
      </c>
      <c r="R768" s="10">
        <f>CHOOSE(CONTROL!$C$42, 24.5201, 24.5201) * CHOOSE(CONTROL!$C$21, $C$9, 100%, $E$9)</f>
        <v>24.520099999999999</v>
      </c>
      <c r="S768" s="10">
        <f>CHOOSE(CONTROL!$C$42, 22.7925, 22.7925) * CHOOSE(CONTROL!$C$21, $C$9, 100%, $E$9)</f>
        <v>22.7925</v>
      </c>
      <c r="T76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68" s="38">
        <f>(1000*CHOOSE(CONTROL!$C$42, 695, 695)*CHOOSE(CONTROL!$C$42, 0.5599, 0.5599)*CHOOSE(CONTROL!$C$42, 31, 31))/1000000</f>
        <v>12.063045499999998</v>
      </c>
      <c r="V768" s="38">
        <f>(1000*CHOOSE(CONTROL!$C$42, 500, 500)*CHOOSE(CONTROL!$C$42, 0.275, 0.275)*CHOOSE(CONTROL!$C$42, 31, 31))/1000000</f>
        <v>4.2625000000000002</v>
      </c>
      <c r="W768" s="38">
        <f>(1000*CHOOSE(CONTROL!$C$42, 0.1146, 0.1146)*CHOOSE(CONTROL!$C$42, 121.5, 121.5)*CHOOSE(CONTROL!$C$42, 31, 31))/1000000</f>
        <v>0.43164089999999994</v>
      </c>
      <c r="X768" s="38">
        <f>(31*0.1790888*100000/1000000)+(31*0.2374*100000/1000000)</f>
        <v>1.2911152800000001</v>
      </c>
      <c r="Y768" s="38">
        <f>(1000*600*CHOOSE(CONTROL!$C$42, 1.0585, 1.0585)*CHOOSE(CONTROL!$C$42, 31, 31))/1000000</f>
        <v>19.688099999999999</v>
      </c>
      <c r="Z768" s="38"/>
      <c r="AA768" s="10"/>
      <c r="AB768" s="39"/>
      <c r="AC768" s="33">
        <f>(B768*122.58+C768*297.941+D768*89.177+E768*40.302+F768*40+G768*160+H768*0+I768*100+J768*300)/(122.58+297.941+89.177+40.302+0+40+160+100+300)</f>
        <v>23.516103635565219</v>
      </c>
      <c r="AD768" s="27">
        <f>(M768*'RAP TEMPLATE-GAS AVAILABILITY'!O767+N768*'RAP TEMPLATE-GAS AVAILABILITY'!P767+O768*'RAP TEMPLATE-GAS AVAILABILITY'!Q767+P768*'RAP TEMPLATE-GAS AVAILABILITY'!R767)/('RAP TEMPLATE-GAS AVAILABILITY'!O767+'RAP TEMPLATE-GAS AVAILABILITY'!P767+'RAP TEMPLATE-GAS AVAILABILITY'!Q767+'RAP TEMPLATE-GAS AVAILABILITY'!R767)</f>
        <v>23.23814892086331</v>
      </c>
    </row>
    <row r="769" spans="1:30" ht="15.75">
      <c r="A769" s="13">
        <v>64681</v>
      </c>
      <c r="B769" s="10">
        <f>CHOOSE(CONTROL!$C$42, 25.1102, 25.1102) * CHOOSE(CONTROL!$C$21, $C$9, 100%, $E$9)</f>
        <v>25.110199999999999</v>
      </c>
      <c r="C769" s="10">
        <f>CHOOSE(CONTROL!$C$42, 25.1153, 25.1153) * CHOOSE(CONTROL!$C$21, $C$9, 100%, $E$9)</f>
        <v>25.115300000000001</v>
      </c>
      <c r="D769" s="10">
        <f>CHOOSE(CONTROL!$C$42, 25.1477, 25.1477) * CHOOSE(CONTROL!$C$21, $C$9, 100%, $E$9)</f>
        <v>25.1477</v>
      </c>
      <c r="E769" s="10">
        <f>CHOOSE(CONTROL!$C$42, 25.1815, 25.1815) * CHOOSE(CONTROL!$C$21, $C$9, 100%, $E$9)</f>
        <v>25.1815</v>
      </c>
      <c r="F769" s="10">
        <f>CHOOSE(CONTROL!$C$42, 25.0944, 25.0944)*CHOOSE(CONTROL!$C$21, $C$9, 100%, $E$9)</f>
        <v>25.0944</v>
      </c>
      <c r="G769" s="10">
        <f>CHOOSE(CONTROL!$C$42, 25.1124, 25.1124)*CHOOSE(CONTROL!$C$21, $C$9, 100%, $E$9)</f>
        <v>25.112400000000001</v>
      </c>
      <c r="H769" s="10">
        <f>CHOOSE(CONTROL!$C$42, 25.1704, 25.1704) * CHOOSE(CONTROL!$C$21, $C$9, 100%, $E$9)</f>
        <v>25.170400000000001</v>
      </c>
      <c r="I769" s="10">
        <f>CHOOSE(CONTROL!$C$42, 25.1236, 25.1236)* CHOOSE(CONTROL!$C$21, $C$9, 100%, $E$9)</f>
        <v>25.1236</v>
      </c>
      <c r="J769" s="10">
        <f>CHOOSE(CONTROL!$C$42, 25.087, 25.087)* CHOOSE(CONTROL!$C$21, $C$9, 100%, $E$9)</f>
        <v>25.087</v>
      </c>
      <c r="K769" s="10">
        <f>CHOOSE(CONTROL!$C$42, 24.52, 24.52) * CHOOSE(CONTROL!$C$21, $C$9, 100%, $E$9)</f>
        <v>24.52</v>
      </c>
      <c r="L769" s="10">
        <f>CHOOSE(CONTROL!$C$42, 25.7574, 25.7574) * CHOOSE(CONTROL!$C$21, $C$9, 100%, $E$9)</f>
        <v>25.757400000000001</v>
      </c>
      <c r="M769" s="10">
        <f>CHOOSE(CONTROL!$C$42, 24.77, 24.77) * CHOOSE(CONTROL!$C$21, $C$9, 100%, $E$9)</f>
        <v>24.77</v>
      </c>
      <c r="N769" s="10">
        <f>CHOOSE(CONTROL!$C$42, 24.7878, 24.7878) * CHOOSE(CONTROL!$C$21, $C$9, 100%, $E$9)</f>
        <v>24.787800000000001</v>
      </c>
      <c r="O769" s="10">
        <f>CHOOSE(CONTROL!$C$42, 24.8523, 24.8523) * CHOOSE(CONTROL!$C$21, $C$9, 100%, $E$9)</f>
        <v>24.8523</v>
      </c>
      <c r="P769" s="10">
        <f>CHOOSE(CONTROL!$C$42, 24.8062, 24.8062) * CHOOSE(CONTROL!$C$21, $C$9, 100%, $E$9)</f>
        <v>24.8062</v>
      </c>
      <c r="Q769" s="10">
        <f>CHOOSE(CONTROL!$C$42, 25.4476, 25.4476) * CHOOSE(CONTROL!$C$21, $C$9, 100%, $E$9)</f>
        <v>25.447600000000001</v>
      </c>
      <c r="R769" s="10">
        <f>CHOOSE(CONTROL!$C$42, 26.0982, 26.0982) * CHOOSE(CONTROL!$C$21, $C$9, 100%, $E$9)</f>
        <v>26.098199999999999</v>
      </c>
      <c r="S769" s="10">
        <f>CHOOSE(CONTROL!$C$42, 24.3308, 24.3308) * CHOOSE(CONTROL!$C$21, $C$9, 100%, $E$9)</f>
        <v>24.3308</v>
      </c>
      <c r="T76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69" s="38">
        <f>(1000*CHOOSE(CONTROL!$C$42, 695, 695)*CHOOSE(CONTROL!$C$42, 0.5599, 0.5599)*CHOOSE(CONTROL!$C$42, 31, 31))/1000000</f>
        <v>12.063045499999998</v>
      </c>
      <c r="V769" s="38">
        <f>(1000*CHOOSE(CONTROL!$C$42, 500, 500)*CHOOSE(CONTROL!$C$42, 0.275, 0.275)*CHOOSE(CONTROL!$C$42, 31, 31))/1000000</f>
        <v>4.2625000000000002</v>
      </c>
      <c r="W769" s="38">
        <f>(1000*CHOOSE(CONTROL!$C$42, 0.1146, 0.1146)*CHOOSE(CONTROL!$C$42, 121.5, 121.5)*CHOOSE(CONTROL!$C$42, 31, 31))/1000000</f>
        <v>0.43164089999999994</v>
      </c>
      <c r="X769" s="38">
        <f>(31*0.1790888*100000/1000000)+(31*0.2374*100000/1000000)</f>
        <v>1.2911152800000001</v>
      </c>
      <c r="Y769" s="38">
        <f>(1000*600*CHOOSE(CONTROL!$C$42, 1.0585, 1.0585)*CHOOSE(CONTROL!$C$42, 31, 31))/1000000</f>
        <v>19.688099999999999</v>
      </c>
      <c r="Z769" s="38"/>
      <c r="AA769" s="10"/>
      <c r="AB769" s="39"/>
      <c r="AC769" s="33">
        <f>(B769*122.58+C769*297.941+D769*89.177+E769*40.302+F769*40+G769*160+H769*0+I769*100+J769*300)/(122.58+297.941+89.177+40.302+0+40+160+100+300)</f>
        <v>25.111797538434786</v>
      </c>
      <c r="AD769" s="27">
        <f>(M769*'RAP TEMPLATE-GAS AVAILABILITY'!O768+N769*'RAP TEMPLATE-GAS AVAILABILITY'!P768+O769*'RAP TEMPLATE-GAS AVAILABILITY'!Q768+P769*'RAP TEMPLATE-GAS AVAILABILITY'!R768)/('RAP TEMPLATE-GAS AVAILABILITY'!O768+'RAP TEMPLATE-GAS AVAILABILITY'!P768+'RAP TEMPLATE-GAS AVAILABILITY'!Q768+'RAP TEMPLATE-GAS AVAILABILITY'!R768)</f>
        <v>24.813534532374103</v>
      </c>
    </row>
    <row r="770" spans="1:30" ht="15.75">
      <c r="A770" s="13">
        <v>64709</v>
      </c>
      <c r="B770" s="10">
        <f>CHOOSE(CONTROL!$C$42, 25.5575, 25.5575) * CHOOSE(CONTROL!$C$21, $C$9, 100%, $E$9)</f>
        <v>25.557500000000001</v>
      </c>
      <c r="C770" s="10">
        <f>CHOOSE(CONTROL!$C$42, 25.5626, 25.5626) * CHOOSE(CONTROL!$C$21, $C$9, 100%, $E$9)</f>
        <v>25.5626</v>
      </c>
      <c r="D770" s="10">
        <f>CHOOSE(CONTROL!$C$42, 25.595, 25.595) * CHOOSE(CONTROL!$C$21, $C$9, 100%, $E$9)</f>
        <v>25.594999999999999</v>
      </c>
      <c r="E770" s="10">
        <f>CHOOSE(CONTROL!$C$42, 25.6288, 25.6288) * CHOOSE(CONTROL!$C$21, $C$9, 100%, $E$9)</f>
        <v>25.628799999999998</v>
      </c>
      <c r="F770" s="10">
        <f>CHOOSE(CONTROL!$C$42, 25.5412, 25.5412)*CHOOSE(CONTROL!$C$21, $C$9, 100%, $E$9)</f>
        <v>25.5412</v>
      </c>
      <c r="G770" s="10">
        <f>CHOOSE(CONTROL!$C$42, 25.5591, 25.5591)*CHOOSE(CONTROL!$C$21, $C$9, 100%, $E$9)</f>
        <v>25.559100000000001</v>
      </c>
      <c r="H770" s="10">
        <f>CHOOSE(CONTROL!$C$42, 25.6177, 25.6177) * CHOOSE(CONTROL!$C$21, $C$9, 100%, $E$9)</f>
        <v>25.617699999999999</v>
      </c>
      <c r="I770" s="10">
        <f>CHOOSE(CONTROL!$C$42, 25.5709, 25.5709)* CHOOSE(CONTROL!$C$21, $C$9, 100%, $E$9)</f>
        <v>25.570900000000002</v>
      </c>
      <c r="J770" s="10">
        <f>CHOOSE(CONTROL!$C$42, 25.5338, 25.5338)* CHOOSE(CONTROL!$C$21, $C$9, 100%, $E$9)</f>
        <v>25.533799999999999</v>
      </c>
      <c r="K770" s="10">
        <f>CHOOSE(CONTROL!$C$42, 24.9523, 24.9523) * CHOOSE(CONTROL!$C$21, $C$9, 100%, $E$9)</f>
        <v>24.952300000000001</v>
      </c>
      <c r="L770" s="10">
        <f>CHOOSE(CONTROL!$C$42, 26.2047, 26.2047) * CHOOSE(CONTROL!$C$21, $C$9, 100%, $E$9)</f>
        <v>26.204699999999999</v>
      </c>
      <c r="M770" s="10">
        <f>CHOOSE(CONTROL!$C$42, 25.2106, 25.2106) * CHOOSE(CONTROL!$C$21, $C$9, 100%, $E$9)</f>
        <v>25.210599999999999</v>
      </c>
      <c r="N770" s="10">
        <f>CHOOSE(CONTROL!$C$42, 25.2283, 25.2283) * CHOOSE(CONTROL!$C$21, $C$9, 100%, $E$9)</f>
        <v>25.228300000000001</v>
      </c>
      <c r="O770" s="10">
        <f>CHOOSE(CONTROL!$C$42, 25.2933, 25.2933) * CHOOSE(CONTROL!$C$21, $C$9, 100%, $E$9)</f>
        <v>25.293299999999999</v>
      </c>
      <c r="P770" s="10">
        <f>CHOOSE(CONTROL!$C$42, 25.2472, 25.2472) * CHOOSE(CONTROL!$C$21, $C$9, 100%, $E$9)</f>
        <v>25.247199999999999</v>
      </c>
      <c r="Q770" s="10">
        <f>CHOOSE(CONTROL!$C$42, 25.8886, 25.8886) * CHOOSE(CONTROL!$C$21, $C$9, 100%, $E$9)</f>
        <v>25.8886</v>
      </c>
      <c r="R770" s="10">
        <f>CHOOSE(CONTROL!$C$42, 26.5403, 26.5403) * CHOOSE(CONTROL!$C$21, $C$9, 100%, $E$9)</f>
        <v>26.540299999999998</v>
      </c>
      <c r="S770" s="10">
        <f>CHOOSE(CONTROL!$C$42, 24.7639, 24.7639) * CHOOSE(CONTROL!$C$21, $C$9, 100%, $E$9)</f>
        <v>24.7639</v>
      </c>
      <c r="T77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70" s="38">
        <f>(1000*CHOOSE(CONTROL!$C$42, 695, 695)*CHOOSE(CONTROL!$C$42, 0.5599, 0.5599)*CHOOSE(CONTROL!$C$42, 28, 28))/1000000</f>
        <v>10.895653999999999</v>
      </c>
      <c r="V770" s="38">
        <f>(1000*CHOOSE(CONTROL!$C$42, 500, 500)*CHOOSE(CONTROL!$C$42, 0.275, 0.275)*CHOOSE(CONTROL!$C$42, 28, 28))/1000000</f>
        <v>3.85</v>
      </c>
      <c r="W770" s="38">
        <f>(1000*CHOOSE(CONTROL!$C$42, 0.1146, 0.1146)*CHOOSE(CONTROL!$C$42, 121.5, 121.5)*CHOOSE(CONTROL!$C$42, 28, 28))/1000000</f>
        <v>0.38986920000000003</v>
      </c>
      <c r="X770" s="38">
        <f>(28*0.1790888*100000/1000000)+(28*0.2374*100000/1000000)</f>
        <v>1.16616864</v>
      </c>
      <c r="Y770" s="38">
        <f>(1000*600*CHOOSE(CONTROL!$C$42, 1.0585, 1.0585)*CHOOSE(CONTROL!$C$42, 28, 28))/1000000</f>
        <v>17.782800000000002</v>
      </c>
      <c r="Z770" s="38"/>
      <c r="AA770" s="10"/>
      <c r="AB770" s="39"/>
      <c r="AC770" s="33">
        <f>(B770*122.58+C770*297.941+D770*89.177+E770*40.302+F770*40+G770*160+H770*0+I770*100+J770*300)/(122.58+297.941+89.177+40.302+0+40+160+100+300)</f>
        <v>25.558866234086956</v>
      </c>
      <c r="AD770" s="27">
        <f>(M770*'RAP TEMPLATE-GAS AVAILABILITY'!O769+N770*'RAP TEMPLATE-GAS AVAILABILITY'!P769+O770*'RAP TEMPLATE-GAS AVAILABILITY'!Q769+P770*'RAP TEMPLATE-GAS AVAILABILITY'!R769)/('RAP TEMPLATE-GAS AVAILABILITY'!O769+'RAP TEMPLATE-GAS AVAILABILITY'!P769+'RAP TEMPLATE-GAS AVAILABILITY'!Q769+'RAP TEMPLATE-GAS AVAILABILITY'!R769)</f>
        <v>25.254367625899278</v>
      </c>
    </row>
    <row r="771" spans="1:30" ht="15.75">
      <c r="A771" s="13">
        <v>64740</v>
      </c>
      <c r="B771" s="10">
        <f>CHOOSE(CONTROL!$C$42, 24.8314, 24.8314) * CHOOSE(CONTROL!$C$21, $C$9, 100%, $E$9)</f>
        <v>24.831399999999999</v>
      </c>
      <c r="C771" s="10">
        <f>CHOOSE(CONTROL!$C$42, 24.8365, 24.8365) * CHOOSE(CONTROL!$C$21, $C$9, 100%, $E$9)</f>
        <v>24.836500000000001</v>
      </c>
      <c r="D771" s="10">
        <f>CHOOSE(CONTROL!$C$42, 24.8689, 24.8689) * CHOOSE(CONTROL!$C$21, $C$9, 100%, $E$9)</f>
        <v>24.8689</v>
      </c>
      <c r="E771" s="10">
        <f>CHOOSE(CONTROL!$C$42, 24.9027, 24.9027) * CHOOSE(CONTROL!$C$21, $C$9, 100%, $E$9)</f>
        <v>24.902699999999999</v>
      </c>
      <c r="F771" s="10">
        <f>CHOOSE(CONTROL!$C$42, 24.8137, 24.8137)*CHOOSE(CONTROL!$C$21, $C$9, 100%, $E$9)</f>
        <v>24.813700000000001</v>
      </c>
      <c r="G771" s="10">
        <f>CHOOSE(CONTROL!$C$42, 24.8312, 24.8312)*CHOOSE(CONTROL!$C$21, $C$9, 100%, $E$9)</f>
        <v>24.831199999999999</v>
      </c>
      <c r="H771" s="10">
        <f>CHOOSE(CONTROL!$C$42, 24.8916, 24.8916) * CHOOSE(CONTROL!$C$21, $C$9, 100%, $E$9)</f>
        <v>24.8916</v>
      </c>
      <c r="I771" s="10">
        <f>CHOOSE(CONTROL!$C$42, 24.8448, 24.8448)* CHOOSE(CONTROL!$C$21, $C$9, 100%, $E$9)</f>
        <v>24.844799999999999</v>
      </c>
      <c r="J771" s="10">
        <f>CHOOSE(CONTROL!$C$42, 24.8063, 24.8063)* CHOOSE(CONTROL!$C$21, $C$9, 100%, $E$9)</f>
        <v>24.8063</v>
      </c>
      <c r="K771" s="10">
        <f>CHOOSE(CONTROL!$C$42, 24.2458, 24.2458) * CHOOSE(CONTROL!$C$21, $C$9, 100%, $E$9)</f>
        <v>24.245799999999999</v>
      </c>
      <c r="L771" s="10">
        <f>CHOOSE(CONTROL!$C$42, 25.4786, 25.4786) * CHOOSE(CONTROL!$C$21, $C$9, 100%, $E$9)</f>
        <v>25.4786</v>
      </c>
      <c r="M771" s="10">
        <f>CHOOSE(CONTROL!$C$42, 24.4932, 24.4932) * CHOOSE(CONTROL!$C$21, $C$9, 100%, $E$9)</f>
        <v>24.493200000000002</v>
      </c>
      <c r="N771" s="10">
        <f>CHOOSE(CONTROL!$C$42, 24.5105, 24.5105) * CHOOSE(CONTROL!$C$21, $C$9, 100%, $E$9)</f>
        <v>24.5105</v>
      </c>
      <c r="O771" s="10">
        <f>CHOOSE(CONTROL!$C$42, 24.5774, 24.5774) * CHOOSE(CONTROL!$C$21, $C$9, 100%, $E$9)</f>
        <v>24.577400000000001</v>
      </c>
      <c r="P771" s="10">
        <f>CHOOSE(CONTROL!$C$42, 24.5313, 24.5313) * CHOOSE(CONTROL!$C$21, $C$9, 100%, $E$9)</f>
        <v>24.531300000000002</v>
      </c>
      <c r="Q771" s="10">
        <f>CHOOSE(CONTROL!$C$42, 25.1727, 25.1727) * CHOOSE(CONTROL!$C$21, $C$9, 100%, $E$9)</f>
        <v>25.172699999999999</v>
      </c>
      <c r="R771" s="10">
        <f>CHOOSE(CONTROL!$C$42, 25.8226, 25.8226) * CHOOSE(CONTROL!$C$21, $C$9, 100%, $E$9)</f>
        <v>25.822600000000001</v>
      </c>
      <c r="S771" s="10">
        <f>CHOOSE(CONTROL!$C$42, 24.0609, 24.0609) * CHOOSE(CONTROL!$C$21, $C$9, 100%, $E$9)</f>
        <v>24.0609</v>
      </c>
      <c r="T77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71" s="38">
        <f>(1000*CHOOSE(CONTROL!$C$42, 695, 695)*CHOOSE(CONTROL!$C$42, 0.5599, 0.5599)*CHOOSE(CONTROL!$C$42, 31, 31))/1000000</f>
        <v>12.063045499999998</v>
      </c>
      <c r="V771" s="38">
        <f>(1000*CHOOSE(CONTROL!$C$42, 500, 500)*CHOOSE(CONTROL!$C$42, 0.275, 0.275)*CHOOSE(CONTROL!$C$42, 31, 31))/1000000</f>
        <v>4.2625000000000002</v>
      </c>
      <c r="W771" s="38">
        <f>(1000*CHOOSE(CONTROL!$C$42, 0.1146, 0.1146)*CHOOSE(CONTROL!$C$42, 121.5, 121.5)*CHOOSE(CONTROL!$C$42, 31, 31))/1000000</f>
        <v>0.43164089999999994</v>
      </c>
      <c r="X771" s="38">
        <f>(31*0.1790888*100000/1000000)+(31*0.2374*100000/1000000)</f>
        <v>1.2911152800000001</v>
      </c>
      <c r="Y771" s="38">
        <f>(1000*600*CHOOSE(CONTROL!$C$42, 1.0585, 1.0585)*CHOOSE(CONTROL!$C$42, 31, 31))/1000000</f>
        <v>19.688099999999999</v>
      </c>
      <c r="Z771" s="38"/>
      <c r="AA771" s="10"/>
      <c r="AB771" s="39"/>
      <c r="AC771" s="33">
        <f>(B771*122.58+C771*297.941+D771*89.177+E771*40.302+F771*40+G771*160+H771*0+I771*100+J771*300)/(122.58+297.941+89.177+40.302+0+40+160+100+300)</f>
        <v>24.832101886260869</v>
      </c>
      <c r="AD771" s="27">
        <f>(M771*'RAP TEMPLATE-GAS AVAILABILITY'!O770+N771*'RAP TEMPLATE-GAS AVAILABILITY'!P770+O771*'RAP TEMPLATE-GAS AVAILABILITY'!Q770+P771*'RAP TEMPLATE-GAS AVAILABILITY'!R770)/('RAP TEMPLATE-GAS AVAILABILITY'!O770+'RAP TEMPLATE-GAS AVAILABILITY'!P770+'RAP TEMPLATE-GAS AVAILABILITY'!Q770+'RAP TEMPLATE-GAS AVAILABILITY'!R770)</f>
        <v>24.537840287769789</v>
      </c>
    </row>
    <row r="772" spans="1:30" ht="15.75">
      <c r="A772" s="13">
        <v>64770</v>
      </c>
      <c r="B772" s="10">
        <f>CHOOSE(CONTROL!$C$42, 24.7578, 24.7578) * CHOOSE(CONTROL!$C$21, $C$9, 100%, $E$9)</f>
        <v>24.7578</v>
      </c>
      <c r="C772" s="10">
        <f>CHOOSE(CONTROL!$C$42, 24.7623, 24.7623) * CHOOSE(CONTROL!$C$21, $C$9, 100%, $E$9)</f>
        <v>24.7623</v>
      </c>
      <c r="D772" s="10">
        <f>CHOOSE(CONTROL!$C$42, 24.9224, 24.9224) * CHOOSE(CONTROL!$C$21, $C$9, 100%, $E$9)</f>
        <v>24.9224</v>
      </c>
      <c r="E772" s="10">
        <f>CHOOSE(CONTROL!$C$42, 24.9543, 24.9543) * CHOOSE(CONTROL!$C$21, $C$9, 100%, $E$9)</f>
        <v>24.9543</v>
      </c>
      <c r="F772" s="10">
        <f>CHOOSE(CONTROL!$C$42, 24.7039, 24.7039)*CHOOSE(CONTROL!$C$21, $C$9, 100%, $E$9)</f>
        <v>24.703900000000001</v>
      </c>
      <c r="G772" s="10">
        <f>CHOOSE(CONTROL!$C$42, 24.7197, 24.7197)*CHOOSE(CONTROL!$C$21, $C$9, 100%, $E$9)</f>
        <v>24.7197</v>
      </c>
      <c r="H772" s="10">
        <f>CHOOSE(CONTROL!$C$42, 24.9437, 24.9437) * CHOOSE(CONTROL!$C$21, $C$9, 100%, $E$9)</f>
        <v>24.9437</v>
      </c>
      <c r="I772" s="10">
        <f>CHOOSE(CONTROL!$C$42, 24.7379, 24.7379)* CHOOSE(CONTROL!$C$21, $C$9, 100%, $E$9)</f>
        <v>24.7379</v>
      </c>
      <c r="J772" s="10">
        <f>CHOOSE(CONTROL!$C$42, 24.6965, 24.6965)* CHOOSE(CONTROL!$C$21, $C$9, 100%, $E$9)</f>
        <v>24.6965</v>
      </c>
      <c r="K772" s="10">
        <f>CHOOSE(CONTROL!$C$42, 24.1262, 24.1262) * CHOOSE(CONTROL!$C$21, $C$9, 100%, $E$9)</f>
        <v>24.126200000000001</v>
      </c>
      <c r="L772" s="10">
        <f>CHOOSE(CONTROL!$C$42, 25.5307, 25.5307) * CHOOSE(CONTROL!$C$21, $C$9, 100%, $E$9)</f>
        <v>25.5307</v>
      </c>
      <c r="M772" s="10">
        <f>CHOOSE(CONTROL!$C$42, 24.385, 24.385) * CHOOSE(CONTROL!$C$21, $C$9, 100%, $E$9)</f>
        <v>24.385000000000002</v>
      </c>
      <c r="N772" s="10">
        <f>CHOOSE(CONTROL!$C$42, 24.4006, 24.4006) * CHOOSE(CONTROL!$C$21, $C$9, 100%, $E$9)</f>
        <v>24.400600000000001</v>
      </c>
      <c r="O772" s="10">
        <f>CHOOSE(CONTROL!$C$42, 24.6288, 24.6288) * CHOOSE(CONTROL!$C$21, $C$9, 100%, $E$9)</f>
        <v>24.628799999999998</v>
      </c>
      <c r="P772" s="10">
        <f>CHOOSE(CONTROL!$C$42, 24.4259, 24.4259) * CHOOSE(CONTROL!$C$21, $C$9, 100%, $E$9)</f>
        <v>24.425899999999999</v>
      </c>
      <c r="Q772" s="10">
        <f>CHOOSE(CONTROL!$C$42, 25.2241, 25.2241) * CHOOSE(CONTROL!$C$21, $C$9, 100%, $E$9)</f>
        <v>25.2241</v>
      </c>
      <c r="R772" s="10">
        <f>CHOOSE(CONTROL!$C$42, 25.8741, 25.8741) * CHOOSE(CONTROL!$C$21, $C$9, 100%, $E$9)</f>
        <v>25.874099999999999</v>
      </c>
      <c r="S772" s="10">
        <f>CHOOSE(CONTROL!$C$42, 23.9889, 23.9889) * CHOOSE(CONTROL!$C$21, $C$9, 100%, $E$9)</f>
        <v>23.988900000000001</v>
      </c>
      <c r="T77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72" s="38">
        <f>(1000*CHOOSE(CONTROL!$C$42, 695, 695)*CHOOSE(CONTROL!$C$42, 0.5599, 0.5599)*CHOOSE(CONTROL!$C$42, 30, 30))/1000000</f>
        <v>11.673914999999997</v>
      </c>
      <c r="V772" s="38">
        <f>(1000*CHOOSE(CONTROL!$C$42, 500, 500)*CHOOSE(CONTROL!$C$42, 0.275, 0.275)*CHOOSE(CONTROL!$C$42, 30, 30))/1000000</f>
        <v>4.125</v>
      </c>
      <c r="W772" s="38">
        <f>(1000*CHOOSE(CONTROL!$C$42, 0.1146, 0.1146)*CHOOSE(CONTROL!$C$42, 121.5, 121.5)*CHOOSE(CONTROL!$C$42, 30, 30))/1000000</f>
        <v>0.417717</v>
      </c>
      <c r="X772" s="38">
        <f>(30*0.1790888*245000/1000000)+(30*0.2374*100000/1000000)</f>
        <v>2.0285026799999999</v>
      </c>
      <c r="Y772" s="38">
        <f>(1000*600*CHOOSE(CONTROL!$C$42, 1.0585, 1.0585)*CHOOSE(CONTROL!$C$42, 30, 30))/1000000</f>
        <v>19.053000000000001</v>
      </c>
      <c r="Z772" s="38"/>
      <c r="AA772" s="10"/>
      <c r="AB772" s="39"/>
      <c r="AC772" s="33">
        <f>(B772*141.293+C772*267.993+D772*115.016+E772*89.698+F772*40+G772*185+H772*0+I772*100+J772*300)/(141.293+267.993+115.016+89.698+0+40+185+100+300)</f>
        <v>24.764401096933014</v>
      </c>
      <c r="AD772" s="27">
        <f>(M772*'RAP TEMPLATE-GAS AVAILABILITY'!O771+N772*'RAP TEMPLATE-GAS AVAILABILITY'!P771+O772*'RAP TEMPLATE-GAS AVAILABILITY'!Q771+P772*'RAP TEMPLATE-GAS AVAILABILITY'!R771)/('RAP TEMPLATE-GAS AVAILABILITY'!O771+'RAP TEMPLATE-GAS AVAILABILITY'!P771+'RAP TEMPLATE-GAS AVAILABILITY'!Q771+'RAP TEMPLATE-GAS AVAILABILITY'!R771)</f>
        <v>24.502282014388488</v>
      </c>
    </row>
    <row r="773" spans="1:30" ht="15.75">
      <c r="A773" s="13">
        <v>64801</v>
      </c>
      <c r="B773" s="10">
        <f>CHOOSE(CONTROL!$C$42, 24.9782, 24.9782) * CHOOSE(CONTROL!$C$21, $C$9, 100%, $E$9)</f>
        <v>24.978200000000001</v>
      </c>
      <c r="C773" s="10">
        <f>CHOOSE(CONTROL!$C$42, 24.9862, 24.9862) * CHOOSE(CONTROL!$C$21, $C$9, 100%, $E$9)</f>
        <v>24.9862</v>
      </c>
      <c r="D773" s="10">
        <f>CHOOSE(CONTROL!$C$42, 25.1433, 25.1433) * CHOOSE(CONTROL!$C$21, $C$9, 100%, $E$9)</f>
        <v>25.1433</v>
      </c>
      <c r="E773" s="10">
        <f>CHOOSE(CONTROL!$C$42, 25.1745, 25.1745) * CHOOSE(CONTROL!$C$21, $C$9, 100%, $E$9)</f>
        <v>25.174499999999998</v>
      </c>
      <c r="F773" s="10">
        <f>CHOOSE(CONTROL!$C$42, 24.9224, 24.9224)*CHOOSE(CONTROL!$C$21, $C$9, 100%, $E$9)</f>
        <v>24.9224</v>
      </c>
      <c r="G773" s="10">
        <f>CHOOSE(CONTROL!$C$42, 24.9385, 24.9385)*CHOOSE(CONTROL!$C$21, $C$9, 100%, $E$9)</f>
        <v>24.938500000000001</v>
      </c>
      <c r="H773" s="10">
        <f>CHOOSE(CONTROL!$C$42, 25.1628, 25.1628) * CHOOSE(CONTROL!$C$21, $C$9, 100%, $E$9)</f>
        <v>25.162800000000001</v>
      </c>
      <c r="I773" s="10">
        <f>CHOOSE(CONTROL!$C$42, 24.957, 24.957)* CHOOSE(CONTROL!$C$21, $C$9, 100%, $E$9)</f>
        <v>24.957000000000001</v>
      </c>
      <c r="J773" s="10">
        <f>CHOOSE(CONTROL!$C$42, 24.915, 24.915)* CHOOSE(CONTROL!$C$21, $C$9, 100%, $E$9)</f>
        <v>24.914999999999999</v>
      </c>
      <c r="K773" s="10">
        <f>CHOOSE(CONTROL!$C$42, 24.3372, 24.3372) * CHOOSE(CONTROL!$C$21, $C$9, 100%, $E$9)</f>
        <v>24.337199999999999</v>
      </c>
      <c r="L773" s="10">
        <f>CHOOSE(CONTROL!$C$42, 25.7498, 25.7498) * CHOOSE(CONTROL!$C$21, $C$9, 100%, $E$9)</f>
        <v>25.7498</v>
      </c>
      <c r="M773" s="10">
        <f>CHOOSE(CONTROL!$C$42, 24.6004, 24.6004) * CHOOSE(CONTROL!$C$21, $C$9, 100%, $E$9)</f>
        <v>24.6004</v>
      </c>
      <c r="N773" s="10">
        <f>CHOOSE(CONTROL!$C$42, 24.6163, 24.6163) * CHOOSE(CONTROL!$C$21, $C$9, 100%, $E$9)</f>
        <v>24.616299999999999</v>
      </c>
      <c r="O773" s="10">
        <f>CHOOSE(CONTROL!$C$42, 24.8448, 24.8448) * CHOOSE(CONTROL!$C$21, $C$9, 100%, $E$9)</f>
        <v>24.844799999999999</v>
      </c>
      <c r="P773" s="10">
        <f>CHOOSE(CONTROL!$C$42, 24.6419, 24.6419) * CHOOSE(CONTROL!$C$21, $C$9, 100%, $E$9)</f>
        <v>24.6419</v>
      </c>
      <c r="Q773" s="10">
        <f>CHOOSE(CONTROL!$C$42, 25.4401, 25.4401) * CHOOSE(CONTROL!$C$21, $C$9, 100%, $E$9)</f>
        <v>25.440100000000001</v>
      </c>
      <c r="R773" s="10">
        <f>CHOOSE(CONTROL!$C$42, 26.0907, 26.0907) * CHOOSE(CONTROL!$C$21, $C$9, 100%, $E$9)</f>
        <v>26.090699999999998</v>
      </c>
      <c r="S773" s="10">
        <f>CHOOSE(CONTROL!$C$42, 24.201, 24.201) * CHOOSE(CONTROL!$C$21, $C$9, 100%, $E$9)</f>
        <v>24.201000000000001</v>
      </c>
      <c r="T77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73" s="38">
        <f>(1000*CHOOSE(CONTROL!$C$42, 695, 695)*CHOOSE(CONTROL!$C$42, 0.5599, 0.5599)*CHOOSE(CONTROL!$C$42, 31, 31))/1000000</f>
        <v>12.063045499999998</v>
      </c>
      <c r="V773" s="38">
        <f>(1000*CHOOSE(CONTROL!$C$42, 500, 500)*CHOOSE(CONTROL!$C$42, 0.275, 0.275)*CHOOSE(CONTROL!$C$42, 31, 31))/1000000</f>
        <v>4.2625000000000002</v>
      </c>
      <c r="W773" s="38">
        <f>(1000*CHOOSE(CONTROL!$C$42, 0.1146, 0.1146)*CHOOSE(CONTROL!$C$42, 121.5, 121.5)*CHOOSE(CONTROL!$C$42, 31, 31))/1000000</f>
        <v>0.43164089999999994</v>
      </c>
      <c r="X773" s="38">
        <f>(31*0.1790888*245000/1000000)+(31*0.2374*100000/1000000)</f>
        <v>2.0961194359999999</v>
      </c>
      <c r="Y773" s="38">
        <f>(1000*600*CHOOSE(CONTROL!$C$42, 1.0585, 1.0585)*CHOOSE(CONTROL!$C$42, 31, 31))/1000000</f>
        <v>19.688099999999999</v>
      </c>
      <c r="Z773" s="38"/>
      <c r="AA773" s="10"/>
      <c r="AB773" s="39"/>
      <c r="AC773" s="33">
        <f>(B773*194.205+C773*267.466+D773*133.845+E773*53.484+F773*40+G773*185+H773*0+I773*100+J773*300)/(194.205+267.466+133.845+53.484+0+40+185+100+300)</f>
        <v>24.981402469937205</v>
      </c>
      <c r="AD773" s="27">
        <f>(M773*'RAP TEMPLATE-GAS AVAILABILITY'!O772+N773*'RAP TEMPLATE-GAS AVAILABILITY'!P772+O773*'RAP TEMPLATE-GAS AVAILABILITY'!Q772+P773*'RAP TEMPLATE-GAS AVAILABILITY'!R772)/('RAP TEMPLATE-GAS AVAILABILITY'!O772+'RAP TEMPLATE-GAS AVAILABILITY'!P772+'RAP TEMPLATE-GAS AVAILABILITY'!Q772+'RAP TEMPLATE-GAS AVAILABILITY'!R772)</f>
        <v>24.718057553956832</v>
      </c>
    </row>
    <row r="774" spans="1:30" ht="15.75">
      <c r="A774" s="13">
        <v>64831</v>
      </c>
      <c r="B774" s="10">
        <f>CHOOSE(CONTROL!$C$42, 25.6872, 25.6872) * CHOOSE(CONTROL!$C$21, $C$9, 100%, $E$9)</f>
        <v>25.687200000000001</v>
      </c>
      <c r="C774" s="10">
        <f>CHOOSE(CONTROL!$C$42, 25.6952, 25.6952) * CHOOSE(CONTROL!$C$21, $C$9, 100%, $E$9)</f>
        <v>25.6952</v>
      </c>
      <c r="D774" s="10">
        <f>CHOOSE(CONTROL!$C$42, 25.8522, 25.8522) * CHOOSE(CONTROL!$C$21, $C$9, 100%, $E$9)</f>
        <v>25.8522</v>
      </c>
      <c r="E774" s="10">
        <f>CHOOSE(CONTROL!$C$42, 25.8834, 25.8834) * CHOOSE(CONTROL!$C$21, $C$9, 100%, $E$9)</f>
        <v>25.883400000000002</v>
      </c>
      <c r="F774" s="10">
        <f>CHOOSE(CONTROL!$C$42, 25.6315, 25.6315)*CHOOSE(CONTROL!$C$21, $C$9, 100%, $E$9)</f>
        <v>25.631499999999999</v>
      </c>
      <c r="G774" s="10">
        <f>CHOOSE(CONTROL!$C$42, 25.6477, 25.6477)*CHOOSE(CONTROL!$C$21, $C$9, 100%, $E$9)</f>
        <v>25.6477</v>
      </c>
      <c r="H774" s="10">
        <f>CHOOSE(CONTROL!$C$42, 25.8718, 25.8718) * CHOOSE(CONTROL!$C$21, $C$9, 100%, $E$9)</f>
        <v>25.8718</v>
      </c>
      <c r="I774" s="10">
        <f>CHOOSE(CONTROL!$C$42, 25.666, 25.666)* CHOOSE(CONTROL!$C$21, $C$9, 100%, $E$9)</f>
        <v>25.666</v>
      </c>
      <c r="J774" s="10">
        <f>CHOOSE(CONTROL!$C$42, 25.6241, 25.6241)* CHOOSE(CONTROL!$C$21, $C$9, 100%, $E$9)</f>
        <v>25.624099999999999</v>
      </c>
      <c r="K774" s="10">
        <f>CHOOSE(CONTROL!$C$42, 25.0244, 25.0244) * CHOOSE(CONTROL!$C$21, $C$9, 100%, $E$9)</f>
        <v>25.0244</v>
      </c>
      <c r="L774" s="10">
        <f>CHOOSE(CONTROL!$C$42, 26.4588, 26.4588) * CHOOSE(CONTROL!$C$21, $C$9, 100%, $E$9)</f>
        <v>26.4588</v>
      </c>
      <c r="M774" s="10">
        <f>CHOOSE(CONTROL!$C$42, 25.2996, 25.2996) * CHOOSE(CONTROL!$C$21, $C$9, 100%, $E$9)</f>
        <v>25.299600000000002</v>
      </c>
      <c r="N774" s="10">
        <f>CHOOSE(CONTROL!$C$42, 25.3156, 25.3156) * CHOOSE(CONTROL!$C$21, $C$9, 100%, $E$9)</f>
        <v>25.3156</v>
      </c>
      <c r="O774" s="10">
        <f>CHOOSE(CONTROL!$C$42, 25.5439, 25.5439) * CHOOSE(CONTROL!$C$21, $C$9, 100%, $E$9)</f>
        <v>25.543900000000001</v>
      </c>
      <c r="P774" s="10">
        <f>CHOOSE(CONTROL!$C$42, 25.341, 25.341) * CHOOSE(CONTROL!$C$21, $C$9, 100%, $E$9)</f>
        <v>25.341000000000001</v>
      </c>
      <c r="Q774" s="10">
        <f>CHOOSE(CONTROL!$C$42, 26.1392, 26.1392) * CHOOSE(CONTROL!$C$21, $C$9, 100%, $E$9)</f>
        <v>26.139199999999999</v>
      </c>
      <c r="R774" s="10">
        <f>CHOOSE(CONTROL!$C$42, 26.7915, 26.7915) * CHOOSE(CONTROL!$C$21, $C$9, 100%, $E$9)</f>
        <v>26.791499999999999</v>
      </c>
      <c r="S774" s="10">
        <f>CHOOSE(CONTROL!$C$42, 24.8875, 24.8875) * CHOOSE(CONTROL!$C$21, $C$9, 100%, $E$9)</f>
        <v>24.887499999999999</v>
      </c>
      <c r="T77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74" s="38">
        <f>(1000*CHOOSE(CONTROL!$C$42, 695, 695)*CHOOSE(CONTROL!$C$42, 0.5599, 0.5599)*CHOOSE(CONTROL!$C$42, 30, 30))/1000000</f>
        <v>11.673914999999997</v>
      </c>
      <c r="V774" s="38">
        <f>(1000*CHOOSE(CONTROL!$C$42, 500, 500)*CHOOSE(CONTROL!$C$42, 0.275, 0.275)*CHOOSE(CONTROL!$C$42, 30, 30))/1000000</f>
        <v>4.125</v>
      </c>
      <c r="W774" s="38">
        <f>(1000*CHOOSE(CONTROL!$C$42, 0.1146, 0.1146)*CHOOSE(CONTROL!$C$42, 121.5, 121.5)*CHOOSE(CONTROL!$C$42, 30, 30))/1000000</f>
        <v>0.417717</v>
      </c>
      <c r="X774" s="38">
        <f>(30*0.1790888*245000/1000000)+(30*0.2374*100000/1000000)</f>
        <v>2.0285026799999999</v>
      </c>
      <c r="Y774" s="38">
        <f>(1000*600*CHOOSE(CONTROL!$C$42, 1.0585, 1.0585)*CHOOSE(CONTROL!$C$42, 30, 30))/1000000</f>
        <v>19.053000000000001</v>
      </c>
      <c r="Z774" s="38"/>
      <c r="AA774" s="10"/>
      <c r="AB774" s="39"/>
      <c r="AC774" s="33">
        <f>(B774*194.205+C774*267.466+D774*133.845+E774*53.484+F774*40+G774*185+H774*0+I774*100+J774*300)/(194.205+267.466+133.845+53.484+0+40+185+100+300)</f>
        <v>25.690443495918363</v>
      </c>
      <c r="AD774" s="27">
        <f>(M774*'RAP TEMPLATE-GAS AVAILABILITY'!O773+N774*'RAP TEMPLATE-GAS AVAILABILITY'!P773+O774*'RAP TEMPLATE-GAS AVAILABILITY'!Q773+P774*'RAP TEMPLATE-GAS AVAILABILITY'!R773)/('RAP TEMPLATE-GAS AVAILABILITY'!O773+'RAP TEMPLATE-GAS AVAILABILITY'!P773+'RAP TEMPLATE-GAS AVAILABILITY'!Q773+'RAP TEMPLATE-GAS AVAILABILITY'!R773)</f>
        <v>25.417203597122302</v>
      </c>
    </row>
    <row r="775" spans="1:30" ht="15.75">
      <c r="A775" s="13">
        <v>64862</v>
      </c>
      <c r="B775" s="10">
        <f>CHOOSE(CONTROL!$C$42, 25.1941, 25.1941) * CHOOSE(CONTROL!$C$21, $C$9, 100%, $E$9)</f>
        <v>25.194099999999999</v>
      </c>
      <c r="C775" s="10">
        <f>CHOOSE(CONTROL!$C$42, 25.2021, 25.2021) * CHOOSE(CONTROL!$C$21, $C$9, 100%, $E$9)</f>
        <v>25.202100000000002</v>
      </c>
      <c r="D775" s="10">
        <f>CHOOSE(CONTROL!$C$42, 25.3592, 25.3592) * CHOOSE(CONTROL!$C$21, $C$9, 100%, $E$9)</f>
        <v>25.359200000000001</v>
      </c>
      <c r="E775" s="10">
        <f>CHOOSE(CONTROL!$C$42, 25.3904, 25.3904) * CHOOSE(CONTROL!$C$21, $C$9, 100%, $E$9)</f>
        <v>25.3904</v>
      </c>
      <c r="F775" s="10">
        <f>CHOOSE(CONTROL!$C$42, 25.1388, 25.1388)*CHOOSE(CONTROL!$C$21, $C$9, 100%, $E$9)</f>
        <v>25.1388</v>
      </c>
      <c r="G775" s="10">
        <f>CHOOSE(CONTROL!$C$42, 25.155, 25.155)*CHOOSE(CONTROL!$C$21, $C$9, 100%, $E$9)</f>
        <v>25.155000000000001</v>
      </c>
      <c r="H775" s="10">
        <f>CHOOSE(CONTROL!$C$42, 25.3787, 25.3787) * CHOOSE(CONTROL!$C$21, $C$9, 100%, $E$9)</f>
        <v>25.378699999999998</v>
      </c>
      <c r="I775" s="10">
        <f>CHOOSE(CONTROL!$C$42, 25.1729, 25.1729)* CHOOSE(CONTROL!$C$21, $C$9, 100%, $E$9)</f>
        <v>25.172899999999998</v>
      </c>
      <c r="J775" s="10">
        <f>CHOOSE(CONTROL!$C$42, 25.1314, 25.1314)* CHOOSE(CONTROL!$C$21, $C$9, 100%, $E$9)</f>
        <v>25.131399999999999</v>
      </c>
      <c r="K775" s="10">
        <f>CHOOSE(CONTROL!$C$42, 24.5474, 24.5474) * CHOOSE(CONTROL!$C$21, $C$9, 100%, $E$9)</f>
        <v>24.5474</v>
      </c>
      <c r="L775" s="10">
        <f>CHOOSE(CONTROL!$C$42, 25.9657, 25.9657) * CHOOSE(CONTROL!$C$21, $C$9, 100%, $E$9)</f>
        <v>25.965699999999998</v>
      </c>
      <c r="M775" s="10">
        <f>CHOOSE(CONTROL!$C$42, 24.8138, 24.8138) * CHOOSE(CONTROL!$C$21, $C$9, 100%, $E$9)</f>
        <v>24.813800000000001</v>
      </c>
      <c r="N775" s="10">
        <f>CHOOSE(CONTROL!$C$42, 24.8298, 24.8298) * CHOOSE(CONTROL!$C$21, $C$9, 100%, $E$9)</f>
        <v>24.829799999999999</v>
      </c>
      <c r="O775" s="10">
        <f>CHOOSE(CONTROL!$C$42, 25.0577, 25.0577) * CHOOSE(CONTROL!$C$21, $C$9, 100%, $E$9)</f>
        <v>25.057700000000001</v>
      </c>
      <c r="P775" s="10">
        <f>CHOOSE(CONTROL!$C$42, 24.8548, 24.8548) * CHOOSE(CONTROL!$C$21, $C$9, 100%, $E$9)</f>
        <v>24.854800000000001</v>
      </c>
      <c r="Q775" s="10">
        <f>CHOOSE(CONTROL!$C$42, 25.653, 25.653) * CHOOSE(CONTROL!$C$21, $C$9, 100%, $E$9)</f>
        <v>25.652999999999999</v>
      </c>
      <c r="R775" s="10">
        <f>CHOOSE(CONTROL!$C$42, 26.3041, 26.3041) * CHOOSE(CONTROL!$C$21, $C$9, 100%, $E$9)</f>
        <v>26.304099999999998</v>
      </c>
      <c r="S775" s="10">
        <f>CHOOSE(CONTROL!$C$42, 24.4101, 24.4101) * CHOOSE(CONTROL!$C$21, $C$9, 100%, $E$9)</f>
        <v>24.4101</v>
      </c>
      <c r="T77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75" s="38">
        <f>(1000*CHOOSE(CONTROL!$C$42, 695, 695)*CHOOSE(CONTROL!$C$42, 0.5599, 0.5599)*CHOOSE(CONTROL!$C$42, 31, 31))/1000000</f>
        <v>12.063045499999998</v>
      </c>
      <c r="V775" s="38">
        <f>(1000*CHOOSE(CONTROL!$C$42, 500, 500)*CHOOSE(CONTROL!$C$42, 0.275, 0.275)*CHOOSE(CONTROL!$C$42, 31, 31))/1000000</f>
        <v>4.2625000000000002</v>
      </c>
      <c r="W775" s="38">
        <f>(1000*CHOOSE(CONTROL!$C$42, 0.1146, 0.1146)*CHOOSE(CONTROL!$C$42, 121.5, 121.5)*CHOOSE(CONTROL!$C$42, 31, 31))/1000000</f>
        <v>0.43164089999999994</v>
      </c>
      <c r="X775" s="38">
        <f>(31*0.1790888*245000/1000000)+(31*0.2374*100000/1000000)</f>
        <v>2.0961194359999999</v>
      </c>
      <c r="Y775" s="38">
        <f>(1000*600*CHOOSE(CONTROL!$C$42, 1.0585, 1.0585)*CHOOSE(CONTROL!$C$42, 31, 31))/1000000</f>
        <v>19.688099999999999</v>
      </c>
      <c r="Z775" s="38"/>
      <c r="AA775" s="10"/>
      <c r="AB775" s="39"/>
      <c r="AC775" s="33">
        <f>(B775*194.205+C775*267.466+D775*133.845+E775*53.484+F775*40+G775*185+H775*0+I775*100+J775*300)/(194.205+267.466+133.845+53.484+0+40+185+100+300)</f>
        <v>25.197523035086341</v>
      </c>
      <c r="AD775" s="27">
        <f>(M775*'RAP TEMPLATE-GAS AVAILABILITY'!O774+N775*'RAP TEMPLATE-GAS AVAILABILITY'!P774+O775*'RAP TEMPLATE-GAS AVAILABILITY'!Q774+P775*'RAP TEMPLATE-GAS AVAILABILITY'!R774)/('RAP TEMPLATE-GAS AVAILABILITY'!O774+'RAP TEMPLATE-GAS AVAILABILITY'!P774+'RAP TEMPLATE-GAS AVAILABILITY'!Q774+'RAP TEMPLATE-GAS AVAILABILITY'!R774)</f>
        <v>24.931164748201439</v>
      </c>
    </row>
    <row r="776" spans="1:30" ht="15.75">
      <c r="A776" s="13">
        <v>64893</v>
      </c>
      <c r="B776" s="10">
        <f>CHOOSE(CONTROL!$C$42, 23.949, 23.949) * CHOOSE(CONTROL!$C$21, $C$9, 100%, $E$9)</f>
        <v>23.949000000000002</v>
      </c>
      <c r="C776" s="10">
        <f>CHOOSE(CONTROL!$C$42, 23.957, 23.957) * CHOOSE(CONTROL!$C$21, $C$9, 100%, $E$9)</f>
        <v>23.957000000000001</v>
      </c>
      <c r="D776" s="10">
        <f>CHOOSE(CONTROL!$C$42, 24.114, 24.114) * CHOOSE(CONTROL!$C$21, $C$9, 100%, $E$9)</f>
        <v>24.114000000000001</v>
      </c>
      <c r="E776" s="10">
        <f>CHOOSE(CONTROL!$C$42, 24.1452, 24.1452) * CHOOSE(CONTROL!$C$21, $C$9, 100%, $E$9)</f>
        <v>24.145199999999999</v>
      </c>
      <c r="F776" s="10">
        <f>CHOOSE(CONTROL!$C$42, 23.8935, 23.8935)*CHOOSE(CONTROL!$C$21, $C$9, 100%, $E$9)</f>
        <v>23.8935</v>
      </c>
      <c r="G776" s="10">
        <f>CHOOSE(CONTROL!$C$42, 23.9098, 23.9098)*CHOOSE(CONTROL!$C$21, $C$9, 100%, $E$9)</f>
        <v>23.909800000000001</v>
      </c>
      <c r="H776" s="10">
        <f>CHOOSE(CONTROL!$C$42, 24.1336, 24.1336) * CHOOSE(CONTROL!$C$21, $C$9, 100%, $E$9)</f>
        <v>24.133600000000001</v>
      </c>
      <c r="I776" s="10">
        <f>CHOOSE(CONTROL!$C$42, 23.9277, 23.9277)* CHOOSE(CONTROL!$C$21, $C$9, 100%, $E$9)</f>
        <v>23.927700000000002</v>
      </c>
      <c r="J776" s="10">
        <f>CHOOSE(CONTROL!$C$42, 23.8861, 23.8861)* CHOOSE(CONTROL!$C$21, $C$9, 100%, $E$9)</f>
        <v>23.886099999999999</v>
      </c>
      <c r="K776" s="10">
        <f>CHOOSE(CONTROL!$C$42, 23.341, 23.341) * CHOOSE(CONTROL!$C$21, $C$9, 100%, $E$9)</f>
        <v>23.341000000000001</v>
      </c>
      <c r="L776" s="10">
        <f>CHOOSE(CONTROL!$C$42, 24.7206, 24.7206) * CHOOSE(CONTROL!$C$21, $C$9, 100%, $E$9)</f>
        <v>24.720600000000001</v>
      </c>
      <c r="M776" s="10">
        <f>CHOOSE(CONTROL!$C$42, 23.5859, 23.5859) * CHOOSE(CONTROL!$C$21, $C$9, 100%, $E$9)</f>
        <v>23.585899999999999</v>
      </c>
      <c r="N776" s="10">
        <f>CHOOSE(CONTROL!$C$42, 23.6019, 23.6019) * CHOOSE(CONTROL!$C$21, $C$9, 100%, $E$9)</f>
        <v>23.601900000000001</v>
      </c>
      <c r="O776" s="10">
        <f>CHOOSE(CONTROL!$C$42, 23.8299, 23.8299) * CHOOSE(CONTROL!$C$21, $C$9, 100%, $E$9)</f>
        <v>23.829899999999999</v>
      </c>
      <c r="P776" s="10">
        <f>CHOOSE(CONTROL!$C$42, 23.627, 23.627) * CHOOSE(CONTROL!$C$21, $C$9, 100%, $E$9)</f>
        <v>23.626999999999999</v>
      </c>
      <c r="Q776" s="10">
        <f>CHOOSE(CONTROL!$C$42, 24.4252, 24.4252) * CHOOSE(CONTROL!$C$21, $C$9, 100%, $E$9)</f>
        <v>24.4252</v>
      </c>
      <c r="R776" s="10">
        <f>CHOOSE(CONTROL!$C$42, 25.0733, 25.0733) * CHOOSE(CONTROL!$C$21, $C$9, 100%, $E$9)</f>
        <v>25.0733</v>
      </c>
      <c r="S776" s="10">
        <f>CHOOSE(CONTROL!$C$42, 23.2044, 23.2044) * CHOOSE(CONTROL!$C$21, $C$9, 100%, $E$9)</f>
        <v>23.2044</v>
      </c>
      <c r="T77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76" s="38">
        <f>(1000*CHOOSE(CONTROL!$C$42, 695, 695)*CHOOSE(CONTROL!$C$42, 0.5599, 0.5599)*CHOOSE(CONTROL!$C$42, 31, 31))/1000000</f>
        <v>12.063045499999998</v>
      </c>
      <c r="V776" s="38">
        <f>(1000*CHOOSE(CONTROL!$C$42, 500, 500)*CHOOSE(CONTROL!$C$42, 0.275, 0.275)*CHOOSE(CONTROL!$C$42, 31, 31))/1000000</f>
        <v>4.2625000000000002</v>
      </c>
      <c r="W776" s="38">
        <f>(1000*CHOOSE(CONTROL!$C$42, 0.1146, 0.1146)*CHOOSE(CONTROL!$C$42, 121.5, 121.5)*CHOOSE(CONTROL!$C$42, 31, 31))/1000000</f>
        <v>0.43164089999999994</v>
      </c>
      <c r="X776" s="38">
        <f>(31*0.1790888*245000/1000000)+(31*0.2374*100000/1000000)</f>
        <v>2.0961194359999999</v>
      </c>
      <c r="Y776" s="38">
        <f>(1000*600*CHOOSE(CONTROL!$C$42, 1.0585, 1.0585)*CHOOSE(CONTROL!$C$42, 31, 31))/1000000</f>
        <v>19.688099999999999</v>
      </c>
      <c r="Z776" s="38"/>
      <c r="AA776" s="10"/>
      <c r="AB776" s="39"/>
      <c r="AC776" s="33">
        <f>(B776*194.205+C776*267.466+D776*133.845+E776*53.484+F776*40+G776*185+H776*0+I776*100+J776*300)/(194.205+267.466+133.845+53.484+0+40+185+100+300)</f>
        <v>23.952332585400313</v>
      </c>
      <c r="AD776" s="27">
        <f>(M776*'RAP TEMPLATE-GAS AVAILABILITY'!O775+N776*'RAP TEMPLATE-GAS AVAILABILITY'!P775+O776*'RAP TEMPLATE-GAS AVAILABILITY'!Q775+P776*'RAP TEMPLATE-GAS AVAILABILITY'!R775)/('RAP TEMPLATE-GAS AVAILABILITY'!O775+'RAP TEMPLATE-GAS AVAILABILITY'!P775+'RAP TEMPLATE-GAS AVAILABILITY'!Q775+'RAP TEMPLATE-GAS AVAILABILITY'!R775)</f>
        <v>23.703324460431656</v>
      </c>
    </row>
    <row r="777" spans="1:30" ht="15.75">
      <c r="A777" s="13">
        <v>64923</v>
      </c>
      <c r="B777" s="10">
        <f>CHOOSE(CONTROL!$C$42, 22.4276, 22.4276) * CHOOSE(CONTROL!$C$21, $C$9, 100%, $E$9)</f>
        <v>22.427600000000002</v>
      </c>
      <c r="C777" s="10">
        <f>CHOOSE(CONTROL!$C$42, 22.4356, 22.4356) * CHOOSE(CONTROL!$C$21, $C$9, 100%, $E$9)</f>
        <v>22.435600000000001</v>
      </c>
      <c r="D777" s="10">
        <f>CHOOSE(CONTROL!$C$42, 22.5927, 22.5927) * CHOOSE(CONTROL!$C$21, $C$9, 100%, $E$9)</f>
        <v>22.592700000000001</v>
      </c>
      <c r="E777" s="10">
        <f>CHOOSE(CONTROL!$C$42, 22.6239, 22.6239) * CHOOSE(CONTROL!$C$21, $C$9, 100%, $E$9)</f>
        <v>22.623899999999999</v>
      </c>
      <c r="F777" s="10">
        <f>CHOOSE(CONTROL!$C$42, 22.372, 22.372)*CHOOSE(CONTROL!$C$21, $C$9, 100%, $E$9)</f>
        <v>22.372</v>
      </c>
      <c r="G777" s="10">
        <f>CHOOSE(CONTROL!$C$42, 22.3882, 22.3882)*CHOOSE(CONTROL!$C$21, $C$9, 100%, $E$9)</f>
        <v>22.388200000000001</v>
      </c>
      <c r="H777" s="10">
        <f>CHOOSE(CONTROL!$C$42, 22.6122, 22.6122) * CHOOSE(CONTROL!$C$21, $C$9, 100%, $E$9)</f>
        <v>22.612200000000001</v>
      </c>
      <c r="I777" s="10">
        <f>CHOOSE(CONTROL!$C$42, 22.4064, 22.4064)* CHOOSE(CONTROL!$C$21, $C$9, 100%, $E$9)</f>
        <v>22.406400000000001</v>
      </c>
      <c r="J777" s="10">
        <f>CHOOSE(CONTROL!$C$42, 22.3646, 22.3646)* CHOOSE(CONTROL!$C$21, $C$9, 100%, $E$9)</f>
        <v>22.364599999999999</v>
      </c>
      <c r="K777" s="10">
        <f>CHOOSE(CONTROL!$C$42, 21.8667, 21.8667) * CHOOSE(CONTROL!$C$21, $C$9, 100%, $E$9)</f>
        <v>21.866700000000002</v>
      </c>
      <c r="L777" s="10">
        <f>CHOOSE(CONTROL!$C$42, 23.1992, 23.1992) * CHOOSE(CONTROL!$C$21, $C$9, 100%, $E$9)</f>
        <v>23.199200000000001</v>
      </c>
      <c r="M777" s="10">
        <f>CHOOSE(CONTROL!$C$42, 22.0856, 22.0856) * CHOOSE(CONTROL!$C$21, $C$9, 100%, $E$9)</f>
        <v>22.085599999999999</v>
      </c>
      <c r="N777" s="10">
        <f>CHOOSE(CONTROL!$C$42, 22.1016, 22.1016) * CHOOSE(CONTROL!$C$21, $C$9, 100%, $E$9)</f>
        <v>22.101600000000001</v>
      </c>
      <c r="O777" s="10">
        <f>CHOOSE(CONTROL!$C$42, 22.3298, 22.3298) * CHOOSE(CONTROL!$C$21, $C$9, 100%, $E$9)</f>
        <v>22.329799999999999</v>
      </c>
      <c r="P777" s="10">
        <f>CHOOSE(CONTROL!$C$42, 22.1269, 22.1269) * CHOOSE(CONTROL!$C$21, $C$9, 100%, $E$9)</f>
        <v>22.126899999999999</v>
      </c>
      <c r="Q777" s="10">
        <f>CHOOSE(CONTROL!$C$42, 22.9251, 22.9251) * CHOOSE(CONTROL!$C$21, $C$9, 100%, $E$9)</f>
        <v>22.9251</v>
      </c>
      <c r="R777" s="10">
        <f>CHOOSE(CONTROL!$C$42, 23.5694, 23.5694) * CHOOSE(CONTROL!$C$21, $C$9, 100%, $E$9)</f>
        <v>23.569400000000002</v>
      </c>
      <c r="S777" s="10">
        <f>CHOOSE(CONTROL!$C$42, 21.7313, 21.7313) * CHOOSE(CONTROL!$C$21, $C$9, 100%, $E$9)</f>
        <v>21.731300000000001</v>
      </c>
      <c r="T77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77" s="38">
        <f>(1000*CHOOSE(CONTROL!$C$42, 695, 695)*CHOOSE(CONTROL!$C$42, 0.5599, 0.5599)*CHOOSE(CONTROL!$C$42, 30, 30))/1000000</f>
        <v>11.673914999999997</v>
      </c>
      <c r="V777" s="38">
        <f>(1000*CHOOSE(CONTROL!$C$42, 500, 500)*CHOOSE(CONTROL!$C$42, 0.275, 0.275)*CHOOSE(CONTROL!$C$42, 30, 30))/1000000</f>
        <v>4.125</v>
      </c>
      <c r="W777" s="38">
        <f>(1000*CHOOSE(CONTROL!$C$42, 0.1146, 0.1146)*CHOOSE(CONTROL!$C$42, 121.5, 121.5)*CHOOSE(CONTROL!$C$42, 30, 30))/1000000</f>
        <v>0.417717</v>
      </c>
      <c r="X777" s="38">
        <f>(30*0.1790888*245000/1000000)+(30*0.2374*100000/1000000)</f>
        <v>2.0285026799999999</v>
      </c>
      <c r="Y777" s="38">
        <f>(1000*600*CHOOSE(CONTROL!$C$42, 1.0585, 1.0585)*CHOOSE(CONTROL!$C$42, 30, 30))/1000000</f>
        <v>19.053000000000001</v>
      </c>
      <c r="Z777" s="38"/>
      <c r="AA777" s="10"/>
      <c r="AB777" s="39"/>
      <c r="AC777" s="33">
        <f>(B777*194.205+C777*267.466+D777*133.845+E777*53.484+F777*40+G777*185+H777*0+I777*100+J777*300)/(194.205+267.466+133.845+53.484+0+40+185+100+300)</f>
        <v>22.430899408712715</v>
      </c>
      <c r="AD777" s="27">
        <f>(M777*'RAP TEMPLATE-GAS AVAILABILITY'!O776+N777*'RAP TEMPLATE-GAS AVAILABILITY'!P776+O777*'RAP TEMPLATE-GAS AVAILABILITY'!Q776+P777*'RAP TEMPLATE-GAS AVAILABILITY'!R776)/('RAP TEMPLATE-GAS AVAILABILITY'!O776+'RAP TEMPLATE-GAS AVAILABILITY'!P776+'RAP TEMPLATE-GAS AVAILABILITY'!Q776+'RAP TEMPLATE-GAS AVAILABILITY'!R776)</f>
        <v>22.203143884892086</v>
      </c>
    </row>
    <row r="778" spans="1:30" ht="15.75">
      <c r="A778" s="13">
        <v>64954</v>
      </c>
      <c r="B778" s="10">
        <f>CHOOSE(CONTROL!$C$42, 21.9698, 21.9698) * CHOOSE(CONTROL!$C$21, $C$9, 100%, $E$9)</f>
        <v>21.969799999999999</v>
      </c>
      <c r="C778" s="10">
        <f>CHOOSE(CONTROL!$C$42, 21.9752, 21.9752) * CHOOSE(CONTROL!$C$21, $C$9, 100%, $E$9)</f>
        <v>21.975200000000001</v>
      </c>
      <c r="D778" s="10">
        <f>CHOOSE(CONTROL!$C$42, 22.1371, 22.1371) * CHOOSE(CONTROL!$C$21, $C$9, 100%, $E$9)</f>
        <v>22.1371</v>
      </c>
      <c r="E778" s="10">
        <f>CHOOSE(CONTROL!$C$42, 22.166, 22.166) * CHOOSE(CONTROL!$C$21, $C$9, 100%, $E$9)</f>
        <v>22.166</v>
      </c>
      <c r="F778" s="10">
        <f>CHOOSE(CONTROL!$C$42, 21.9162, 21.9162)*CHOOSE(CONTROL!$C$21, $C$9, 100%, $E$9)</f>
        <v>21.9162</v>
      </c>
      <c r="G778" s="10">
        <f>CHOOSE(CONTROL!$C$42, 21.932, 21.932)*CHOOSE(CONTROL!$C$21, $C$9, 100%, $E$9)</f>
        <v>21.931999999999999</v>
      </c>
      <c r="H778" s="10">
        <f>CHOOSE(CONTROL!$C$42, 22.1561, 22.1561) * CHOOSE(CONTROL!$C$21, $C$9, 100%, $E$9)</f>
        <v>22.156099999999999</v>
      </c>
      <c r="I778" s="10">
        <f>CHOOSE(CONTROL!$C$42, 21.9503, 21.9503)* CHOOSE(CONTROL!$C$21, $C$9, 100%, $E$9)</f>
        <v>21.950299999999999</v>
      </c>
      <c r="J778" s="10">
        <f>CHOOSE(CONTROL!$C$42, 21.9088, 21.9088)* CHOOSE(CONTROL!$C$21, $C$9, 100%, $E$9)</f>
        <v>21.908799999999999</v>
      </c>
      <c r="K778" s="10">
        <f>CHOOSE(CONTROL!$C$42, 21.4255, 21.4255) * CHOOSE(CONTROL!$C$21, $C$9, 100%, $E$9)</f>
        <v>21.4255</v>
      </c>
      <c r="L778" s="10">
        <f>CHOOSE(CONTROL!$C$42, 22.7431, 22.7431) * CHOOSE(CONTROL!$C$21, $C$9, 100%, $E$9)</f>
        <v>22.743099999999998</v>
      </c>
      <c r="M778" s="10">
        <f>CHOOSE(CONTROL!$C$42, 21.6362, 21.6362) * CHOOSE(CONTROL!$C$21, $C$9, 100%, $E$9)</f>
        <v>21.636199999999999</v>
      </c>
      <c r="N778" s="10">
        <f>CHOOSE(CONTROL!$C$42, 21.6518, 21.6518) * CHOOSE(CONTROL!$C$21, $C$9, 100%, $E$9)</f>
        <v>21.651800000000001</v>
      </c>
      <c r="O778" s="10">
        <f>CHOOSE(CONTROL!$C$42, 21.88, 21.88) * CHOOSE(CONTROL!$C$21, $C$9, 100%, $E$9)</f>
        <v>21.88</v>
      </c>
      <c r="P778" s="10">
        <f>CHOOSE(CONTROL!$C$42, 21.6772, 21.6772) * CHOOSE(CONTROL!$C$21, $C$9, 100%, $E$9)</f>
        <v>21.677199999999999</v>
      </c>
      <c r="Q778" s="10">
        <f>CHOOSE(CONTROL!$C$42, 22.4753, 22.4753) * CHOOSE(CONTROL!$C$21, $C$9, 100%, $E$9)</f>
        <v>22.475300000000001</v>
      </c>
      <c r="R778" s="10">
        <f>CHOOSE(CONTROL!$C$42, 23.1185, 23.1185) * CHOOSE(CONTROL!$C$21, $C$9, 100%, $E$9)</f>
        <v>23.118500000000001</v>
      </c>
      <c r="S778" s="10">
        <f>CHOOSE(CONTROL!$C$42, 21.2896, 21.2896) * CHOOSE(CONTROL!$C$21, $C$9, 100%, $E$9)</f>
        <v>21.2896</v>
      </c>
      <c r="T77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78" s="38">
        <f>(1000*CHOOSE(CONTROL!$C$42, 695, 695)*CHOOSE(CONTROL!$C$42, 0.5599, 0.5599)*CHOOSE(CONTROL!$C$42, 31, 31))/1000000</f>
        <v>12.063045499999998</v>
      </c>
      <c r="V778" s="38">
        <f>(1000*CHOOSE(CONTROL!$C$42, 500, 500)*CHOOSE(CONTROL!$C$42, 0.275, 0.275)*CHOOSE(CONTROL!$C$42, 31, 31))/1000000</f>
        <v>4.2625000000000002</v>
      </c>
      <c r="W778" s="38">
        <f>(1000*CHOOSE(CONTROL!$C$42, 0.1146, 0.1146)*CHOOSE(CONTROL!$C$42, 121.5, 121.5)*CHOOSE(CONTROL!$C$42, 31, 31))/1000000</f>
        <v>0.43164089999999994</v>
      </c>
      <c r="X778" s="38">
        <f>(31*0.1790888*245000/1000000)+(31*0.2374*100000/1000000)</f>
        <v>2.0961194359999999</v>
      </c>
      <c r="Y778" s="38">
        <f>(1000*600*CHOOSE(CONTROL!$C$42, 1.0585, 1.0585)*CHOOSE(CONTROL!$C$42, 31, 31))/1000000</f>
        <v>19.688099999999999</v>
      </c>
      <c r="Z778" s="38"/>
      <c r="AA778" s="10"/>
      <c r="AB778" s="39"/>
      <c r="AC778" s="33">
        <f>(B778*131.881+C778*277.167+D778*79.08+E778*125.872+F778*40+G778*185+H778*0+I778*100+J778*300)/(131.881+277.167+79.08+125.872+0+40+185+100+300)</f>
        <v>21.977899977562547</v>
      </c>
      <c r="AD778" s="27">
        <f>(M778*'RAP TEMPLATE-GAS AVAILABILITY'!O777+N778*'RAP TEMPLATE-GAS AVAILABILITY'!P777+O778*'RAP TEMPLATE-GAS AVAILABILITY'!Q777+P778*'RAP TEMPLATE-GAS AVAILABILITY'!R777)/('RAP TEMPLATE-GAS AVAILABILITY'!O777+'RAP TEMPLATE-GAS AVAILABILITY'!P777+'RAP TEMPLATE-GAS AVAILABILITY'!Q777+'RAP TEMPLATE-GAS AVAILABILITY'!R777)</f>
        <v>21.753496402877694</v>
      </c>
    </row>
    <row r="779" spans="1:30" ht="15.75">
      <c r="A779" s="13">
        <v>64984</v>
      </c>
      <c r="B779" s="10">
        <f>CHOOSE(CONTROL!$C$42, 22.5486, 22.5486) * CHOOSE(CONTROL!$C$21, $C$9, 100%, $E$9)</f>
        <v>22.5486</v>
      </c>
      <c r="C779" s="10">
        <f>CHOOSE(CONTROL!$C$42, 22.5537, 22.5537) * CHOOSE(CONTROL!$C$21, $C$9, 100%, $E$9)</f>
        <v>22.553699999999999</v>
      </c>
      <c r="D779" s="10">
        <f>CHOOSE(CONTROL!$C$42, 22.5784, 22.5784) * CHOOSE(CONTROL!$C$21, $C$9, 100%, $E$9)</f>
        <v>22.578399999999998</v>
      </c>
      <c r="E779" s="10">
        <f>CHOOSE(CONTROL!$C$42, 22.6122, 22.6122) * CHOOSE(CONTROL!$C$21, $C$9, 100%, $E$9)</f>
        <v>22.612200000000001</v>
      </c>
      <c r="F779" s="10">
        <f>CHOOSE(CONTROL!$C$42, 22.5169, 22.5169)*CHOOSE(CONTROL!$C$21, $C$9, 100%, $E$9)</f>
        <v>22.5169</v>
      </c>
      <c r="G779" s="10">
        <f>CHOOSE(CONTROL!$C$42, 22.5329, 22.5329)*CHOOSE(CONTROL!$C$21, $C$9, 100%, $E$9)</f>
        <v>22.532900000000001</v>
      </c>
      <c r="H779" s="10">
        <f>CHOOSE(CONTROL!$C$42, 22.6011, 22.6011) * CHOOSE(CONTROL!$C$21, $C$9, 100%, $E$9)</f>
        <v>22.601099999999999</v>
      </c>
      <c r="I779" s="10">
        <f>CHOOSE(CONTROL!$C$42, 22.5636, 22.5636)* CHOOSE(CONTROL!$C$21, $C$9, 100%, $E$9)</f>
        <v>22.563600000000001</v>
      </c>
      <c r="J779" s="10">
        <f>CHOOSE(CONTROL!$C$42, 22.5095, 22.5095)* CHOOSE(CONTROL!$C$21, $C$9, 100%, $E$9)</f>
        <v>22.509499999999999</v>
      </c>
      <c r="K779" s="10">
        <f>CHOOSE(CONTROL!$C$42, 22.0218, 22.0218) * CHOOSE(CONTROL!$C$21, $C$9, 100%, $E$9)</f>
        <v>22.021799999999999</v>
      </c>
      <c r="L779" s="10">
        <f>CHOOSE(CONTROL!$C$42, 23.1881, 23.1881) * CHOOSE(CONTROL!$C$21, $C$9, 100%, $E$9)</f>
        <v>23.188099999999999</v>
      </c>
      <c r="M779" s="10">
        <f>CHOOSE(CONTROL!$C$42, 22.2285, 22.2285) * CHOOSE(CONTROL!$C$21, $C$9, 100%, $E$9)</f>
        <v>22.2285</v>
      </c>
      <c r="N779" s="10">
        <f>CHOOSE(CONTROL!$C$42, 22.2443, 22.2443) * CHOOSE(CONTROL!$C$21, $C$9, 100%, $E$9)</f>
        <v>22.244299999999999</v>
      </c>
      <c r="O779" s="10">
        <f>CHOOSE(CONTROL!$C$42, 22.3188, 22.3188) * CHOOSE(CONTROL!$C$21, $C$9, 100%, $E$9)</f>
        <v>22.3188</v>
      </c>
      <c r="P779" s="10">
        <f>CHOOSE(CONTROL!$C$42, 22.2819, 22.2819) * CHOOSE(CONTROL!$C$21, $C$9, 100%, $E$9)</f>
        <v>22.2819</v>
      </c>
      <c r="Q779" s="10">
        <f>CHOOSE(CONTROL!$C$42, 22.9141, 22.9141) * CHOOSE(CONTROL!$C$21, $C$9, 100%, $E$9)</f>
        <v>22.914100000000001</v>
      </c>
      <c r="R779" s="10">
        <f>CHOOSE(CONTROL!$C$42, 23.5584, 23.5584) * CHOOSE(CONTROL!$C$21, $C$9, 100%, $E$9)</f>
        <v>23.558399999999999</v>
      </c>
      <c r="S779" s="10">
        <f>CHOOSE(CONTROL!$C$42, 21.8505, 21.8505) * CHOOSE(CONTROL!$C$21, $C$9, 100%, $E$9)</f>
        <v>21.8505</v>
      </c>
      <c r="T77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79" s="38">
        <f>(1000*CHOOSE(CONTROL!$C$42, 695, 695)*CHOOSE(CONTROL!$C$42, 0.5599, 0.5599)*CHOOSE(CONTROL!$C$42, 30, 30))/1000000</f>
        <v>11.673914999999997</v>
      </c>
      <c r="V779" s="38">
        <f>(1000*CHOOSE(CONTROL!$C$42, 500, 500)*CHOOSE(CONTROL!$C$42, 0.275, 0.275)*CHOOSE(CONTROL!$C$42, 30, 30))/1000000</f>
        <v>4.125</v>
      </c>
      <c r="W779" s="38">
        <f>(1000*CHOOSE(CONTROL!$C$42, 0.1146, 0.1146)*CHOOSE(CONTROL!$C$42, 121.5, 121.5)*CHOOSE(CONTROL!$C$42, 30, 30))/1000000</f>
        <v>0.417717</v>
      </c>
      <c r="X779" s="38">
        <f>(30*0.1790888*100000/1000000)+(30*0.2374*100000/1000000)</f>
        <v>1.2494664</v>
      </c>
      <c r="Y779" s="38">
        <f>(1000*600*CHOOSE(CONTROL!$C$42, 1.0585, 1.0585)*CHOOSE(CONTROL!$C$42, 30, 30))/1000000</f>
        <v>19.053000000000001</v>
      </c>
      <c r="Z779" s="38"/>
      <c r="AA779" s="10"/>
      <c r="AB779" s="39"/>
      <c r="AC779" s="33">
        <f>(B779*122.58+C779*297.941+D779*89.177+E779*40.302+F779*40+G779*160+H779*0+I779*100+J779*300)/(122.58+297.941+89.177+40.302+0+40+160+100+300)</f>
        <v>22.542278418173911</v>
      </c>
      <c r="AD779" s="27">
        <f>(M779*'RAP TEMPLATE-GAS AVAILABILITY'!O778+N779*'RAP TEMPLATE-GAS AVAILABILITY'!P778+O779*'RAP TEMPLATE-GAS AVAILABILITY'!Q778+P779*'RAP TEMPLATE-GAS AVAILABILITY'!R778)/('RAP TEMPLATE-GAS AVAILABILITY'!O778+'RAP TEMPLATE-GAS AVAILABILITY'!P778+'RAP TEMPLATE-GAS AVAILABILITY'!Q778+'RAP TEMPLATE-GAS AVAILABILITY'!R778)</f>
        <v>22.278020143884891</v>
      </c>
    </row>
    <row r="780" spans="1:30" ht="15.75">
      <c r="A780" s="13">
        <v>65015</v>
      </c>
      <c r="B780" s="10">
        <f>CHOOSE(CONTROL!$C$42, 24.0871, 24.0871) * CHOOSE(CONTROL!$C$21, $C$9, 100%, $E$9)</f>
        <v>24.0871</v>
      </c>
      <c r="C780" s="10">
        <f>CHOOSE(CONTROL!$C$42, 24.0922, 24.0922) * CHOOSE(CONTROL!$C$21, $C$9, 100%, $E$9)</f>
        <v>24.092199999999998</v>
      </c>
      <c r="D780" s="10">
        <f>CHOOSE(CONTROL!$C$42, 24.1168, 24.1168) * CHOOSE(CONTROL!$C$21, $C$9, 100%, $E$9)</f>
        <v>24.116800000000001</v>
      </c>
      <c r="E780" s="10">
        <f>CHOOSE(CONTROL!$C$42, 24.1507, 24.1507) * CHOOSE(CONTROL!$C$21, $C$9, 100%, $E$9)</f>
        <v>24.150700000000001</v>
      </c>
      <c r="F780" s="10">
        <f>CHOOSE(CONTROL!$C$42, 24.0573, 24.0573)*CHOOSE(CONTROL!$C$21, $C$9, 100%, $E$9)</f>
        <v>24.057300000000001</v>
      </c>
      <c r="G780" s="10">
        <f>CHOOSE(CONTROL!$C$42, 24.0738, 24.0738)*CHOOSE(CONTROL!$C$21, $C$9, 100%, $E$9)</f>
        <v>24.073799999999999</v>
      </c>
      <c r="H780" s="10">
        <f>CHOOSE(CONTROL!$C$42, 24.1395, 24.1395) * CHOOSE(CONTROL!$C$21, $C$9, 100%, $E$9)</f>
        <v>24.139500000000002</v>
      </c>
      <c r="I780" s="10">
        <f>CHOOSE(CONTROL!$C$42, 24.1021, 24.1021)* CHOOSE(CONTROL!$C$21, $C$9, 100%, $E$9)</f>
        <v>24.1021</v>
      </c>
      <c r="J780" s="10">
        <f>CHOOSE(CONTROL!$C$42, 24.0499, 24.0499)* CHOOSE(CONTROL!$C$21, $C$9, 100%, $E$9)</f>
        <v>24.049900000000001</v>
      </c>
      <c r="K780" s="10">
        <f>CHOOSE(CONTROL!$C$42, 23.5164, 23.5164) * CHOOSE(CONTROL!$C$21, $C$9, 100%, $E$9)</f>
        <v>23.516400000000001</v>
      </c>
      <c r="L780" s="10">
        <f>CHOOSE(CONTROL!$C$42, 24.7265, 24.7265) * CHOOSE(CONTROL!$C$21, $C$9, 100%, $E$9)</f>
        <v>24.726500000000001</v>
      </c>
      <c r="M780" s="10">
        <f>CHOOSE(CONTROL!$C$42, 23.7474, 23.7474) * CHOOSE(CONTROL!$C$21, $C$9, 100%, $E$9)</f>
        <v>23.747399999999999</v>
      </c>
      <c r="N780" s="10">
        <f>CHOOSE(CONTROL!$C$42, 23.7637, 23.7637) * CHOOSE(CONTROL!$C$21, $C$9, 100%, $E$9)</f>
        <v>23.7637</v>
      </c>
      <c r="O780" s="10">
        <f>CHOOSE(CONTROL!$C$42, 23.8358, 23.8358) * CHOOSE(CONTROL!$C$21, $C$9, 100%, $E$9)</f>
        <v>23.835799999999999</v>
      </c>
      <c r="P780" s="10">
        <f>CHOOSE(CONTROL!$C$42, 23.7989, 23.7989) * CHOOSE(CONTROL!$C$21, $C$9, 100%, $E$9)</f>
        <v>23.7989</v>
      </c>
      <c r="Q780" s="10">
        <f>CHOOSE(CONTROL!$C$42, 24.4311, 24.4311) * CHOOSE(CONTROL!$C$21, $C$9, 100%, $E$9)</f>
        <v>24.431100000000001</v>
      </c>
      <c r="R780" s="10">
        <f>CHOOSE(CONTROL!$C$42, 25.0792, 25.0792) * CHOOSE(CONTROL!$C$21, $C$9, 100%, $E$9)</f>
        <v>25.0792</v>
      </c>
      <c r="S780" s="10">
        <f>CHOOSE(CONTROL!$C$42, 23.3402, 23.3402) * CHOOSE(CONTROL!$C$21, $C$9, 100%, $E$9)</f>
        <v>23.340199999999999</v>
      </c>
      <c r="T78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80" s="38">
        <f>(1000*CHOOSE(CONTROL!$C$42, 695, 695)*CHOOSE(CONTROL!$C$42, 0.5599, 0.5599)*CHOOSE(CONTROL!$C$42, 31, 31))/1000000</f>
        <v>12.063045499999998</v>
      </c>
      <c r="V780" s="38">
        <f>(1000*CHOOSE(CONTROL!$C$42, 500, 500)*CHOOSE(CONTROL!$C$42, 0.275, 0.275)*CHOOSE(CONTROL!$C$42, 31, 31))/1000000</f>
        <v>4.2625000000000002</v>
      </c>
      <c r="W780" s="38">
        <f>(1000*CHOOSE(CONTROL!$C$42, 0.1146, 0.1146)*CHOOSE(CONTROL!$C$42, 121.5, 121.5)*CHOOSE(CONTROL!$C$42, 31, 31))/1000000</f>
        <v>0.43164089999999994</v>
      </c>
      <c r="X780" s="38">
        <f>(31*0.1790888*100000/1000000)+(31*0.2374*100000/1000000)</f>
        <v>1.2911152800000001</v>
      </c>
      <c r="Y780" s="38">
        <f>(1000*600*CHOOSE(CONTROL!$C$42, 1.0585, 1.0585)*CHOOSE(CONTROL!$C$42, 31, 31))/1000000</f>
        <v>19.688099999999999</v>
      </c>
      <c r="Z780" s="38"/>
      <c r="AA780" s="10"/>
      <c r="AB780" s="39"/>
      <c r="AC780" s="33">
        <f>(B780*122.58+C780*297.941+D780*89.177+E780*40.302+F780*40+G780*160+H780*0+I780*100+J780*300)/(122.58+297.941+89.177+40.302+0+40+160+100+300)</f>
        <v>24.081666315826084</v>
      </c>
      <c r="AD780" s="27">
        <f>(M780*'RAP TEMPLATE-GAS AVAILABILITY'!O779+N780*'RAP TEMPLATE-GAS AVAILABILITY'!P779+O780*'RAP TEMPLATE-GAS AVAILABILITY'!Q779+P780*'RAP TEMPLATE-GAS AVAILABILITY'!R779)/('RAP TEMPLATE-GAS AVAILABILITY'!O779+'RAP TEMPLATE-GAS AVAILABILITY'!P779+'RAP TEMPLATE-GAS AVAILABILITY'!Q779+'RAP TEMPLATE-GAS AVAILABILITY'!R779)</f>
        <v>23.795814388489209</v>
      </c>
    </row>
    <row r="781" spans="1:30" ht="15.75">
      <c r="A781" s="13">
        <v>65046</v>
      </c>
      <c r="B781" s="10">
        <f>CHOOSE(CONTROL!$C$42, 25.7139, 25.7139) * CHOOSE(CONTROL!$C$21, $C$9, 100%, $E$9)</f>
        <v>25.713899999999999</v>
      </c>
      <c r="C781" s="10">
        <f>CHOOSE(CONTROL!$C$42, 25.719, 25.719) * CHOOSE(CONTROL!$C$21, $C$9, 100%, $E$9)</f>
        <v>25.719000000000001</v>
      </c>
      <c r="D781" s="10">
        <f>CHOOSE(CONTROL!$C$42, 25.7514, 25.7514) * CHOOSE(CONTROL!$C$21, $C$9, 100%, $E$9)</f>
        <v>25.7514</v>
      </c>
      <c r="E781" s="10">
        <f>CHOOSE(CONTROL!$C$42, 25.7852, 25.7852) * CHOOSE(CONTROL!$C$21, $C$9, 100%, $E$9)</f>
        <v>25.7852</v>
      </c>
      <c r="F781" s="10">
        <f>CHOOSE(CONTROL!$C$42, 25.6981, 25.6981)*CHOOSE(CONTROL!$C$21, $C$9, 100%, $E$9)</f>
        <v>25.6981</v>
      </c>
      <c r="G781" s="10">
        <f>CHOOSE(CONTROL!$C$42, 25.7161, 25.7161)*CHOOSE(CONTROL!$C$21, $C$9, 100%, $E$9)</f>
        <v>25.716100000000001</v>
      </c>
      <c r="H781" s="10">
        <f>CHOOSE(CONTROL!$C$42, 25.7741, 25.7741) * CHOOSE(CONTROL!$C$21, $C$9, 100%, $E$9)</f>
        <v>25.774100000000001</v>
      </c>
      <c r="I781" s="10">
        <f>CHOOSE(CONTROL!$C$42, 25.7273, 25.7273)* CHOOSE(CONTROL!$C$21, $C$9, 100%, $E$9)</f>
        <v>25.7273</v>
      </c>
      <c r="J781" s="10">
        <f>CHOOSE(CONTROL!$C$42, 25.6907, 25.6907)* CHOOSE(CONTROL!$C$21, $C$9, 100%, $E$9)</f>
        <v>25.6907</v>
      </c>
      <c r="K781" s="10">
        <f>CHOOSE(CONTROL!$C$42, 25.1049, 25.1049) * CHOOSE(CONTROL!$C$21, $C$9, 100%, $E$9)</f>
        <v>25.104900000000001</v>
      </c>
      <c r="L781" s="10">
        <f>CHOOSE(CONTROL!$C$42, 26.3611, 26.3611) * CHOOSE(CONTROL!$C$21, $C$9, 100%, $E$9)</f>
        <v>26.3611</v>
      </c>
      <c r="M781" s="10">
        <f>CHOOSE(CONTROL!$C$42, 25.3653, 25.3653) * CHOOSE(CONTROL!$C$21, $C$9, 100%, $E$9)</f>
        <v>25.365300000000001</v>
      </c>
      <c r="N781" s="10">
        <f>CHOOSE(CONTROL!$C$42, 25.3831, 25.3831) * CHOOSE(CONTROL!$C$21, $C$9, 100%, $E$9)</f>
        <v>25.383099999999999</v>
      </c>
      <c r="O781" s="10">
        <f>CHOOSE(CONTROL!$C$42, 25.4476, 25.4476) * CHOOSE(CONTROL!$C$21, $C$9, 100%, $E$9)</f>
        <v>25.447600000000001</v>
      </c>
      <c r="P781" s="10">
        <f>CHOOSE(CONTROL!$C$42, 25.4015, 25.4015) * CHOOSE(CONTROL!$C$21, $C$9, 100%, $E$9)</f>
        <v>25.401499999999999</v>
      </c>
      <c r="Q781" s="10">
        <f>CHOOSE(CONTROL!$C$42, 26.0429, 26.0429) * CHOOSE(CONTROL!$C$21, $C$9, 100%, $E$9)</f>
        <v>26.042899999999999</v>
      </c>
      <c r="R781" s="10">
        <f>CHOOSE(CONTROL!$C$42, 26.695, 26.695) * CHOOSE(CONTROL!$C$21, $C$9, 100%, $E$9)</f>
        <v>26.695</v>
      </c>
      <c r="S781" s="10">
        <f>CHOOSE(CONTROL!$C$42, 24.9154, 24.9154) * CHOOSE(CONTROL!$C$21, $C$9, 100%, $E$9)</f>
        <v>24.915400000000002</v>
      </c>
      <c r="T78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81" s="38">
        <f>(1000*CHOOSE(CONTROL!$C$42, 695, 695)*CHOOSE(CONTROL!$C$42, 0.5599, 0.5599)*CHOOSE(CONTROL!$C$42, 31, 31))/1000000</f>
        <v>12.063045499999998</v>
      </c>
      <c r="V781" s="38">
        <f>(1000*CHOOSE(CONTROL!$C$42, 500, 500)*CHOOSE(CONTROL!$C$42, 0.275, 0.275)*CHOOSE(CONTROL!$C$42, 31, 31))/1000000</f>
        <v>4.2625000000000002</v>
      </c>
      <c r="W781" s="38">
        <f>(1000*CHOOSE(CONTROL!$C$42, 0.1146, 0.1146)*CHOOSE(CONTROL!$C$42, 121.5, 121.5)*CHOOSE(CONTROL!$C$42, 31, 31))/1000000</f>
        <v>0.43164089999999994</v>
      </c>
      <c r="X781" s="38">
        <f>(31*0.1790888*100000/1000000)+(31*0.2374*100000/1000000)</f>
        <v>1.2911152800000001</v>
      </c>
      <c r="Y781" s="38">
        <f>(1000*600*CHOOSE(CONTROL!$C$42, 1.0585, 1.0585)*CHOOSE(CONTROL!$C$42, 31, 31))/1000000</f>
        <v>19.688099999999999</v>
      </c>
      <c r="Z781" s="38"/>
      <c r="AA781" s="10"/>
      <c r="AB781" s="39"/>
      <c r="AC781" s="33">
        <f>(B781*122.58+C781*297.941+D781*89.177+E781*40.302+F781*40+G781*160+H781*0+I781*100+J781*300)/(122.58+297.941+89.177+40.302+0+40+160+100+300)</f>
        <v>25.715497538434779</v>
      </c>
      <c r="AD781" s="27">
        <f>(M781*'RAP TEMPLATE-GAS AVAILABILITY'!O780+N781*'RAP TEMPLATE-GAS AVAILABILITY'!P780+O781*'RAP TEMPLATE-GAS AVAILABILITY'!Q780+P781*'RAP TEMPLATE-GAS AVAILABILITY'!R780)/('RAP TEMPLATE-GAS AVAILABILITY'!O780+'RAP TEMPLATE-GAS AVAILABILITY'!P780+'RAP TEMPLATE-GAS AVAILABILITY'!Q780+'RAP TEMPLATE-GAS AVAILABILITY'!R780)</f>
        <v>25.408834532374101</v>
      </c>
    </row>
    <row r="782" spans="1:30" ht="15.75">
      <c r="A782" s="13">
        <v>65074</v>
      </c>
      <c r="B782" s="10">
        <f>CHOOSE(CONTROL!$C$42, 26.1719, 26.1719) * CHOOSE(CONTROL!$C$21, $C$9, 100%, $E$9)</f>
        <v>26.171900000000001</v>
      </c>
      <c r="C782" s="10">
        <f>CHOOSE(CONTROL!$C$42, 26.177, 26.177) * CHOOSE(CONTROL!$C$21, $C$9, 100%, $E$9)</f>
        <v>26.177</v>
      </c>
      <c r="D782" s="10">
        <f>CHOOSE(CONTROL!$C$42, 26.2095, 26.2095) * CHOOSE(CONTROL!$C$21, $C$9, 100%, $E$9)</f>
        <v>26.209499999999998</v>
      </c>
      <c r="E782" s="10">
        <f>CHOOSE(CONTROL!$C$42, 26.2433, 26.2433) * CHOOSE(CONTROL!$C$21, $C$9, 100%, $E$9)</f>
        <v>26.243300000000001</v>
      </c>
      <c r="F782" s="10">
        <f>CHOOSE(CONTROL!$C$42, 26.1557, 26.1557)*CHOOSE(CONTROL!$C$21, $C$9, 100%, $E$9)</f>
        <v>26.1557</v>
      </c>
      <c r="G782" s="10">
        <f>CHOOSE(CONTROL!$C$42, 26.1736, 26.1736)*CHOOSE(CONTROL!$C$21, $C$9, 100%, $E$9)</f>
        <v>26.1736</v>
      </c>
      <c r="H782" s="10">
        <f>CHOOSE(CONTROL!$C$42, 26.2321, 26.2321) * CHOOSE(CONTROL!$C$21, $C$9, 100%, $E$9)</f>
        <v>26.232099999999999</v>
      </c>
      <c r="I782" s="10">
        <f>CHOOSE(CONTROL!$C$42, 26.1854, 26.1854)* CHOOSE(CONTROL!$C$21, $C$9, 100%, $E$9)</f>
        <v>26.185400000000001</v>
      </c>
      <c r="J782" s="10">
        <f>CHOOSE(CONTROL!$C$42, 26.1483, 26.1483)* CHOOSE(CONTROL!$C$21, $C$9, 100%, $E$9)</f>
        <v>26.148299999999999</v>
      </c>
      <c r="K782" s="10">
        <f>CHOOSE(CONTROL!$C$42, 25.5476, 25.5476) * CHOOSE(CONTROL!$C$21, $C$9, 100%, $E$9)</f>
        <v>25.547599999999999</v>
      </c>
      <c r="L782" s="10">
        <f>CHOOSE(CONTROL!$C$42, 26.8191, 26.8191) * CHOOSE(CONTROL!$C$21, $C$9, 100%, $E$9)</f>
        <v>26.819099999999999</v>
      </c>
      <c r="M782" s="10">
        <f>CHOOSE(CONTROL!$C$42, 25.8165, 25.8165) * CHOOSE(CONTROL!$C$21, $C$9, 100%, $E$9)</f>
        <v>25.816500000000001</v>
      </c>
      <c r="N782" s="10">
        <f>CHOOSE(CONTROL!$C$42, 25.8342, 25.8342) * CHOOSE(CONTROL!$C$21, $C$9, 100%, $E$9)</f>
        <v>25.834199999999999</v>
      </c>
      <c r="O782" s="10">
        <f>CHOOSE(CONTROL!$C$42, 25.8992, 25.8992) * CHOOSE(CONTROL!$C$21, $C$9, 100%, $E$9)</f>
        <v>25.8992</v>
      </c>
      <c r="P782" s="10">
        <f>CHOOSE(CONTROL!$C$42, 25.8531, 25.8531) * CHOOSE(CONTROL!$C$21, $C$9, 100%, $E$9)</f>
        <v>25.853100000000001</v>
      </c>
      <c r="Q782" s="10">
        <f>CHOOSE(CONTROL!$C$42, 26.4945, 26.4945) * CHOOSE(CONTROL!$C$21, $C$9, 100%, $E$9)</f>
        <v>26.494499999999999</v>
      </c>
      <c r="R782" s="10">
        <f>CHOOSE(CONTROL!$C$42, 27.1477, 27.1477) * CHOOSE(CONTROL!$C$21, $C$9, 100%, $E$9)</f>
        <v>27.1477</v>
      </c>
      <c r="S782" s="10">
        <f>CHOOSE(CONTROL!$C$42, 25.3589, 25.3589) * CHOOSE(CONTROL!$C$21, $C$9, 100%, $E$9)</f>
        <v>25.358899999999998</v>
      </c>
      <c r="T78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82" s="38">
        <f>(1000*CHOOSE(CONTROL!$C$42, 695, 695)*CHOOSE(CONTROL!$C$42, 0.5599, 0.5599)*CHOOSE(CONTROL!$C$42, 28, 28))/1000000</f>
        <v>10.895653999999999</v>
      </c>
      <c r="V782" s="38">
        <f>(1000*CHOOSE(CONTROL!$C$42, 500, 500)*CHOOSE(CONTROL!$C$42, 0.275, 0.275)*CHOOSE(CONTROL!$C$42, 28, 28))/1000000</f>
        <v>3.85</v>
      </c>
      <c r="W782" s="38">
        <f>(1000*CHOOSE(CONTROL!$C$42, 0.1146, 0.1146)*CHOOSE(CONTROL!$C$42, 121.5, 121.5)*CHOOSE(CONTROL!$C$42, 28, 28))/1000000</f>
        <v>0.38986920000000003</v>
      </c>
      <c r="X782" s="38">
        <f>(28*0.1790888*100000/1000000)+(28*0.2374*100000/1000000)</f>
        <v>1.16616864</v>
      </c>
      <c r="Y782" s="38">
        <f>(1000*600*CHOOSE(CONTROL!$C$42, 1.0585, 1.0585)*CHOOSE(CONTROL!$C$42, 28, 28))/1000000</f>
        <v>17.782800000000002</v>
      </c>
      <c r="Z782" s="38"/>
      <c r="AA782" s="10"/>
      <c r="AB782" s="39"/>
      <c r="AC782" s="33">
        <f>(B782*122.58+C782*297.941+D782*89.177+E782*40.302+F782*40+G782*160+H782*0+I782*100+J782*300)/(122.58+297.941+89.177+40.302+0+40+160+100+300)</f>
        <v>26.173329667043472</v>
      </c>
      <c r="AD782" s="27">
        <f>(M782*'RAP TEMPLATE-GAS AVAILABILITY'!O781+N782*'RAP TEMPLATE-GAS AVAILABILITY'!P781+O782*'RAP TEMPLATE-GAS AVAILABILITY'!Q781+P782*'RAP TEMPLATE-GAS AVAILABILITY'!R781)/('RAP TEMPLATE-GAS AVAILABILITY'!O781+'RAP TEMPLATE-GAS AVAILABILITY'!P781+'RAP TEMPLATE-GAS AVAILABILITY'!Q781+'RAP TEMPLATE-GAS AVAILABILITY'!R781)</f>
        <v>25.860267625899283</v>
      </c>
    </row>
    <row r="783" spans="1:30" ht="15.75">
      <c r="A783" s="13">
        <v>65105</v>
      </c>
      <c r="B783" s="10">
        <f>CHOOSE(CONTROL!$C$42, 25.4284, 25.4284) * CHOOSE(CONTROL!$C$21, $C$9, 100%, $E$9)</f>
        <v>25.4284</v>
      </c>
      <c r="C783" s="10">
        <f>CHOOSE(CONTROL!$C$42, 25.4335, 25.4335) * CHOOSE(CONTROL!$C$21, $C$9, 100%, $E$9)</f>
        <v>25.433499999999999</v>
      </c>
      <c r="D783" s="10">
        <f>CHOOSE(CONTROL!$C$42, 25.466, 25.466) * CHOOSE(CONTROL!$C$21, $C$9, 100%, $E$9)</f>
        <v>25.466000000000001</v>
      </c>
      <c r="E783" s="10">
        <f>CHOOSE(CONTROL!$C$42, 25.4998, 25.4998) * CHOOSE(CONTROL!$C$21, $C$9, 100%, $E$9)</f>
        <v>25.4998</v>
      </c>
      <c r="F783" s="10">
        <f>CHOOSE(CONTROL!$C$42, 25.4107, 25.4107)*CHOOSE(CONTROL!$C$21, $C$9, 100%, $E$9)</f>
        <v>25.410699999999999</v>
      </c>
      <c r="G783" s="10">
        <f>CHOOSE(CONTROL!$C$42, 25.4283, 25.4283)*CHOOSE(CONTROL!$C$21, $C$9, 100%, $E$9)</f>
        <v>25.4283</v>
      </c>
      <c r="H783" s="10">
        <f>CHOOSE(CONTROL!$C$42, 25.4886, 25.4886) * CHOOSE(CONTROL!$C$21, $C$9, 100%, $E$9)</f>
        <v>25.488600000000002</v>
      </c>
      <c r="I783" s="10">
        <f>CHOOSE(CONTROL!$C$42, 25.4419, 25.4419)* CHOOSE(CONTROL!$C$21, $C$9, 100%, $E$9)</f>
        <v>25.4419</v>
      </c>
      <c r="J783" s="10">
        <f>CHOOSE(CONTROL!$C$42, 25.4033, 25.4033)* CHOOSE(CONTROL!$C$21, $C$9, 100%, $E$9)</f>
        <v>25.403300000000002</v>
      </c>
      <c r="K783" s="10">
        <f>CHOOSE(CONTROL!$C$42, 24.8242, 24.8242) * CHOOSE(CONTROL!$C$21, $C$9, 100%, $E$9)</f>
        <v>24.824200000000001</v>
      </c>
      <c r="L783" s="10">
        <f>CHOOSE(CONTROL!$C$42, 26.0756, 26.0756) * CHOOSE(CONTROL!$C$21, $C$9, 100%, $E$9)</f>
        <v>26.075600000000001</v>
      </c>
      <c r="M783" s="10">
        <f>CHOOSE(CONTROL!$C$42, 25.0819, 25.0819) * CHOOSE(CONTROL!$C$21, $C$9, 100%, $E$9)</f>
        <v>25.081900000000001</v>
      </c>
      <c r="N783" s="10">
        <f>CHOOSE(CONTROL!$C$42, 25.0992, 25.0992) * CHOOSE(CONTROL!$C$21, $C$9, 100%, $E$9)</f>
        <v>25.0992</v>
      </c>
      <c r="O783" s="10">
        <f>CHOOSE(CONTROL!$C$42, 25.1661, 25.1661) * CHOOSE(CONTROL!$C$21, $C$9, 100%, $E$9)</f>
        <v>25.1661</v>
      </c>
      <c r="P783" s="10">
        <f>CHOOSE(CONTROL!$C$42, 25.12, 25.12) * CHOOSE(CONTROL!$C$21, $C$9, 100%, $E$9)</f>
        <v>25.12</v>
      </c>
      <c r="Q783" s="10">
        <f>CHOOSE(CONTROL!$C$42, 25.7614, 25.7614) * CHOOSE(CONTROL!$C$21, $C$9, 100%, $E$9)</f>
        <v>25.761399999999998</v>
      </c>
      <c r="R783" s="10">
        <f>CHOOSE(CONTROL!$C$42, 26.4128, 26.4128) * CHOOSE(CONTROL!$C$21, $C$9, 100%, $E$9)</f>
        <v>26.412800000000001</v>
      </c>
      <c r="S783" s="10">
        <f>CHOOSE(CONTROL!$C$42, 24.639, 24.639) * CHOOSE(CONTROL!$C$21, $C$9, 100%, $E$9)</f>
        <v>24.638999999999999</v>
      </c>
      <c r="T78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83" s="38">
        <f>(1000*CHOOSE(CONTROL!$C$42, 695, 695)*CHOOSE(CONTROL!$C$42, 0.5599, 0.5599)*CHOOSE(CONTROL!$C$42, 31, 31))/1000000</f>
        <v>12.063045499999998</v>
      </c>
      <c r="V783" s="38">
        <f>(1000*CHOOSE(CONTROL!$C$42, 500, 500)*CHOOSE(CONTROL!$C$42, 0.275, 0.275)*CHOOSE(CONTROL!$C$42, 31, 31))/1000000</f>
        <v>4.2625000000000002</v>
      </c>
      <c r="W783" s="38">
        <f>(1000*CHOOSE(CONTROL!$C$42, 0.1146, 0.1146)*CHOOSE(CONTROL!$C$42, 121.5, 121.5)*CHOOSE(CONTROL!$C$42, 31, 31))/1000000</f>
        <v>0.43164089999999994</v>
      </c>
      <c r="X783" s="38">
        <f>(31*0.1790888*100000/1000000)+(31*0.2374*100000/1000000)</f>
        <v>1.2911152800000001</v>
      </c>
      <c r="Y783" s="38">
        <f>(1000*600*CHOOSE(CONTROL!$C$42, 1.0585, 1.0585)*CHOOSE(CONTROL!$C$42, 31, 31))/1000000</f>
        <v>19.688099999999999</v>
      </c>
      <c r="Z783" s="38"/>
      <c r="AA783" s="10"/>
      <c r="AB783" s="39"/>
      <c r="AC783" s="33">
        <f>(B783*122.58+C783*297.941+D783*89.177+E783*40.302+F783*40+G783*160+H783*0+I783*100+J783*300)/(122.58+297.941+89.177+40.302+0+40+160+100+300)</f>
        <v>25.429135753999997</v>
      </c>
      <c r="AD783" s="27">
        <f>(M783*'RAP TEMPLATE-GAS AVAILABILITY'!O782+N783*'RAP TEMPLATE-GAS AVAILABILITY'!P782+O783*'RAP TEMPLATE-GAS AVAILABILITY'!Q782+P783*'RAP TEMPLATE-GAS AVAILABILITY'!R782)/('RAP TEMPLATE-GAS AVAILABILITY'!O782+'RAP TEMPLATE-GAS AVAILABILITY'!P782+'RAP TEMPLATE-GAS AVAILABILITY'!Q782+'RAP TEMPLATE-GAS AVAILABILITY'!R782)</f>
        <v>25.126540287769785</v>
      </c>
    </row>
    <row r="784" spans="1:30" ht="15.75">
      <c r="A784" s="13">
        <v>65135</v>
      </c>
      <c r="B784" s="10">
        <f>CHOOSE(CONTROL!$C$42, 25.353, 25.353) * CHOOSE(CONTROL!$C$21, $C$9, 100%, $E$9)</f>
        <v>25.353000000000002</v>
      </c>
      <c r="C784" s="10">
        <f>CHOOSE(CONTROL!$C$42, 25.3575, 25.3575) * CHOOSE(CONTROL!$C$21, $C$9, 100%, $E$9)</f>
        <v>25.357500000000002</v>
      </c>
      <c r="D784" s="10">
        <f>CHOOSE(CONTROL!$C$42, 25.5177, 25.5177) * CHOOSE(CONTROL!$C$21, $C$9, 100%, $E$9)</f>
        <v>25.517700000000001</v>
      </c>
      <c r="E784" s="10">
        <f>CHOOSE(CONTROL!$C$42, 25.5495, 25.5495) * CHOOSE(CONTROL!$C$21, $C$9, 100%, $E$9)</f>
        <v>25.549499999999998</v>
      </c>
      <c r="F784" s="10">
        <f>CHOOSE(CONTROL!$C$42, 25.2991, 25.2991)*CHOOSE(CONTROL!$C$21, $C$9, 100%, $E$9)</f>
        <v>25.299099999999999</v>
      </c>
      <c r="G784" s="10">
        <f>CHOOSE(CONTROL!$C$42, 25.3149, 25.3149)*CHOOSE(CONTROL!$C$21, $C$9, 100%, $E$9)</f>
        <v>25.314900000000002</v>
      </c>
      <c r="H784" s="10">
        <f>CHOOSE(CONTROL!$C$42, 25.539, 25.539) * CHOOSE(CONTROL!$C$21, $C$9, 100%, $E$9)</f>
        <v>25.539000000000001</v>
      </c>
      <c r="I784" s="10">
        <f>CHOOSE(CONTROL!$C$42, 25.3332, 25.3332)* CHOOSE(CONTROL!$C$21, $C$9, 100%, $E$9)</f>
        <v>25.333200000000001</v>
      </c>
      <c r="J784" s="10">
        <f>CHOOSE(CONTROL!$C$42, 25.2917, 25.2917)* CHOOSE(CONTROL!$C$21, $C$9, 100%, $E$9)</f>
        <v>25.291699999999999</v>
      </c>
      <c r="K784" s="10">
        <f>CHOOSE(CONTROL!$C$42, 24.7029, 24.7029) * CHOOSE(CONTROL!$C$21, $C$9, 100%, $E$9)</f>
        <v>24.7029</v>
      </c>
      <c r="L784" s="10">
        <f>CHOOSE(CONTROL!$C$42, 26.126, 26.126) * CHOOSE(CONTROL!$C$21, $C$9, 100%, $E$9)</f>
        <v>26.126000000000001</v>
      </c>
      <c r="M784" s="10">
        <f>CHOOSE(CONTROL!$C$42, 24.9719, 24.9719) * CHOOSE(CONTROL!$C$21, $C$9, 100%, $E$9)</f>
        <v>24.971900000000002</v>
      </c>
      <c r="N784" s="10">
        <f>CHOOSE(CONTROL!$C$42, 24.9875, 24.9875) * CHOOSE(CONTROL!$C$21, $C$9, 100%, $E$9)</f>
        <v>24.987500000000001</v>
      </c>
      <c r="O784" s="10">
        <f>CHOOSE(CONTROL!$C$42, 25.2157, 25.2157) * CHOOSE(CONTROL!$C$21, $C$9, 100%, $E$9)</f>
        <v>25.215699999999998</v>
      </c>
      <c r="P784" s="10">
        <f>CHOOSE(CONTROL!$C$42, 25.0128, 25.0128) * CHOOSE(CONTROL!$C$21, $C$9, 100%, $E$9)</f>
        <v>25.012799999999999</v>
      </c>
      <c r="Q784" s="10">
        <f>CHOOSE(CONTROL!$C$42, 25.811, 25.811) * CHOOSE(CONTROL!$C$21, $C$9, 100%, $E$9)</f>
        <v>25.811</v>
      </c>
      <c r="R784" s="10">
        <f>CHOOSE(CONTROL!$C$42, 26.4625, 26.4625) * CHOOSE(CONTROL!$C$21, $C$9, 100%, $E$9)</f>
        <v>26.462499999999999</v>
      </c>
      <c r="S784" s="10">
        <f>CHOOSE(CONTROL!$C$42, 24.5652, 24.5652) * CHOOSE(CONTROL!$C$21, $C$9, 100%, $E$9)</f>
        <v>24.565200000000001</v>
      </c>
      <c r="T78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84" s="38">
        <f>(1000*CHOOSE(CONTROL!$C$42, 695, 695)*CHOOSE(CONTROL!$C$42, 0.5599, 0.5599)*CHOOSE(CONTROL!$C$42, 30, 30))/1000000</f>
        <v>11.673914999999997</v>
      </c>
      <c r="V784" s="38">
        <f>(1000*CHOOSE(CONTROL!$C$42, 500, 500)*CHOOSE(CONTROL!$C$42, 0.275, 0.275)*CHOOSE(CONTROL!$C$42, 30, 30))/1000000</f>
        <v>4.125</v>
      </c>
      <c r="W784" s="38">
        <f>(1000*CHOOSE(CONTROL!$C$42, 0.1146, 0.1146)*CHOOSE(CONTROL!$C$42, 121.5, 121.5)*CHOOSE(CONTROL!$C$42, 30, 30))/1000000</f>
        <v>0.417717</v>
      </c>
      <c r="X784" s="38">
        <f>(30*0.1790888*245000/1000000)+(30*0.2374*100000/1000000)</f>
        <v>2.0285026799999999</v>
      </c>
      <c r="Y784" s="38">
        <f>(1000*600*CHOOSE(CONTROL!$C$42, 1.0585, 1.0585)*CHOOSE(CONTROL!$C$42, 30, 30))/1000000</f>
        <v>19.053000000000001</v>
      </c>
      <c r="Z784" s="38"/>
      <c r="AA784" s="10"/>
      <c r="AB784" s="39"/>
      <c r="AC784" s="33">
        <f>(B784*141.293+C784*267.993+D784*115.016+E784*89.698+F784*40+G784*185+H784*0+I784*100+J784*300)/(141.293+267.993+115.016+89.698+0+40+185+100+300)</f>
        <v>25.359618450928167</v>
      </c>
      <c r="AD784" s="27">
        <f>(M784*'RAP TEMPLATE-GAS AVAILABILITY'!O783+N784*'RAP TEMPLATE-GAS AVAILABILITY'!P783+O784*'RAP TEMPLATE-GAS AVAILABILITY'!Q783+P784*'RAP TEMPLATE-GAS AVAILABILITY'!R783)/('RAP TEMPLATE-GAS AVAILABILITY'!O783+'RAP TEMPLATE-GAS AVAILABILITY'!P783+'RAP TEMPLATE-GAS AVAILABILITY'!Q783+'RAP TEMPLATE-GAS AVAILABILITY'!R783)</f>
        <v>25.089182014388488</v>
      </c>
    </row>
    <row r="785" spans="1:30" ht="15.75">
      <c r="A785" s="13">
        <v>65166</v>
      </c>
      <c r="B785" s="10">
        <f>CHOOSE(CONTROL!$C$42, 25.5787, 25.5787) * CHOOSE(CONTROL!$C$21, $C$9, 100%, $E$9)</f>
        <v>25.578700000000001</v>
      </c>
      <c r="C785" s="10">
        <f>CHOOSE(CONTROL!$C$42, 25.5867, 25.5867) * CHOOSE(CONTROL!$C$21, $C$9, 100%, $E$9)</f>
        <v>25.5867</v>
      </c>
      <c r="D785" s="10">
        <f>CHOOSE(CONTROL!$C$42, 25.7438, 25.7438) * CHOOSE(CONTROL!$C$21, $C$9, 100%, $E$9)</f>
        <v>25.7438</v>
      </c>
      <c r="E785" s="10">
        <f>CHOOSE(CONTROL!$C$42, 25.775, 25.775) * CHOOSE(CONTROL!$C$21, $C$9, 100%, $E$9)</f>
        <v>25.774999999999999</v>
      </c>
      <c r="F785" s="10">
        <f>CHOOSE(CONTROL!$C$42, 25.5229, 25.5229)*CHOOSE(CONTROL!$C$21, $C$9, 100%, $E$9)</f>
        <v>25.5229</v>
      </c>
      <c r="G785" s="10">
        <f>CHOOSE(CONTROL!$C$42, 25.539, 25.539)*CHOOSE(CONTROL!$C$21, $C$9, 100%, $E$9)</f>
        <v>25.539000000000001</v>
      </c>
      <c r="H785" s="10">
        <f>CHOOSE(CONTROL!$C$42, 25.7633, 25.7633) * CHOOSE(CONTROL!$C$21, $C$9, 100%, $E$9)</f>
        <v>25.763300000000001</v>
      </c>
      <c r="I785" s="10">
        <f>CHOOSE(CONTROL!$C$42, 25.5575, 25.5575)* CHOOSE(CONTROL!$C$21, $C$9, 100%, $E$9)</f>
        <v>25.557500000000001</v>
      </c>
      <c r="J785" s="10">
        <f>CHOOSE(CONTROL!$C$42, 25.5155, 25.5155)* CHOOSE(CONTROL!$C$21, $C$9, 100%, $E$9)</f>
        <v>25.515499999999999</v>
      </c>
      <c r="K785" s="10">
        <f>CHOOSE(CONTROL!$C$42, 24.9189, 24.9189) * CHOOSE(CONTROL!$C$21, $C$9, 100%, $E$9)</f>
        <v>24.918900000000001</v>
      </c>
      <c r="L785" s="10">
        <f>CHOOSE(CONTROL!$C$42, 26.3503, 26.3503) * CHOOSE(CONTROL!$C$21, $C$9, 100%, $E$9)</f>
        <v>26.350300000000001</v>
      </c>
      <c r="M785" s="10">
        <f>CHOOSE(CONTROL!$C$42, 25.1925, 25.1925) * CHOOSE(CONTROL!$C$21, $C$9, 100%, $E$9)</f>
        <v>25.192499999999999</v>
      </c>
      <c r="N785" s="10">
        <f>CHOOSE(CONTROL!$C$42, 25.2084, 25.2084) * CHOOSE(CONTROL!$C$21, $C$9, 100%, $E$9)</f>
        <v>25.208400000000001</v>
      </c>
      <c r="O785" s="10">
        <f>CHOOSE(CONTROL!$C$42, 25.4369, 25.4369) * CHOOSE(CONTROL!$C$21, $C$9, 100%, $E$9)</f>
        <v>25.436900000000001</v>
      </c>
      <c r="P785" s="10">
        <f>CHOOSE(CONTROL!$C$42, 25.234, 25.234) * CHOOSE(CONTROL!$C$21, $C$9, 100%, $E$9)</f>
        <v>25.234000000000002</v>
      </c>
      <c r="Q785" s="10">
        <f>CHOOSE(CONTROL!$C$42, 26.0322, 26.0322) * CHOOSE(CONTROL!$C$21, $C$9, 100%, $E$9)</f>
        <v>26.0322</v>
      </c>
      <c r="R785" s="10">
        <f>CHOOSE(CONTROL!$C$42, 26.6843, 26.6843) * CHOOSE(CONTROL!$C$21, $C$9, 100%, $E$9)</f>
        <v>26.6843</v>
      </c>
      <c r="S785" s="10">
        <f>CHOOSE(CONTROL!$C$42, 24.7825, 24.7825) * CHOOSE(CONTROL!$C$21, $C$9, 100%, $E$9)</f>
        <v>24.782499999999999</v>
      </c>
      <c r="T78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85" s="38">
        <f>(1000*CHOOSE(CONTROL!$C$42, 695, 695)*CHOOSE(CONTROL!$C$42, 0.5599, 0.5599)*CHOOSE(CONTROL!$C$42, 31, 31))/1000000</f>
        <v>12.063045499999998</v>
      </c>
      <c r="V785" s="38">
        <f>(1000*CHOOSE(CONTROL!$C$42, 500, 500)*CHOOSE(CONTROL!$C$42, 0.275, 0.275)*CHOOSE(CONTROL!$C$42, 31, 31))/1000000</f>
        <v>4.2625000000000002</v>
      </c>
      <c r="W785" s="38">
        <f>(1000*CHOOSE(CONTROL!$C$42, 0.1146, 0.1146)*CHOOSE(CONTROL!$C$42, 121.5, 121.5)*CHOOSE(CONTROL!$C$42, 31, 31))/1000000</f>
        <v>0.43164089999999994</v>
      </c>
      <c r="X785" s="38">
        <f>(31*0.1790888*245000/1000000)+(31*0.2374*100000/1000000)</f>
        <v>2.0961194359999999</v>
      </c>
      <c r="Y785" s="38">
        <f>(1000*600*CHOOSE(CONTROL!$C$42, 1.0585, 1.0585)*CHOOSE(CONTROL!$C$42, 31, 31))/1000000</f>
        <v>19.688099999999999</v>
      </c>
      <c r="Z785" s="38"/>
      <c r="AA785" s="10"/>
      <c r="AB785" s="39"/>
      <c r="AC785" s="33">
        <f>(B785*194.205+C785*267.466+D785*133.845+E785*53.484+F785*40+G785*185+H785*0+I785*100+J785*300)/(194.205+267.466+133.845+53.484+0+40+185+100+300)</f>
        <v>25.581902469937209</v>
      </c>
      <c r="AD785" s="27">
        <f>(M785*'RAP TEMPLATE-GAS AVAILABILITY'!O784+N785*'RAP TEMPLATE-GAS AVAILABILITY'!P784+O785*'RAP TEMPLATE-GAS AVAILABILITY'!Q784+P785*'RAP TEMPLATE-GAS AVAILABILITY'!R784)/('RAP TEMPLATE-GAS AVAILABILITY'!O784+'RAP TEMPLATE-GAS AVAILABILITY'!P784+'RAP TEMPLATE-GAS AVAILABILITY'!Q784+'RAP TEMPLATE-GAS AVAILABILITY'!R784)</f>
        <v>25.310157553956838</v>
      </c>
    </row>
    <row r="786" spans="1:30" ht="15.75">
      <c r="A786" s="13">
        <v>65196</v>
      </c>
      <c r="B786" s="10">
        <f>CHOOSE(CONTROL!$C$42, 26.3047, 26.3047) * CHOOSE(CONTROL!$C$21, $C$9, 100%, $E$9)</f>
        <v>26.3047</v>
      </c>
      <c r="C786" s="10">
        <f>CHOOSE(CONTROL!$C$42, 26.3127, 26.3127) * CHOOSE(CONTROL!$C$21, $C$9, 100%, $E$9)</f>
        <v>26.3127</v>
      </c>
      <c r="D786" s="10">
        <f>CHOOSE(CONTROL!$C$42, 26.4698, 26.4698) * CHOOSE(CONTROL!$C$21, $C$9, 100%, $E$9)</f>
        <v>26.469799999999999</v>
      </c>
      <c r="E786" s="10">
        <f>CHOOSE(CONTROL!$C$42, 26.501, 26.501) * CHOOSE(CONTROL!$C$21, $C$9, 100%, $E$9)</f>
        <v>26.501000000000001</v>
      </c>
      <c r="F786" s="10">
        <f>CHOOSE(CONTROL!$C$42, 26.249, 26.249)*CHOOSE(CONTROL!$C$21, $C$9, 100%, $E$9)</f>
        <v>26.248999999999999</v>
      </c>
      <c r="G786" s="10">
        <f>CHOOSE(CONTROL!$C$42, 26.2652, 26.2652)*CHOOSE(CONTROL!$C$21, $C$9, 100%, $E$9)</f>
        <v>26.2652</v>
      </c>
      <c r="H786" s="10">
        <f>CHOOSE(CONTROL!$C$42, 26.4893, 26.4893) * CHOOSE(CONTROL!$C$21, $C$9, 100%, $E$9)</f>
        <v>26.4893</v>
      </c>
      <c r="I786" s="10">
        <f>CHOOSE(CONTROL!$C$42, 26.2835, 26.2835)* CHOOSE(CONTROL!$C$21, $C$9, 100%, $E$9)</f>
        <v>26.2835</v>
      </c>
      <c r="J786" s="10">
        <f>CHOOSE(CONTROL!$C$42, 26.2416, 26.2416)* CHOOSE(CONTROL!$C$21, $C$9, 100%, $E$9)</f>
        <v>26.241599999999998</v>
      </c>
      <c r="K786" s="10">
        <f>CHOOSE(CONTROL!$C$42, 25.6226, 25.6226) * CHOOSE(CONTROL!$C$21, $C$9, 100%, $E$9)</f>
        <v>25.622599999999998</v>
      </c>
      <c r="L786" s="10">
        <f>CHOOSE(CONTROL!$C$42, 27.0763, 27.0763) * CHOOSE(CONTROL!$C$21, $C$9, 100%, $E$9)</f>
        <v>27.0763</v>
      </c>
      <c r="M786" s="10">
        <f>CHOOSE(CONTROL!$C$42, 25.9085, 25.9085) * CHOOSE(CONTROL!$C$21, $C$9, 100%, $E$9)</f>
        <v>25.9085</v>
      </c>
      <c r="N786" s="10">
        <f>CHOOSE(CONTROL!$C$42, 25.9245, 25.9245) * CHOOSE(CONTROL!$C$21, $C$9, 100%, $E$9)</f>
        <v>25.924499999999998</v>
      </c>
      <c r="O786" s="10">
        <f>CHOOSE(CONTROL!$C$42, 26.1528, 26.1528) * CHOOSE(CONTROL!$C$21, $C$9, 100%, $E$9)</f>
        <v>26.152799999999999</v>
      </c>
      <c r="P786" s="10">
        <f>CHOOSE(CONTROL!$C$42, 25.9499, 25.9499) * CHOOSE(CONTROL!$C$21, $C$9, 100%, $E$9)</f>
        <v>25.9499</v>
      </c>
      <c r="Q786" s="10">
        <f>CHOOSE(CONTROL!$C$42, 26.7481, 26.7481) * CHOOSE(CONTROL!$C$21, $C$9, 100%, $E$9)</f>
        <v>26.748100000000001</v>
      </c>
      <c r="R786" s="10">
        <f>CHOOSE(CONTROL!$C$42, 27.4019, 27.4019) * CHOOSE(CONTROL!$C$21, $C$9, 100%, $E$9)</f>
        <v>27.401900000000001</v>
      </c>
      <c r="S786" s="10">
        <f>CHOOSE(CONTROL!$C$42, 25.4854, 25.4854) * CHOOSE(CONTROL!$C$21, $C$9, 100%, $E$9)</f>
        <v>25.485399999999998</v>
      </c>
      <c r="T78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86" s="38">
        <f>(1000*CHOOSE(CONTROL!$C$42, 695, 695)*CHOOSE(CONTROL!$C$42, 0.5599, 0.5599)*CHOOSE(CONTROL!$C$42, 30, 30))/1000000</f>
        <v>11.673914999999997</v>
      </c>
      <c r="V786" s="38">
        <f>(1000*CHOOSE(CONTROL!$C$42, 500, 500)*CHOOSE(CONTROL!$C$42, 0.275, 0.275)*CHOOSE(CONTROL!$C$42, 30, 30))/1000000</f>
        <v>4.125</v>
      </c>
      <c r="W786" s="38">
        <f>(1000*CHOOSE(CONTROL!$C$42, 0.1146, 0.1146)*CHOOSE(CONTROL!$C$42, 121.5, 121.5)*CHOOSE(CONTROL!$C$42, 30, 30))/1000000</f>
        <v>0.417717</v>
      </c>
      <c r="X786" s="38">
        <f>(30*0.1790888*245000/1000000)+(30*0.2374*100000/1000000)</f>
        <v>2.0285026799999999</v>
      </c>
      <c r="Y786" s="38">
        <f>(1000*600*CHOOSE(CONTROL!$C$42, 1.0585, 1.0585)*CHOOSE(CONTROL!$C$42, 30, 30))/1000000</f>
        <v>19.053000000000001</v>
      </c>
      <c r="Z786" s="38"/>
      <c r="AA786" s="10"/>
      <c r="AB786" s="39"/>
      <c r="AC786" s="33">
        <f>(B786*194.205+C786*267.466+D786*133.845+E786*53.484+F786*40+G786*185+H786*0+I786*100+J786*300)/(194.205+267.466+133.845+53.484+0+40+185+100+300)</f>
        <v>26.307958199921508</v>
      </c>
      <c r="AD786" s="27">
        <f>(M786*'RAP TEMPLATE-GAS AVAILABILITY'!O785+N786*'RAP TEMPLATE-GAS AVAILABILITY'!P785+O786*'RAP TEMPLATE-GAS AVAILABILITY'!Q785+P786*'RAP TEMPLATE-GAS AVAILABILITY'!R785)/('RAP TEMPLATE-GAS AVAILABILITY'!O785+'RAP TEMPLATE-GAS AVAILABILITY'!P785+'RAP TEMPLATE-GAS AVAILABILITY'!Q785+'RAP TEMPLATE-GAS AVAILABILITY'!R785)</f>
        <v>26.026103597122301</v>
      </c>
    </row>
    <row r="787" spans="1:30" ht="15.75">
      <c r="A787" s="13">
        <v>65227</v>
      </c>
      <c r="B787" s="10">
        <f>CHOOSE(CONTROL!$C$42, 25.7998, 25.7998) * CHOOSE(CONTROL!$C$21, $C$9, 100%, $E$9)</f>
        <v>25.799800000000001</v>
      </c>
      <c r="C787" s="10">
        <f>CHOOSE(CONTROL!$C$42, 25.8078, 25.8078) * CHOOSE(CONTROL!$C$21, $C$9, 100%, $E$9)</f>
        <v>25.8078</v>
      </c>
      <c r="D787" s="10">
        <f>CHOOSE(CONTROL!$C$42, 25.9648, 25.9648) * CHOOSE(CONTROL!$C$21, $C$9, 100%, $E$9)</f>
        <v>25.9648</v>
      </c>
      <c r="E787" s="10">
        <f>CHOOSE(CONTROL!$C$42, 25.9961, 25.9961) * CHOOSE(CONTROL!$C$21, $C$9, 100%, $E$9)</f>
        <v>25.996099999999998</v>
      </c>
      <c r="F787" s="10">
        <f>CHOOSE(CONTROL!$C$42, 25.7444, 25.7444)*CHOOSE(CONTROL!$C$21, $C$9, 100%, $E$9)</f>
        <v>25.744399999999999</v>
      </c>
      <c r="G787" s="10">
        <f>CHOOSE(CONTROL!$C$42, 25.7607, 25.7607)*CHOOSE(CONTROL!$C$21, $C$9, 100%, $E$9)</f>
        <v>25.7607</v>
      </c>
      <c r="H787" s="10">
        <f>CHOOSE(CONTROL!$C$42, 25.9844, 25.9844) * CHOOSE(CONTROL!$C$21, $C$9, 100%, $E$9)</f>
        <v>25.984400000000001</v>
      </c>
      <c r="I787" s="10">
        <f>CHOOSE(CONTROL!$C$42, 25.7786, 25.7786)* CHOOSE(CONTROL!$C$21, $C$9, 100%, $E$9)</f>
        <v>25.778600000000001</v>
      </c>
      <c r="J787" s="10">
        <f>CHOOSE(CONTROL!$C$42, 25.737, 25.737)* CHOOSE(CONTROL!$C$21, $C$9, 100%, $E$9)</f>
        <v>25.736999999999998</v>
      </c>
      <c r="K787" s="10">
        <f>CHOOSE(CONTROL!$C$42, 25.1342, 25.1342) * CHOOSE(CONTROL!$C$21, $C$9, 100%, $E$9)</f>
        <v>25.1342</v>
      </c>
      <c r="L787" s="10">
        <f>CHOOSE(CONTROL!$C$42, 26.5714, 26.5714) * CHOOSE(CONTROL!$C$21, $C$9, 100%, $E$9)</f>
        <v>26.571400000000001</v>
      </c>
      <c r="M787" s="10">
        <f>CHOOSE(CONTROL!$C$42, 25.411, 25.411) * CHOOSE(CONTROL!$C$21, $C$9, 100%, $E$9)</f>
        <v>25.411000000000001</v>
      </c>
      <c r="N787" s="10">
        <f>CHOOSE(CONTROL!$C$42, 25.427, 25.427) * CHOOSE(CONTROL!$C$21, $C$9, 100%, $E$9)</f>
        <v>25.427</v>
      </c>
      <c r="O787" s="10">
        <f>CHOOSE(CONTROL!$C$42, 25.6549, 25.6549) * CHOOSE(CONTROL!$C$21, $C$9, 100%, $E$9)</f>
        <v>25.654900000000001</v>
      </c>
      <c r="P787" s="10">
        <f>CHOOSE(CONTROL!$C$42, 25.452, 25.452) * CHOOSE(CONTROL!$C$21, $C$9, 100%, $E$9)</f>
        <v>25.452000000000002</v>
      </c>
      <c r="Q787" s="10">
        <f>CHOOSE(CONTROL!$C$42, 26.2502, 26.2502) * CHOOSE(CONTROL!$C$21, $C$9, 100%, $E$9)</f>
        <v>26.2502</v>
      </c>
      <c r="R787" s="10">
        <f>CHOOSE(CONTROL!$C$42, 26.9028, 26.9028) * CHOOSE(CONTROL!$C$21, $C$9, 100%, $E$9)</f>
        <v>26.902799999999999</v>
      </c>
      <c r="S787" s="10">
        <f>CHOOSE(CONTROL!$C$42, 24.9965, 24.9965) * CHOOSE(CONTROL!$C$21, $C$9, 100%, $E$9)</f>
        <v>24.996500000000001</v>
      </c>
      <c r="T78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87" s="38">
        <f>(1000*CHOOSE(CONTROL!$C$42, 695, 695)*CHOOSE(CONTROL!$C$42, 0.5599, 0.5599)*CHOOSE(CONTROL!$C$42, 31, 31))/1000000</f>
        <v>12.063045499999998</v>
      </c>
      <c r="V787" s="38">
        <f>(1000*CHOOSE(CONTROL!$C$42, 500, 500)*CHOOSE(CONTROL!$C$42, 0.275, 0.275)*CHOOSE(CONTROL!$C$42, 31, 31))/1000000</f>
        <v>4.2625000000000002</v>
      </c>
      <c r="W787" s="38">
        <f>(1000*CHOOSE(CONTROL!$C$42, 0.1146, 0.1146)*CHOOSE(CONTROL!$C$42, 121.5, 121.5)*CHOOSE(CONTROL!$C$42, 31, 31))/1000000</f>
        <v>0.43164089999999994</v>
      </c>
      <c r="X787" s="38">
        <f>(31*0.1790888*245000/1000000)+(31*0.2374*100000/1000000)</f>
        <v>2.0961194359999999</v>
      </c>
      <c r="Y787" s="38">
        <f>(1000*600*CHOOSE(CONTROL!$C$42, 1.0585, 1.0585)*CHOOSE(CONTROL!$C$42, 31, 31))/1000000</f>
        <v>19.688099999999999</v>
      </c>
      <c r="Z787" s="38"/>
      <c r="AA787" s="10"/>
      <c r="AB787" s="39"/>
      <c r="AC787" s="33">
        <f>(B787*194.205+C787*267.466+D787*133.845+E787*53.484+F787*40+G787*185+H787*0+I787*100+J787*300)/(194.205+267.466+133.845+53.484+0+40+185+100+300)</f>
        <v>25.803185841601255</v>
      </c>
      <c r="AD787" s="27">
        <f>(M787*'RAP TEMPLATE-GAS AVAILABILITY'!O786+N787*'RAP TEMPLATE-GAS AVAILABILITY'!P786+O787*'RAP TEMPLATE-GAS AVAILABILITY'!Q786+P787*'RAP TEMPLATE-GAS AVAILABILITY'!R786)/('RAP TEMPLATE-GAS AVAILABILITY'!O786+'RAP TEMPLATE-GAS AVAILABILITY'!P786+'RAP TEMPLATE-GAS AVAILABILITY'!Q786+'RAP TEMPLATE-GAS AVAILABILITY'!R786)</f>
        <v>25.52836474820144</v>
      </c>
    </row>
    <row r="788" spans="1:30" ht="15.75">
      <c r="A788" s="13">
        <v>65258</v>
      </c>
      <c r="B788" s="10">
        <f>CHOOSE(CONTROL!$C$42, 24.5247, 24.5247) * CHOOSE(CONTROL!$C$21, $C$9, 100%, $E$9)</f>
        <v>24.524699999999999</v>
      </c>
      <c r="C788" s="10">
        <f>CHOOSE(CONTROL!$C$42, 24.5327, 24.5327) * CHOOSE(CONTROL!$C$21, $C$9, 100%, $E$9)</f>
        <v>24.532699999999998</v>
      </c>
      <c r="D788" s="10">
        <f>CHOOSE(CONTROL!$C$42, 24.6898, 24.6898) * CHOOSE(CONTROL!$C$21, $C$9, 100%, $E$9)</f>
        <v>24.689800000000002</v>
      </c>
      <c r="E788" s="10">
        <f>CHOOSE(CONTROL!$C$42, 24.721, 24.721) * CHOOSE(CONTROL!$C$21, $C$9, 100%, $E$9)</f>
        <v>24.721</v>
      </c>
      <c r="F788" s="10">
        <f>CHOOSE(CONTROL!$C$42, 24.4693, 24.4693)*CHOOSE(CONTROL!$C$21, $C$9, 100%, $E$9)</f>
        <v>24.4693</v>
      </c>
      <c r="G788" s="10">
        <f>CHOOSE(CONTROL!$C$42, 24.4855, 24.4855)*CHOOSE(CONTROL!$C$21, $C$9, 100%, $E$9)</f>
        <v>24.485499999999998</v>
      </c>
      <c r="H788" s="10">
        <f>CHOOSE(CONTROL!$C$42, 24.7093, 24.7093) * CHOOSE(CONTROL!$C$21, $C$9, 100%, $E$9)</f>
        <v>24.709299999999999</v>
      </c>
      <c r="I788" s="10">
        <f>CHOOSE(CONTROL!$C$42, 24.5035, 24.5035)* CHOOSE(CONTROL!$C$21, $C$9, 100%, $E$9)</f>
        <v>24.503499999999999</v>
      </c>
      <c r="J788" s="10">
        <f>CHOOSE(CONTROL!$C$42, 24.4619, 24.4619)* CHOOSE(CONTROL!$C$21, $C$9, 100%, $E$9)</f>
        <v>24.4619</v>
      </c>
      <c r="K788" s="10">
        <f>CHOOSE(CONTROL!$C$42, 23.8988, 23.8988) * CHOOSE(CONTROL!$C$21, $C$9, 100%, $E$9)</f>
        <v>23.898800000000001</v>
      </c>
      <c r="L788" s="10">
        <f>CHOOSE(CONTROL!$C$42, 25.2963, 25.2963) * CHOOSE(CONTROL!$C$21, $C$9, 100%, $E$9)</f>
        <v>25.296299999999999</v>
      </c>
      <c r="M788" s="10">
        <f>CHOOSE(CONTROL!$C$42, 24.1537, 24.1537) * CHOOSE(CONTROL!$C$21, $C$9, 100%, $E$9)</f>
        <v>24.153700000000001</v>
      </c>
      <c r="N788" s="10">
        <f>CHOOSE(CONTROL!$C$42, 24.1697, 24.1697) * CHOOSE(CONTROL!$C$21, $C$9, 100%, $E$9)</f>
        <v>24.169699999999999</v>
      </c>
      <c r="O788" s="10">
        <f>CHOOSE(CONTROL!$C$42, 24.3976, 24.3976) * CHOOSE(CONTROL!$C$21, $C$9, 100%, $E$9)</f>
        <v>24.397600000000001</v>
      </c>
      <c r="P788" s="10">
        <f>CHOOSE(CONTROL!$C$42, 24.1947, 24.1947) * CHOOSE(CONTROL!$C$21, $C$9, 100%, $E$9)</f>
        <v>24.194700000000001</v>
      </c>
      <c r="Q788" s="10">
        <f>CHOOSE(CONTROL!$C$42, 24.9929, 24.9929) * CHOOSE(CONTROL!$C$21, $C$9, 100%, $E$9)</f>
        <v>24.992899999999999</v>
      </c>
      <c r="R788" s="10">
        <f>CHOOSE(CONTROL!$C$42, 25.6424, 25.6424) * CHOOSE(CONTROL!$C$21, $C$9, 100%, $E$9)</f>
        <v>25.642399999999999</v>
      </c>
      <c r="S788" s="10">
        <f>CHOOSE(CONTROL!$C$42, 23.7619, 23.7619) * CHOOSE(CONTROL!$C$21, $C$9, 100%, $E$9)</f>
        <v>23.761900000000001</v>
      </c>
      <c r="T78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788" s="38">
        <f>(1000*CHOOSE(CONTROL!$C$42, 695, 695)*CHOOSE(CONTROL!$C$42, 0.5599, 0.5599)*CHOOSE(CONTROL!$C$42, 31, 31))/1000000</f>
        <v>12.063045499999998</v>
      </c>
      <c r="V788" s="38">
        <f>(1000*CHOOSE(CONTROL!$C$42, 500, 500)*CHOOSE(CONTROL!$C$42, 0.275, 0.275)*CHOOSE(CONTROL!$C$42, 31, 31))/1000000</f>
        <v>4.2625000000000002</v>
      </c>
      <c r="W788" s="38">
        <f>(1000*CHOOSE(CONTROL!$C$42, 0.1146, 0.1146)*CHOOSE(CONTROL!$C$42, 121.5, 121.5)*CHOOSE(CONTROL!$C$42, 31, 31))/1000000</f>
        <v>0.43164089999999994</v>
      </c>
      <c r="X788" s="38">
        <f>(31*0.1790888*245000/1000000)+(31*0.2374*100000/1000000)</f>
        <v>2.0961194359999999</v>
      </c>
      <c r="Y788" s="38">
        <f>(1000*600*CHOOSE(CONTROL!$C$42, 1.0585, 1.0585)*CHOOSE(CONTROL!$C$42, 31, 31))/1000000</f>
        <v>19.688099999999999</v>
      </c>
      <c r="Z788" s="38"/>
      <c r="AA788" s="10"/>
      <c r="AB788" s="39"/>
      <c r="AC788" s="33">
        <f>(B788*194.205+C788*267.466+D788*133.845+E788*53.484+F788*40+G788*185+H788*0+I788*100+J788*300)/(194.205+267.466+133.845+53.484+0+40+185+100+300)</f>
        <v>24.528081826295132</v>
      </c>
      <c r="AD788" s="27">
        <f>(M788*'RAP TEMPLATE-GAS AVAILABILITY'!O787+N788*'RAP TEMPLATE-GAS AVAILABILITY'!P787+O788*'RAP TEMPLATE-GAS AVAILABILITY'!Q787+P788*'RAP TEMPLATE-GAS AVAILABILITY'!R787)/('RAP TEMPLATE-GAS AVAILABILITY'!O787+'RAP TEMPLATE-GAS AVAILABILITY'!P787+'RAP TEMPLATE-GAS AVAILABILITY'!Q787+'RAP TEMPLATE-GAS AVAILABILITY'!R787)</f>
        <v>24.271064748201439</v>
      </c>
    </row>
    <row r="789" spans="1:30" ht="15.75">
      <c r="A789" s="13">
        <v>65288</v>
      </c>
      <c r="B789" s="10">
        <f>CHOOSE(CONTROL!$C$42, 22.9668, 22.9668) * CHOOSE(CONTROL!$C$21, $C$9, 100%, $E$9)</f>
        <v>22.966799999999999</v>
      </c>
      <c r="C789" s="10">
        <f>CHOOSE(CONTROL!$C$42, 22.9748, 22.9748) * CHOOSE(CONTROL!$C$21, $C$9, 100%, $E$9)</f>
        <v>22.974799999999998</v>
      </c>
      <c r="D789" s="10">
        <f>CHOOSE(CONTROL!$C$42, 23.1319, 23.1319) * CHOOSE(CONTROL!$C$21, $C$9, 100%, $E$9)</f>
        <v>23.131900000000002</v>
      </c>
      <c r="E789" s="10">
        <f>CHOOSE(CONTROL!$C$42, 23.1631, 23.1631) * CHOOSE(CONTROL!$C$21, $C$9, 100%, $E$9)</f>
        <v>23.1631</v>
      </c>
      <c r="F789" s="10">
        <f>CHOOSE(CONTROL!$C$42, 22.9112, 22.9112)*CHOOSE(CONTROL!$C$21, $C$9, 100%, $E$9)</f>
        <v>22.911200000000001</v>
      </c>
      <c r="G789" s="10">
        <f>CHOOSE(CONTROL!$C$42, 22.9274, 22.9274)*CHOOSE(CONTROL!$C$21, $C$9, 100%, $E$9)</f>
        <v>22.927399999999999</v>
      </c>
      <c r="H789" s="10">
        <f>CHOOSE(CONTROL!$C$42, 23.1514, 23.1514) * CHOOSE(CONTROL!$C$21, $C$9, 100%, $E$9)</f>
        <v>23.151399999999999</v>
      </c>
      <c r="I789" s="10">
        <f>CHOOSE(CONTROL!$C$42, 22.9456, 22.9456)* CHOOSE(CONTROL!$C$21, $C$9, 100%, $E$9)</f>
        <v>22.945599999999999</v>
      </c>
      <c r="J789" s="10">
        <f>CHOOSE(CONTROL!$C$42, 22.9038, 22.9038)* CHOOSE(CONTROL!$C$21, $C$9, 100%, $E$9)</f>
        <v>22.9038</v>
      </c>
      <c r="K789" s="10">
        <f>CHOOSE(CONTROL!$C$42, 22.3891, 22.3891) * CHOOSE(CONTROL!$C$21, $C$9, 100%, $E$9)</f>
        <v>22.389099999999999</v>
      </c>
      <c r="L789" s="10">
        <f>CHOOSE(CONTROL!$C$42, 23.7384, 23.7384) * CHOOSE(CONTROL!$C$21, $C$9, 100%, $E$9)</f>
        <v>23.738399999999999</v>
      </c>
      <c r="M789" s="10">
        <f>CHOOSE(CONTROL!$C$42, 22.6173, 22.6173) * CHOOSE(CONTROL!$C$21, $C$9, 100%, $E$9)</f>
        <v>22.6173</v>
      </c>
      <c r="N789" s="10">
        <f>CHOOSE(CONTROL!$C$42, 22.6333, 22.6333) * CHOOSE(CONTROL!$C$21, $C$9, 100%, $E$9)</f>
        <v>22.633299999999998</v>
      </c>
      <c r="O789" s="10">
        <f>CHOOSE(CONTROL!$C$42, 22.8615, 22.8615) * CHOOSE(CONTROL!$C$21, $C$9, 100%, $E$9)</f>
        <v>22.861499999999999</v>
      </c>
      <c r="P789" s="10">
        <f>CHOOSE(CONTROL!$C$42, 22.6586, 22.6586) * CHOOSE(CONTROL!$C$21, $C$9, 100%, $E$9)</f>
        <v>22.6586</v>
      </c>
      <c r="Q789" s="10">
        <f>CHOOSE(CONTROL!$C$42, 23.4568, 23.4568) * CHOOSE(CONTROL!$C$21, $C$9, 100%, $E$9)</f>
        <v>23.456800000000001</v>
      </c>
      <c r="R789" s="10">
        <f>CHOOSE(CONTROL!$C$42, 24.1024, 24.1024) * CHOOSE(CONTROL!$C$21, $C$9, 100%, $E$9)</f>
        <v>24.102399999999999</v>
      </c>
      <c r="S789" s="10">
        <f>CHOOSE(CONTROL!$C$42, 22.2534, 22.2534) * CHOOSE(CONTROL!$C$21, $C$9, 100%, $E$9)</f>
        <v>22.253399999999999</v>
      </c>
      <c r="T78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789" s="38">
        <f>(1000*CHOOSE(CONTROL!$C$42, 695, 695)*CHOOSE(CONTROL!$C$42, 0.5599, 0.5599)*CHOOSE(CONTROL!$C$42, 30, 30))/1000000</f>
        <v>11.673914999999997</v>
      </c>
      <c r="V789" s="38">
        <f>(1000*CHOOSE(CONTROL!$C$42, 500, 500)*CHOOSE(CONTROL!$C$42, 0.275, 0.275)*CHOOSE(CONTROL!$C$42, 30, 30))/1000000</f>
        <v>4.125</v>
      </c>
      <c r="W789" s="38">
        <f>(1000*CHOOSE(CONTROL!$C$42, 0.1146, 0.1146)*CHOOSE(CONTROL!$C$42, 121.5, 121.5)*CHOOSE(CONTROL!$C$42, 30, 30))/1000000</f>
        <v>0.417717</v>
      </c>
      <c r="X789" s="38">
        <f>(30*0.1790888*245000/1000000)+(30*0.2374*100000/1000000)</f>
        <v>2.0285026799999999</v>
      </c>
      <c r="Y789" s="38">
        <f>(1000*600*CHOOSE(CONTROL!$C$42, 1.0585, 1.0585)*CHOOSE(CONTROL!$C$42, 30, 30))/1000000</f>
        <v>19.053000000000001</v>
      </c>
      <c r="Z789" s="38"/>
      <c r="AA789" s="10"/>
      <c r="AB789" s="39"/>
      <c r="AC789" s="33">
        <f>(B789*194.205+C789*267.466+D789*133.845+E789*53.484+F789*40+G789*185+H789*0+I789*100+J789*300)/(194.205+267.466+133.845+53.484+0+40+185+100+300)</f>
        <v>22.970099408712716</v>
      </c>
      <c r="AD789" s="27">
        <f>(M789*'RAP TEMPLATE-GAS AVAILABILITY'!O788+N789*'RAP TEMPLATE-GAS AVAILABILITY'!P788+O789*'RAP TEMPLATE-GAS AVAILABILITY'!Q788+P789*'RAP TEMPLATE-GAS AVAILABILITY'!R788)/('RAP TEMPLATE-GAS AVAILABILITY'!O788+'RAP TEMPLATE-GAS AVAILABILITY'!P788+'RAP TEMPLATE-GAS AVAILABILITY'!Q788+'RAP TEMPLATE-GAS AVAILABILITY'!R788)</f>
        <v>22.734843884892086</v>
      </c>
    </row>
    <row r="790" spans="1:30" ht="15.75">
      <c r="A790" s="13">
        <v>65319</v>
      </c>
      <c r="B790" s="10">
        <f>CHOOSE(CONTROL!$C$42, 22.4981, 22.4981) * CHOOSE(CONTROL!$C$21, $C$9, 100%, $E$9)</f>
        <v>22.498100000000001</v>
      </c>
      <c r="C790" s="10">
        <f>CHOOSE(CONTROL!$C$42, 22.5034, 22.5034) * CHOOSE(CONTROL!$C$21, $C$9, 100%, $E$9)</f>
        <v>22.503399999999999</v>
      </c>
      <c r="D790" s="10">
        <f>CHOOSE(CONTROL!$C$42, 22.6653, 22.6653) * CHOOSE(CONTROL!$C$21, $C$9, 100%, $E$9)</f>
        <v>22.665299999999998</v>
      </c>
      <c r="E790" s="10">
        <f>CHOOSE(CONTROL!$C$42, 22.6943, 22.6943) * CHOOSE(CONTROL!$C$21, $C$9, 100%, $E$9)</f>
        <v>22.694299999999998</v>
      </c>
      <c r="F790" s="10">
        <f>CHOOSE(CONTROL!$C$42, 22.4445, 22.4445)*CHOOSE(CONTROL!$C$21, $C$9, 100%, $E$9)</f>
        <v>22.444500000000001</v>
      </c>
      <c r="G790" s="10">
        <f>CHOOSE(CONTROL!$C$42, 22.4603, 22.4603)*CHOOSE(CONTROL!$C$21, $C$9, 100%, $E$9)</f>
        <v>22.4603</v>
      </c>
      <c r="H790" s="10">
        <f>CHOOSE(CONTROL!$C$42, 22.6844, 22.6844) * CHOOSE(CONTROL!$C$21, $C$9, 100%, $E$9)</f>
        <v>22.6844</v>
      </c>
      <c r="I790" s="10">
        <f>CHOOSE(CONTROL!$C$42, 22.4786, 22.4786)* CHOOSE(CONTROL!$C$21, $C$9, 100%, $E$9)</f>
        <v>22.4786</v>
      </c>
      <c r="J790" s="10">
        <f>CHOOSE(CONTROL!$C$42, 22.4371, 22.4371)* CHOOSE(CONTROL!$C$21, $C$9, 100%, $E$9)</f>
        <v>22.437100000000001</v>
      </c>
      <c r="K790" s="10">
        <f>CHOOSE(CONTROL!$C$42, 21.9372, 21.9372) * CHOOSE(CONTROL!$C$21, $C$9, 100%, $E$9)</f>
        <v>21.937200000000001</v>
      </c>
      <c r="L790" s="10">
        <f>CHOOSE(CONTROL!$C$42, 23.2714, 23.2714) * CHOOSE(CONTROL!$C$21, $C$9, 100%, $E$9)</f>
        <v>23.2714</v>
      </c>
      <c r="M790" s="10">
        <f>CHOOSE(CONTROL!$C$42, 22.1571, 22.1571) * CHOOSE(CONTROL!$C$21, $C$9, 100%, $E$9)</f>
        <v>22.1571</v>
      </c>
      <c r="N790" s="10">
        <f>CHOOSE(CONTROL!$C$42, 22.1726, 22.1726) * CHOOSE(CONTROL!$C$21, $C$9, 100%, $E$9)</f>
        <v>22.172599999999999</v>
      </c>
      <c r="O790" s="10">
        <f>CHOOSE(CONTROL!$C$42, 22.4009, 22.4009) * CHOOSE(CONTROL!$C$21, $C$9, 100%, $E$9)</f>
        <v>22.4009</v>
      </c>
      <c r="P790" s="10">
        <f>CHOOSE(CONTROL!$C$42, 22.198, 22.198) * CHOOSE(CONTROL!$C$21, $C$9, 100%, $E$9)</f>
        <v>22.198</v>
      </c>
      <c r="Q790" s="10">
        <f>CHOOSE(CONTROL!$C$42, 22.9962, 22.9962) * CHOOSE(CONTROL!$C$21, $C$9, 100%, $E$9)</f>
        <v>22.996200000000002</v>
      </c>
      <c r="R790" s="10">
        <f>CHOOSE(CONTROL!$C$42, 23.6407, 23.6407) * CHOOSE(CONTROL!$C$21, $C$9, 100%, $E$9)</f>
        <v>23.640699999999999</v>
      </c>
      <c r="S790" s="10">
        <f>CHOOSE(CONTROL!$C$42, 21.8011, 21.8011) * CHOOSE(CONTROL!$C$21, $C$9, 100%, $E$9)</f>
        <v>21.801100000000002</v>
      </c>
      <c r="T79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790" s="38">
        <f>(1000*CHOOSE(CONTROL!$C$42, 695, 695)*CHOOSE(CONTROL!$C$42, 0.5599, 0.5599)*CHOOSE(CONTROL!$C$42, 31, 31))/1000000</f>
        <v>12.063045499999998</v>
      </c>
      <c r="V790" s="38">
        <f>(1000*CHOOSE(CONTROL!$C$42, 500, 500)*CHOOSE(CONTROL!$C$42, 0.275, 0.275)*CHOOSE(CONTROL!$C$42, 31, 31))/1000000</f>
        <v>4.2625000000000002</v>
      </c>
      <c r="W790" s="38">
        <f>(1000*CHOOSE(CONTROL!$C$42, 0.1146, 0.1146)*CHOOSE(CONTROL!$C$42, 121.5, 121.5)*CHOOSE(CONTROL!$C$42, 31, 31))/1000000</f>
        <v>0.43164089999999994</v>
      </c>
      <c r="X790" s="38">
        <f>(31*0.1790888*245000/1000000)+(31*0.2374*100000/1000000)</f>
        <v>2.0961194359999999</v>
      </c>
      <c r="Y790" s="38">
        <f>(1000*600*CHOOSE(CONTROL!$C$42, 1.0585, 1.0585)*CHOOSE(CONTROL!$C$42, 31, 31))/1000000</f>
        <v>19.688099999999999</v>
      </c>
      <c r="Z790" s="38"/>
      <c r="AA790" s="10"/>
      <c r="AB790" s="39"/>
      <c r="AC790" s="33">
        <f>(B790*131.881+C790*277.167+D790*79.08+E790*125.872+F790*40+G790*185+H790*0+I790*100+J790*300)/(131.881+277.167+79.08+125.872+0+40+185+100+300)</f>
        <v>22.506171224778047</v>
      </c>
      <c r="AD790" s="27">
        <f>(M790*'RAP TEMPLATE-GAS AVAILABILITY'!O789+N790*'RAP TEMPLATE-GAS AVAILABILITY'!P789+O790*'RAP TEMPLATE-GAS AVAILABILITY'!Q789+P790*'RAP TEMPLATE-GAS AVAILABILITY'!R789)/('RAP TEMPLATE-GAS AVAILABILITY'!O789+'RAP TEMPLATE-GAS AVAILABILITY'!P789+'RAP TEMPLATE-GAS AVAILABILITY'!Q789+'RAP TEMPLATE-GAS AVAILABILITY'!R789)</f>
        <v>22.274376258992806</v>
      </c>
    </row>
    <row r="791" spans="1:30" ht="15.75">
      <c r="A791" s="13">
        <v>65349</v>
      </c>
      <c r="B791" s="10">
        <f>CHOOSE(CONTROL!$C$42, 23.0908, 23.0908) * CHOOSE(CONTROL!$C$21, $C$9, 100%, $E$9)</f>
        <v>23.090800000000002</v>
      </c>
      <c r="C791" s="10">
        <f>CHOOSE(CONTROL!$C$42, 23.0959, 23.0959) * CHOOSE(CONTROL!$C$21, $C$9, 100%, $E$9)</f>
        <v>23.0959</v>
      </c>
      <c r="D791" s="10">
        <f>CHOOSE(CONTROL!$C$42, 23.1206, 23.1206) * CHOOSE(CONTROL!$C$21, $C$9, 100%, $E$9)</f>
        <v>23.1206</v>
      </c>
      <c r="E791" s="10">
        <f>CHOOSE(CONTROL!$C$42, 23.1544, 23.1544) * CHOOSE(CONTROL!$C$21, $C$9, 100%, $E$9)</f>
        <v>23.154399999999999</v>
      </c>
      <c r="F791" s="10">
        <f>CHOOSE(CONTROL!$C$42, 23.0591, 23.0591)*CHOOSE(CONTROL!$C$21, $C$9, 100%, $E$9)</f>
        <v>23.059100000000001</v>
      </c>
      <c r="G791" s="10">
        <f>CHOOSE(CONTROL!$C$42, 23.0751, 23.0751)*CHOOSE(CONTROL!$C$21, $C$9, 100%, $E$9)</f>
        <v>23.075099999999999</v>
      </c>
      <c r="H791" s="10">
        <f>CHOOSE(CONTROL!$C$42, 23.1432, 23.1432) * CHOOSE(CONTROL!$C$21, $C$9, 100%, $E$9)</f>
        <v>23.1432</v>
      </c>
      <c r="I791" s="10">
        <f>CHOOSE(CONTROL!$C$42, 23.1058, 23.1058)* CHOOSE(CONTROL!$C$21, $C$9, 100%, $E$9)</f>
        <v>23.105799999999999</v>
      </c>
      <c r="J791" s="10">
        <f>CHOOSE(CONTROL!$C$42, 23.0517, 23.0517)* CHOOSE(CONTROL!$C$21, $C$9, 100%, $E$9)</f>
        <v>23.0517</v>
      </c>
      <c r="K791" s="10">
        <f>CHOOSE(CONTROL!$C$42, 22.5471, 22.5471) * CHOOSE(CONTROL!$C$21, $C$9, 100%, $E$9)</f>
        <v>22.5471</v>
      </c>
      <c r="L791" s="10">
        <f>CHOOSE(CONTROL!$C$42, 23.7302, 23.7302) * CHOOSE(CONTROL!$C$21, $C$9, 100%, $E$9)</f>
        <v>23.7302</v>
      </c>
      <c r="M791" s="10">
        <f>CHOOSE(CONTROL!$C$42, 22.7631, 22.7631) * CHOOSE(CONTROL!$C$21, $C$9, 100%, $E$9)</f>
        <v>22.763100000000001</v>
      </c>
      <c r="N791" s="10">
        <f>CHOOSE(CONTROL!$C$42, 22.7789, 22.7789) * CHOOSE(CONTROL!$C$21, $C$9, 100%, $E$9)</f>
        <v>22.7789</v>
      </c>
      <c r="O791" s="10">
        <f>CHOOSE(CONTROL!$C$42, 22.8534, 22.8534) * CHOOSE(CONTROL!$C$21, $C$9, 100%, $E$9)</f>
        <v>22.853400000000001</v>
      </c>
      <c r="P791" s="10">
        <f>CHOOSE(CONTROL!$C$42, 22.8165, 22.8165) * CHOOSE(CONTROL!$C$21, $C$9, 100%, $E$9)</f>
        <v>22.816500000000001</v>
      </c>
      <c r="Q791" s="10">
        <f>CHOOSE(CONTROL!$C$42, 23.4487, 23.4487) * CHOOSE(CONTROL!$C$21, $C$9, 100%, $E$9)</f>
        <v>23.448699999999999</v>
      </c>
      <c r="R791" s="10">
        <f>CHOOSE(CONTROL!$C$42, 24.0943, 24.0943) * CHOOSE(CONTROL!$C$21, $C$9, 100%, $E$9)</f>
        <v>24.0943</v>
      </c>
      <c r="S791" s="10">
        <f>CHOOSE(CONTROL!$C$42, 22.3755, 22.3755) * CHOOSE(CONTROL!$C$21, $C$9, 100%, $E$9)</f>
        <v>22.375499999999999</v>
      </c>
      <c r="T79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791" s="38">
        <f>(1000*CHOOSE(CONTROL!$C$42, 695, 695)*CHOOSE(CONTROL!$C$42, 0.5599, 0.5599)*CHOOSE(CONTROL!$C$42, 30, 30))/1000000</f>
        <v>11.673914999999997</v>
      </c>
      <c r="V791" s="38">
        <f>(1000*CHOOSE(CONTROL!$C$42, 500, 500)*CHOOSE(CONTROL!$C$42, 0.275, 0.275)*CHOOSE(CONTROL!$C$42, 30, 30))/1000000</f>
        <v>4.125</v>
      </c>
      <c r="W791" s="38">
        <f>(1000*CHOOSE(CONTROL!$C$42, 0.1146, 0.1146)*CHOOSE(CONTROL!$C$42, 121.5, 121.5)*CHOOSE(CONTROL!$C$42, 30, 30))/1000000</f>
        <v>0.417717</v>
      </c>
      <c r="X791" s="38">
        <f>(30*0.1790888*100000/1000000)+(30*0.2374*100000/1000000)</f>
        <v>1.2494664</v>
      </c>
      <c r="Y791" s="38">
        <f>(1000*600*CHOOSE(CONTROL!$C$42, 1.0585, 1.0585)*CHOOSE(CONTROL!$C$42, 30, 30))/1000000</f>
        <v>19.053000000000001</v>
      </c>
      <c r="Z791" s="38"/>
      <c r="AA791" s="10"/>
      <c r="AB791" s="39"/>
      <c r="AC791" s="33">
        <f>(B791*122.58+C791*297.941+D791*89.177+E791*40.302+F791*40+G791*160+H791*0+I791*100+J791*300)/(122.58+297.941+89.177+40.302+0+40+160+100+300)</f>
        <v>23.084478418173916</v>
      </c>
      <c r="AD791" s="27">
        <f>(M791*'RAP TEMPLATE-GAS AVAILABILITY'!O790+N791*'RAP TEMPLATE-GAS AVAILABILITY'!P790+O791*'RAP TEMPLATE-GAS AVAILABILITY'!Q790+P791*'RAP TEMPLATE-GAS AVAILABILITY'!R790)/('RAP TEMPLATE-GAS AVAILABILITY'!O790+'RAP TEMPLATE-GAS AVAILABILITY'!P790+'RAP TEMPLATE-GAS AVAILABILITY'!Q790+'RAP TEMPLATE-GAS AVAILABILITY'!R790)</f>
        <v>22.812620143884889</v>
      </c>
    </row>
    <row r="792" spans="1:30" ht="15.75">
      <c r="A792" s="13">
        <v>65380</v>
      </c>
      <c r="B792" s="10">
        <f>CHOOSE(CONTROL!$C$42, 24.6662, 24.6662) * CHOOSE(CONTROL!$C$21, $C$9, 100%, $E$9)</f>
        <v>24.6662</v>
      </c>
      <c r="C792" s="10">
        <f>CHOOSE(CONTROL!$C$42, 24.6713, 24.6713) * CHOOSE(CONTROL!$C$21, $C$9, 100%, $E$9)</f>
        <v>24.671299999999999</v>
      </c>
      <c r="D792" s="10">
        <f>CHOOSE(CONTROL!$C$42, 24.696, 24.696) * CHOOSE(CONTROL!$C$21, $C$9, 100%, $E$9)</f>
        <v>24.696000000000002</v>
      </c>
      <c r="E792" s="10">
        <f>CHOOSE(CONTROL!$C$42, 24.7298, 24.7298) * CHOOSE(CONTROL!$C$21, $C$9, 100%, $E$9)</f>
        <v>24.729800000000001</v>
      </c>
      <c r="F792" s="10">
        <f>CHOOSE(CONTROL!$C$42, 24.6365, 24.6365)*CHOOSE(CONTROL!$C$21, $C$9, 100%, $E$9)</f>
        <v>24.636500000000002</v>
      </c>
      <c r="G792" s="10">
        <f>CHOOSE(CONTROL!$C$42, 24.6529, 24.6529)*CHOOSE(CONTROL!$C$21, $C$9, 100%, $E$9)</f>
        <v>24.652899999999999</v>
      </c>
      <c r="H792" s="10">
        <f>CHOOSE(CONTROL!$C$42, 24.7187, 24.7187) * CHOOSE(CONTROL!$C$21, $C$9, 100%, $E$9)</f>
        <v>24.718699999999998</v>
      </c>
      <c r="I792" s="10">
        <f>CHOOSE(CONTROL!$C$42, 24.6812, 24.6812)* CHOOSE(CONTROL!$C$21, $C$9, 100%, $E$9)</f>
        <v>24.6812</v>
      </c>
      <c r="J792" s="10">
        <f>CHOOSE(CONTROL!$C$42, 24.6291, 24.6291)* CHOOSE(CONTROL!$C$21, $C$9, 100%, $E$9)</f>
        <v>24.629100000000001</v>
      </c>
      <c r="K792" s="10">
        <f>CHOOSE(CONTROL!$C$42, 24.0774, 24.0774) * CHOOSE(CONTROL!$C$21, $C$9, 100%, $E$9)</f>
        <v>24.077400000000001</v>
      </c>
      <c r="L792" s="10">
        <f>CHOOSE(CONTROL!$C$42, 25.3057, 25.3057) * CHOOSE(CONTROL!$C$21, $C$9, 100%, $E$9)</f>
        <v>25.305700000000002</v>
      </c>
      <c r="M792" s="10">
        <f>CHOOSE(CONTROL!$C$42, 24.3185, 24.3185) * CHOOSE(CONTROL!$C$21, $C$9, 100%, $E$9)</f>
        <v>24.3185</v>
      </c>
      <c r="N792" s="10">
        <f>CHOOSE(CONTROL!$C$42, 24.3347, 24.3347) * CHOOSE(CONTROL!$C$21, $C$9, 100%, $E$9)</f>
        <v>24.334700000000002</v>
      </c>
      <c r="O792" s="10">
        <f>CHOOSE(CONTROL!$C$42, 24.4068, 24.4068) * CHOOSE(CONTROL!$C$21, $C$9, 100%, $E$9)</f>
        <v>24.4068</v>
      </c>
      <c r="P792" s="10">
        <f>CHOOSE(CONTROL!$C$42, 24.3699, 24.3699) * CHOOSE(CONTROL!$C$21, $C$9, 100%, $E$9)</f>
        <v>24.369900000000001</v>
      </c>
      <c r="Q792" s="10">
        <f>CHOOSE(CONTROL!$C$42, 25.0021, 25.0021) * CHOOSE(CONTROL!$C$21, $C$9, 100%, $E$9)</f>
        <v>25.002099999999999</v>
      </c>
      <c r="R792" s="10">
        <f>CHOOSE(CONTROL!$C$42, 25.6516, 25.6516) * CHOOSE(CONTROL!$C$21, $C$9, 100%, $E$9)</f>
        <v>25.651599999999998</v>
      </c>
      <c r="S792" s="10">
        <f>CHOOSE(CONTROL!$C$42, 23.9009, 23.9009) * CHOOSE(CONTROL!$C$21, $C$9, 100%, $E$9)</f>
        <v>23.9009</v>
      </c>
      <c r="T79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792" s="38">
        <f>(1000*CHOOSE(CONTROL!$C$42, 695, 695)*CHOOSE(CONTROL!$C$42, 0.5599, 0.5599)*CHOOSE(CONTROL!$C$42, 31, 31))/1000000</f>
        <v>12.063045499999998</v>
      </c>
      <c r="V792" s="38">
        <f>(1000*CHOOSE(CONTROL!$C$42, 500, 500)*CHOOSE(CONTROL!$C$42, 0.275, 0.275)*CHOOSE(CONTROL!$C$42, 31, 31))/1000000</f>
        <v>4.2625000000000002</v>
      </c>
      <c r="W792" s="38">
        <f>(1000*CHOOSE(CONTROL!$C$42, 0.1146, 0.1146)*CHOOSE(CONTROL!$C$42, 121.5, 121.5)*CHOOSE(CONTROL!$C$42, 31, 31))/1000000</f>
        <v>0.43164089999999994</v>
      </c>
      <c r="X792" s="38">
        <f>(31*0.1790888*100000/1000000)+(31*0.2374*100000/1000000)</f>
        <v>1.2911152800000001</v>
      </c>
      <c r="Y792" s="38">
        <f>(1000*600*CHOOSE(CONTROL!$C$42, 1.0585, 1.0585)*CHOOSE(CONTROL!$C$42, 31, 31))/1000000</f>
        <v>19.688099999999999</v>
      </c>
      <c r="Z792" s="38"/>
      <c r="AA792" s="10"/>
      <c r="AB792" s="39"/>
      <c r="AC792" s="33">
        <f>(B792*122.58+C792*297.941+D792*89.177+E792*40.302+F792*40+G792*160+H792*0+I792*100+J792*300)/(122.58+297.941+89.177+40.302+0+40+160+100+300)</f>
        <v>24.660803635565216</v>
      </c>
      <c r="AD792" s="27">
        <f>(M792*'RAP TEMPLATE-GAS AVAILABILITY'!O791+N792*'RAP TEMPLATE-GAS AVAILABILITY'!P791+O792*'RAP TEMPLATE-GAS AVAILABILITY'!Q791+P792*'RAP TEMPLATE-GAS AVAILABILITY'!R791)/('RAP TEMPLATE-GAS AVAILABILITY'!O791+'RAP TEMPLATE-GAS AVAILABILITY'!P791+'RAP TEMPLATE-GAS AVAILABILITY'!Q791+'RAP TEMPLATE-GAS AVAILABILITY'!R791)</f>
        <v>24.366848920863312</v>
      </c>
    </row>
    <row r="793" spans="1:30" ht="15.75">
      <c r="A793" s="13">
        <v>65411</v>
      </c>
      <c r="B793" s="10">
        <f>CHOOSE(CONTROL!$C$42, 26.3321, 26.3321) * CHOOSE(CONTROL!$C$21, $C$9, 100%, $E$9)</f>
        <v>26.332100000000001</v>
      </c>
      <c r="C793" s="10">
        <f>CHOOSE(CONTROL!$C$42, 26.3372, 26.3372) * CHOOSE(CONTROL!$C$21, $C$9, 100%, $E$9)</f>
        <v>26.337199999999999</v>
      </c>
      <c r="D793" s="10">
        <f>CHOOSE(CONTROL!$C$42, 26.3697, 26.3697) * CHOOSE(CONTROL!$C$21, $C$9, 100%, $E$9)</f>
        <v>26.369700000000002</v>
      </c>
      <c r="E793" s="10">
        <f>CHOOSE(CONTROL!$C$42, 26.4035, 26.4035) * CHOOSE(CONTROL!$C$21, $C$9, 100%, $E$9)</f>
        <v>26.403500000000001</v>
      </c>
      <c r="F793" s="10">
        <f>CHOOSE(CONTROL!$C$42, 26.3163, 26.3163)*CHOOSE(CONTROL!$C$21, $C$9, 100%, $E$9)</f>
        <v>26.316299999999998</v>
      </c>
      <c r="G793" s="10">
        <f>CHOOSE(CONTROL!$C$42, 26.3344, 26.3344)*CHOOSE(CONTROL!$C$21, $C$9, 100%, $E$9)</f>
        <v>26.334399999999999</v>
      </c>
      <c r="H793" s="10">
        <f>CHOOSE(CONTROL!$C$42, 26.3923, 26.3923) * CHOOSE(CONTROL!$C$21, $C$9, 100%, $E$9)</f>
        <v>26.392299999999999</v>
      </c>
      <c r="I793" s="10">
        <f>CHOOSE(CONTROL!$C$42, 26.3456, 26.3456)* CHOOSE(CONTROL!$C$21, $C$9, 100%, $E$9)</f>
        <v>26.345600000000001</v>
      </c>
      <c r="J793" s="10">
        <f>CHOOSE(CONTROL!$C$42, 26.3089, 26.3089)* CHOOSE(CONTROL!$C$21, $C$9, 100%, $E$9)</f>
        <v>26.308900000000001</v>
      </c>
      <c r="K793" s="10">
        <f>CHOOSE(CONTROL!$C$42, 25.7038, 25.7038) * CHOOSE(CONTROL!$C$21, $C$9, 100%, $E$9)</f>
        <v>25.703800000000001</v>
      </c>
      <c r="L793" s="10">
        <f>CHOOSE(CONTROL!$C$42, 26.9793, 26.9793) * CHOOSE(CONTROL!$C$21, $C$9, 100%, $E$9)</f>
        <v>26.979299999999999</v>
      </c>
      <c r="M793" s="10">
        <f>CHOOSE(CONTROL!$C$42, 25.9749, 25.9749) * CHOOSE(CONTROL!$C$21, $C$9, 100%, $E$9)</f>
        <v>25.974900000000002</v>
      </c>
      <c r="N793" s="10">
        <f>CHOOSE(CONTROL!$C$42, 25.9927, 25.9927) * CHOOSE(CONTROL!$C$21, $C$9, 100%, $E$9)</f>
        <v>25.992699999999999</v>
      </c>
      <c r="O793" s="10">
        <f>CHOOSE(CONTROL!$C$42, 26.0572, 26.0572) * CHOOSE(CONTROL!$C$21, $C$9, 100%, $E$9)</f>
        <v>26.057200000000002</v>
      </c>
      <c r="P793" s="10">
        <f>CHOOSE(CONTROL!$C$42, 26.0111, 26.0111) * CHOOSE(CONTROL!$C$21, $C$9, 100%, $E$9)</f>
        <v>26.011099999999999</v>
      </c>
      <c r="Q793" s="10">
        <f>CHOOSE(CONTROL!$C$42, 26.6525, 26.6525) * CHOOSE(CONTROL!$C$21, $C$9, 100%, $E$9)</f>
        <v>26.6525</v>
      </c>
      <c r="R793" s="10">
        <f>CHOOSE(CONTROL!$C$42, 27.3061, 27.3061) * CHOOSE(CONTROL!$C$21, $C$9, 100%, $E$9)</f>
        <v>27.306100000000001</v>
      </c>
      <c r="S793" s="10">
        <f>CHOOSE(CONTROL!$C$42, 25.5141, 25.5141) * CHOOSE(CONTROL!$C$21, $C$9, 100%, $E$9)</f>
        <v>25.514099999999999</v>
      </c>
      <c r="T79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793" s="38">
        <f>(1000*CHOOSE(CONTROL!$C$42, 695, 695)*CHOOSE(CONTROL!$C$42, 0.5599, 0.5599)*CHOOSE(CONTROL!$C$42, 31, 31))/1000000</f>
        <v>12.063045499999998</v>
      </c>
      <c r="V793" s="38">
        <f>(1000*CHOOSE(CONTROL!$C$42, 500, 500)*CHOOSE(CONTROL!$C$42, 0.275, 0.275)*CHOOSE(CONTROL!$C$42, 31, 31))/1000000</f>
        <v>4.2625000000000002</v>
      </c>
      <c r="W793" s="38">
        <f>(1000*CHOOSE(CONTROL!$C$42, 0.1146, 0.1146)*CHOOSE(CONTROL!$C$42, 121.5, 121.5)*CHOOSE(CONTROL!$C$42, 31, 31))/1000000</f>
        <v>0.43164089999999994</v>
      </c>
      <c r="X793" s="38">
        <f>(31*0.1790888*100000/1000000)+(31*0.2374*100000/1000000)</f>
        <v>1.2911152800000001</v>
      </c>
      <c r="Y793" s="38">
        <f>(1000*600*CHOOSE(CONTROL!$C$42, 1.0585, 1.0585)*CHOOSE(CONTROL!$C$42, 31, 31))/1000000</f>
        <v>19.688099999999999</v>
      </c>
      <c r="Z793" s="38"/>
      <c r="AA793" s="10"/>
      <c r="AB793" s="39"/>
      <c r="AC793" s="33">
        <f>(B793*122.58+C793*297.941+D793*89.177+E793*40.302+F793*40+G793*160+H793*0+I793*100+J793*300)/(122.58+297.941+89.177+40.302+0+40+160+100+300)</f>
        <v>26.333731406173914</v>
      </c>
      <c r="AD793" s="27">
        <f>(M793*'RAP TEMPLATE-GAS AVAILABILITY'!O792+N793*'RAP TEMPLATE-GAS AVAILABILITY'!P792+O793*'RAP TEMPLATE-GAS AVAILABILITY'!Q792+P793*'RAP TEMPLATE-GAS AVAILABILITY'!R792)/('RAP TEMPLATE-GAS AVAILABILITY'!O792+'RAP TEMPLATE-GAS AVAILABILITY'!P792+'RAP TEMPLATE-GAS AVAILABILITY'!Q792+'RAP TEMPLATE-GAS AVAILABILITY'!R792)</f>
        <v>26.018434532374105</v>
      </c>
    </row>
    <row r="794" spans="1:30" ht="15.75">
      <c r="A794" s="13">
        <v>65439</v>
      </c>
      <c r="B794" s="10">
        <f>CHOOSE(CONTROL!$C$42, 26.8012, 26.8012) * CHOOSE(CONTROL!$C$21, $C$9, 100%, $E$9)</f>
        <v>26.801200000000001</v>
      </c>
      <c r="C794" s="10">
        <f>CHOOSE(CONTROL!$C$42, 26.8063, 26.8063) * CHOOSE(CONTROL!$C$21, $C$9, 100%, $E$9)</f>
        <v>26.8063</v>
      </c>
      <c r="D794" s="10">
        <f>CHOOSE(CONTROL!$C$42, 26.8387, 26.8387) * CHOOSE(CONTROL!$C$21, $C$9, 100%, $E$9)</f>
        <v>26.838699999999999</v>
      </c>
      <c r="E794" s="10">
        <f>CHOOSE(CONTROL!$C$42, 26.8725, 26.8725) * CHOOSE(CONTROL!$C$21, $C$9, 100%, $E$9)</f>
        <v>26.872499999999999</v>
      </c>
      <c r="F794" s="10">
        <f>CHOOSE(CONTROL!$C$42, 26.7849, 26.7849)*CHOOSE(CONTROL!$C$21, $C$9, 100%, $E$9)</f>
        <v>26.7849</v>
      </c>
      <c r="G794" s="10">
        <f>CHOOSE(CONTROL!$C$42, 26.8028, 26.8028)*CHOOSE(CONTROL!$C$21, $C$9, 100%, $E$9)</f>
        <v>26.802800000000001</v>
      </c>
      <c r="H794" s="10">
        <f>CHOOSE(CONTROL!$C$42, 26.8614, 26.8614) * CHOOSE(CONTROL!$C$21, $C$9, 100%, $E$9)</f>
        <v>26.8614</v>
      </c>
      <c r="I794" s="10">
        <f>CHOOSE(CONTROL!$C$42, 26.8146, 26.8146)* CHOOSE(CONTROL!$C$21, $C$9, 100%, $E$9)</f>
        <v>26.814599999999999</v>
      </c>
      <c r="J794" s="10">
        <f>CHOOSE(CONTROL!$C$42, 26.7775, 26.7775)* CHOOSE(CONTROL!$C$21, $C$9, 100%, $E$9)</f>
        <v>26.7775</v>
      </c>
      <c r="K794" s="10">
        <f>CHOOSE(CONTROL!$C$42, 26.1572, 26.1572) * CHOOSE(CONTROL!$C$21, $C$9, 100%, $E$9)</f>
        <v>26.1572</v>
      </c>
      <c r="L794" s="10">
        <f>CHOOSE(CONTROL!$C$42, 27.4484, 27.4484) * CHOOSE(CONTROL!$C$21, $C$9, 100%, $E$9)</f>
        <v>27.448399999999999</v>
      </c>
      <c r="M794" s="10">
        <f>CHOOSE(CONTROL!$C$42, 26.437, 26.437) * CHOOSE(CONTROL!$C$21, $C$9, 100%, $E$9)</f>
        <v>26.437000000000001</v>
      </c>
      <c r="N794" s="10">
        <f>CHOOSE(CONTROL!$C$42, 26.4546, 26.4546) * CHOOSE(CONTROL!$C$21, $C$9, 100%, $E$9)</f>
        <v>26.454599999999999</v>
      </c>
      <c r="O794" s="10">
        <f>CHOOSE(CONTROL!$C$42, 26.5197, 26.5197) * CHOOSE(CONTROL!$C$21, $C$9, 100%, $E$9)</f>
        <v>26.5197</v>
      </c>
      <c r="P794" s="10">
        <f>CHOOSE(CONTROL!$C$42, 26.4736, 26.4736) * CHOOSE(CONTROL!$C$21, $C$9, 100%, $E$9)</f>
        <v>26.473600000000001</v>
      </c>
      <c r="Q794" s="10">
        <f>CHOOSE(CONTROL!$C$42, 27.115, 27.115) * CHOOSE(CONTROL!$C$21, $C$9, 100%, $E$9)</f>
        <v>27.114999999999998</v>
      </c>
      <c r="R794" s="10">
        <f>CHOOSE(CONTROL!$C$42, 27.7697, 27.7697) * CHOOSE(CONTROL!$C$21, $C$9, 100%, $E$9)</f>
        <v>27.7697</v>
      </c>
      <c r="S794" s="10">
        <f>CHOOSE(CONTROL!$C$42, 25.9682, 25.9682) * CHOOSE(CONTROL!$C$21, $C$9, 100%, $E$9)</f>
        <v>25.9682</v>
      </c>
      <c r="T79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794" s="38">
        <f>(1000*CHOOSE(CONTROL!$C$42, 695, 695)*CHOOSE(CONTROL!$C$42, 0.5599, 0.5599)*CHOOSE(CONTROL!$C$42, 28, 28))/1000000</f>
        <v>10.895653999999999</v>
      </c>
      <c r="V794" s="38">
        <f>(1000*CHOOSE(CONTROL!$C$42, 500, 500)*CHOOSE(CONTROL!$C$42, 0.275, 0.275)*CHOOSE(CONTROL!$C$42, 28, 28))/1000000</f>
        <v>3.85</v>
      </c>
      <c r="W794" s="38">
        <f>(1000*CHOOSE(CONTROL!$C$42, 0.1146, 0.1146)*CHOOSE(CONTROL!$C$42, 121.5, 121.5)*CHOOSE(CONTROL!$C$42, 28, 28))/1000000</f>
        <v>0.38986920000000003</v>
      </c>
      <c r="X794" s="38">
        <f>(28*0.1790888*100000/1000000)+(28*0.2374*100000/1000000)</f>
        <v>1.16616864</v>
      </c>
      <c r="Y794" s="38">
        <f>(1000*600*CHOOSE(CONTROL!$C$42, 1.0585, 1.0585)*CHOOSE(CONTROL!$C$42, 28, 28))/1000000</f>
        <v>17.782800000000002</v>
      </c>
      <c r="Z794" s="38"/>
      <c r="AA794" s="10"/>
      <c r="AB794" s="39"/>
      <c r="AC794" s="33">
        <f>(B794*122.58+C794*297.941+D794*89.177+E794*40.302+F794*40+G794*160+H794*0+I794*100+J794*300)/(122.58+297.941+89.177+40.302+0+40+160+100+300)</f>
        <v>26.802566234086957</v>
      </c>
      <c r="AD794" s="27">
        <f>(M794*'RAP TEMPLATE-GAS AVAILABILITY'!O793+N794*'RAP TEMPLATE-GAS AVAILABILITY'!P793+O794*'RAP TEMPLATE-GAS AVAILABILITY'!Q793+P794*'RAP TEMPLATE-GAS AVAILABILITY'!R793)/('RAP TEMPLATE-GAS AVAILABILITY'!O793+'RAP TEMPLATE-GAS AVAILABILITY'!P793+'RAP TEMPLATE-GAS AVAILABILITY'!Q793+'RAP TEMPLATE-GAS AVAILABILITY'!R793)</f>
        <v>26.480761870503596</v>
      </c>
    </row>
    <row r="795" spans="1:30" ht="15.75">
      <c r="A795" s="13">
        <v>65470</v>
      </c>
      <c r="B795" s="10">
        <f>CHOOSE(CONTROL!$C$42, 26.0398, 26.0398) * CHOOSE(CONTROL!$C$21, $C$9, 100%, $E$9)</f>
        <v>26.0398</v>
      </c>
      <c r="C795" s="10">
        <f>CHOOSE(CONTROL!$C$42, 26.0449, 26.0449) * CHOOSE(CONTROL!$C$21, $C$9, 100%, $E$9)</f>
        <v>26.044899999999998</v>
      </c>
      <c r="D795" s="10">
        <f>CHOOSE(CONTROL!$C$42, 26.0773, 26.0773) * CHOOSE(CONTROL!$C$21, $C$9, 100%, $E$9)</f>
        <v>26.077300000000001</v>
      </c>
      <c r="E795" s="10">
        <f>CHOOSE(CONTROL!$C$42, 26.1111, 26.1111) * CHOOSE(CONTROL!$C$21, $C$9, 100%, $E$9)</f>
        <v>26.1111</v>
      </c>
      <c r="F795" s="10">
        <f>CHOOSE(CONTROL!$C$42, 26.0221, 26.0221)*CHOOSE(CONTROL!$C$21, $C$9, 100%, $E$9)</f>
        <v>26.022099999999998</v>
      </c>
      <c r="G795" s="10">
        <f>CHOOSE(CONTROL!$C$42, 26.0396, 26.0396)*CHOOSE(CONTROL!$C$21, $C$9, 100%, $E$9)</f>
        <v>26.0396</v>
      </c>
      <c r="H795" s="10">
        <f>CHOOSE(CONTROL!$C$42, 26.1, 26.1) * CHOOSE(CONTROL!$C$21, $C$9, 100%, $E$9)</f>
        <v>26.1</v>
      </c>
      <c r="I795" s="10">
        <f>CHOOSE(CONTROL!$C$42, 26.0532, 26.0532)* CHOOSE(CONTROL!$C$21, $C$9, 100%, $E$9)</f>
        <v>26.0532</v>
      </c>
      <c r="J795" s="10">
        <f>CHOOSE(CONTROL!$C$42, 26.0147, 26.0147)* CHOOSE(CONTROL!$C$21, $C$9, 100%, $E$9)</f>
        <v>26.014700000000001</v>
      </c>
      <c r="K795" s="10">
        <f>CHOOSE(CONTROL!$C$42, 25.4165, 25.4165) * CHOOSE(CONTROL!$C$21, $C$9, 100%, $E$9)</f>
        <v>25.416499999999999</v>
      </c>
      <c r="L795" s="10">
        <f>CHOOSE(CONTROL!$C$42, 26.687, 26.687) * CHOOSE(CONTROL!$C$21, $C$9, 100%, $E$9)</f>
        <v>26.687000000000001</v>
      </c>
      <c r="M795" s="10">
        <f>CHOOSE(CONTROL!$C$42, 25.6847, 25.6847) * CHOOSE(CONTROL!$C$21, $C$9, 100%, $E$9)</f>
        <v>25.684699999999999</v>
      </c>
      <c r="N795" s="10">
        <f>CHOOSE(CONTROL!$C$42, 25.7021, 25.7021) * CHOOSE(CONTROL!$C$21, $C$9, 100%, $E$9)</f>
        <v>25.702100000000002</v>
      </c>
      <c r="O795" s="10">
        <f>CHOOSE(CONTROL!$C$42, 25.7689, 25.7689) * CHOOSE(CONTROL!$C$21, $C$9, 100%, $E$9)</f>
        <v>25.768899999999999</v>
      </c>
      <c r="P795" s="10">
        <f>CHOOSE(CONTROL!$C$42, 25.7229, 25.7229) * CHOOSE(CONTROL!$C$21, $C$9, 100%, $E$9)</f>
        <v>25.722899999999999</v>
      </c>
      <c r="Q795" s="10">
        <f>CHOOSE(CONTROL!$C$42, 26.3642, 26.3642) * CHOOSE(CONTROL!$C$21, $C$9, 100%, $E$9)</f>
        <v>26.3642</v>
      </c>
      <c r="R795" s="10">
        <f>CHOOSE(CONTROL!$C$42, 27.0171, 27.0171) * CHOOSE(CONTROL!$C$21, $C$9, 100%, $E$9)</f>
        <v>27.017099999999999</v>
      </c>
      <c r="S795" s="10">
        <f>CHOOSE(CONTROL!$C$42, 25.231, 25.231) * CHOOSE(CONTROL!$C$21, $C$9, 100%, $E$9)</f>
        <v>25.231000000000002</v>
      </c>
      <c r="T79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795" s="38">
        <f>(1000*CHOOSE(CONTROL!$C$42, 695, 695)*CHOOSE(CONTROL!$C$42, 0.5599, 0.5599)*CHOOSE(CONTROL!$C$42, 31, 31))/1000000</f>
        <v>12.063045499999998</v>
      </c>
      <c r="V795" s="38">
        <f>(1000*CHOOSE(CONTROL!$C$42, 500, 500)*CHOOSE(CONTROL!$C$42, 0.275, 0.275)*CHOOSE(CONTROL!$C$42, 31, 31))/1000000</f>
        <v>4.2625000000000002</v>
      </c>
      <c r="W795" s="38">
        <f>(1000*CHOOSE(CONTROL!$C$42, 0.1146, 0.1146)*CHOOSE(CONTROL!$C$42, 121.5, 121.5)*CHOOSE(CONTROL!$C$42, 31, 31))/1000000</f>
        <v>0.43164089999999994</v>
      </c>
      <c r="X795" s="38">
        <f>(31*0.1790888*100000/1000000)+(31*0.2374*100000/1000000)</f>
        <v>1.2911152800000001</v>
      </c>
      <c r="Y795" s="38">
        <f>(1000*600*CHOOSE(CONTROL!$C$42, 1.0585, 1.0585)*CHOOSE(CONTROL!$C$42, 31, 31))/1000000</f>
        <v>19.688099999999999</v>
      </c>
      <c r="Z795" s="38"/>
      <c r="AA795" s="10"/>
      <c r="AB795" s="39"/>
      <c r="AC795" s="33">
        <f>(B795*122.58+C795*297.941+D795*89.177+E795*40.302+F795*40+G795*160+H795*0+I795*100+J795*300)/(122.58+297.941+89.177+40.302+0+40+160+100+300)</f>
        <v>26.040501886260866</v>
      </c>
      <c r="AD795" s="27">
        <f>(M795*'RAP TEMPLATE-GAS AVAILABILITY'!O794+N795*'RAP TEMPLATE-GAS AVAILABILITY'!P794+O795*'RAP TEMPLATE-GAS AVAILABILITY'!Q794+P795*'RAP TEMPLATE-GAS AVAILABILITY'!R794)/('RAP TEMPLATE-GAS AVAILABILITY'!O794+'RAP TEMPLATE-GAS AVAILABILITY'!P794+'RAP TEMPLATE-GAS AVAILABILITY'!Q794+'RAP TEMPLATE-GAS AVAILABILITY'!R794)</f>
        <v>25.729360431654676</v>
      </c>
    </row>
    <row r="796" spans="1:30" ht="15.75">
      <c r="A796" s="13">
        <v>65500</v>
      </c>
      <c r="B796" s="10">
        <f>CHOOSE(CONTROL!$C$42, 25.9625, 25.9625) * CHOOSE(CONTROL!$C$21, $C$9, 100%, $E$9)</f>
        <v>25.962499999999999</v>
      </c>
      <c r="C796" s="10">
        <f>CHOOSE(CONTROL!$C$42, 25.9671, 25.9671) * CHOOSE(CONTROL!$C$21, $C$9, 100%, $E$9)</f>
        <v>25.967099999999999</v>
      </c>
      <c r="D796" s="10">
        <f>CHOOSE(CONTROL!$C$42, 26.1272, 26.1272) * CHOOSE(CONTROL!$C$21, $C$9, 100%, $E$9)</f>
        <v>26.127199999999998</v>
      </c>
      <c r="E796" s="10">
        <f>CHOOSE(CONTROL!$C$42, 26.1591, 26.1591) * CHOOSE(CONTROL!$C$21, $C$9, 100%, $E$9)</f>
        <v>26.159099999999999</v>
      </c>
      <c r="F796" s="10">
        <f>CHOOSE(CONTROL!$C$42, 25.9087, 25.9087)*CHOOSE(CONTROL!$C$21, $C$9, 100%, $E$9)</f>
        <v>25.9087</v>
      </c>
      <c r="G796" s="10">
        <f>CHOOSE(CONTROL!$C$42, 25.9245, 25.9245)*CHOOSE(CONTROL!$C$21, $C$9, 100%, $E$9)</f>
        <v>25.924499999999998</v>
      </c>
      <c r="H796" s="10">
        <f>CHOOSE(CONTROL!$C$42, 26.1485, 26.1485) * CHOOSE(CONTROL!$C$21, $C$9, 100%, $E$9)</f>
        <v>26.148499999999999</v>
      </c>
      <c r="I796" s="10">
        <f>CHOOSE(CONTROL!$C$42, 25.9427, 25.9427)* CHOOSE(CONTROL!$C$21, $C$9, 100%, $E$9)</f>
        <v>25.942699999999999</v>
      </c>
      <c r="J796" s="10">
        <f>CHOOSE(CONTROL!$C$42, 25.9013, 25.9013)* CHOOSE(CONTROL!$C$21, $C$9, 100%, $E$9)</f>
        <v>25.901299999999999</v>
      </c>
      <c r="K796" s="10">
        <f>CHOOSE(CONTROL!$C$42, 25.2934, 25.2934) * CHOOSE(CONTROL!$C$21, $C$9, 100%, $E$9)</f>
        <v>25.293399999999998</v>
      </c>
      <c r="L796" s="10">
        <f>CHOOSE(CONTROL!$C$42, 26.7355, 26.7355) * CHOOSE(CONTROL!$C$21, $C$9, 100%, $E$9)</f>
        <v>26.735499999999998</v>
      </c>
      <c r="M796" s="10">
        <f>CHOOSE(CONTROL!$C$42, 25.5729, 25.5729) * CHOOSE(CONTROL!$C$21, $C$9, 100%, $E$9)</f>
        <v>25.572900000000001</v>
      </c>
      <c r="N796" s="10">
        <f>CHOOSE(CONTROL!$C$42, 25.5885, 25.5885) * CHOOSE(CONTROL!$C$21, $C$9, 100%, $E$9)</f>
        <v>25.5885</v>
      </c>
      <c r="O796" s="10">
        <f>CHOOSE(CONTROL!$C$42, 25.8167, 25.8167) * CHOOSE(CONTROL!$C$21, $C$9, 100%, $E$9)</f>
        <v>25.816700000000001</v>
      </c>
      <c r="P796" s="10">
        <f>CHOOSE(CONTROL!$C$42, 25.6138, 25.6138) * CHOOSE(CONTROL!$C$21, $C$9, 100%, $E$9)</f>
        <v>25.613800000000001</v>
      </c>
      <c r="Q796" s="10">
        <f>CHOOSE(CONTROL!$C$42, 26.412, 26.412) * CHOOSE(CONTROL!$C$21, $C$9, 100%, $E$9)</f>
        <v>26.411999999999999</v>
      </c>
      <c r="R796" s="10">
        <f>CHOOSE(CONTROL!$C$42, 27.0651, 27.0651) * CHOOSE(CONTROL!$C$21, $C$9, 100%, $E$9)</f>
        <v>27.065100000000001</v>
      </c>
      <c r="S796" s="10">
        <f>CHOOSE(CONTROL!$C$42, 25.1555, 25.1555) * CHOOSE(CONTROL!$C$21, $C$9, 100%, $E$9)</f>
        <v>25.1555</v>
      </c>
      <c r="T79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796" s="38">
        <f>(1000*CHOOSE(CONTROL!$C$42, 695, 695)*CHOOSE(CONTROL!$C$42, 0.5599, 0.5599)*CHOOSE(CONTROL!$C$42, 30, 30))/1000000</f>
        <v>11.673914999999997</v>
      </c>
      <c r="V796" s="38">
        <f>(1000*CHOOSE(CONTROL!$C$42, 500, 500)*CHOOSE(CONTROL!$C$42, 0.275, 0.275)*CHOOSE(CONTROL!$C$42, 30, 30))/1000000</f>
        <v>4.125</v>
      </c>
      <c r="W796" s="38">
        <f>(1000*CHOOSE(CONTROL!$C$42, 0.1146, 0.1146)*CHOOSE(CONTROL!$C$42, 121.5, 121.5)*CHOOSE(CONTROL!$C$42, 30, 30))/1000000</f>
        <v>0.417717</v>
      </c>
      <c r="X796" s="38">
        <f>(30*0.1790888*245000/1000000)+(30*0.2374*100000/1000000)</f>
        <v>2.0285026799999999</v>
      </c>
      <c r="Y796" s="38">
        <f>(1000*600*CHOOSE(CONTROL!$C$42, 1.0585, 1.0585)*CHOOSE(CONTROL!$C$42, 30, 30))/1000000</f>
        <v>19.053000000000001</v>
      </c>
      <c r="Z796" s="38"/>
      <c r="AA796" s="10"/>
      <c r="AB796" s="39"/>
      <c r="AC796" s="33">
        <f>(B796*141.293+C796*267.993+D796*115.016+E796*89.698+F796*40+G796*185+H796*0+I796*100+J796*300)/(141.293+267.993+115.016+89.698+0+40+185+100+300)</f>
        <v>25.969189693139629</v>
      </c>
      <c r="AD796" s="27">
        <f>(M796*'RAP TEMPLATE-GAS AVAILABILITY'!O795+N796*'RAP TEMPLATE-GAS AVAILABILITY'!P795+O796*'RAP TEMPLATE-GAS AVAILABILITY'!Q795+P796*'RAP TEMPLATE-GAS AVAILABILITY'!R795)/('RAP TEMPLATE-GAS AVAILABILITY'!O795+'RAP TEMPLATE-GAS AVAILABILITY'!P795+'RAP TEMPLATE-GAS AVAILABILITY'!Q795+'RAP TEMPLATE-GAS AVAILABILITY'!R795)</f>
        <v>25.69018201438849</v>
      </c>
    </row>
    <row r="797" spans="1:30" ht="15.75">
      <c r="A797" s="13">
        <v>65531</v>
      </c>
      <c r="B797" s="10">
        <f>CHOOSE(CONTROL!$C$42, 26.1937, 26.1937) * CHOOSE(CONTROL!$C$21, $C$9, 100%, $E$9)</f>
        <v>26.1937</v>
      </c>
      <c r="C797" s="10">
        <f>CHOOSE(CONTROL!$C$42, 26.2017, 26.2017) * CHOOSE(CONTROL!$C$21, $C$9, 100%, $E$9)</f>
        <v>26.201699999999999</v>
      </c>
      <c r="D797" s="10">
        <f>CHOOSE(CONTROL!$C$42, 26.3587, 26.3587) * CHOOSE(CONTROL!$C$21, $C$9, 100%, $E$9)</f>
        <v>26.358699999999999</v>
      </c>
      <c r="E797" s="10">
        <f>CHOOSE(CONTROL!$C$42, 26.3899, 26.3899) * CHOOSE(CONTROL!$C$21, $C$9, 100%, $E$9)</f>
        <v>26.389900000000001</v>
      </c>
      <c r="F797" s="10">
        <f>CHOOSE(CONTROL!$C$42, 26.1378, 26.1378)*CHOOSE(CONTROL!$C$21, $C$9, 100%, $E$9)</f>
        <v>26.137799999999999</v>
      </c>
      <c r="G797" s="10">
        <f>CHOOSE(CONTROL!$C$42, 26.1539, 26.1539)*CHOOSE(CONTROL!$C$21, $C$9, 100%, $E$9)</f>
        <v>26.1539</v>
      </c>
      <c r="H797" s="10">
        <f>CHOOSE(CONTROL!$C$42, 26.3783, 26.3783) * CHOOSE(CONTROL!$C$21, $C$9, 100%, $E$9)</f>
        <v>26.378299999999999</v>
      </c>
      <c r="I797" s="10">
        <f>CHOOSE(CONTROL!$C$42, 26.1724, 26.1724)* CHOOSE(CONTROL!$C$21, $C$9, 100%, $E$9)</f>
        <v>26.1724</v>
      </c>
      <c r="J797" s="10">
        <f>CHOOSE(CONTROL!$C$42, 26.1304, 26.1304)* CHOOSE(CONTROL!$C$21, $C$9, 100%, $E$9)</f>
        <v>26.130400000000002</v>
      </c>
      <c r="K797" s="10">
        <f>CHOOSE(CONTROL!$C$42, 25.5147, 25.5147) * CHOOSE(CONTROL!$C$21, $C$9, 100%, $E$9)</f>
        <v>25.514700000000001</v>
      </c>
      <c r="L797" s="10">
        <f>CHOOSE(CONTROL!$C$42, 26.9653, 26.9653) * CHOOSE(CONTROL!$C$21, $C$9, 100%, $E$9)</f>
        <v>26.965299999999999</v>
      </c>
      <c r="M797" s="10">
        <f>CHOOSE(CONTROL!$C$42, 25.7989, 25.7989) * CHOOSE(CONTROL!$C$21, $C$9, 100%, $E$9)</f>
        <v>25.7989</v>
      </c>
      <c r="N797" s="10">
        <f>CHOOSE(CONTROL!$C$42, 25.8148, 25.8148) * CHOOSE(CONTROL!$C$21, $C$9, 100%, $E$9)</f>
        <v>25.814800000000002</v>
      </c>
      <c r="O797" s="10">
        <f>CHOOSE(CONTROL!$C$42, 26.0433, 26.0433) * CHOOSE(CONTROL!$C$21, $C$9, 100%, $E$9)</f>
        <v>26.043299999999999</v>
      </c>
      <c r="P797" s="10">
        <f>CHOOSE(CONTROL!$C$42, 25.8404, 25.8404) * CHOOSE(CONTROL!$C$21, $C$9, 100%, $E$9)</f>
        <v>25.840399999999999</v>
      </c>
      <c r="Q797" s="10">
        <f>CHOOSE(CONTROL!$C$42, 26.6386, 26.6386) * CHOOSE(CONTROL!$C$21, $C$9, 100%, $E$9)</f>
        <v>26.6386</v>
      </c>
      <c r="R797" s="10">
        <f>CHOOSE(CONTROL!$C$42, 27.2922, 27.2922) * CHOOSE(CONTROL!$C$21, $C$9, 100%, $E$9)</f>
        <v>27.292200000000001</v>
      </c>
      <c r="S797" s="10">
        <f>CHOOSE(CONTROL!$C$42, 25.3779, 25.3779) * CHOOSE(CONTROL!$C$21, $C$9, 100%, $E$9)</f>
        <v>25.3779</v>
      </c>
      <c r="T79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797" s="38">
        <f>(1000*CHOOSE(CONTROL!$C$42, 695, 695)*CHOOSE(CONTROL!$C$42, 0.5599, 0.5599)*CHOOSE(CONTROL!$C$42, 31, 31))/1000000</f>
        <v>12.063045499999998</v>
      </c>
      <c r="V797" s="38">
        <f>(1000*CHOOSE(CONTROL!$C$42, 500, 500)*CHOOSE(CONTROL!$C$42, 0.275, 0.275)*CHOOSE(CONTROL!$C$42, 31, 31))/1000000</f>
        <v>4.2625000000000002</v>
      </c>
      <c r="W797" s="38">
        <f>(1000*CHOOSE(CONTROL!$C$42, 0.1146, 0.1146)*CHOOSE(CONTROL!$C$42, 121.5, 121.5)*CHOOSE(CONTROL!$C$42, 31, 31))/1000000</f>
        <v>0.43164089999999994</v>
      </c>
      <c r="X797" s="38">
        <f>(31*0.1790888*245000/1000000)+(31*0.2374*100000/1000000)</f>
        <v>2.0961194359999999</v>
      </c>
      <c r="Y797" s="38">
        <f>(1000*600*CHOOSE(CONTROL!$C$42, 1.0585, 1.0585)*CHOOSE(CONTROL!$C$42, 31, 31))/1000000</f>
        <v>19.688099999999999</v>
      </c>
      <c r="Z797" s="38"/>
      <c r="AA797" s="10"/>
      <c r="AB797" s="39"/>
      <c r="AC797" s="33">
        <f>(B797*194.205+C797*267.466+D797*133.845+E797*53.484+F797*40+G797*185+H797*0+I797*100+J797*300)/(194.205+267.466+133.845+53.484+0+40+185+100+300)</f>
        <v>26.196838707849295</v>
      </c>
      <c r="AD797" s="27">
        <f>(M797*'RAP TEMPLATE-GAS AVAILABILITY'!O796+N797*'RAP TEMPLATE-GAS AVAILABILITY'!P796+O797*'RAP TEMPLATE-GAS AVAILABILITY'!Q796+P797*'RAP TEMPLATE-GAS AVAILABILITY'!R796)/('RAP TEMPLATE-GAS AVAILABILITY'!O796+'RAP TEMPLATE-GAS AVAILABILITY'!P796+'RAP TEMPLATE-GAS AVAILABILITY'!Q796+'RAP TEMPLATE-GAS AVAILABILITY'!R796)</f>
        <v>25.916557553956835</v>
      </c>
    </row>
    <row r="798" spans="1:30" ht="15.75">
      <c r="A798" s="13">
        <v>65561</v>
      </c>
      <c r="B798" s="10">
        <f>CHOOSE(CONTROL!$C$42, 26.9371, 26.9371) * CHOOSE(CONTROL!$C$21, $C$9, 100%, $E$9)</f>
        <v>26.937100000000001</v>
      </c>
      <c r="C798" s="10">
        <f>CHOOSE(CONTROL!$C$42, 26.9451, 26.9451) * CHOOSE(CONTROL!$C$21, $C$9, 100%, $E$9)</f>
        <v>26.9451</v>
      </c>
      <c r="D798" s="10">
        <f>CHOOSE(CONTROL!$C$42, 27.1021, 27.1021) * CHOOSE(CONTROL!$C$21, $C$9, 100%, $E$9)</f>
        <v>27.1021</v>
      </c>
      <c r="E798" s="10">
        <f>CHOOSE(CONTROL!$C$42, 27.1333, 27.1333) * CHOOSE(CONTROL!$C$21, $C$9, 100%, $E$9)</f>
        <v>27.133299999999998</v>
      </c>
      <c r="F798" s="10">
        <f>CHOOSE(CONTROL!$C$42, 26.8814, 26.8814)*CHOOSE(CONTROL!$C$21, $C$9, 100%, $E$9)</f>
        <v>26.881399999999999</v>
      </c>
      <c r="G798" s="10">
        <f>CHOOSE(CONTROL!$C$42, 26.8976, 26.8976)*CHOOSE(CONTROL!$C$21, $C$9, 100%, $E$9)</f>
        <v>26.897600000000001</v>
      </c>
      <c r="H798" s="10">
        <f>CHOOSE(CONTROL!$C$42, 27.1217, 27.1217) * CHOOSE(CONTROL!$C$21, $C$9, 100%, $E$9)</f>
        <v>27.121700000000001</v>
      </c>
      <c r="I798" s="10">
        <f>CHOOSE(CONTROL!$C$42, 26.9158, 26.9158)* CHOOSE(CONTROL!$C$21, $C$9, 100%, $E$9)</f>
        <v>26.915800000000001</v>
      </c>
      <c r="J798" s="10">
        <f>CHOOSE(CONTROL!$C$42, 26.874, 26.874)* CHOOSE(CONTROL!$C$21, $C$9, 100%, $E$9)</f>
        <v>26.873999999999999</v>
      </c>
      <c r="K798" s="10">
        <f>CHOOSE(CONTROL!$C$42, 26.2353, 26.2353) * CHOOSE(CONTROL!$C$21, $C$9, 100%, $E$9)</f>
        <v>26.235299999999999</v>
      </c>
      <c r="L798" s="10">
        <f>CHOOSE(CONTROL!$C$42, 27.7087, 27.7087) * CHOOSE(CONTROL!$C$21, $C$9, 100%, $E$9)</f>
        <v>27.7087</v>
      </c>
      <c r="M798" s="10">
        <f>CHOOSE(CONTROL!$C$42, 26.5321, 26.5321) * CHOOSE(CONTROL!$C$21, $C$9, 100%, $E$9)</f>
        <v>26.5321</v>
      </c>
      <c r="N798" s="10">
        <f>CHOOSE(CONTROL!$C$42, 26.548, 26.548) * CHOOSE(CONTROL!$C$21, $C$9, 100%, $E$9)</f>
        <v>26.547999999999998</v>
      </c>
      <c r="O798" s="10">
        <f>CHOOSE(CONTROL!$C$42, 26.7763, 26.7763) * CHOOSE(CONTROL!$C$21, $C$9, 100%, $E$9)</f>
        <v>26.776299999999999</v>
      </c>
      <c r="P798" s="10">
        <f>CHOOSE(CONTROL!$C$42, 26.5734, 26.5734) * CHOOSE(CONTROL!$C$21, $C$9, 100%, $E$9)</f>
        <v>26.573399999999999</v>
      </c>
      <c r="Q798" s="10">
        <f>CHOOSE(CONTROL!$C$42, 27.3716, 27.3716) * CHOOSE(CONTROL!$C$21, $C$9, 100%, $E$9)</f>
        <v>27.371600000000001</v>
      </c>
      <c r="R798" s="10">
        <f>CHOOSE(CONTROL!$C$42, 28.027, 28.027) * CHOOSE(CONTROL!$C$21, $C$9, 100%, $E$9)</f>
        <v>28.027000000000001</v>
      </c>
      <c r="S798" s="10">
        <f>CHOOSE(CONTROL!$C$42, 26.0978, 26.0978) * CHOOSE(CONTROL!$C$21, $C$9, 100%, $E$9)</f>
        <v>26.097799999999999</v>
      </c>
      <c r="T79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798" s="38">
        <f>(1000*CHOOSE(CONTROL!$C$42, 695, 695)*CHOOSE(CONTROL!$C$42, 0.5599, 0.5599)*CHOOSE(CONTROL!$C$42, 30, 30))/1000000</f>
        <v>11.673914999999997</v>
      </c>
      <c r="V798" s="38">
        <f>(1000*CHOOSE(CONTROL!$C$42, 500, 500)*CHOOSE(CONTROL!$C$42, 0.275, 0.275)*CHOOSE(CONTROL!$C$42, 30, 30))/1000000</f>
        <v>4.125</v>
      </c>
      <c r="W798" s="38">
        <f>(1000*CHOOSE(CONTROL!$C$42, 0.1146, 0.1146)*CHOOSE(CONTROL!$C$42, 121.5, 121.5)*CHOOSE(CONTROL!$C$42, 30, 30))/1000000</f>
        <v>0.417717</v>
      </c>
      <c r="X798" s="38">
        <f>(30*0.1790888*245000/1000000)+(30*0.2374*100000/1000000)</f>
        <v>2.0285026799999999</v>
      </c>
      <c r="Y798" s="38">
        <f>(1000*600*CHOOSE(CONTROL!$C$42, 1.0585, 1.0585)*CHOOSE(CONTROL!$C$42, 30, 30))/1000000</f>
        <v>19.053000000000001</v>
      </c>
      <c r="Z798" s="38"/>
      <c r="AA798" s="10"/>
      <c r="AB798" s="39"/>
      <c r="AC798" s="33">
        <f>(B798*194.205+C798*267.466+D798*133.845+E798*53.484+F798*40+G798*185+H798*0+I798*100+J798*300)/(194.205+267.466+133.845+53.484+0+40+185+100+300)</f>
        <v>26.940335646624799</v>
      </c>
      <c r="AD798" s="27">
        <f>(M798*'RAP TEMPLATE-GAS AVAILABILITY'!O797+N798*'RAP TEMPLATE-GAS AVAILABILITY'!P797+O798*'RAP TEMPLATE-GAS AVAILABILITY'!Q797+P798*'RAP TEMPLATE-GAS AVAILABILITY'!R797)/('RAP TEMPLATE-GAS AVAILABILITY'!O797+'RAP TEMPLATE-GAS AVAILABILITY'!P797+'RAP TEMPLATE-GAS AVAILABILITY'!Q797+'RAP TEMPLATE-GAS AVAILABILITY'!R797)</f>
        <v>26.649638129496406</v>
      </c>
    </row>
    <row r="799" spans="1:30" ht="15.75">
      <c r="A799" s="13">
        <v>65592</v>
      </c>
      <c r="B799" s="10">
        <f>CHOOSE(CONTROL!$C$42, 26.42, 26.42) * CHOOSE(CONTROL!$C$21, $C$9, 100%, $E$9)</f>
        <v>26.42</v>
      </c>
      <c r="C799" s="10">
        <f>CHOOSE(CONTROL!$C$42, 26.428, 26.428) * CHOOSE(CONTROL!$C$21, $C$9, 100%, $E$9)</f>
        <v>26.428000000000001</v>
      </c>
      <c r="D799" s="10">
        <f>CHOOSE(CONTROL!$C$42, 26.5851, 26.5851) * CHOOSE(CONTROL!$C$21, $C$9, 100%, $E$9)</f>
        <v>26.585100000000001</v>
      </c>
      <c r="E799" s="10">
        <f>CHOOSE(CONTROL!$C$42, 26.6163, 26.6163) * CHOOSE(CONTROL!$C$21, $C$9, 100%, $E$9)</f>
        <v>26.616299999999999</v>
      </c>
      <c r="F799" s="10">
        <f>CHOOSE(CONTROL!$C$42, 26.3647, 26.3647)*CHOOSE(CONTROL!$C$21, $C$9, 100%, $E$9)</f>
        <v>26.364699999999999</v>
      </c>
      <c r="G799" s="10">
        <f>CHOOSE(CONTROL!$C$42, 26.3809, 26.3809)*CHOOSE(CONTROL!$C$21, $C$9, 100%, $E$9)</f>
        <v>26.3809</v>
      </c>
      <c r="H799" s="10">
        <f>CHOOSE(CONTROL!$C$42, 26.6046, 26.6046) * CHOOSE(CONTROL!$C$21, $C$9, 100%, $E$9)</f>
        <v>26.604600000000001</v>
      </c>
      <c r="I799" s="10">
        <f>CHOOSE(CONTROL!$C$42, 26.3988, 26.3988)* CHOOSE(CONTROL!$C$21, $C$9, 100%, $E$9)</f>
        <v>26.398800000000001</v>
      </c>
      <c r="J799" s="10">
        <f>CHOOSE(CONTROL!$C$42, 26.3573, 26.3573)* CHOOSE(CONTROL!$C$21, $C$9, 100%, $E$9)</f>
        <v>26.357299999999999</v>
      </c>
      <c r="K799" s="10">
        <f>CHOOSE(CONTROL!$C$42, 25.735, 25.735) * CHOOSE(CONTROL!$C$21, $C$9, 100%, $E$9)</f>
        <v>25.734999999999999</v>
      </c>
      <c r="L799" s="10">
        <f>CHOOSE(CONTROL!$C$42, 27.1916, 27.1916) * CHOOSE(CONTROL!$C$21, $C$9, 100%, $E$9)</f>
        <v>27.191600000000001</v>
      </c>
      <c r="M799" s="10">
        <f>CHOOSE(CONTROL!$C$42, 26.0226, 26.0226) * CHOOSE(CONTROL!$C$21, $C$9, 100%, $E$9)</f>
        <v>26.022600000000001</v>
      </c>
      <c r="N799" s="10">
        <f>CHOOSE(CONTROL!$C$42, 26.0386, 26.0386) * CHOOSE(CONTROL!$C$21, $C$9, 100%, $E$9)</f>
        <v>26.038599999999999</v>
      </c>
      <c r="O799" s="10">
        <f>CHOOSE(CONTROL!$C$42, 26.2665, 26.2665) * CHOOSE(CONTROL!$C$21, $C$9, 100%, $E$9)</f>
        <v>26.266500000000001</v>
      </c>
      <c r="P799" s="10">
        <f>CHOOSE(CONTROL!$C$42, 26.0636, 26.0636) * CHOOSE(CONTROL!$C$21, $C$9, 100%, $E$9)</f>
        <v>26.063600000000001</v>
      </c>
      <c r="Q799" s="10">
        <f>CHOOSE(CONTROL!$C$42, 26.8618, 26.8618) * CHOOSE(CONTROL!$C$21, $C$9, 100%, $E$9)</f>
        <v>26.861799999999999</v>
      </c>
      <c r="R799" s="10">
        <f>CHOOSE(CONTROL!$C$42, 27.5159, 27.5159) * CHOOSE(CONTROL!$C$21, $C$9, 100%, $E$9)</f>
        <v>27.515899999999998</v>
      </c>
      <c r="S799" s="10">
        <f>CHOOSE(CONTROL!$C$42, 25.5971, 25.5971) * CHOOSE(CONTROL!$C$21, $C$9, 100%, $E$9)</f>
        <v>25.597100000000001</v>
      </c>
      <c r="T79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799" s="38">
        <f>(1000*CHOOSE(CONTROL!$C$42, 695, 695)*CHOOSE(CONTROL!$C$42, 0.5599, 0.5599)*CHOOSE(CONTROL!$C$42, 31, 31))/1000000</f>
        <v>12.063045499999998</v>
      </c>
      <c r="V799" s="38">
        <f>(1000*CHOOSE(CONTROL!$C$42, 500, 500)*CHOOSE(CONTROL!$C$42, 0.275, 0.275)*CHOOSE(CONTROL!$C$42, 31, 31))/1000000</f>
        <v>4.2625000000000002</v>
      </c>
      <c r="W799" s="38">
        <f>(1000*CHOOSE(CONTROL!$C$42, 0.1146, 0.1146)*CHOOSE(CONTROL!$C$42, 121.5, 121.5)*CHOOSE(CONTROL!$C$42, 31, 31))/1000000</f>
        <v>0.43164089999999994</v>
      </c>
      <c r="X799" s="38">
        <f>(31*0.1790888*245000/1000000)+(31*0.2374*100000/1000000)</f>
        <v>2.0961194359999999</v>
      </c>
      <c r="Y799" s="38">
        <f>(1000*600*CHOOSE(CONTROL!$C$42, 1.0585, 1.0585)*CHOOSE(CONTROL!$C$42, 31, 31))/1000000</f>
        <v>19.688099999999999</v>
      </c>
      <c r="Z799" s="38"/>
      <c r="AA799" s="10"/>
      <c r="AB799" s="39"/>
      <c r="AC799" s="33">
        <f>(B799*194.205+C799*267.466+D799*133.845+E799*53.484+F799*40+G799*185+H799*0+I799*100+J799*300)/(194.205+267.466+133.845+53.484+0+40+185+100+300)</f>
        <v>26.423423035086344</v>
      </c>
      <c r="AD799" s="27">
        <f>(M799*'RAP TEMPLATE-GAS AVAILABILITY'!O798+N799*'RAP TEMPLATE-GAS AVAILABILITY'!P798+O799*'RAP TEMPLATE-GAS AVAILABILITY'!Q798+P799*'RAP TEMPLATE-GAS AVAILABILITY'!R798)/('RAP TEMPLATE-GAS AVAILABILITY'!O798+'RAP TEMPLATE-GAS AVAILABILITY'!P798+'RAP TEMPLATE-GAS AVAILABILITY'!Q798+'RAP TEMPLATE-GAS AVAILABILITY'!R798)</f>
        <v>26.139964748201439</v>
      </c>
    </row>
    <row r="800" spans="1:30" ht="15.75">
      <c r="A800" s="13">
        <v>65623</v>
      </c>
      <c r="B800" s="10">
        <f>CHOOSE(CONTROL!$C$42, 25.1143, 25.1143) * CHOOSE(CONTROL!$C$21, $C$9, 100%, $E$9)</f>
        <v>25.1143</v>
      </c>
      <c r="C800" s="10">
        <f>CHOOSE(CONTROL!$C$42, 25.1223, 25.1223) * CHOOSE(CONTROL!$C$21, $C$9, 100%, $E$9)</f>
        <v>25.122299999999999</v>
      </c>
      <c r="D800" s="10">
        <f>CHOOSE(CONTROL!$C$42, 25.2794, 25.2794) * CHOOSE(CONTROL!$C$21, $C$9, 100%, $E$9)</f>
        <v>25.279399999999999</v>
      </c>
      <c r="E800" s="10">
        <f>CHOOSE(CONTROL!$C$42, 25.3106, 25.3106) * CHOOSE(CONTROL!$C$21, $C$9, 100%, $E$9)</f>
        <v>25.310600000000001</v>
      </c>
      <c r="F800" s="10">
        <f>CHOOSE(CONTROL!$C$42, 25.0589, 25.0589)*CHOOSE(CONTROL!$C$21, $C$9, 100%, $E$9)</f>
        <v>25.058900000000001</v>
      </c>
      <c r="G800" s="10">
        <f>CHOOSE(CONTROL!$C$42, 25.0751, 25.0751)*CHOOSE(CONTROL!$C$21, $C$9, 100%, $E$9)</f>
        <v>25.075099999999999</v>
      </c>
      <c r="H800" s="10">
        <f>CHOOSE(CONTROL!$C$42, 25.2989, 25.2989) * CHOOSE(CONTROL!$C$21, $C$9, 100%, $E$9)</f>
        <v>25.2989</v>
      </c>
      <c r="I800" s="10">
        <f>CHOOSE(CONTROL!$C$42, 25.0931, 25.0931)* CHOOSE(CONTROL!$C$21, $C$9, 100%, $E$9)</f>
        <v>25.0931</v>
      </c>
      <c r="J800" s="10">
        <f>CHOOSE(CONTROL!$C$42, 25.0515, 25.0515)* CHOOSE(CONTROL!$C$21, $C$9, 100%, $E$9)</f>
        <v>25.051500000000001</v>
      </c>
      <c r="K800" s="10">
        <f>CHOOSE(CONTROL!$C$42, 24.47, 24.47) * CHOOSE(CONTROL!$C$21, $C$9, 100%, $E$9)</f>
        <v>24.47</v>
      </c>
      <c r="L800" s="10">
        <f>CHOOSE(CONTROL!$C$42, 25.8859, 25.8859) * CHOOSE(CONTROL!$C$21, $C$9, 100%, $E$9)</f>
        <v>25.885899999999999</v>
      </c>
      <c r="M800" s="10">
        <f>CHOOSE(CONTROL!$C$42, 24.735, 24.735) * CHOOSE(CONTROL!$C$21, $C$9, 100%, $E$9)</f>
        <v>24.734999999999999</v>
      </c>
      <c r="N800" s="10">
        <f>CHOOSE(CONTROL!$C$42, 24.751, 24.751) * CHOOSE(CONTROL!$C$21, $C$9, 100%, $E$9)</f>
        <v>24.751000000000001</v>
      </c>
      <c r="O800" s="10">
        <f>CHOOSE(CONTROL!$C$42, 24.979, 24.979) * CHOOSE(CONTROL!$C$21, $C$9, 100%, $E$9)</f>
        <v>24.978999999999999</v>
      </c>
      <c r="P800" s="10">
        <f>CHOOSE(CONTROL!$C$42, 24.7761, 24.7761) * CHOOSE(CONTROL!$C$21, $C$9, 100%, $E$9)</f>
        <v>24.7761</v>
      </c>
      <c r="Q800" s="10">
        <f>CHOOSE(CONTROL!$C$42, 25.5743, 25.5743) * CHOOSE(CONTROL!$C$21, $C$9, 100%, $E$9)</f>
        <v>25.574300000000001</v>
      </c>
      <c r="R800" s="10">
        <f>CHOOSE(CONTROL!$C$42, 26.2252, 26.2252) * CHOOSE(CONTROL!$C$21, $C$9, 100%, $E$9)</f>
        <v>26.225200000000001</v>
      </c>
      <c r="S800" s="10">
        <f>CHOOSE(CONTROL!$C$42, 24.3328, 24.3328) * CHOOSE(CONTROL!$C$21, $C$9, 100%, $E$9)</f>
        <v>24.332799999999999</v>
      </c>
      <c r="T80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00" s="38">
        <f>(1000*CHOOSE(CONTROL!$C$42, 695, 695)*CHOOSE(CONTROL!$C$42, 0.5599, 0.5599)*CHOOSE(CONTROL!$C$42, 31, 31))/1000000</f>
        <v>12.063045499999998</v>
      </c>
      <c r="V800" s="38">
        <f>(1000*CHOOSE(CONTROL!$C$42, 500, 500)*CHOOSE(CONTROL!$C$42, 0.275, 0.275)*CHOOSE(CONTROL!$C$42, 31, 31))/1000000</f>
        <v>4.2625000000000002</v>
      </c>
      <c r="W800" s="38">
        <f>(1000*CHOOSE(CONTROL!$C$42, 0.1146, 0.1146)*CHOOSE(CONTROL!$C$42, 121.5, 121.5)*CHOOSE(CONTROL!$C$42, 31, 31))/1000000</f>
        <v>0.43164089999999994</v>
      </c>
      <c r="X800" s="38">
        <f>(31*0.1790888*245000/1000000)+(31*0.2374*100000/1000000)</f>
        <v>2.0961194359999999</v>
      </c>
      <c r="Y800" s="38">
        <f>(1000*600*CHOOSE(CONTROL!$C$42, 1.0585, 1.0585)*CHOOSE(CONTROL!$C$42, 31, 31))/1000000</f>
        <v>19.688099999999999</v>
      </c>
      <c r="Z800" s="38"/>
      <c r="AA800" s="10"/>
      <c r="AB800" s="39"/>
      <c r="AC800" s="33">
        <f>(B800*194.205+C800*267.466+D800*133.845+E800*53.484+F800*40+G800*185+H800*0+I800*100+J800*300)/(194.205+267.466+133.845+53.484+0+40+185+100+300)</f>
        <v>25.117681826295136</v>
      </c>
      <c r="AD800" s="27">
        <f>(M800*'RAP TEMPLATE-GAS AVAILABILITY'!O799+N800*'RAP TEMPLATE-GAS AVAILABILITY'!P799+O800*'RAP TEMPLATE-GAS AVAILABILITY'!Q799+P800*'RAP TEMPLATE-GAS AVAILABILITY'!R799)/('RAP TEMPLATE-GAS AVAILABILITY'!O799+'RAP TEMPLATE-GAS AVAILABILITY'!P799+'RAP TEMPLATE-GAS AVAILABILITY'!Q799+'RAP TEMPLATE-GAS AVAILABILITY'!R799)</f>
        <v>24.852424460431653</v>
      </c>
    </row>
    <row r="801" spans="1:30" ht="15.75">
      <c r="A801" s="13">
        <v>65653</v>
      </c>
      <c r="B801" s="10">
        <f>CHOOSE(CONTROL!$C$42, 23.519, 23.519) * CHOOSE(CONTROL!$C$21, $C$9, 100%, $E$9)</f>
        <v>23.518999999999998</v>
      </c>
      <c r="C801" s="10">
        <f>CHOOSE(CONTROL!$C$42, 23.527, 23.527) * CHOOSE(CONTROL!$C$21, $C$9, 100%, $E$9)</f>
        <v>23.527000000000001</v>
      </c>
      <c r="D801" s="10">
        <f>CHOOSE(CONTROL!$C$42, 23.684, 23.684) * CHOOSE(CONTROL!$C$21, $C$9, 100%, $E$9)</f>
        <v>23.684000000000001</v>
      </c>
      <c r="E801" s="10">
        <f>CHOOSE(CONTROL!$C$42, 23.7153, 23.7153) * CHOOSE(CONTROL!$C$21, $C$9, 100%, $E$9)</f>
        <v>23.715299999999999</v>
      </c>
      <c r="F801" s="10">
        <f>CHOOSE(CONTROL!$C$42, 23.4634, 23.4634)*CHOOSE(CONTROL!$C$21, $C$9, 100%, $E$9)</f>
        <v>23.4634</v>
      </c>
      <c r="G801" s="10">
        <f>CHOOSE(CONTROL!$C$42, 23.4796, 23.4796)*CHOOSE(CONTROL!$C$21, $C$9, 100%, $E$9)</f>
        <v>23.479600000000001</v>
      </c>
      <c r="H801" s="10">
        <f>CHOOSE(CONTROL!$C$42, 23.7036, 23.7036) * CHOOSE(CONTROL!$C$21, $C$9, 100%, $E$9)</f>
        <v>23.703600000000002</v>
      </c>
      <c r="I801" s="10">
        <f>CHOOSE(CONTROL!$C$42, 23.4978, 23.4978)* CHOOSE(CONTROL!$C$21, $C$9, 100%, $E$9)</f>
        <v>23.497800000000002</v>
      </c>
      <c r="J801" s="10">
        <f>CHOOSE(CONTROL!$C$42, 23.456, 23.456)* CHOOSE(CONTROL!$C$21, $C$9, 100%, $E$9)</f>
        <v>23.456</v>
      </c>
      <c r="K801" s="10">
        <f>CHOOSE(CONTROL!$C$42, 22.924, 22.924) * CHOOSE(CONTROL!$C$21, $C$9, 100%, $E$9)</f>
        <v>22.923999999999999</v>
      </c>
      <c r="L801" s="10">
        <f>CHOOSE(CONTROL!$C$42, 24.2906, 24.2906) * CHOOSE(CONTROL!$C$21, $C$9, 100%, $E$9)</f>
        <v>24.290600000000001</v>
      </c>
      <c r="M801" s="10">
        <f>CHOOSE(CONTROL!$C$42, 23.1618, 23.1618) * CHOOSE(CONTROL!$C$21, $C$9, 100%, $E$9)</f>
        <v>23.161799999999999</v>
      </c>
      <c r="N801" s="10">
        <f>CHOOSE(CONTROL!$C$42, 23.1777, 23.1777) * CHOOSE(CONTROL!$C$21, $C$9, 100%, $E$9)</f>
        <v>23.177700000000002</v>
      </c>
      <c r="O801" s="10">
        <f>CHOOSE(CONTROL!$C$42, 23.4059, 23.4059) * CHOOSE(CONTROL!$C$21, $C$9, 100%, $E$9)</f>
        <v>23.405899999999999</v>
      </c>
      <c r="P801" s="10">
        <f>CHOOSE(CONTROL!$C$42, 23.203, 23.203) * CHOOSE(CONTROL!$C$21, $C$9, 100%, $E$9)</f>
        <v>23.202999999999999</v>
      </c>
      <c r="Q801" s="10">
        <f>CHOOSE(CONTROL!$C$42, 24.0012, 24.0012) * CHOOSE(CONTROL!$C$21, $C$9, 100%, $E$9)</f>
        <v>24.001200000000001</v>
      </c>
      <c r="R801" s="10">
        <f>CHOOSE(CONTROL!$C$42, 24.6482, 24.6482) * CHOOSE(CONTROL!$C$21, $C$9, 100%, $E$9)</f>
        <v>24.648199999999999</v>
      </c>
      <c r="S801" s="10">
        <f>CHOOSE(CONTROL!$C$42, 22.788, 22.788) * CHOOSE(CONTROL!$C$21, $C$9, 100%, $E$9)</f>
        <v>22.788</v>
      </c>
      <c r="T80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01" s="38">
        <f>(1000*CHOOSE(CONTROL!$C$42, 695, 695)*CHOOSE(CONTROL!$C$42, 0.5599, 0.5599)*CHOOSE(CONTROL!$C$42, 30, 30))/1000000</f>
        <v>11.673914999999997</v>
      </c>
      <c r="V801" s="38">
        <f>(1000*CHOOSE(CONTROL!$C$42, 500, 500)*CHOOSE(CONTROL!$C$42, 0.275, 0.275)*CHOOSE(CONTROL!$C$42, 30, 30))/1000000</f>
        <v>4.125</v>
      </c>
      <c r="W801" s="38">
        <f>(1000*CHOOSE(CONTROL!$C$42, 0.1146, 0.1146)*CHOOSE(CONTROL!$C$42, 121.5, 121.5)*CHOOSE(CONTROL!$C$42, 30, 30))/1000000</f>
        <v>0.417717</v>
      </c>
      <c r="X801" s="38">
        <f>(30*0.1790888*245000/1000000)+(30*0.2374*100000/1000000)</f>
        <v>2.0285026799999999</v>
      </c>
      <c r="Y801" s="38">
        <f>(1000*600*CHOOSE(CONTROL!$C$42, 1.0585, 1.0585)*CHOOSE(CONTROL!$C$42, 30, 30))/1000000</f>
        <v>19.053000000000001</v>
      </c>
      <c r="Z801" s="38"/>
      <c r="AA801" s="10"/>
      <c r="AB801" s="39"/>
      <c r="AC801" s="33">
        <f>(B801*194.205+C801*267.466+D801*133.845+E801*53.484+F801*40+G801*185+H801*0+I801*100+J801*300)/(194.205+267.466+133.845+53.484+0+40+185+100+300)</f>
        <v>23.522288902825743</v>
      </c>
      <c r="AD801" s="27">
        <f>(M801*'RAP TEMPLATE-GAS AVAILABILITY'!O800+N801*'RAP TEMPLATE-GAS AVAILABILITY'!P800+O801*'RAP TEMPLATE-GAS AVAILABILITY'!Q800+P801*'RAP TEMPLATE-GAS AVAILABILITY'!R800)/('RAP TEMPLATE-GAS AVAILABILITY'!O800+'RAP TEMPLATE-GAS AVAILABILITY'!P800+'RAP TEMPLATE-GAS AVAILABILITY'!Q800+'RAP TEMPLATE-GAS AVAILABILITY'!R800)</f>
        <v>23.279278417266188</v>
      </c>
    </row>
    <row r="802" spans="1:30" ht="15.75">
      <c r="A802" s="13">
        <v>65684</v>
      </c>
      <c r="B802" s="10">
        <f>CHOOSE(CONTROL!$C$42, 23.039, 23.039) * CHOOSE(CONTROL!$C$21, $C$9, 100%, $E$9)</f>
        <v>23.039000000000001</v>
      </c>
      <c r="C802" s="10">
        <f>CHOOSE(CONTROL!$C$42, 23.0444, 23.0444) * CHOOSE(CONTROL!$C$21, $C$9, 100%, $E$9)</f>
        <v>23.0444</v>
      </c>
      <c r="D802" s="10">
        <f>CHOOSE(CONTROL!$C$42, 23.2063, 23.2063) * CHOOSE(CONTROL!$C$21, $C$9, 100%, $E$9)</f>
        <v>23.206299999999999</v>
      </c>
      <c r="E802" s="10">
        <f>CHOOSE(CONTROL!$C$42, 23.2352, 23.2352) * CHOOSE(CONTROL!$C$21, $C$9, 100%, $E$9)</f>
        <v>23.235199999999999</v>
      </c>
      <c r="F802" s="10">
        <f>CHOOSE(CONTROL!$C$42, 22.9854, 22.9854)*CHOOSE(CONTROL!$C$21, $C$9, 100%, $E$9)</f>
        <v>22.985399999999998</v>
      </c>
      <c r="G802" s="10">
        <f>CHOOSE(CONTROL!$C$42, 23.0012, 23.0012)*CHOOSE(CONTROL!$C$21, $C$9, 100%, $E$9)</f>
        <v>23.001200000000001</v>
      </c>
      <c r="H802" s="10">
        <f>CHOOSE(CONTROL!$C$42, 23.2253, 23.2253) * CHOOSE(CONTROL!$C$21, $C$9, 100%, $E$9)</f>
        <v>23.225300000000001</v>
      </c>
      <c r="I802" s="10">
        <f>CHOOSE(CONTROL!$C$42, 23.0195, 23.0195)* CHOOSE(CONTROL!$C$21, $C$9, 100%, $E$9)</f>
        <v>23.019500000000001</v>
      </c>
      <c r="J802" s="10">
        <f>CHOOSE(CONTROL!$C$42, 22.978, 22.978)* CHOOSE(CONTROL!$C$21, $C$9, 100%, $E$9)</f>
        <v>22.978000000000002</v>
      </c>
      <c r="K802" s="10">
        <f>CHOOSE(CONTROL!$C$42, 22.4613, 22.4613) * CHOOSE(CONTROL!$C$21, $C$9, 100%, $E$9)</f>
        <v>22.461300000000001</v>
      </c>
      <c r="L802" s="10">
        <f>CHOOSE(CONTROL!$C$42, 23.8123, 23.8123) * CHOOSE(CONTROL!$C$21, $C$9, 100%, $E$9)</f>
        <v>23.8123</v>
      </c>
      <c r="M802" s="10">
        <f>CHOOSE(CONTROL!$C$42, 22.6905, 22.6905) * CHOOSE(CONTROL!$C$21, $C$9, 100%, $E$9)</f>
        <v>22.6905</v>
      </c>
      <c r="N802" s="10">
        <f>CHOOSE(CONTROL!$C$42, 22.706, 22.706) * CHOOSE(CONTROL!$C$21, $C$9, 100%, $E$9)</f>
        <v>22.706</v>
      </c>
      <c r="O802" s="10">
        <f>CHOOSE(CONTROL!$C$42, 22.9343, 22.9343) * CHOOSE(CONTROL!$C$21, $C$9, 100%, $E$9)</f>
        <v>22.9343</v>
      </c>
      <c r="P802" s="10">
        <f>CHOOSE(CONTROL!$C$42, 22.7314, 22.7314) * CHOOSE(CONTROL!$C$21, $C$9, 100%, $E$9)</f>
        <v>22.731400000000001</v>
      </c>
      <c r="Q802" s="10">
        <f>CHOOSE(CONTROL!$C$42, 23.5296, 23.5296) * CHOOSE(CONTROL!$C$21, $C$9, 100%, $E$9)</f>
        <v>23.529599999999999</v>
      </c>
      <c r="R802" s="10">
        <f>CHOOSE(CONTROL!$C$42, 24.1755, 24.1755) * CHOOSE(CONTROL!$C$21, $C$9, 100%, $E$9)</f>
        <v>24.1755</v>
      </c>
      <c r="S802" s="10">
        <f>CHOOSE(CONTROL!$C$42, 22.3249, 22.3249) * CHOOSE(CONTROL!$C$21, $C$9, 100%, $E$9)</f>
        <v>22.3249</v>
      </c>
      <c r="T80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02" s="38">
        <f>(1000*CHOOSE(CONTROL!$C$42, 695, 695)*CHOOSE(CONTROL!$C$42, 0.5599, 0.5599)*CHOOSE(CONTROL!$C$42, 31, 31))/1000000</f>
        <v>12.063045499999998</v>
      </c>
      <c r="V802" s="38">
        <f>(1000*CHOOSE(CONTROL!$C$42, 500, 500)*CHOOSE(CONTROL!$C$42, 0.275, 0.275)*CHOOSE(CONTROL!$C$42, 31, 31))/1000000</f>
        <v>4.2625000000000002</v>
      </c>
      <c r="W802" s="38">
        <f>(1000*CHOOSE(CONTROL!$C$42, 0.1146, 0.1146)*CHOOSE(CONTROL!$C$42, 121.5, 121.5)*CHOOSE(CONTROL!$C$42, 31, 31))/1000000</f>
        <v>0.43164089999999994</v>
      </c>
      <c r="X802" s="38">
        <f>(31*0.1790888*245000/1000000)+(31*0.2374*100000/1000000)</f>
        <v>2.0961194359999999</v>
      </c>
      <c r="Y802" s="38">
        <f>(1000*600*CHOOSE(CONTROL!$C$42, 1.0585, 1.0585)*CHOOSE(CONTROL!$C$42, 31, 31))/1000000</f>
        <v>19.688099999999999</v>
      </c>
      <c r="Z802" s="38"/>
      <c r="AA802" s="10"/>
      <c r="AB802" s="39"/>
      <c r="AC802" s="33">
        <f>(B802*131.881+C802*277.167+D802*79.08+E802*125.872+F802*40+G802*185+H802*0+I802*100+J802*300)/(131.881+277.167+79.08+125.872+0+40+185+100+300)</f>
        <v>23.047099977562553</v>
      </c>
      <c r="AD802" s="27">
        <f>(M802*'RAP TEMPLATE-GAS AVAILABILITY'!O801+N802*'RAP TEMPLATE-GAS AVAILABILITY'!P801+O802*'RAP TEMPLATE-GAS AVAILABILITY'!Q801+P802*'RAP TEMPLATE-GAS AVAILABILITY'!R801)/('RAP TEMPLATE-GAS AVAILABILITY'!O801+'RAP TEMPLATE-GAS AVAILABILITY'!P801+'RAP TEMPLATE-GAS AVAILABILITY'!Q801+'RAP TEMPLATE-GAS AVAILABILITY'!R801)</f>
        <v>22.807776258992806</v>
      </c>
    </row>
    <row r="803" spans="1:30" ht="15.75">
      <c r="A803" s="13">
        <v>65714</v>
      </c>
      <c r="B803" s="10">
        <f>CHOOSE(CONTROL!$C$42, 23.646, 23.646) * CHOOSE(CONTROL!$C$21, $C$9, 100%, $E$9)</f>
        <v>23.646000000000001</v>
      </c>
      <c r="C803" s="10">
        <f>CHOOSE(CONTROL!$C$42, 23.6511, 23.6511) * CHOOSE(CONTROL!$C$21, $C$9, 100%, $E$9)</f>
        <v>23.6511</v>
      </c>
      <c r="D803" s="10">
        <f>CHOOSE(CONTROL!$C$42, 23.6758, 23.6758) * CHOOSE(CONTROL!$C$21, $C$9, 100%, $E$9)</f>
        <v>23.675799999999999</v>
      </c>
      <c r="E803" s="10">
        <f>CHOOSE(CONTROL!$C$42, 23.7096, 23.7096) * CHOOSE(CONTROL!$C$21, $C$9, 100%, $E$9)</f>
        <v>23.709599999999998</v>
      </c>
      <c r="F803" s="10">
        <f>CHOOSE(CONTROL!$C$42, 23.6143, 23.6143)*CHOOSE(CONTROL!$C$21, $C$9, 100%, $E$9)</f>
        <v>23.6143</v>
      </c>
      <c r="G803" s="10">
        <f>CHOOSE(CONTROL!$C$42, 23.6303, 23.6303)*CHOOSE(CONTROL!$C$21, $C$9, 100%, $E$9)</f>
        <v>23.630299999999998</v>
      </c>
      <c r="H803" s="10">
        <f>CHOOSE(CONTROL!$C$42, 23.6984, 23.6984) * CHOOSE(CONTROL!$C$21, $C$9, 100%, $E$9)</f>
        <v>23.698399999999999</v>
      </c>
      <c r="I803" s="10">
        <f>CHOOSE(CONTROL!$C$42, 23.661, 23.661)* CHOOSE(CONTROL!$C$21, $C$9, 100%, $E$9)</f>
        <v>23.661000000000001</v>
      </c>
      <c r="J803" s="10">
        <f>CHOOSE(CONTROL!$C$42, 23.6069, 23.6069)* CHOOSE(CONTROL!$C$21, $C$9, 100%, $E$9)</f>
        <v>23.6069</v>
      </c>
      <c r="K803" s="10">
        <f>CHOOSE(CONTROL!$C$42, 23.085, 23.085) * CHOOSE(CONTROL!$C$21, $C$9, 100%, $E$9)</f>
        <v>23.085000000000001</v>
      </c>
      <c r="L803" s="10">
        <f>CHOOSE(CONTROL!$C$42, 24.2854, 24.2854) * CHOOSE(CONTROL!$C$21, $C$9, 100%, $E$9)</f>
        <v>24.285399999999999</v>
      </c>
      <c r="M803" s="10">
        <f>CHOOSE(CONTROL!$C$42, 23.3106, 23.3106) * CHOOSE(CONTROL!$C$21, $C$9, 100%, $E$9)</f>
        <v>23.310600000000001</v>
      </c>
      <c r="N803" s="10">
        <f>CHOOSE(CONTROL!$C$42, 23.3264, 23.3264) * CHOOSE(CONTROL!$C$21, $C$9, 100%, $E$9)</f>
        <v>23.3264</v>
      </c>
      <c r="O803" s="10">
        <f>CHOOSE(CONTROL!$C$42, 23.4009, 23.4009) * CHOOSE(CONTROL!$C$21, $C$9, 100%, $E$9)</f>
        <v>23.4009</v>
      </c>
      <c r="P803" s="10">
        <f>CHOOSE(CONTROL!$C$42, 23.364, 23.364) * CHOOSE(CONTROL!$C$21, $C$9, 100%, $E$9)</f>
        <v>23.364000000000001</v>
      </c>
      <c r="Q803" s="10">
        <f>CHOOSE(CONTROL!$C$42, 23.9962, 23.9962) * CHOOSE(CONTROL!$C$21, $C$9, 100%, $E$9)</f>
        <v>23.996200000000002</v>
      </c>
      <c r="R803" s="10">
        <f>CHOOSE(CONTROL!$C$42, 24.6431, 24.6431) * CHOOSE(CONTROL!$C$21, $C$9, 100%, $E$9)</f>
        <v>24.6431</v>
      </c>
      <c r="S803" s="10">
        <f>CHOOSE(CONTROL!$C$42, 22.9131, 22.9131) * CHOOSE(CONTROL!$C$21, $C$9, 100%, $E$9)</f>
        <v>22.9131</v>
      </c>
      <c r="T80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03" s="38">
        <f>(1000*CHOOSE(CONTROL!$C$42, 695, 695)*CHOOSE(CONTROL!$C$42, 0.5599, 0.5599)*CHOOSE(CONTROL!$C$42, 30, 30))/1000000</f>
        <v>11.673914999999997</v>
      </c>
      <c r="V803" s="38">
        <f>(1000*CHOOSE(CONTROL!$C$42, 500, 500)*CHOOSE(CONTROL!$C$42, 0.275, 0.275)*CHOOSE(CONTROL!$C$42, 30, 30))/1000000</f>
        <v>4.125</v>
      </c>
      <c r="W803" s="38">
        <f>(1000*CHOOSE(CONTROL!$C$42, 0.1146, 0.1146)*CHOOSE(CONTROL!$C$42, 121.5, 121.5)*CHOOSE(CONTROL!$C$42, 30, 30))/1000000</f>
        <v>0.417717</v>
      </c>
      <c r="X803" s="38">
        <f>(30*0.1790888*100000/1000000)+(30*0.2374*100000/1000000)</f>
        <v>1.2494664</v>
      </c>
      <c r="Y803" s="38">
        <f>(1000*600*CHOOSE(CONTROL!$C$42, 1.0585, 1.0585)*CHOOSE(CONTROL!$C$42, 30, 30))/1000000</f>
        <v>19.053000000000001</v>
      </c>
      <c r="Z803" s="38"/>
      <c r="AA803" s="10"/>
      <c r="AB803" s="39"/>
      <c r="AC803" s="33">
        <f>(B803*122.58+C803*297.941+D803*89.177+E803*40.302+F803*40+G803*160+H803*0+I803*100+J803*300)/(122.58+297.941+89.177+40.302+0+40+160+100+300)</f>
        <v>23.639678418173911</v>
      </c>
      <c r="AD803" s="27">
        <f>(M803*'RAP TEMPLATE-GAS AVAILABILITY'!O802+N803*'RAP TEMPLATE-GAS AVAILABILITY'!P802+O803*'RAP TEMPLATE-GAS AVAILABILITY'!Q802+P803*'RAP TEMPLATE-GAS AVAILABILITY'!R802)/('RAP TEMPLATE-GAS AVAILABILITY'!O802+'RAP TEMPLATE-GAS AVAILABILITY'!P802+'RAP TEMPLATE-GAS AVAILABILITY'!Q802+'RAP TEMPLATE-GAS AVAILABILITY'!R802)</f>
        <v>23.360120143884892</v>
      </c>
    </row>
    <row r="804" spans="1:30" ht="15.75">
      <c r="A804" s="13">
        <v>65745</v>
      </c>
      <c r="B804" s="10">
        <f>CHOOSE(CONTROL!$C$42, 25.2593, 25.2593) * CHOOSE(CONTROL!$C$21, $C$9, 100%, $E$9)</f>
        <v>25.2593</v>
      </c>
      <c r="C804" s="10">
        <f>CHOOSE(CONTROL!$C$42, 25.2644, 25.2644) * CHOOSE(CONTROL!$C$21, $C$9, 100%, $E$9)</f>
        <v>25.264399999999998</v>
      </c>
      <c r="D804" s="10">
        <f>CHOOSE(CONTROL!$C$42, 25.289, 25.289) * CHOOSE(CONTROL!$C$21, $C$9, 100%, $E$9)</f>
        <v>25.289000000000001</v>
      </c>
      <c r="E804" s="10">
        <f>CHOOSE(CONTROL!$C$42, 25.3228, 25.3228) * CHOOSE(CONTROL!$C$21, $C$9, 100%, $E$9)</f>
        <v>25.322800000000001</v>
      </c>
      <c r="F804" s="10">
        <f>CHOOSE(CONTROL!$C$42, 25.2295, 25.2295)*CHOOSE(CONTROL!$C$21, $C$9, 100%, $E$9)</f>
        <v>25.229500000000002</v>
      </c>
      <c r="G804" s="10">
        <f>CHOOSE(CONTROL!$C$42, 25.246, 25.246)*CHOOSE(CONTROL!$C$21, $C$9, 100%, $E$9)</f>
        <v>25.245999999999999</v>
      </c>
      <c r="H804" s="10">
        <f>CHOOSE(CONTROL!$C$42, 25.3117, 25.3117) * CHOOSE(CONTROL!$C$21, $C$9, 100%, $E$9)</f>
        <v>25.311699999999998</v>
      </c>
      <c r="I804" s="10">
        <f>CHOOSE(CONTROL!$C$42, 25.2742, 25.2742)* CHOOSE(CONTROL!$C$21, $C$9, 100%, $E$9)</f>
        <v>25.2742</v>
      </c>
      <c r="J804" s="10">
        <f>CHOOSE(CONTROL!$C$42, 25.2221, 25.2221)* CHOOSE(CONTROL!$C$21, $C$9, 100%, $E$9)</f>
        <v>25.222100000000001</v>
      </c>
      <c r="K804" s="10">
        <f>CHOOSE(CONTROL!$C$42, 24.652, 24.652) * CHOOSE(CONTROL!$C$21, $C$9, 100%, $E$9)</f>
        <v>24.652000000000001</v>
      </c>
      <c r="L804" s="10">
        <f>CHOOSE(CONTROL!$C$42, 25.8987, 25.8987) * CHOOSE(CONTROL!$C$21, $C$9, 100%, $E$9)</f>
        <v>25.898700000000002</v>
      </c>
      <c r="M804" s="10">
        <f>CHOOSE(CONTROL!$C$42, 24.9033, 24.9033) * CHOOSE(CONTROL!$C$21, $C$9, 100%, $E$9)</f>
        <v>24.903300000000002</v>
      </c>
      <c r="N804" s="10">
        <f>CHOOSE(CONTROL!$C$42, 24.9195, 24.9195) * CHOOSE(CONTROL!$C$21, $C$9, 100%, $E$9)</f>
        <v>24.919499999999999</v>
      </c>
      <c r="O804" s="10">
        <f>CHOOSE(CONTROL!$C$42, 24.9916, 24.9916) * CHOOSE(CONTROL!$C$21, $C$9, 100%, $E$9)</f>
        <v>24.991599999999998</v>
      </c>
      <c r="P804" s="10">
        <f>CHOOSE(CONTROL!$C$42, 24.9547, 24.9547) * CHOOSE(CONTROL!$C$21, $C$9, 100%, $E$9)</f>
        <v>24.954699999999999</v>
      </c>
      <c r="Q804" s="10">
        <f>CHOOSE(CONTROL!$C$42, 25.5869, 25.5869) * CHOOSE(CONTROL!$C$21, $C$9, 100%, $E$9)</f>
        <v>25.5869</v>
      </c>
      <c r="R804" s="10">
        <f>CHOOSE(CONTROL!$C$42, 26.2379, 26.2379) * CHOOSE(CONTROL!$C$21, $C$9, 100%, $E$9)</f>
        <v>26.2379</v>
      </c>
      <c r="S804" s="10">
        <f>CHOOSE(CONTROL!$C$42, 24.4752, 24.4752) * CHOOSE(CONTROL!$C$21, $C$9, 100%, $E$9)</f>
        <v>24.475200000000001</v>
      </c>
      <c r="T80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04" s="38">
        <f>(1000*CHOOSE(CONTROL!$C$42, 695, 695)*CHOOSE(CONTROL!$C$42, 0.5599, 0.5599)*CHOOSE(CONTROL!$C$42, 31, 31))/1000000</f>
        <v>12.063045499999998</v>
      </c>
      <c r="V804" s="38">
        <f>(1000*CHOOSE(CONTROL!$C$42, 500, 500)*CHOOSE(CONTROL!$C$42, 0.275, 0.275)*CHOOSE(CONTROL!$C$42, 31, 31))/1000000</f>
        <v>4.2625000000000002</v>
      </c>
      <c r="W804" s="38">
        <f>(1000*CHOOSE(CONTROL!$C$42, 0.1146, 0.1146)*CHOOSE(CONTROL!$C$42, 121.5, 121.5)*CHOOSE(CONTROL!$C$42, 31, 31))/1000000</f>
        <v>0.43164089999999994</v>
      </c>
      <c r="X804" s="38">
        <f>(31*0.1790888*100000/1000000)+(31*0.2374*100000/1000000)</f>
        <v>1.2911152800000001</v>
      </c>
      <c r="Y804" s="38">
        <f>(1000*600*CHOOSE(CONTROL!$C$42, 1.0585, 1.0585)*CHOOSE(CONTROL!$C$42, 31, 31))/1000000</f>
        <v>19.688099999999999</v>
      </c>
      <c r="Z804" s="38"/>
      <c r="AA804" s="10"/>
      <c r="AB804" s="39"/>
      <c r="AC804" s="33">
        <f>(B804*122.58+C804*297.941+D804*89.177+E804*40.302+F804*40+G804*160+H804*0+I804*100+J804*300)/(122.58+297.941+89.177+40.302+0+40+160+100+300)</f>
        <v>25.253854115652178</v>
      </c>
      <c r="AD804" s="27">
        <f>(M804*'RAP TEMPLATE-GAS AVAILABILITY'!O803+N804*'RAP TEMPLATE-GAS AVAILABILITY'!P803+O804*'RAP TEMPLATE-GAS AVAILABILITY'!Q803+P804*'RAP TEMPLATE-GAS AVAILABILITY'!R803)/('RAP TEMPLATE-GAS AVAILABILITY'!O803+'RAP TEMPLATE-GAS AVAILABILITY'!P803+'RAP TEMPLATE-GAS AVAILABILITY'!Q803+'RAP TEMPLATE-GAS AVAILABILITY'!R803)</f>
        <v>24.95164892086331</v>
      </c>
    </row>
    <row r="805" spans="1:30" ht="15.75">
      <c r="A805" s="13">
        <v>65776</v>
      </c>
      <c r="B805" s="10">
        <f>CHOOSE(CONTROL!$C$42, 26.9652, 26.9652) * CHOOSE(CONTROL!$C$21, $C$9, 100%, $E$9)</f>
        <v>26.965199999999999</v>
      </c>
      <c r="C805" s="10">
        <f>CHOOSE(CONTROL!$C$42, 26.9703, 26.9703) * CHOOSE(CONTROL!$C$21, $C$9, 100%, $E$9)</f>
        <v>26.970300000000002</v>
      </c>
      <c r="D805" s="10">
        <f>CHOOSE(CONTROL!$C$42, 27.0027, 27.0027) * CHOOSE(CONTROL!$C$21, $C$9, 100%, $E$9)</f>
        <v>27.002700000000001</v>
      </c>
      <c r="E805" s="10">
        <f>CHOOSE(CONTROL!$C$42, 27.0365, 27.0365) * CHOOSE(CONTROL!$C$21, $C$9, 100%, $E$9)</f>
        <v>27.0365</v>
      </c>
      <c r="F805" s="10">
        <f>CHOOSE(CONTROL!$C$42, 26.9494, 26.9494)*CHOOSE(CONTROL!$C$21, $C$9, 100%, $E$9)</f>
        <v>26.949400000000001</v>
      </c>
      <c r="G805" s="10">
        <f>CHOOSE(CONTROL!$C$42, 26.9674, 26.9674)*CHOOSE(CONTROL!$C$21, $C$9, 100%, $E$9)</f>
        <v>26.967400000000001</v>
      </c>
      <c r="H805" s="10">
        <f>CHOOSE(CONTROL!$C$42, 27.0254, 27.0254) * CHOOSE(CONTROL!$C$21, $C$9, 100%, $E$9)</f>
        <v>27.025400000000001</v>
      </c>
      <c r="I805" s="10">
        <f>CHOOSE(CONTROL!$C$42, 26.9787, 26.9787)* CHOOSE(CONTROL!$C$21, $C$9, 100%, $E$9)</f>
        <v>26.9787</v>
      </c>
      <c r="J805" s="10">
        <f>CHOOSE(CONTROL!$C$42, 26.942, 26.942)* CHOOSE(CONTROL!$C$21, $C$9, 100%, $E$9)</f>
        <v>26.942</v>
      </c>
      <c r="K805" s="10">
        <f>CHOOSE(CONTROL!$C$42, 26.3171, 26.3171) * CHOOSE(CONTROL!$C$21, $C$9, 100%, $E$9)</f>
        <v>26.3171</v>
      </c>
      <c r="L805" s="10">
        <f>CHOOSE(CONTROL!$C$42, 27.6124, 27.6124) * CHOOSE(CONTROL!$C$21, $C$9, 100%, $E$9)</f>
        <v>27.612400000000001</v>
      </c>
      <c r="M805" s="10">
        <f>CHOOSE(CONTROL!$C$42, 26.5992, 26.5992) * CHOOSE(CONTROL!$C$21, $C$9, 100%, $E$9)</f>
        <v>26.5992</v>
      </c>
      <c r="N805" s="10">
        <f>CHOOSE(CONTROL!$C$42, 26.6169, 26.6169) * CHOOSE(CONTROL!$C$21, $C$9, 100%, $E$9)</f>
        <v>26.616900000000001</v>
      </c>
      <c r="O805" s="10">
        <f>CHOOSE(CONTROL!$C$42, 26.6814, 26.6814) * CHOOSE(CONTROL!$C$21, $C$9, 100%, $E$9)</f>
        <v>26.6814</v>
      </c>
      <c r="P805" s="10">
        <f>CHOOSE(CONTROL!$C$42, 26.6353, 26.6353) * CHOOSE(CONTROL!$C$21, $C$9, 100%, $E$9)</f>
        <v>26.635300000000001</v>
      </c>
      <c r="Q805" s="10">
        <f>CHOOSE(CONTROL!$C$42, 27.2767, 27.2767) * CHOOSE(CONTROL!$C$21, $C$9, 100%, $E$9)</f>
        <v>27.276700000000002</v>
      </c>
      <c r="R805" s="10">
        <f>CHOOSE(CONTROL!$C$42, 27.9319, 27.9319) * CHOOSE(CONTROL!$C$21, $C$9, 100%, $E$9)</f>
        <v>27.931899999999999</v>
      </c>
      <c r="S805" s="10">
        <f>CHOOSE(CONTROL!$C$42, 26.1271, 26.1271) * CHOOSE(CONTROL!$C$21, $C$9, 100%, $E$9)</f>
        <v>26.127099999999999</v>
      </c>
      <c r="T80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05" s="38">
        <f>(1000*CHOOSE(CONTROL!$C$42, 695, 695)*CHOOSE(CONTROL!$C$42, 0.5599, 0.5599)*CHOOSE(CONTROL!$C$42, 31, 31))/1000000</f>
        <v>12.063045499999998</v>
      </c>
      <c r="V805" s="38">
        <f>(1000*CHOOSE(CONTROL!$C$42, 500, 500)*CHOOSE(CONTROL!$C$42, 0.275, 0.275)*CHOOSE(CONTROL!$C$42, 31, 31))/1000000</f>
        <v>4.2625000000000002</v>
      </c>
      <c r="W805" s="38">
        <f>(1000*CHOOSE(CONTROL!$C$42, 0.1146, 0.1146)*CHOOSE(CONTROL!$C$42, 121.5, 121.5)*CHOOSE(CONTROL!$C$42, 31, 31))/1000000</f>
        <v>0.43164089999999994</v>
      </c>
      <c r="X805" s="38">
        <f>(31*0.1790888*100000/1000000)+(31*0.2374*100000/1000000)</f>
        <v>1.2911152800000001</v>
      </c>
      <c r="Y805" s="38">
        <f>(1000*600*CHOOSE(CONTROL!$C$42, 1.0585, 1.0585)*CHOOSE(CONTROL!$C$42, 31, 31))/1000000</f>
        <v>19.688099999999999</v>
      </c>
      <c r="Z805" s="38"/>
      <c r="AA805" s="10"/>
      <c r="AB805" s="39"/>
      <c r="AC805" s="33">
        <f>(B805*122.58+C805*297.941+D805*89.177+E805*40.302+F805*40+G805*160+H805*0+I805*100+J805*300)/(122.58+297.941+89.177+40.302+0+40+160+100+300)</f>
        <v>26.96680623408696</v>
      </c>
      <c r="AD805" s="27">
        <f>(M805*'RAP TEMPLATE-GAS AVAILABILITY'!O804+N805*'RAP TEMPLATE-GAS AVAILABILITY'!P804+O805*'RAP TEMPLATE-GAS AVAILABILITY'!Q804+P805*'RAP TEMPLATE-GAS AVAILABILITY'!R804)/('RAP TEMPLATE-GAS AVAILABILITY'!O804+'RAP TEMPLATE-GAS AVAILABILITY'!P804+'RAP TEMPLATE-GAS AVAILABILITY'!Q804+'RAP TEMPLATE-GAS AVAILABILITY'!R804)</f>
        <v>26.642669064748201</v>
      </c>
    </row>
    <row r="806" spans="1:30" ht="15.75">
      <c r="A806" s="13">
        <v>65805</v>
      </c>
      <c r="B806" s="10">
        <f>CHOOSE(CONTROL!$C$42, 27.4455, 27.4455) * CHOOSE(CONTROL!$C$21, $C$9, 100%, $E$9)</f>
        <v>27.445499999999999</v>
      </c>
      <c r="C806" s="10">
        <f>CHOOSE(CONTROL!$C$42, 27.4506, 27.4506) * CHOOSE(CONTROL!$C$21, $C$9, 100%, $E$9)</f>
        <v>27.450600000000001</v>
      </c>
      <c r="D806" s="10">
        <f>CHOOSE(CONTROL!$C$42, 27.4831, 27.4831) * CHOOSE(CONTROL!$C$21, $C$9, 100%, $E$9)</f>
        <v>27.4831</v>
      </c>
      <c r="E806" s="10">
        <f>CHOOSE(CONTROL!$C$42, 27.5169, 27.5169) * CHOOSE(CONTROL!$C$21, $C$9, 100%, $E$9)</f>
        <v>27.5169</v>
      </c>
      <c r="F806" s="10">
        <f>CHOOSE(CONTROL!$C$42, 27.4293, 27.4293)*CHOOSE(CONTROL!$C$21, $C$9, 100%, $E$9)</f>
        <v>27.429300000000001</v>
      </c>
      <c r="G806" s="10">
        <f>CHOOSE(CONTROL!$C$42, 27.4472, 27.4472)*CHOOSE(CONTROL!$C$21, $C$9, 100%, $E$9)</f>
        <v>27.447199999999999</v>
      </c>
      <c r="H806" s="10">
        <f>CHOOSE(CONTROL!$C$42, 27.5057, 27.5057) * CHOOSE(CONTROL!$C$21, $C$9, 100%, $E$9)</f>
        <v>27.505700000000001</v>
      </c>
      <c r="I806" s="10">
        <f>CHOOSE(CONTROL!$C$42, 27.459, 27.459)* CHOOSE(CONTROL!$C$21, $C$9, 100%, $E$9)</f>
        <v>27.459</v>
      </c>
      <c r="J806" s="10">
        <f>CHOOSE(CONTROL!$C$42, 27.4219, 27.4219)* CHOOSE(CONTROL!$C$21, $C$9, 100%, $E$9)</f>
        <v>27.421900000000001</v>
      </c>
      <c r="K806" s="10">
        <f>CHOOSE(CONTROL!$C$42, 26.7815, 26.7815) * CHOOSE(CONTROL!$C$21, $C$9, 100%, $E$9)</f>
        <v>26.781500000000001</v>
      </c>
      <c r="L806" s="10">
        <f>CHOOSE(CONTROL!$C$42, 28.0927, 28.0927) * CHOOSE(CONTROL!$C$21, $C$9, 100%, $E$9)</f>
        <v>28.092700000000001</v>
      </c>
      <c r="M806" s="10">
        <f>CHOOSE(CONTROL!$C$42, 27.0723, 27.0723) * CHOOSE(CONTROL!$C$21, $C$9, 100%, $E$9)</f>
        <v>27.072299999999998</v>
      </c>
      <c r="N806" s="10">
        <f>CHOOSE(CONTROL!$C$42, 27.09, 27.09) * CHOOSE(CONTROL!$C$21, $C$9, 100%, $E$9)</f>
        <v>27.09</v>
      </c>
      <c r="O806" s="10">
        <f>CHOOSE(CONTROL!$C$42, 27.155, 27.155) * CHOOSE(CONTROL!$C$21, $C$9, 100%, $E$9)</f>
        <v>27.155000000000001</v>
      </c>
      <c r="P806" s="10">
        <f>CHOOSE(CONTROL!$C$42, 27.109, 27.109) * CHOOSE(CONTROL!$C$21, $C$9, 100%, $E$9)</f>
        <v>27.109000000000002</v>
      </c>
      <c r="Q806" s="10">
        <f>CHOOSE(CONTROL!$C$42, 27.7503, 27.7503) * CHOOSE(CONTROL!$C$21, $C$9, 100%, $E$9)</f>
        <v>27.750299999999999</v>
      </c>
      <c r="R806" s="10">
        <f>CHOOSE(CONTROL!$C$42, 28.4067, 28.4067) * CHOOSE(CONTROL!$C$21, $C$9, 100%, $E$9)</f>
        <v>28.406700000000001</v>
      </c>
      <c r="S806" s="10">
        <f>CHOOSE(CONTROL!$C$42, 26.5922, 26.5922) * CHOOSE(CONTROL!$C$21, $C$9, 100%, $E$9)</f>
        <v>26.592199999999998</v>
      </c>
      <c r="T806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806" s="38">
        <f>(1000*CHOOSE(CONTROL!$C$42, 695, 695)*CHOOSE(CONTROL!$C$42, 0.5599, 0.5599)*CHOOSE(CONTROL!$C$42, 29, 29))/1000000</f>
        <v>11.284784499999999</v>
      </c>
      <c r="V806" s="38">
        <f>(1000*CHOOSE(CONTROL!$C$42, 500, 500)*CHOOSE(CONTROL!$C$42, 0.275, 0.275)*CHOOSE(CONTROL!$C$42, 29, 29))/1000000</f>
        <v>3.9874999999999998</v>
      </c>
      <c r="W806" s="38">
        <f>(1000*CHOOSE(CONTROL!$C$42, 0.1146, 0.1146)*CHOOSE(CONTROL!$C$42, 121.5, 121.5)*CHOOSE(CONTROL!$C$42, 29, 29))/1000000</f>
        <v>0.40379309999999996</v>
      </c>
      <c r="X806" s="38">
        <f>(29*0.1790888*100000/1000000)+(29*0.2374*100000/1000000)</f>
        <v>1.2078175199999999</v>
      </c>
      <c r="Y806" s="38">
        <f>(1000*600*CHOOSE(CONTROL!$C$42, 1.0585, 1.0585)*CHOOSE(CONTROL!$C$42, 29, 29))/1000000</f>
        <v>18.417899999999999</v>
      </c>
      <c r="Z806" s="38"/>
      <c r="AA806" s="10"/>
      <c r="AB806" s="39"/>
      <c r="AC806" s="33">
        <f>(B806*122.58+C806*297.941+D806*89.177+E806*40.302+F806*40+G806*160+H806*0+I806*100+J806*300)/(122.58+297.941+89.177+40.302+0+40+160+100+300)</f>
        <v>27.446929667043481</v>
      </c>
      <c r="AD806" s="27">
        <f>(M806*'RAP TEMPLATE-GAS AVAILABILITY'!O805+N806*'RAP TEMPLATE-GAS AVAILABILITY'!P805+O806*'RAP TEMPLATE-GAS AVAILABILITY'!Q805+P806*'RAP TEMPLATE-GAS AVAILABILITY'!R805)/('RAP TEMPLATE-GAS AVAILABILITY'!O805+'RAP TEMPLATE-GAS AVAILABILITY'!P805+'RAP TEMPLATE-GAS AVAILABILITY'!Q805+'RAP TEMPLATE-GAS AVAILABILITY'!R805)</f>
        <v>27.116082014388489</v>
      </c>
    </row>
    <row r="807" spans="1:30" ht="15.75">
      <c r="A807" s="13">
        <v>65836</v>
      </c>
      <c r="B807" s="10">
        <f>CHOOSE(CONTROL!$C$42, 26.6659, 26.6659) * CHOOSE(CONTROL!$C$21, $C$9, 100%, $E$9)</f>
        <v>26.665900000000001</v>
      </c>
      <c r="C807" s="10">
        <f>CHOOSE(CONTROL!$C$42, 26.671, 26.671) * CHOOSE(CONTROL!$C$21, $C$9, 100%, $E$9)</f>
        <v>26.670999999999999</v>
      </c>
      <c r="D807" s="10">
        <f>CHOOSE(CONTROL!$C$42, 26.7034, 26.7034) * CHOOSE(CONTROL!$C$21, $C$9, 100%, $E$9)</f>
        <v>26.703399999999998</v>
      </c>
      <c r="E807" s="10">
        <f>CHOOSE(CONTROL!$C$42, 26.7372, 26.7372) * CHOOSE(CONTROL!$C$21, $C$9, 100%, $E$9)</f>
        <v>26.737200000000001</v>
      </c>
      <c r="F807" s="10">
        <f>CHOOSE(CONTROL!$C$42, 26.6481, 26.6481)*CHOOSE(CONTROL!$C$21, $C$9, 100%, $E$9)</f>
        <v>26.648099999999999</v>
      </c>
      <c r="G807" s="10">
        <f>CHOOSE(CONTROL!$C$42, 26.6657, 26.6657)*CHOOSE(CONTROL!$C$21, $C$9, 100%, $E$9)</f>
        <v>26.665700000000001</v>
      </c>
      <c r="H807" s="10">
        <f>CHOOSE(CONTROL!$C$42, 26.7261, 26.7261) * CHOOSE(CONTROL!$C$21, $C$9, 100%, $E$9)</f>
        <v>26.726099999999999</v>
      </c>
      <c r="I807" s="10">
        <f>CHOOSE(CONTROL!$C$42, 26.6793, 26.6793)* CHOOSE(CONTROL!$C$21, $C$9, 100%, $E$9)</f>
        <v>26.679300000000001</v>
      </c>
      <c r="J807" s="10">
        <f>CHOOSE(CONTROL!$C$42, 26.6407, 26.6407)* CHOOSE(CONTROL!$C$21, $C$9, 100%, $E$9)</f>
        <v>26.640699999999999</v>
      </c>
      <c r="K807" s="10">
        <f>CHOOSE(CONTROL!$C$42, 26.023, 26.023) * CHOOSE(CONTROL!$C$21, $C$9, 100%, $E$9)</f>
        <v>26.023</v>
      </c>
      <c r="L807" s="10">
        <f>CHOOSE(CONTROL!$C$42, 27.3131, 27.3131) * CHOOSE(CONTROL!$C$21, $C$9, 100%, $E$9)</f>
        <v>27.313099999999999</v>
      </c>
      <c r="M807" s="10">
        <f>CHOOSE(CONTROL!$C$42, 26.3021, 26.3021) * CHOOSE(CONTROL!$C$21, $C$9, 100%, $E$9)</f>
        <v>26.302099999999999</v>
      </c>
      <c r="N807" s="10">
        <f>CHOOSE(CONTROL!$C$42, 26.3194, 26.3194) * CHOOSE(CONTROL!$C$21, $C$9, 100%, $E$9)</f>
        <v>26.319400000000002</v>
      </c>
      <c r="O807" s="10">
        <f>CHOOSE(CONTROL!$C$42, 26.3862, 26.3862) * CHOOSE(CONTROL!$C$21, $C$9, 100%, $E$9)</f>
        <v>26.386199999999999</v>
      </c>
      <c r="P807" s="10">
        <f>CHOOSE(CONTROL!$C$42, 26.3402, 26.3402) * CHOOSE(CONTROL!$C$21, $C$9, 100%, $E$9)</f>
        <v>26.340199999999999</v>
      </c>
      <c r="Q807" s="10">
        <f>CHOOSE(CONTROL!$C$42, 26.9815, 26.9815) * CHOOSE(CONTROL!$C$21, $C$9, 100%, $E$9)</f>
        <v>26.9815</v>
      </c>
      <c r="R807" s="10">
        <f>CHOOSE(CONTROL!$C$42, 27.636, 27.636) * CHOOSE(CONTROL!$C$21, $C$9, 100%, $E$9)</f>
        <v>27.635999999999999</v>
      </c>
      <c r="S807" s="10">
        <f>CHOOSE(CONTROL!$C$42, 25.8372, 25.8372) * CHOOSE(CONTROL!$C$21, $C$9, 100%, $E$9)</f>
        <v>25.837199999999999</v>
      </c>
      <c r="T80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07" s="38">
        <f>(1000*CHOOSE(CONTROL!$C$42, 695, 695)*CHOOSE(CONTROL!$C$42, 0.5599, 0.5599)*CHOOSE(CONTROL!$C$42, 31, 31))/1000000</f>
        <v>12.063045499999998</v>
      </c>
      <c r="V807" s="38">
        <f>(1000*CHOOSE(CONTROL!$C$42, 500, 500)*CHOOSE(CONTROL!$C$42, 0.275, 0.275)*CHOOSE(CONTROL!$C$42, 31, 31))/1000000</f>
        <v>4.2625000000000002</v>
      </c>
      <c r="W807" s="38">
        <f>(1000*CHOOSE(CONTROL!$C$42, 0.1146, 0.1146)*CHOOSE(CONTROL!$C$42, 121.5, 121.5)*CHOOSE(CONTROL!$C$42, 31, 31))/1000000</f>
        <v>0.43164089999999994</v>
      </c>
      <c r="X807" s="38">
        <f>(31*0.1790888*100000/1000000)+(31*0.2374*100000/1000000)</f>
        <v>1.2911152800000001</v>
      </c>
      <c r="Y807" s="38">
        <f>(1000*600*CHOOSE(CONTROL!$C$42, 1.0585, 1.0585)*CHOOSE(CONTROL!$C$42, 31, 31))/1000000</f>
        <v>19.688099999999999</v>
      </c>
      <c r="Z807" s="38"/>
      <c r="AA807" s="10"/>
      <c r="AB807" s="39"/>
      <c r="AC807" s="33">
        <f>(B807*122.58+C807*297.941+D807*89.177+E807*40.302+F807*40+G807*160+H807*0+I807*100+J807*300)/(122.58+297.941+89.177+40.302+0+40+160+100+300)</f>
        <v>26.666572321043475</v>
      </c>
      <c r="AD807" s="27">
        <f>(M807*'RAP TEMPLATE-GAS AVAILABILITY'!O806+N807*'RAP TEMPLATE-GAS AVAILABILITY'!P806+O807*'RAP TEMPLATE-GAS AVAILABILITY'!Q806+P807*'RAP TEMPLATE-GAS AVAILABILITY'!R806)/('RAP TEMPLATE-GAS AVAILABILITY'!O806+'RAP TEMPLATE-GAS AVAILABILITY'!P806+'RAP TEMPLATE-GAS AVAILABILITY'!Q806+'RAP TEMPLATE-GAS AVAILABILITY'!R806)</f>
        <v>26.346694964028778</v>
      </c>
    </row>
    <row r="808" spans="1:30" ht="15.75">
      <c r="A808" s="13">
        <v>65866</v>
      </c>
      <c r="B808" s="10">
        <f>CHOOSE(CONTROL!$C$42, 26.5867, 26.5867) * CHOOSE(CONTROL!$C$21, $C$9, 100%, $E$9)</f>
        <v>26.5867</v>
      </c>
      <c r="C808" s="10">
        <f>CHOOSE(CONTROL!$C$42, 26.5913, 26.5913) * CHOOSE(CONTROL!$C$21, $C$9, 100%, $E$9)</f>
        <v>26.5913</v>
      </c>
      <c r="D808" s="10">
        <f>CHOOSE(CONTROL!$C$42, 26.7514, 26.7514) * CHOOSE(CONTROL!$C$21, $C$9, 100%, $E$9)</f>
        <v>26.7514</v>
      </c>
      <c r="E808" s="10">
        <f>CHOOSE(CONTROL!$C$42, 26.7832, 26.7832) * CHOOSE(CONTROL!$C$21, $C$9, 100%, $E$9)</f>
        <v>26.783200000000001</v>
      </c>
      <c r="F808" s="10">
        <f>CHOOSE(CONTROL!$C$42, 26.5328, 26.5328)*CHOOSE(CONTROL!$C$21, $C$9, 100%, $E$9)</f>
        <v>26.532800000000002</v>
      </c>
      <c r="G808" s="10">
        <f>CHOOSE(CONTROL!$C$42, 26.5487, 26.5487)*CHOOSE(CONTROL!$C$21, $C$9, 100%, $E$9)</f>
        <v>26.5487</v>
      </c>
      <c r="H808" s="10">
        <f>CHOOSE(CONTROL!$C$42, 26.7727, 26.7727) * CHOOSE(CONTROL!$C$21, $C$9, 100%, $E$9)</f>
        <v>26.7727</v>
      </c>
      <c r="I808" s="10">
        <f>CHOOSE(CONTROL!$C$42, 26.5669, 26.5669)* CHOOSE(CONTROL!$C$21, $C$9, 100%, $E$9)</f>
        <v>26.5669</v>
      </c>
      <c r="J808" s="10">
        <f>CHOOSE(CONTROL!$C$42, 26.5254, 26.5254)* CHOOSE(CONTROL!$C$21, $C$9, 100%, $E$9)</f>
        <v>26.525400000000001</v>
      </c>
      <c r="K808" s="10">
        <f>CHOOSE(CONTROL!$C$42, 25.8981, 25.8981) * CHOOSE(CONTROL!$C$21, $C$9, 100%, $E$9)</f>
        <v>25.898099999999999</v>
      </c>
      <c r="L808" s="10">
        <f>CHOOSE(CONTROL!$C$42, 27.3597, 27.3597) * CHOOSE(CONTROL!$C$21, $C$9, 100%, $E$9)</f>
        <v>27.3597</v>
      </c>
      <c r="M808" s="10">
        <f>CHOOSE(CONTROL!$C$42, 26.1884, 26.1884) * CHOOSE(CONTROL!$C$21, $C$9, 100%, $E$9)</f>
        <v>26.188400000000001</v>
      </c>
      <c r="N808" s="10">
        <f>CHOOSE(CONTROL!$C$42, 26.204, 26.204) * CHOOSE(CONTROL!$C$21, $C$9, 100%, $E$9)</f>
        <v>26.204000000000001</v>
      </c>
      <c r="O808" s="10">
        <f>CHOOSE(CONTROL!$C$42, 26.4322, 26.4322) * CHOOSE(CONTROL!$C$21, $C$9, 100%, $E$9)</f>
        <v>26.432200000000002</v>
      </c>
      <c r="P808" s="10">
        <f>CHOOSE(CONTROL!$C$42, 26.2293, 26.2293) * CHOOSE(CONTROL!$C$21, $C$9, 100%, $E$9)</f>
        <v>26.229299999999999</v>
      </c>
      <c r="Q808" s="10">
        <f>CHOOSE(CONTROL!$C$42, 27.0275, 27.0275) * CHOOSE(CONTROL!$C$21, $C$9, 100%, $E$9)</f>
        <v>27.0275</v>
      </c>
      <c r="R808" s="10">
        <f>CHOOSE(CONTROL!$C$42, 27.6821, 27.6821) * CHOOSE(CONTROL!$C$21, $C$9, 100%, $E$9)</f>
        <v>27.682099999999998</v>
      </c>
      <c r="S808" s="10">
        <f>CHOOSE(CONTROL!$C$42, 25.7599, 25.7599) * CHOOSE(CONTROL!$C$21, $C$9, 100%, $E$9)</f>
        <v>25.759899999999998</v>
      </c>
      <c r="T80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08" s="38">
        <f>(1000*CHOOSE(CONTROL!$C$42, 695, 695)*CHOOSE(CONTROL!$C$42, 0.5599, 0.5599)*CHOOSE(CONTROL!$C$42, 30, 30))/1000000</f>
        <v>11.673914999999997</v>
      </c>
      <c r="V808" s="38">
        <f>(1000*CHOOSE(CONTROL!$C$42, 500, 500)*CHOOSE(CONTROL!$C$42, 0.275, 0.275)*CHOOSE(CONTROL!$C$42, 30, 30))/1000000</f>
        <v>4.125</v>
      </c>
      <c r="W808" s="38">
        <f>(1000*CHOOSE(CONTROL!$C$42, 0.1146, 0.1146)*CHOOSE(CONTROL!$C$42, 121.5, 121.5)*CHOOSE(CONTROL!$C$42, 30, 30))/1000000</f>
        <v>0.417717</v>
      </c>
      <c r="X808" s="38">
        <f>(30*0.1790888*245000/1000000)+(30*0.2374*100000/1000000)</f>
        <v>2.0285026799999999</v>
      </c>
      <c r="Y808" s="38">
        <f>(1000*600*CHOOSE(CONTROL!$C$42, 1.0585, 1.0585)*CHOOSE(CONTROL!$C$42, 30, 30))/1000000</f>
        <v>19.053000000000001</v>
      </c>
      <c r="Z808" s="38"/>
      <c r="AA808" s="10"/>
      <c r="AB808" s="39"/>
      <c r="AC808" s="33">
        <f>(B808*141.293+C808*267.993+D808*115.016+E808*89.698+F808*40+G808*185+H808*0+I808*100+J808*300)/(141.293+267.993+115.016+89.698+0+40+185+100+300)</f>
        <v>26.593355012106535</v>
      </c>
      <c r="AD808" s="27">
        <f>(M808*'RAP TEMPLATE-GAS AVAILABILITY'!O807+N808*'RAP TEMPLATE-GAS AVAILABILITY'!P807+O808*'RAP TEMPLATE-GAS AVAILABILITY'!Q807+P808*'RAP TEMPLATE-GAS AVAILABILITY'!R807)/('RAP TEMPLATE-GAS AVAILABILITY'!O807+'RAP TEMPLATE-GAS AVAILABILITY'!P807+'RAP TEMPLATE-GAS AVAILABILITY'!Q807+'RAP TEMPLATE-GAS AVAILABILITY'!R807)</f>
        <v>26.305682014388491</v>
      </c>
    </row>
    <row r="809" spans="1:30" ht="15.75">
      <c r="A809" s="13">
        <v>65897</v>
      </c>
      <c r="B809" s="10">
        <f>CHOOSE(CONTROL!$C$42, 26.8234, 26.8234) * CHOOSE(CONTROL!$C$21, $C$9, 100%, $E$9)</f>
        <v>26.823399999999999</v>
      </c>
      <c r="C809" s="10">
        <f>CHOOSE(CONTROL!$C$42, 26.8313, 26.8313) * CHOOSE(CONTROL!$C$21, $C$9, 100%, $E$9)</f>
        <v>26.831299999999999</v>
      </c>
      <c r="D809" s="10">
        <f>CHOOSE(CONTROL!$C$42, 26.9884, 26.9884) * CHOOSE(CONTROL!$C$21, $C$9, 100%, $E$9)</f>
        <v>26.988399999999999</v>
      </c>
      <c r="E809" s="10">
        <f>CHOOSE(CONTROL!$C$42, 27.0196, 27.0196) * CHOOSE(CONTROL!$C$21, $C$9, 100%, $E$9)</f>
        <v>27.019600000000001</v>
      </c>
      <c r="F809" s="10">
        <f>CHOOSE(CONTROL!$C$42, 26.7675, 26.7675)*CHOOSE(CONTROL!$C$21, $C$9, 100%, $E$9)</f>
        <v>26.767499999999998</v>
      </c>
      <c r="G809" s="10">
        <f>CHOOSE(CONTROL!$C$42, 26.7836, 26.7836)*CHOOSE(CONTROL!$C$21, $C$9, 100%, $E$9)</f>
        <v>26.7836</v>
      </c>
      <c r="H809" s="10">
        <f>CHOOSE(CONTROL!$C$42, 27.0079, 27.0079) * CHOOSE(CONTROL!$C$21, $C$9, 100%, $E$9)</f>
        <v>27.007899999999999</v>
      </c>
      <c r="I809" s="10">
        <f>CHOOSE(CONTROL!$C$42, 26.8021, 26.8021)* CHOOSE(CONTROL!$C$21, $C$9, 100%, $E$9)</f>
        <v>26.802099999999999</v>
      </c>
      <c r="J809" s="10">
        <f>CHOOSE(CONTROL!$C$42, 26.7601, 26.7601)* CHOOSE(CONTROL!$C$21, $C$9, 100%, $E$9)</f>
        <v>26.760100000000001</v>
      </c>
      <c r="K809" s="10">
        <f>CHOOSE(CONTROL!$C$42, 26.1247, 26.1247) * CHOOSE(CONTROL!$C$21, $C$9, 100%, $E$9)</f>
        <v>26.124700000000001</v>
      </c>
      <c r="L809" s="10">
        <f>CHOOSE(CONTROL!$C$42, 27.5949, 27.5949) * CHOOSE(CONTROL!$C$21, $C$9, 100%, $E$9)</f>
        <v>27.594899999999999</v>
      </c>
      <c r="M809" s="10">
        <f>CHOOSE(CONTROL!$C$42, 26.4198, 26.4198) * CHOOSE(CONTROL!$C$21, $C$9, 100%, $E$9)</f>
        <v>26.419799999999999</v>
      </c>
      <c r="N809" s="10">
        <f>CHOOSE(CONTROL!$C$42, 26.4357, 26.4357) * CHOOSE(CONTROL!$C$21, $C$9, 100%, $E$9)</f>
        <v>26.435700000000001</v>
      </c>
      <c r="O809" s="10">
        <f>CHOOSE(CONTROL!$C$42, 26.6642, 26.6642) * CHOOSE(CONTROL!$C$21, $C$9, 100%, $E$9)</f>
        <v>26.664200000000001</v>
      </c>
      <c r="P809" s="10">
        <f>CHOOSE(CONTROL!$C$42, 26.4613, 26.4613) * CHOOSE(CONTROL!$C$21, $C$9, 100%, $E$9)</f>
        <v>26.461300000000001</v>
      </c>
      <c r="Q809" s="10">
        <f>CHOOSE(CONTROL!$C$42, 27.2595, 27.2595) * CHOOSE(CONTROL!$C$21, $C$9, 100%, $E$9)</f>
        <v>27.259499999999999</v>
      </c>
      <c r="R809" s="10">
        <f>CHOOSE(CONTROL!$C$42, 27.9146, 27.9146) * CHOOSE(CONTROL!$C$21, $C$9, 100%, $E$9)</f>
        <v>27.9146</v>
      </c>
      <c r="S809" s="10">
        <f>CHOOSE(CONTROL!$C$42, 25.9876, 25.9876) * CHOOSE(CONTROL!$C$21, $C$9, 100%, $E$9)</f>
        <v>25.9876</v>
      </c>
      <c r="T80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09" s="38">
        <f>(1000*CHOOSE(CONTROL!$C$42, 695, 695)*CHOOSE(CONTROL!$C$42, 0.5599, 0.5599)*CHOOSE(CONTROL!$C$42, 31, 31))/1000000</f>
        <v>12.063045499999998</v>
      </c>
      <c r="V809" s="38">
        <f>(1000*CHOOSE(CONTROL!$C$42, 500, 500)*CHOOSE(CONTROL!$C$42, 0.275, 0.275)*CHOOSE(CONTROL!$C$42, 31, 31))/1000000</f>
        <v>4.2625000000000002</v>
      </c>
      <c r="W809" s="38">
        <f>(1000*CHOOSE(CONTROL!$C$42, 0.1146, 0.1146)*CHOOSE(CONTROL!$C$42, 121.5, 121.5)*CHOOSE(CONTROL!$C$42, 31, 31))/1000000</f>
        <v>0.43164089999999994</v>
      </c>
      <c r="X809" s="38">
        <f>(31*0.1790888*245000/1000000)+(31*0.2374*100000/1000000)</f>
        <v>2.0961194359999999</v>
      </c>
      <c r="Y809" s="38">
        <f>(1000*600*CHOOSE(CONTROL!$C$42, 1.0585, 1.0585)*CHOOSE(CONTROL!$C$42, 31, 31))/1000000</f>
        <v>19.688099999999999</v>
      </c>
      <c r="Z809" s="38"/>
      <c r="AA809" s="10"/>
      <c r="AB809" s="39"/>
      <c r="AC809" s="33">
        <f>(B809*194.205+C809*267.466+D809*133.845+E809*53.484+F809*40+G809*185+H809*0+I809*100+J809*300)/(194.205+267.466+133.845+53.484+0+40+185+100+300)</f>
        <v>26.826517713657768</v>
      </c>
      <c r="AD809" s="27">
        <f>(M809*'RAP TEMPLATE-GAS AVAILABILITY'!O808+N809*'RAP TEMPLATE-GAS AVAILABILITY'!P808+O809*'RAP TEMPLATE-GAS AVAILABILITY'!Q808+P809*'RAP TEMPLATE-GAS AVAILABILITY'!R808)/('RAP TEMPLATE-GAS AVAILABILITY'!O808+'RAP TEMPLATE-GAS AVAILABILITY'!P808+'RAP TEMPLATE-GAS AVAILABILITY'!Q808+'RAP TEMPLATE-GAS AVAILABILITY'!R808)</f>
        <v>26.537457553956834</v>
      </c>
    </row>
    <row r="810" spans="1:30" ht="15.75">
      <c r="A810" s="13">
        <v>65927</v>
      </c>
      <c r="B810" s="10">
        <f>CHOOSE(CONTROL!$C$42, 27.5846, 27.5846) * CHOOSE(CONTROL!$C$21, $C$9, 100%, $E$9)</f>
        <v>27.584599999999998</v>
      </c>
      <c r="C810" s="10">
        <f>CHOOSE(CONTROL!$C$42, 27.5926, 27.5926) * CHOOSE(CONTROL!$C$21, $C$9, 100%, $E$9)</f>
        <v>27.592600000000001</v>
      </c>
      <c r="D810" s="10">
        <f>CHOOSE(CONTROL!$C$42, 27.7497, 27.7497) * CHOOSE(CONTROL!$C$21, $C$9, 100%, $E$9)</f>
        <v>27.749700000000001</v>
      </c>
      <c r="E810" s="10">
        <f>CHOOSE(CONTROL!$C$42, 27.7809, 27.7809) * CHOOSE(CONTROL!$C$21, $C$9, 100%, $E$9)</f>
        <v>27.780899999999999</v>
      </c>
      <c r="F810" s="10">
        <f>CHOOSE(CONTROL!$C$42, 27.5289, 27.5289)*CHOOSE(CONTROL!$C$21, $C$9, 100%, $E$9)</f>
        <v>27.5289</v>
      </c>
      <c r="G810" s="10">
        <f>CHOOSE(CONTROL!$C$42, 27.5451, 27.5451)*CHOOSE(CONTROL!$C$21, $C$9, 100%, $E$9)</f>
        <v>27.545100000000001</v>
      </c>
      <c r="H810" s="10">
        <f>CHOOSE(CONTROL!$C$42, 27.7692, 27.7692) * CHOOSE(CONTROL!$C$21, $C$9, 100%, $E$9)</f>
        <v>27.769200000000001</v>
      </c>
      <c r="I810" s="10">
        <f>CHOOSE(CONTROL!$C$42, 27.5634, 27.5634)* CHOOSE(CONTROL!$C$21, $C$9, 100%, $E$9)</f>
        <v>27.563400000000001</v>
      </c>
      <c r="J810" s="10">
        <f>CHOOSE(CONTROL!$C$42, 27.5215, 27.5215)* CHOOSE(CONTROL!$C$21, $C$9, 100%, $E$9)</f>
        <v>27.5215</v>
      </c>
      <c r="K810" s="10">
        <f>CHOOSE(CONTROL!$C$42, 26.8626, 26.8626) * CHOOSE(CONTROL!$C$21, $C$9, 100%, $E$9)</f>
        <v>26.8626</v>
      </c>
      <c r="L810" s="10">
        <f>CHOOSE(CONTROL!$C$42, 28.3562, 28.3562) * CHOOSE(CONTROL!$C$21, $C$9, 100%, $E$9)</f>
        <v>28.356200000000001</v>
      </c>
      <c r="M810" s="10">
        <f>CHOOSE(CONTROL!$C$42, 27.1706, 27.1706) * CHOOSE(CONTROL!$C$21, $C$9, 100%, $E$9)</f>
        <v>27.1706</v>
      </c>
      <c r="N810" s="10">
        <f>CHOOSE(CONTROL!$C$42, 27.1866, 27.1866) * CHOOSE(CONTROL!$C$21, $C$9, 100%, $E$9)</f>
        <v>27.186599999999999</v>
      </c>
      <c r="O810" s="10">
        <f>CHOOSE(CONTROL!$C$42, 27.4148, 27.4148) * CHOOSE(CONTROL!$C$21, $C$9, 100%, $E$9)</f>
        <v>27.4148</v>
      </c>
      <c r="P810" s="10">
        <f>CHOOSE(CONTROL!$C$42, 27.2119, 27.2119) * CHOOSE(CONTROL!$C$21, $C$9, 100%, $E$9)</f>
        <v>27.2119</v>
      </c>
      <c r="Q810" s="10">
        <f>CHOOSE(CONTROL!$C$42, 28.0101, 28.0101) * CHOOSE(CONTROL!$C$21, $C$9, 100%, $E$9)</f>
        <v>28.010100000000001</v>
      </c>
      <c r="R810" s="10">
        <f>CHOOSE(CONTROL!$C$42, 28.6672, 28.6672) * CHOOSE(CONTROL!$C$21, $C$9, 100%, $E$9)</f>
        <v>28.667200000000001</v>
      </c>
      <c r="S810" s="10">
        <f>CHOOSE(CONTROL!$C$42, 26.7248, 26.7248) * CHOOSE(CONTROL!$C$21, $C$9, 100%, $E$9)</f>
        <v>26.724799999999998</v>
      </c>
      <c r="T81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10" s="38">
        <f>(1000*CHOOSE(CONTROL!$C$42, 695, 695)*CHOOSE(CONTROL!$C$42, 0.5599, 0.5599)*CHOOSE(CONTROL!$C$42, 30, 30))/1000000</f>
        <v>11.673914999999997</v>
      </c>
      <c r="V810" s="38">
        <f>(1000*CHOOSE(CONTROL!$C$42, 500, 500)*CHOOSE(CONTROL!$C$42, 0.275, 0.275)*CHOOSE(CONTROL!$C$42, 30, 30))/1000000</f>
        <v>4.125</v>
      </c>
      <c r="W810" s="38">
        <f>(1000*CHOOSE(CONTROL!$C$42, 0.1146, 0.1146)*CHOOSE(CONTROL!$C$42, 121.5, 121.5)*CHOOSE(CONTROL!$C$42, 30, 30))/1000000</f>
        <v>0.417717</v>
      </c>
      <c r="X810" s="38">
        <f>(30*0.1790888*245000/1000000)+(30*0.2374*100000/1000000)</f>
        <v>2.0285026799999999</v>
      </c>
      <c r="Y810" s="38">
        <f>(1000*600*CHOOSE(CONTROL!$C$42, 1.0585, 1.0585)*CHOOSE(CONTROL!$C$42, 30, 30))/1000000</f>
        <v>19.053000000000001</v>
      </c>
      <c r="Z810" s="38"/>
      <c r="AA810" s="10"/>
      <c r="AB810" s="39"/>
      <c r="AC810" s="33">
        <f>(B810*194.205+C810*267.466+D810*133.845+E810*53.484+F810*40+G810*185+H810*0+I810*100+J810*300)/(194.205+267.466+133.845+53.484+0+40+185+100+300)</f>
        <v>27.587858199921509</v>
      </c>
      <c r="AD810" s="27">
        <f>(M810*'RAP TEMPLATE-GAS AVAILABILITY'!O809+N810*'RAP TEMPLATE-GAS AVAILABILITY'!P809+O810*'RAP TEMPLATE-GAS AVAILABILITY'!Q809+P810*'RAP TEMPLATE-GAS AVAILABILITY'!R809)/('RAP TEMPLATE-GAS AVAILABILITY'!O809+'RAP TEMPLATE-GAS AVAILABILITY'!P809+'RAP TEMPLATE-GAS AVAILABILITY'!Q809+'RAP TEMPLATE-GAS AVAILABILITY'!R809)</f>
        <v>27.288143884892083</v>
      </c>
    </row>
    <row r="811" spans="1:30" ht="15.75">
      <c r="A811" s="13">
        <v>65958</v>
      </c>
      <c r="B811" s="10">
        <f>CHOOSE(CONTROL!$C$42, 27.0552, 27.0552) * CHOOSE(CONTROL!$C$21, $C$9, 100%, $E$9)</f>
        <v>27.055199999999999</v>
      </c>
      <c r="C811" s="10">
        <f>CHOOSE(CONTROL!$C$42, 27.0632, 27.0632) * CHOOSE(CONTROL!$C$21, $C$9, 100%, $E$9)</f>
        <v>27.063199999999998</v>
      </c>
      <c r="D811" s="10">
        <f>CHOOSE(CONTROL!$C$42, 27.2202, 27.2202) * CHOOSE(CONTROL!$C$21, $C$9, 100%, $E$9)</f>
        <v>27.220199999999998</v>
      </c>
      <c r="E811" s="10">
        <f>CHOOSE(CONTROL!$C$42, 27.2514, 27.2514) * CHOOSE(CONTROL!$C$21, $C$9, 100%, $E$9)</f>
        <v>27.2514</v>
      </c>
      <c r="F811" s="10">
        <f>CHOOSE(CONTROL!$C$42, 26.9998, 26.9998)*CHOOSE(CONTROL!$C$21, $C$9, 100%, $E$9)</f>
        <v>26.9998</v>
      </c>
      <c r="G811" s="10">
        <f>CHOOSE(CONTROL!$C$42, 27.0161, 27.0161)*CHOOSE(CONTROL!$C$21, $C$9, 100%, $E$9)</f>
        <v>27.016100000000002</v>
      </c>
      <c r="H811" s="10">
        <f>CHOOSE(CONTROL!$C$42, 27.2397, 27.2397) * CHOOSE(CONTROL!$C$21, $C$9, 100%, $E$9)</f>
        <v>27.239699999999999</v>
      </c>
      <c r="I811" s="10">
        <f>CHOOSE(CONTROL!$C$42, 27.0339, 27.0339)* CHOOSE(CONTROL!$C$21, $C$9, 100%, $E$9)</f>
        <v>27.033899999999999</v>
      </c>
      <c r="J811" s="10">
        <f>CHOOSE(CONTROL!$C$42, 26.9924, 26.9924)* CHOOSE(CONTROL!$C$21, $C$9, 100%, $E$9)</f>
        <v>26.9924</v>
      </c>
      <c r="K811" s="10">
        <f>CHOOSE(CONTROL!$C$42, 26.3504, 26.3504) * CHOOSE(CONTROL!$C$21, $C$9, 100%, $E$9)</f>
        <v>26.3504</v>
      </c>
      <c r="L811" s="10">
        <f>CHOOSE(CONTROL!$C$42, 27.8267, 27.8267) * CHOOSE(CONTROL!$C$21, $C$9, 100%, $E$9)</f>
        <v>27.826699999999999</v>
      </c>
      <c r="M811" s="10">
        <f>CHOOSE(CONTROL!$C$42, 26.6489, 26.6489) * CHOOSE(CONTROL!$C$21, $C$9, 100%, $E$9)</f>
        <v>26.648900000000001</v>
      </c>
      <c r="N811" s="10">
        <f>CHOOSE(CONTROL!$C$42, 26.6649, 26.6649) * CHOOSE(CONTROL!$C$21, $C$9, 100%, $E$9)</f>
        <v>26.664899999999999</v>
      </c>
      <c r="O811" s="10">
        <f>CHOOSE(CONTROL!$C$42, 26.8928, 26.8928) * CHOOSE(CONTROL!$C$21, $C$9, 100%, $E$9)</f>
        <v>26.892800000000001</v>
      </c>
      <c r="P811" s="10">
        <f>CHOOSE(CONTROL!$C$42, 26.6899, 26.6899) * CHOOSE(CONTROL!$C$21, $C$9, 100%, $E$9)</f>
        <v>26.689900000000002</v>
      </c>
      <c r="Q811" s="10">
        <f>CHOOSE(CONTROL!$C$42, 27.4881, 27.4881) * CHOOSE(CONTROL!$C$21, $C$9, 100%, $E$9)</f>
        <v>27.488099999999999</v>
      </c>
      <c r="R811" s="10">
        <f>CHOOSE(CONTROL!$C$42, 28.1438, 28.1438) * CHOOSE(CONTROL!$C$21, $C$9, 100%, $E$9)</f>
        <v>28.143799999999999</v>
      </c>
      <c r="S811" s="10">
        <f>CHOOSE(CONTROL!$C$42, 26.2121, 26.2121) * CHOOSE(CONTROL!$C$21, $C$9, 100%, $E$9)</f>
        <v>26.2121</v>
      </c>
      <c r="T81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11" s="38">
        <f>(1000*CHOOSE(CONTROL!$C$42, 695, 695)*CHOOSE(CONTROL!$C$42, 0.5599, 0.5599)*CHOOSE(CONTROL!$C$42, 31, 31))/1000000</f>
        <v>12.063045499999998</v>
      </c>
      <c r="V811" s="38">
        <f>(1000*CHOOSE(CONTROL!$C$42, 500, 500)*CHOOSE(CONTROL!$C$42, 0.275, 0.275)*CHOOSE(CONTROL!$C$42, 31, 31))/1000000</f>
        <v>4.2625000000000002</v>
      </c>
      <c r="W811" s="38">
        <f>(1000*CHOOSE(CONTROL!$C$42, 0.1146, 0.1146)*CHOOSE(CONTROL!$C$42, 121.5, 121.5)*CHOOSE(CONTROL!$C$42, 31, 31))/1000000</f>
        <v>0.43164089999999994</v>
      </c>
      <c r="X811" s="38">
        <f>(31*0.1790888*245000/1000000)+(31*0.2374*100000/1000000)</f>
        <v>2.0961194359999999</v>
      </c>
      <c r="Y811" s="38">
        <f>(1000*600*CHOOSE(CONTROL!$C$42, 1.0585, 1.0585)*CHOOSE(CONTROL!$C$42, 31, 31))/1000000</f>
        <v>19.688099999999999</v>
      </c>
      <c r="Z811" s="38"/>
      <c r="AA811" s="10"/>
      <c r="AB811" s="39"/>
      <c r="AC811" s="33">
        <f>(B811*194.205+C811*267.466+D811*133.845+E811*53.484+F811*40+G811*185+H811*0+I811*100+J811*300)/(194.205+267.466+133.845+53.484+0+40+185+100+300)</f>
        <v>27.058573794191521</v>
      </c>
      <c r="AD811" s="27">
        <f>(M811*'RAP TEMPLATE-GAS AVAILABILITY'!O810+N811*'RAP TEMPLATE-GAS AVAILABILITY'!P810+O811*'RAP TEMPLATE-GAS AVAILABILITY'!Q810+P811*'RAP TEMPLATE-GAS AVAILABILITY'!R810)/('RAP TEMPLATE-GAS AVAILABILITY'!O810+'RAP TEMPLATE-GAS AVAILABILITY'!P810+'RAP TEMPLATE-GAS AVAILABILITY'!Q810+'RAP TEMPLATE-GAS AVAILABILITY'!R810)</f>
        <v>26.76626474820144</v>
      </c>
    </row>
    <row r="812" spans="1:30" ht="15.75">
      <c r="A812" s="13">
        <v>65989</v>
      </c>
      <c r="B812" s="10">
        <f>CHOOSE(CONTROL!$C$42, 25.7181, 25.7181) * CHOOSE(CONTROL!$C$21, $C$9, 100%, $E$9)</f>
        <v>25.7181</v>
      </c>
      <c r="C812" s="10">
        <f>CHOOSE(CONTROL!$C$42, 25.7261, 25.7261) * CHOOSE(CONTROL!$C$21, $C$9, 100%, $E$9)</f>
        <v>25.726099999999999</v>
      </c>
      <c r="D812" s="10">
        <f>CHOOSE(CONTROL!$C$42, 25.8831, 25.8831) * CHOOSE(CONTROL!$C$21, $C$9, 100%, $E$9)</f>
        <v>25.883099999999999</v>
      </c>
      <c r="E812" s="10">
        <f>CHOOSE(CONTROL!$C$42, 25.9143, 25.9143) * CHOOSE(CONTROL!$C$21, $C$9, 100%, $E$9)</f>
        <v>25.914300000000001</v>
      </c>
      <c r="F812" s="10">
        <f>CHOOSE(CONTROL!$C$42, 25.6627, 25.6627)*CHOOSE(CONTROL!$C$21, $C$9, 100%, $E$9)</f>
        <v>25.662700000000001</v>
      </c>
      <c r="G812" s="10">
        <f>CHOOSE(CONTROL!$C$42, 25.6789, 25.6789)*CHOOSE(CONTROL!$C$21, $C$9, 100%, $E$9)</f>
        <v>25.678899999999999</v>
      </c>
      <c r="H812" s="10">
        <f>CHOOSE(CONTROL!$C$42, 25.9027, 25.9027) * CHOOSE(CONTROL!$C$21, $C$9, 100%, $E$9)</f>
        <v>25.902699999999999</v>
      </c>
      <c r="I812" s="10">
        <f>CHOOSE(CONTROL!$C$42, 25.6969, 25.6969)* CHOOSE(CONTROL!$C$21, $C$9, 100%, $E$9)</f>
        <v>25.696899999999999</v>
      </c>
      <c r="J812" s="10">
        <f>CHOOSE(CONTROL!$C$42, 25.6553, 25.6553)* CHOOSE(CONTROL!$C$21, $C$9, 100%, $E$9)</f>
        <v>25.6553</v>
      </c>
      <c r="K812" s="10">
        <f>CHOOSE(CONTROL!$C$42, 25.0549, 25.0549) * CHOOSE(CONTROL!$C$21, $C$9, 100%, $E$9)</f>
        <v>25.0549</v>
      </c>
      <c r="L812" s="10">
        <f>CHOOSE(CONTROL!$C$42, 26.4897, 26.4897) * CHOOSE(CONTROL!$C$21, $C$9, 100%, $E$9)</f>
        <v>26.489699999999999</v>
      </c>
      <c r="M812" s="10">
        <f>CHOOSE(CONTROL!$C$42, 25.3304, 25.3304) * CHOOSE(CONTROL!$C$21, $C$9, 100%, $E$9)</f>
        <v>25.330400000000001</v>
      </c>
      <c r="N812" s="10">
        <f>CHOOSE(CONTROL!$C$42, 25.3464, 25.3464) * CHOOSE(CONTROL!$C$21, $C$9, 100%, $E$9)</f>
        <v>25.346399999999999</v>
      </c>
      <c r="O812" s="10">
        <f>CHOOSE(CONTROL!$C$42, 25.5743, 25.5743) * CHOOSE(CONTROL!$C$21, $C$9, 100%, $E$9)</f>
        <v>25.574300000000001</v>
      </c>
      <c r="P812" s="10">
        <f>CHOOSE(CONTROL!$C$42, 25.3714, 25.3714) * CHOOSE(CONTROL!$C$21, $C$9, 100%, $E$9)</f>
        <v>25.371400000000001</v>
      </c>
      <c r="Q812" s="10">
        <f>CHOOSE(CONTROL!$C$42, 26.1696, 26.1696) * CHOOSE(CONTROL!$C$21, $C$9, 100%, $E$9)</f>
        <v>26.169599999999999</v>
      </c>
      <c r="R812" s="10">
        <f>CHOOSE(CONTROL!$C$42, 26.8221, 26.8221) * CHOOSE(CONTROL!$C$21, $C$9, 100%, $E$9)</f>
        <v>26.822099999999999</v>
      </c>
      <c r="S812" s="10">
        <f>CHOOSE(CONTROL!$C$42, 24.9174, 24.9174) * CHOOSE(CONTROL!$C$21, $C$9, 100%, $E$9)</f>
        <v>24.917400000000001</v>
      </c>
      <c r="T81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12" s="38">
        <f>(1000*CHOOSE(CONTROL!$C$42, 695, 695)*CHOOSE(CONTROL!$C$42, 0.5599, 0.5599)*CHOOSE(CONTROL!$C$42, 31, 31))/1000000</f>
        <v>12.063045499999998</v>
      </c>
      <c r="V812" s="38">
        <f>(1000*CHOOSE(CONTROL!$C$42, 500, 500)*CHOOSE(CONTROL!$C$42, 0.275, 0.275)*CHOOSE(CONTROL!$C$42, 31, 31))/1000000</f>
        <v>4.2625000000000002</v>
      </c>
      <c r="W812" s="38">
        <f>(1000*CHOOSE(CONTROL!$C$42, 0.1146, 0.1146)*CHOOSE(CONTROL!$C$42, 121.5, 121.5)*CHOOSE(CONTROL!$C$42, 31, 31))/1000000</f>
        <v>0.43164089999999994</v>
      </c>
      <c r="X812" s="38">
        <f>(31*0.1790888*245000/1000000)+(31*0.2374*100000/1000000)</f>
        <v>2.0961194359999999</v>
      </c>
      <c r="Y812" s="38">
        <f>(1000*600*CHOOSE(CONTROL!$C$42, 1.0585, 1.0585)*CHOOSE(CONTROL!$C$42, 31, 31))/1000000</f>
        <v>19.688099999999999</v>
      </c>
      <c r="Z812" s="38"/>
      <c r="AA812" s="10"/>
      <c r="AB812" s="39"/>
      <c r="AC812" s="33">
        <f>(B812*194.205+C812*267.466+D812*133.845+E812*53.484+F812*40+G812*185+H812*0+I812*100+J812*300)/(194.205+267.466+133.845+53.484+0+40+185+100+300)</f>
        <v>25.721467122291994</v>
      </c>
      <c r="AD812" s="27">
        <f>(M812*'RAP TEMPLATE-GAS AVAILABILITY'!O811+N812*'RAP TEMPLATE-GAS AVAILABILITY'!P811+O812*'RAP TEMPLATE-GAS AVAILABILITY'!Q811+P812*'RAP TEMPLATE-GAS AVAILABILITY'!R811)/('RAP TEMPLATE-GAS AVAILABILITY'!O811+'RAP TEMPLATE-GAS AVAILABILITY'!P811+'RAP TEMPLATE-GAS AVAILABILITY'!Q811+'RAP TEMPLATE-GAS AVAILABILITY'!R811)</f>
        <v>25.44776474820144</v>
      </c>
    </row>
    <row r="813" spans="1:30" ht="15.75">
      <c r="A813" s="13">
        <v>66019</v>
      </c>
      <c r="B813" s="10">
        <f>CHOOSE(CONTROL!$C$42, 24.0844, 24.0844) * CHOOSE(CONTROL!$C$21, $C$9, 100%, $E$9)</f>
        <v>24.084399999999999</v>
      </c>
      <c r="C813" s="10">
        <f>CHOOSE(CONTROL!$C$42, 24.0924, 24.0924) * CHOOSE(CONTROL!$C$21, $C$9, 100%, $E$9)</f>
        <v>24.092400000000001</v>
      </c>
      <c r="D813" s="10">
        <f>CHOOSE(CONTROL!$C$42, 24.2495, 24.2495) * CHOOSE(CONTROL!$C$21, $C$9, 100%, $E$9)</f>
        <v>24.249500000000001</v>
      </c>
      <c r="E813" s="10">
        <f>CHOOSE(CONTROL!$C$42, 24.2807, 24.2807) * CHOOSE(CONTROL!$C$21, $C$9, 100%, $E$9)</f>
        <v>24.2807</v>
      </c>
      <c r="F813" s="10">
        <f>CHOOSE(CONTROL!$C$42, 24.0288, 24.0288)*CHOOSE(CONTROL!$C$21, $C$9, 100%, $E$9)</f>
        <v>24.0288</v>
      </c>
      <c r="G813" s="10">
        <f>CHOOSE(CONTROL!$C$42, 24.045, 24.045)*CHOOSE(CONTROL!$C$21, $C$9, 100%, $E$9)</f>
        <v>24.045000000000002</v>
      </c>
      <c r="H813" s="10">
        <f>CHOOSE(CONTROL!$C$42, 24.269, 24.269) * CHOOSE(CONTROL!$C$21, $C$9, 100%, $E$9)</f>
        <v>24.268999999999998</v>
      </c>
      <c r="I813" s="10">
        <f>CHOOSE(CONTROL!$C$42, 24.0632, 24.0632)* CHOOSE(CONTROL!$C$21, $C$9, 100%, $E$9)</f>
        <v>24.063199999999998</v>
      </c>
      <c r="J813" s="10">
        <f>CHOOSE(CONTROL!$C$42, 24.0214, 24.0214)* CHOOSE(CONTROL!$C$21, $C$9, 100%, $E$9)</f>
        <v>24.0214</v>
      </c>
      <c r="K813" s="10">
        <f>CHOOSE(CONTROL!$C$42, 23.4718, 23.4718) * CHOOSE(CONTROL!$C$21, $C$9, 100%, $E$9)</f>
        <v>23.471800000000002</v>
      </c>
      <c r="L813" s="10">
        <f>CHOOSE(CONTROL!$C$42, 24.856, 24.856) * CHOOSE(CONTROL!$C$21, $C$9, 100%, $E$9)</f>
        <v>24.856000000000002</v>
      </c>
      <c r="M813" s="10">
        <f>CHOOSE(CONTROL!$C$42, 23.7193, 23.7193) * CHOOSE(CONTROL!$C$21, $C$9, 100%, $E$9)</f>
        <v>23.7193</v>
      </c>
      <c r="N813" s="10">
        <f>CHOOSE(CONTROL!$C$42, 23.7353, 23.7353) * CHOOSE(CONTROL!$C$21, $C$9, 100%, $E$9)</f>
        <v>23.735299999999999</v>
      </c>
      <c r="O813" s="10">
        <f>CHOOSE(CONTROL!$C$42, 23.9635, 23.9635) * CHOOSE(CONTROL!$C$21, $C$9, 100%, $E$9)</f>
        <v>23.9635</v>
      </c>
      <c r="P813" s="10">
        <f>CHOOSE(CONTROL!$C$42, 23.7606, 23.7606) * CHOOSE(CONTROL!$C$21, $C$9, 100%, $E$9)</f>
        <v>23.7606</v>
      </c>
      <c r="Q813" s="10">
        <f>CHOOSE(CONTROL!$C$42, 24.5588, 24.5588) * CHOOSE(CONTROL!$C$21, $C$9, 100%, $E$9)</f>
        <v>24.558800000000002</v>
      </c>
      <c r="R813" s="10">
        <f>CHOOSE(CONTROL!$C$42, 25.2072, 25.2072) * CHOOSE(CONTROL!$C$21, $C$9, 100%, $E$9)</f>
        <v>25.2072</v>
      </c>
      <c r="S813" s="10">
        <f>CHOOSE(CONTROL!$C$42, 23.3355, 23.3355) * CHOOSE(CONTROL!$C$21, $C$9, 100%, $E$9)</f>
        <v>23.3355</v>
      </c>
      <c r="T81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13" s="38">
        <f>(1000*CHOOSE(CONTROL!$C$42, 695, 695)*CHOOSE(CONTROL!$C$42, 0.5599, 0.5599)*CHOOSE(CONTROL!$C$42, 30, 30))/1000000</f>
        <v>11.673914999999997</v>
      </c>
      <c r="V813" s="38">
        <f>(1000*CHOOSE(CONTROL!$C$42, 500, 500)*CHOOSE(CONTROL!$C$42, 0.275, 0.275)*CHOOSE(CONTROL!$C$42, 30, 30))/1000000</f>
        <v>4.125</v>
      </c>
      <c r="W813" s="38">
        <f>(1000*CHOOSE(CONTROL!$C$42, 0.1146, 0.1146)*CHOOSE(CONTROL!$C$42, 121.5, 121.5)*CHOOSE(CONTROL!$C$42, 30, 30))/1000000</f>
        <v>0.417717</v>
      </c>
      <c r="X813" s="38">
        <f>(30*0.1790888*245000/1000000)+(30*0.2374*100000/1000000)</f>
        <v>2.0285026799999999</v>
      </c>
      <c r="Y813" s="38">
        <f>(1000*600*CHOOSE(CONTROL!$C$42, 1.0585, 1.0585)*CHOOSE(CONTROL!$C$42, 30, 30))/1000000</f>
        <v>19.053000000000001</v>
      </c>
      <c r="Z813" s="38"/>
      <c r="AA813" s="10"/>
      <c r="AB813" s="39"/>
      <c r="AC813" s="33">
        <f>(B813*194.205+C813*267.466+D813*133.845+E813*53.484+F813*40+G813*185+H813*0+I813*100+J813*300)/(194.205+267.466+133.845+53.484+0+40+185+100+300)</f>
        <v>24.087699408712719</v>
      </c>
      <c r="AD813" s="27">
        <f>(M813*'RAP TEMPLATE-GAS AVAILABILITY'!O812+N813*'RAP TEMPLATE-GAS AVAILABILITY'!P812+O813*'RAP TEMPLATE-GAS AVAILABILITY'!Q812+P813*'RAP TEMPLATE-GAS AVAILABILITY'!R812)/('RAP TEMPLATE-GAS AVAILABILITY'!O812+'RAP TEMPLATE-GAS AVAILABILITY'!P812+'RAP TEMPLATE-GAS AVAILABILITY'!Q812+'RAP TEMPLATE-GAS AVAILABILITY'!R812)</f>
        <v>23.83684388489209</v>
      </c>
    </row>
    <row r="814" spans="1:30" ht="15.75">
      <c r="A814" s="13">
        <v>66050</v>
      </c>
      <c r="B814" s="10">
        <f>CHOOSE(CONTROL!$C$42, 23.593, 23.593) * CHOOSE(CONTROL!$C$21, $C$9, 100%, $E$9)</f>
        <v>23.593</v>
      </c>
      <c r="C814" s="10">
        <f>CHOOSE(CONTROL!$C$42, 23.5983, 23.5983) * CHOOSE(CONTROL!$C$21, $C$9, 100%, $E$9)</f>
        <v>23.598299999999998</v>
      </c>
      <c r="D814" s="10">
        <f>CHOOSE(CONTROL!$C$42, 23.7602, 23.7602) * CHOOSE(CONTROL!$C$21, $C$9, 100%, $E$9)</f>
        <v>23.760200000000001</v>
      </c>
      <c r="E814" s="10">
        <f>CHOOSE(CONTROL!$C$42, 23.7892, 23.7892) * CHOOSE(CONTROL!$C$21, $C$9, 100%, $E$9)</f>
        <v>23.789200000000001</v>
      </c>
      <c r="F814" s="10">
        <f>CHOOSE(CONTROL!$C$42, 23.5394, 23.5394)*CHOOSE(CONTROL!$C$21, $C$9, 100%, $E$9)</f>
        <v>23.539400000000001</v>
      </c>
      <c r="G814" s="10">
        <f>CHOOSE(CONTROL!$C$42, 23.5552, 23.5552)*CHOOSE(CONTROL!$C$21, $C$9, 100%, $E$9)</f>
        <v>23.555199999999999</v>
      </c>
      <c r="H814" s="10">
        <f>CHOOSE(CONTROL!$C$42, 23.7793, 23.7793) * CHOOSE(CONTROL!$C$21, $C$9, 100%, $E$9)</f>
        <v>23.779299999999999</v>
      </c>
      <c r="I814" s="10">
        <f>CHOOSE(CONTROL!$C$42, 23.5735, 23.5735)* CHOOSE(CONTROL!$C$21, $C$9, 100%, $E$9)</f>
        <v>23.573499999999999</v>
      </c>
      <c r="J814" s="10">
        <f>CHOOSE(CONTROL!$C$42, 23.532, 23.532)* CHOOSE(CONTROL!$C$21, $C$9, 100%, $E$9)</f>
        <v>23.532</v>
      </c>
      <c r="K814" s="10">
        <f>CHOOSE(CONTROL!$C$42, 22.998, 22.998) * CHOOSE(CONTROL!$C$21, $C$9, 100%, $E$9)</f>
        <v>22.998000000000001</v>
      </c>
      <c r="L814" s="10">
        <f>CHOOSE(CONTROL!$C$42, 24.3663, 24.3663) * CHOOSE(CONTROL!$C$21, $C$9, 100%, $E$9)</f>
        <v>24.366299999999999</v>
      </c>
      <c r="M814" s="10">
        <f>CHOOSE(CONTROL!$C$42, 23.2367, 23.2367) * CHOOSE(CONTROL!$C$21, $C$9, 100%, $E$9)</f>
        <v>23.236699999999999</v>
      </c>
      <c r="N814" s="10">
        <f>CHOOSE(CONTROL!$C$42, 23.2523, 23.2523) * CHOOSE(CONTROL!$C$21, $C$9, 100%, $E$9)</f>
        <v>23.252300000000002</v>
      </c>
      <c r="O814" s="10">
        <f>CHOOSE(CONTROL!$C$42, 23.4806, 23.4806) * CHOOSE(CONTROL!$C$21, $C$9, 100%, $E$9)</f>
        <v>23.480599999999999</v>
      </c>
      <c r="P814" s="10">
        <f>CHOOSE(CONTROL!$C$42, 23.2777, 23.2777) * CHOOSE(CONTROL!$C$21, $C$9, 100%, $E$9)</f>
        <v>23.277699999999999</v>
      </c>
      <c r="Q814" s="10">
        <f>CHOOSE(CONTROL!$C$42, 24.0759, 24.0759) * CHOOSE(CONTROL!$C$21, $C$9, 100%, $E$9)</f>
        <v>24.075900000000001</v>
      </c>
      <c r="R814" s="10">
        <f>CHOOSE(CONTROL!$C$42, 24.723, 24.723) * CHOOSE(CONTROL!$C$21, $C$9, 100%, $E$9)</f>
        <v>24.722999999999999</v>
      </c>
      <c r="S814" s="10">
        <f>CHOOSE(CONTROL!$C$42, 22.8613, 22.8613) * CHOOSE(CONTROL!$C$21, $C$9, 100%, $E$9)</f>
        <v>22.8613</v>
      </c>
      <c r="T81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14" s="38">
        <f>(1000*CHOOSE(CONTROL!$C$42, 695, 695)*CHOOSE(CONTROL!$C$42, 0.5599, 0.5599)*CHOOSE(CONTROL!$C$42, 31, 31))/1000000</f>
        <v>12.063045499999998</v>
      </c>
      <c r="V814" s="38">
        <f>(1000*CHOOSE(CONTROL!$C$42, 500, 500)*CHOOSE(CONTROL!$C$42, 0.275, 0.275)*CHOOSE(CONTROL!$C$42, 31, 31))/1000000</f>
        <v>4.2625000000000002</v>
      </c>
      <c r="W814" s="38">
        <f>(1000*CHOOSE(CONTROL!$C$42, 0.1146, 0.1146)*CHOOSE(CONTROL!$C$42, 121.5, 121.5)*CHOOSE(CONTROL!$C$42, 31, 31))/1000000</f>
        <v>0.43164089999999994</v>
      </c>
      <c r="X814" s="38">
        <f>(31*0.1790888*245000/1000000)+(31*0.2374*100000/1000000)</f>
        <v>2.0961194359999999</v>
      </c>
      <c r="Y814" s="38">
        <f>(1000*600*CHOOSE(CONTROL!$C$42, 1.0585, 1.0585)*CHOOSE(CONTROL!$C$42, 31, 31))/1000000</f>
        <v>19.688099999999999</v>
      </c>
      <c r="Z814" s="38"/>
      <c r="AA814" s="10"/>
      <c r="AB814" s="39"/>
      <c r="AC814" s="33">
        <f>(B814*131.881+C814*277.167+D814*79.08+E814*125.872+F814*40+G814*185+H814*0+I814*100+J814*300)/(131.881+277.167+79.08+125.872+0+40+185+100+300)</f>
        <v>23.601071224778046</v>
      </c>
      <c r="AD814" s="27">
        <f>(M814*'RAP TEMPLATE-GAS AVAILABILITY'!O813+N814*'RAP TEMPLATE-GAS AVAILABILITY'!P813+O814*'RAP TEMPLATE-GAS AVAILABILITY'!Q813+P814*'RAP TEMPLATE-GAS AVAILABILITY'!R813)/('RAP TEMPLATE-GAS AVAILABILITY'!O813+'RAP TEMPLATE-GAS AVAILABILITY'!P813+'RAP TEMPLATE-GAS AVAILABILITY'!Q813+'RAP TEMPLATE-GAS AVAILABILITY'!R813)</f>
        <v>23.354041726618707</v>
      </c>
    </row>
    <row r="815" spans="1:30" ht="15.75">
      <c r="A815" s="13">
        <v>66080</v>
      </c>
      <c r="B815" s="10">
        <f>CHOOSE(CONTROL!$C$42, 24.2145, 24.2145) * CHOOSE(CONTROL!$C$21, $C$9, 100%, $E$9)</f>
        <v>24.214500000000001</v>
      </c>
      <c r="C815" s="10">
        <f>CHOOSE(CONTROL!$C$42, 24.2196, 24.2196) * CHOOSE(CONTROL!$C$21, $C$9, 100%, $E$9)</f>
        <v>24.2196</v>
      </c>
      <c r="D815" s="10">
        <f>CHOOSE(CONTROL!$C$42, 24.2443, 24.2443) * CHOOSE(CONTROL!$C$21, $C$9, 100%, $E$9)</f>
        <v>24.244299999999999</v>
      </c>
      <c r="E815" s="10">
        <f>CHOOSE(CONTROL!$C$42, 24.2781, 24.2781) * CHOOSE(CONTROL!$C$21, $C$9, 100%, $E$9)</f>
        <v>24.278099999999998</v>
      </c>
      <c r="F815" s="10">
        <f>CHOOSE(CONTROL!$C$42, 24.1828, 24.1828)*CHOOSE(CONTROL!$C$21, $C$9, 100%, $E$9)</f>
        <v>24.1828</v>
      </c>
      <c r="G815" s="10">
        <f>CHOOSE(CONTROL!$C$42, 24.1989, 24.1989)*CHOOSE(CONTROL!$C$21, $C$9, 100%, $E$9)</f>
        <v>24.198899999999998</v>
      </c>
      <c r="H815" s="10">
        <f>CHOOSE(CONTROL!$C$42, 24.267, 24.267) * CHOOSE(CONTROL!$C$21, $C$9, 100%, $E$9)</f>
        <v>24.266999999999999</v>
      </c>
      <c r="I815" s="10">
        <f>CHOOSE(CONTROL!$C$42, 24.2295, 24.2295)* CHOOSE(CONTROL!$C$21, $C$9, 100%, $E$9)</f>
        <v>24.229500000000002</v>
      </c>
      <c r="J815" s="10">
        <f>CHOOSE(CONTROL!$C$42, 24.1754, 24.1754)* CHOOSE(CONTROL!$C$21, $C$9, 100%, $E$9)</f>
        <v>24.1754</v>
      </c>
      <c r="K815" s="10">
        <f>CHOOSE(CONTROL!$C$42, 23.6357, 23.6357) * CHOOSE(CONTROL!$C$21, $C$9, 100%, $E$9)</f>
        <v>23.6357</v>
      </c>
      <c r="L815" s="10">
        <f>CHOOSE(CONTROL!$C$42, 24.854, 24.854) * CHOOSE(CONTROL!$C$21, $C$9, 100%, $E$9)</f>
        <v>24.853999999999999</v>
      </c>
      <c r="M815" s="10">
        <f>CHOOSE(CONTROL!$C$42, 23.8712, 23.8712) * CHOOSE(CONTROL!$C$21, $C$9, 100%, $E$9)</f>
        <v>23.871200000000002</v>
      </c>
      <c r="N815" s="10">
        <f>CHOOSE(CONTROL!$C$42, 23.887, 23.887) * CHOOSE(CONTROL!$C$21, $C$9, 100%, $E$9)</f>
        <v>23.887</v>
      </c>
      <c r="O815" s="10">
        <f>CHOOSE(CONTROL!$C$42, 23.9615, 23.9615) * CHOOSE(CONTROL!$C$21, $C$9, 100%, $E$9)</f>
        <v>23.961500000000001</v>
      </c>
      <c r="P815" s="10">
        <f>CHOOSE(CONTROL!$C$42, 23.9246, 23.9246) * CHOOSE(CONTROL!$C$21, $C$9, 100%, $E$9)</f>
        <v>23.924600000000002</v>
      </c>
      <c r="Q815" s="10">
        <f>CHOOSE(CONTROL!$C$42, 24.5568, 24.5568) * CHOOSE(CONTROL!$C$21, $C$9, 100%, $E$9)</f>
        <v>24.556799999999999</v>
      </c>
      <c r="R815" s="10">
        <f>CHOOSE(CONTROL!$C$42, 25.2052, 25.2052) * CHOOSE(CONTROL!$C$21, $C$9, 100%, $E$9)</f>
        <v>25.205200000000001</v>
      </c>
      <c r="S815" s="10">
        <f>CHOOSE(CONTROL!$C$42, 23.4636, 23.4636) * CHOOSE(CONTROL!$C$21, $C$9, 100%, $E$9)</f>
        <v>23.4636</v>
      </c>
      <c r="T81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15" s="38">
        <f>(1000*CHOOSE(CONTROL!$C$42, 695, 695)*CHOOSE(CONTROL!$C$42, 0.5599, 0.5599)*CHOOSE(CONTROL!$C$42, 30, 30))/1000000</f>
        <v>11.673914999999997</v>
      </c>
      <c r="V815" s="38">
        <f>(1000*CHOOSE(CONTROL!$C$42, 500, 500)*CHOOSE(CONTROL!$C$42, 0.275, 0.275)*CHOOSE(CONTROL!$C$42, 30, 30))/1000000</f>
        <v>4.125</v>
      </c>
      <c r="W815" s="38">
        <f>(1000*CHOOSE(CONTROL!$C$42, 0.1146, 0.1146)*CHOOSE(CONTROL!$C$42, 121.5, 121.5)*CHOOSE(CONTROL!$C$42, 30, 30))/1000000</f>
        <v>0.417717</v>
      </c>
      <c r="X815" s="38">
        <f>(30*0.1790888*100000/1000000)+(30*0.2374*100000/1000000)</f>
        <v>1.2494664</v>
      </c>
      <c r="Y815" s="38">
        <f>(1000*600*CHOOSE(CONTROL!$C$42, 1.0585, 1.0585)*CHOOSE(CONTROL!$C$42, 30, 30))/1000000</f>
        <v>19.053000000000001</v>
      </c>
      <c r="Z815" s="38"/>
      <c r="AA815" s="10"/>
      <c r="AB815" s="39"/>
      <c r="AC815" s="33">
        <f>(B815*122.58+C815*297.941+D815*89.177+E815*40.302+F815*40+G815*160+H815*0+I815*100+J815*300)/(122.58+297.941+89.177+40.302+0+40+160+100+300)</f>
        <v>24.208192331217393</v>
      </c>
      <c r="AD815" s="27">
        <f>(M815*'RAP TEMPLATE-GAS AVAILABILITY'!O814+N815*'RAP TEMPLATE-GAS AVAILABILITY'!P814+O815*'RAP TEMPLATE-GAS AVAILABILITY'!Q814+P815*'RAP TEMPLATE-GAS AVAILABILITY'!R814)/('RAP TEMPLATE-GAS AVAILABILITY'!O814+'RAP TEMPLATE-GAS AVAILABILITY'!P814+'RAP TEMPLATE-GAS AVAILABILITY'!Q814+'RAP TEMPLATE-GAS AVAILABILITY'!R814)</f>
        <v>23.920720143884893</v>
      </c>
    </row>
    <row r="816" spans="1:30" ht="15.75">
      <c r="A816" s="13">
        <v>66111</v>
      </c>
      <c r="B816" s="10">
        <f>CHOOSE(CONTROL!$C$42, 25.8666, 25.8666) * CHOOSE(CONTROL!$C$21, $C$9, 100%, $E$9)</f>
        <v>25.866599999999998</v>
      </c>
      <c r="C816" s="10">
        <f>CHOOSE(CONTROL!$C$42, 25.8717, 25.8717) * CHOOSE(CONTROL!$C$21, $C$9, 100%, $E$9)</f>
        <v>25.871700000000001</v>
      </c>
      <c r="D816" s="10">
        <f>CHOOSE(CONTROL!$C$42, 25.8963, 25.8963) * CHOOSE(CONTROL!$C$21, $C$9, 100%, $E$9)</f>
        <v>25.8963</v>
      </c>
      <c r="E816" s="10">
        <f>CHOOSE(CONTROL!$C$42, 25.9302, 25.9302) * CHOOSE(CONTROL!$C$21, $C$9, 100%, $E$9)</f>
        <v>25.930199999999999</v>
      </c>
      <c r="F816" s="10">
        <f>CHOOSE(CONTROL!$C$42, 25.8368, 25.8368)*CHOOSE(CONTROL!$C$21, $C$9, 100%, $E$9)</f>
        <v>25.8368</v>
      </c>
      <c r="G816" s="10">
        <f>CHOOSE(CONTROL!$C$42, 25.8533, 25.8533)*CHOOSE(CONTROL!$C$21, $C$9, 100%, $E$9)</f>
        <v>25.853300000000001</v>
      </c>
      <c r="H816" s="10">
        <f>CHOOSE(CONTROL!$C$42, 25.919, 25.919) * CHOOSE(CONTROL!$C$21, $C$9, 100%, $E$9)</f>
        <v>25.919</v>
      </c>
      <c r="I816" s="10">
        <f>CHOOSE(CONTROL!$C$42, 25.8816, 25.8816)* CHOOSE(CONTROL!$C$21, $C$9, 100%, $E$9)</f>
        <v>25.881599999999999</v>
      </c>
      <c r="J816" s="10">
        <f>CHOOSE(CONTROL!$C$42, 25.8294, 25.8294)* CHOOSE(CONTROL!$C$21, $C$9, 100%, $E$9)</f>
        <v>25.8294</v>
      </c>
      <c r="K816" s="10">
        <f>CHOOSE(CONTROL!$C$42, 25.2403, 25.2403) * CHOOSE(CONTROL!$C$21, $C$9, 100%, $E$9)</f>
        <v>25.240300000000001</v>
      </c>
      <c r="L816" s="10">
        <f>CHOOSE(CONTROL!$C$42, 26.506, 26.506) * CHOOSE(CONTROL!$C$21, $C$9, 100%, $E$9)</f>
        <v>26.506</v>
      </c>
      <c r="M816" s="10">
        <f>CHOOSE(CONTROL!$C$42, 25.5021, 25.5021) * CHOOSE(CONTROL!$C$21, $C$9, 100%, $E$9)</f>
        <v>25.502099999999999</v>
      </c>
      <c r="N816" s="10">
        <f>CHOOSE(CONTROL!$C$42, 25.5183, 25.5183) * CHOOSE(CONTROL!$C$21, $C$9, 100%, $E$9)</f>
        <v>25.5183</v>
      </c>
      <c r="O816" s="10">
        <f>CHOOSE(CONTROL!$C$42, 25.5905, 25.5905) * CHOOSE(CONTROL!$C$21, $C$9, 100%, $E$9)</f>
        <v>25.590499999999999</v>
      </c>
      <c r="P816" s="10">
        <f>CHOOSE(CONTROL!$C$42, 25.5536, 25.5536) * CHOOSE(CONTROL!$C$21, $C$9, 100%, $E$9)</f>
        <v>25.553599999999999</v>
      </c>
      <c r="Q816" s="10">
        <f>CHOOSE(CONTROL!$C$42, 26.1858, 26.1858) * CHOOSE(CONTROL!$C$21, $C$9, 100%, $E$9)</f>
        <v>26.1858</v>
      </c>
      <c r="R816" s="10">
        <f>CHOOSE(CONTROL!$C$42, 26.8382, 26.8382) * CHOOSE(CONTROL!$C$21, $C$9, 100%, $E$9)</f>
        <v>26.838200000000001</v>
      </c>
      <c r="S816" s="10">
        <f>CHOOSE(CONTROL!$C$42, 25.0633, 25.0633) * CHOOSE(CONTROL!$C$21, $C$9, 100%, $E$9)</f>
        <v>25.063300000000002</v>
      </c>
      <c r="T81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16" s="38">
        <f>(1000*CHOOSE(CONTROL!$C$42, 695, 695)*CHOOSE(CONTROL!$C$42, 0.5599, 0.5599)*CHOOSE(CONTROL!$C$42, 31, 31))/1000000</f>
        <v>12.063045499999998</v>
      </c>
      <c r="V816" s="38">
        <f>(1000*CHOOSE(CONTROL!$C$42, 500, 500)*CHOOSE(CONTROL!$C$42, 0.275, 0.275)*CHOOSE(CONTROL!$C$42, 31, 31))/1000000</f>
        <v>4.2625000000000002</v>
      </c>
      <c r="W816" s="38">
        <f>(1000*CHOOSE(CONTROL!$C$42, 0.1146, 0.1146)*CHOOSE(CONTROL!$C$42, 121.5, 121.5)*CHOOSE(CONTROL!$C$42, 31, 31))/1000000</f>
        <v>0.43164089999999994</v>
      </c>
      <c r="X816" s="38">
        <f>(31*0.1790888*100000/1000000)+(31*0.2374*100000/1000000)</f>
        <v>1.2911152800000001</v>
      </c>
      <c r="Y816" s="38">
        <f>(1000*600*CHOOSE(CONTROL!$C$42, 1.0585, 1.0585)*CHOOSE(CONTROL!$C$42, 31, 31))/1000000</f>
        <v>19.688099999999999</v>
      </c>
      <c r="Z816" s="38"/>
      <c r="AA816" s="10"/>
      <c r="AB816" s="39"/>
      <c r="AC816" s="33">
        <f>(B816*122.58+C816*297.941+D816*89.177+E816*40.302+F816*40+G816*160+H816*0+I816*100+J816*300)/(122.58+297.941+89.177+40.302+0+40+160+100+300)</f>
        <v>25.861166315826086</v>
      </c>
      <c r="AD816" s="27">
        <f>(M816*'RAP TEMPLATE-GAS AVAILABILITY'!O815+N816*'RAP TEMPLATE-GAS AVAILABILITY'!P815+O816*'RAP TEMPLATE-GAS AVAILABILITY'!Q815+P816*'RAP TEMPLATE-GAS AVAILABILITY'!R815)/('RAP TEMPLATE-GAS AVAILABILITY'!O815+'RAP TEMPLATE-GAS AVAILABILITY'!P815+'RAP TEMPLATE-GAS AVAILABILITY'!Q815+'RAP TEMPLATE-GAS AVAILABILITY'!R815)</f>
        <v>25.550508633093528</v>
      </c>
    </row>
    <row r="817" spans="1:30" ht="15.75">
      <c r="A817" s="13">
        <v>66142</v>
      </c>
      <c r="B817" s="10">
        <f>CHOOSE(CONTROL!$C$42, 27.6135, 27.6135) * CHOOSE(CONTROL!$C$21, $C$9, 100%, $E$9)</f>
        <v>27.613499999999998</v>
      </c>
      <c r="C817" s="10">
        <f>CHOOSE(CONTROL!$C$42, 27.6186, 27.6186) * CHOOSE(CONTROL!$C$21, $C$9, 100%, $E$9)</f>
        <v>27.618600000000001</v>
      </c>
      <c r="D817" s="10">
        <f>CHOOSE(CONTROL!$C$42, 27.651, 27.651) * CHOOSE(CONTROL!$C$21, $C$9, 100%, $E$9)</f>
        <v>27.651</v>
      </c>
      <c r="E817" s="10">
        <f>CHOOSE(CONTROL!$C$42, 27.6848, 27.6848) * CHOOSE(CONTROL!$C$21, $C$9, 100%, $E$9)</f>
        <v>27.684799999999999</v>
      </c>
      <c r="F817" s="10">
        <f>CHOOSE(CONTROL!$C$42, 27.5977, 27.5977)*CHOOSE(CONTROL!$C$21, $C$9, 100%, $E$9)</f>
        <v>27.5977</v>
      </c>
      <c r="G817" s="10">
        <f>CHOOSE(CONTROL!$C$42, 27.6157, 27.6157)*CHOOSE(CONTROL!$C$21, $C$9, 100%, $E$9)</f>
        <v>27.6157</v>
      </c>
      <c r="H817" s="10">
        <f>CHOOSE(CONTROL!$C$42, 27.6737, 27.6737) * CHOOSE(CONTROL!$C$21, $C$9, 100%, $E$9)</f>
        <v>27.6737</v>
      </c>
      <c r="I817" s="10">
        <f>CHOOSE(CONTROL!$C$42, 27.6269, 27.6269)* CHOOSE(CONTROL!$C$21, $C$9, 100%, $E$9)</f>
        <v>27.626899999999999</v>
      </c>
      <c r="J817" s="10">
        <f>CHOOSE(CONTROL!$C$42, 27.5903, 27.5903)* CHOOSE(CONTROL!$C$21, $C$9, 100%, $E$9)</f>
        <v>27.590299999999999</v>
      </c>
      <c r="K817" s="10">
        <f>CHOOSE(CONTROL!$C$42, 26.9452, 26.9452) * CHOOSE(CONTROL!$C$21, $C$9, 100%, $E$9)</f>
        <v>26.9452</v>
      </c>
      <c r="L817" s="10">
        <f>CHOOSE(CONTROL!$C$42, 28.2607, 28.2607) * CHOOSE(CONTROL!$C$21, $C$9, 100%, $E$9)</f>
        <v>28.2607</v>
      </c>
      <c r="M817" s="10">
        <f>CHOOSE(CONTROL!$C$42, 27.2384, 27.2384) * CHOOSE(CONTROL!$C$21, $C$9, 100%, $E$9)</f>
        <v>27.238399999999999</v>
      </c>
      <c r="N817" s="10">
        <f>CHOOSE(CONTROL!$C$42, 27.2562, 27.2562) * CHOOSE(CONTROL!$C$21, $C$9, 100%, $E$9)</f>
        <v>27.2562</v>
      </c>
      <c r="O817" s="10">
        <f>CHOOSE(CONTROL!$C$42, 27.3207, 27.3207) * CHOOSE(CONTROL!$C$21, $C$9, 100%, $E$9)</f>
        <v>27.320699999999999</v>
      </c>
      <c r="P817" s="10">
        <f>CHOOSE(CONTROL!$C$42, 27.2746, 27.2746) * CHOOSE(CONTROL!$C$21, $C$9, 100%, $E$9)</f>
        <v>27.2746</v>
      </c>
      <c r="Q817" s="10">
        <f>CHOOSE(CONTROL!$C$42, 27.916, 27.916) * CHOOSE(CONTROL!$C$21, $C$9, 100%, $E$9)</f>
        <v>27.916</v>
      </c>
      <c r="R817" s="10">
        <f>CHOOSE(CONTROL!$C$42, 28.5728, 28.5728) * CHOOSE(CONTROL!$C$21, $C$9, 100%, $E$9)</f>
        <v>28.572800000000001</v>
      </c>
      <c r="S817" s="10">
        <f>CHOOSE(CONTROL!$C$42, 26.7548, 26.7548) * CHOOSE(CONTROL!$C$21, $C$9, 100%, $E$9)</f>
        <v>26.754799999999999</v>
      </c>
      <c r="T81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17" s="38">
        <f>(1000*CHOOSE(CONTROL!$C$42, 695, 695)*CHOOSE(CONTROL!$C$42, 0.5599, 0.5599)*CHOOSE(CONTROL!$C$42, 31, 31))/1000000</f>
        <v>12.063045499999998</v>
      </c>
      <c r="V817" s="38">
        <f>(1000*CHOOSE(CONTROL!$C$42, 500, 500)*CHOOSE(CONTROL!$C$42, 0.275, 0.275)*CHOOSE(CONTROL!$C$42, 31, 31))/1000000</f>
        <v>4.2625000000000002</v>
      </c>
      <c r="W817" s="38">
        <f>(1000*CHOOSE(CONTROL!$C$42, 0.1146, 0.1146)*CHOOSE(CONTROL!$C$42, 121.5, 121.5)*CHOOSE(CONTROL!$C$42, 31, 31))/1000000</f>
        <v>0.43164089999999994</v>
      </c>
      <c r="X817" s="38">
        <f>(31*0.1790888*100000/1000000)+(31*0.2374*100000/1000000)</f>
        <v>1.2911152800000001</v>
      </c>
      <c r="Y817" s="38">
        <f>(1000*600*CHOOSE(CONTROL!$C$42, 1.0585, 1.0585)*CHOOSE(CONTROL!$C$42, 31, 31))/1000000</f>
        <v>19.688099999999999</v>
      </c>
      <c r="Z817" s="38"/>
      <c r="AA817" s="10"/>
      <c r="AB817" s="39"/>
      <c r="AC817" s="33">
        <f>(B817*122.58+C817*297.941+D817*89.177+E817*40.302+F817*40+G817*160+H817*0+I817*100+J817*300)/(122.58+297.941+89.177+40.302+0+40+160+100+300)</f>
        <v>27.615097538434782</v>
      </c>
      <c r="AD817" s="27">
        <f>(M817*'RAP TEMPLATE-GAS AVAILABILITY'!O816+N817*'RAP TEMPLATE-GAS AVAILABILITY'!P816+O817*'RAP TEMPLATE-GAS AVAILABILITY'!Q816+P817*'RAP TEMPLATE-GAS AVAILABILITY'!R816)/('RAP TEMPLATE-GAS AVAILABILITY'!O816+'RAP TEMPLATE-GAS AVAILABILITY'!P816+'RAP TEMPLATE-GAS AVAILABILITY'!Q816+'RAP TEMPLATE-GAS AVAILABILITY'!R816)</f>
        <v>27.281934532374098</v>
      </c>
    </row>
    <row r="818" spans="1:30" ht="15.75">
      <c r="A818" s="13">
        <v>66170</v>
      </c>
      <c r="B818" s="10">
        <f>CHOOSE(CONTROL!$C$42, 28.1054, 28.1054) * CHOOSE(CONTROL!$C$21, $C$9, 100%, $E$9)</f>
        <v>28.105399999999999</v>
      </c>
      <c r="C818" s="10">
        <f>CHOOSE(CONTROL!$C$42, 28.1105, 28.1105) * CHOOSE(CONTROL!$C$21, $C$9, 100%, $E$9)</f>
        <v>28.110499999999998</v>
      </c>
      <c r="D818" s="10">
        <f>CHOOSE(CONTROL!$C$42, 28.1429, 28.1429) * CHOOSE(CONTROL!$C$21, $C$9, 100%, $E$9)</f>
        <v>28.142900000000001</v>
      </c>
      <c r="E818" s="10">
        <f>CHOOSE(CONTROL!$C$42, 28.1767, 28.1767) * CHOOSE(CONTROL!$C$21, $C$9, 100%, $E$9)</f>
        <v>28.1767</v>
      </c>
      <c r="F818" s="10">
        <f>CHOOSE(CONTROL!$C$42, 28.0891, 28.0891)*CHOOSE(CONTROL!$C$21, $C$9, 100%, $E$9)</f>
        <v>28.089099999999998</v>
      </c>
      <c r="G818" s="10">
        <f>CHOOSE(CONTROL!$C$42, 28.107, 28.107)*CHOOSE(CONTROL!$C$21, $C$9, 100%, $E$9)</f>
        <v>28.106999999999999</v>
      </c>
      <c r="H818" s="10">
        <f>CHOOSE(CONTROL!$C$42, 28.1656, 28.1656) * CHOOSE(CONTROL!$C$21, $C$9, 100%, $E$9)</f>
        <v>28.165600000000001</v>
      </c>
      <c r="I818" s="10">
        <f>CHOOSE(CONTROL!$C$42, 28.1188, 28.1188)* CHOOSE(CONTROL!$C$21, $C$9, 100%, $E$9)</f>
        <v>28.1188</v>
      </c>
      <c r="J818" s="10">
        <f>CHOOSE(CONTROL!$C$42, 28.0817, 28.0817)* CHOOSE(CONTROL!$C$21, $C$9, 100%, $E$9)</f>
        <v>28.081700000000001</v>
      </c>
      <c r="K818" s="10">
        <f>CHOOSE(CONTROL!$C$42, 27.4207, 27.4207) * CHOOSE(CONTROL!$C$21, $C$9, 100%, $E$9)</f>
        <v>27.4207</v>
      </c>
      <c r="L818" s="10">
        <f>CHOOSE(CONTROL!$C$42, 28.7526, 28.7526) * CHOOSE(CONTROL!$C$21, $C$9, 100%, $E$9)</f>
        <v>28.752600000000001</v>
      </c>
      <c r="M818" s="10">
        <f>CHOOSE(CONTROL!$C$42, 27.7229, 27.7229) * CHOOSE(CONTROL!$C$21, $C$9, 100%, $E$9)</f>
        <v>27.722899999999999</v>
      </c>
      <c r="N818" s="10">
        <f>CHOOSE(CONTROL!$C$42, 27.7406, 27.7406) * CHOOSE(CONTROL!$C$21, $C$9, 100%, $E$9)</f>
        <v>27.740600000000001</v>
      </c>
      <c r="O818" s="10">
        <f>CHOOSE(CONTROL!$C$42, 27.8057, 27.8057) * CHOOSE(CONTROL!$C$21, $C$9, 100%, $E$9)</f>
        <v>27.805700000000002</v>
      </c>
      <c r="P818" s="10">
        <f>CHOOSE(CONTROL!$C$42, 27.7596, 27.7596) * CHOOSE(CONTROL!$C$21, $C$9, 100%, $E$9)</f>
        <v>27.759599999999999</v>
      </c>
      <c r="Q818" s="10">
        <f>CHOOSE(CONTROL!$C$42, 28.401, 28.401) * CHOOSE(CONTROL!$C$21, $C$9, 100%, $E$9)</f>
        <v>28.401</v>
      </c>
      <c r="R818" s="10">
        <f>CHOOSE(CONTROL!$C$42, 29.059, 29.059) * CHOOSE(CONTROL!$C$21, $C$9, 100%, $E$9)</f>
        <v>29.059000000000001</v>
      </c>
      <c r="S818" s="10">
        <f>CHOOSE(CONTROL!$C$42, 27.2311, 27.2311) * CHOOSE(CONTROL!$C$21, $C$9, 100%, $E$9)</f>
        <v>27.231100000000001</v>
      </c>
      <c r="T81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18" s="38">
        <f>(1000*CHOOSE(CONTROL!$C$42, 695, 695)*CHOOSE(CONTROL!$C$42, 0.5599, 0.5599)*CHOOSE(CONTROL!$C$42, 28, 28))/1000000</f>
        <v>10.895653999999999</v>
      </c>
      <c r="V818" s="38">
        <f>(1000*CHOOSE(CONTROL!$C$42, 500, 500)*CHOOSE(CONTROL!$C$42, 0.275, 0.275)*CHOOSE(CONTROL!$C$42, 28, 28))/1000000</f>
        <v>3.85</v>
      </c>
      <c r="W818" s="38">
        <f>(1000*CHOOSE(CONTROL!$C$42, 0.1146, 0.1146)*CHOOSE(CONTROL!$C$42, 121.5, 121.5)*CHOOSE(CONTROL!$C$42, 28, 28))/1000000</f>
        <v>0.38986920000000003</v>
      </c>
      <c r="X818" s="38">
        <f>(28*0.1790888*100000/1000000)+(28*0.2374*100000/1000000)</f>
        <v>1.16616864</v>
      </c>
      <c r="Y818" s="38">
        <f>(1000*600*CHOOSE(CONTROL!$C$42, 1.0585, 1.0585)*CHOOSE(CONTROL!$C$42, 28, 28))/1000000</f>
        <v>17.782800000000002</v>
      </c>
      <c r="Z818" s="38"/>
      <c r="AA818" s="10"/>
      <c r="AB818" s="39"/>
      <c r="AC818" s="33">
        <f>(B818*122.58+C818*297.941+D818*89.177+E818*40.302+F818*40+G818*160+H818*0+I818*100+J818*300)/(122.58+297.941+89.177+40.302+0+40+160+100+300)</f>
        <v>28.106766234086955</v>
      </c>
      <c r="AD818" s="27">
        <f>(M818*'RAP TEMPLATE-GAS AVAILABILITY'!O817+N818*'RAP TEMPLATE-GAS AVAILABILITY'!P817+O818*'RAP TEMPLATE-GAS AVAILABILITY'!Q817+P818*'RAP TEMPLATE-GAS AVAILABILITY'!R817)/('RAP TEMPLATE-GAS AVAILABILITY'!O817+'RAP TEMPLATE-GAS AVAILABILITY'!P817+'RAP TEMPLATE-GAS AVAILABILITY'!Q817+'RAP TEMPLATE-GAS AVAILABILITY'!R817)</f>
        <v>27.766727338129495</v>
      </c>
    </row>
    <row r="819" spans="1:30" ht="15.75">
      <c r="A819" s="13">
        <v>66201</v>
      </c>
      <c r="B819" s="10">
        <f>CHOOSE(CONTROL!$C$42, 27.307, 27.307) * CHOOSE(CONTROL!$C$21, $C$9, 100%, $E$9)</f>
        <v>27.306999999999999</v>
      </c>
      <c r="C819" s="10">
        <f>CHOOSE(CONTROL!$C$42, 27.3121, 27.3121) * CHOOSE(CONTROL!$C$21, $C$9, 100%, $E$9)</f>
        <v>27.312100000000001</v>
      </c>
      <c r="D819" s="10">
        <f>CHOOSE(CONTROL!$C$42, 27.3445, 27.3445) * CHOOSE(CONTROL!$C$21, $C$9, 100%, $E$9)</f>
        <v>27.3445</v>
      </c>
      <c r="E819" s="10">
        <f>CHOOSE(CONTROL!$C$42, 27.3783, 27.3783) * CHOOSE(CONTROL!$C$21, $C$9, 100%, $E$9)</f>
        <v>27.378299999999999</v>
      </c>
      <c r="F819" s="10">
        <f>CHOOSE(CONTROL!$C$42, 27.2892, 27.2892)*CHOOSE(CONTROL!$C$21, $C$9, 100%, $E$9)</f>
        <v>27.289200000000001</v>
      </c>
      <c r="G819" s="10">
        <f>CHOOSE(CONTROL!$C$42, 27.3068, 27.3068)*CHOOSE(CONTROL!$C$21, $C$9, 100%, $E$9)</f>
        <v>27.306799999999999</v>
      </c>
      <c r="H819" s="10">
        <f>CHOOSE(CONTROL!$C$42, 27.3672, 27.3672) * CHOOSE(CONTROL!$C$21, $C$9, 100%, $E$9)</f>
        <v>27.3672</v>
      </c>
      <c r="I819" s="10">
        <f>CHOOSE(CONTROL!$C$42, 27.3204, 27.3204)* CHOOSE(CONTROL!$C$21, $C$9, 100%, $E$9)</f>
        <v>27.320399999999999</v>
      </c>
      <c r="J819" s="10">
        <f>CHOOSE(CONTROL!$C$42, 27.2818, 27.2818)* CHOOSE(CONTROL!$C$21, $C$9, 100%, $E$9)</f>
        <v>27.2818</v>
      </c>
      <c r="K819" s="10">
        <f>CHOOSE(CONTROL!$C$42, 26.6441, 26.6441) * CHOOSE(CONTROL!$C$21, $C$9, 100%, $E$9)</f>
        <v>26.644100000000002</v>
      </c>
      <c r="L819" s="10">
        <f>CHOOSE(CONTROL!$C$42, 27.9542, 27.9542) * CHOOSE(CONTROL!$C$21, $C$9, 100%, $E$9)</f>
        <v>27.9542</v>
      </c>
      <c r="M819" s="10">
        <f>CHOOSE(CONTROL!$C$42, 26.9342, 26.9342) * CHOOSE(CONTROL!$C$21, $C$9, 100%, $E$9)</f>
        <v>26.934200000000001</v>
      </c>
      <c r="N819" s="10">
        <f>CHOOSE(CONTROL!$C$42, 26.9516, 26.9516) * CHOOSE(CONTROL!$C$21, $C$9, 100%, $E$9)</f>
        <v>26.951599999999999</v>
      </c>
      <c r="O819" s="10">
        <f>CHOOSE(CONTROL!$C$42, 27.0184, 27.0184) * CHOOSE(CONTROL!$C$21, $C$9, 100%, $E$9)</f>
        <v>27.0184</v>
      </c>
      <c r="P819" s="10">
        <f>CHOOSE(CONTROL!$C$42, 26.9723, 26.9723) * CHOOSE(CONTROL!$C$21, $C$9, 100%, $E$9)</f>
        <v>26.972300000000001</v>
      </c>
      <c r="Q819" s="10">
        <f>CHOOSE(CONTROL!$C$42, 27.6137, 27.6137) * CHOOSE(CONTROL!$C$21, $C$9, 100%, $E$9)</f>
        <v>27.613700000000001</v>
      </c>
      <c r="R819" s="10">
        <f>CHOOSE(CONTROL!$C$42, 28.2697, 28.2697) * CHOOSE(CONTROL!$C$21, $C$9, 100%, $E$9)</f>
        <v>28.2697</v>
      </c>
      <c r="S819" s="10">
        <f>CHOOSE(CONTROL!$C$42, 26.458, 26.458) * CHOOSE(CONTROL!$C$21, $C$9, 100%, $E$9)</f>
        <v>26.457999999999998</v>
      </c>
      <c r="T81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19" s="38">
        <f>(1000*CHOOSE(CONTROL!$C$42, 695, 695)*CHOOSE(CONTROL!$C$42, 0.5599, 0.5599)*CHOOSE(CONTROL!$C$42, 31, 31))/1000000</f>
        <v>12.063045499999998</v>
      </c>
      <c r="V819" s="38">
        <f>(1000*CHOOSE(CONTROL!$C$42, 500, 500)*CHOOSE(CONTROL!$C$42, 0.275, 0.275)*CHOOSE(CONTROL!$C$42, 31, 31))/1000000</f>
        <v>4.2625000000000002</v>
      </c>
      <c r="W819" s="38">
        <f>(1000*CHOOSE(CONTROL!$C$42, 0.1146, 0.1146)*CHOOSE(CONTROL!$C$42, 121.5, 121.5)*CHOOSE(CONTROL!$C$42, 31, 31))/1000000</f>
        <v>0.43164089999999994</v>
      </c>
      <c r="X819" s="38">
        <f>(31*0.1790888*100000/1000000)+(31*0.2374*100000/1000000)</f>
        <v>1.2911152800000001</v>
      </c>
      <c r="Y819" s="38">
        <f>(1000*600*CHOOSE(CONTROL!$C$42, 1.0585, 1.0585)*CHOOSE(CONTROL!$C$42, 31, 31))/1000000</f>
        <v>19.688099999999999</v>
      </c>
      <c r="Z819" s="38"/>
      <c r="AA819" s="10"/>
      <c r="AB819" s="39"/>
      <c r="AC819" s="33">
        <f>(B819*122.58+C819*297.941+D819*89.177+E819*40.302+F819*40+G819*160+H819*0+I819*100+J819*300)/(122.58+297.941+89.177+40.302+0+40+160+100+300)</f>
        <v>27.307672321043484</v>
      </c>
      <c r="AD819" s="27">
        <f>(M819*'RAP TEMPLATE-GAS AVAILABILITY'!O818+N819*'RAP TEMPLATE-GAS AVAILABILITY'!P818+O819*'RAP TEMPLATE-GAS AVAILABILITY'!Q818+P819*'RAP TEMPLATE-GAS AVAILABILITY'!R818)/('RAP TEMPLATE-GAS AVAILABILITY'!O818+'RAP TEMPLATE-GAS AVAILABILITY'!P818+'RAP TEMPLATE-GAS AVAILABILITY'!Q818+'RAP TEMPLATE-GAS AVAILABILITY'!R818)</f>
        <v>26.978846043165472</v>
      </c>
    </row>
    <row r="820" spans="1:30" ht="15.75">
      <c r="A820" s="13">
        <v>66231</v>
      </c>
      <c r="B820" s="10">
        <f>CHOOSE(CONTROL!$C$42, 27.2259, 27.2259) * CHOOSE(CONTROL!$C$21, $C$9, 100%, $E$9)</f>
        <v>27.225899999999999</v>
      </c>
      <c r="C820" s="10">
        <f>CHOOSE(CONTROL!$C$42, 27.2304, 27.2304) * CHOOSE(CONTROL!$C$21, $C$9, 100%, $E$9)</f>
        <v>27.230399999999999</v>
      </c>
      <c r="D820" s="10">
        <f>CHOOSE(CONTROL!$C$42, 27.3906, 27.3906) * CHOOSE(CONTROL!$C$21, $C$9, 100%, $E$9)</f>
        <v>27.390599999999999</v>
      </c>
      <c r="E820" s="10">
        <f>CHOOSE(CONTROL!$C$42, 27.4224, 27.4224) * CHOOSE(CONTROL!$C$21, $C$9, 100%, $E$9)</f>
        <v>27.4224</v>
      </c>
      <c r="F820" s="10">
        <f>CHOOSE(CONTROL!$C$42, 27.172, 27.172)*CHOOSE(CONTROL!$C$21, $C$9, 100%, $E$9)</f>
        <v>27.172000000000001</v>
      </c>
      <c r="G820" s="10">
        <f>CHOOSE(CONTROL!$C$42, 27.1878, 27.1878)*CHOOSE(CONTROL!$C$21, $C$9, 100%, $E$9)</f>
        <v>27.187799999999999</v>
      </c>
      <c r="H820" s="10">
        <f>CHOOSE(CONTROL!$C$42, 27.4119, 27.4119) * CHOOSE(CONTROL!$C$21, $C$9, 100%, $E$9)</f>
        <v>27.411899999999999</v>
      </c>
      <c r="I820" s="10">
        <f>CHOOSE(CONTROL!$C$42, 27.2061, 27.2061)* CHOOSE(CONTROL!$C$21, $C$9, 100%, $E$9)</f>
        <v>27.206099999999999</v>
      </c>
      <c r="J820" s="10">
        <f>CHOOSE(CONTROL!$C$42, 27.1646, 27.1646)* CHOOSE(CONTROL!$C$21, $C$9, 100%, $E$9)</f>
        <v>27.1646</v>
      </c>
      <c r="K820" s="10">
        <f>CHOOSE(CONTROL!$C$42, 26.5173, 26.5173) * CHOOSE(CONTROL!$C$21, $C$9, 100%, $E$9)</f>
        <v>26.517299999999999</v>
      </c>
      <c r="L820" s="10">
        <f>CHOOSE(CONTROL!$C$42, 27.9989, 27.9989) * CHOOSE(CONTROL!$C$21, $C$9, 100%, $E$9)</f>
        <v>27.998899999999999</v>
      </c>
      <c r="M820" s="10">
        <f>CHOOSE(CONTROL!$C$42, 26.8187, 26.8187) * CHOOSE(CONTROL!$C$21, $C$9, 100%, $E$9)</f>
        <v>26.8187</v>
      </c>
      <c r="N820" s="10">
        <f>CHOOSE(CONTROL!$C$42, 26.8343, 26.8343) * CHOOSE(CONTROL!$C$21, $C$9, 100%, $E$9)</f>
        <v>26.834299999999999</v>
      </c>
      <c r="O820" s="10">
        <f>CHOOSE(CONTROL!$C$42, 27.0625, 27.0625) * CHOOSE(CONTROL!$C$21, $C$9, 100%, $E$9)</f>
        <v>27.0625</v>
      </c>
      <c r="P820" s="10">
        <f>CHOOSE(CONTROL!$C$42, 26.8596, 26.8596) * CHOOSE(CONTROL!$C$21, $C$9, 100%, $E$9)</f>
        <v>26.8596</v>
      </c>
      <c r="Q820" s="10">
        <f>CHOOSE(CONTROL!$C$42, 27.6578, 27.6578) * CHOOSE(CONTROL!$C$21, $C$9, 100%, $E$9)</f>
        <v>27.657800000000002</v>
      </c>
      <c r="R820" s="10">
        <f>CHOOSE(CONTROL!$C$42, 28.3139, 28.3139) * CHOOSE(CONTROL!$C$21, $C$9, 100%, $E$9)</f>
        <v>28.3139</v>
      </c>
      <c r="S820" s="10">
        <f>CHOOSE(CONTROL!$C$42, 26.3788, 26.3788) * CHOOSE(CONTROL!$C$21, $C$9, 100%, $E$9)</f>
        <v>26.378799999999998</v>
      </c>
      <c r="T82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20" s="38">
        <f>(1000*CHOOSE(CONTROL!$C$42, 695, 695)*CHOOSE(CONTROL!$C$42, 0.5599, 0.5599)*CHOOSE(CONTROL!$C$42, 30, 30))/1000000</f>
        <v>11.673914999999997</v>
      </c>
      <c r="V820" s="38">
        <f>(1000*CHOOSE(CONTROL!$C$42, 500, 500)*CHOOSE(CONTROL!$C$42, 0.275, 0.275)*CHOOSE(CONTROL!$C$42, 30, 30))/1000000</f>
        <v>4.125</v>
      </c>
      <c r="W820" s="38">
        <f>(1000*CHOOSE(CONTROL!$C$42, 0.1146, 0.1146)*CHOOSE(CONTROL!$C$42, 121.5, 121.5)*CHOOSE(CONTROL!$C$42, 30, 30))/1000000</f>
        <v>0.417717</v>
      </c>
      <c r="X820" s="38">
        <f>(30*0.1790888*245000/1000000)+(30*0.2374*100000/1000000)</f>
        <v>2.0285026799999999</v>
      </c>
      <c r="Y820" s="38">
        <f>(1000*600*CHOOSE(CONTROL!$C$42, 1.0585, 1.0585)*CHOOSE(CONTROL!$C$42, 30, 30))/1000000</f>
        <v>19.053000000000001</v>
      </c>
      <c r="Z820" s="38"/>
      <c r="AA820" s="10"/>
      <c r="AB820" s="39"/>
      <c r="AC820" s="33">
        <f>(B820*141.293+C820*267.993+D820*115.016+E820*89.698+F820*40+G820*185+H820*0+I820*100+J820*300)/(141.293+267.993+115.016+89.698+0+40+185+100+300)</f>
        <v>27.232518450928168</v>
      </c>
      <c r="AD820" s="27">
        <f>(M820*'RAP TEMPLATE-GAS AVAILABILITY'!O819+N820*'RAP TEMPLATE-GAS AVAILABILITY'!P819+O820*'RAP TEMPLATE-GAS AVAILABILITY'!Q819+P820*'RAP TEMPLATE-GAS AVAILABILITY'!R819)/('RAP TEMPLATE-GAS AVAILABILITY'!O819+'RAP TEMPLATE-GAS AVAILABILITY'!P819+'RAP TEMPLATE-GAS AVAILABILITY'!Q819+'RAP TEMPLATE-GAS AVAILABILITY'!R819)</f>
        <v>26.93598201438849</v>
      </c>
    </row>
    <row r="821" spans="1:30" ht="15.75">
      <c r="A821" s="13">
        <v>66262</v>
      </c>
      <c r="B821" s="10">
        <f>CHOOSE(CONTROL!$C$42, 27.4682, 27.4682) * CHOOSE(CONTROL!$C$21, $C$9, 100%, $E$9)</f>
        <v>27.4682</v>
      </c>
      <c r="C821" s="10">
        <f>CHOOSE(CONTROL!$C$42, 27.4762, 27.4762) * CHOOSE(CONTROL!$C$21, $C$9, 100%, $E$9)</f>
        <v>27.476199999999999</v>
      </c>
      <c r="D821" s="10">
        <f>CHOOSE(CONTROL!$C$42, 27.6332, 27.6332) * CHOOSE(CONTROL!$C$21, $C$9, 100%, $E$9)</f>
        <v>27.633199999999999</v>
      </c>
      <c r="E821" s="10">
        <f>CHOOSE(CONTROL!$C$42, 27.6644, 27.6644) * CHOOSE(CONTROL!$C$21, $C$9, 100%, $E$9)</f>
        <v>27.664400000000001</v>
      </c>
      <c r="F821" s="10">
        <f>CHOOSE(CONTROL!$C$42, 27.4123, 27.4123)*CHOOSE(CONTROL!$C$21, $C$9, 100%, $E$9)</f>
        <v>27.412299999999998</v>
      </c>
      <c r="G821" s="10">
        <f>CHOOSE(CONTROL!$C$42, 27.4284, 27.4284)*CHOOSE(CONTROL!$C$21, $C$9, 100%, $E$9)</f>
        <v>27.4284</v>
      </c>
      <c r="H821" s="10">
        <f>CHOOSE(CONTROL!$C$42, 27.6528, 27.6528) * CHOOSE(CONTROL!$C$21, $C$9, 100%, $E$9)</f>
        <v>27.652799999999999</v>
      </c>
      <c r="I821" s="10">
        <f>CHOOSE(CONTROL!$C$42, 27.447, 27.447)* CHOOSE(CONTROL!$C$21, $C$9, 100%, $E$9)</f>
        <v>27.446999999999999</v>
      </c>
      <c r="J821" s="10">
        <f>CHOOSE(CONTROL!$C$42, 27.4049, 27.4049)* CHOOSE(CONTROL!$C$21, $C$9, 100%, $E$9)</f>
        <v>27.404900000000001</v>
      </c>
      <c r="K821" s="10">
        <f>CHOOSE(CONTROL!$C$42, 26.7494, 26.7494) * CHOOSE(CONTROL!$C$21, $C$9, 100%, $E$9)</f>
        <v>26.749400000000001</v>
      </c>
      <c r="L821" s="10">
        <f>CHOOSE(CONTROL!$C$42, 28.2398, 28.2398) * CHOOSE(CONTROL!$C$21, $C$9, 100%, $E$9)</f>
        <v>28.239799999999999</v>
      </c>
      <c r="M821" s="10">
        <f>CHOOSE(CONTROL!$C$42, 27.0556, 27.0556) * CHOOSE(CONTROL!$C$21, $C$9, 100%, $E$9)</f>
        <v>27.055599999999998</v>
      </c>
      <c r="N821" s="10">
        <f>CHOOSE(CONTROL!$C$42, 27.0715, 27.0715) * CHOOSE(CONTROL!$C$21, $C$9, 100%, $E$9)</f>
        <v>27.0715</v>
      </c>
      <c r="O821" s="10">
        <f>CHOOSE(CONTROL!$C$42, 27.3, 27.3) * CHOOSE(CONTROL!$C$21, $C$9, 100%, $E$9)</f>
        <v>27.3</v>
      </c>
      <c r="P821" s="10">
        <f>CHOOSE(CONTROL!$C$42, 27.0971, 27.0971) * CHOOSE(CONTROL!$C$21, $C$9, 100%, $E$9)</f>
        <v>27.097100000000001</v>
      </c>
      <c r="Q821" s="10">
        <f>CHOOSE(CONTROL!$C$42, 27.8953, 27.8953) * CHOOSE(CONTROL!$C$21, $C$9, 100%, $E$9)</f>
        <v>27.895299999999999</v>
      </c>
      <c r="R821" s="10">
        <f>CHOOSE(CONTROL!$C$42, 28.552, 28.552) * CHOOSE(CONTROL!$C$21, $C$9, 100%, $E$9)</f>
        <v>28.552</v>
      </c>
      <c r="S821" s="10">
        <f>CHOOSE(CONTROL!$C$42, 26.612, 26.612) * CHOOSE(CONTROL!$C$21, $C$9, 100%, $E$9)</f>
        <v>26.611999999999998</v>
      </c>
      <c r="T82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21" s="38">
        <f>(1000*CHOOSE(CONTROL!$C$42, 695, 695)*CHOOSE(CONTROL!$C$42, 0.5599, 0.5599)*CHOOSE(CONTROL!$C$42, 31, 31))/1000000</f>
        <v>12.063045499999998</v>
      </c>
      <c r="V821" s="38">
        <f>(1000*CHOOSE(CONTROL!$C$42, 500, 500)*CHOOSE(CONTROL!$C$42, 0.275, 0.275)*CHOOSE(CONTROL!$C$42, 31, 31))/1000000</f>
        <v>4.2625000000000002</v>
      </c>
      <c r="W821" s="38">
        <f>(1000*CHOOSE(CONTROL!$C$42, 0.1146, 0.1146)*CHOOSE(CONTROL!$C$42, 121.5, 121.5)*CHOOSE(CONTROL!$C$42, 31, 31))/1000000</f>
        <v>0.43164089999999994</v>
      </c>
      <c r="X821" s="38">
        <f>(31*0.1790888*245000/1000000)+(31*0.2374*100000/1000000)</f>
        <v>2.0961194359999999</v>
      </c>
      <c r="Y821" s="38">
        <f>(1000*600*CHOOSE(CONTROL!$C$42, 1.0585, 1.0585)*CHOOSE(CONTROL!$C$42, 31, 31))/1000000</f>
        <v>19.688099999999999</v>
      </c>
      <c r="Z821" s="38"/>
      <c r="AA821" s="10"/>
      <c r="AB821" s="39"/>
      <c r="AC821" s="33">
        <f>(B821*194.205+C821*267.466+D821*133.845+E821*53.484+F821*40+G821*185+H821*0+I821*100+J821*300)/(194.205+267.466+133.845+53.484+0+40+185+100+300)</f>
        <v>27.471346557142859</v>
      </c>
      <c r="AD821" s="27">
        <f>(M821*'RAP TEMPLATE-GAS AVAILABILITY'!O820+N821*'RAP TEMPLATE-GAS AVAILABILITY'!P820+O821*'RAP TEMPLATE-GAS AVAILABILITY'!Q820+P821*'RAP TEMPLATE-GAS AVAILABILITY'!R820)/('RAP TEMPLATE-GAS AVAILABILITY'!O820+'RAP TEMPLATE-GAS AVAILABILITY'!P820+'RAP TEMPLATE-GAS AVAILABILITY'!Q820+'RAP TEMPLATE-GAS AVAILABILITY'!R820)</f>
        <v>27.173257553956834</v>
      </c>
    </row>
    <row r="822" spans="1:30" ht="15.75">
      <c r="A822" s="13">
        <v>66292</v>
      </c>
      <c r="B822" s="10">
        <f>CHOOSE(CONTROL!$C$42, 28.2477, 28.2477) * CHOOSE(CONTROL!$C$21, $C$9, 100%, $E$9)</f>
        <v>28.247699999999998</v>
      </c>
      <c r="C822" s="10">
        <f>CHOOSE(CONTROL!$C$42, 28.2557, 28.2557) * CHOOSE(CONTROL!$C$21, $C$9, 100%, $E$9)</f>
        <v>28.255700000000001</v>
      </c>
      <c r="D822" s="10">
        <f>CHOOSE(CONTROL!$C$42, 28.4128, 28.4128) * CHOOSE(CONTROL!$C$21, $C$9, 100%, $E$9)</f>
        <v>28.412800000000001</v>
      </c>
      <c r="E822" s="10">
        <f>CHOOSE(CONTROL!$C$42, 28.444, 28.444) * CHOOSE(CONTROL!$C$21, $C$9, 100%, $E$9)</f>
        <v>28.443999999999999</v>
      </c>
      <c r="F822" s="10">
        <f>CHOOSE(CONTROL!$C$42, 28.1921, 28.1921)*CHOOSE(CONTROL!$C$21, $C$9, 100%, $E$9)</f>
        <v>28.1921</v>
      </c>
      <c r="G822" s="10">
        <f>CHOOSE(CONTROL!$C$42, 28.2082, 28.2082)*CHOOSE(CONTROL!$C$21, $C$9, 100%, $E$9)</f>
        <v>28.208200000000001</v>
      </c>
      <c r="H822" s="10">
        <f>CHOOSE(CONTROL!$C$42, 28.4323, 28.4323) * CHOOSE(CONTROL!$C$21, $C$9, 100%, $E$9)</f>
        <v>28.432300000000001</v>
      </c>
      <c r="I822" s="10">
        <f>CHOOSE(CONTROL!$C$42, 28.2265, 28.2265)* CHOOSE(CONTROL!$C$21, $C$9, 100%, $E$9)</f>
        <v>28.226500000000001</v>
      </c>
      <c r="J822" s="10">
        <f>CHOOSE(CONTROL!$C$42, 28.1847, 28.1847)* CHOOSE(CONTROL!$C$21, $C$9, 100%, $E$9)</f>
        <v>28.184699999999999</v>
      </c>
      <c r="K822" s="10">
        <f>CHOOSE(CONTROL!$C$42, 27.505, 27.505) * CHOOSE(CONTROL!$C$21, $C$9, 100%, $E$9)</f>
        <v>27.504999999999999</v>
      </c>
      <c r="L822" s="10">
        <f>CHOOSE(CONTROL!$C$42, 29.0193, 29.0193) * CHOOSE(CONTROL!$C$21, $C$9, 100%, $E$9)</f>
        <v>29.019300000000001</v>
      </c>
      <c r="M822" s="10">
        <f>CHOOSE(CONTROL!$C$42, 27.8245, 27.8245) * CHOOSE(CONTROL!$C$21, $C$9, 100%, $E$9)</f>
        <v>27.8245</v>
      </c>
      <c r="N822" s="10">
        <f>CHOOSE(CONTROL!$C$42, 27.8404, 27.8404) * CHOOSE(CONTROL!$C$21, $C$9, 100%, $E$9)</f>
        <v>27.840399999999999</v>
      </c>
      <c r="O822" s="10">
        <f>CHOOSE(CONTROL!$C$42, 28.0687, 28.0687) * CHOOSE(CONTROL!$C$21, $C$9, 100%, $E$9)</f>
        <v>28.0687</v>
      </c>
      <c r="P822" s="10">
        <f>CHOOSE(CONTROL!$C$42, 27.8658, 27.8658) * CHOOSE(CONTROL!$C$21, $C$9, 100%, $E$9)</f>
        <v>27.8658</v>
      </c>
      <c r="Q822" s="10">
        <f>CHOOSE(CONTROL!$C$42, 28.664, 28.664) * CHOOSE(CONTROL!$C$21, $C$9, 100%, $E$9)</f>
        <v>28.664000000000001</v>
      </c>
      <c r="R822" s="10">
        <f>CHOOSE(CONTROL!$C$42, 29.3227, 29.3227) * CHOOSE(CONTROL!$C$21, $C$9, 100%, $E$9)</f>
        <v>29.322700000000001</v>
      </c>
      <c r="S822" s="10">
        <f>CHOOSE(CONTROL!$C$42, 27.3669, 27.3669) * CHOOSE(CONTROL!$C$21, $C$9, 100%, $E$9)</f>
        <v>27.366900000000001</v>
      </c>
      <c r="T82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22" s="38">
        <f>(1000*CHOOSE(CONTROL!$C$42, 695, 695)*CHOOSE(CONTROL!$C$42, 0.5599, 0.5599)*CHOOSE(CONTROL!$C$42, 30, 30))/1000000</f>
        <v>11.673914999999997</v>
      </c>
      <c r="V822" s="38">
        <f>(1000*CHOOSE(CONTROL!$C$42, 500, 500)*CHOOSE(CONTROL!$C$42, 0.275, 0.275)*CHOOSE(CONTROL!$C$42, 30, 30))/1000000</f>
        <v>4.125</v>
      </c>
      <c r="W822" s="38">
        <f>(1000*CHOOSE(CONTROL!$C$42, 0.1146, 0.1146)*CHOOSE(CONTROL!$C$42, 121.5, 121.5)*CHOOSE(CONTROL!$C$42, 30, 30))/1000000</f>
        <v>0.417717</v>
      </c>
      <c r="X822" s="38">
        <f>(30*0.1790888*245000/1000000)+(30*0.2374*100000/1000000)</f>
        <v>2.0285026799999999</v>
      </c>
      <c r="Y822" s="38">
        <f>(1000*600*CHOOSE(CONTROL!$C$42, 1.0585, 1.0585)*CHOOSE(CONTROL!$C$42, 30, 30))/1000000</f>
        <v>19.053000000000001</v>
      </c>
      <c r="Z822" s="38"/>
      <c r="AA822" s="10"/>
      <c r="AB822" s="39"/>
      <c r="AC822" s="33">
        <f>(B822*194.205+C822*267.466+D822*133.845+E822*53.484+F822*40+G822*185+H822*0+I822*100+J822*300)/(194.205+267.466+133.845+53.484+0+40+185+100+300)</f>
        <v>28.250984887519625</v>
      </c>
      <c r="AD822" s="27">
        <f>(M822*'RAP TEMPLATE-GAS AVAILABILITY'!O821+N822*'RAP TEMPLATE-GAS AVAILABILITY'!P821+O822*'RAP TEMPLATE-GAS AVAILABILITY'!Q821+P822*'RAP TEMPLATE-GAS AVAILABILITY'!R821)/('RAP TEMPLATE-GAS AVAILABILITY'!O821+'RAP TEMPLATE-GAS AVAILABILITY'!P821+'RAP TEMPLATE-GAS AVAILABILITY'!Q821+'RAP TEMPLATE-GAS AVAILABILITY'!R821)</f>
        <v>27.942038129496407</v>
      </c>
    </row>
    <row r="823" spans="1:30" ht="15.75">
      <c r="A823" s="13">
        <v>66323</v>
      </c>
      <c r="B823" s="10">
        <f>CHOOSE(CONTROL!$C$42, 27.7055, 27.7055) * CHOOSE(CONTROL!$C$21, $C$9, 100%, $E$9)</f>
        <v>27.705500000000001</v>
      </c>
      <c r="C823" s="10">
        <f>CHOOSE(CONTROL!$C$42, 27.7135, 27.7135) * CHOOSE(CONTROL!$C$21, $C$9, 100%, $E$9)</f>
        <v>27.7135</v>
      </c>
      <c r="D823" s="10">
        <f>CHOOSE(CONTROL!$C$42, 27.8706, 27.8706) * CHOOSE(CONTROL!$C$21, $C$9, 100%, $E$9)</f>
        <v>27.8706</v>
      </c>
      <c r="E823" s="10">
        <f>CHOOSE(CONTROL!$C$42, 27.9018, 27.9018) * CHOOSE(CONTROL!$C$21, $C$9, 100%, $E$9)</f>
        <v>27.901800000000001</v>
      </c>
      <c r="F823" s="10">
        <f>CHOOSE(CONTROL!$C$42, 27.6502, 27.6502)*CHOOSE(CONTROL!$C$21, $C$9, 100%, $E$9)</f>
        <v>27.650200000000002</v>
      </c>
      <c r="G823" s="10">
        <f>CHOOSE(CONTROL!$C$42, 27.6664, 27.6664)*CHOOSE(CONTROL!$C$21, $C$9, 100%, $E$9)</f>
        <v>27.666399999999999</v>
      </c>
      <c r="H823" s="10">
        <f>CHOOSE(CONTROL!$C$42, 27.8901, 27.8901) * CHOOSE(CONTROL!$C$21, $C$9, 100%, $E$9)</f>
        <v>27.8901</v>
      </c>
      <c r="I823" s="10">
        <f>CHOOSE(CONTROL!$C$42, 27.6843, 27.6843)* CHOOSE(CONTROL!$C$21, $C$9, 100%, $E$9)</f>
        <v>27.6843</v>
      </c>
      <c r="J823" s="10">
        <f>CHOOSE(CONTROL!$C$42, 27.6428, 27.6428)* CHOOSE(CONTROL!$C$21, $C$9, 100%, $E$9)</f>
        <v>27.642800000000001</v>
      </c>
      <c r="K823" s="10">
        <f>CHOOSE(CONTROL!$C$42, 26.9804, 26.9804) * CHOOSE(CONTROL!$C$21, $C$9, 100%, $E$9)</f>
        <v>26.980399999999999</v>
      </c>
      <c r="L823" s="10">
        <f>CHOOSE(CONTROL!$C$42, 28.4771, 28.4771) * CHOOSE(CONTROL!$C$21, $C$9, 100%, $E$9)</f>
        <v>28.4771</v>
      </c>
      <c r="M823" s="10">
        <f>CHOOSE(CONTROL!$C$42, 27.2902, 27.2902) * CHOOSE(CONTROL!$C$21, $C$9, 100%, $E$9)</f>
        <v>27.290199999999999</v>
      </c>
      <c r="N823" s="10">
        <f>CHOOSE(CONTROL!$C$42, 27.3062, 27.3062) * CHOOSE(CONTROL!$C$21, $C$9, 100%, $E$9)</f>
        <v>27.3062</v>
      </c>
      <c r="O823" s="10">
        <f>CHOOSE(CONTROL!$C$42, 27.5341, 27.5341) * CHOOSE(CONTROL!$C$21, $C$9, 100%, $E$9)</f>
        <v>27.534099999999999</v>
      </c>
      <c r="P823" s="10">
        <f>CHOOSE(CONTROL!$C$42, 27.3312, 27.3312) * CHOOSE(CONTROL!$C$21, $C$9, 100%, $E$9)</f>
        <v>27.331199999999999</v>
      </c>
      <c r="Q823" s="10">
        <f>CHOOSE(CONTROL!$C$42, 28.1294, 28.1294) * CHOOSE(CONTROL!$C$21, $C$9, 100%, $E$9)</f>
        <v>28.1294</v>
      </c>
      <c r="R823" s="10">
        <f>CHOOSE(CONTROL!$C$42, 28.7867, 28.7867) * CHOOSE(CONTROL!$C$21, $C$9, 100%, $E$9)</f>
        <v>28.7867</v>
      </c>
      <c r="S823" s="10">
        <f>CHOOSE(CONTROL!$C$42, 26.8419, 26.8419) * CHOOSE(CONTROL!$C$21, $C$9, 100%, $E$9)</f>
        <v>26.841899999999999</v>
      </c>
      <c r="T82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23" s="38">
        <f>(1000*CHOOSE(CONTROL!$C$42, 695, 695)*CHOOSE(CONTROL!$C$42, 0.5599, 0.5599)*CHOOSE(CONTROL!$C$42, 31, 31))/1000000</f>
        <v>12.063045499999998</v>
      </c>
      <c r="V823" s="38">
        <f>(1000*CHOOSE(CONTROL!$C$42, 500, 500)*CHOOSE(CONTROL!$C$42, 0.275, 0.275)*CHOOSE(CONTROL!$C$42, 31, 31))/1000000</f>
        <v>4.2625000000000002</v>
      </c>
      <c r="W823" s="38">
        <f>(1000*CHOOSE(CONTROL!$C$42, 0.1146, 0.1146)*CHOOSE(CONTROL!$C$42, 121.5, 121.5)*CHOOSE(CONTROL!$C$42, 31, 31))/1000000</f>
        <v>0.43164089999999994</v>
      </c>
      <c r="X823" s="38">
        <f>(31*0.1790888*245000/1000000)+(31*0.2374*100000/1000000)</f>
        <v>2.0961194359999999</v>
      </c>
      <c r="Y823" s="38">
        <f>(1000*600*CHOOSE(CONTROL!$C$42, 1.0585, 1.0585)*CHOOSE(CONTROL!$C$42, 31, 31))/1000000</f>
        <v>19.688099999999999</v>
      </c>
      <c r="Z823" s="38"/>
      <c r="AA823" s="10"/>
      <c r="AB823" s="39"/>
      <c r="AC823" s="33">
        <f>(B823*194.205+C823*267.466+D823*133.845+E823*53.484+F823*40+G823*185+H823*0+I823*100+J823*300)/(194.205+267.466+133.845+53.484+0+40+185+100+300)</f>
        <v>27.708923035086347</v>
      </c>
      <c r="AD823" s="27">
        <f>(M823*'RAP TEMPLATE-GAS AVAILABILITY'!O822+N823*'RAP TEMPLATE-GAS AVAILABILITY'!P822+O823*'RAP TEMPLATE-GAS AVAILABILITY'!Q822+P823*'RAP TEMPLATE-GAS AVAILABILITY'!R822)/('RAP TEMPLATE-GAS AVAILABILITY'!O822+'RAP TEMPLATE-GAS AVAILABILITY'!P822+'RAP TEMPLATE-GAS AVAILABILITY'!Q822+'RAP TEMPLATE-GAS AVAILABILITY'!R822)</f>
        <v>27.407564748201438</v>
      </c>
    </row>
    <row r="824" spans="1:30" ht="15.75">
      <c r="A824" s="13">
        <v>66354</v>
      </c>
      <c r="B824" s="10">
        <f>CHOOSE(CONTROL!$C$42, 26.3363, 26.3363) * CHOOSE(CONTROL!$C$21, $C$9, 100%, $E$9)</f>
        <v>26.336300000000001</v>
      </c>
      <c r="C824" s="10">
        <f>CHOOSE(CONTROL!$C$42, 26.3443, 26.3443) * CHOOSE(CONTROL!$C$21, $C$9, 100%, $E$9)</f>
        <v>26.3443</v>
      </c>
      <c r="D824" s="10">
        <f>CHOOSE(CONTROL!$C$42, 26.5014, 26.5014) * CHOOSE(CONTROL!$C$21, $C$9, 100%, $E$9)</f>
        <v>26.5014</v>
      </c>
      <c r="E824" s="10">
        <f>CHOOSE(CONTROL!$C$42, 26.5326, 26.5326) * CHOOSE(CONTROL!$C$21, $C$9, 100%, $E$9)</f>
        <v>26.532599999999999</v>
      </c>
      <c r="F824" s="10">
        <f>CHOOSE(CONTROL!$C$42, 26.2809, 26.2809)*CHOOSE(CONTROL!$C$21, $C$9, 100%, $E$9)</f>
        <v>26.280899999999999</v>
      </c>
      <c r="G824" s="10">
        <f>CHOOSE(CONTROL!$C$42, 26.2972, 26.2972)*CHOOSE(CONTROL!$C$21, $C$9, 100%, $E$9)</f>
        <v>26.2972</v>
      </c>
      <c r="H824" s="10">
        <f>CHOOSE(CONTROL!$C$42, 26.5209, 26.5209) * CHOOSE(CONTROL!$C$21, $C$9, 100%, $E$9)</f>
        <v>26.520900000000001</v>
      </c>
      <c r="I824" s="10">
        <f>CHOOSE(CONTROL!$C$42, 26.3151, 26.3151)* CHOOSE(CONTROL!$C$21, $C$9, 100%, $E$9)</f>
        <v>26.315100000000001</v>
      </c>
      <c r="J824" s="10">
        <f>CHOOSE(CONTROL!$C$42, 26.2735, 26.2735)* CHOOSE(CONTROL!$C$21, $C$9, 100%, $E$9)</f>
        <v>26.273499999999999</v>
      </c>
      <c r="K824" s="10">
        <f>CHOOSE(CONTROL!$C$42, 25.6538, 25.6538) * CHOOSE(CONTROL!$C$21, $C$9, 100%, $E$9)</f>
        <v>25.6538</v>
      </c>
      <c r="L824" s="10">
        <f>CHOOSE(CONTROL!$C$42, 27.1079, 27.1079) * CHOOSE(CONTROL!$C$21, $C$9, 100%, $E$9)</f>
        <v>27.107900000000001</v>
      </c>
      <c r="M824" s="10">
        <f>CHOOSE(CONTROL!$C$42, 25.94, 25.94) * CHOOSE(CONTROL!$C$21, $C$9, 100%, $E$9)</f>
        <v>25.94</v>
      </c>
      <c r="N824" s="10">
        <f>CHOOSE(CONTROL!$C$42, 25.956, 25.956) * CHOOSE(CONTROL!$C$21, $C$9, 100%, $E$9)</f>
        <v>25.956</v>
      </c>
      <c r="O824" s="10">
        <f>CHOOSE(CONTROL!$C$42, 26.184, 26.184) * CHOOSE(CONTROL!$C$21, $C$9, 100%, $E$9)</f>
        <v>26.184000000000001</v>
      </c>
      <c r="P824" s="10">
        <f>CHOOSE(CONTROL!$C$42, 25.9811, 25.9811) * CHOOSE(CONTROL!$C$21, $C$9, 100%, $E$9)</f>
        <v>25.981100000000001</v>
      </c>
      <c r="Q824" s="10">
        <f>CHOOSE(CONTROL!$C$42, 26.7793, 26.7793) * CHOOSE(CONTROL!$C$21, $C$9, 100%, $E$9)</f>
        <v>26.779299999999999</v>
      </c>
      <c r="R824" s="10">
        <f>CHOOSE(CONTROL!$C$42, 27.4332, 27.4332) * CHOOSE(CONTROL!$C$21, $C$9, 100%, $E$9)</f>
        <v>27.433199999999999</v>
      </c>
      <c r="S824" s="10">
        <f>CHOOSE(CONTROL!$C$42, 25.5161, 25.5161) * CHOOSE(CONTROL!$C$21, $C$9, 100%, $E$9)</f>
        <v>25.516100000000002</v>
      </c>
      <c r="T82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24" s="38">
        <f>(1000*CHOOSE(CONTROL!$C$42, 695, 695)*CHOOSE(CONTROL!$C$42, 0.5599, 0.5599)*CHOOSE(CONTROL!$C$42, 31, 31))/1000000</f>
        <v>12.063045499999998</v>
      </c>
      <c r="V824" s="38">
        <f>(1000*CHOOSE(CONTROL!$C$42, 500, 500)*CHOOSE(CONTROL!$C$42, 0.275, 0.275)*CHOOSE(CONTROL!$C$42, 31, 31))/1000000</f>
        <v>4.2625000000000002</v>
      </c>
      <c r="W824" s="38">
        <f>(1000*CHOOSE(CONTROL!$C$42, 0.1146, 0.1146)*CHOOSE(CONTROL!$C$42, 121.5, 121.5)*CHOOSE(CONTROL!$C$42, 31, 31))/1000000</f>
        <v>0.43164089999999994</v>
      </c>
      <c r="X824" s="38">
        <f>(31*0.1790888*245000/1000000)+(31*0.2374*100000/1000000)</f>
        <v>2.0961194359999999</v>
      </c>
      <c r="Y824" s="38">
        <f>(1000*600*CHOOSE(CONTROL!$C$42, 1.0585, 1.0585)*CHOOSE(CONTROL!$C$42, 31, 31))/1000000</f>
        <v>19.688099999999999</v>
      </c>
      <c r="Z824" s="38"/>
      <c r="AA824" s="10"/>
      <c r="AB824" s="39"/>
      <c r="AC824" s="33">
        <f>(B824*194.205+C824*267.466+D824*133.845+E824*53.484+F824*40+G824*185+H824*0+I824*100+J824*300)/(194.205+267.466+133.845+53.484+0+40+185+100+300)</f>
        <v>26.339696347488225</v>
      </c>
      <c r="AD824" s="27">
        <f>(M824*'RAP TEMPLATE-GAS AVAILABILITY'!O823+N824*'RAP TEMPLATE-GAS AVAILABILITY'!P823+O824*'RAP TEMPLATE-GAS AVAILABILITY'!Q823+P824*'RAP TEMPLATE-GAS AVAILABILITY'!R823)/('RAP TEMPLATE-GAS AVAILABILITY'!O823+'RAP TEMPLATE-GAS AVAILABILITY'!P823+'RAP TEMPLATE-GAS AVAILABILITY'!Q823+'RAP TEMPLATE-GAS AVAILABILITY'!R823)</f>
        <v>26.057424460431655</v>
      </c>
    </row>
    <row r="825" spans="1:30" ht="15.75">
      <c r="A825" s="13">
        <v>66384</v>
      </c>
      <c r="B825" s="10">
        <f>CHOOSE(CONTROL!$C$42, 24.6634, 24.6634) * CHOOSE(CONTROL!$C$21, $C$9, 100%, $E$9)</f>
        <v>24.663399999999999</v>
      </c>
      <c r="C825" s="10">
        <f>CHOOSE(CONTROL!$C$42, 24.6714, 24.6714) * CHOOSE(CONTROL!$C$21, $C$9, 100%, $E$9)</f>
        <v>24.671399999999998</v>
      </c>
      <c r="D825" s="10">
        <f>CHOOSE(CONTROL!$C$42, 24.8285, 24.8285) * CHOOSE(CONTROL!$C$21, $C$9, 100%, $E$9)</f>
        <v>24.828499999999998</v>
      </c>
      <c r="E825" s="10">
        <f>CHOOSE(CONTROL!$C$42, 24.8597, 24.8597) * CHOOSE(CONTROL!$C$21, $C$9, 100%, $E$9)</f>
        <v>24.8597</v>
      </c>
      <c r="F825" s="10">
        <f>CHOOSE(CONTROL!$C$42, 24.6078, 24.6078)*CHOOSE(CONTROL!$C$21, $C$9, 100%, $E$9)</f>
        <v>24.607800000000001</v>
      </c>
      <c r="G825" s="10">
        <f>CHOOSE(CONTROL!$C$42, 24.624, 24.624)*CHOOSE(CONTROL!$C$21, $C$9, 100%, $E$9)</f>
        <v>24.623999999999999</v>
      </c>
      <c r="H825" s="10">
        <f>CHOOSE(CONTROL!$C$42, 24.848, 24.848) * CHOOSE(CONTROL!$C$21, $C$9, 100%, $E$9)</f>
        <v>24.847999999999999</v>
      </c>
      <c r="I825" s="10">
        <f>CHOOSE(CONTROL!$C$42, 24.6422, 24.6422)* CHOOSE(CONTROL!$C$21, $C$9, 100%, $E$9)</f>
        <v>24.642199999999999</v>
      </c>
      <c r="J825" s="10">
        <f>CHOOSE(CONTROL!$C$42, 24.6004, 24.6004)* CHOOSE(CONTROL!$C$21, $C$9, 100%, $E$9)</f>
        <v>24.6004</v>
      </c>
      <c r="K825" s="10">
        <f>CHOOSE(CONTROL!$C$42, 24.0327, 24.0327) * CHOOSE(CONTROL!$C$21, $C$9, 100%, $E$9)</f>
        <v>24.032699999999998</v>
      </c>
      <c r="L825" s="10">
        <f>CHOOSE(CONTROL!$C$42, 25.435, 25.435) * CHOOSE(CONTROL!$C$21, $C$9, 100%, $E$9)</f>
        <v>25.434999999999999</v>
      </c>
      <c r="M825" s="10">
        <f>CHOOSE(CONTROL!$C$42, 24.2902, 24.2902) * CHOOSE(CONTROL!$C$21, $C$9, 100%, $E$9)</f>
        <v>24.290199999999999</v>
      </c>
      <c r="N825" s="10">
        <f>CHOOSE(CONTROL!$C$42, 24.3062, 24.3062) * CHOOSE(CONTROL!$C$21, $C$9, 100%, $E$9)</f>
        <v>24.3062</v>
      </c>
      <c r="O825" s="10">
        <f>CHOOSE(CONTROL!$C$42, 24.5344, 24.5344) * CHOOSE(CONTROL!$C$21, $C$9, 100%, $E$9)</f>
        <v>24.534400000000002</v>
      </c>
      <c r="P825" s="10">
        <f>CHOOSE(CONTROL!$C$42, 24.3315, 24.3315) * CHOOSE(CONTROL!$C$21, $C$9, 100%, $E$9)</f>
        <v>24.331499999999998</v>
      </c>
      <c r="Q825" s="10">
        <f>CHOOSE(CONTROL!$C$42, 25.1297, 25.1297) * CHOOSE(CONTROL!$C$21, $C$9, 100%, $E$9)</f>
        <v>25.1297</v>
      </c>
      <c r="R825" s="10">
        <f>CHOOSE(CONTROL!$C$42, 25.7795, 25.7795) * CHOOSE(CONTROL!$C$21, $C$9, 100%, $E$9)</f>
        <v>25.779499999999999</v>
      </c>
      <c r="S825" s="10">
        <f>CHOOSE(CONTROL!$C$42, 23.8962, 23.8962) * CHOOSE(CONTROL!$C$21, $C$9, 100%, $E$9)</f>
        <v>23.8962</v>
      </c>
      <c r="T82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25" s="38">
        <f>(1000*CHOOSE(CONTROL!$C$42, 695, 695)*CHOOSE(CONTROL!$C$42, 0.5599, 0.5599)*CHOOSE(CONTROL!$C$42, 30, 30))/1000000</f>
        <v>11.673914999999997</v>
      </c>
      <c r="V825" s="38">
        <f>(1000*CHOOSE(CONTROL!$C$42, 500, 500)*CHOOSE(CONTROL!$C$42, 0.275, 0.275)*CHOOSE(CONTROL!$C$42, 30, 30))/1000000</f>
        <v>4.125</v>
      </c>
      <c r="W825" s="38">
        <f>(1000*CHOOSE(CONTROL!$C$42, 0.1146, 0.1146)*CHOOSE(CONTROL!$C$42, 121.5, 121.5)*CHOOSE(CONTROL!$C$42, 30, 30))/1000000</f>
        <v>0.417717</v>
      </c>
      <c r="X825" s="38">
        <f>(30*0.1790888*245000/1000000)+(30*0.2374*100000/1000000)</f>
        <v>2.0285026799999999</v>
      </c>
      <c r="Y825" s="38">
        <f>(1000*600*CHOOSE(CONTROL!$C$42, 1.0585, 1.0585)*CHOOSE(CONTROL!$C$42, 30, 30))/1000000</f>
        <v>19.053000000000001</v>
      </c>
      <c r="Z825" s="38"/>
      <c r="AA825" s="10"/>
      <c r="AB825" s="39"/>
      <c r="AC825" s="33">
        <f>(B825*194.205+C825*267.466+D825*133.845+E825*53.484+F825*40+G825*185+H825*0+I825*100+J825*300)/(194.205+267.466+133.845+53.484+0+40+185+100+300)</f>
        <v>24.666699408712716</v>
      </c>
      <c r="AD825" s="27">
        <f>(M825*'RAP TEMPLATE-GAS AVAILABILITY'!O824+N825*'RAP TEMPLATE-GAS AVAILABILITY'!P824+O825*'RAP TEMPLATE-GAS AVAILABILITY'!Q824+P825*'RAP TEMPLATE-GAS AVAILABILITY'!R824)/('RAP TEMPLATE-GAS AVAILABILITY'!O824+'RAP TEMPLATE-GAS AVAILABILITY'!P824+'RAP TEMPLATE-GAS AVAILABILITY'!Q824+'RAP TEMPLATE-GAS AVAILABILITY'!R824)</f>
        <v>24.407743884892085</v>
      </c>
    </row>
    <row r="826" spans="1:30" ht="15.75">
      <c r="A826" s="13">
        <v>66415</v>
      </c>
      <c r="B826" s="10">
        <f>CHOOSE(CONTROL!$C$42, 24.1602, 24.1602) * CHOOSE(CONTROL!$C$21, $C$9, 100%, $E$9)</f>
        <v>24.1602</v>
      </c>
      <c r="C826" s="10">
        <f>CHOOSE(CONTROL!$C$42, 24.1656, 24.1656) * CHOOSE(CONTROL!$C$21, $C$9, 100%, $E$9)</f>
        <v>24.165600000000001</v>
      </c>
      <c r="D826" s="10">
        <f>CHOOSE(CONTROL!$C$42, 24.3275, 24.3275) * CHOOSE(CONTROL!$C$21, $C$9, 100%, $E$9)</f>
        <v>24.327500000000001</v>
      </c>
      <c r="E826" s="10">
        <f>CHOOSE(CONTROL!$C$42, 24.3564, 24.3564) * CHOOSE(CONTROL!$C$21, $C$9, 100%, $E$9)</f>
        <v>24.356400000000001</v>
      </c>
      <c r="F826" s="10">
        <f>CHOOSE(CONTROL!$C$42, 24.1066, 24.1066)*CHOOSE(CONTROL!$C$21, $C$9, 100%, $E$9)</f>
        <v>24.1066</v>
      </c>
      <c r="G826" s="10">
        <f>CHOOSE(CONTROL!$C$42, 24.1224, 24.1224)*CHOOSE(CONTROL!$C$21, $C$9, 100%, $E$9)</f>
        <v>24.122399999999999</v>
      </c>
      <c r="H826" s="10">
        <f>CHOOSE(CONTROL!$C$42, 24.3465, 24.3465) * CHOOSE(CONTROL!$C$21, $C$9, 100%, $E$9)</f>
        <v>24.346499999999999</v>
      </c>
      <c r="I826" s="10">
        <f>CHOOSE(CONTROL!$C$42, 24.1407, 24.1407)* CHOOSE(CONTROL!$C$21, $C$9, 100%, $E$9)</f>
        <v>24.140699999999999</v>
      </c>
      <c r="J826" s="10">
        <f>CHOOSE(CONTROL!$C$42, 24.0992, 24.0992)* CHOOSE(CONTROL!$C$21, $C$9, 100%, $E$9)</f>
        <v>24.0992</v>
      </c>
      <c r="K826" s="10">
        <f>CHOOSE(CONTROL!$C$42, 23.5475, 23.5475) * CHOOSE(CONTROL!$C$21, $C$9, 100%, $E$9)</f>
        <v>23.547499999999999</v>
      </c>
      <c r="L826" s="10">
        <f>CHOOSE(CONTROL!$C$42, 24.9335, 24.9335) * CHOOSE(CONTROL!$C$21, $C$9, 100%, $E$9)</f>
        <v>24.933499999999999</v>
      </c>
      <c r="M826" s="10">
        <f>CHOOSE(CONTROL!$C$42, 23.796, 23.796) * CHOOSE(CONTROL!$C$21, $C$9, 100%, $E$9)</f>
        <v>23.795999999999999</v>
      </c>
      <c r="N826" s="10">
        <f>CHOOSE(CONTROL!$C$42, 23.8116, 23.8116) * CHOOSE(CONTROL!$C$21, $C$9, 100%, $E$9)</f>
        <v>23.811599999999999</v>
      </c>
      <c r="O826" s="10">
        <f>CHOOSE(CONTROL!$C$42, 24.0399, 24.0399) * CHOOSE(CONTROL!$C$21, $C$9, 100%, $E$9)</f>
        <v>24.039899999999999</v>
      </c>
      <c r="P826" s="10">
        <f>CHOOSE(CONTROL!$C$42, 23.837, 23.837) * CHOOSE(CONTROL!$C$21, $C$9, 100%, $E$9)</f>
        <v>23.837</v>
      </c>
      <c r="Q826" s="10">
        <f>CHOOSE(CONTROL!$C$42, 24.6352, 24.6352) * CHOOSE(CONTROL!$C$21, $C$9, 100%, $E$9)</f>
        <v>24.635200000000001</v>
      </c>
      <c r="R826" s="10">
        <f>CHOOSE(CONTROL!$C$42, 25.2838, 25.2838) * CHOOSE(CONTROL!$C$21, $C$9, 100%, $E$9)</f>
        <v>25.283799999999999</v>
      </c>
      <c r="S826" s="10">
        <f>CHOOSE(CONTROL!$C$42, 23.4106, 23.4106) * CHOOSE(CONTROL!$C$21, $C$9, 100%, $E$9)</f>
        <v>23.410599999999999</v>
      </c>
      <c r="T82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26" s="38">
        <f>(1000*CHOOSE(CONTROL!$C$42, 695, 695)*CHOOSE(CONTROL!$C$42, 0.5599, 0.5599)*CHOOSE(CONTROL!$C$42, 31, 31))/1000000</f>
        <v>12.063045499999998</v>
      </c>
      <c r="V826" s="38">
        <f>(1000*CHOOSE(CONTROL!$C$42, 500, 500)*CHOOSE(CONTROL!$C$42, 0.275, 0.275)*CHOOSE(CONTROL!$C$42, 31, 31))/1000000</f>
        <v>4.2625000000000002</v>
      </c>
      <c r="W826" s="38">
        <f>(1000*CHOOSE(CONTROL!$C$42, 0.1146, 0.1146)*CHOOSE(CONTROL!$C$42, 121.5, 121.5)*CHOOSE(CONTROL!$C$42, 31, 31))/1000000</f>
        <v>0.43164089999999994</v>
      </c>
      <c r="X826" s="38">
        <f>(31*0.1790888*245000/1000000)+(31*0.2374*100000/1000000)</f>
        <v>2.0961194359999999</v>
      </c>
      <c r="Y826" s="38">
        <f>(1000*600*CHOOSE(CONTROL!$C$42, 1.0585, 1.0585)*CHOOSE(CONTROL!$C$42, 31, 31))/1000000</f>
        <v>19.688099999999999</v>
      </c>
      <c r="Z826" s="38"/>
      <c r="AA826" s="10"/>
      <c r="AB826" s="39"/>
      <c r="AC826" s="33">
        <f>(B826*131.881+C826*277.167+D826*79.08+E826*125.872+F826*40+G826*185+H826*0+I826*100+J826*300)/(131.881+277.167+79.08+125.872+0+40+185+100+300)</f>
        <v>24.168299977562548</v>
      </c>
      <c r="AD826" s="27">
        <f>(M826*'RAP TEMPLATE-GAS AVAILABILITY'!O825+N826*'RAP TEMPLATE-GAS AVAILABILITY'!P825+O826*'RAP TEMPLATE-GAS AVAILABILITY'!Q825+P826*'RAP TEMPLATE-GAS AVAILABILITY'!R825)/('RAP TEMPLATE-GAS AVAILABILITY'!O825+'RAP TEMPLATE-GAS AVAILABILITY'!P825+'RAP TEMPLATE-GAS AVAILABILITY'!Q825+'RAP TEMPLATE-GAS AVAILABILITY'!R825)</f>
        <v>23.913341726618704</v>
      </c>
    </row>
    <row r="827" spans="1:30" ht="15.75">
      <c r="A827" s="13">
        <v>66445</v>
      </c>
      <c r="B827" s="10">
        <f>CHOOSE(CONTROL!$C$42, 24.7967, 24.7967) * CHOOSE(CONTROL!$C$21, $C$9, 100%, $E$9)</f>
        <v>24.796700000000001</v>
      </c>
      <c r="C827" s="10">
        <f>CHOOSE(CONTROL!$C$42, 24.8018, 24.8018) * CHOOSE(CONTROL!$C$21, $C$9, 100%, $E$9)</f>
        <v>24.8018</v>
      </c>
      <c r="D827" s="10">
        <f>CHOOSE(CONTROL!$C$42, 24.8265, 24.8265) * CHOOSE(CONTROL!$C$21, $C$9, 100%, $E$9)</f>
        <v>24.826499999999999</v>
      </c>
      <c r="E827" s="10">
        <f>CHOOSE(CONTROL!$C$42, 24.8603, 24.8603) * CHOOSE(CONTROL!$C$21, $C$9, 100%, $E$9)</f>
        <v>24.860299999999999</v>
      </c>
      <c r="F827" s="10">
        <f>CHOOSE(CONTROL!$C$42, 24.7651, 24.7651)*CHOOSE(CONTROL!$C$21, $C$9, 100%, $E$9)</f>
        <v>24.7651</v>
      </c>
      <c r="G827" s="10">
        <f>CHOOSE(CONTROL!$C$42, 24.7811, 24.7811)*CHOOSE(CONTROL!$C$21, $C$9, 100%, $E$9)</f>
        <v>24.781099999999999</v>
      </c>
      <c r="H827" s="10">
        <f>CHOOSE(CONTROL!$C$42, 24.8492, 24.8492) * CHOOSE(CONTROL!$C$21, $C$9, 100%, $E$9)</f>
        <v>24.8492</v>
      </c>
      <c r="I827" s="10">
        <f>CHOOSE(CONTROL!$C$42, 24.8117, 24.8117)* CHOOSE(CONTROL!$C$21, $C$9, 100%, $E$9)</f>
        <v>24.811699999999998</v>
      </c>
      <c r="J827" s="10">
        <f>CHOOSE(CONTROL!$C$42, 24.7577, 24.7577)* CHOOSE(CONTROL!$C$21, $C$9, 100%, $E$9)</f>
        <v>24.7577</v>
      </c>
      <c r="K827" s="10">
        <f>CHOOSE(CONTROL!$C$42, 24.1998, 24.1998) * CHOOSE(CONTROL!$C$21, $C$9, 100%, $E$9)</f>
        <v>24.1998</v>
      </c>
      <c r="L827" s="10">
        <f>CHOOSE(CONTROL!$C$42, 25.4362, 25.4362) * CHOOSE(CONTROL!$C$21, $C$9, 100%, $E$9)</f>
        <v>25.436199999999999</v>
      </c>
      <c r="M827" s="10">
        <f>CHOOSE(CONTROL!$C$42, 24.4453, 24.4453) * CHOOSE(CONTROL!$C$21, $C$9, 100%, $E$9)</f>
        <v>24.4453</v>
      </c>
      <c r="N827" s="10">
        <f>CHOOSE(CONTROL!$C$42, 24.4611, 24.4611) * CHOOSE(CONTROL!$C$21, $C$9, 100%, $E$9)</f>
        <v>24.461099999999998</v>
      </c>
      <c r="O827" s="10">
        <f>CHOOSE(CONTROL!$C$42, 24.5355, 24.5355) * CHOOSE(CONTROL!$C$21, $C$9, 100%, $E$9)</f>
        <v>24.535499999999999</v>
      </c>
      <c r="P827" s="10">
        <f>CHOOSE(CONTROL!$C$42, 24.4986, 24.4986) * CHOOSE(CONTROL!$C$21, $C$9, 100%, $E$9)</f>
        <v>24.4986</v>
      </c>
      <c r="Q827" s="10">
        <f>CHOOSE(CONTROL!$C$42, 25.1308, 25.1308) * CHOOSE(CONTROL!$C$21, $C$9, 100%, $E$9)</f>
        <v>25.130800000000001</v>
      </c>
      <c r="R827" s="10">
        <f>CHOOSE(CONTROL!$C$42, 25.7807, 25.7807) * CHOOSE(CONTROL!$C$21, $C$9, 100%, $E$9)</f>
        <v>25.7807</v>
      </c>
      <c r="S827" s="10">
        <f>CHOOSE(CONTROL!$C$42, 24.0273, 24.0273) * CHOOSE(CONTROL!$C$21, $C$9, 100%, $E$9)</f>
        <v>24.0273</v>
      </c>
      <c r="T82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27" s="38">
        <f>(1000*CHOOSE(CONTROL!$C$42, 695, 695)*CHOOSE(CONTROL!$C$42, 0.5599, 0.5599)*CHOOSE(CONTROL!$C$42, 30, 30))/1000000</f>
        <v>11.673914999999997</v>
      </c>
      <c r="V827" s="38">
        <f>(1000*CHOOSE(CONTROL!$C$42, 500, 500)*CHOOSE(CONTROL!$C$42, 0.275, 0.275)*CHOOSE(CONTROL!$C$42, 30, 30))/1000000</f>
        <v>4.125</v>
      </c>
      <c r="W827" s="38">
        <f>(1000*CHOOSE(CONTROL!$C$42, 0.1146, 0.1146)*CHOOSE(CONTROL!$C$42, 121.5, 121.5)*CHOOSE(CONTROL!$C$42, 30, 30))/1000000</f>
        <v>0.417717</v>
      </c>
      <c r="X827" s="38">
        <f>(30*0.1790888*100000/1000000)+(30*0.2374*100000/1000000)</f>
        <v>1.2494664</v>
      </c>
      <c r="Y827" s="38">
        <f>(1000*600*CHOOSE(CONTROL!$C$42, 1.0585, 1.0585)*CHOOSE(CONTROL!$C$42, 30, 30))/1000000</f>
        <v>19.053000000000001</v>
      </c>
      <c r="Z827" s="38"/>
      <c r="AA827" s="10"/>
      <c r="AB827" s="39"/>
      <c r="AC827" s="33">
        <f>(B827*122.58+C827*297.941+D827*89.177+E827*40.302+F827*40+G827*160+H827*0+I827*100+J827*300)/(122.58+297.941+89.177+40.302+0+40+160+100+300)</f>
        <v>24.790421896434779</v>
      </c>
      <c r="AD827" s="27">
        <f>(M827*'RAP TEMPLATE-GAS AVAILABILITY'!O826+N827*'RAP TEMPLATE-GAS AVAILABILITY'!P826+O827*'RAP TEMPLATE-GAS AVAILABILITY'!Q826+P827*'RAP TEMPLATE-GAS AVAILABILITY'!R826)/('RAP TEMPLATE-GAS AVAILABILITY'!O826+'RAP TEMPLATE-GAS AVAILABILITY'!P826+'RAP TEMPLATE-GAS AVAILABILITY'!Q826+'RAP TEMPLATE-GAS AVAILABILITY'!R826)</f>
        <v>24.494760431654679</v>
      </c>
    </row>
    <row r="828" spans="1:30" ht="15.75">
      <c r="A828" s="13">
        <v>66476</v>
      </c>
      <c r="B828" s="10">
        <f>CHOOSE(CONTROL!$C$42, 26.4885, 26.4885) * CHOOSE(CONTROL!$C$21, $C$9, 100%, $E$9)</f>
        <v>26.488499999999998</v>
      </c>
      <c r="C828" s="10">
        <f>CHOOSE(CONTROL!$C$42, 26.4936, 26.4936) * CHOOSE(CONTROL!$C$21, $C$9, 100%, $E$9)</f>
        <v>26.493600000000001</v>
      </c>
      <c r="D828" s="10">
        <f>CHOOSE(CONTROL!$C$42, 26.5182, 26.5182) * CHOOSE(CONTROL!$C$21, $C$9, 100%, $E$9)</f>
        <v>26.5182</v>
      </c>
      <c r="E828" s="10">
        <f>CHOOSE(CONTROL!$C$42, 26.5521, 26.5521) * CHOOSE(CONTROL!$C$21, $C$9, 100%, $E$9)</f>
        <v>26.552099999999999</v>
      </c>
      <c r="F828" s="10">
        <f>CHOOSE(CONTROL!$C$42, 26.4587, 26.4587)*CHOOSE(CONTROL!$C$21, $C$9, 100%, $E$9)</f>
        <v>26.4587</v>
      </c>
      <c r="G828" s="10">
        <f>CHOOSE(CONTROL!$C$42, 26.4752, 26.4752)*CHOOSE(CONTROL!$C$21, $C$9, 100%, $E$9)</f>
        <v>26.475200000000001</v>
      </c>
      <c r="H828" s="10">
        <f>CHOOSE(CONTROL!$C$42, 26.5409, 26.5409) * CHOOSE(CONTROL!$C$21, $C$9, 100%, $E$9)</f>
        <v>26.540900000000001</v>
      </c>
      <c r="I828" s="10">
        <f>CHOOSE(CONTROL!$C$42, 26.5034, 26.5034)* CHOOSE(CONTROL!$C$21, $C$9, 100%, $E$9)</f>
        <v>26.503399999999999</v>
      </c>
      <c r="J828" s="10">
        <f>CHOOSE(CONTROL!$C$42, 26.4513, 26.4513)* CHOOSE(CONTROL!$C$21, $C$9, 100%, $E$9)</f>
        <v>26.4513</v>
      </c>
      <c r="K828" s="10">
        <f>CHOOSE(CONTROL!$C$42, 25.8428, 25.8428) * CHOOSE(CONTROL!$C$21, $C$9, 100%, $E$9)</f>
        <v>25.8428</v>
      </c>
      <c r="L828" s="10">
        <f>CHOOSE(CONTROL!$C$42, 27.1279, 27.1279) * CHOOSE(CONTROL!$C$21, $C$9, 100%, $E$9)</f>
        <v>27.1279</v>
      </c>
      <c r="M828" s="10">
        <f>CHOOSE(CONTROL!$C$42, 26.1153, 26.1153) * CHOOSE(CONTROL!$C$21, $C$9, 100%, $E$9)</f>
        <v>26.115300000000001</v>
      </c>
      <c r="N828" s="10">
        <f>CHOOSE(CONTROL!$C$42, 26.1316, 26.1316) * CHOOSE(CONTROL!$C$21, $C$9, 100%, $E$9)</f>
        <v>26.131599999999999</v>
      </c>
      <c r="O828" s="10">
        <f>CHOOSE(CONTROL!$C$42, 26.2037, 26.2037) * CHOOSE(CONTROL!$C$21, $C$9, 100%, $E$9)</f>
        <v>26.203700000000001</v>
      </c>
      <c r="P828" s="10">
        <f>CHOOSE(CONTROL!$C$42, 26.1668, 26.1668) * CHOOSE(CONTROL!$C$21, $C$9, 100%, $E$9)</f>
        <v>26.166799999999999</v>
      </c>
      <c r="Q828" s="10">
        <f>CHOOSE(CONTROL!$C$42, 26.799, 26.799) * CHOOSE(CONTROL!$C$21, $C$9, 100%, $E$9)</f>
        <v>26.798999999999999</v>
      </c>
      <c r="R828" s="10">
        <f>CHOOSE(CONTROL!$C$42, 27.453, 27.453) * CHOOSE(CONTROL!$C$21, $C$9, 100%, $E$9)</f>
        <v>27.452999999999999</v>
      </c>
      <c r="S828" s="10">
        <f>CHOOSE(CONTROL!$C$42, 25.6654, 25.6654) * CHOOSE(CONTROL!$C$21, $C$9, 100%, $E$9)</f>
        <v>25.665400000000002</v>
      </c>
      <c r="T82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28" s="38">
        <f>(1000*CHOOSE(CONTROL!$C$42, 695, 695)*CHOOSE(CONTROL!$C$42, 0.5599, 0.5599)*CHOOSE(CONTROL!$C$42, 31, 31))/1000000</f>
        <v>12.063045499999998</v>
      </c>
      <c r="V828" s="38">
        <f>(1000*CHOOSE(CONTROL!$C$42, 500, 500)*CHOOSE(CONTROL!$C$42, 0.275, 0.275)*CHOOSE(CONTROL!$C$42, 31, 31))/1000000</f>
        <v>4.2625000000000002</v>
      </c>
      <c r="W828" s="38">
        <f>(1000*CHOOSE(CONTROL!$C$42, 0.1146, 0.1146)*CHOOSE(CONTROL!$C$42, 121.5, 121.5)*CHOOSE(CONTROL!$C$42, 31, 31))/1000000</f>
        <v>0.43164089999999994</v>
      </c>
      <c r="X828" s="38">
        <f>(31*0.1790888*100000/1000000)+(31*0.2374*100000/1000000)</f>
        <v>1.2911152800000001</v>
      </c>
      <c r="Y828" s="38">
        <f>(1000*600*CHOOSE(CONTROL!$C$42, 1.0585, 1.0585)*CHOOSE(CONTROL!$C$42, 31, 31))/1000000</f>
        <v>19.688099999999999</v>
      </c>
      <c r="Z828" s="38"/>
      <c r="AA828" s="10"/>
      <c r="AB828" s="39"/>
      <c r="AC828" s="33">
        <f>(B828*122.58+C828*297.941+D828*89.177+E828*40.302+F828*40+G828*160+H828*0+I828*100+J828*300)/(122.58+297.941+89.177+40.302+0+40+160+100+300)</f>
        <v>26.483057620173913</v>
      </c>
      <c r="AD828" s="27">
        <f>(M828*'RAP TEMPLATE-GAS AVAILABILITY'!O827+N828*'RAP TEMPLATE-GAS AVAILABILITY'!P827+O828*'RAP TEMPLATE-GAS AVAILABILITY'!Q827+P828*'RAP TEMPLATE-GAS AVAILABILITY'!R827)/('RAP TEMPLATE-GAS AVAILABILITY'!O827+'RAP TEMPLATE-GAS AVAILABILITY'!P827+'RAP TEMPLATE-GAS AVAILABILITY'!Q827+'RAP TEMPLATE-GAS AVAILABILITY'!R827)</f>
        <v>26.163714388489211</v>
      </c>
    </row>
    <row r="829" spans="1:30" ht="15.75">
      <c r="A829" s="13">
        <v>66507</v>
      </c>
      <c r="B829" s="10">
        <f>CHOOSE(CONTROL!$C$42, 28.2774, 28.2774) * CHOOSE(CONTROL!$C$21, $C$9, 100%, $E$9)</f>
        <v>28.2774</v>
      </c>
      <c r="C829" s="10">
        <f>CHOOSE(CONTROL!$C$42, 28.2825, 28.2825) * CHOOSE(CONTROL!$C$21, $C$9, 100%, $E$9)</f>
        <v>28.282499999999999</v>
      </c>
      <c r="D829" s="10">
        <f>CHOOSE(CONTROL!$C$42, 28.3149, 28.3149) * CHOOSE(CONTROL!$C$21, $C$9, 100%, $E$9)</f>
        <v>28.314900000000002</v>
      </c>
      <c r="E829" s="10">
        <f>CHOOSE(CONTROL!$C$42, 28.3487, 28.3487) * CHOOSE(CONTROL!$C$21, $C$9, 100%, $E$9)</f>
        <v>28.348700000000001</v>
      </c>
      <c r="F829" s="10">
        <f>CHOOSE(CONTROL!$C$42, 28.2616, 28.2616)*CHOOSE(CONTROL!$C$21, $C$9, 100%, $E$9)</f>
        <v>28.261600000000001</v>
      </c>
      <c r="G829" s="10">
        <f>CHOOSE(CONTROL!$C$42, 28.2796, 28.2796)*CHOOSE(CONTROL!$C$21, $C$9, 100%, $E$9)</f>
        <v>28.279599999999999</v>
      </c>
      <c r="H829" s="10">
        <f>CHOOSE(CONTROL!$C$42, 28.3376, 28.3376) * CHOOSE(CONTROL!$C$21, $C$9, 100%, $E$9)</f>
        <v>28.337599999999998</v>
      </c>
      <c r="I829" s="10">
        <f>CHOOSE(CONTROL!$C$42, 28.2908, 28.2908)* CHOOSE(CONTROL!$C$21, $C$9, 100%, $E$9)</f>
        <v>28.290800000000001</v>
      </c>
      <c r="J829" s="10">
        <f>CHOOSE(CONTROL!$C$42, 28.2542, 28.2542)* CHOOSE(CONTROL!$C$21, $C$9, 100%, $E$9)</f>
        <v>28.254200000000001</v>
      </c>
      <c r="K829" s="10">
        <f>CHOOSE(CONTROL!$C$42, 27.5883, 27.5883) * CHOOSE(CONTROL!$C$21, $C$9, 100%, $E$9)</f>
        <v>27.5883</v>
      </c>
      <c r="L829" s="10">
        <f>CHOOSE(CONTROL!$C$42, 28.9246, 28.9246) * CHOOSE(CONTROL!$C$21, $C$9, 100%, $E$9)</f>
        <v>28.924600000000002</v>
      </c>
      <c r="M829" s="10">
        <f>CHOOSE(CONTROL!$C$42, 27.893, 27.893) * CHOOSE(CONTROL!$C$21, $C$9, 100%, $E$9)</f>
        <v>27.893000000000001</v>
      </c>
      <c r="N829" s="10">
        <f>CHOOSE(CONTROL!$C$42, 27.9108, 27.9108) * CHOOSE(CONTROL!$C$21, $C$9, 100%, $E$9)</f>
        <v>27.910799999999998</v>
      </c>
      <c r="O829" s="10">
        <f>CHOOSE(CONTROL!$C$42, 27.9753, 27.9753) * CHOOSE(CONTROL!$C$21, $C$9, 100%, $E$9)</f>
        <v>27.975300000000001</v>
      </c>
      <c r="P829" s="10">
        <f>CHOOSE(CONTROL!$C$42, 27.9292, 27.9292) * CHOOSE(CONTROL!$C$21, $C$9, 100%, $E$9)</f>
        <v>27.929200000000002</v>
      </c>
      <c r="Q829" s="10">
        <f>CHOOSE(CONTROL!$C$42, 28.5706, 28.5706) * CHOOSE(CONTROL!$C$21, $C$9, 100%, $E$9)</f>
        <v>28.570599999999999</v>
      </c>
      <c r="R829" s="10">
        <f>CHOOSE(CONTROL!$C$42, 29.229, 29.229) * CHOOSE(CONTROL!$C$21, $C$9, 100%, $E$9)</f>
        <v>29.228999999999999</v>
      </c>
      <c r="S829" s="10">
        <f>CHOOSE(CONTROL!$C$42, 27.3976, 27.3976) * CHOOSE(CONTROL!$C$21, $C$9, 100%, $E$9)</f>
        <v>27.397600000000001</v>
      </c>
      <c r="T82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29" s="38">
        <f>(1000*CHOOSE(CONTROL!$C$42, 695, 695)*CHOOSE(CONTROL!$C$42, 0.5599, 0.5599)*CHOOSE(CONTROL!$C$42, 31, 31))/1000000</f>
        <v>12.063045499999998</v>
      </c>
      <c r="V829" s="38">
        <f>(1000*CHOOSE(CONTROL!$C$42, 500, 500)*CHOOSE(CONTROL!$C$42, 0.275, 0.275)*CHOOSE(CONTROL!$C$42, 31, 31))/1000000</f>
        <v>4.2625000000000002</v>
      </c>
      <c r="W829" s="38">
        <f>(1000*CHOOSE(CONTROL!$C$42, 0.1146, 0.1146)*CHOOSE(CONTROL!$C$42, 121.5, 121.5)*CHOOSE(CONTROL!$C$42, 31, 31))/1000000</f>
        <v>0.43164089999999994</v>
      </c>
      <c r="X829" s="38">
        <f>(31*0.1790888*100000/1000000)+(31*0.2374*100000/1000000)</f>
        <v>1.2911152800000001</v>
      </c>
      <c r="Y829" s="38">
        <f>(1000*600*CHOOSE(CONTROL!$C$42, 1.0585, 1.0585)*CHOOSE(CONTROL!$C$42, 31, 31))/1000000</f>
        <v>19.688099999999999</v>
      </c>
      <c r="Z829" s="38"/>
      <c r="AA829" s="10"/>
      <c r="AB829" s="39"/>
      <c r="AC829" s="33">
        <f>(B829*122.58+C829*297.941+D829*89.177+E829*40.302+F829*40+G829*160+H829*0+I829*100+J829*300)/(122.58+297.941+89.177+40.302+0+40+160+100+300)</f>
        <v>28.278997538434783</v>
      </c>
      <c r="AD829" s="27">
        <f>(M829*'RAP TEMPLATE-GAS AVAILABILITY'!O828+N829*'RAP TEMPLATE-GAS AVAILABILITY'!P828+O829*'RAP TEMPLATE-GAS AVAILABILITY'!Q828+P829*'RAP TEMPLATE-GAS AVAILABILITY'!R828)/('RAP TEMPLATE-GAS AVAILABILITY'!O828+'RAP TEMPLATE-GAS AVAILABILITY'!P828+'RAP TEMPLATE-GAS AVAILABILITY'!Q828+'RAP TEMPLATE-GAS AVAILABILITY'!R828)</f>
        <v>27.936534532374097</v>
      </c>
    </row>
    <row r="830" spans="1:30" ht="15.75">
      <c r="A830" s="13">
        <v>66535</v>
      </c>
      <c r="B830" s="10">
        <f>CHOOSE(CONTROL!$C$42, 28.781, 28.781) * CHOOSE(CONTROL!$C$21, $C$9, 100%, $E$9)</f>
        <v>28.780999999999999</v>
      </c>
      <c r="C830" s="10">
        <f>CHOOSE(CONTROL!$C$42, 28.7861, 28.7861) * CHOOSE(CONTROL!$C$21, $C$9, 100%, $E$9)</f>
        <v>28.786100000000001</v>
      </c>
      <c r="D830" s="10">
        <f>CHOOSE(CONTROL!$C$42, 28.8186, 28.8186) * CHOOSE(CONTROL!$C$21, $C$9, 100%, $E$9)</f>
        <v>28.8186</v>
      </c>
      <c r="E830" s="10">
        <f>CHOOSE(CONTROL!$C$42, 28.8524, 28.8524) * CHOOSE(CONTROL!$C$21, $C$9, 100%, $E$9)</f>
        <v>28.852399999999999</v>
      </c>
      <c r="F830" s="10">
        <f>CHOOSE(CONTROL!$C$42, 28.7648, 28.7648)*CHOOSE(CONTROL!$C$21, $C$9, 100%, $E$9)</f>
        <v>28.764800000000001</v>
      </c>
      <c r="G830" s="10">
        <f>CHOOSE(CONTROL!$C$42, 28.7827, 28.7827)*CHOOSE(CONTROL!$C$21, $C$9, 100%, $E$9)</f>
        <v>28.782699999999998</v>
      </c>
      <c r="H830" s="10">
        <f>CHOOSE(CONTROL!$C$42, 28.8413, 28.8413) * CHOOSE(CONTROL!$C$21, $C$9, 100%, $E$9)</f>
        <v>28.8413</v>
      </c>
      <c r="I830" s="10">
        <f>CHOOSE(CONTROL!$C$42, 28.7945, 28.7945)* CHOOSE(CONTROL!$C$21, $C$9, 100%, $E$9)</f>
        <v>28.794499999999999</v>
      </c>
      <c r="J830" s="10">
        <f>CHOOSE(CONTROL!$C$42, 28.7574, 28.7574)* CHOOSE(CONTROL!$C$21, $C$9, 100%, $E$9)</f>
        <v>28.757400000000001</v>
      </c>
      <c r="K830" s="10">
        <f>CHOOSE(CONTROL!$C$42, 28.0753, 28.0753) * CHOOSE(CONTROL!$C$21, $C$9, 100%, $E$9)</f>
        <v>28.075299999999999</v>
      </c>
      <c r="L830" s="10">
        <f>CHOOSE(CONTROL!$C$42, 29.4283, 29.4283) * CHOOSE(CONTROL!$C$21, $C$9, 100%, $E$9)</f>
        <v>29.4283</v>
      </c>
      <c r="M830" s="10">
        <f>CHOOSE(CONTROL!$C$42, 28.3892, 28.3892) * CHOOSE(CONTROL!$C$21, $C$9, 100%, $E$9)</f>
        <v>28.389199999999999</v>
      </c>
      <c r="N830" s="10">
        <f>CHOOSE(CONTROL!$C$42, 28.4069, 28.4069) * CHOOSE(CONTROL!$C$21, $C$9, 100%, $E$9)</f>
        <v>28.4069</v>
      </c>
      <c r="O830" s="10">
        <f>CHOOSE(CONTROL!$C$42, 28.4719, 28.4719) * CHOOSE(CONTROL!$C$21, $C$9, 100%, $E$9)</f>
        <v>28.471900000000002</v>
      </c>
      <c r="P830" s="10">
        <f>CHOOSE(CONTROL!$C$42, 28.4259, 28.4259) * CHOOSE(CONTROL!$C$21, $C$9, 100%, $E$9)</f>
        <v>28.425899999999999</v>
      </c>
      <c r="Q830" s="10">
        <f>CHOOSE(CONTROL!$C$42, 29.0672, 29.0672) * CHOOSE(CONTROL!$C$21, $C$9, 100%, $E$9)</f>
        <v>29.0672</v>
      </c>
      <c r="R830" s="10">
        <f>CHOOSE(CONTROL!$C$42, 29.7269, 29.7269) * CHOOSE(CONTROL!$C$21, $C$9, 100%, $E$9)</f>
        <v>29.726900000000001</v>
      </c>
      <c r="S830" s="10">
        <f>CHOOSE(CONTROL!$C$42, 27.8853, 27.8853) * CHOOSE(CONTROL!$C$21, $C$9, 100%, $E$9)</f>
        <v>27.885300000000001</v>
      </c>
      <c r="T83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30" s="38">
        <f>(1000*CHOOSE(CONTROL!$C$42, 695, 695)*CHOOSE(CONTROL!$C$42, 0.5599, 0.5599)*CHOOSE(CONTROL!$C$42, 28, 28))/1000000</f>
        <v>10.895653999999999</v>
      </c>
      <c r="V830" s="38">
        <f>(1000*CHOOSE(CONTROL!$C$42, 500, 500)*CHOOSE(CONTROL!$C$42, 0.275, 0.275)*CHOOSE(CONTROL!$C$42, 28, 28))/1000000</f>
        <v>3.85</v>
      </c>
      <c r="W830" s="38">
        <f>(1000*CHOOSE(CONTROL!$C$42, 0.1146, 0.1146)*CHOOSE(CONTROL!$C$42, 121.5, 121.5)*CHOOSE(CONTROL!$C$42, 28, 28))/1000000</f>
        <v>0.38986920000000003</v>
      </c>
      <c r="X830" s="38">
        <f>(28*0.1790888*100000/1000000)+(28*0.2374*100000/1000000)</f>
        <v>1.16616864</v>
      </c>
      <c r="Y830" s="38">
        <f>(1000*600*CHOOSE(CONTROL!$C$42, 1.0585, 1.0585)*CHOOSE(CONTROL!$C$42, 28, 28))/1000000</f>
        <v>17.782800000000002</v>
      </c>
      <c r="Z830" s="38"/>
      <c r="AA830" s="10"/>
      <c r="AB830" s="39"/>
      <c r="AC830" s="33">
        <f>(B830*122.58+C830*297.941+D830*89.177+E830*40.302+F830*40+G830*160+H830*0+I830*100+J830*300)/(122.58+297.941+89.177+40.302+0+40+160+100+300)</f>
        <v>28.782429667043477</v>
      </c>
      <c r="AD830" s="27">
        <f>(M830*'RAP TEMPLATE-GAS AVAILABILITY'!O829+N830*'RAP TEMPLATE-GAS AVAILABILITY'!P829+O830*'RAP TEMPLATE-GAS AVAILABILITY'!Q829+P830*'RAP TEMPLATE-GAS AVAILABILITY'!R829)/('RAP TEMPLATE-GAS AVAILABILITY'!O829+'RAP TEMPLATE-GAS AVAILABILITY'!P829+'RAP TEMPLATE-GAS AVAILABILITY'!Q829+'RAP TEMPLATE-GAS AVAILABILITY'!R829)</f>
        <v>28.432982014388489</v>
      </c>
    </row>
    <row r="831" spans="1:30" ht="15.75">
      <c r="A831" s="13">
        <v>66566</v>
      </c>
      <c r="B831" s="10">
        <f>CHOOSE(CONTROL!$C$42, 27.9635, 27.9635) * CHOOSE(CONTROL!$C$21, $C$9, 100%, $E$9)</f>
        <v>27.9635</v>
      </c>
      <c r="C831" s="10">
        <f>CHOOSE(CONTROL!$C$42, 27.9686, 27.9686) * CHOOSE(CONTROL!$C$21, $C$9, 100%, $E$9)</f>
        <v>27.968599999999999</v>
      </c>
      <c r="D831" s="10">
        <f>CHOOSE(CONTROL!$C$42, 28.001, 28.001) * CHOOSE(CONTROL!$C$21, $C$9, 100%, $E$9)</f>
        <v>28.001000000000001</v>
      </c>
      <c r="E831" s="10">
        <f>CHOOSE(CONTROL!$C$42, 28.0348, 28.0348) * CHOOSE(CONTROL!$C$21, $C$9, 100%, $E$9)</f>
        <v>28.034800000000001</v>
      </c>
      <c r="F831" s="10">
        <f>CHOOSE(CONTROL!$C$42, 27.9457, 27.9457)*CHOOSE(CONTROL!$C$21, $C$9, 100%, $E$9)</f>
        <v>27.945699999999999</v>
      </c>
      <c r="G831" s="10">
        <f>CHOOSE(CONTROL!$C$42, 27.9633, 27.9633)*CHOOSE(CONTROL!$C$21, $C$9, 100%, $E$9)</f>
        <v>27.9633</v>
      </c>
      <c r="H831" s="10">
        <f>CHOOSE(CONTROL!$C$42, 28.0237, 28.0237) * CHOOSE(CONTROL!$C$21, $C$9, 100%, $E$9)</f>
        <v>28.023700000000002</v>
      </c>
      <c r="I831" s="10">
        <f>CHOOSE(CONTROL!$C$42, 27.9769, 27.9769)* CHOOSE(CONTROL!$C$21, $C$9, 100%, $E$9)</f>
        <v>27.976900000000001</v>
      </c>
      <c r="J831" s="10">
        <f>CHOOSE(CONTROL!$C$42, 27.9383, 27.9383)* CHOOSE(CONTROL!$C$21, $C$9, 100%, $E$9)</f>
        <v>27.938300000000002</v>
      </c>
      <c r="K831" s="10">
        <f>CHOOSE(CONTROL!$C$42, 27.2801, 27.2801) * CHOOSE(CONTROL!$C$21, $C$9, 100%, $E$9)</f>
        <v>27.280100000000001</v>
      </c>
      <c r="L831" s="10">
        <f>CHOOSE(CONTROL!$C$42, 28.6107, 28.6107) * CHOOSE(CONTROL!$C$21, $C$9, 100%, $E$9)</f>
        <v>28.610700000000001</v>
      </c>
      <c r="M831" s="10">
        <f>CHOOSE(CONTROL!$C$42, 27.5816, 27.5816) * CHOOSE(CONTROL!$C$21, $C$9, 100%, $E$9)</f>
        <v>27.581600000000002</v>
      </c>
      <c r="N831" s="10">
        <f>CHOOSE(CONTROL!$C$42, 27.5989, 27.5989) * CHOOSE(CONTROL!$C$21, $C$9, 100%, $E$9)</f>
        <v>27.5989</v>
      </c>
      <c r="O831" s="10">
        <f>CHOOSE(CONTROL!$C$42, 27.6658, 27.6658) * CHOOSE(CONTROL!$C$21, $C$9, 100%, $E$9)</f>
        <v>27.665800000000001</v>
      </c>
      <c r="P831" s="10">
        <f>CHOOSE(CONTROL!$C$42, 27.6197, 27.6197) * CHOOSE(CONTROL!$C$21, $C$9, 100%, $E$9)</f>
        <v>27.619700000000002</v>
      </c>
      <c r="Q831" s="10">
        <f>CHOOSE(CONTROL!$C$42, 28.2611, 28.2611) * CHOOSE(CONTROL!$C$21, $C$9, 100%, $E$9)</f>
        <v>28.261099999999999</v>
      </c>
      <c r="R831" s="10">
        <f>CHOOSE(CONTROL!$C$42, 28.9187, 28.9187) * CHOOSE(CONTROL!$C$21, $C$9, 100%, $E$9)</f>
        <v>28.918700000000001</v>
      </c>
      <c r="S831" s="10">
        <f>CHOOSE(CONTROL!$C$42, 27.0937, 27.0937) * CHOOSE(CONTROL!$C$21, $C$9, 100%, $E$9)</f>
        <v>27.093699999999998</v>
      </c>
      <c r="T83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31" s="38">
        <f>(1000*CHOOSE(CONTROL!$C$42, 695, 695)*CHOOSE(CONTROL!$C$42, 0.5599, 0.5599)*CHOOSE(CONTROL!$C$42, 31, 31))/1000000</f>
        <v>12.063045499999998</v>
      </c>
      <c r="V831" s="38">
        <f>(1000*CHOOSE(CONTROL!$C$42, 500, 500)*CHOOSE(CONTROL!$C$42, 0.275, 0.275)*CHOOSE(CONTROL!$C$42, 31, 31))/1000000</f>
        <v>4.2625000000000002</v>
      </c>
      <c r="W831" s="38">
        <f>(1000*CHOOSE(CONTROL!$C$42, 0.1146, 0.1146)*CHOOSE(CONTROL!$C$42, 121.5, 121.5)*CHOOSE(CONTROL!$C$42, 31, 31))/1000000</f>
        <v>0.43164089999999994</v>
      </c>
      <c r="X831" s="38">
        <f>(31*0.1790888*100000/1000000)+(31*0.2374*100000/1000000)</f>
        <v>1.2911152800000001</v>
      </c>
      <c r="Y831" s="38">
        <f>(1000*600*CHOOSE(CONTROL!$C$42, 1.0585, 1.0585)*CHOOSE(CONTROL!$C$42, 31, 31))/1000000</f>
        <v>19.688099999999999</v>
      </c>
      <c r="Z831" s="38"/>
      <c r="AA831" s="10"/>
      <c r="AB831" s="39"/>
      <c r="AC831" s="33">
        <f>(B831*122.58+C831*297.941+D831*89.177+E831*40.302+F831*40+G831*160+H831*0+I831*100+J831*300)/(122.58+297.941+89.177+40.302+0+40+160+100+300)</f>
        <v>27.964172321043474</v>
      </c>
      <c r="AD831" s="27">
        <f>(M831*'RAP TEMPLATE-GAS AVAILABILITY'!O830+N831*'RAP TEMPLATE-GAS AVAILABILITY'!P830+O831*'RAP TEMPLATE-GAS AVAILABILITY'!Q830+P831*'RAP TEMPLATE-GAS AVAILABILITY'!R830)/('RAP TEMPLATE-GAS AVAILABILITY'!O830+'RAP TEMPLATE-GAS AVAILABILITY'!P830+'RAP TEMPLATE-GAS AVAILABILITY'!Q830+'RAP TEMPLATE-GAS AVAILABILITY'!R830)</f>
        <v>27.626240287769786</v>
      </c>
    </row>
    <row r="832" spans="1:30" ht="15.75">
      <c r="A832" s="13">
        <v>66596</v>
      </c>
      <c r="B832" s="10">
        <f>CHOOSE(CONTROL!$C$42, 27.8805, 27.8805) * CHOOSE(CONTROL!$C$21, $C$9, 100%, $E$9)</f>
        <v>27.880500000000001</v>
      </c>
      <c r="C832" s="10">
        <f>CHOOSE(CONTROL!$C$42, 27.885, 27.885) * CHOOSE(CONTROL!$C$21, $C$9, 100%, $E$9)</f>
        <v>27.885000000000002</v>
      </c>
      <c r="D832" s="10">
        <f>CHOOSE(CONTROL!$C$42, 28.0451, 28.0451) * CHOOSE(CONTROL!$C$21, $C$9, 100%, $E$9)</f>
        <v>28.045100000000001</v>
      </c>
      <c r="E832" s="10">
        <f>CHOOSE(CONTROL!$C$42, 28.077, 28.077) * CHOOSE(CONTROL!$C$21, $C$9, 100%, $E$9)</f>
        <v>28.077000000000002</v>
      </c>
      <c r="F832" s="10">
        <f>CHOOSE(CONTROL!$C$42, 27.8266, 27.8266)*CHOOSE(CONTROL!$C$21, $C$9, 100%, $E$9)</f>
        <v>27.826599999999999</v>
      </c>
      <c r="G832" s="10">
        <f>CHOOSE(CONTROL!$C$42, 27.8424, 27.8424)*CHOOSE(CONTROL!$C$21, $C$9, 100%, $E$9)</f>
        <v>27.842400000000001</v>
      </c>
      <c r="H832" s="10">
        <f>CHOOSE(CONTROL!$C$42, 28.0664, 28.0664) * CHOOSE(CONTROL!$C$21, $C$9, 100%, $E$9)</f>
        <v>28.066400000000002</v>
      </c>
      <c r="I832" s="10">
        <f>CHOOSE(CONTROL!$C$42, 27.8606, 27.8606)* CHOOSE(CONTROL!$C$21, $C$9, 100%, $E$9)</f>
        <v>27.860600000000002</v>
      </c>
      <c r="J832" s="10">
        <f>CHOOSE(CONTROL!$C$42, 27.8192, 27.8192)* CHOOSE(CONTROL!$C$21, $C$9, 100%, $E$9)</f>
        <v>27.819199999999999</v>
      </c>
      <c r="K832" s="10">
        <f>CHOOSE(CONTROL!$C$42, 27.1514, 27.1514) * CHOOSE(CONTROL!$C$21, $C$9, 100%, $E$9)</f>
        <v>27.151399999999999</v>
      </c>
      <c r="L832" s="10">
        <f>CHOOSE(CONTROL!$C$42, 28.6534, 28.6534) * CHOOSE(CONTROL!$C$21, $C$9, 100%, $E$9)</f>
        <v>28.653400000000001</v>
      </c>
      <c r="M832" s="10">
        <f>CHOOSE(CONTROL!$C$42, 27.4641, 27.4641) * CHOOSE(CONTROL!$C$21, $C$9, 100%, $E$9)</f>
        <v>27.464099999999998</v>
      </c>
      <c r="N832" s="10">
        <f>CHOOSE(CONTROL!$C$42, 27.4797, 27.4797) * CHOOSE(CONTROL!$C$21, $C$9, 100%, $E$9)</f>
        <v>27.479700000000001</v>
      </c>
      <c r="O832" s="10">
        <f>CHOOSE(CONTROL!$C$42, 27.7079, 27.7079) * CHOOSE(CONTROL!$C$21, $C$9, 100%, $E$9)</f>
        <v>27.707899999999999</v>
      </c>
      <c r="P832" s="10">
        <f>CHOOSE(CONTROL!$C$42, 27.505, 27.505) * CHOOSE(CONTROL!$C$21, $C$9, 100%, $E$9)</f>
        <v>27.504999999999999</v>
      </c>
      <c r="Q832" s="10">
        <f>CHOOSE(CONTROL!$C$42, 28.3032, 28.3032) * CHOOSE(CONTROL!$C$21, $C$9, 100%, $E$9)</f>
        <v>28.3032</v>
      </c>
      <c r="R832" s="10">
        <f>CHOOSE(CONTROL!$C$42, 28.9609, 28.9609) * CHOOSE(CONTROL!$C$21, $C$9, 100%, $E$9)</f>
        <v>28.960899999999999</v>
      </c>
      <c r="S832" s="10">
        <f>CHOOSE(CONTROL!$C$42, 27.0126, 27.0126) * CHOOSE(CONTROL!$C$21, $C$9, 100%, $E$9)</f>
        <v>27.012599999999999</v>
      </c>
      <c r="T83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32" s="38">
        <f>(1000*CHOOSE(CONTROL!$C$42, 695, 695)*CHOOSE(CONTROL!$C$42, 0.5599, 0.5599)*CHOOSE(CONTROL!$C$42, 30, 30))/1000000</f>
        <v>11.673914999999997</v>
      </c>
      <c r="V832" s="38">
        <f>(1000*CHOOSE(CONTROL!$C$42, 500, 500)*CHOOSE(CONTROL!$C$42, 0.275, 0.275)*CHOOSE(CONTROL!$C$42, 30, 30))/1000000</f>
        <v>4.125</v>
      </c>
      <c r="W832" s="38">
        <f>(1000*CHOOSE(CONTROL!$C$42, 0.1146, 0.1146)*CHOOSE(CONTROL!$C$42, 121.5, 121.5)*CHOOSE(CONTROL!$C$42, 30, 30))/1000000</f>
        <v>0.417717</v>
      </c>
      <c r="X832" s="38">
        <f>(30*0.1790888*245000/1000000)+(30*0.2374*100000/1000000)</f>
        <v>2.0285026799999999</v>
      </c>
      <c r="Y832" s="38">
        <f>(1000*600*CHOOSE(CONTROL!$C$42, 1.0585, 1.0585)*CHOOSE(CONTROL!$C$42, 30, 30))/1000000</f>
        <v>19.053000000000001</v>
      </c>
      <c r="Z832" s="38"/>
      <c r="AA832" s="10"/>
      <c r="AB832" s="39"/>
      <c r="AC832" s="33">
        <f>(B832*141.293+C832*267.993+D832*115.016+E832*89.698+F832*40+G832*185+H832*0+I832*100+J832*300)/(141.293+267.993+115.016+89.698+0+40+185+100+300)</f>
        <v>27.887101096933012</v>
      </c>
      <c r="AD832" s="27">
        <f>(M832*'RAP TEMPLATE-GAS AVAILABILITY'!O831+N832*'RAP TEMPLATE-GAS AVAILABILITY'!P831+O832*'RAP TEMPLATE-GAS AVAILABILITY'!Q831+P832*'RAP TEMPLATE-GAS AVAILABILITY'!R831)/('RAP TEMPLATE-GAS AVAILABILITY'!O831+'RAP TEMPLATE-GAS AVAILABILITY'!P831+'RAP TEMPLATE-GAS AVAILABILITY'!Q831+'RAP TEMPLATE-GAS AVAILABILITY'!R831)</f>
        <v>27.581382014388488</v>
      </c>
    </row>
    <row r="833" spans="1:30" ht="15.75">
      <c r="A833" s="13">
        <v>66627</v>
      </c>
      <c r="B833" s="10">
        <f>CHOOSE(CONTROL!$C$42, 28.1285, 28.1285) * CHOOSE(CONTROL!$C$21, $C$9, 100%, $E$9)</f>
        <v>28.128499999999999</v>
      </c>
      <c r="C833" s="10">
        <f>CHOOSE(CONTROL!$C$42, 28.1365, 28.1365) * CHOOSE(CONTROL!$C$21, $C$9, 100%, $E$9)</f>
        <v>28.136500000000002</v>
      </c>
      <c r="D833" s="10">
        <f>CHOOSE(CONTROL!$C$42, 28.2935, 28.2935) * CHOOSE(CONTROL!$C$21, $C$9, 100%, $E$9)</f>
        <v>28.293500000000002</v>
      </c>
      <c r="E833" s="10">
        <f>CHOOSE(CONTROL!$C$42, 28.3248, 28.3248) * CHOOSE(CONTROL!$C$21, $C$9, 100%, $E$9)</f>
        <v>28.3248</v>
      </c>
      <c r="F833" s="10">
        <f>CHOOSE(CONTROL!$C$42, 28.0726, 28.0726)*CHOOSE(CONTROL!$C$21, $C$9, 100%, $E$9)</f>
        <v>28.072600000000001</v>
      </c>
      <c r="G833" s="10">
        <f>CHOOSE(CONTROL!$C$42, 28.0888, 28.0888)*CHOOSE(CONTROL!$C$21, $C$9, 100%, $E$9)</f>
        <v>28.088799999999999</v>
      </c>
      <c r="H833" s="10">
        <f>CHOOSE(CONTROL!$C$42, 28.3131, 28.3131) * CHOOSE(CONTROL!$C$21, $C$9, 100%, $E$9)</f>
        <v>28.313099999999999</v>
      </c>
      <c r="I833" s="10">
        <f>CHOOSE(CONTROL!$C$42, 28.1073, 28.1073)* CHOOSE(CONTROL!$C$21, $C$9, 100%, $E$9)</f>
        <v>28.107299999999999</v>
      </c>
      <c r="J833" s="10">
        <f>CHOOSE(CONTROL!$C$42, 28.0652, 28.0652)* CHOOSE(CONTROL!$C$21, $C$9, 100%, $E$9)</f>
        <v>28.065200000000001</v>
      </c>
      <c r="K833" s="10">
        <f>CHOOSE(CONTROL!$C$42, 27.3891, 27.3891) * CHOOSE(CONTROL!$C$21, $C$9, 100%, $E$9)</f>
        <v>27.389099999999999</v>
      </c>
      <c r="L833" s="10">
        <f>CHOOSE(CONTROL!$C$42, 28.9001, 28.9001) * CHOOSE(CONTROL!$C$21, $C$9, 100%, $E$9)</f>
        <v>28.900099999999998</v>
      </c>
      <c r="M833" s="10">
        <f>CHOOSE(CONTROL!$C$42, 27.7067, 27.7067) * CHOOSE(CONTROL!$C$21, $C$9, 100%, $E$9)</f>
        <v>27.706700000000001</v>
      </c>
      <c r="N833" s="10">
        <f>CHOOSE(CONTROL!$C$42, 27.7226, 27.7226) * CHOOSE(CONTROL!$C$21, $C$9, 100%, $E$9)</f>
        <v>27.7226</v>
      </c>
      <c r="O833" s="10">
        <f>CHOOSE(CONTROL!$C$42, 27.9511, 27.9511) * CHOOSE(CONTROL!$C$21, $C$9, 100%, $E$9)</f>
        <v>27.9511</v>
      </c>
      <c r="P833" s="10">
        <f>CHOOSE(CONTROL!$C$42, 27.7482, 27.7482) * CHOOSE(CONTROL!$C$21, $C$9, 100%, $E$9)</f>
        <v>27.748200000000001</v>
      </c>
      <c r="Q833" s="10">
        <f>CHOOSE(CONTROL!$C$42, 28.5464, 28.5464) * CHOOSE(CONTROL!$C$21, $C$9, 100%, $E$9)</f>
        <v>28.546399999999998</v>
      </c>
      <c r="R833" s="10">
        <f>CHOOSE(CONTROL!$C$42, 29.2048, 29.2048) * CHOOSE(CONTROL!$C$21, $C$9, 100%, $E$9)</f>
        <v>29.204799999999999</v>
      </c>
      <c r="S833" s="10">
        <f>CHOOSE(CONTROL!$C$42, 27.2514, 27.2514) * CHOOSE(CONTROL!$C$21, $C$9, 100%, $E$9)</f>
        <v>27.2514</v>
      </c>
      <c r="T83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33" s="38">
        <f>(1000*CHOOSE(CONTROL!$C$42, 695, 695)*CHOOSE(CONTROL!$C$42, 0.5599, 0.5599)*CHOOSE(CONTROL!$C$42, 31, 31))/1000000</f>
        <v>12.063045499999998</v>
      </c>
      <c r="V833" s="38">
        <f>(1000*CHOOSE(CONTROL!$C$42, 500, 500)*CHOOSE(CONTROL!$C$42, 0.275, 0.275)*CHOOSE(CONTROL!$C$42, 31, 31))/1000000</f>
        <v>4.2625000000000002</v>
      </c>
      <c r="W833" s="38">
        <f>(1000*CHOOSE(CONTROL!$C$42, 0.1146, 0.1146)*CHOOSE(CONTROL!$C$42, 121.5, 121.5)*CHOOSE(CONTROL!$C$42, 31, 31))/1000000</f>
        <v>0.43164089999999994</v>
      </c>
      <c r="X833" s="38">
        <f>(31*0.1790888*245000/1000000)+(31*0.2374*100000/1000000)</f>
        <v>2.0961194359999999</v>
      </c>
      <c r="Y833" s="38">
        <f>(1000*600*CHOOSE(CONTROL!$C$42, 1.0585, 1.0585)*CHOOSE(CONTROL!$C$42, 31, 31))/1000000</f>
        <v>19.688099999999999</v>
      </c>
      <c r="Z833" s="38"/>
      <c r="AA833" s="10"/>
      <c r="AB833" s="39"/>
      <c r="AC833" s="33">
        <f>(B833*194.205+C833*267.466+D833*133.845+E833*53.484+F833*40+G833*185+H833*0+I833*100+J833*300)/(194.205+267.466+133.845+53.484+0+40+185+100+300)</f>
        <v>28.131665276452118</v>
      </c>
      <c r="AD833" s="27">
        <f>(M833*'RAP TEMPLATE-GAS AVAILABILITY'!O832+N833*'RAP TEMPLATE-GAS AVAILABILITY'!P832+O833*'RAP TEMPLATE-GAS AVAILABILITY'!Q832+P833*'RAP TEMPLATE-GAS AVAILABILITY'!R832)/('RAP TEMPLATE-GAS AVAILABILITY'!O832+'RAP TEMPLATE-GAS AVAILABILITY'!P832+'RAP TEMPLATE-GAS AVAILABILITY'!Q832+'RAP TEMPLATE-GAS AVAILABILITY'!R832)</f>
        <v>27.824357553956837</v>
      </c>
    </row>
    <row r="834" spans="1:30" ht="15.75">
      <c r="A834" s="13">
        <v>66657</v>
      </c>
      <c r="B834" s="10">
        <f>CHOOSE(CONTROL!$C$42, 28.9268, 28.9268) * CHOOSE(CONTROL!$C$21, $C$9, 100%, $E$9)</f>
        <v>28.9268</v>
      </c>
      <c r="C834" s="10">
        <f>CHOOSE(CONTROL!$C$42, 28.9348, 28.9348) * CHOOSE(CONTROL!$C$21, $C$9, 100%, $E$9)</f>
        <v>28.934799999999999</v>
      </c>
      <c r="D834" s="10">
        <f>CHOOSE(CONTROL!$C$42, 29.0918, 29.0918) * CHOOSE(CONTROL!$C$21, $C$9, 100%, $E$9)</f>
        <v>29.091799999999999</v>
      </c>
      <c r="E834" s="10">
        <f>CHOOSE(CONTROL!$C$42, 29.1231, 29.1231) * CHOOSE(CONTROL!$C$21, $C$9, 100%, $E$9)</f>
        <v>29.123100000000001</v>
      </c>
      <c r="F834" s="10">
        <f>CHOOSE(CONTROL!$C$42, 28.8711, 28.8711)*CHOOSE(CONTROL!$C$21, $C$9, 100%, $E$9)</f>
        <v>28.871099999999998</v>
      </c>
      <c r="G834" s="10">
        <f>CHOOSE(CONTROL!$C$42, 28.8873, 28.8873)*CHOOSE(CONTROL!$C$21, $C$9, 100%, $E$9)</f>
        <v>28.8873</v>
      </c>
      <c r="H834" s="10">
        <f>CHOOSE(CONTROL!$C$42, 29.1114, 29.1114) * CHOOSE(CONTROL!$C$21, $C$9, 100%, $E$9)</f>
        <v>29.1114</v>
      </c>
      <c r="I834" s="10">
        <f>CHOOSE(CONTROL!$C$42, 28.9056, 28.9056)* CHOOSE(CONTROL!$C$21, $C$9, 100%, $E$9)</f>
        <v>28.9056</v>
      </c>
      <c r="J834" s="10">
        <f>CHOOSE(CONTROL!$C$42, 28.8637, 28.8637)* CHOOSE(CONTROL!$C$21, $C$9, 100%, $E$9)</f>
        <v>28.863700000000001</v>
      </c>
      <c r="K834" s="10">
        <f>CHOOSE(CONTROL!$C$42, 28.1629, 28.1629) * CHOOSE(CONTROL!$C$21, $C$9, 100%, $E$9)</f>
        <v>28.1629</v>
      </c>
      <c r="L834" s="10">
        <f>CHOOSE(CONTROL!$C$42, 29.6984, 29.6984) * CHOOSE(CONTROL!$C$21, $C$9, 100%, $E$9)</f>
        <v>29.698399999999999</v>
      </c>
      <c r="M834" s="10">
        <f>CHOOSE(CONTROL!$C$42, 28.4941, 28.4941) * CHOOSE(CONTROL!$C$21, $C$9, 100%, $E$9)</f>
        <v>28.4941</v>
      </c>
      <c r="N834" s="10">
        <f>CHOOSE(CONTROL!$C$42, 28.51, 28.51) * CHOOSE(CONTROL!$C$21, $C$9, 100%, $E$9)</f>
        <v>28.51</v>
      </c>
      <c r="O834" s="10">
        <f>CHOOSE(CONTROL!$C$42, 28.7383, 28.7383) * CHOOSE(CONTROL!$C$21, $C$9, 100%, $E$9)</f>
        <v>28.738299999999999</v>
      </c>
      <c r="P834" s="10">
        <f>CHOOSE(CONTROL!$C$42, 28.5354, 28.5354) * CHOOSE(CONTROL!$C$21, $C$9, 100%, $E$9)</f>
        <v>28.535399999999999</v>
      </c>
      <c r="Q834" s="10">
        <f>CHOOSE(CONTROL!$C$42, 29.3336, 29.3336) * CHOOSE(CONTROL!$C$21, $C$9, 100%, $E$9)</f>
        <v>29.333600000000001</v>
      </c>
      <c r="R834" s="10">
        <f>CHOOSE(CONTROL!$C$42, 29.9939, 29.9939) * CHOOSE(CONTROL!$C$21, $C$9, 100%, $E$9)</f>
        <v>29.9939</v>
      </c>
      <c r="S834" s="10">
        <f>CHOOSE(CONTROL!$C$42, 28.0244, 28.0244) * CHOOSE(CONTROL!$C$21, $C$9, 100%, $E$9)</f>
        <v>28.0244</v>
      </c>
      <c r="T83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34" s="38">
        <f>(1000*CHOOSE(CONTROL!$C$42, 695, 695)*CHOOSE(CONTROL!$C$42, 0.5599, 0.5599)*CHOOSE(CONTROL!$C$42, 30, 30))/1000000</f>
        <v>11.673914999999997</v>
      </c>
      <c r="V834" s="38">
        <f>(1000*CHOOSE(CONTROL!$C$42, 500, 500)*CHOOSE(CONTROL!$C$42, 0.275, 0.275)*CHOOSE(CONTROL!$C$42, 30, 30))/1000000</f>
        <v>4.125</v>
      </c>
      <c r="W834" s="38">
        <f>(1000*CHOOSE(CONTROL!$C$42, 0.1146, 0.1146)*CHOOSE(CONTROL!$C$42, 121.5, 121.5)*CHOOSE(CONTROL!$C$42, 30, 30))/1000000</f>
        <v>0.417717</v>
      </c>
      <c r="X834" s="38">
        <f>(30*0.1790888*245000/1000000)+(30*0.2374*100000/1000000)</f>
        <v>2.0285026799999999</v>
      </c>
      <c r="Y834" s="38">
        <f>(1000*600*CHOOSE(CONTROL!$C$42, 1.0585, 1.0585)*CHOOSE(CONTROL!$C$42, 30, 30))/1000000</f>
        <v>19.053000000000001</v>
      </c>
      <c r="Z834" s="38"/>
      <c r="AA834" s="10"/>
      <c r="AB834" s="39"/>
      <c r="AC834" s="33">
        <f>(B834*194.205+C834*267.466+D834*133.845+E834*53.484+F834*40+G834*185+H834*0+I834*100+J834*300)/(194.205+267.466+133.845+53.484+0+40+185+100+300)</f>
        <v>28.930047694034538</v>
      </c>
      <c r="AD834" s="27">
        <f>(M834*'RAP TEMPLATE-GAS AVAILABILITY'!O833+N834*'RAP TEMPLATE-GAS AVAILABILITY'!P833+O834*'RAP TEMPLATE-GAS AVAILABILITY'!Q833+P834*'RAP TEMPLATE-GAS AVAILABILITY'!R833)/('RAP TEMPLATE-GAS AVAILABILITY'!O833+'RAP TEMPLATE-GAS AVAILABILITY'!P833+'RAP TEMPLATE-GAS AVAILABILITY'!Q833+'RAP TEMPLATE-GAS AVAILABILITY'!R833)</f>
        <v>28.611638129496406</v>
      </c>
    </row>
    <row r="835" spans="1:30" ht="15.75">
      <c r="A835" s="13">
        <v>66688</v>
      </c>
      <c r="B835" s="10">
        <f>CHOOSE(CONTROL!$C$42, 28.3716, 28.3716) * CHOOSE(CONTROL!$C$21, $C$9, 100%, $E$9)</f>
        <v>28.371600000000001</v>
      </c>
      <c r="C835" s="10">
        <f>CHOOSE(CONTROL!$C$42, 28.3796, 28.3796) * CHOOSE(CONTROL!$C$21, $C$9, 100%, $E$9)</f>
        <v>28.3796</v>
      </c>
      <c r="D835" s="10">
        <f>CHOOSE(CONTROL!$C$42, 28.5366, 28.5366) * CHOOSE(CONTROL!$C$21, $C$9, 100%, $E$9)</f>
        <v>28.5366</v>
      </c>
      <c r="E835" s="10">
        <f>CHOOSE(CONTROL!$C$42, 28.5678, 28.5678) * CHOOSE(CONTROL!$C$21, $C$9, 100%, $E$9)</f>
        <v>28.567799999999998</v>
      </c>
      <c r="F835" s="10">
        <f>CHOOSE(CONTROL!$C$42, 28.3162, 28.3162)*CHOOSE(CONTROL!$C$21, $C$9, 100%, $E$9)</f>
        <v>28.316199999999998</v>
      </c>
      <c r="G835" s="10">
        <f>CHOOSE(CONTROL!$C$42, 28.3325, 28.3325)*CHOOSE(CONTROL!$C$21, $C$9, 100%, $E$9)</f>
        <v>28.3325</v>
      </c>
      <c r="H835" s="10">
        <f>CHOOSE(CONTROL!$C$42, 28.5562, 28.5562) * CHOOSE(CONTROL!$C$21, $C$9, 100%, $E$9)</f>
        <v>28.5562</v>
      </c>
      <c r="I835" s="10">
        <f>CHOOSE(CONTROL!$C$42, 28.3503, 28.3503)* CHOOSE(CONTROL!$C$21, $C$9, 100%, $E$9)</f>
        <v>28.350300000000001</v>
      </c>
      <c r="J835" s="10">
        <f>CHOOSE(CONTROL!$C$42, 28.3088, 28.3088)* CHOOSE(CONTROL!$C$21, $C$9, 100%, $E$9)</f>
        <v>28.308800000000002</v>
      </c>
      <c r="K835" s="10">
        <f>CHOOSE(CONTROL!$C$42, 27.6257, 27.6257) * CHOOSE(CONTROL!$C$21, $C$9, 100%, $E$9)</f>
        <v>27.625699999999998</v>
      </c>
      <c r="L835" s="10">
        <f>CHOOSE(CONTROL!$C$42, 29.1432, 29.1432) * CHOOSE(CONTROL!$C$21, $C$9, 100%, $E$9)</f>
        <v>29.1432</v>
      </c>
      <c r="M835" s="10">
        <f>CHOOSE(CONTROL!$C$42, 27.9469, 27.9469) * CHOOSE(CONTROL!$C$21, $C$9, 100%, $E$9)</f>
        <v>27.946899999999999</v>
      </c>
      <c r="N835" s="10">
        <f>CHOOSE(CONTROL!$C$42, 27.9629, 27.9629) * CHOOSE(CONTROL!$C$21, $C$9, 100%, $E$9)</f>
        <v>27.962900000000001</v>
      </c>
      <c r="O835" s="10">
        <f>CHOOSE(CONTROL!$C$42, 28.1908, 28.1908) * CHOOSE(CONTROL!$C$21, $C$9, 100%, $E$9)</f>
        <v>28.190799999999999</v>
      </c>
      <c r="P835" s="10">
        <f>CHOOSE(CONTROL!$C$42, 27.9879, 27.9879) * CHOOSE(CONTROL!$C$21, $C$9, 100%, $E$9)</f>
        <v>27.9879</v>
      </c>
      <c r="Q835" s="10">
        <f>CHOOSE(CONTROL!$C$42, 28.7861, 28.7861) * CHOOSE(CONTROL!$C$21, $C$9, 100%, $E$9)</f>
        <v>28.786100000000001</v>
      </c>
      <c r="R835" s="10">
        <f>CHOOSE(CONTROL!$C$42, 29.4451, 29.4451) * CHOOSE(CONTROL!$C$21, $C$9, 100%, $E$9)</f>
        <v>29.4451</v>
      </c>
      <c r="S835" s="10">
        <f>CHOOSE(CONTROL!$C$42, 27.4868, 27.4868) * CHOOSE(CONTROL!$C$21, $C$9, 100%, $E$9)</f>
        <v>27.486799999999999</v>
      </c>
      <c r="T83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35" s="38">
        <f>(1000*CHOOSE(CONTROL!$C$42, 695, 695)*CHOOSE(CONTROL!$C$42, 0.5599, 0.5599)*CHOOSE(CONTROL!$C$42, 31, 31))/1000000</f>
        <v>12.063045499999998</v>
      </c>
      <c r="V835" s="38">
        <f>(1000*CHOOSE(CONTROL!$C$42, 500, 500)*CHOOSE(CONTROL!$C$42, 0.275, 0.275)*CHOOSE(CONTROL!$C$42, 31, 31))/1000000</f>
        <v>4.2625000000000002</v>
      </c>
      <c r="W835" s="38">
        <f>(1000*CHOOSE(CONTROL!$C$42, 0.1146, 0.1146)*CHOOSE(CONTROL!$C$42, 121.5, 121.5)*CHOOSE(CONTROL!$C$42, 31, 31))/1000000</f>
        <v>0.43164089999999994</v>
      </c>
      <c r="X835" s="38">
        <f>(31*0.1790888*245000/1000000)+(31*0.2374*100000/1000000)</f>
        <v>2.0961194359999999</v>
      </c>
      <c r="Y835" s="38">
        <f>(1000*600*CHOOSE(CONTROL!$C$42, 1.0585, 1.0585)*CHOOSE(CONTROL!$C$42, 31, 31))/1000000</f>
        <v>19.688099999999999</v>
      </c>
      <c r="Z835" s="38"/>
      <c r="AA835" s="10"/>
      <c r="AB835" s="39"/>
      <c r="AC835" s="33">
        <f>(B835*194.205+C835*267.466+D835*133.845+E835*53.484+F835*40+G835*185+H835*0+I835*100+J835*300)/(194.205+267.466+133.845+53.484+0+40+185+100+300)</f>
        <v>28.374973794191526</v>
      </c>
      <c r="AD835" s="27">
        <f>(M835*'RAP TEMPLATE-GAS AVAILABILITY'!O834+N835*'RAP TEMPLATE-GAS AVAILABILITY'!P834+O835*'RAP TEMPLATE-GAS AVAILABILITY'!Q834+P835*'RAP TEMPLATE-GAS AVAILABILITY'!R834)/('RAP TEMPLATE-GAS AVAILABILITY'!O834+'RAP TEMPLATE-GAS AVAILABILITY'!P834+'RAP TEMPLATE-GAS AVAILABILITY'!Q834+'RAP TEMPLATE-GAS AVAILABILITY'!R834)</f>
        <v>28.064264748201435</v>
      </c>
    </row>
    <row r="836" spans="1:30" ht="15.75">
      <c r="A836" s="13">
        <v>66719</v>
      </c>
      <c r="B836" s="10">
        <f>CHOOSE(CONTROL!$C$42, 26.9695, 26.9695) * CHOOSE(CONTROL!$C$21, $C$9, 100%, $E$9)</f>
        <v>26.9695</v>
      </c>
      <c r="C836" s="10">
        <f>CHOOSE(CONTROL!$C$42, 26.9775, 26.9775) * CHOOSE(CONTROL!$C$21, $C$9, 100%, $E$9)</f>
        <v>26.977499999999999</v>
      </c>
      <c r="D836" s="10">
        <f>CHOOSE(CONTROL!$C$42, 27.1345, 27.1345) * CHOOSE(CONTROL!$C$21, $C$9, 100%, $E$9)</f>
        <v>27.134499999999999</v>
      </c>
      <c r="E836" s="10">
        <f>CHOOSE(CONTROL!$C$42, 27.1657, 27.1657) * CHOOSE(CONTROL!$C$21, $C$9, 100%, $E$9)</f>
        <v>27.165700000000001</v>
      </c>
      <c r="F836" s="10">
        <f>CHOOSE(CONTROL!$C$42, 26.914, 26.914)*CHOOSE(CONTROL!$C$21, $C$9, 100%, $E$9)</f>
        <v>26.914000000000001</v>
      </c>
      <c r="G836" s="10">
        <f>CHOOSE(CONTROL!$C$42, 26.9303, 26.9303)*CHOOSE(CONTROL!$C$21, $C$9, 100%, $E$9)</f>
        <v>26.930299999999999</v>
      </c>
      <c r="H836" s="10">
        <f>CHOOSE(CONTROL!$C$42, 27.1541, 27.1541) * CHOOSE(CONTROL!$C$21, $C$9, 100%, $E$9)</f>
        <v>27.1541</v>
      </c>
      <c r="I836" s="10">
        <f>CHOOSE(CONTROL!$C$42, 26.9482, 26.9482)* CHOOSE(CONTROL!$C$21, $C$9, 100%, $E$9)</f>
        <v>26.9482</v>
      </c>
      <c r="J836" s="10">
        <f>CHOOSE(CONTROL!$C$42, 26.9066, 26.9066)* CHOOSE(CONTROL!$C$21, $C$9, 100%, $E$9)</f>
        <v>26.906600000000001</v>
      </c>
      <c r="K836" s="10">
        <f>CHOOSE(CONTROL!$C$42, 26.2672, 26.2672) * CHOOSE(CONTROL!$C$21, $C$9, 100%, $E$9)</f>
        <v>26.267199999999999</v>
      </c>
      <c r="L836" s="10">
        <f>CHOOSE(CONTROL!$C$42, 27.7411, 27.7411) * CHOOSE(CONTROL!$C$21, $C$9, 100%, $E$9)</f>
        <v>27.741099999999999</v>
      </c>
      <c r="M836" s="10">
        <f>CHOOSE(CONTROL!$C$42, 26.5643, 26.5643) * CHOOSE(CONTROL!$C$21, $C$9, 100%, $E$9)</f>
        <v>26.564299999999999</v>
      </c>
      <c r="N836" s="10">
        <f>CHOOSE(CONTROL!$C$42, 26.5803, 26.5803) * CHOOSE(CONTROL!$C$21, $C$9, 100%, $E$9)</f>
        <v>26.580300000000001</v>
      </c>
      <c r="O836" s="10">
        <f>CHOOSE(CONTROL!$C$42, 26.8083, 26.8083) * CHOOSE(CONTROL!$C$21, $C$9, 100%, $E$9)</f>
        <v>26.808299999999999</v>
      </c>
      <c r="P836" s="10">
        <f>CHOOSE(CONTROL!$C$42, 26.6054, 26.6054) * CHOOSE(CONTROL!$C$21, $C$9, 100%, $E$9)</f>
        <v>26.605399999999999</v>
      </c>
      <c r="Q836" s="10">
        <f>CHOOSE(CONTROL!$C$42, 27.4036, 27.4036) * CHOOSE(CONTROL!$C$21, $C$9, 100%, $E$9)</f>
        <v>27.403600000000001</v>
      </c>
      <c r="R836" s="10">
        <f>CHOOSE(CONTROL!$C$42, 28.0591, 28.0591) * CHOOSE(CONTROL!$C$21, $C$9, 100%, $E$9)</f>
        <v>28.059100000000001</v>
      </c>
      <c r="S836" s="10">
        <f>CHOOSE(CONTROL!$C$42, 26.1291, 26.1291) * CHOOSE(CONTROL!$C$21, $C$9, 100%, $E$9)</f>
        <v>26.129100000000001</v>
      </c>
      <c r="T83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36" s="38">
        <f>(1000*CHOOSE(CONTROL!$C$42, 695, 695)*CHOOSE(CONTROL!$C$42, 0.5599, 0.5599)*CHOOSE(CONTROL!$C$42, 31, 31))/1000000</f>
        <v>12.063045499999998</v>
      </c>
      <c r="V836" s="38">
        <f>(1000*CHOOSE(CONTROL!$C$42, 500, 500)*CHOOSE(CONTROL!$C$42, 0.275, 0.275)*CHOOSE(CONTROL!$C$42, 31, 31))/1000000</f>
        <v>4.2625000000000002</v>
      </c>
      <c r="W836" s="38">
        <f>(1000*CHOOSE(CONTROL!$C$42, 0.1146, 0.1146)*CHOOSE(CONTROL!$C$42, 121.5, 121.5)*CHOOSE(CONTROL!$C$42, 31, 31))/1000000</f>
        <v>0.43164089999999994</v>
      </c>
      <c r="X836" s="38">
        <f>(31*0.1790888*245000/1000000)+(31*0.2374*100000/1000000)</f>
        <v>2.0961194359999999</v>
      </c>
      <c r="Y836" s="38">
        <f>(1000*600*CHOOSE(CONTROL!$C$42, 1.0585, 1.0585)*CHOOSE(CONTROL!$C$42, 31, 31))/1000000</f>
        <v>19.688099999999999</v>
      </c>
      <c r="Z836" s="38"/>
      <c r="AA836" s="10"/>
      <c r="AB836" s="39"/>
      <c r="AC836" s="33">
        <f>(B836*194.205+C836*267.466+D836*133.845+E836*53.484+F836*40+G836*185+H836*0+I836*100+J836*300)/(194.205+267.466+133.845+53.484+0+40+185+100+300)</f>
        <v>26.972832585400319</v>
      </c>
      <c r="AD836" s="27">
        <f>(M836*'RAP TEMPLATE-GAS AVAILABILITY'!O835+N836*'RAP TEMPLATE-GAS AVAILABILITY'!P835+O836*'RAP TEMPLATE-GAS AVAILABILITY'!Q835+P836*'RAP TEMPLATE-GAS AVAILABILITY'!R835)/('RAP TEMPLATE-GAS AVAILABILITY'!O835+'RAP TEMPLATE-GAS AVAILABILITY'!P835+'RAP TEMPLATE-GAS AVAILABILITY'!Q835+'RAP TEMPLATE-GAS AVAILABILITY'!R835)</f>
        <v>26.681724460431656</v>
      </c>
    </row>
    <row r="837" spans="1:30" ht="15.75">
      <c r="A837" s="13">
        <v>66749</v>
      </c>
      <c r="B837" s="10">
        <f>CHOOSE(CONTROL!$C$42, 25.2564, 25.2564) * CHOOSE(CONTROL!$C$21, $C$9, 100%, $E$9)</f>
        <v>25.256399999999999</v>
      </c>
      <c r="C837" s="10">
        <f>CHOOSE(CONTROL!$C$42, 25.2644, 25.2644) * CHOOSE(CONTROL!$C$21, $C$9, 100%, $E$9)</f>
        <v>25.264399999999998</v>
      </c>
      <c r="D837" s="10">
        <f>CHOOSE(CONTROL!$C$42, 25.4214, 25.4214) * CHOOSE(CONTROL!$C$21, $C$9, 100%, $E$9)</f>
        <v>25.421399999999998</v>
      </c>
      <c r="E837" s="10">
        <f>CHOOSE(CONTROL!$C$42, 25.4526, 25.4526) * CHOOSE(CONTROL!$C$21, $C$9, 100%, $E$9)</f>
        <v>25.4526</v>
      </c>
      <c r="F837" s="10">
        <f>CHOOSE(CONTROL!$C$42, 25.2007, 25.2007)*CHOOSE(CONTROL!$C$21, $C$9, 100%, $E$9)</f>
        <v>25.200700000000001</v>
      </c>
      <c r="G837" s="10">
        <f>CHOOSE(CONTROL!$C$42, 25.2169, 25.2169)*CHOOSE(CONTROL!$C$21, $C$9, 100%, $E$9)</f>
        <v>25.216899999999999</v>
      </c>
      <c r="H837" s="10">
        <f>CHOOSE(CONTROL!$C$42, 25.441, 25.441) * CHOOSE(CONTROL!$C$21, $C$9, 100%, $E$9)</f>
        <v>25.440999999999999</v>
      </c>
      <c r="I837" s="10">
        <f>CHOOSE(CONTROL!$C$42, 25.2351, 25.2351)* CHOOSE(CONTROL!$C$21, $C$9, 100%, $E$9)</f>
        <v>25.235099999999999</v>
      </c>
      <c r="J837" s="10">
        <f>CHOOSE(CONTROL!$C$42, 25.1933, 25.1933)* CHOOSE(CONTROL!$C$21, $C$9, 100%, $E$9)</f>
        <v>25.193300000000001</v>
      </c>
      <c r="K837" s="10">
        <f>CHOOSE(CONTROL!$C$42, 24.6071, 24.6071) * CHOOSE(CONTROL!$C$21, $C$9, 100%, $E$9)</f>
        <v>24.607099999999999</v>
      </c>
      <c r="L837" s="10">
        <f>CHOOSE(CONTROL!$C$42, 26.028, 26.028) * CHOOSE(CONTROL!$C$21, $C$9, 100%, $E$9)</f>
        <v>26.027999999999999</v>
      </c>
      <c r="M837" s="10">
        <f>CHOOSE(CONTROL!$C$42, 24.8749, 24.8749) * CHOOSE(CONTROL!$C$21, $C$9, 100%, $E$9)</f>
        <v>24.8749</v>
      </c>
      <c r="N837" s="10">
        <f>CHOOSE(CONTROL!$C$42, 24.8909, 24.8909) * CHOOSE(CONTROL!$C$21, $C$9, 100%, $E$9)</f>
        <v>24.890899999999998</v>
      </c>
      <c r="O837" s="10">
        <f>CHOOSE(CONTROL!$C$42, 25.1191, 25.1191) * CHOOSE(CONTROL!$C$21, $C$9, 100%, $E$9)</f>
        <v>25.1191</v>
      </c>
      <c r="P837" s="10">
        <f>CHOOSE(CONTROL!$C$42, 24.9162, 24.9162) * CHOOSE(CONTROL!$C$21, $C$9, 100%, $E$9)</f>
        <v>24.9162</v>
      </c>
      <c r="Q837" s="10">
        <f>CHOOSE(CONTROL!$C$42, 25.7144, 25.7144) * CHOOSE(CONTROL!$C$21, $C$9, 100%, $E$9)</f>
        <v>25.714400000000001</v>
      </c>
      <c r="R837" s="10">
        <f>CHOOSE(CONTROL!$C$42, 26.3656, 26.3656) * CHOOSE(CONTROL!$C$21, $C$9, 100%, $E$9)</f>
        <v>26.365600000000001</v>
      </c>
      <c r="S837" s="10">
        <f>CHOOSE(CONTROL!$C$42, 24.4703, 24.4703) * CHOOSE(CONTROL!$C$21, $C$9, 100%, $E$9)</f>
        <v>24.470300000000002</v>
      </c>
      <c r="T83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37" s="38">
        <f>(1000*CHOOSE(CONTROL!$C$42, 695, 695)*CHOOSE(CONTROL!$C$42, 0.5599, 0.5599)*CHOOSE(CONTROL!$C$42, 30, 30))/1000000</f>
        <v>11.673914999999997</v>
      </c>
      <c r="V837" s="38">
        <f>(1000*CHOOSE(CONTROL!$C$42, 500, 500)*CHOOSE(CONTROL!$C$42, 0.275, 0.275)*CHOOSE(CONTROL!$C$42, 30, 30))/1000000</f>
        <v>4.125</v>
      </c>
      <c r="W837" s="38">
        <f>(1000*CHOOSE(CONTROL!$C$42, 0.1146, 0.1146)*CHOOSE(CONTROL!$C$42, 121.5, 121.5)*CHOOSE(CONTROL!$C$42, 30, 30))/1000000</f>
        <v>0.417717</v>
      </c>
      <c r="X837" s="38">
        <f>(30*0.1790888*245000/1000000)+(30*0.2374*100000/1000000)</f>
        <v>2.0285026799999999</v>
      </c>
      <c r="Y837" s="38">
        <f>(1000*600*CHOOSE(CONTROL!$C$42, 1.0585, 1.0585)*CHOOSE(CONTROL!$C$42, 30, 30))/1000000</f>
        <v>19.053000000000001</v>
      </c>
      <c r="Z837" s="38"/>
      <c r="AA837" s="10"/>
      <c r="AB837" s="39"/>
      <c r="AC837" s="33">
        <f>(B837*194.205+C837*267.466+D837*133.845+E837*53.484+F837*40+G837*185+H837*0+I837*100+J837*300)/(194.205+267.466+133.845+53.484+0+40+185+100+300)</f>
        <v>25.259635646624798</v>
      </c>
      <c r="AD837" s="27">
        <f>(M837*'RAP TEMPLATE-GAS AVAILABILITY'!O836+N837*'RAP TEMPLATE-GAS AVAILABILITY'!P836+O837*'RAP TEMPLATE-GAS AVAILABILITY'!Q836+P837*'RAP TEMPLATE-GAS AVAILABILITY'!R836)/('RAP TEMPLATE-GAS AVAILABILITY'!O836+'RAP TEMPLATE-GAS AVAILABILITY'!P836+'RAP TEMPLATE-GAS AVAILABILITY'!Q836+'RAP TEMPLATE-GAS AVAILABILITY'!R836)</f>
        <v>24.992443884892083</v>
      </c>
    </row>
    <row r="838" spans="1:30" ht="15.75">
      <c r="A838" s="13">
        <v>66780</v>
      </c>
      <c r="B838" s="10">
        <f>CHOOSE(CONTROL!$C$42, 24.7411, 24.7411) * CHOOSE(CONTROL!$C$21, $C$9, 100%, $E$9)</f>
        <v>24.741099999999999</v>
      </c>
      <c r="C838" s="10">
        <f>CHOOSE(CONTROL!$C$42, 24.7465, 24.7465) * CHOOSE(CONTROL!$C$21, $C$9, 100%, $E$9)</f>
        <v>24.746500000000001</v>
      </c>
      <c r="D838" s="10">
        <f>CHOOSE(CONTROL!$C$42, 24.9084, 24.9084) * CHOOSE(CONTROL!$C$21, $C$9, 100%, $E$9)</f>
        <v>24.9084</v>
      </c>
      <c r="E838" s="10">
        <f>CHOOSE(CONTROL!$C$42, 24.9373, 24.9373) * CHOOSE(CONTROL!$C$21, $C$9, 100%, $E$9)</f>
        <v>24.9373</v>
      </c>
      <c r="F838" s="10">
        <f>CHOOSE(CONTROL!$C$42, 24.6875, 24.6875)*CHOOSE(CONTROL!$C$21, $C$9, 100%, $E$9)</f>
        <v>24.6875</v>
      </c>
      <c r="G838" s="10">
        <f>CHOOSE(CONTROL!$C$42, 24.7033, 24.7033)*CHOOSE(CONTROL!$C$21, $C$9, 100%, $E$9)</f>
        <v>24.703299999999999</v>
      </c>
      <c r="H838" s="10">
        <f>CHOOSE(CONTROL!$C$42, 24.9274, 24.9274) * CHOOSE(CONTROL!$C$21, $C$9, 100%, $E$9)</f>
        <v>24.927399999999999</v>
      </c>
      <c r="I838" s="10">
        <f>CHOOSE(CONTROL!$C$42, 24.7216, 24.7216)* CHOOSE(CONTROL!$C$21, $C$9, 100%, $E$9)</f>
        <v>24.721599999999999</v>
      </c>
      <c r="J838" s="10">
        <f>CHOOSE(CONTROL!$C$42, 24.6801, 24.6801)* CHOOSE(CONTROL!$C$21, $C$9, 100%, $E$9)</f>
        <v>24.680099999999999</v>
      </c>
      <c r="K838" s="10">
        <f>CHOOSE(CONTROL!$C$42, 24.1103, 24.1103) * CHOOSE(CONTROL!$C$21, $C$9, 100%, $E$9)</f>
        <v>24.110299999999999</v>
      </c>
      <c r="L838" s="10">
        <f>CHOOSE(CONTROL!$C$42, 25.5144, 25.5144) * CHOOSE(CONTROL!$C$21, $C$9, 100%, $E$9)</f>
        <v>25.514399999999998</v>
      </c>
      <c r="M838" s="10">
        <f>CHOOSE(CONTROL!$C$42, 24.3688, 24.3688) * CHOOSE(CONTROL!$C$21, $C$9, 100%, $E$9)</f>
        <v>24.3688</v>
      </c>
      <c r="N838" s="10">
        <f>CHOOSE(CONTROL!$C$42, 24.3844, 24.3844) * CHOOSE(CONTROL!$C$21, $C$9, 100%, $E$9)</f>
        <v>24.384399999999999</v>
      </c>
      <c r="O838" s="10">
        <f>CHOOSE(CONTROL!$C$42, 24.6127, 24.6127) * CHOOSE(CONTROL!$C$21, $C$9, 100%, $E$9)</f>
        <v>24.6127</v>
      </c>
      <c r="P838" s="10">
        <f>CHOOSE(CONTROL!$C$42, 24.4098, 24.4098) * CHOOSE(CONTROL!$C$21, $C$9, 100%, $E$9)</f>
        <v>24.409800000000001</v>
      </c>
      <c r="Q838" s="10">
        <f>CHOOSE(CONTROL!$C$42, 25.208, 25.208) * CHOOSE(CONTROL!$C$21, $C$9, 100%, $E$9)</f>
        <v>25.207999999999998</v>
      </c>
      <c r="R838" s="10">
        <f>CHOOSE(CONTROL!$C$42, 25.858, 25.858) * CHOOSE(CONTROL!$C$21, $C$9, 100%, $E$9)</f>
        <v>25.858000000000001</v>
      </c>
      <c r="S838" s="10">
        <f>CHOOSE(CONTROL!$C$42, 23.9731, 23.9731) * CHOOSE(CONTROL!$C$21, $C$9, 100%, $E$9)</f>
        <v>23.973099999999999</v>
      </c>
      <c r="T83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38" s="38">
        <f>(1000*CHOOSE(CONTROL!$C$42, 695, 695)*CHOOSE(CONTROL!$C$42, 0.5599, 0.5599)*CHOOSE(CONTROL!$C$42, 31, 31))/1000000</f>
        <v>12.063045499999998</v>
      </c>
      <c r="V838" s="38">
        <f>(1000*CHOOSE(CONTROL!$C$42, 500, 500)*CHOOSE(CONTROL!$C$42, 0.275, 0.275)*CHOOSE(CONTROL!$C$42, 31, 31))/1000000</f>
        <v>4.2625000000000002</v>
      </c>
      <c r="W838" s="38">
        <f>(1000*CHOOSE(CONTROL!$C$42, 0.1146, 0.1146)*CHOOSE(CONTROL!$C$42, 121.5, 121.5)*CHOOSE(CONTROL!$C$42, 31, 31))/1000000</f>
        <v>0.43164089999999994</v>
      </c>
      <c r="X838" s="38">
        <f>(31*0.1790888*245000/1000000)+(31*0.2374*100000/1000000)</f>
        <v>2.0961194359999999</v>
      </c>
      <c r="Y838" s="38">
        <f>(1000*600*CHOOSE(CONTROL!$C$42, 1.0585, 1.0585)*CHOOSE(CONTROL!$C$42, 31, 31))/1000000</f>
        <v>19.688099999999999</v>
      </c>
      <c r="Z838" s="38"/>
      <c r="AA838" s="10"/>
      <c r="AB838" s="39"/>
      <c r="AC838" s="33">
        <f>(B838*131.881+C838*277.167+D838*79.08+E838*125.872+F838*40+G838*185+H838*0+I838*100+J838*300)/(131.881+277.167+79.08+125.872+0+40+185+100+300)</f>
        <v>24.749199977562551</v>
      </c>
      <c r="AD838" s="27">
        <f>(M838*'RAP TEMPLATE-GAS AVAILABILITY'!O837+N838*'RAP TEMPLATE-GAS AVAILABILITY'!P837+O838*'RAP TEMPLATE-GAS AVAILABILITY'!Q837+P838*'RAP TEMPLATE-GAS AVAILABILITY'!R837)/('RAP TEMPLATE-GAS AVAILABILITY'!O837+'RAP TEMPLATE-GAS AVAILABILITY'!P837+'RAP TEMPLATE-GAS AVAILABILITY'!Q837+'RAP TEMPLATE-GAS AVAILABILITY'!R837)</f>
        <v>24.486141726618705</v>
      </c>
    </row>
    <row r="839" spans="1:30" ht="15.75">
      <c r="A839" s="13">
        <v>66810</v>
      </c>
      <c r="B839" s="10">
        <f>CHOOSE(CONTROL!$C$42, 25.3929, 25.3929) * CHOOSE(CONTROL!$C$21, $C$9, 100%, $E$9)</f>
        <v>25.392900000000001</v>
      </c>
      <c r="C839" s="10">
        <f>CHOOSE(CONTROL!$C$42, 25.398, 25.398) * CHOOSE(CONTROL!$C$21, $C$9, 100%, $E$9)</f>
        <v>25.398</v>
      </c>
      <c r="D839" s="10">
        <f>CHOOSE(CONTROL!$C$42, 25.4227, 25.4227) * CHOOSE(CONTROL!$C$21, $C$9, 100%, $E$9)</f>
        <v>25.422699999999999</v>
      </c>
      <c r="E839" s="10">
        <f>CHOOSE(CONTROL!$C$42, 25.4565, 25.4565) * CHOOSE(CONTROL!$C$21, $C$9, 100%, $E$9)</f>
        <v>25.456499999999998</v>
      </c>
      <c r="F839" s="10">
        <f>CHOOSE(CONTROL!$C$42, 25.3612, 25.3612)*CHOOSE(CONTROL!$C$21, $C$9, 100%, $E$9)</f>
        <v>25.3612</v>
      </c>
      <c r="G839" s="10">
        <f>CHOOSE(CONTROL!$C$42, 25.3773, 25.3773)*CHOOSE(CONTROL!$C$21, $C$9, 100%, $E$9)</f>
        <v>25.377300000000002</v>
      </c>
      <c r="H839" s="10">
        <f>CHOOSE(CONTROL!$C$42, 25.4454, 25.4454) * CHOOSE(CONTROL!$C$21, $C$9, 100%, $E$9)</f>
        <v>25.445399999999999</v>
      </c>
      <c r="I839" s="10">
        <f>CHOOSE(CONTROL!$C$42, 25.4079, 25.4079)* CHOOSE(CONTROL!$C$21, $C$9, 100%, $E$9)</f>
        <v>25.407900000000001</v>
      </c>
      <c r="J839" s="10">
        <f>CHOOSE(CONTROL!$C$42, 25.3538, 25.3538)* CHOOSE(CONTROL!$C$21, $C$9, 100%, $E$9)</f>
        <v>25.3538</v>
      </c>
      <c r="K839" s="10">
        <f>CHOOSE(CONTROL!$C$42, 24.7774, 24.7774) * CHOOSE(CONTROL!$C$21, $C$9, 100%, $E$9)</f>
        <v>24.7774</v>
      </c>
      <c r="L839" s="10">
        <f>CHOOSE(CONTROL!$C$42, 26.0324, 26.0324) * CHOOSE(CONTROL!$C$21, $C$9, 100%, $E$9)</f>
        <v>26.032399999999999</v>
      </c>
      <c r="M839" s="10">
        <f>CHOOSE(CONTROL!$C$42, 25.0332, 25.0332) * CHOOSE(CONTROL!$C$21, $C$9, 100%, $E$9)</f>
        <v>25.033200000000001</v>
      </c>
      <c r="N839" s="10">
        <f>CHOOSE(CONTROL!$C$42, 25.0489, 25.0489) * CHOOSE(CONTROL!$C$21, $C$9, 100%, $E$9)</f>
        <v>25.0489</v>
      </c>
      <c r="O839" s="10">
        <f>CHOOSE(CONTROL!$C$42, 25.1234, 25.1234) * CHOOSE(CONTROL!$C$21, $C$9, 100%, $E$9)</f>
        <v>25.1234</v>
      </c>
      <c r="P839" s="10">
        <f>CHOOSE(CONTROL!$C$42, 25.0865, 25.0865) * CHOOSE(CONTROL!$C$21, $C$9, 100%, $E$9)</f>
        <v>25.086500000000001</v>
      </c>
      <c r="Q839" s="10">
        <f>CHOOSE(CONTROL!$C$42, 25.7187, 25.7187) * CHOOSE(CONTROL!$C$21, $C$9, 100%, $E$9)</f>
        <v>25.718699999999998</v>
      </c>
      <c r="R839" s="10">
        <f>CHOOSE(CONTROL!$C$42, 26.37, 26.37) * CHOOSE(CONTROL!$C$21, $C$9, 100%, $E$9)</f>
        <v>26.37</v>
      </c>
      <c r="S839" s="10">
        <f>CHOOSE(CONTROL!$C$42, 24.6046, 24.6046) * CHOOSE(CONTROL!$C$21, $C$9, 100%, $E$9)</f>
        <v>24.604600000000001</v>
      </c>
      <c r="T83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39" s="38">
        <f>(1000*CHOOSE(CONTROL!$C$42, 695, 695)*CHOOSE(CONTROL!$C$42, 0.5599, 0.5599)*CHOOSE(CONTROL!$C$42, 30, 30))/1000000</f>
        <v>11.673914999999997</v>
      </c>
      <c r="V839" s="38">
        <f>(1000*CHOOSE(CONTROL!$C$42, 500, 500)*CHOOSE(CONTROL!$C$42, 0.275, 0.275)*CHOOSE(CONTROL!$C$42, 30, 30))/1000000</f>
        <v>4.125</v>
      </c>
      <c r="W839" s="38">
        <f>(1000*CHOOSE(CONTROL!$C$42, 0.1146, 0.1146)*CHOOSE(CONTROL!$C$42, 121.5, 121.5)*CHOOSE(CONTROL!$C$42, 30, 30))/1000000</f>
        <v>0.417717</v>
      </c>
      <c r="X839" s="38">
        <f>(30*0.1790888*100000/1000000)+(30*0.2374*100000/1000000)</f>
        <v>1.2494664</v>
      </c>
      <c r="Y839" s="38">
        <f>(1000*600*CHOOSE(CONTROL!$C$42, 1.0585, 1.0585)*CHOOSE(CONTROL!$C$42, 30, 30))/1000000</f>
        <v>19.053000000000001</v>
      </c>
      <c r="Z839" s="38"/>
      <c r="AA839" s="10"/>
      <c r="AB839" s="39"/>
      <c r="AC839" s="33">
        <f>(B839*122.58+C839*297.941+D839*89.177+E839*40.302+F839*40+G839*160+H839*0+I839*100+J839*300)/(122.58+297.941+89.177+40.302+0+40+160+100+300)</f>
        <v>25.386592331217393</v>
      </c>
      <c r="AD839" s="27">
        <f>(M839*'RAP TEMPLATE-GAS AVAILABILITY'!O838+N839*'RAP TEMPLATE-GAS AVAILABILITY'!P838+O839*'RAP TEMPLATE-GAS AVAILABILITY'!Q838+P839*'RAP TEMPLATE-GAS AVAILABILITY'!R838)/('RAP TEMPLATE-GAS AVAILABILITY'!O838+'RAP TEMPLATE-GAS AVAILABILITY'!P838+'RAP TEMPLATE-GAS AVAILABILITY'!Q838+'RAP TEMPLATE-GAS AVAILABILITY'!R838)</f>
        <v>25.082654676258993</v>
      </c>
    </row>
    <row r="840" spans="1:30" ht="15.75">
      <c r="A840" s="13">
        <v>66841</v>
      </c>
      <c r="B840" s="10">
        <f>CHOOSE(CONTROL!$C$42, 27.1253, 27.1253) * CHOOSE(CONTROL!$C$21, $C$9, 100%, $E$9)</f>
        <v>27.125299999999999</v>
      </c>
      <c r="C840" s="10">
        <f>CHOOSE(CONTROL!$C$42, 27.1304, 27.1304) * CHOOSE(CONTROL!$C$21, $C$9, 100%, $E$9)</f>
        <v>27.130400000000002</v>
      </c>
      <c r="D840" s="10">
        <f>CHOOSE(CONTROL!$C$42, 27.1551, 27.1551) * CHOOSE(CONTROL!$C$21, $C$9, 100%, $E$9)</f>
        <v>27.155100000000001</v>
      </c>
      <c r="E840" s="10">
        <f>CHOOSE(CONTROL!$C$42, 27.1889, 27.1889) * CHOOSE(CONTROL!$C$21, $C$9, 100%, $E$9)</f>
        <v>27.1889</v>
      </c>
      <c r="F840" s="10">
        <f>CHOOSE(CONTROL!$C$42, 27.0956, 27.0956)*CHOOSE(CONTROL!$C$21, $C$9, 100%, $E$9)</f>
        <v>27.095600000000001</v>
      </c>
      <c r="G840" s="10">
        <f>CHOOSE(CONTROL!$C$42, 27.112, 27.112)*CHOOSE(CONTROL!$C$21, $C$9, 100%, $E$9)</f>
        <v>27.111999999999998</v>
      </c>
      <c r="H840" s="10">
        <f>CHOOSE(CONTROL!$C$42, 27.1778, 27.1778) * CHOOSE(CONTROL!$C$21, $C$9, 100%, $E$9)</f>
        <v>27.177800000000001</v>
      </c>
      <c r="I840" s="10">
        <f>CHOOSE(CONTROL!$C$42, 27.1403, 27.1403)* CHOOSE(CONTROL!$C$21, $C$9, 100%, $E$9)</f>
        <v>27.1403</v>
      </c>
      <c r="J840" s="10">
        <f>CHOOSE(CONTROL!$C$42, 27.0882, 27.0882)* CHOOSE(CONTROL!$C$21, $C$9, 100%, $E$9)</f>
        <v>27.088200000000001</v>
      </c>
      <c r="K840" s="10">
        <f>CHOOSE(CONTROL!$C$42, 26.4598, 26.4598) * CHOOSE(CONTROL!$C$21, $C$9, 100%, $E$9)</f>
        <v>26.459800000000001</v>
      </c>
      <c r="L840" s="10">
        <f>CHOOSE(CONTROL!$C$42, 27.7648, 27.7648) * CHOOSE(CONTROL!$C$21, $C$9, 100%, $E$9)</f>
        <v>27.764800000000001</v>
      </c>
      <c r="M840" s="10">
        <f>CHOOSE(CONTROL!$C$42, 26.7433, 26.7433) * CHOOSE(CONTROL!$C$21, $C$9, 100%, $E$9)</f>
        <v>26.743300000000001</v>
      </c>
      <c r="N840" s="10">
        <f>CHOOSE(CONTROL!$C$42, 26.7595, 26.7595) * CHOOSE(CONTROL!$C$21, $C$9, 100%, $E$9)</f>
        <v>26.759499999999999</v>
      </c>
      <c r="O840" s="10">
        <f>CHOOSE(CONTROL!$C$42, 26.8316, 26.8316) * CHOOSE(CONTROL!$C$21, $C$9, 100%, $E$9)</f>
        <v>26.831600000000002</v>
      </c>
      <c r="P840" s="10">
        <f>CHOOSE(CONTROL!$C$42, 26.7947, 26.7947) * CHOOSE(CONTROL!$C$21, $C$9, 100%, $E$9)</f>
        <v>26.794699999999999</v>
      </c>
      <c r="Q840" s="10">
        <f>CHOOSE(CONTROL!$C$42, 27.4269, 27.4269) * CHOOSE(CONTROL!$C$21, $C$9, 100%, $E$9)</f>
        <v>27.4269</v>
      </c>
      <c r="R840" s="10">
        <f>CHOOSE(CONTROL!$C$42, 28.0825, 28.0825) * CHOOSE(CONTROL!$C$21, $C$9, 100%, $E$9)</f>
        <v>28.0825</v>
      </c>
      <c r="S840" s="10">
        <f>CHOOSE(CONTROL!$C$42, 26.2821, 26.2821) * CHOOSE(CONTROL!$C$21, $C$9, 100%, $E$9)</f>
        <v>26.2821</v>
      </c>
      <c r="T84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40" s="38">
        <f>(1000*CHOOSE(CONTROL!$C$42, 695, 695)*CHOOSE(CONTROL!$C$42, 0.5599, 0.5599)*CHOOSE(CONTROL!$C$42, 31, 31))/1000000</f>
        <v>12.063045499999998</v>
      </c>
      <c r="V840" s="38">
        <f>(1000*CHOOSE(CONTROL!$C$42, 500, 500)*CHOOSE(CONTROL!$C$42, 0.275, 0.275)*CHOOSE(CONTROL!$C$42, 31, 31))/1000000</f>
        <v>4.2625000000000002</v>
      </c>
      <c r="W840" s="38">
        <f>(1000*CHOOSE(CONTROL!$C$42, 0.1146, 0.1146)*CHOOSE(CONTROL!$C$42, 121.5, 121.5)*CHOOSE(CONTROL!$C$42, 31, 31))/1000000</f>
        <v>0.43164089999999994</v>
      </c>
      <c r="X840" s="38">
        <f>(31*0.1790888*100000/1000000)+(31*0.2374*100000/1000000)</f>
        <v>1.2911152800000001</v>
      </c>
      <c r="Y840" s="38">
        <f>(1000*600*CHOOSE(CONTROL!$C$42, 1.0585, 1.0585)*CHOOSE(CONTROL!$C$42, 31, 31))/1000000</f>
        <v>19.688099999999999</v>
      </c>
      <c r="Z840" s="38"/>
      <c r="AA840" s="10"/>
      <c r="AB840" s="39"/>
      <c r="AC840" s="33">
        <f>(B840*122.58+C840*297.941+D840*89.177+E840*40.302+F840*40+G840*160+H840*0+I840*100+J840*300)/(122.58+297.941+89.177+40.302+0+40+160+100+300)</f>
        <v>27.119903635565215</v>
      </c>
      <c r="AD840" s="27">
        <f>(M840*'RAP TEMPLATE-GAS AVAILABILITY'!O839+N840*'RAP TEMPLATE-GAS AVAILABILITY'!P839+O840*'RAP TEMPLATE-GAS AVAILABILITY'!Q839+P840*'RAP TEMPLATE-GAS AVAILABILITY'!R839)/('RAP TEMPLATE-GAS AVAILABILITY'!O839+'RAP TEMPLATE-GAS AVAILABILITY'!P839+'RAP TEMPLATE-GAS AVAILABILITY'!Q839+'RAP TEMPLATE-GAS AVAILABILITY'!R839)</f>
        <v>26.79164892086331</v>
      </c>
    </row>
    <row r="841" spans="1:30" ht="15.75">
      <c r="A841" s="13">
        <v>66872</v>
      </c>
      <c r="B841" s="10">
        <f>CHOOSE(CONTROL!$C$42, 28.9572, 28.9572) * CHOOSE(CONTROL!$C$21, $C$9, 100%, $E$9)</f>
        <v>28.9572</v>
      </c>
      <c r="C841" s="10">
        <f>CHOOSE(CONTROL!$C$42, 28.9623, 28.9623) * CHOOSE(CONTROL!$C$21, $C$9, 100%, $E$9)</f>
        <v>28.962299999999999</v>
      </c>
      <c r="D841" s="10">
        <f>CHOOSE(CONTROL!$C$42, 28.9947, 28.9947) * CHOOSE(CONTROL!$C$21, $C$9, 100%, $E$9)</f>
        <v>28.994700000000002</v>
      </c>
      <c r="E841" s="10">
        <f>CHOOSE(CONTROL!$C$42, 29.0285, 29.0285) * CHOOSE(CONTROL!$C$21, $C$9, 100%, $E$9)</f>
        <v>29.028500000000001</v>
      </c>
      <c r="F841" s="10">
        <f>CHOOSE(CONTROL!$C$42, 28.9414, 28.9414)*CHOOSE(CONTROL!$C$21, $C$9, 100%, $E$9)</f>
        <v>28.941400000000002</v>
      </c>
      <c r="G841" s="10">
        <f>CHOOSE(CONTROL!$C$42, 28.9594, 28.9594)*CHOOSE(CONTROL!$C$21, $C$9, 100%, $E$9)</f>
        <v>28.959399999999999</v>
      </c>
      <c r="H841" s="10">
        <f>CHOOSE(CONTROL!$C$42, 29.0174, 29.0174) * CHOOSE(CONTROL!$C$21, $C$9, 100%, $E$9)</f>
        <v>29.017399999999999</v>
      </c>
      <c r="I841" s="10">
        <f>CHOOSE(CONTROL!$C$42, 28.9706, 28.9706)* CHOOSE(CONTROL!$C$21, $C$9, 100%, $E$9)</f>
        <v>28.970600000000001</v>
      </c>
      <c r="J841" s="10">
        <f>CHOOSE(CONTROL!$C$42, 28.934, 28.934)* CHOOSE(CONTROL!$C$21, $C$9, 100%, $E$9)</f>
        <v>28.934000000000001</v>
      </c>
      <c r="K841" s="10">
        <f>CHOOSE(CONTROL!$C$42, 28.2469, 28.2469) * CHOOSE(CONTROL!$C$21, $C$9, 100%, $E$9)</f>
        <v>28.2469</v>
      </c>
      <c r="L841" s="10">
        <f>CHOOSE(CONTROL!$C$42, 29.6044, 29.6044) * CHOOSE(CONTROL!$C$21, $C$9, 100%, $E$9)</f>
        <v>29.604399999999998</v>
      </c>
      <c r="M841" s="10">
        <f>CHOOSE(CONTROL!$C$42, 28.5634, 28.5634) * CHOOSE(CONTROL!$C$21, $C$9, 100%, $E$9)</f>
        <v>28.563400000000001</v>
      </c>
      <c r="N841" s="10">
        <f>CHOOSE(CONTROL!$C$42, 28.5811, 28.5811) * CHOOSE(CONTROL!$C$21, $C$9, 100%, $E$9)</f>
        <v>28.581099999999999</v>
      </c>
      <c r="O841" s="10">
        <f>CHOOSE(CONTROL!$C$42, 28.6456, 28.6456) * CHOOSE(CONTROL!$C$21, $C$9, 100%, $E$9)</f>
        <v>28.645600000000002</v>
      </c>
      <c r="P841" s="10">
        <f>CHOOSE(CONTROL!$C$42, 28.5995, 28.5995) * CHOOSE(CONTROL!$C$21, $C$9, 100%, $E$9)</f>
        <v>28.599499999999999</v>
      </c>
      <c r="Q841" s="10">
        <f>CHOOSE(CONTROL!$C$42, 29.2409, 29.2409) * CHOOSE(CONTROL!$C$21, $C$9, 100%, $E$9)</f>
        <v>29.2409</v>
      </c>
      <c r="R841" s="10">
        <f>CHOOSE(CONTROL!$C$42, 29.901, 29.901) * CHOOSE(CONTROL!$C$21, $C$9, 100%, $E$9)</f>
        <v>29.901</v>
      </c>
      <c r="S841" s="10">
        <f>CHOOSE(CONTROL!$C$42, 28.0559, 28.0559) * CHOOSE(CONTROL!$C$21, $C$9, 100%, $E$9)</f>
        <v>28.055900000000001</v>
      </c>
      <c r="T84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41" s="38">
        <f>(1000*CHOOSE(CONTROL!$C$42, 695, 695)*CHOOSE(CONTROL!$C$42, 0.5599, 0.5599)*CHOOSE(CONTROL!$C$42, 31, 31))/1000000</f>
        <v>12.063045499999998</v>
      </c>
      <c r="V841" s="38">
        <f>(1000*CHOOSE(CONTROL!$C$42, 500, 500)*CHOOSE(CONTROL!$C$42, 0.275, 0.275)*CHOOSE(CONTROL!$C$42, 31, 31))/1000000</f>
        <v>4.2625000000000002</v>
      </c>
      <c r="W841" s="38">
        <f>(1000*CHOOSE(CONTROL!$C$42, 0.1146, 0.1146)*CHOOSE(CONTROL!$C$42, 121.5, 121.5)*CHOOSE(CONTROL!$C$42, 31, 31))/1000000</f>
        <v>0.43164089999999994</v>
      </c>
      <c r="X841" s="38">
        <f>(31*0.1790888*100000/1000000)+(31*0.2374*100000/1000000)</f>
        <v>1.2911152800000001</v>
      </c>
      <c r="Y841" s="38">
        <f>(1000*600*CHOOSE(CONTROL!$C$42, 1.0585, 1.0585)*CHOOSE(CONTROL!$C$42, 31, 31))/1000000</f>
        <v>19.688099999999999</v>
      </c>
      <c r="Z841" s="38"/>
      <c r="AA841" s="10"/>
      <c r="AB841" s="39"/>
      <c r="AC841" s="33">
        <f>(B841*122.58+C841*297.941+D841*89.177+E841*40.302+F841*40+G841*160+H841*0+I841*100+J841*300)/(122.58+297.941+89.177+40.302+0+40+160+100+300)</f>
        <v>28.958797538434787</v>
      </c>
      <c r="AD841" s="27">
        <f>(M841*'RAP TEMPLATE-GAS AVAILABILITY'!O840+N841*'RAP TEMPLATE-GAS AVAILABILITY'!P840+O841*'RAP TEMPLATE-GAS AVAILABILITY'!Q840+P841*'RAP TEMPLATE-GAS AVAILABILITY'!R840)/('RAP TEMPLATE-GAS AVAILABILITY'!O840+'RAP TEMPLATE-GAS AVAILABILITY'!P840+'RAP TEMPLATE-GAS AVAILABILITY'!Q840+'RAP TEMPLATE-GAS AVAILABILITY'!R840)</f>
        <v>28.606869064748203</v>
      </c>
    </row>
    <row r="842" spans="1:30" ht="15.75">
      <c r="A842" s="13">
        <v>66900</v>
      </c>
      <c r="B842" s="10">
        <f>CHOOSE(CONTROL!$C$42, 29.473, 29.473) * CHOOSE(CONTROL!$C$21, $C$9, 100%, $E$9)</f>
        <v>29.472999999999999</v>
      </c>
      <c r="C842" s="10">
        <f>CHOOSE(CONTROL!$C$42, 29.4781, 29.4781) * CHOOSE(CONTROL!$C$21, $C$9, 100%, $E$9)</f>
        <v>29.478100000000001</v>
      </c>
      <c r="D842" s="10">
        <f>CHOOSE(CONTROL!$C$42, 29.5105, 29.5105) * CHOOSE(CONTROL!$C$21, $C$9, 100%, $E$9)</f>
        <v>29.5105</v>
      </c>
      <c r="E842" s="10">
        <f>CHOOSE(CONTROL!$C$42, 29.5443, 29.5443) * CHOOSE(CONTROL!$C$21, $C$9, 100%, $E$9)</f>
        <v>29.5443</v>
      </c>
      <c r="F842" s="10">
        <f>CHOOSE(CONTROL!$C$42, 29.4567, 29.4567)*CHOOSE(CONTROL!$C$21, $C$9, 100%, $E$9)</f>
        <v>29.456700000000001</v>
      </c>
      <c r="G842" s="10">
        <f>CHOOSE(CONTROL!$C$42, 29.4746, 29.4746)*CHOOSE(CONTROL!$C$21, $C$9, 100%, $E$9)</f>
        <v>29.474599999999999</v>
      </c>
      <c r="H842" s="10">
        <f>CHOOSE(CONTROL!$C$42, 29.5332, 29.5332) * CHOOSE(CONTROL!$C$21, $C$9, 100%, $E$9)</f>
        <v>29.533200000000001</v>
      </c>
      <c r="I842" s="10">
        <f>CHOOSE(CONTROL!$C$42, 29.4864, 29.4864)* CHOOSE(CONTROL!$C$21, $C$9, 100%, $E$9)</f>
        <v>29.4864</v>
      </c>
      <c r="J842" s="10">
        <f>CHOOSE(CONTROL!$C$42, 29.4493, 29.4493)* CHOOSE(CONTROL!$C$21, $C$9, 100%, $E$9)</f>
        <v>29.449300000000001</v>
      </c>
      <c r="K842" s="10">
        <f>CHOOSE(CONTROL!$C$42, 28.7456, 28.7456) * CHOOSE(CONTROL!$C$21, $C$9, 100%, $E$9)</f>
        <v>28.7456</v>
      </c>
      <c r="L842" s="10">
        <f>CHOOSE(CONTROL!$C$42, 30.1202, 30.1202) * CHOOSE(CONTROL!$C$21, $C$9, 100%, $E$9)</f>
        <v>30.120200000000001</v>
      </c>
      <c r="M842" s="10">
        <f>CHOOSE(CONTROL!$C$42, 29.0715, 29.0715) * CHOOSE(CONTROL!$C$21, $C$9, 100%, $E$9)</f>
        <v>29.0715</v>
      </c>
      <c r="N842" s="10">
        <f>CHOOSE(CONTROL!$C$42, 29.0892, 29.0892) * CHOOSE(CONTROL!$C$21, $C$9, 100%, $E$9)</f>
        <v>29.089200000000002</v>
      </c>
      <c r="O842" s="10">
        <f>CHOOSE(CONTROL!$C$42, 29.1542, 29.1542) * CHOOSE(CONTROL!$C$21, $C$9, 100%, $E$9)</f>
        <v>29.154199999999999</v>
      </c>
      <c r="P842" s="10">
        <f>CHOOSE(CONTROL!$C$42, 29.1081, 29.1081) * CHOOSE(CONTROL!$C$21, $C$9, 100%, $E$9)</f>
        <v>29.1081</v>
      </c>
      <c r="Q842" s="10">
        <f>CHOOSE(CONTROL!$C$42, 29.7495, 29.7495) * CHOOSE(CONTROL!$C$21, $C$9, 100%, $E$9)</f>
        <v>29.749500000000001</v>
      </c>
      <c r="R842" s="10">
        <f>CHOOSE(CONTROL!$C$42, 30.4109, 30.4109) * CHOOSE(CONTROL!$C$21, $C$9, 100%, $E$9)</f>
        <v>30.410900000000002</v>
      </c>
      <c r="S842" s="10">
        <f>CHOOSE(CONTROL!$C$42, 28.5553, 28.5553) * CHOOSE(CONTROL!$C$21, $C$9, 100%, $E$9)</f>
        <v>28.555299999999999</v>
      </c>
      <c r="T84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42" s="38">
        <f>(1000*CHOOSE(CONTROL!$C$42, 695, 695)*CHOOSE(CONTROL!$C$42, 0.5599, 0.5599)*CHOOSE(CONTROL!$C$42, 28, 28))/1000000</f>
        <v>10.895653999999999</v>
      </c>
      <c r="V842" s="38">
        <f>(1000*CHOOSE(CONTROL!$C$42, 500, 500)*CHOOSE(CONTROL!$C$42, 0.275, 0.275)*CHOOSE(CONTROL!$C$42, 28, 28))/1000000</f>
        <v>3.85</v>
      </c>
      <c r="W842" s="38">
        <f>(1000*CHOOSE(CONTROL!$C$42, 0.1146, 0.1146)*CHOOSE(CONTROL!$C$42, 121.5, 121.5)*CHOOSE(CONTROL!$C$42, 28, 28))/1000000</f>
        <v>0.38986920000000003</v>
      </c>
      <c r="X842" s="38">
        <f>(28*0.1790888*100000/1000000)+(28*0.2374*100000/1000000)</f>
        <v>1.16616864</v>
      </c>
      <c r="Y842" s="38">
        <f>(1000*600*CHOOSE(CONTROL!$C$42, 1.0585, 1.0585)*CHOOSE(CONTROL!$C$42, 28, 28))/1000000</f>
        <v>17.782800000000002</v>
      </c>
      <c r="Z842" s="38"/>
      <c r="AA842" s="10"/>
      <c r="AB842" s="39"/>
      <c r="AC842" s="33">
        <f>(B842*122.58+C842*297.941+D842*89.177+E842*40.302+F842*40+G842*160+H842*0+I842*100+J842*300)/(122.58+297.941+89.177+40.302+0+40+160+100+300)</f>
        <v>29.474366234086958</v>
      </c>
      <c r="AD842" s="27">
        <f>(M842*'RAP TEMPLATE-GAS AVAILABILITY'!O841+N842*'RAP TEMPLATE-GAS AVAILABILITY'!P841+O842*'RAP TEMPLATE-GAS AVAILABILITY'!Q841+P842*'RAP TEMPLATE-GAS AVAILABILITY'!R841)/('RAP TEMPLATE-GAS AVAILABILITY'!O841+'RAP TEMPLATE-GAS AVAILABILITY'!P841+'RAP TEMPLATE-GAS AVAILABILITY'!Q841+'RAP TEMPLATE-GAS AVAILABILITY'!R841)</f>
        <v>29.115267625899282</v>
      </c>
    </row>
    <row r="843" spans="1:30" ht="15.75">
      <c r="A843" s="13">
        <v>66931</v>
      </c>
      <c r="B843" s="10">
        <f>CHOOSE(CONTROL!$C$42, 28.6358, 28.6358) * CHOOSE(CONTROL!$C$21, $C$9, 100%, $E$9)</f>
        <v>28.6358</v>
      </c>
      <c r="C843" s="10">
        <f>CHOOSE(CONTROL!$C$42, 28.6409, 28.6409) * CHOOSE(CONTROL!$C$21, $C$9, 100%, $E$9)</f>
        <v>28.640899999999998</v>
      </c>
      <c r="D843" s="10">
        <f>CHOOSE(CONTROL!$C$42, 28.6733, 28.6733) * CHOOSE(CONTROL!$C$21, $C$9, 100%, $E$9)</f>
        <v>28.673300000000001</v>
      </c>
      <c r="E843" s="10">
        <f>CHOOSE(CONTROL!$C$42, 28.7071, 28.7071) * CHOOSE(CONTROL!$C$21, $C$9, 100%, $E$9)</f>
        <v>28.707100000000001</v>
      </c>
      <c r="F843" s="10">
        <f>CHOOSE(CONTROL!$C$42, 28.618, 28.618)*CHOOSE(CONTROL!$C$21, $C$9, 100%, $E$9)</f>
        <v>28.617999999999999</v>
      </c>
      <c r="G843" s="10">
        <f>CHOOSE(CONTROL!$C$42, 28.6356, 28.6356)*CHOOSE(CONTROL!$C$21, $C$9, 100%, $E$9)</f>
        <v>28.6356</v>
      </c>
      <c r="H843" s="10">
        <f>CHOOSE(CONTROL!$C$42, 28.696, 28.696) * CHOOSE(CONTROL!$C$21, $C$9, 100%, $E$9)</f>
        <v>28.696000000000002</v>
      </c>
      <c r="I843" s="10">
        <f>CHOOSE(CONTROL!$C$42, 28.6492, 28.6492)* CHOOSE(CONTROL!$C$21, $C$9, 100%, $E$9)</f>
        <v>28.6492</v>
      </c>
      <c r="J843" s="10">
        <f>CHOOSE(CONTROL!$C$42, 28.6106, 28.6106)* CHOOSE(CONTROL!$C$21, $C$9, 100%, $E$9)</f>
        <v>28.610600000000002</v>
      </c>
      <c r="K843" s="10">
        <f>CHOOSE(CONTROL!$C$42, 27.9314, 27.9314) * CHOOSE(CONTROL!$C$21, $C$9, 100%, $E$9)</f>
        <v>27.9314</v>
      </c>
      <c r="L843" s="10">
        <f>CHOOSE(CONTROL!$C$42, 29.283, 29.283) * CHOOSE(CONTROL!$C$21, $C$9, 100%, $E$9)</f>
        <v>29.283000000000001</v>
      </c>
      <c r="M843" s="10">
        <f>CHOOSE(CONTROL!$C$42, 28.2445, 28.2445) * CHOOSE(CONTROL!$C$21, $C$9, 100%, $E$9)</f>
        <v>28.244499999999999</v>
      </c>
      <c r="N843" s="10">
        <f>CHOOSE(CONTROL!$C$42, 28.2618, 28.2618) * CHOOSE(CONTROL!$C$21, $C$9, 100%, $E$9)</f>
        <v>28.261800000000001</v>
      </c>
      <c r="O843" s="10">
        <f>CHOOSE(CONTROL!$C$42, 28.3287, 28.3287) * CHOOSE(CONTROL!$C$21, $C$9, 100%, $E$9)</f>
        <v>28.328700000000001</v>
      </c>
      <c r="P843" s="10">
        <f>CHOOSE(CONTROL!$C$42, 28.2826, 28.2826) * CHOOSE(CONTROL!$C$21, $C$9, 100%, $E$9)</f>
        <v>28.282599999999999</v>
      </c>
      <c r="Q843" s="10">
        <f>CHOOSE(CONTROL!$C$42, 28.924, 28.924) * CHOOSE(CONTROL!$C$21, $C$9, 100%, $E$9)</f>
        <v>28.923999999999999</v>
      </c>
      <c r="R843" s="10">
        <f>CHOOSE(CONTROL!$C$42, 29.5833, 29.5833) * CHOOSE(CONTROL!$C$21, $C$9, 100%, $E$9)</f>
        <v>29.583300000000001</v>
      </c>
      <c r="S843" s="10">
        <f>CHOOSE(CONTROL!$C$42, 27.7447, 27.7447) * CHOOSE(CONTROL!$C$21, $C$9, 100%, $E$9)</f>
        <v>27.744700000000002</v>
      </c>
      <c r="T84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43" s="38">
        <f>(1000*CHOOSE(CONTROL!$C$42, 695, 695)*CHOOSE(CONTROL!$C$42, 0.5599, 0.5599)*CHOOSE(CONTROL!$C$42, 31, 31))/1000000</f>
        <v>12.063045499999998</v>
      </c>
      <c r="V843" s="38">
        <f>(1000*CHOOSE(CONTROL!$C$42, 500, 500)*CHOOSE(CONTROL!$C$42, 0.275, 0.275)*CHOOSE(CONTROL!$C$42, 31, 31))/1000000</f>
        <v>4.2625000000000002</v>
      </c>
      <c r="W843" s="38">
        <f>(1000*CHOOSE(CONTROL!$C$42, 0.1146, 0.1146)*CHOOSE(CONTROL!$C$42, 121.5, 121.5)*CHOOSE(CONTROL!$C$42, 31, 31))/1000000</f>
        <v>0.43164089999999994</v>
      </c>
      <c r="X843" s="38">
        <f>(31*0.1790888*100000/1000000)+(31*0.2374*100000/1000000)</f>
        <v>1.2911152800000001</v>
      </c>
      <c r="Y843" s="38">
        <f>(1000*600*CHOOSE(CONTROL!$C$42, 1.0585, 1.0585)*CHOOSE(CONTROL!$C$42, 31, 31))/1000000</f>
        <v>19.688099999999999</v>
      </c>
      <c r="Z843" s="38"/>
      <c r="AA843" s="10"/>
      <c r="AB843" s="39"/>
      <c r="AC843" s="33">
        <f>(B843*122.58+C843*297.941+D843*89.177+E843*40.302+F843*40+G843*160+H843*0+I843*100+J843*300)/(122.58+297.941+89.177+40.302+0+40+160+100+300)</f>
        <v>28.636472321043478</v>
      </c>
      <c r="AD843" s="27">
        <f>(M843*'RAP TEMPLATE-GAS AVAILABILITY'!O842+N843*'RAP TEMPLATE-GAS AVAILABILITY'!P842+O843*'RAP TEMPLATE-GAS AVAILABILITY'!Q842+P843*'RAP TEMPLATE-GAS AVAILABILITY'!R842)/('RAP TEMPLATE-GAS AVAILABILITY'!O842+'RAP TEMPLATE-GAS AVAILABILITY'!P842+'RAP TEMPLATE-GAS AVAILABILITY'!Q842+'RAP TEMPLATE-GAS AVAILABILITY'!R842)</f>
        <v>28.289140287769783</v>
      </c>
    </row>
    <row r="844" spans="1:30" ht="15.75">
      <c r="A844" s="13">
        <v>66961</v>
      </c>
      <c r="B844" s="10">
        <f>CHOOSE(CONTROL!$C$42, 28.5507, 28.5507) * CHOOSE(CONTROL!$C$21, $C$9, 100%, $E$9)</f>
        <v>28.550699999999999</v>
      </c>
      <c r="C844" s="10">
        <f>CHOOSE(CONTROL!$C$42, 28.5553, 28.5553) * CHOOSE(CONTROL!$C$21, $C$9, 100%, $E$9)</f>
        <v>28.555299999999999</v>
      </c>
      <c r="D844" s="10">
        <f>CHOOSE(CONTROL!$C$42, 28.7154, 28.7154) * CHOOSE(CONTROL!$C$21, $C$9, 100%, $E$9)</f>
        <v>28.715399999999999</v>
      </c>
      <c r="E844" s="10">
        <f>CHOOSE(CONTROL!$C$42, 28.7472, 28.7472) * CHOOSE(CONTROL!$C$21, $C$9, 100%, $E$9)</f>
        <v>28.747199999999999</v>
      </c>
      <c r="F844" s="10">
        <f>CHOOSE(CONTROL!$C$42, 28.4968, 28.4968)*CHOOSE(CONTROL!$C$21, $C$9, 100%, $E$9)</f>
        <v>28.4968</v>
      </c>
      <c r="G844" s="10">
        <f>CHOOSE(CONTROL!$C$42, 28.5126, 28.5126)*CHOOSE(CONTROL!$C$21, $C$9, 100%, $E$9)</f>
        <v>28.512599999999999</v>
      </c>
      <c r="H844" s="10">
        <f>CHOOSE(CONTROL!$C$42, 28.7367, 28.7367) * CHOOSE(CONTROL!$C$21, $C$9, 100%, $E$9)</f>
        <v>28.736699999999999</v>
      </c>
      <c r="I844" s="10">
        <f>CHOOSE(CONTROL!$C$42, 28.5309, 28.5309)* CHOOSE(CONTROL!$C$21, $C$9, 100%, $E$9)</f>
        <v>28.530899999999999</v>
      </c>
      <c r="J844" s="10">
        <f>CHOOSE(CONTROL!$C$42, 28.4894, 28.4894)* CHOOSE(CONTROL!$C$21, $C$9, 100%, $E$9)</f>
        <v>28.4894</v>
      </c>
      <c r="K844" s="10">
        <f>CHOOSE(CONTROL!$C$42, 27.8008, 27.8008) * CHOOSE(CONTROL!$C$21, $C$9, 100%, $E$9)</f>
        <v>27.800799999999999</v>
      </c>
      <c r="L844" s="10">
        <f>CHOOSE(CONTROL!$C$42, 29.3237, 29.3237) * CHOOSE(CONTROL!$C$21, $C$9, 100%, $E$9)</f>
        <v>29.323699999999999</v>
      </c>
      <c r="M844" s="10">
        <f>CHOOSE(CONTROL!$C$42, 28.125, 28.125) * CHOOSE(CONTROL!$C$21, $C$9, 100%, $E$9)</f>
        <v>28.125</v>
      </c>
      <c r="N844" s="10">
        <f>CHOOSE(CONTROL!$C$42, 28.1406, 28.1406) * CHOOSE(CONTROL!$C$21, $C$9, 100%, $E$9)</f>
        <v>28.140599999999999</v>
      </c>
      <c r="O844" s="10">
        <f>CHOOSE(CONTROL!$C$42, 28.3688, 28.3688) * CHOOSE(CONTROL!$C$21, $C$9, 100%, $E$9)</f>
        <v>28.3688</v>
      </c>
      <c r="P844" s="10">
        <f>CHOOSE(CONTROL!$C$42, 28.1659, 28.1659) * CHOOSE(CONTROL!$C$21, $C$9, 100%, $E$9)</f>
        <v>28.165900000000001</v>
      </c>
      <c r="Q844" s="10">
        <f>CHOOSE(CONTROL!$C$42, 28.9641, 28.9641) * CHOOSE(CONTROL!$C$21, $C$9, 100%, $E$9)</f>
        <v>28.964099999999998</v>
      </c>
      <c r="R844" s="10">
        <f>CHOOSE(CONTROL!$C$42, 29.6235, 29.6235) * CHOOSE(CONTROL!$C$21, $C$9, 100%, $E$9)</f>
        <v>29.6235</v>
      </c>
      <c r="S844" s="10">
        <f>CHOOSE(CONTROL!$C$42, 27.6616, 27.6616) * CHOOSE(CONTROL!$C$21, $C$9, 100%, $E$9)</f>
        <v>27.6616</v>
      </c>
      <c r="T84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44" s="38">
        <f>(1000*CHOOSE(CONTROL!$C$42, 695, 695)*CHOOSE(CONTROL!$C$42, 0.5599, 0.5599)*CHOOSE(CONTROL!$C$42, 30, 30))/1000000</f>
        <v>11.673914999999997</v>
      </c>
      <c r="V844" s="38">
        <f>(1000*CHOOSE(CONTROL!$C$42, 500, 500)*CHOOSE(CONTROL!$C$42, 0.275, 0.275)*CHOOSE(CONTROL!$C$42, 30, 30))/1000000</f>
        <v>4.125</v>
      </c>
      <c r="W844" s="38">
        <f>(1000*CHOOSE(CONTROL!$C$42, 0.1146, 0.1146)*CHOOSE(CONTROL!$C$42, 121.5, 121.5)*CHOOSE(CONTROL!$C$42, 30, 30))/1000000</f>
        <v>0.417717</v>
      </c>
      <c r="X844" s="38">
        <f>(30*0.1790888*245000/1000000)+(30*0.2374*100000/1000000)</f>
        <v>2.0285026799999999</v>
      </c>
      <c r="Y844" s="38">
        <f>(1000*600*CHOOSE(CONTROL!$C$42, 1.0585, 1.0585)*CHOOSE(CONTROL!$C$42, 30, 30))/1000000</f>
        <v>19.053000000000001</v>
      </c>
      <c r="Z844" s="38"/>
      <c r="AA844" s="10"/>
      <c r="AB844" s="39"/>
      <c r="AC844" s="33">
        <f>(B844*141.293+C844*267.993+D844*115.016+E844*89.698+F844*40+G844*185+H844*0+I844*100+J844*300)/(141.293+267.993+115.016+89.698+0+40+185+100+300)</f>
        <v>28.557340080710251</v>
      </c>
      <c r="AD844" s="27">
        <f>(M844*'RAP TEMPLATE-GAS AVAILABILITY'!O843+N844*'RAP TEMPLATE-GAS AVAILABILITY'!P843+O844*'RAP TEMPLATE-GAS AVAILABILITY'!Q843+P844*'RAP TEMPLATE-GAS AVAILABILITY'!R843)/('RAP TEMPLATE-GAS AVAILABILITY'!O843+'RAP TEMPLATE-GAS AVAILABILITY'!P843+'RAP TEMPLATE-GAS AVAILABILITY'!Q843+'RAP TEMPLATE-GAS AVAILABILITY'!R843)</f>
        <v>28.242282014388493</v>
      </c>
    </row>
    <row r="845" spans="1:30" ht="15.75">
      <c r="A845" s="13">
        <v>66992</v>
      </c>
      <c r="B845" s="10">
        <f>CHOOSE(CONTROL!$C$42, 28.8047, 28.8047) * CHOOSE(CONTROL!$C$21, $C$9, 100%, $E$9)</f>
        <v>28.8047</v>
      </c>
      <c r="C845" s="10">
        <f>CHOOSE(CONTROL!$C$42, 28.8127, 28.8127) * CHOOSE(CONTROL!$C$21, $C$9, 100%, $E$9)</f>
        <v>28.8127</v>
      </c>
      <c r="D845" s="10">
        <f>CHOOSE(CONTROL!$C$42, 28.9697, 28.9697) * CHOOSE(CONTROL!$C$21, $C$9, 100%, $E$9)</f>
        <v>28.9697</v>
      </c>
      <c r="E845" s="10">
        <f>CHOOSE(CONTROL!$C$42, 29.0009, 29.0009) * CHOOSE(CONTROL!$C$21, $C$9, 100%, $E$9)</f>
        <v>29.000900000000001</v>
      </c>
      <c r="F845" s="10">
        <f>CHOOSE(CONTROL!$C$42, 28.7488, 28.7488)*CHOOSE(CONTROL!$C$21, $C$9, 100%, $E$9)</f>
        <v>28.748799999999999</v>
      </c>
      <c r="G845" s="10">
        <f>CHOOSE(CONTROL!$C$42, 28.7649, 28.7649)*CHOOSE(CONTROL!$C$21, $C$9, 100%, $E$9)</f>
        <v>28.764900000000001</v>
      </c>
      <c r="H845" s="10">
        <f>CHOOSE(CONTROL!$C$42, 28.9893, 28.9893) * CHOOSE(CONTROL!$C$21, $C$9, 100%, $E$9)</f>
        <v>28.9893</v>
      </c>
      <c r="I845" s="10">
        <f>CHOOSE(CONTROL!$C$42, 28.7835, 28.7835)* CHOOSE(CONTROL!$C$21, $C$9, 100%, $E$9)</f>
        <v>28.7835</v>
      </c>
      <c r="J845" s="10">
        <f>CHOOSE(CONTROL!$C$42, 28.7414, 28.7414)* CHOOSE(CONTROL!$C$21, $C$9, 100%, $E$9)</f>
        <v>28.741399999999999</v>
      </c>
      <c r="K845" s="10">
        <f>CHOOSE(CONTROL!$C$42, 28.0442, 28.0442) * CHOOSE(CONTROL!$C$21, $C$9, 100%, $E$9)</f>
        <v>28.0442</v>
      </c>
      <c r="L845" s="10">
        <f>CHOOSE(CONTROL!$C$42, 29.5763, 29.5763) * CHOOSE(CONTROL!$C$21, $C$9, 100%, $E$9)</f>
        <v>29.5763</v>
      </c>
      <c r="M845" s="10">
        <f>CHOOSE(CONTROL!$C$42, 28.3735, 28.3735) * CHOOSE(CONTROL!$C$21, $C$9, 100%, $E$9)</f>
        <v>28.3735</v>
      </c>
      <c r="N845" s="10">
        <f>CHOOSE(CONTROL!$C$42, 28.3894, 28.3894) * CHOOSE(CONTROL!$C$21, $C$9, 100%, $E$9)</f>
        <v>28.389399999999998</v>
      </c>
      <c r="O845" s="10">
        <f>CHOOSE(CONTROL!$C$42, 28.6179, 28.6179) * CHOOSE(CONTROL!$C$21, $C$9, 100%, $E$9)</f>
        <v>28.617899999999999</v>
      </c>
      <c r="P845" s="10">
        <f>CHOOSE(CONTROL!$C$42, 28.415, 28.415) * CHOOSE(CONTROL!$C$21, $C$9, 100%, $E$9)</f>
        <v>28.414999999999999</v>
      </c>
      <c r="Q845" s="10">
        <f>CHOOSE(CONTROL!$C$42, 29.2132, 29.2132) * CHOOSE(CONTROL!$C$21, $C$9, 100%, $E$9)</f>
        <v>29.213200000000001</v>
      </c>
      <c r="R845" s="10">
        <f>CHOOSE(CONTROL!$C$42, 29.8732, 29.8732) * CHOOSE(CONTROL!$C$21, $C$9, 100%, $E$9)</f>
        <v>29.873200000000001</v>
      </c>
      <c r="S845" s="10">
        <f>CHOOSE(CONTROL!$C$42, 27.9062, 27.9062) * CHOOSE(CONTROL!$C$21, $C$9, 100%, $E$9)</f>
        <v>27.906199999999998</v>
      </c>
      <c r="T84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45" s="38">
        <f>(1000*CHOOSE(CONTROL!$C$42, 695, 695)*CHOOSE(CONTROL!$C$42, 0.5599, 0.5599)*CHOOSE(CONTROL!$C$42, 31, 31))/1000000</f>
        <v>12.063045499999998</v>
      </c>
      <c r="V845" s="38">
        <f>(1000*CHOOSE(CONTROL!$C$42, 500, 500)*CHOOSE(CONTROL!$C$42, 0.275, 0.275)*CHOOSE(CONTROL!$C$42, 31, 31))/1000000</f>
        <v>4.2625000000000002</v>
      </c>
      <c r="W845" s="38">
        <f>(1000*CHOOSE(CONTROL!$C$42, 0.1146, 0.1146)*CHOOSE(CONTROL!$C$42, 121.5, 121.5)*CHOOSE(CONTROL!$C$42, 31, 31))/1000000</f>
        <v>0.43164089999999994</v>
      </c>
      <c r="X845" s="38">
        <f>(31*0.1790888*245000/1000000)+(31*0.2374*100000/1000000)</f>
        <v>2.0961194359999999</v>
      </c>
      <c r="Y845" s="38">
        <f>(1000*600*CHOOSE(CONTROL!$C$42, 1.0585, 1.0585)*CHOOSE(CONTROL!$C$42, 31, 31))/1000000</f>
        <v>19.688099999999999</v>
      </c>
      <c r="Z845" s="38"/>
      <c r="AA845" s="10"/>
      <c r="AB845" s="39"/>
      <c r="AC845" s="33">
        <f>(B845*194.205+C845*267.466+D845*133.845+E845*53.484+F845*40+G845*185+H845*0+I845*100+J845*300)/(194.205+267.466+133.845+53.484+0+40+185+100+300)</f>
        <v>28.807846557142859</v>
      </c>
      <c r="AD845" s="27">
        <f>(M845*'RAP TEMPLATE-GAS AVAILABILITY'!O844+N845*'RAP TEMPLATE-GAS AVAILABILITY'!P844+O845*'RAP TEMPLATE-GAS AVAILABILITY'!Q844+P845*'RAP TEMPLATE-GAS AVAILABILITY'!R844)/('RAP TEMPLATE-GAS AVAILABILITY'!O844+'RAP TEMPLATE-GAS AVAILABILITY'!P844+'RAP TEMPLATE-GAS AVAILABILITY'!Q844+'RAP TEMPLATE-GAS AVAILABILITY'!R844)</f>
        <v>28.491157553956835</v>
      </c>
    </row>
    <row r="846" spans="1:30" ht="15.75">
      <c r="A846" s="13">
        <v>67022</v>
      </c>
      <c r="B846" s="10">
        <f>CHOOSE(CONTROL!$C$42, 29.6222, 29.6222) * CHOOSE(CONTROL!$C$21, $C$9, 100%, $E$9)</f>
        <v>29.622199999999999</v>
      </c>
      <c r="C846" s="10">
        <f>CHOOSE(CONTROL!$C$42, 29.6301, 29.6301) * CHOOSE(CONTROL!$C$21, $C$9, 100%, $E$9)</f>
        <v>29.630099999999999</v>
      </c>
      <c r="D846" s="10">
        <f>CHOOSE(CONTROL!$C$42, 29.7872, 29.7872) * CHOOSE(CONTROL!$C$21, $C$9, 100%, $E$9)</f>
        <v>29.787199999999999</v>
      </c>
      <c r="E846" s="10">
        <f>CHOOSE(CONTROL!$C$42, 29.8184, 29.8184) * CHOOSE(CONTROL!$C$21, $C$9, 100%, $E$9)</f>
        <v>29.8184</v>
      </c>
      <c r="F846" s="10">
        <f>CHOOSE(CONTROL!$C$42, 29.5665, 29.5665)*CHOOSE(CONTROL!$C$21, $C$9, 100%, $E$9)</f>
        <v>29.566500000000001</v>
      </c>
      <c r="G846" s="10">
        <f>CHOOSE(CONTROL!$C$42, 29.5826, 29.5826)*CHOOSE(CONTROL!$C$21, $C$9, 100%, $E$9)</f>
        <v>29.582599999999999</v>
      </c>
      <c r="H846" s="10">
        <f>CHOOSE(CONTROL!$C$42, 29.8067, 29.8067) * CHOOSE(CONTROL!$C$21, $C$9, 100%, $E$9)</f>
        <v>29.806699999999999</v>
      </c>
      <c r="I846" s="10">
        <f>CHOOSE(CONTROL!$C$42, 29.6009, 29.6009)* CHOOSE(CONTROL!$C$21, $C$9, 100%, $E$9)</f>
        <v>29.600899999999999</v>
      </c>
      <c r="J846" s="10">
        <f>CHOOSE(CONTROL!$C$42, 29.5591, 29.5591)* CHOOSE(CONTROL!$C$21, $C$9, 100%, $E$9)</f>
        <v>29.559100000000001</v>
      </c>
      <c r="K846" s="10">
        <f>CHOOSE(CONTROL!$C$42, 28.8365, 28.8365) * CHOOSE(CONTROL!$C$21, $C$9, 100%, $E$9)</f>
        <v>28.836500000000001</v>
      </c>
      <c r="L846" s="10">
        <f>CHOOSE(CONTROL!$C$42, 30.3937, 30.3937) * CHOOSE(CONTROL!$C$21, $C$9, 100%, $E$9)</f>
        <v>30.393699999999999</v>
      </c>
      <c r="M846" s="10">
        <f>CHOOSE(CONTROL!$C$42, 29.1797, 29.1797) * CHOOSE(CONTROL!$C$21, $C$9, 100%, $E$9)</f>
        <v>29.1797</v>
      </c>
      <c r="N846" s="10">
        <f>CHOOSE(CONTROL!$C$42, 29.1957, 29.1957) * CHOOSE(CONTROL!$C$21, $C$9, 100%, $E$9)</f>
        <v>29.195699999999999</v>
      </c>
      <c r="O846" s="10">
        <f>CHOOSE(CONTROL!$C$42, 29.4239, 29.4239) * CHOOSE(CONTROL!$C$21, $C$9, 100%, $E$9)</f>
        <v>29.4239</v>
      </c>
      <c r="P846" s="10">
        <f>CHOOSE(CONTROL!$C$42, 29.221, 29.221) * CHOOSE(CONTROL!$C$21, $C$9, 100%, $E$9)</f>
        <v>29.221</v>
      </c>
      <c r="Q846" s="10">
        <f>CHOOSE(CONTROL!$C$42, 30.0192, 30.0192) * CHOOSE(CONTROL!$C$21, $C$9, 100%, $E$9)</f>
        <v>30.019200000000001</v>
      </c>
      <c r="R846" s="10">
        <f>CHOOSE(CONTROL!$C$42, 30.6813, 30.6813) * CHOOSE(CONTROL!$C$21, $C$9, 100%, $E$9)</f>
        <v>30.6813</v>
      </c>
      <c r="S846" s="10">
        <f>CHOOSE(CONTROL!$C$42, 28.6977, 28.6977) * CHOOSE(CONTROL!$C$21, $C$9, 100%, $E$9)</f>
        <v>28.697700000000001</v>
      </c>
      <c r="T84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46" s="38">
        <f>(1000*CHOOSE(CONTROL!$C$42, 695, 695)*CHOOSE(CONTROL!$C$42, 0.5599, 0.5599)*CHOOSE(CONTROL!$C$42, 30, 30))/1000000</f>
        <v>11.673914999999997</v>
      </c>
      <c r="V846" s="38">
        <f>(1000*CHOOSE(CONTROL!$C$42, 500, 500)*CHOOSE(CONTROL!$C$42, 0.275, 0.275)*CHOOSE(CONTROL!$C$42, 30, 30))/1000000</f>
        <v>4.125</v>
      </c>
      <c r="W846" s="38">
        <f>(1000*CHOOSE(CONTROL!$C$42, 0.1146, 0.1146)*CHOOSE(CONTROL!$C$42, 121.5, 121.5)*CHOOSE(CONTROL!$C$42, 30, 30))/1000000</f>
        <v>0.417717</v>
      </c>
      <c r="X846" s="38">
        <f>(30*0.1790888*245000/1000000)+(30*0.2374*100000/1000000)</f>
        <v>2.0285026799999999</v>
      </c>
      <c r="Y846" s="38">
        <f>(1000*600*CHOOSE(CONTROL!$C$42, 1.0585, 1.0585)*CHOOSE(CONTROL!$C$42, 30, 30))/1000000</f>
        <v>19.053000000000001</v>
      </c>
      <c r="Z846" s="38"/>
      <c r="AA846" s="10"/>
      <c r="AB846" s="39"/>
      <c r="AC846" s="33">
        <f>(B846*194.205+C846*267.466+D846*133.845+E846*53.484+F846*40+G846*185+H846*0+I846*100+J846*300)/(194.205+267.466+133.845+53.484+0+40+185+100+300)</f>
        <v>29.625400131240188</v>
      </c>
      <c r="AD846" s="27">
        <f>(M846*'RAP TEMPLATE-GAS AVAILABILITY'!O845+N846*'RAP TEMPLATE-GAS AVAILABILITY'!P845+O846*'RAP TEMPLATE-GAS AVAILABILITY'!Q845+P846*'RAP TEMPLATE-GAS AVAILABILITY'!R845)/('RAP TEMPLATE-GAS AVAILABILITY'!O845+'RAP TEMPLATE-GAS AVAILABILITY'!P845+'RAP TEMPLATE-GAS AVAILABILITY'!Q845+'RAP TEMPLATE-GAS AVAILABILITY'!R845)</f>
        <v>29.297243884892083</v>
      </c>
    </row>
    <row r="847" spans="1:30" ht="15.75">
      <c r="A847" s="13">
        <v>67053</v>
      </c>
      <c r="B847" s="10">
        <f>CHOOSE(CONTROL!$C$42, 29.0536, 29.0536) * CHOOSE(CONTROL!$C$21, $C$9, 100%, $E$9)</f>
        <v>29.053599999999999</v>
      </c>
      <c r="C847" s="10">
        <f>CHOOSE(CONTROL!$C$42, 29.0616, 29.0616) * CHOOSE(CONTROL!$C$21, $C$9, 100%, $E$9)</f>
        <v>29.061599999999999</v>
      </c>
      <c r="D847" s="10">
        <f>CHOOSE(CONTROL!$C$42, 29.2186, 29.2186) * CHOOSE(CONTROL!$C$21, $C$9, 100%, $E$9)</f>
        <v>29.218599999999999</v>
      </c>
      <c r="E847" s="10">
        <f>CHOOSE(CONTROL!$C$42, 29.2499, 29.2499) * CHOOSE(CONTROL!$C$21, $C$9, 100%, $E$9)</f>
        <v>29.2499</v>
      </c>
      <c r="F847" s="10">
        <f>CHOOSE(CONTROL!$C$42, 28.9982, 28.9982)*CHOOSE(CONTROL!$C$21, $C$9, 100%, $E$9)</f>
        <v>28.998200000000001</v>
      </c>
      <c r="G847" s="10">
        <f>CHOOSE(CONTROL!$C$42, 29.0145, 29.0145)*CHOOSE(CONTROL!$C$21, $C$9, 100%, $E$9)</f>
        <v>29.014500000000002</v>
      </c>
      <c r="H847" s="10">
        <f>CHOOSE(CONTROL!$C$42, 29.2382, 29.2382) * CHOOSE(CONTROL!$C$21, $C$9, 100%, $E$9)</f>
        <v>29.238199999999999</v>
      </c>
      <c r="I847" s="10">
        <f>CHOOSE(CONTROL!$C$42, 29.0324, 29.0324)* CHOOSE(CONTROL!$C$21, $C$9, 100%, $E$9)</f>
        <v>29.032399999999999</v>
      </c>
      <c r="J847" s="10">
        <f>CHOOSE(CONTROL!$C$42, 28.9908, 28.9908)* CHOOSE(CONTROL!$C$21, $C$9, 100%, $E$9)</f>
        <v>28.9908</v>
      </c>
      <c r="K847" s="10">
        <f>CHOOSE(CONTROL!$C$42, 28.2864, 28.2864) * CHOOSE(CONTROL!$C$21, $C$9, 100%, $E$9)</f>
        <v>28.2864</v>
      </c>
      <c r="L847" s="10">
        <f>CHOOSE(CONTROL!$C$42, 29.8252, 29.8252) * CHOOSE(CONTROL!$C$21, $C$9, 100%, $E$9)</f>
        <v>29.825199999999999</v>
      </c>
      <c r="M847" s="10">
        <f>CHOOSE(CONTROL!$C$42, 28.6194, 28.6194) * CHOOSE(CONTROL!$C$21, $C$9, 100%, $E$9)</f>
        <v>28.619399999999999</v>
      </c>
      <c r="N847" s="10">
        <f>CHOOSE(CONTROL!$C$42, 28.6354, 28.6354) * CHOOSE(CONTROL!$C$21, $C$9, 100%, $E$9)</f>
        <v>28.635400000000001</v>
      </c>
      <c r="O847" s="10">
        <f>CHOOSE(CONTROL!$C$42, 28.8633, 28.8633) * CHOOSE(CONTROL!$C$21, $C$9, 100%, $E$9)</f>
        <v>28.863299999999999</v>
      </c>
      <c r="P847" s="10">
        <f>CHOOSE(CONTROL!$C$42, 28.6604, 28.6604) * CHOOSE(CONTROL!$C$21, $C$9, 100%, $E$9)</f>
        <v>28.660399999999999</v>
      </c>
      <c r="Q847" s="10">
        <f>CHOOSE(CONTROL!$C$42, 29.4586, 29.4586) * CHOOSE(CONTROL!$C$21, $C$9, 100%, $E$9)</f>
        <v>29.458600000000001</v>
      </c>
      <c r="R847" s="10">
        <f>CHOOSE(CONTROL!$C$42, 30.1193, 30.1193) * CHOOSE(CONTROL!$C$21, $C$9, 100%, $E$9)</f>
        <v>30.119299999999999</v>
      </c>
      <c r="S847" s="10">
        <f>CHOOSE(CONTROL!$C$42, 28.1472, 28.1472) * CHOOSE(CONTROL!$C$21, $C$9, 100%, $E$9)</f>
        <v>28.147200000000002</v>
      </c>
      <c r="T84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47" s="38">
        <f>(1000*CHOOSE(CONTROL!$C$42, 695, 695)*CHOOSE(CONTROL!$C$42, 0.5599, 0.5599)*CHOOSE(CONTROL!$C$42, 31, 31))/1000000</f>
        <v>12.063045499999998</v>
      </c>
      <c r="V847" s="38">
        <f>(1000*CHOOSE(CONTROL!$C$42, 500, 500)*CHOOSE(CONTROL!$C$42, 0.275, 0.275)*CHOOSE(CONTROL!$C$42, 31, 31))/1000000</f>
        <v>4.2625000000000002</v>
      </c>
      <c r="W847" s="38">
        <f>(1000*CHOOSE(CONTROL!$C$42, 0.1146, 0.1146)*CHOOSE(CONTROL!$C$42, 121.5, 121.5)*CHOOSE(CONTROL!$C$42, 31, 31))/1000000</f>
        <v>0.43164089999999994</v>
      </c>
      <c r="X847" s="38">
        <f>(31*0.1790888*245000/1000000)+(31*0.2374*100000/1000000)</f>
        <v>2.0961194359999999</v>
      </c>
      <c r="Y847" s="38">
        <f>(1000*600*CHOOSE(CONTROL!$C$42, 1.0585, 1.0585)*CHOOSE(CONTROL!$C$42, 31, 31))/1000000</f>
        <v>19.688099999999999</v>
      </c>
      <c r="Z847" s="38"/>
      <c r="AA847" s="10"/>
      <c r="AB847" s="39"/>
      <c r="AC847" s="33">
        <f>(B847*194.205+C847*267.466+D847*133.845+E847*53.484+F847*40+G847*185+H847*0+I847*100+J847*300)/(194.205+267.466+133.845+53.484+0+40+185+100+300)</f>
        <v>29.05698584160125</v>
      </c>
      <c r="AD847" s="27">
        <f>(M847*'RAP TEMPLATE-GAS AVAILABILITY'!O846+N847*'RAP TEMPLATE-GAS AVAILABILITY'!P846+O847*'RAP TEMPLATE-GAS AVAILABILITY'!Q846+P847*'RAP TEMPLATE-GAS AVAILABILITY'!R846)/('RAP TEMPLATE-GAS AVAILABILITY'!O846+'RAP TEMPLATE-GAS AVAILABILITY'!P846+'RAP TEMPLATE-GAS AVAILABILITY'!Q846+'RAP TEMPLATE-GAS AVAILABILITY'!R846)</f>
        <v>28.736764748201441</v>
      </c>
    </row>
    <row r="848" spans="1:30" ht="15.75">
      <c r="A848" s="13">
        <v>67084</v>
      </c>
      <c r="B848" s="10">
        <f>CHOOSE(CONTROL!$C$42, 27.6178, 27.6178) * CHOOSE(CONTROL!$C$21, $C$9, 100%, $E$9)</f>
        <v>27.617799999999999</v>
      </c>
      <c r="C848" s="10">
        <f>CHOOSE(CONTROL!$C$42, 27.6258, 27.6258) * CHOOSE(CONTROL!$C$21, $C$9, 100%, $E$9)</f>
        <v>27.625800000000002</v>
      </c>
      <c r="D848" s="10">
        <f>CHOOSE(CONTROL!$C$42, 27.7829, 27.7829) * CHOOSE(CONTROL!$C$21, $C$9, 100%, $E$9)</f>
        <v>27.782900000000001</v>
      </c>
      <c r="E848" s="10">
        <f>CHOOSE(CONTROL!$C$42, 27.8141, 27.8141) * CHOOSE(CONTROL!$C$21, $C$9, 100%, $E$9)</f>
        <v>27.8141</v>
      </c>
      <c r="F848" s="10">
        <f>CHOOSE(CONTROL!$C$42, 27.5624, 27.5624)*CHOOSE(CONTROL!$C$21, $C$9, 100%, $E$9)</f>
        <v>27.5624</v>
      </c>
      <c r="G848" s="10">
        <f>CHOOSE(CONTROL!$C$42, 27.5786, 27.5786)*CHOOSE(CONTROL!$C$21, $C$9, 100%, $E$9)</f>
        <v>27.578600000000002</v>
      </c>
      <c r="H848" s="10">
        <f>CHOOSE(CONTROL!$C$42, 27.8024, 27.8024) * CHOOSE(CONTROL!$C$21, $C$9, 100%, $E$9)</f>
        <v>27.802399999999999</v>
      </c>
      <c r="I848" s="10">
        <f>CHOOSE(CONTROL!$C$42, 27.5966, 27.5966)* CHOOSE(CONTROL!$C$21, $C$9, 100%, $E$9)</f>
        <v>27.596599999999999</v>
      </c>
      <c r="J848" s="10">
        <f>CHOOSE(CONTROL!$C$42, 27.555, 27.555)* CHOOSE(CONTROL!$C$21, $C$9, 100%, $E$9)</f>
        <v>27.555</v>
      </c>
      <c r="K848" s="10">
        <f>CHOOSE(CONTROL!$C$42, 26.8953, 26.8953) * CHOOSE(CONTROL!$C$21, $C$9, 100%, $E$9)</f>
        <v>26.895299999999999</v>
      </c>
      <c r="L848" s="10">
        <f>CHOOSE(CONTROL!$C$42, 28.3894, 28.3894) * CHOOSE(CONTROL!$C$21, $C$9, 100%, $E$9)</f>
        <v>28.389399999999998</v>
      </c>
      <c r="M848" s="10">
        <f>CHOOSE(CONTROL!$C$42, 27.2036, 27.2036) * CHOOSE(CONTROL!$C$21, $C$9, 100%, $E$9)</f>
        <v>27.203600000000002</v>
      </c>
      <c r="N848" s="10">
        <f>CHOOSE(CONTROL!$C$42, 27.2196, 27.2196) * CHOOSE(CONTROL!$C$21, $C$9, 100%, $E$9)</f>
        <v>27.2196</v>
      </c>
      <c r="O848" s="10">
        <f>CHOOSE(CONTROL!$C$42, 27.4476, 27.4476) * CHOOSE(CONTROL!$C$21, $C$9, 100%, $E$9)</f>
        <v>27.447600000000001</v>
      </c>
      <c r="P848" s="10">
        <f>CHOOSE(CONTROL!$C$42, 27.2447, 27.2447) * CHOOSE(CONTROL!$C$21, $C$9, 100%, $E$9)</f>
        <v>27.244700000000002</v>
      </c>
      <c r="Q848" s="10">
        <f>CHOOSE(CONTROL!$C$42, 28.0429, 28.0429) * CHOOSE(CONTROL!$C$21, $C$9, 100%, $E$9)</f>
        <v>28.042899999999999</v>
      </c>
      <c r="R848" s="10">
        <f>CHOOSE(CONTROL!$C$42, 28.7, 28.7) * CHOOSE(CONTROL!$C$21, $C$9, 100%, $E$9)</f>
        <v>28.7</v>
      </c>
      <c r="S848" s="10">
        <f>CHOOSE(CONTROL!$C$42, 26.7569, 26.7569) * CHOOSE(CONTROL!$C$21, $C$9, 100%, $E$9)</f>
        <v>26.756900000000002</v>
      </c>
      <c r="T84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48" s="38">
        <f>(1000*CHOOSE(CONTROL!$C$42, 695, 695)*CHOOSE(CONTROL!$C$42, 0.5599, 0.5599)*CHOOSE(CONTROL!$C$42, 31, 31))/1000000</f>
        <v>12.063045499999998</v>
      </c>
      <c r="V848" s="38">
        <f>(1000*CHOOSE(CONTROL!$C$42, 500, 500)*CHOOSE(CONTROL!$C$42, 0.275, 0.275)*CHOOSE(CONTROL!$C$42, 31, 31))/1000000</f>
        <v>4.2625000000000002</v>
      </c>
      <c r="W848" s="38">
        <f>(1000*CHOOSE(CONTROL!$C$42, 0.1146, 0.1146)*CHOOSE(CONTROL!$C$42, 121.5, 121.5)*CHOOSE(CONTROL!$C$42, 31, 31))/1000000</f>
        <v>0.43164089999999994</v>
      </c>
      <c r="X848" s="38">
        <f>(31*0.1790888*245000/1000000)+(31*0.2374*100000/1000000)</f>
        <v>2.0961194359999999</v>
      </c>
      <c r="Y848" s="38">
        <f>(1000*600*CHOOSE(CONTROL!$C$42, 1.0585, 1.0585)*CHOOSE(CONTROL!$C$42, 31, 31))/1000000</f>
        <v>19.688099999999999</v>
      </c>
      <c r="Z848" s="38"/>
      <c r="AA848" s="10"/>
      <c r="AB848" s="39"/>
      <c r="AC848" s="33">
        <f>(B848*194.205+C848*267.466+D848*133.845+E848*53.484+F848*40+G848*185+H848*0+I848*100+J848*300)/(194.205+267.466+133.845+53.484+0+40+185+100+300)</f>
        <v>27.621181826295135</v>
      </c>
      <c r="AD848" s="27">
        <f>(M848*'RAP TEMPLATE-GAS AVAILABILITY'!O847+N848*'RAP TEMPLATE-GAS AVAILABILITY'!P847+O848*'RAP TEMPLATE-GAS AVAILABILITY'!Q847+P848*'RAP TEMPLATE-GAS AVAILABILITY'!R847)/('RAP TEMPLATE-GAS AVAILABILITY'!O847+'RAP TEMPLATE-GAS AVAILABILITY'!P847+'RAP TEMPLATE-GAS AVAILABILITY'!Q847+'RAP TEMPLATE-GAS AVAILABILITY'!R847)</f>
        <v>27.321024460431655</v>
      </c>
    </row>
    <row r="849" spans="1:30" ht="15.75">
      <c r="A849" s="13">
        <v>67114</v>
      </c>
      <c r="B849" s="10">
        <f>CHOOSE(CONTROL!$C$42, 25.8635, 25.8635) * CHOOSE(CONTROL!$C$21, $C$9, 100%, $E$9)</f>
        <v>25.863499999999998</v>
      </c>
      <c r="C849" s="10">
        <f>CHOOSE(CONTROL!$C$42, 25.8715, 25.8715) * CHOOSE(CONTROL!$C$21, $C$9, 100%, $E$9)</f>
        <v>25.871500000000001</v>
      </c>
      <c r="D849" s="10">
        <f>CHOOSE(CONTROL!$C$42, 26.0286, 26.0286) * CHOOSE(CONTROL!$C$21, $C$9, 100%, $E$9)</f>
        <v>26.028600000000001</v>
      </c>
      <c r="E849" s="10">
        <f>CHOOSE(CONTROL!$C$42, 26.0598, 26.0598) * CHOOSE(CONTROL!$C$21, $C$9, 100%, $E$9)</f>
        <v>26.059799999999999</v>
      </c>
      <c r="F849" s="10">
        <f>CHOOSE(CONTROL!$C$42, 25.8079, 25.8079)*CHOOSE(CONTROL!$C$21, $C$9, 100%, $E$9)</f>
        <v>25.8079</v>
      </c>
      <c r="G849" s="10">
        <f>CHOOSE(CONTROL!$C$42, 25.8241, 25.8241)*CHOOSE(CONTROL!$C$21, $C$9, 100%, $E$9)</f>
        <v>25.824100000000001</v>
      </c>
      <c r="H849" s="10">
        <f>CHOOSE(CONTROL!$C$42, 26.0481, 26.0481) * CHOOSE(CONTROL!$C$21, $C$9, 100%, $E$9)</f>
        <v>26.048100000000002</v>
      </c>
      <c r="I849" s="10">
        <f>CHOOSE(CONTROL!$C$42, 25.8423, 25.8423)* CHOOSE(CONTROL!$C$21, $C$9, 100%, $E$9)</f>
        <v>25.842300000000002</v>
      </c>
      <c r="J849" s="10">
        <f>CHOOSE(CONTROL!$C$42, 25.8005, 25.8005)* CHOOSE(CONTROL!$C$21, $C$9, 100%, $E$9)</f>
        <v>25.8005</v>
      </c>
      <c r="K849" s="10">
        <f>CHOOSE(CONTROL!$C$42, 25.1954, 25.1954) * CHOOSE(CONTROL!$C$21, $C$9, 100%, $E$9)</f>
        <v>25.195399999999999</v>
      </c>
      <c r="L849" s="10">
        <f>CHOOSE(CONTROL!$C$42, 26.6351, 26.6351) * CHOOSE(CONTROL!$C$21, $C$9, 100%, $E$9)</f>
        <v>26.635100000000001</v>
      </c>
      <c r="M849" s="10">
        <f>CHOOSE(CONTROL!$C$42, 25.4736, 25.4736) * CHOOSE(CONTROL!$C$21, $C$9, 100%, $E$9)</f>
        <v>25.473600000000001</v>
      </c>
      <c r="N849" s="10">
        <f>CHOOSE(CONTROL!$C$42, 25.4896, 25.4896) * CHOOSE(CONTROL!$C$21, $C$9, 100%, $E$9)</f>
        <v>25.489599999999999</v>
      </c>
      <c r="O849" s="10">
        <f>CHOOSE(CONTROL!$C$42, 25.7178, 25.7178) * CHOOSE(CONTROL!$C$21, $C$9, 100%, $E$9)</f>
        <v>25.7178</v>
      </c>
      <c r="P849" s="10">
        <f>CHOOSE(CONTROL!$C$42, 25.5149, 25.5149) * CHOOSE(CONTROL!$C$21, $C$9, 100%, $E$9)</f>
        <v>25.514900000000001</v>
      </c>
      <c r="Q849" s="10">
        <f>CHOOSE(CONTROL!$C$42, 26.3131, 26.3131) * CHOOSE(CONTROL!$C$21, $C$9, 100%, $E$9)</f>
        <v>26.313099999999999</v>
      </c>
      <c r="R849" s="10">
        <f>CHOOSE(CONTROL!$C$42, 26.9658, 26.9658) * CHOOSE(CONTROL!$C$21, $C$9, 100%, $E$9)</f>
        <v>26.965800000000002</v>
      </c>
      <c r="S849" s="10">
        <f>CHOOSE(CONTROL!$C$42, 25.0583, 25.0583) * CHOOSE(CONTROL!$C$21, $C$9, 100%, $E$9)</f>
        <v>25.058299999999999</v>
      </c>
      <c r="T84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49" s="38">
        <f>(1000*CHOOSE(CONTROL!$C$42, 695, 695)*CHOOSE(CONTROL!$C$42, 0.5599, 0.5599)*CHOOSE(CONTROL!$C$42, 30, 30))/1000000</f>
        <v>11.673914999999997</v>
      </c>
      <c r="V849" s="38">
        <f>(1000*CHOOSE(CONTROL!$C$42, 500, 500)*CHOOSE(CONTROL!$C$42, 0.275, 0.275)*CHOOSE(CONTROL!$C$42, 30, 30))/1000000</f>
        <v>4.125</v>
      </c>
      <c r="W849" s="38">
        <f>(1000*CHOOSE(CONTROL!$C$42, 0.1146, 0.1146)*CHOOSE(CONTROL!$C$42, 121.5, 121.5)*CHOOSE(CONTROL!$C$42, 30, 30))/1000000</f>
        <v>0.417717</v>
      </c>
      <c r="X849" s="38">
        <f>(30*0.1790888*245000/1000000)+(30*0.2374*100000/1000000)</f>
        <v>2.0285026799999999</v>
      </c>
      <c r="Y849" s="38">
        <f>(1000*600*CHOOSE(CONTROL!$C$42, 1.0585, 1.0585)*CHOOSE(CONTROL!$C$42, 30, 30))/1000000</f>
        <v>19.053000000000001</v>
      </c>
      <c r="Z849" s="38"/>
      <c r="AA849" s="10"/>
      <c r="AB849" s="39"/>
      <c r="AC849" s="33">
        <f>(B849*194.205+C849*267.466+D849*133.845+E849*53.484+F849*40+G849*185+H849*0+I849*100+J849*300)/(194.205+267.466+133.845+53.484+0+40+185+100+300)</f>
        <v>25.866799408712716</v>
      </c>
      <c r="AD849" s="27">
        <f>(M849*'RAP TEMPLATE-GAS AVAILABILITY'!O848+N849*'RAP TEMPLATE-GAS AVAILABILITY'!P848+O849*'RAP TEMPLATE-GAS AVAILABILITY'!Q848+P849*'RAP TEMPLATE-GAS AVAILABILITY'!R848)/('RAP TEMPLATE-GAS AVAILABILITY'!O848+'RAP TEMPLATE-GAS AVAILABILITY'!P848+'RAP TEMPLATE-GAS AVAILABILITY'!Q848+'RAP TEMPLATE-GAS AVAILABILITY'!R848)</f>
        <v>25.591143884892087</v>
      </c>
    </row>
    <row r="850" spans="1:30" ht="15.75">
      <c r="A850" s="13">
        <v>67145</v>
      </c>
      <c r="B850" s="10">
        <f>CHOOSE(CONTROL!$C$42, 25.336, 25.336) * CHOOSE(CONTROL!$C$21, $C$9, 100%, $E$9)</f>
        <v>25.335999999999999</v>
      </c>
      <c r="C850" s="10">
        <f>CHOOSE(CONTROL!$C$42, 25.3413, 25.3413) * CHOOSE(CONTROL!$C$21, $C$9, 100%, $E$9)</f>
        <v>25.3413</v>
      </c>
      <c r="D850" s="10">
        <f>CHOOSE(CONTROL!$C$42, 25.5032, 25.5032) * CHOOSE(CONTROL!$C$21, $C$9, 100%, $E$9)</f>
        <v>25.5032</v>
      </c>
      <c r="E850" s="10">
        <f>CHOOSE(CONTROL!$C$42, 25.5321, 25.5321) * CHOOSE(CONTROL!$C$21, $C$9, 100%, $E$9)</f>
        <v>25.5321</v>
      </c>
      <c r="F850" s="10">
        <f>CHOOSE(CONTROL!$C$42, 25.2823, 25.2823)*CHOOSE(CONTROL!$C$21, $C$9, 100%, $E$9)</f>
        <v>25.282299999999999</v>
      </c>
      <c r="G850" s="10">
        <f>CHOOSE(CONTROL!$C$42, 25.2982, 25.2982)*CHOOSE(CONTROL!$C$21, $C$9, 100%, $E$9)</f>
        <v>25.298200000000001</v>
      </c>
      <c r="H850" s="10">
        <f>CHOOSE(CONTROL!$C$42, 25.5223, 25.5223) * CHOOSE(CONTROL!$C$21, $C$9, 100%, $E$9)</f>
        <v>25.522300000000001</v>
      </c>
      <c r="I850" s="10">
        <f>CHOOSE(CONTROL!$C$42, 25.3165, 25.3165)* CHOOSE(CONTROL!$C$21, $C$9, 100%, $E$9)</f>
        <v>25.316500000000001</v>
      </c>
      <c r="J850" s="10">
        <f>CHOOSE(CONTROL!$C$42, 25.2749, 25.2749)* CHOOSE(CONTROL!$C$21, $C$9, 100%, $E$9)</f>
        <v>25.274899999999999</v>
      </c>
      <c r="K850" s="10">
        <f>CHOOSE(CONTROL!$C$42, 24.6865, 24.6865) * CHOOSE(CONTROL!$C$21, $C$9, 100%, $E$9)</f>
        <v>24.686499999999999</v>
      </c>
      <c r="L850" s="10">
        <f>CHOOSE(CONTROL!$C$42, 26.1093, 26.1093) * CHOOSE(CONTROL!$C$21, $C$9, 100%, $E$9)</f>
        <v>26.109300000000001</v>
      </c>
      <c r="M850" s="10">
        <f>CHOOSE(CONTROL!$C$42, 24.9554, 24.9554) * CHOOSE(CONTROL!$C$21, $C$9, 100%, $E$9)</f>
        <v>24.955400000000001</v>
      </c>
      <c r="N850" s="10">
        <f>CHOOSE(CONTROL!$C$42, 24.9709, 24.9709) * CHOOSE(CONTROL!$C$21, $C$9, 100%, $E$9)</f>
        <v>24.9709</v>
      </c>
      <c r="O850" s="10">
        <f>CHOOSE(CONTROL!$C$42, 25.1992, 25.1992) * CHOOSE(CONTROL!$C$21, $C$9, 100%, $E$9)</f>
        <v>25.199200000000001</v>
      </c>
      <c r="P850" s="10">
        <f>CHOOSE(CONTROL!$C$42, 24.9963, 24.9963) * CHOOSE(CONTROL!$C$21, $C$9, 100%, $E$9)</f>
        <v>24.996300000000002</v>
      </c>
      <c r="Q850" s="10">
        <f>CHOOSE(CONTROL!$C$42, 25.7945, 25.7945) * CHOOSE(CONTROL!$C$21, $C$9, 100%, $E$9)</f>
        <v>25.794499999999999</v>
      </c>
      <c r="R850" s="10">
        <f>CHOOSE(CONTROL!$C$42, 26.446, 26.446) * CHOOSE(CONTROL!$C$21, $C$9, 100%, $E$9)</f>
        <v>26.446000000000002</v>
      </c>
      <c r="S850" s="10">
        <f>CHOOSE(CONTROL!$C$42, 24.5491, 24.5491) * CHOOSE(CONTROL!$C$21, $C$9, 100%, $E$9)</f>
        <v>24.549099999999999</v>
      </c>
      <c r="T85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50" s="38">
        <f>(1000*CHOOSE(CONTROL!$C$42, 695, 695)*CHOOSE(CONTROL!$C$42, 0.5599, 0.5599)*CHOOSE(CONTROL!$C$42, 31, 31))/1000000</f>
        <v>12.063045499999998</v>
      </c>
      <c r="V850" s="38">
        <f>(1000*CHOOSE(CONTROL!$C$42, 500, 500)*CHOOSE(CONTROL!$C$42, 0.275, 0.275)*CHOOSE(CONTROL!$C$42, 31, 31))/1000000</f>
        <v>4.2625000000000002</v>
      </c>
      <c r="W850" s="38">
        <f>(1000*CHOOSE(CONTROL!$C$42, 0.1146, 0.1146)*CHOOSE(CONTROL!$C$42, 121.5, 121.5)*CHOOSE(CONTROL!$C$42, 31, 31))/1000000</f>
        <v>0.43164089999999994</v>
      </c>
      <c r="X850" s="38">
        <f>(31*0.1790888*245000/1000000)+(31*0.2374*100000/1000000)</f>
        <v>2.0961194359999999</v>
      </c>
      <c r="Y850" s="38">
        <f>(1000*600*CHOOSE(CONTROL!$C$42, 1.0585, 1.0585)*CHOOSE(CONTROL!$C$42, 31, 31))/1000000</f>
        <v>19.688099999999999</v>
      </c>
      <c r="Z850" s="38"/>
      <c r="AA850" s="10"/>
      <c r="AB850" s="39"/>
      <c r="AC850" s="33">
        <f>(B850*131.881+C850*277.167+D850*79.08+E850*125.872+F850*40+G850*185+H850*0+I850*100+J850*300)/(131.881+277.167+79.08+125.872+0+40+185+100+300)</f>
        <v>25.344033624132368</v>
      </c>
      <c r="AD850" s="27">
        <f>(M850*'RAP TEMPLATE-GAS AVAILABILITY'!O849+N850*'RAP TEMPLATE-GAS AVAILABILITY'!P849+O850*'RAP TEMPLATE-GAS AVAILABILITY'!Q849+P850*'RAP TEMPLATE-GAS AVAILABILITY'!R849)/('RAP TEMPLATE-GAS AVAILABILITY'!O849+'RAP TEMPLATE-GAS AVAILABILITY'!P849+'RAP TEMPLATE-GAS AVAILABILITY'!Q849+'RAP TEMPLATE-GAS AVAILABILITY'!R849)</f>
        <v>25.072676258992807</v>
      </c>
    </row>
    <row r="851" spans="1:30" ht="15.75">
      <c r="A851" s="13">
        <v>67175</v>
      </c>
      <c r="B851" s="10">
        <f>CHOOSE(CONTROL!$C$42, 26.0034, 26.0034) * CHOOSE(CONTROL!$C$21, $C$9, 100%, $E$9)</f>
        <v>26.003399999999999</v>
      </c>
      <c r="C851" s="10">
        <f>CHOOSE(CONTROL!$C$42, 26.0085, 26.0085) * CHOOSE(CONTROL!$C$21, $C$9, 100%, $E$9)</f>
        <v>26.008500000000002</v>
      </c>
      <c r="D851" s="10">
        <f>CHOOSE(CONTROL!$C$42, 26.0332, 26.0332) * CHOOSE(CONTROL!$C$21, $C$9, 100%, $E$9)</f>
        <v>26.033200000000001</v>
      </c>
      <c r="E851" s="10">
        <f>CHOOSE(CONTROL!$C$42, 26.067, 26.067) * CHOOSE(CONTROL!$C$21, $C$9, 100%, $E$9)</f>
        <v>26.067</v>
      </c>
      <c r="F851" s="10">
        <f>CHOOSE(CONTROL!$C$42, 25.9718, 25.9718)*CHOOSE(CONTROL!$C$21, $C$9, 100%, $E$9)</f>
        <v>25.971800000000002</v>
      </c>
      <c r="G851" s="10">
        <f>CHOOSE(CONTROL!$C$42, 25.9878, 25.9878)*CHOOSE(CONTROL!$C$21, $C$9, 100%, $E$9)</f>
        <v>25.9878</v>
      </c>
      <c r="H851" s="10">
        <f>CHOOSE(CONTROL!$C$42, 26.0559, 26.0559) * CHOOSE(CONTROL!$C$21, $C$9, 100%, $E$9)</f>
        <v>26.055900000000001</v>
      </c>
      <c r="I851" s="10">
        <f>CHOOSE(CONTROL!$C$42, 26.0184, 26.0184)* CHOOSE(CONTROL!$C$21, $C$9, 100%, $E$9)</f>
        <v>26.0184</v>
      </c>
      <c r="J851" s="10">
        <f>CHOOSE(CONTROL!$C$42, 25.9644, 25.9644)* CHOOSE(CONTROL!$C$21, $C$9, 100%, $E$9)</f>
        <v>25.964400000000001</v>
      </c>
      <c r="K851" s="10">
        <f>CHOOSE(CONTROL!$C$42, 25.3688, 25.3688) * CHOOSE(CONTROL!$C$21, $C$9, 100%, $E$9)</f>
        <v>25.3688</v>
      </c>
      <c r="L851" s="10">
        <f>CHOOSE(CONTROL!$C$42, 26.6429, 26.6429) * CHOOSE(CONTROL!$C$21, $C$9, 100%, $E$9)</f>
        <v>26.642900000000001</v>
      </c>
      <c r="M851" s="10">
        <f>CHOOSE(CONTROL!$C$42, 25.6352, 25.6352) * CHOOSE(CONTROL!$C$21, $C$9, 100%, $E$9)</f>
        <v>25.635200000000001</v>
      </c>
      <c r="N851" s="10">
        <f>CHOOSE(CONTROL!$C$42, 25.6509, 25.6509) * CHOOSE(CONTROL!$C$21, $C$9, 100%, $E$9)</f>
        <v>25.6509</v>
      </c>
      <c r="O851" s="10">
        <f>CHOOSE(CONTROL!$C$42, 25.7254, 25.7254) * CHOOSE(CONTROL!$C$21, $C$9, 100%, $E$9)</f>
        <v>25.7254</v>
      </c>
      <c r="P851" s="10">
        <f>CHOOSE(CONTROL!$C$42, 25.6885, 25.6885) * CHOOSE(CONTROL!$C$21, $C$9, 100%, $E$9)</f>
        <v>25.688500000000001</v>
      </c>
      <c r="Q851" s="10">
        <f>CHOOSE(CONTROL!$C$42, 26.3207, 26.3207) * CHOOSE(CONTROL!$C$21, $C$9, 100%, $E$9)</f>
        <v>26.320699999999999</v>
      </c>
      <c r="R851" s="10">
        <f>CHOOSE(CONTROL!$C$42, 26.9735, 26.9735) * CHOOSE(CONTROL!$C$21, $C$9, 100%, $E$9)</f>
        <v>26.973500000000001</v>
      </c>
      <c r="S851" s="10">
        <f>CHOOSE(CONTROL!$C$42, 25.1958, 25.1958) * CHOOSE(CONTROL!$C$21, $C$9, 100%, $E$9)</f>
        <v>25.195799999999998</v>
      </c>
      <c r="T85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51" s="38">
        <f>(1000*CHOOSE(CONTROL!$C$42, 695, 695)*CHOOSE(CONTROL!$C$42, 0.5599, 0.5599)*CHOOSE(CONTROL!$C$42, 30, 30))/1000000</f>
        <v>11.673914999999997</v>
      </c>
      <c r="V851" s="38">
        <f>(1000*CHOOSE(CONTROL!$C$42, 500, 500)*CHOOSE(CONTROL!$C$42, 0.275, 0.275)*CHOOSE(CONTROL!$C$42, 30, 30))/1000000</f>
        <v>4.125</v>
      </c>
      <c r="W851" s="38">
        <f>(1000*CHOOSE(CONTROL!$C$42, 0.1146, 0.1146)*CHOOSE(CONTROL!$C$42, 121.5, 121.5)*CHOOSE(CONTROL!$C$42, 30, 30))/1000000</f>
        <v>0.417717</v>
      </c>
      <c r="X851" s="38">
        <f>(30*0.1790888*100000/1000000)+(30*0.2374*100000/1000000)</f>
        <v>1.2494664</v>
      </c>
      <c r="Y851" s="38">
        <f>(1000*600*CHOOSE(CONTROL!$C$42, 1.0585, 1.0585)*CHOOSE(CONTROL!$C$42, 30, 30))/1000000</f>
        <v>19.053000000000001</v>
      </c>
      <c r="Z851" s="38"/>
      <c r="AA851" s="10"/>
      <c r="AB851" s="39"/>
      <c r="AC851" s="33">
        <f>(B851*122.58+C851*297.941+D851*89.177+E851*40.302+F851*40+G851*160+H851*0+I851*100+J851*300)/(122.58+297.941+89.177+40.302+0+40+160+100+300)</f>
        <v>25.997121896434784</v>
      </c>
      <c r="AD851" s="27">
        <f>(M851*'RAP TEMPLATE-GAS AVAILABILITY'!O850+N851*'RAP TEMPLATE-GAS AVAILABILITY'!P850+O851*'RAP TEMPLATE-GAS AVAILABILITY'!Q850+P851*'RAP TEMPLATE-GAS AVAILABILITY'!R850)/('RAP TEMPLATE-GAS AVAILABILITY'!O850+'RAP TEMPLATE-GAS AVAILABILITY'!P850+'RAP TEMPLATE-GAS AVAILABILITY'!Q850+'RAP TEMPLATE-GAS AVAILABILITY'!R850)</f>
        <v>25.68465467625899</v>
      </c>
    </row>
    <row r="852" spans="1:30" ht="15.75">
      <c r="A852" s="13">
        <v>67206</v>
      </c>
      <c r="B852" s="10">
        <f>CHOOSE(CONTROL!$C$42, 27.7774, 27.7774) * CHOOSE(CONTROL!$C$21, $C$9, 100%, $E$9)</f>
        <v>27.7774</v>
      </c>
      <c r="C852" s="10">
        <f>CHOOSE(CONTROL!$C$42, 27.7825, 27.7825) * CHOOSE(CONTROL!$C$21, $C$9, 100%, $E$9)</f>
        <v>27.782499999999999</v>
      </c>
      <c r="D852" s="10">
        <f>CHOOSE(CONTROL!$C$42, 27.8072, 27.8072) * CHOOSE(CONTROL!$C$21, $C$9, 100%, $E$9)</f>
        <v>27.807200000000002</v>
      </c>
      <c r="E852" s="10">
        <f>CHOOSE(CONTROL!$C$42, 27.841, 27.841) * CHOOSE(CONTROL!$C$21, $C$9, 100%, $E$9)</f>
        <v>27.841000000000001</v>
      </c>
      <c r="F852" s="10">
        <f>CHOOSE(CONTROL!$C$42, 27.7477, 27.7477)*CHOOSE(CONTROL!$C$21, $C$9, 100%, $E$9)</f>
        <v>27.747699999999998</v>
      </c>
      <c r="G852" s="10">
        <f>CHOOSE(CONTROL!$C$42, 27.7642, 27.7642)*CHOOSE(CONTROL!$C$21, $C$9, 100%, $E$9)</f>
        <v>27.764199999999999</v>
      </c>
      <c r="H852" s="10">
        <f>CHOOSE(CONTROL!$C$42, 27.8299, 27.8299) * CHOOSE(CONTROL!$C$21, $C$9, 100%, $E$9)</f>
        <v>27.829899999999999</v>
      </c>
      <c r="I852" s="10">
        <f>CHOOSE(CONTROL!$C$42, 27.7924, 27.7924)* CHOOSE(CONTROL!$C$21, $C$9, 100%, $E$9)</f>
        <v>27.792400000000001</v>
      </c>
      <c r="J852" s="10">
        <f>CHOOSE(CONTROL!$C$42, 27.7403, 27.7403)* CHOOSE(CONTROL!$C$21, $C$9, 100%, $E$9)</f>
        <v>27.740300000000001</v>
      </c>
      <c r="K852" s="10">
        <f>CHOOSE(CONTROL!$C$42, 27.0916, 27.0916) * CHOOSE(CONTROL!$C$21, $C$9, 100%, $E$9)</f>
        <v>27.0916</v>
      </c>
      <c r="L852" s="10">
        <f>CHOOSE(CONTROL!$C$42, 28.4169, 28.4169) * CHOOSE(CONTROL!$C$21, $C$9, 100%, $E$9)</f>
        <v>28.416899999999998</v>
      </c>
      <c r="M852" s="10">
        <f>CHOOSE(CONTROL!$C$42, 27.3863, 27.3863) * CHOOSE(CONTROL!$C$21, $C$9, 100%, $E$9)</f>
        <v>27.386299999999999</v>
      </c>
      <c r="N852" s="10">
        <f>CHOOSE(CONTROL!$C$42, 27.4026, 27.4026) * CHOOSE(CONTROL!$C$21, $C$9, 100%, $E$9)</f>
        <v>27.4026</v>
      </c>
      <c r="O852" s="10">
        <f>CHOOSE(CONTROL!$C$42, 27.4747, 27.4747) * CHOOSE(CONTROL!$C$21, $C$9, 100%, $E$9)</f>
        <v>27.474699999999999</v>
      </c>
      <c r="P852" s="10">
        <f>CHOOSE(CONTROL!$C$42, 27.4378, 27.4378) * CHOOSE(CONTROL!$C$21, $C$9, 100%, $E$9)</f>
        <v>27.437799999999999</v>
      </c>
      <c r="Q852" s="10">
        <f>CHOOSE(CONTROL!$C$42, 28.07, 28.07) * CHOOSE(CONTROL!$C$21, $C$9, 100%, $E$9)</f>
        <v>28.07</v>
      </c>
      <c r="R852" s="10">
        <f>CHOOSE(CONTROL!$C$42, 28.7272, 28.7272) * CHOOSE(CONTROL!$C$21, $C$9, 100%, $E$9)</f>
        <v>28.7272</v>
      </c>
      <c r="S852" s="10">
        <f>CHOOSE(CONTROL!$C$42, 26.9136, 26.9136) * CHOOSE(CONTROL!$C$21, $C$9, 100%, $E$9)</f>
        <v>26.913599999999999</v>
      </c>
      <c r="T85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52" s="38">
        <f>(1000*CHOOSE(CONTROL!$C$42, 695, 695)*CHOOSE(CONTROL!$C$42, 0.5599, 0.5599)*CHOOSE(CONTROL!$C$42, 31, 31))/1000000</f>
        <v>12.063045499999998</v>
      </c>
      <c r="V852" s="38">
        <f>(1000*CHOOSE(CONTROL!$C$42, 500, 500)*CHOOSE(CONTROL!$C$42, 0.275, 0.275)*CHOOSE(CONTROL!$C$42, 31, 31))/1000000</f>
        <v>4.2625000000000002</v>
      </c>
      <c r="W852" s="38">
        <f>(1000*CHOOSE(CONTROL!$C$42, 0.1146, 0.1146)*CHOOSE(CONTROL!$C$42, 121.5, 121.5)*CHOOSE(CONTROL!$C$42, 31, 31))/1000000</f>
        <v>0.43164089999999994</v>
      </c>
      <c r="X852" s="38">
        <f>(31*0.1790888*100000/1000000)+(31*0.2374*100000/1000000)</f>
        <v>1.2911152800000001</v>
      </c>
      <c r="Y852" s="38">
        <f>(1000*600*CHOOSE(CONTROL!$C$42, 1.0585, 1.0585)*CHOOSE(CONTROL!$C$42, 31, 31))/1000000</f>
        <v>19.688099999999999</v>
      </c>
      <c r="Z852" s="38"/>
      <c r="AA852" s="10"/>
      <c r="AB852" s="39"/>
      <c r="AC852" s="33">
        <f>(B852*122.58+C852*297.941+D852*89.177+E852*40.302+F852*40+G852*160+H852*0+I852*100+J852*300)/(122.58+297.941+89.177+40.302+0+40+160+100+300)</f>
        <v>27.772017548608698</v>
      </c>
      <c r="AD852" s="27">
        <f>(M852*'RAP TEMPLATE-GAS AVAILABILITY'!O851+N852*'RAP TEMPLATE-GAS AVAILABILITY'!P851+O852*'RAP TEMPLATE-GAS AVAILABILITY'!Q851+P852*'RAP TEMPLATE-GAS AVAILABILITY'!R851)/('RAP TEMPLATE-GAS AVAILABILITY'!O851+'RAP TEMPLATE-GAS AVAILABILITY'!P851+'RAP TEMPLATE-GAS AVAILABILITY'!Q851+'RAP TEMPLATE-GAS AVAILABILITY'!R851)</f>
        <v>27.434714388489205</v>
      </c>
    </row>
    <row r="853" spans="1:30" ht="15.75">
      <c r="A853" s="13">
        <v>67237</v>
      </c>
      <c r="B853" s="10">
        <f>CHOOSE(CONTROL!$C$42, 29.6534, 29.6534) * CHOOSE(CONTROL!$C$21, $C$9, 100%, $E$9)</f>
        <v>29.653400000000001</v>
      </c>
      <c r="C853" s="10">
        <f>CHOOSE(CONTROL!$C$42, 29.6585, 29.6585) * CHOOSE(CONTROL!$C$21, $C$9, 100%, $E$9)</f>
        <v>29.6585</v>
      </c>
      <c r="D853" s="10">
        <f>CHOOSE(CONTROL!$C$42, 29.6909, 29.6909) * CHOOSE(CONTROL!$C$21, $C$9, 100%, $E$9)</f>
        <v>29.690899999999999</v>
      </c>
      <c r="E853" s="10">
        <f>CHOOSE(CONTROL!$C$42, 29.7247, 29.7247) * CHOOSE(CONTROL!$C$21, $C$9, 100%, $E$9)</f>
        <v>29.724699999999999</v>
      </c>
      <c r="F853" s="10">
        <f>CHOOSE(CONTROL!$C$42, 29.6376, 29.6376)*CHOOSE(CONTROL!$C$21, $C$9, 100%, $E$9)</f>
        <v>29.637599999999999</v>
      </c>
      <c r="G853" s="10">
        <f>CHOOSE(CONTROL!$C$42, 29.6556, 29.6556)*CHOOSE(CONTROL!$C$21, $C$9, 100%, $E$9)</f>
        <v>29.6556</v>
      </c>
      <c r="H853" s="10">
        <f>CHOOSE(CONTROL!$C$42, 29.7136, 29.7136) * CHOOSE(CONTROL!$C$21, $C$9, 100%, $E$9)</f>
        <v>29.7136</v>
      </c>
      <c r="I853" s="10">
        <f>CHOOSE(CONTROL!$C$42, 29.6668, 29.6668)* CHOOSE(CONTROL!$C$21, $C$9, 100%, $E$9)</f>
        <v>29.666799999999999</v>
      </c>
      <c r="J853" s="10">
        <f>CHOOSE(CONTROL!$C$42, 29.6302, 29.6302)* CHOOSE(CONTROL!$C$21, $C$9, 100%, $E$9)</f>
        <v>29.630199999999999</v>
      </c>
      <c r="K853" s="10">
        <f>CHOOSE(CONTROL!$C$42, 28.9214, 28.9214) * CHOOSE(CONTROL!$C$21, $C$9, 100%, $E$9)</f>
        <v>28.921399999999998</v>
      </c>
      <c r="L853" s="10">
        <f>CHOOSE(CONTROL!$C$42, 30.3006, 30.3006) * CHOOSE(CONTROL!$C$21, $C$9, 100%, $E$9)</f>
        <v>30.300599999999999</v>
      </c>
      <c r="M853" s="10">
        <f>CHOOSE(CONTROL!$C$42, 29.2498, 29.2498) * CHOOSE(CONTROL!$C$21, $C$9, 100%, $E$9)</f>
        <v>29.2498</v>
      </c>
      <c r="N853" s="10">
        <f>CHOOSE(CONTROL!$C$42, 29.2676, 29.2676) * CHOOSE(CONTROL!$C$21, $C$9, 100%, $E$9)</f>
        <v>29.267600000000002</v>
      </c>
      <c r="O853" s="10">
        <f>CHOOSE(CONTROL!$C$42, 29.3321, 29.3321) * CHOOSE(CONTROL!$C$21, $C$9, 100%, $E$9)</f>
        <v>29.332100000000001</v>
      </c>
      <c r="P853" s="10">
        <f>CHOOSE(CONTROL!$C$42, 29.286, 29.286) * CHOOSE(CONTROL!$C$21, $C$9, 100%, $E$9)</f>
        <v>29.286000000000001</v>
      </c>
      <c r="Q853" s="10">
        <f>CHOOSE(CONTROL!$C$42, 29.9274, 29.9274) * CHOOSE(CONTROL!$C$21, $C$9, 100%, $E$9)</f>
        <v>29.927399999999999</v>
      </c>
      <c r="R853" s="10">
        <f>CHOOSE(CONTROL!$C$42, 30.5892, 30.5892) * CHOOSE(CONTROL!$C$21, $C$9, 100%, $E$9)</f>
        <v>30.589200000000002</v>
      </c>
      <c r="S853" s="10">
        <f>CHOOSE(CONTROL!$C$42, 28.73, 28.73) * CHOOSE(CONTROL!$C$21, $C$9, 100%, $E$9)</f>
        <v>28.73</v>
      </c>
      <c r="T85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53" s="38">
        <f>(1000*CHOOSE(CONTROL!$C$42, 695, 695)*CHOOSE(CONTROL!$C$42, 0.5599, 0.5599)*CHOOSE(CONTROL!$C$42, 31, 31))/1000000</f>
        <v>12.063045499999998</v>
      </c>
      <c r="V853" s="38">
        <f>(1000*CHOOSE(CONTROL!$C$42, 500, 500)*CHOOSE(CONTROL!$C$42, 0.275, 0.275)*CHOOSE(CONTROL!$C$42, 31, 31))/1000000</f>
        <v>4.2625000000000002</v>
      </c>
      <c r="W853" s="38">
        <f>(1000*CHOOSE(CONTROL!$C$42, 0.1146, 0.1146)*CHOOSE(CONTROL!$C$42, 121.5, 121.5)*CHOOSE(CONTROL!$C$42, 31, 31))/1000000</f>
        <v>0.43164089999999994</v>
      </c>
      <c r="X853" s="38">
        <f>(31*0.1790888*100000/1000000)+(31*0.2374*100000/1000000)</f>
        <v>1.2911152800000001</v>
      </c>
      <c r="Y853" s="38">
        <f>(1000*600*CHOOSE(CONTROL!$C$42, 1.0585, 1.0585)*CHOOSE(CONTROL!$C$42, 31, 31))/1000000</f>
        <v>19.688099999999999</v>
      </c>
      <c r="Z853" s="38"/>
      <c r="AA853" s="10"/>
      <c r="AB853" s="39"/>
      <c r="AC853" s="33">
        <f>(B853*122.58+C853*297.941+D853*89.177+E853*40.302+F853*40+G853*160+H853*0+I853*100+J853*300)/(122.58+297.941+89.177+40.302+0+40+160+100+300)</f>
        <v>29.654997538434785</v>
      </c>
      <c r="AD853" s="27">
        <f>(M853*'RAP TEMPLATE-GAS AVAILABILITY'!O852+N853*'RAP TEMPLATE-GAS AVAILABILITY'!P852+O853*'RAP TEMPLATE-GAS AVAILABILITY'!Q852+P853*'RAP TEMPLATE-GAS AVAILABILITY'!R852)/('RAP TEMPLATE-GAS AVAILABILITY'!O852+'RAP TEMPLATE-GAS AVAILABILITY'!P852+'RAP TEMPLATE-GAS AVAILABILITY'!Q852+'RAP TEMPLATE-GAS AVAILABILITY'!R852)</f>
        <v>29.2933345323741</v>
      </c>
    </row>
    <row r="854" spans="1:30" ht="15.75">
      <c r="A854" s="13">
        <v>67266</v>
      </c>
      <c r="B854" s="10">
        <f>CHOOSE(CONTROL!$C$42, 30.1815, 30.1815) * CHOOSE(CONTROL!$C$21, $C$9, 100%, $E$9)</f>
        <v>30.1815</v>
      </c>
      <c r="C854" s="10">
        <f>CHOOSE(CONTROL!$C$42, 30.1866, 30.1866) * CHOOSE(CONTROL!$C$21, $C$9, 100%, $E$9)</f>
        <v>30.186599999999999</v>
      </c>
      <c r="D854" s="10">
        <f>CHOOSE(CONTROL!$C$42, 30.2191, 30.2191) * CHOOSE(CONTROL!$C$21, $C$9, 100%, $E$9)</f>
        <v>30.219100000000001</v>
      </c>
      <c r="E854" s="10">
        <f>CHOOSE(CONTROL!$C$42, 30.2529, 30.2529) * CHOOSE(CONTROL!$C$21, $C$9, 100%, $E$9)</f>
        <v>30.2529</v>
      </c>
      <c r="F854" s="10">
        <f>CHOOSE(CONTROL!$C$42, 30.1653, 30.1653)*CHOOSE(CONTROL!$C$21, $C$9, 100%, $E$9)</f>
        <v>30.165299999999998</v>
      </c>
      <c r="G854" s="10">
        <f>CHOOSE(CONTROL!$C$42, 30.1832, 30.1832)*CHOOSE(CONTROL!$C$21, $C$9, 100%, $E$9)</f>
        <v>30.183199999999999</v>
      </c>
      <c r="H854" s="10">
        <f>CHOOSE(CONTROL!$C$42, 30.2417, 30.2417) * CHOOSE(CONTROL!$C$21, $C$9, 100%, $E$9)</f>
        <v>30.241700000000002</v>
      </c>
      <c r="I854" s="10">
        <f>CHOOSE(CONTROL!$C$42, 30.195, 30.195)* CHOOSE(CONTROL!$C$21, $C$9, 100%, $E$9)</f>
        <v>30.195</v>
      </c>
      <c r="J854" s="10">
        <f>CHOOSE(CONTROL!$C$42, 30.1579, 30.1579)* CHOOSE(CONTROL!$C$21, $C$9, 100%, $E$9)</f>
        <v>30.157900000000001</v>
      </c>
      <c r="K854" s="10">
        <f>CHOOSE(CONTROL!$C$42, 29.4321, 29.4321) * CHOOSE(CONTROL!$C$21, $C$9, 100%, $E$9)</f>
        <v>29.432099999999998</v>
      </c>
      <c r="L854" s="10">
        <f>CHOOSE(CONTROL!$C$42, 30.8287, 30.8287) * CHOOSE(CONTROL!$C$21, $C$9, 100%, $E$9)</f>
        <v>30.828700000000001</v>
      </c>
      <c r="M854" s="10">
        <f>CHOOSE(CONTROL!$C$42, 29.7701, 29.7701) * CHOOSE(CONTROL!$C$21, $C$9, 100%, $E$9)</f>
        <v>29.770099999999999</v>
      </c>
      <c r="N854" s="10">
        <f>CHOOSE(CONTROL!$C$42, 29.7878, 29.7878) * CHOOSE(CONTROL!$C$21, $C$9, 100%, $E$9)</f>
        <v>29.787800000000001</v>
      </c>
      <c r="O854" s="10">
        <f>CHOOSE(CONTROL!$C$42, 29.8529, 29.8529) * CHOOSE(CONTROL!$C$21, $C$9, 100%, $E$9)</f>
        <v>29.852900000000002</v>
      </c>
      <c r="P854" s="10">
        <f>CHOOSE(CONTROL!$C$42, 29.8068, 29.8068) * CHOOSE(CONTROL!$C$21, $C$9, 100%, $E$9)</f>
        <v>29.806799999999999</v>
      </c>
      <c r="Q854" s="10">
        <f>CHOOSE(CONTROL!$C$42, 30.4482, 30.4482) * CHOOSE(CONTROL!$C$21, $C$9, 100%, $E$9)</f>
        <v>30.4482</v>
      </c>
      <c r="R854" s="10">
        <f>CHOOSE(CONTROL!$C$42, 31.1113, 31.1113) * CHOOSE(CONTROL!$C$21, $C$9, 100%, $E$9)</f>
        <v>31.1113</v>
      </c>
      <c r="S854" s="10">
        <f>CHOOSE(CONTROL!$C$42, 29.2414, 29.2414) * CHOOSE(CONTROL!$C$21, $C$9, 100%, $E$9)</f>
        <v>29.241399999999999</v>
      </c>
      <c r="T854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854" s="38">
        <f>(1000*CHOOSE(CONTROL!$C$42, 695, 695)*CHOOSE(CONTROL!$C$42, 0.5599, 0.5599)*CHOOSE(CONTROL!$C$42, 29, 29))/1000000</f>
        <v>11.284784499999999</v>
      </c>
      <c r="V854" s="38">
        <f>(1000*CHOOSE(CONTROL!$C$42, 500, 500)*CHOOSE(CONTROL!$C$42, 0.275, 0.275)*CHOOSE(CONTROL!$C$42, 29, 29))/1000000</f>
        <v>3.9874999999999998</v>
      </c>
      <c r="W854" s="38">
        <f>(1000*CHOOSE(CONTROL!$C$42, 0.1146, 0.1146)*CHOOSE(CONTROL!$C$42, 121.5, 121.5)*CHOOSE(CONTROL!$C$42, 29, 29))/1000000</f>
        <v>0.40379309999999996</v>
      </c>
      <c r="X854" s="38">
        <f>(29*0.1790888*100000/1000000)+(29*0.2374*100000/1000000)</f>
        <v>1.2078175199999999</v>
      </c>
      <c r="Y854" s="38">
        <f>(1000*600*CHOOSE(CONTROL!$C$42, 1.0585, 1.0585)*CHOOSE(CONTROL!$C$42, 29, 29))/1000000</f>
        <v>18.417899999999999</v>
      </c>
      <c r="Z854" s="38"/>
      <c r="AA854" s="10"/>
      <c r="AB854" s="39"/>
      <c r="AC854" s="33">
        <f>(B854*122.58+C854*297.941+D854*89.177+E854*40.302+F854*40+G854*160+H854*0+I854*100+J854*300)/(122.58+297.941+89.177+40.302+0+40+160+100+300)</f>
        <v>30.182929667043481</v>
      </c>
      <c r="AD854" s="27">
        <f>(M854*'RAP TEMPLATE-GAS AVAILABILITY'!O853+N854*'RAP TEMPLATE-GAS AVAILABILITY'!P853+O854*'RAP TEMPLATE-GAS AVAILABILITY'!Q853+P854*'RAP TEMPLATE-GAS AVAILABILITY'!R853)/('RAP TEMPLATE-GAS AVAILABILITY'!O853+'RAP TEMPLATE-GAS AVAILABILITY'!P853+'RAP TEMPLATE-GAS AVAILABILITY'!Q853+'RAP TEMPLATE-GAS AVAILABILITY'!R853)</f>
        <v>29.813927338129496</v>
      </c>
    </row>
    <row r="855" spans="1:30" ht="15.75">
      <c r="A855" s="13">
        <v>67297</v>
      </c>
      <c r="B855" s="10">
        <f>CHOOSE(CONTROL!$C$42, 29.3242, 29.3242) * CHOOSE(CONTROL!$C$21, $C$9, 100%, $E$9)</f>
        <v>29.324200000000001</v>
      </c>
      <c r="C855" s="10">
        <f>CHOOSE(CONTROL!$C$42, 29.3293, 29.3293) * CHOOSE(CONTROL!$C$21, $C$9, 100%, $E$9)</f>
        <v>29.3293</v>
      </c>
      <c r="D855" s="10">
        <f>CHOOSE(CONTROL!$C$42, 29.3617, 29.3617) * CHOOSE(CONTROL!$C$21, $C$9, 100%, $E$9)</f>
        <v>29.361699999999999</v>
      </c>
      <c r="E855" s="10">
        <f>CHOOSE(CONTROL!$C$42, 29.3955, 29.3955) * CHOOSE(CONTROL!$C$21, $C$9, 100%, $E$9)</f>
        <v>29.395499999999998</v>
      </c>
      <c r="F855" s="10">
        <f>CHOOSE(CONTROL!$C$42, 29.3064, 29.3064)*CHOOSE(CONTROL!$C$21, $C$9, 100%, $E$9)</f>
        <v>29.3064</v>
      </c>
      <c r="G855" s="10">
        <f>CHOOSE(CONTROL!$C$42, 29.324, 29.324)*CHOOSE(CONTROL!$C$21, $C$9, 100%, $E$9)</f>
        <v>29.324000000000002</v>
      </c>
      <c r="H855" s="10">
        <f>CHOOSE(CONTROL!$C$42, 29.3844, 29.3844) * CHOOSE(CONTROL!$C$21, $C$9, 100%, $E$9)</f>
        <v>29.384399999999999</v>
      </c>
      <c r="I855" s="10">
        <f>CHOOSE(CONTROL!$C$42, 29.3376, 29.3376)* CHOOSE(CONTROL!$C$21, $C$9, 100%, $E$9)</f>
        <v>29.337599999999998</v>
      </c>
      <c r="J855" s="10">
        <f>CHOOSE(CONTROL!$C$42, 29.299, 29.299)* CHOOSE(CONTROL!$C$21, $C$9, 100%, $E$9)</f>
        <v>29.298999999999999</v>
      </c>
      <c r="K855" s="10">
        <f>CHOOSE(CONTROL!$C$42, 28.5983, 28.5983) * CHOOSE(CONTROL!$C$21, $C$9, 100%, $E$9)</f>
        <v>28.598299999999998</v>
      </c>
      <c r="L855" s="10">
        <f>CHOOSE(CONTROL!$C$42, 29.9714, 29.9714) * CHOOSE(CONTROL!$C$21, $C$9, 100%, $E$9)</f>
        <v>29.971399999999999</v>
      </c>
      <c r="M855" s="10">
        <f>CHOOSE(CONTROL!$C$42, 28.9233, 28.9233) * CHOOSE(CONTROL!$C$21, $C$9, 100%, $E$9)</f>
        <v>28.923300000000001</v>
      </c>
      <c r="N855" s="10">
        <f>CHOOSE(CONTROL!$C$42, 28.9406, 28.9406) * CHOOSE(CONTROL!$C$21, $C$9, 100%, $E$9)</f>
        <v>28.9406</v>
      </c>
      <c r="O855" s="10">
        <f>CHOOSE(CONTROL!$C$42, 29.0075, 29.0075) * CHOOSE(CONTROL!$C$21, $C$9, 100%, $E$9)</f>
        <v>29.0075</v>
      </c>
      <c r="P855" s="10">
        <f>CHOOSE(CONTROL!$C$42, 28.9614, 28.9614) * CHOOSE(CONTROL!$C$21, $C$9, 100%, $E$9)</f>
        <v>28.961400000000001</v>
      </c>
      <c r="Q855" s="10">
        <f>CHOOSE(CONTROL!$C$42, 29.6028, 29.6028) * CHOOSE(CONTROL!$C$21, $C$9, 100%, $E$9)</f>
        <v>29.602799999999998</v>
      </c>
      <c r="R855" s="10">
        <f>CHOOSE(CONTROL!$C$42, 30.2638, 30.2638) * CHOOSE(CONTROL!$C$21, $C$9, 100%, $E$9)</f>
        <v>30.2638</v>
      </c>
      <c r="S855" s="10">
        <f>CHOOSE(CONTROL!$C$42, 28.4113, 28.4113) * CHOOSE(CONTROL!$C$21, $C$9, 100%, $E$9)</f>
        <v>28.411300000000001</v>
      </c>
      <c r="T85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55" s="38">
        <f>(1000*CHOOSE(CONTROL!$C$42, 695, 695)*CHOOSE(CONTROL!$C$42, 0.5599, 0.5599)*CHOOSE(CONTROL!$C$42, 31, 31))/1000000</f>
        <v>12.063045499999998</v>
      </c>
      <c r="V855" s="38">
        <f>(1000*CHOOSE(CONTROL!$C$42, 500, 500)*CHOOSE(CONTROL!$C$42, 0.275, 0.275)*CHOOSE(CONTROL!$C$42, 31, 31))/1000000</f>
        <v>4.2625000000000002</v>
      </c>
      <c r="W855" s="38">
        <f>(1000*CHOOSE(CONTROL!$C$42, 0.1146, 0.1146)*CHOOSE(CONTROL!$C$42, 121.5, 121.5)*CHOOSE(CONTROL!$C$42, 31, 31))/1000000</f>
        <v>0.43164089999999994</v>
      </c>
      <c r="X855" s="38">
        <f>(31*0.1790888*100000/1000000)+(31*0.2374*100000/1000000)</f>
        <v>1.2911152800000001</v>
      </c>
      <c r="Y855" s="38">
        <f>(1000*600*CHOOSE(CONTROL!$C$42, 1.0585, 1.0585)*CHOOSE(CONTROL!$C$42, 31, 31))/1000000</f>
        <v>19.688099999999999</v>
      </c>
      <c r="Z855" s="38"/>
      <c r="AA855" s="10"/>
      <c r="AB855" s="39"/>
      <c r="AC855" s="33">
        <f>(B855*122.58+C855*297.941+D855*89.177+E855*40.302+F855*40+G855*160+H855*0+I855*100+J855*300)/(122.58+297.941+89.177+40.302+0+40+160+100+300)</f>
        <v>29.324872321043475</v>
      </c>
      <c r="AD855" s="27">
        <f>(M855*'RAP TEMPLATE-GAS AVAILABILITY'!O854+N855*'RAP TEMPLATE-GAS AVAILABILITY'!P854+O855*'RAP TEMPLATE-GAS AVAILABILITY'!Q854+P855*'RAP TEMPLATE-GAS AVAILABILITY'!R854)/('RAP TEMPLATE-GAS AVAILABILITY'!O854+'RAP TEMPLATE-GAS AVAILABILITY'!P854+'RAP TEMPLATE-GAS AVAILABILITY'!Q854+'RAP TEMPLATE-GAS AVAILABILITY'!R854)</f>
        <v>28.967940287769782</v>
      </c>
    </row>
    <row r="856" spans="1:30" ht="15.75">
      <c r="A856" s="13">
        <v>67327</v>
      </c>
      <c r="B856" s="10">
        <f>CHOOSE(CONTROL!$C$42, 29.2371, 29.2371) * CHOOSE(CONTROL!$C$21, $C$9, 100%, $E$9)</f>
        <v>29.237100000000002</v>
      </c>
      <c r="C856" s="10">
        <f>CHOOSE(CONTROL!$C$42, 29.2416, 29.2416) * CHOOSE(CONTROL!$C$21, $C$9, 100%, $E$9)</f>
        <v>29.241599999999998</v>
      </c>
      <c r="D856" s="10">
        <f>CHOOSE(CONTROL!$C$42, 29.4018, 29.4018) * CHOOSE(CONTROL!$C$21, $C$9, 100%, $E$9)</f>
        <v>29.401800000000001</v>
      </c>
      <c r="E856" s="10">
        <f>CHOOSE(CONTROL!$C$42, 29.4336, 29.4336) * CHOOSE(CONTROL!$C$21, $C$9, 100%, $E$9)</f>
        <v>29.433599999999998</v>
      </c>
      <c r="F856" s="10">
        <f>CHOOSE(CONTROL!$C$42, 29.1832, 29.1832)*CHOOSE(CONTROL!$C$21, $C$9, 100%, $E$9)</f>
        <v>29.183199999999999</v>
      </c>
      <c r="G856" s="10">
        <f>CHOOSE(CONTROL!$C$42, 29.199, 29.199)*CHOOSE(CONTROL!$C$21, $C$9, 100%, $E$9)</f>
        <v>29.199000000000002</v>
      </c>
      <c r="H856" s="10">
        <f>CHOOSE(CONTROL!$C$42, 29.4231, 29.4231) * CHOOSE(CONTROL!$C$21, $C$9, 100%, $E$9)</f>
        <v>29.423100000000002</v>
      </c>
      <c r="I856" s="10">
        <f>CHOOSE(CONTROL!$C$42, 29.2172, 29.2172)* CHOOSE(CONTROL!$C$21, $C$9, 100%, $E$9)</f>
        <v>29.217199999999998</v>
      </c>
      <c r="J856" s="10">
        <f>CHOOSE(CONTROL!$C$42, 29.1758, 29.1758)* CHOOSE(CONTROL!$C$21, $C$9, 100%, $E$9)</f>
        <v>29.175799999999999</v>
      </c>
      <c r="K856" s="10">
        <f>CHOOSE(CONTROL!$C$42, 28.4657, 28.4657) * CHOOSE(CONTROL!$C$21, $C$9, 100%, $E$9)</f>
        <v>28.465699999999998</v>
      </c>
      <c r="L856" s="10">
        <f>CHOOSE(CONTROL!$C$42, 30.0101, 30.0101) * CHOOSE(CONTROL!$C$21, $C$9, 100%, $E$9)</f>
        <v>30.010100000000001</v>
      </c>
      <c r="M856" s="10">
        <f>CHOOSE(CONTROL!$C$42, 28.8018, 28.8018) * CHOOSE(CONTROL!$C$21, $C$9, 100%, $E$9)</f>
        <v>28.8018</v>
      </c>
      <c r="N856" s="10">
        <f>CHOOSE(CONTROL!$C$42, 28.8174, 28.8174) * CHOOSE(CONTROL!$C$21, $C$9, 100%, $E$9)</f>
        <v>28.817399999999999</v>
      </c>
      <c r="O856" s="10">
        <f>CHOOSE(CONTROL!$C$42, 29.0456, 29.0456) * CHOOSE(CONTROL!$C$21, $C$9, 100%, $E$9)</f>
        <v>29.0456</v>
      </c>
      <c r="P856" s="10">
        <f>CHOOSE(CONTROL!$C$42, 28.8427, 28.8427) * CHOOSE(CONTROL!$C$21, $C$9, 100%, $E$9)</f>
        <v>28.842700000000001</v>
      </c>
      <c r="Q856" s="10">
        <f>CHOOSE(CONTROL!$C$42, 29.6409, 29.6409) * CHOOSE(CONTROL!$C$21, $C$9, 100%, $E$9)</f>
        <v>29.640899999999998</v>
      </c>
      <c r="R856" s="10">
        <f>CHOOSE(CONTROL!$C$42, 30.302, 30.302) * CHOOSE(CONTROL!$C$21, $C$9, 100%, $E$9)</f>
        <v>30.302</v>
      </c>
      <c r="S856" s="10">
        <f>CHOOSE(CONTROL!$C$42, 28.3262, 28.3262) * CHOOSE(CONTROL!$C$21, $C$9, 100%, $E$9)</f>
        <v>28.3262</v>
      </c>
      <c r="T85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56" s="38">
        <f>(1000*CHOOSE(CONTROL!$C$42, 695, 695)*CHOOSE(CONTROL!$C$42, 0.5599, 0.5599)*CHOOSE(CONTROL!$C$42, 30, 30))/1000000</f>
        <v>11.673914999999997</v>
      </c>
      <c r="V856" s="38">
        <f>(1000*CHOOSE(CONTROL!$C$42, 500, 500)*CHOOSE(CONTROL!$C$42, 0.275, 0.275)*CHOOSE(CONTROL!$C$42, 30, 30))/1000000</f>
        <v>4.125</v>
      </c>
      <c r="W856" s="38">
        <f>(1000*CHOOSE(CONTROL!$C$42, 0.1146, 0.1146)*CHOOSE(CONTROL!$C$42, 121.5, 121.5)*CHOOSE(CONTROL!$C$42, 30, 30))/1000000</f>
        <v>0.417717</v>
      </c>
      <c r="X856" s="38">
        <f>(30*0.1790888*245000/1000000)+(30*0.2374*100000/1000000)</f>
        <v>2.0285026799999999</v>
      </c>
      <c r="Y856" s="38">
        <f>(1000*600*CHOOSE(CONTROL!$C$42, 1.0585, 1.0585)*CHOOSE(CONTROL!$C$42, 30, 30))/1000000</f>
        <v>19.053000000000001</v>
      </c>
      <c r="Z856" s="38"/>
      <c r="AA856" s="10"/>
      <c r="AB856" s="39"/>
      <c r="AC856" s="33">
        <f>(B856*141.293+C856*267.993+D856*115.016+E856*89.698+F856*40+G856*185+H856*0+I856*100+J856*300)/(141.293+267.993+115.016+89.698+0+40+185+100+300)</f>
        <v>29.243710379903145</v>
      </c>
      <c r="AD856" s="27">
        <f>(M856*'RAP TEMPLATE-GAS AVAILABILITY'!O855+N856*'RAP TEMPLATE-GAS AVAILABILITY'!P855+O856*'RAP TEMPLATE-GAS AVAILABILITY'!Q855+P856*'RAP TEMPLATE-GAS AVAILABILITY'!R855)/('RAP TEMPLATE-GAS AVAILABILITY'!O855+'RAP TEMPLATE-GAS AVAILABILITY'!P855+'RAP TEMPLATE-GAS AVAILABILITY'!Q855+'RAP TEMPLATE-GAS AVAILABILITY'!R855)</f>
        <v>28.919082014388486</v>
      </c>
    </row>
    <row r="857" spans="1:30" ht="15.75">
      <c r="A857" s="13">
        <v>67358</v>
      </c>
      <c r="B857" s="10">
        <f>CHOOSE(CONTROL!$C$42, 29.4971, 29.4971) * CHOOSE(CONTROL!$C$21, $C$9, 100%, $E$9)</f>
        <v>29.4971</v>
      </c>
      <c r="C857" s="10">
        <f>CHOOSE(CONTROL!$C$42, 29.5051, 29.5051) * CHOOSE(CONTROL!$C$21, $C$9, 100%, $E$9)</f>
        <v>29.505099999999999</v>
      </c>
      <c r="D857" s="10">
        <f>CHOOSE(CONTROL!$C$42, 29.6622, 29.6622) * CHOOSE(CONTROL!$C$21, $C$9, 100%, $E$9)</f>
        <v>29.662199999999999</v>
      </c>
      <c r="E857" s="10">
        <f>CHOOSE(CONTROL!$C$42, 29.6934, 29.6934) * CHOOSE(CONTROL!$C$21, $C$9, 100%, $E$9)</f>
        <v>29.6934</v>
      </c>
      <c r="F857" s="10">
        <f>CHOOSE(CONTROL!$C$42, 29.4412, 29.4412)*CHOOSE(CONTROL!$C$21, $C$9, 100%, $E$9)</f>
        <v>29.441199999999998</v>
      </c>
      <c r="G857" s="10">
        <f>CHOOSE(CONTROL!$C$42, 29.4574, 29.4574)*CHOOSE(CONTROL!$C$21, $C$9, 100%, $E$9)</f>
        <v>29.4574</v>
      </c>
      <c r="H857" s="10">
        <f>CHOOSE(CONTROL!$C$42, 29.6817, 29.6817) * CHOOSE(CONTROL!$C$21, $C$9, 100%, $E$9)</f>
        <v>29.681699999999999</v>
      </c>
      <c r="I857" s="10">
        <f>CHOOSE(CONTROL!$C$42, 29.4759, 29.4759)* CHOOSE(CONTROL!$C$21, $C$9, 100%, $E$9)</f>
        <v>29.475899999999999</v>
      </c>
      <c r="J857" s="10">
        <f>CHOOSE(CONTROL!$C$42, 29.4338, 29.4338)* CHOOSE(CONTROL!$C$21, $C$9, 100%, $E$9)</f>
        <v>29.433800000000002</v>
      </c>
      <c r="K857" s="10">
        <f>CHOOSE(CONTROL!$C$42, 28.715, 28.715) * CHOOSE(CONTROL!$C$21, $C$9, 100%, $E$9)</f>
        <v>28.715</v>
      </c>
      <c r="L857" s="10">
        <f>CHOOSE(CONTROL!$C$42, 30.2687, 30.2687) * CHOOSE(CONTROL!$C$21, $C$9, 100%, $E$9)</f>
        <v>30.268699999999999</v>
      </c>
      <c r="M857" s="10">
        <f>CHOOSE(CONTROL!$C$42, 29.0562, 29.0562) * CHOOSE(CONTROL!$C$21, $C$9, 100%, $E$9)</f>
        <v>29.0562</v>
      </c>
      <c r="N857" s="10">
        <f>CHOOSE(CONTROL!$C$42, 29.0721, 29.0721) * CHOOSE(CONTROL!$C$21, $C$9, 100%, $E$9)</f>
        <v>29.072099999999999</v>
      </c>
      <c r="O857" s="10">
        <f>CHOOSE(CONTROL!$C$42, 29.3006, 29.3006) * CHOOSE(CONTROL!$C$21, $C$9, 100%, $E$9)</f>
        <v>29.300599999999999</v>
      </c>
      <c r="P857" s="10">
        <f>CHOOSE(CONTROL!$C$42, 29.0977, 29.0977) * CHOOSE(CONTROL!$C$21, $C$9, 100%, $E$9)</f>
        <v>29.0977</v>
      </c>
      <c r="Q857" s="10">
        <f>CHOOSE(CONTROL!$C$42, 29.8959, 29.8959) * CHOOSE(CONTROL!$C$21, $C$9, 100%, $E$9)</f>
        <v>29.895900000000001</v>
      </c>
      <c r="R857" s="10">
        <f>CHOOSE(CONTROL!$C$42, 30.5577, 30.5577) * CHOOSE(CONTROL!$C$21, $C$9, 100%, $E$9)</f>
        <v>30.557700000000001</v>
      </c>
      <c r="S857" s="10">
        <f>CHOOSE(CONTROL!$C$42, 28.5766, 28.5766) * CHOOSE(CONTROL!$C$21, $C$9, 100%, $E$9)</f>
        <v>28.576599999999999</v>
      </c>
      <c r="T85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57" s="38">
        <f>(1000*CHOOSE(CONTROL!$C$42, 695, 695)*CHOOSE(CONTROL!$C$42, 0.5599, 0.5599)*CHOOSE(CONTROL!$C$42, 31, 31))/1000000</f>
        <v>12.063045499999998</v>
      </c>
      <c r="V857" s="38">
        <f>(1000*CHOOSE(CONTROL!$C$42, 500, 500)*CHOOSE(CONTROL!$C$42, 0.275, 0.275)*CHOOSE(CONTROL!$C$42, 31, 31))/1000000</f>
        <v>4.2625000000000002</v>
      </c>
      <c r="W857" s="38">
        <f>(1000*CHOOSE(CONTROL!$C$42, 0.1146, 0.1146)*CHOOSE(CONTROL!$C$42, 121.5, 121.5)*CHOOSE(CONTROL!$C$42, 31, 31))/1000000</f>
        <v>0.43164089999999994</v>
      </c>
      <c r="X857" s="38">
        <f>(31*0.1790888*245000/1000000)+(31*0.2374*100000/1000000)</f>
        <v>2.0961194359999999</v>
      </c>
      <c r="Y857" s="38">
        <f>(1000*600*CHOOSE(CONTROL!$C$42, 1.0585, 1.0585)*CHOOSE(CONTROL!$C$42, 31, 31))/1000000</f>
        <v>19.688099999999999</v>
      </c>
      <c r="Z857" s="38"/>
      <c r="AA857" s="10"/>
      <c r="AB857" s="39"/>
      <c r="AC857" s="33">
        <f>(B857*194.205+C857*267.466+D857*133.845+E857*53.484+F857*40+G857*185+H857*0+I857*100+J857*300)/(194.205+267.466+133.845+53.484+0+40+185+100+300)</f>
        <v>29.500275782339092</v>
      </c>
      <c r="AD857" s="27">
        <f>(M857*'RAP TEMPLATE-GAS AVAILABILITY'!O856+N857*'RAP TEMPLATE-GAS AVAILABILITY'!P856+O857*'RAP TEMPLATE-GAS AVAILABILITY'!Q856+P857*'RAP TEMPLATE-GAS AVAILABILITY'!R856)/('RAP TEMPLATE-GAS AVAILABILITY'!O856+'RAP TEMPLATE-GAS AVAILABILITY'!P856+'RAP TEMPLATE-GAS AVAILABILITY'!Q856+'RAP TEMPLATE-GAS AVAILABILITY'!R856)</f>
        <v>29.173857553956836</v>
      </c>
    </row>
    <row r="858" spans="1:30" ht="15.75">
      <c r="A858" s="13">
        <v>67388</v>
      </c>
      <c r="B858" s="10">
        <f>CHOOSE(CONTROL!$C$42, 30.3342, 30.3342) * CHOOSE(CONTROL!$C$21, $C$9, 100%, $E$9)</f>
        <v>30.334199999999999</v>
      </c>
      <c r="C858" s="10">
        <f>CHOOSE(CONTROL!$C$42, 30.3422, 30.3422) * CHOOSE(CONTROL!$C$21, $C$9, 100%, $E$9)</f>
        <v>30.342199999999998</v>
      </c>
      <c r="D858" s="10">
        <f>CHOOSE(CONTROL!$C$42, 30.4993, 30.4993) * CHOOSE(CONTROL!$C$21, $C$9, 100%, $E$9)</f>
        <v>30.499300000000002</v>
      </c>
      <c r="E858" s="10">
        <f>CHOOSE(CONTROL!$C$42, 30.5305, 30.5305) * CHOOSE(CONTROL!$C$21, $C$9, 100%, $E$9)</f>
        <v>30.5305</v>
      </c>
      <c r="F858" s="10">
        <f>CHOOSE(CONTROL!$C$42, 30.2785, 30.2785)*CHOOSE(CONTROL!$C$21, $C$9, 100%, $E$9)</f>
        <v>30.278500000000001</v>
      </c>
      <c r="G858" s="10">
        <f>CHOOSE(CONTROL!$C$42, 30.2947, 30.2947)*CHOOSE(CONTROL!$C$21, $C$9, 100%, $E$9)</f>
        <v>30.294699999999999</v>
      </c>
      <c r="H858" s="10">
        <f>CHOOSE(CONTROL!$C$42, 30.5188, 30.5188) * CHOOSE(CONTROL!$C$21, $C$9, 100%, $E$9)</f>
        <v>30.518799999999999</v>
      </c>
      <c r="I858" s="10">
        <f>CHOOSE(CONTROL!$C$42, 30.313, 30.313)* CHOOSE(CONTROL!$C$21, $C$9, 100%, $E$9)</f>
        <v>30.312999999999999</v>
      </c>
      <c r="J858" s="10">
        <f>CHOOSE(CONTROL!$C$42, 30.2711, 30.2711)* CHOOSE(CONTROL!$C$21, $C$9, 100%, $E$9)</f>
        <v>30.271100000000001</v>
      </c>
      <c r="K858" s="10">
        <f>CHOOSE(CONTROL!$C$42, 29.5264, 29.5264) * CHOOSE(CONTROL!$C$21, $C$9, 100%, $E$9)</f>
        <v>29.526399999999999</v>
      </c>
      <c r="L858" s="10">
        <f>CHOOSE(CONTROL!$C$42, 31.1058, 31.1058) * CHOOSE(CONTROL!$C$21, $C$9, 100%, $E$9)</f>
        <v>31.105799999999999</v>
      </c>
      <c r="M858" s="10">
        <f>CHOOSE(CONTROL!$C$42, 29.8819, 29.8819) * CHOOSE(CONTROL!$C$21, $C$9, 100%, $E$9)</f>
        <v>29.881900000000002</v>
      </c>
      <c r="N858" s="10">
        <f>CHOOSE(CONTROL!$C$42, 29.8978, 29.8978) * CHOOSE(CONTROL!$C$21, $C$9, 100%, $E$9)</f>
        <v>29.8978</v>
      </c>
      <c r="O858" s="10">
        <f>CHOOSE(CONTROL!$C$42, 30.1261, 30.1261) * CHOOSE(CONTROL!$C$21, $C$9, 100%, $E$9)</f>
        <v>30.126100000000001</v>
      </c>
      <c r="P858" s="10">
        <f>CHOOSE(CONTROL!$C$42, 29.9232, 29.9232) * CHOOSE(CONTROL!$C$21, $C$9, 100%, $E$9)</f>
        <v>29.923200000000001</v>
      </c>
      <c r="Q858" s="10">
        <f>CHOOSE(CONTROL!$C$42, 30.7214, 30.7214) * CHOOSE(CONTROL!$C$21, $C$9, 100%, $E$9)</f>
        <v>30.721399999999999</v>
      </c>
      <c r="R858" s="10">
        <f>CHOOSE(CONTROL!$C$42, 31.3852, 31.3852) * CHOOSE(CONTROL!$C$21, $C$9, 100%, $E$9)</f>
        <v>31.385200000000001</v>
      </c>
      <c r="S858" s="10">
        <f>CHOOSE(CONTROL!$C$42, 29.3872, 29.3872) * CHOOSE(CONTROL!$C$21, $C$9, 100%, $E$9)</f>
        <v>29.3872</v>
      </c>
      <c r="T85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58" s="38">
        <f>(1000*CHOOSE(CONTROL!$C$42, 695, 695)*CHOOSE(CONTROL!$C$42, 0.5599, 0.5599)*CHOOSE(CONTROL!$C$42, 30, 30))/1000000</f>
        <v>11.673914999999997</v>
      </c>
      <c r="V858" s="38">
        <f>(1000*CHOOSE(CONTROL!$C$42, 500, 500)*CHOOSE(CONTROL!$C$42, 0.275, 0.275)*CHOOSE(CONTROL!$C$42, 30, 30))/1000000</f>
        <v>4.125</v>
      </c>
      <c r="W858" s="38">
        <f>(1000*CHOOSE(CONTROL!$C$42, 0.1146, 0.1146)*CHOOSE(CONTROL!$C$42, 121.5, 121.5)*CHOOSE(CONTROL!$C$42, 30, 30))/1000000</f>
        <v>0.417717</v>
      </c>
      <c r="X858" s="38">
        <f>(30*0.1790888*245000/1000000)+(30*0.2374*100000/1000000)</f>
        <v>2.0285026799999999</v>
      </c>
      <c r="Y858" s="38">
        <f>(1000*600*CHOOSE(CONTROL!$C$42, 1.0585, 1.0585)*CHOOSE(CONTROL!$C$42, 30, 30))/1000000</f>
        <v>19.053000000000001</v>
      </c>
      <c r="Z858" s="38"/>
      <c r="AA858" s="10"/>
      <c r="AB858" s="39"/>
      <c r="AC858" s="33">
        <f>(B858*194.205+C858*267.466+D858*133.845+E858*53.484+F858*40+G858*185+H858*0+I858*100+J858*300)/(194.205+267.466+133.845+53.484+0+40+185+100+300)</f>
        <v>30.337458199921507</v>
      </c>
      <c r="AD858" s="27">
        <f>(M858*'RAP TEMPLATE-GAS AVAILABILITY'!O857+N858*'RAP TEMPLATE-GAS AVAILABILITY'!P857+O858*'RAP TEMPLATE-GAS AVAILABILITY'!Q857+P858*'RAP TEMPLATE-GAS AVAILABILITY'!R857)/('RAP TEMPLATE-GAS AVAILABILITY'!O857+'RAP TEMPLATE-GAS AVAILABILITY'!P857+'RAP TEMPLATE-GAS AVAILABILITY'!Q857+'RAP TEMPLATE-GAS AVAILABILITY'!R857)</f>
        <v>29.999438129496401</v>
      </c>
    </row>
    <row r="859" spans="1:30" ht="15.75">
      <c r="A859" s="13">
        <v>67419</v>
      </c>
      <c r="B859" s="10">
        <f>CHOOSE(CONTROL!$C$42, 29.752, 29.752) * CHOOSE(CONTROL!$C$21, $C$9, 100%, $E$9)</f>
        <v>29.751999999999999</v>
      </c>
      <c r="C859" s="10">
        <f>CHOOSE(CONTROL!$C$42, 29.76, 29.76) * CHOOSE(CONTROL!$C$21, $C$9, 100%, $E$9)</f>
        <v>29.76</v>
      </c>
      <c r="D859" s="10">
        <f>CHOOSE(CONTROL!$C$42, 29.9171, 29.9171) * CHOOSE(CONTROL!$C$21, $C$9, 100%, $E$9)</f>
        <v>29.917100000000001</v>
      </c>
      <c r="E859" s="10">
        <f>CHOOSE(CONTROL!$C$42, 29.9483, 29.9483) * CHOOSE(CONTROL!$C$21, $C$9, 100%, $E$9)</f>
        <v>29.9483</v>
      </c>
      <c r="F859" s="10">
        <f>CHOOSE(CONTROL!$C$42, 29.6966, 29.6966)*CHOOSE(CONTROL!$C$21, $C$9, 100%, $E$9)</f>
        <v>29.6966</v>
      </c>
      <c r="G859" s="10">
        <f>CHOOSE(CONTROL!$C$42, 29.7129, 29.7129)*CHOOSE(CONTROL!$C$21, $C$9, 100%, $E$9)</f>
        <v>29.712900000000001</v>
      </c>
      <c r="H859" s="10">
        <f>CHOOSE(CONTROL!$C$42, 29.9366, 29.9366) * CHOOSE(CONTROL!$C$21, $C$9, 100%, $E$9)</f>
        <v>29.936599999999999</v>
      </c>
      <c r="I859" s="10">
        <f>CHOOSE(CONTROL!$C$42, 29.7308, 29.7308)* CHOOSE(CONTROL!$C$21, $C$9, 100%, $E$9)</f>
        <v>29.730799999999999</v>
      </c>
      <c r="J859" s="10">
        <f>CHOOSE(CONTROL!$C$42, 29.6892, 29.6892)* CHOOSE(CONTROL!$C$21, $C$9, 100%, $E$9)</f>
        <v>29.6892</v>
      </c>
      <c r="K859" s="10">
        <f>CHOOSE(CONTROL!$C$42, 28.963, 28.963) * CHOOSE(CONTROL!$C$21, $C$9, 100%, $E$9)</f>
        <v>28.963000000000001</v>
      </c>
      <c r="L859" s="10">
        <f>CHOOSE(CONTROL!$C$42, 30.5236, 30.5236) * CHOOSE(CONTROL!$C$21, $C$9, 100%, $E$9)</f>
        <v>30.523599999999998</v>
      </c>
      <c r="M859" s="10">
        <f>CHOOSE(CONTROL!$C$42, 29.3081, 29.3081) * CHOOSE(CONTROL!$C$21, $C$9, 100%, $E$9)</f>
        <v>29.3081</v>
      </c>
      <c r="N859" s="10">
        <f>CHOOSE(CONTROL!$C$42, 29.3241, 29.3241) * CHOOSE(CONTROL!$C$21, $C$9, 100%, $E$9)</f>
        <v>29.324100000000001</v>
      </c>
      <c r="O859" s="10">
        <f>CHOOSE(CONTROL!$C$42, 29.552, 29.552) * CHOOSE(CONTROL!$C$21, $C$9, 100%, $E$9)</f>
        <v>29.552</v>
      </c>
      <c r="P859" s="10">
        <f>CHOOSE(CONTROL!$C$42, 29.3491, 29.3491) * CHOOSE(CONTROL!$C$21, $C$9, 100%, $E$9)</f>
        <v>29.3491</v>
      </c>
      <c r="Q859" s="10">
        <f>CHOOSE(CONTROL!$C$42, 30.1473, 30.1473) * CHOOSE(CONTROL!$C$21, $C$9, 100%, $E$9)</f>
        <v>30.147300000000001</v>
      </c>
      <c r="R859" s="10">
        <f>CHOOSE(CONTROL!$C$42, 30.8096, 30.8096) * CHOOSE(CONTROL!$C$21, $C$9, 100%, $E$9)</f>
        <v>30.8096</v>
      </c>
      <c r="S859" s="10">
        <f>CHOOSE(CONTROL!$C$42, 28.8235, 28.8235) * CHOOSE(CONTROL!$C$21, $C$9, 100%, $E$9)</f>
        <v>28.823499999999999</v>
      </c>
      <c r="T85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59" s="38">
        <f>(1000*CHOOSE(CONTROL!$C$42, 695, 695)*CHOOSE(CONTROL!$C$42, 0.5599, 0.5599)*CHOOSE(CONTROL!$C$42, 31, 31))/1000000</f>
        <v>12.063045499999998</v>
      </c>
      <c r="V859" s="38">
        <f>(1000*CHOOSE(CONTROL!$C$42, 500, 500)*CHOOSE(CONTROL!$C$42, 0.275, 0.275)*CHOOSE(CONTROL!$C$42, 31, 31))/1000000</f>
        <v>4.2625000000000002</v>
      </c>
      <c r="W859" s="38">
        <f>(1000*CHOOSE(CONTROL!$C$42, 0.1146, 0.1146)*CHOOSE(CONTROL!$C$42, 121.5, 121.5)*CHOOSE(CONTROL!$C$42, 31, 31))/1000000</f>
        <v>0.43164089999999994</v>
      </c>
      <c r="X859" s="38">
        <f>(31*0.1790888*245000/1000000)+(31*0.2374*100000/1000000)</f>
        <v>2.0961194359999999</v>
      </c>
      <c r="Y859" s="38">
        <f>(1000*600*CHOOSE(CONTROL!$C$42, 1.0585, 1.0585)*CHOOSE(CONTROL!$C$42, 31, 31))/1000000</f>
        <v>19.688099999999999</v>
      </c>
      <c r="Z859" s="38"/>
      <c r="AA859" s="10"/>
      <c r="AB859" s="39"/>
      <c r="AC859" s="33">
        <f>(B859*194.205+C859*267.466+D859*133.845+E859*53.484+F859*40+G859*185+H859*0+I859*100+J859*300)/(194.205+267.466+133.845+53.484+0+40+185+100+300)</f>
        <v>29.755396347488233</v>
      </c>
      <c r="AD859" s="27">
        <f>(M859*'RAP TEMPLATE-GAS AVAILABILITY'!O858+N859*'RAP TEMPLATE-GAS AVAILABILITY'!P858+O859*'RAP TEMPLATE-GAS AVAILABILITY'!Q858+P859*'RAP TEMPLATE-GAS AVAILABILITY'!R858)/('RAP TEMPLATE-GAS AVAILABILITY'!O858+'RAP TEMPLATE-GAS AVAILABILITY'!P858+'RAP TEMPLATE-GAS AVAILABILITY'!Q858+'RAP TEMPLATE-GAS AVAILABILITY'!R858)</f>
        <v>29.425464748201438</v>
      </c>
    </row>
    <row r="860" spans="1:30" ht="15.75">
      <c r="A860" s="13">
        <v>67450</v>
      </c>
      <c r="B860" s="10">
        <f>CHOOSE(CONTROL!$C$42, 28.2817, 28.2817) * CHOOSE(CONTROL!$C$21, $C$9, 100%, $E$9)</f>
        <v>28.281700000000001</v>
      </c>
      <c r="C860" s="10">
        <f>CHOOSE(CONTROL!$C$42, 28.2897, 28.2897) * CHOOSE(CONTROL!$C$21, $C$9, 100%, $E$9)</f>
        <v>28.2897</v>
      </c>
      <c r="D860" s="10">
        <f>CHOOSE(CONTROL!$C$42, 28.4468, 28.4468) * CHOOSE(CONTROL!$C$21, $C$9, 100%, $E$9)</f>
        <v>28.4468</v>
      </c>
      <c r="E860" s="10">
        <f>CHOOSE(CONTROL!$C$42, 28.478, 28.478) * CHOOSE(CONTROL!$C$21, $C$9, 100%, $E$9)</f>
        <v>28.478000000000002</v>
      </c>
      <c r="F860" s="10">
        <f>CHOOSE(CONTROL!$C$42, 28.2263, 28.2263)*CHOOSE(CONTROL!$C$21, $C$9, 100%, $E$9)</f>
        <v>28.226299999999998</v>
      </c>
      <c r="G860" s="10">
        <f>CHOOSE(CONTROL!$C$42, 28.2425, 28.2425)*CHOOSE(CONTROL!$C$21, $C$9, 100%, $E$9)</f>
        <v>28.2425</v>
      </c>
      <c r="H860" s="10">
        <f>CHOOSE(CONTROL!$C$42, 28.4663, 28.4663) * CHOOSE(CONTROL!$C$21, $C$9, 100%, $E$9)</f>
        <v>28.4663</v>
      </c>
      <c r="I860" s="10">
        <f>CHOOSE(CONTROL!$C$42, 28.2605, 28.2605)* CHOOSE(CONTROL!$C$21, $C$9, 100%, $E$9)</f>
        <v>28.2605</v>
      </c>
      <c r="J860" s="10">
        <f>CHOOSE(CONTROL!$C$42, 28.2189, 28.2189)* CHOOSE(CONTROL!$C$21, $C$9, 100%, $E$9)</f>
        <v>28.218900000000001</v>
      </c>
      <c r="K860" s="10">
        <f>CHOOSE(CONTROL!$C$42, 27.5385, 27.5385) * CHOOSE(CONTROL!$C$21, $C$9, 100%, $E$9)</f>
        <v>27.538499999999999</v>
      </c>
      <c r="L860" s="10">
        <f>CHOOSE(CONTROL!$C$42, 29.0533, 29.0533) * CHOOSE(CONTROL!$C$21, $C$9, 100%, $E$9)</f>
        <v>29.0533</v>
      </c>
      <c r="M860" s="10">
        <f>CHOOSE(CONTROL!$C$42, 27.8582, 27.8582) * CHOOSE(CONTROL!$C$21, $C$9, 100%, $E$9)</f>
        <v>27.8582</v>
      </c>
      <c r="N860" s="10">
        <f>CHOOSE(CONTROL!$C$42, 27.8742, 27.8742) * CHOOSE(CONTROL!$C$21, $C$9, 100%, $E$9)</f>
        <v>27.874199999999998</v>
      </c>
      <c r="O860" s="10">
        <f>CHOOSE(CONTROL!$C$42, 28.1022, 28.1022) * CHOOSE(CONTROL!$C$21, $C$9, 100%, $E$9)</f>
        <v>28.1022</v>
      </c>
      <c r="P860" s="10">
        <f>CHOOSE(CONTROL!$C$42, 27.8993, 27.8993) * CHOOSE(CONTROL!$C$21, $C$9, 100%, $E$9)</f>
        <v>27.8993</v>
      </c>
      <c r="Q860" s="10">
        <f>CHOOSE(CONTROL!$C$42, 28.6975, 28.6975) * CHOOSE(CONTROL!$C$21, $C$9, 100%, $E$9)</f>
        <v>28.697500000000002</v>
      </c>
      <c r="R860" s="10">
        <f>CHOOSE(CONTROL!$C$42, 29.3562, 29.3562) * CHOOSE(CONTROL!$C$21, $C$9, 100%, $E$9)</f>
        <v>29.356200000000001</v>
      </c>
      <c r="S860" s="10">
        <f>CHOOSE(CONTROL!$C$42, 27.3998, 27.3998) * CHOOSE(CONTROL!$C$21, $C$9, 100%, $E$9)</f>
        <v>27.399799999999999</v>
      </c>
      <c r="T86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60" s="38">
        <f>(1000*CHOOSE(CONTROL!$C$42, 695, 695)*CHOOSE(CONTROL!$C$42, 0.5599, 0.5599)*CHOOSE(CONTROL!$C$42, 31, 31))/1000000</f>
        <v>12.063045499999998</v>
      </c>
      <c r="V860" s="38">
        <f>(1000*CHOOSE(CONTROL!$C$42, 500, 500)*CHOOSE(CONTROL!$C$42, 0.275, 0.275)*CHOOSE(CONTROL!$C$42, 31, 31))/1000000</f>
        <v>4.2625000000000002</v>
      </c>
      <c r="W860" s="38">
        <f>(1000*CHOOSE(CONTROL!$C$42, 0.1146, 0.1146)*CHOOSE(CONTROL!$C$42, 121.5, 121.5)*CHOOSE(CONTROL!$C$42, 31, 31))/1000000</f>
        <v>0.43164089999999994</v>
      </c>
      <c r="X860" s="38">
        <f>(31*0.1790888*245000/1000000)+(31*0.2374*100000/1000000)</f>
        <v>2.0961194359999999</v>
      </c>
      <c r="Y860" s="38">
        <f>(1000*600*CHOOSE(CONTROL!$C$42, 1.0585, 1.0585)*CHOOSE(CONTROL!$C$42, 31, 31))/1000000</f>
        <v>19.688099999999999</v>
      </c>
      <c r="Z860" s="38"/>
      <c r="AA860" s="10"/>
      <c r="AB860" s="39"/>
      <c r="AC860" s="33">
        <f>(B860*194.205+C860*267.466+D860*133.845+E860*53.484+F860*40+G860*185+H860*0+I860*100+J860*300)/(194.205+267.466+133.845+53.484+0+40+185+100+300)</f>
        <v>28.28508182629513</v>
      </c>
      <c r="AD860" s="27">
        <f>(M860*'RAP TEMPLATE-GAS AVAILABILITY'!O859+N860*'RAP TEMPLATE-GAS AVAILABILITY'!P859+O860*'RAP TEMPLATE-GAS AVAILABILITY'!Q859+P860*'RAP TEMPLATE-GAS AVAILABILITY'!R859)/('RAP TEMPLATE-GAS AVAILABILITY'!O859+'RAP TEMPLATE-GAS AVAILABILITY'!P859+'RAP TEMPLATE-GAS AVAILABILITY'!Q859+'RAP TEMPLATE-GAS AVAILABILITY'!R859)</f>
        <v>27.975624460431657</v>
      </c>
    </row>
    <row r="861" spans="1:30" ht="15.75">
      <c r="A861" s="13">
        <v>67480</v>
      </c>
      <c r="B861" s="10">
        <f>CHOOSE(CONTROL!$C$42, 26.4853, 26.4853) * CHOOSE(CONTROL!$C$21, $C$9, 100%, $E$9)</f>
        <v>26.485299999999999</v>
      </c>
      <c r="C861" s="10">
        <f>CHOOSE(CONTROL!$C$42, 26.4933, 26.4933) * CHOOSE(CONTROL!$C$21, $C$9, 100%, $E$9)</f>
        <v>26.493300000000001</v>
      </c>
      <c r="D861" s="10">
        <f>CHOOSE(CONTROL!$C$42, 26.6504, 26.6504) * CHOOSE(CONTROL!$C$21, $C$9, 100%, $E$9)</f>
        <v>26.650400000000001</v>
      </c>
      <c r="E861" s="10">
        <f>CHOOSE(CONTROL!$C$42, 26.6816, 26.6816) * CHOOSE(CONTROL!$C$21, $C$9, 100%, $E$9)</f>
        <v>26.6816</v>
      </c>
      <c r="F861" s="10">
        <f>CHOOSE(CONTROL!$C$42, 26.4297, 26.4297)*CHOOSE(CONTROL!$C$21, $C$9, 100%, $E$9)</f>
        <v>26.4297</v>
      </c>
      <c r="G861" s="10">
        <f>CHOOSE(CONTROL!$C$42, 26.4459, 26.4459)*CHOOSE(CONTROL!$C$21, $C$9, 100%, $E$9)</f>
        <v>26.445900000000002</v>
      </c>
      <c r="H861" s="10">
        <f>CHOOSE(CONTROL!$C$42, 26.6699, 26.6699) * CHOOSE(CONTROL!$C$21, $C$9, 100%, $E$9)</f>
        <v>26.669899999999998</v>
      </c>
      <c r="I861" s="10">
        <f>CHOOSE(CONTROL!$C$42, 26.4641, 26.4641)* CHOOSE(CONTROL!$C$21, $C$9, 100%, $E$9)</f>
        <v>26.464099999999998</v>
      </c>
      <c r="J861" s="10">
        <f>CHOOSE(CONTROL!$C$42, 26.4223, 26.4223)* CHOOSE(CONTROL!$C$21, $C$9, 100%, $E$9)</f>
        <v>26.4223</v>
      </c>
      <c r="K861" s="10">
        <f>CHOOSE(CONTROL!$C$42, 25.7977, 25.7977) * CHOOSE(CONTROL!$C$21, $C$9, 100%, $E$9)</f>
        <v>25.797699999999999</v>
      </c>
      <c r="L861" s="10">
        <f>CHOOSE(CONTROL!$C$42, 27.2569, 27.2569) * CHOOSE(CONTROL!$C$21, $C$9, 100%, $E$9)</f>
        <v>27.256900000000002</v>
      </c>
      <c r="M861" s="10">
        <f>CHOOSE(CONTROL!$C$42, 26.0867, 26.0867) * CHOOSE(CONTROL!$C$21, $C$9, 100%, $E$9)</f>
        <v>26.0867</v>
      </c>
      <c r="N861" s="10">
        <f>CHOOSE(CONTROL!$C$42, 26.1026, 26.1026) * CHOOSE(CONTROL!$C$21, $C$9, 100%, $E$9)</f>
        <v>26.102599999999999</v>
      </c>
      <c r="O861" s="10">
        <f>CHOOSE(CONTROL!$C$42, 26.3309, 26.3309) * CHOOSE(CONTROL!$C$21, $C$9, 100%, $E$9)</f>
        <v>26.3309</v>
      </c>
      <c r="P861" s="10">
        <f>CHOOSE(CONTROL!$C$42, 26.128, 26.128) * CHOOSE(CONTROL!$C$21, $C$9, 100%, $E$9)</f>
        <v>26.128</v>
      </c>
      <c r="Q861" s="10">
        <f>CHOOSE(CONTROL!$C$42, 26.9262, 26.9262) * CHOOSE(CONTROL!$C$21, $C$9, 100%, $E$9)</f>
        <v>26.926200000000001</v>
      </c>
      <c r="R861" s="10">
        <f>CHOOSE(CONTROL!$C$42, 27.5805, 27.5805) * CHOOSE(CONTROL!$C$21, $C$9, 100%, $E$9)</f>
        <v>27.580500000000001</v>
      </c>
      <c r="S861" s="10">
        <f>CHOOSE(CONTROL!$C$42, 25.6603, 25.6603) * CHOOSE(CONTROL!$C$21, $C$9, 100%, $E$9)</f>
        <v>25.660299999999999</v>
      </c>
      <c r="T86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61" s="38">
        <f>(1000*CHOOSE(CONTROL!$C$42, 695, 695)*CHOOSE(CONTROL!$C$42, 0.5599, 0.5599)*CHOOSE(CONTROL!$C$42, 30, 30))/1000000</f>
        <v>11.673914999999997</v>
      </c>
      <c r="V861" s="38">
        <f>(1000*CHOOSE(CONTROL!$C$42, 500, 500)*CHOOSE(CONTROL!$C$42, 0.275, 0.275)*CHOOSE(CONTROL!$C$42, 30, 30))/1000000</f>
        <v>4.125</v>
      </c>
      <c r="W861" s="38">
        <f>(1000*CHOOSE(CONTROL!$C$42, 0.1146, 0.1146)*CHOOSE(CONTROL!$C$42, 121.5, 121.5)*CHOOSE(CONTROL!$C$42, 30, 30))/1000000</f>
        <v>0.417717</v>
      </c>
      <c r="X861" s="38">
        <f>(30*0.1790888*245000/1000000)+(30*0.2374*100000/1000000)</f>
        <v>2.0285026799999999</v>
      </c>
      <c r="Y861" s="38">
        <f>(1000*600*CHOOSE(CONTROL!$C$42, 1.0585, 1.0585)*CHOOSE(CONTROL!$C$42, 30, 30))/1000000</f>
        <v>19.053000000000001</v>
      </c>
      <c r="Z861" s="38"/>
      <c r="AA861" s="10"/>
      <c r="AB861" s="39"/>
      <c r="AC861" s="33">
        <f>(B861*194.205+C861*267.466+D861*133.845+E861*53.484+F861*40+G861*185+H861*0+I861*100+J861*300)/(194.205+267.466+133.845+53.484+0+40+185+100+300)</f>
        <v>26.488599408712719</v>
      </c>
      <c r="AD861" s="27">
        <f>(M861*'RAP TEMPLATE-GAS AVAILABILITY'!O860+N861*'RAP TEMPLATE-GAS AVAILABILITY'!P860+O861*'RAP TEMPLATE-GAS AVAILABILITY'!Q860+P861*'RAP TEMPLATE-GAS AVAILABILITY'!R860)/('RAP TEMPLATE-GAS AVAILABILITY'!O860+'RAP TEMPLATE-GAS AVAILABILITY'!P860+'RAP TEMPLATE-GAS AVAILABILITY'!Q860+'RAP TEMPLATE-GAS AVAILABILITY'!R860)</f>
        <v>26.204238129496407</v>
      </c>
    </row>
    <row r="862" spans="1:30" ht="15.75">
      <c r="A862" s="13">
        <v>67511</v>
      </c>
      <c r="B862" s="10">
        <f>CHOOSE(CONTROL!$C$42, 25.9451, 25.9451) * CHOOSE(CONTROL!$C$21, $C$9, 100%, $E$9)</f>
        <v>25.9451</v>
      </c>
      <c r="C862" s="10">
        <f>CHOOSE(CONTROL!$C$42, 25.9504, 25.9504) * CHOOSE(CONTROL!$C$21, $C$9, 100%, $E$9)</f>
        <v>25.950399999999998</v>
      </c>
      <c r="D862" s="10">
        <f>CHOOSE(CONTROL!$C$42, 26.1124, 26.1124) * CHOOSE(CONTROL!$C$21, $C$9, 100%, $E$9)</f>
        <v>26.112400000000001</v>
      </c>
      <c r="E862" s="10">
        <f>CHOOSE(CONTROL!$C$42, 26.1413, 26.1413) * CHOOSE(CONTROL!$C$21, $C$9, 100%, $E$9)</f>
        <v>26.141300000000001</v>
      </c>
      <c r="F862" s="10">
        <f>CHOOSE(CONTROL!$C$42, 25.8915, 25.8915)*CHOOSE(CONTROL!$C$21, $C$9, 100%, $E$9)</f>
        <v>25.891500000000001</v>
      </c>
      <c r="G862" s="10">
        <f>CHOOSE(CONTROL!$C$42, 25.9073, 25.9073)*CHOOSE(CONTROL!$C$21, $C$9, 100%, $E$9)</f>
        <v>25.907299999999999</v>
      </c>
      <c r="H862" s="10">
        <f>CHOOSE(CONTROL!$C$42, 26.1314, 26.1314) * CHOOSE(CONTROL!$C$21, $C$9, 100%, $E$9)</f>
        <v>26.131399999999999</v>
      </c>
      <c r="I862" s="10">
        <f>CHOOSE(CONTROL!$C$42, 25.9256, 25.9256)* CHOOSE(CONTROL!$C$21, $C$9, 100%, $E$9)</f>
        <v>25.925599999999999</v>
      </c>
      <c r="J862" s="10">
        <f>CHOOSE(CONTROL!$C$42, 25.8841, 25.8841)* CHOOSE(CONTROL!$C$21, $C$9, 100%, $E$9)</f>
        <v>25.8841</v>
      </c>
      <c r="K862" s="10">
        <f>CHOOSE(CONTROL!$C$42, 25.2767, 25.2767) * CHOOSE(CONTROL!$C$21, $C$9, 100%, $E$9)</f>
        <v>25.276700000000002</v>
      </c>
      <c r="L862" s="10">
        <f>CHOOSE(CONTROL!$C$42, 26.7184, 26.7184) * CHOOSE(CONTROL!$C$21, $C$9, 100%, $E$9)</f>
        <v>26.718399999999999</v>
      </c>
      <c r="M862" s="10">
        <f>CHOOSE(CONTROL!$C$42, 25.556, 25.556) * CHOOSE(CONTROL!$C$21, $C$9, 100%, $E$9)</f>
        <v>25.556000000000001</v>
      </c>
      <c r="N862" s="10">
        <f>CHOOSE(CONTROL!$C$42, 25.5716, 25.5716) * CHOOSE(CONTROL!$C$21, $C$9, 100%, $E$9)</f>
        <v>25.5716</v>
      </c>
      <c r="O862" s="10">
        <f>CHOOSE(CONTROL!$C$42, 25.7999, 25.7999) * CHOOSE(CONTROL!$C$21, $C$9, 100%, $E$9)</f>
        <v>25.799900000000001</v>
      </c>
      <c r="P862" s="10">
        <f>CHOOSE(CONTROL!$C$42, 25.597, 25.597) * CHOOSE(CONTROL!$C$21, $C$9, 100%, $E$9)</f>
        <v>25.597000000000001</v>
      </c>
      <c r="Q862" s="10">
        <f>CHOOSE(CONTROL!$C$42, 26.3952, 26.3952) * CHOOSE(CONTROL!$C$21, $C$9, 100%, $E$9)</f>
        <v>26.395199999999999</v>
      </c>
      <c r="R862" s="10">
        <f>CHOOSE(CONTROL!$C$42, 27.0482, 27.0482) * CHOOSE(CONTROL!$C$21, $C$9, 100%, $E$9)</f>
        <v>27.048200000000001</v>
      </c>
      <c r="S862" s="10">
        <f>CHOOSE(CONTROL!$C$42, 25.1389, 25.1389) * CHOOSE(CONTROL!$C$21, $C$9, 100%, $E$9)</f>
        <v>25.1389</v>
      </c>
      <c r="T86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62" s="38">
        <f>(1000*CHOOSE(CONTROL!$C$42, 695, 695)*CHOOSE(CONTROL!$C$42, 0.5599, 0.5599)*CHOOSE(CONTROL!$C$42, 31, 31))/1000000</f>
        <v>12.063045499999998</v>
      </c>
      <c r="V862" s="38">
        <f>(1000*CHOOSE(CONTROL!$C$42, 500, 500)*CHOOSE(CONTROL!$C$42, 0.275, 0.275)*CHOOSE(CONTROL!$C$42, 31, 31))/1000000</f>
        <v>4.2625000000000002</v>
      </c>
      <c r="W862" s="38">
        <f>(1000*CHOOSE(CONTROL!$C$42, 0.1146, 0.1146)*CHOOSE(CONTROL!$C$42, 121.5, 121.5)*CHOOSE(CONTROL!$C$42, 31, 31))/1000000</f>
        <v>0.43164089999999994</v>
      </c>
      <c r="X862" s="38">
        <f>(31*0.1790888*245000/1000000)+(31*0.2374*100000/1000000)</f>
        <v>2.0961194359999999</v>
      </c>
      <c r="Y862" s="38">
        <f>(1000*600*CHOOSE(CONTROL!$C$42, 1.0585, 1.0585)*CHOOSE(CONTROL!$C$42, 31, 31))/1000000</f>
        <v>19.688099999999999</v>
      </c>
      <c r="Z862" s="38"/>
      <c r="AA862" s="10"/>
      <c r="AB862" s="39"/>
      <c r="AC862" s="33">
        <f>(B862*131.881+C862*277.167+D862*79.08+E862*125.872+F862*40+G862*185+H862*0+I862*100+J862*300)/(131.881+277.167+79.08+125.872+0+40+185+100+300)</f>
        <v>25.953177607344635</v>
      </c>
      <c r="AD862" s="27">
        <f>(M862*'RAP TEMPLATE-GAS AVAILABILITY'!O861+N862*'RAP TEMPLATE-GAS AVAILABILITY'!P861+O862*'RAP TEMPLATE-GAS AVAILABILITY'!Q861+P862*'RAP TEMPLATE-GAS AVAILABILITY'!R861)/('RAP TEMPLATE-GAS AVAILABILITY'!O861+'RAP TEMPLATE-GAS AVAILABILITY'!P861+'RAP TEMPLATE-GAS AVAILABILITY'!Q861+'RAP TEMPLATE-GAS AVAILABILITY'!R861)</f>
        <v>25.673341726618705</v>
      </c>
    </row>
    <row r="863" spans="1:30" ht="15.75">
      <c r="A863" s="13">
        <v>67541</v>
      </c>
      <c r="B863" s="10">
        <f>CHOOSE(CONTROL!$C$42, 26.6286, 26.6286) * CHOOSE(CONTROL!$C$21, $C$9, 100%, $E$9)</f>
        <v>26.628599999999999</v>
      </c>
      <c r="C863" s="10">
        <f>CHOOSE(CONTROL!$C$42, 26.6337, 26.6337) * CHOOSE(CONTROL!$C$21, $C$9, 100%, $E$9)</f>
        <v>26.633700000000001</v>
      </c>
      <c r="D863" s="10">
        <f>CHOOSE(CONTROL!$C$42, 26.6584, 26.6584) * CHOOSE(CONTROL!$C$21, $C$9, 100%, $E$9)</f>
        <v>26.6584</v>
      </c>
      <c r="E863" s="10">
        <f>CHOOSE(CONTROL!$C$42, 26.6922, 26.6922) * CHOOSE(CONTROL!$C$21, $C$9, 100%, $E$9)</f>
        <v>26.6922</v>
      </c>
      <c r="F863" s="10">
        <f>CHOOSE(CONTROL!$C$42, 26.5969, 26.5969)*CHOOSE(CONTROL!$C$21, $C$9, 100%, $E$9)</f>
        <v>26.596900000000002</v>
      </c>
      <c r="G863" s="10">
        <f>CHOOSE(CONTROL!$C$42, 26.613, 26.613)*CHOOSE(CONTROL!$C$21, $C$9, 100%, $E$9)</f>
        <v>26.613</v>
      </c>
      <c r="H863" s="10">
        <f>CHOOSE(CONTROL!$C$42, 26.6811, 26.6811) * CHOOSE(CONTROL!$C$21, $C$9, 100%, $E$9)</f>
        <v>26.681100000000001</v>
      </c>
      <c r="I863" s="10">
        <f>CHOOSE(CONTROL!$C$42, 26.6436, 26.6436)* CHOOSE(CONTROL!$C$21, $C$9, 100%, $E$9)</f>
        <v>26.643599999999999</v>
      </c>
      <c r="J863" s="10">
        <f>CHOOSE(CONTROL!$C$42, 26.5895, 26.5895)* CHOOSE(CONTROL!$C$21, $C$9, 100%, $E$9)</f>
        <v>26.589500000000001</v>
      </c>
      <c r="K863" s="10">
        <f>CHOOSE(CONTROL!$C$42, 25.9745, 25.9745) * CHOOSE(CONTROL!$C$21, $C$9, 100%, $E$9)</f>
        <v>25.974499999999999</v>
      </c>
      <c r="L863" s="10">
        <f>CHOOSE(CONTROL!$C$42, 27.2681, 27.2681) * CHOOSE(CONTROL!$C$21, $C$9, 100%, $E$9)</f>
        <v>27.2681</v>
      </c>
      <c r="M863" s="10">
        <f>CHOOSE(CONTROL!$C$42, 26.2516, 26.2516) * CHOOSE(CONTROL!$C$21, $C$9, 100%, $E$9)</f>
        <v>26.2516</v>
      </c>
      <c r="N863" s="10">
        <f>CHOOSE(CONTROL!$C$42, 26.2674, 26.2674) * CHOOSE(CONTROL!$C$21, $C$9, 100%, $E$9)</f>
        <v>26.267399999999999</v>
      </c>
      <c r="O863" s="10">
        <f>CHOOSE(CONTROL!$C$42, 26.3419, 26.3419) * CHOOSE(CONTROL!$C$21, $C$9, 100%, $E$9)</f>
        <v>26.341899999999999</v>
      </c>
      <c r="P863" s="10">
        <f>CHOOSE(CONTROL!$C$42, 26.305, 26.305) * CHOOSE(CONTROL!$C$21, $C$9, 100%, $E$9)</f>
        <v>26.305</v>
      </c>
      <c r="Q863" s="10">
        <f>CHOOSE(CONTROL!$C$42, 26.9372, 26.9372) * CHOOSE(CONTROL!$C$21, $C$9, 100%, $E$9)</f>
        <v>26.937200000000001</v>
      </c>
      <c r="R863" s="10">
        <f>CHOOSE(CONTROL!$C$42, 27.5915, 27.5915) * CHOOSE(CONTROL!$C$21, $C$9, 100%, $E$9)</f>
        <v>27.5915</v>
      </c>
      <c r="S863" s="10">
        <f>CHOOSE(CONTROL!$C$42, 25.8011, 25.8011) * CHOOSE(CONTROL!$C$21, $C$9, 100%, $E$9)</f>
        <v>25.801100000000002</v>
      </c>
      <c r="T86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63" s="38">
        <f>(1000*CHOOSE(CONTROL!$C$42, 695, 695)*CHOOSE(CONTROL!$C$42, 0.5599, 0.5599)*CHOOSE(CONTROL!$C$42, 30, 30))/1000000</f>
        <v>11.673914999999997</v>
      </c>
      <c r="V863" s="38">
        <f>(1000*CHOOSE(CONTROL!$C$42, 500, 500)*CHOOSE(CONTROL!$C$42, 0.275, 0.275)*CHOOSE(CONTROL!$C$42, 30, 30))/1000000</f>
        <v>4.125</v>
      </c>
      <c r="W863" s="38">
        <f>(1000*CHOOSE(CONTROL!$C$42, 0.1146, 0.1146)*CHOOSE(CONTROL!$C$42, 121.5, 121.5)*CHOOSE(CONTROL!$C$42, 30, 30))/1000000</f>
        <v>0.417717</v>
      </c>
      <c r="X863" s="38">
        <f>(30*0.1790888*100000/1000000)+(30*0.2374*100000/1000000)</f>
        <v>1.2494664</v>
      </c>
      <c r="Y863" s="38">
        <f>(1000*600*CHOOSE(CONTROL!$C$42, 1.0585, 1.0585)*CHOOSE(CONTROL!$C$42, 30, 30))/1000000</f>
        <v>19.053000000000001</v>
      </c>
      <c r="Z863" s="38"/>
      <c r="AA863" s="10"/>
      <c r="AB863" s="39"/>
      <c r="AC863" s="33">
        <f>(B863*122.58+C863*297.941+D863*89.177+E863*40.302+F863*40+G863*160+H863*0+I863*100+J863*300)/(122.58+297.941+89.177+40.302+0+40+160+100+300)</f>
        <v>26.622292331217391</v>
      </c>
      <c r="AD863" s="27">
        <f>(M863*'RAP TEMPLATE-GAS AVAILABILITY'!O862+N863*'RAP TEMPLATE-GAS AVAILABILITY'!P862+O863*'RAP TEMPLATE-GAS AVAILABILITY'!Q862+P863*'RAP TEMPLATE-GAS AVAILABILITY'!R862)/('RAP TEMPLATE-GAS AVAILABILITY'!O862+'RAP TEMPLATE-GAS AVAILABILITY'!P862+'RAP TEMPLATE-GAS AVAILABILITY'!Q862+'RAP TEMPLATE-GAS AVAILABILITY'!R862)</f>
        <v>26.301120143884894</v>
      </c>
    </row>
    <row r="864" spans="1:30" ht="15.75">
      <c r="A864" s="13">
        <v>67572</v>
      </c>
      <c r="B864" s="10">
        <f>CHOOSE(CONTROL!$C$42, 28.4453, 28.4453) * CHOOSE(CONTROL!$C$21, $C$9, 100%, $E$9)</f>
        <v>28.4453</v>
      </c>
      <c r="C864" s="10">
        <f>CHOOSE(CONTROL!$C$42, 28.4504, 28.4504) * CHOOSE(CONTROL!$C$21, $C$9, 100%, $E$9)</f>
        <v>28.450399999999998</v>
      </c>
      <c r="D864" s="10">
        <f>CHOOSE(CONTROL!$C$42, 28.475, 28.475) * CHOOSE(CONTROL!$C$21, $C$9, 100%, $E$9)</f>
        <v>28.475000000000001</v>
      </c>
      <c r="E864" s="10">
        <f>CHOOSE(CONTROL!$C$42, 28.5088, 28.5088) * CHOOSE(CONTROL!$C$21, $C$9, 100%, $E$9)</f>
        <v>28.508800000000001</v>
      </c>
      <c r="F864" s="10">
        <f>CHOOSE(CONTROL!$C$42, 28.4155, 28.4155)*CHOOSE(CONTROL!$C$21, $C$9, 100%, $E$9)</f>
        <v>28.415500000000002</v>
      </c>
      <c r="G864" s="10">
        <f>CHOOSE(CONTROL!$C$42, 28.432, 28.432)*CHOOSE(CONTROL!$C$21, $C$9, 100%, $E$9)</f>
        <v>28.431999999999999</v>
      </c>
      <c r="H864" s="10">
        <f>CHOOSE(CONTROL!$C$42, 28.4977, 28.4977) * CHOOSE(CONTROL!$C$21, $C$9, 100%, $E$9)</f>
        <v>28.497699999999998</v>
      </c>
      <c r="I864" s="10">
        <f>CHOOSE(CONTROL!$C$42, 28.4602, 28.4602)* CHOOSE(CONTROL!$C$21, $C$9, 100%, $E$9)</f>
        <v>28.4602</v>
      </c>
      <c r="J864" s="10">
        <f>CHOOSE(CONTROL!$C$42, 28.4081, 28.4081)* CHOOSE(CONTROL!$C$21, $C$9, 100%, $E$9)</f>
        <v>28.408100000000001</v>
      </c>
      <c r="K864" s="10">
        <f>CHOOSE(CONTROL!$C$42, 27.7385, 27.7385) * CHOOSE(CONTROL!$C$21, $C$9, 100%, $E$9)</f>
        <v>27.738499999999998</v>
      </c>
      <c r="L864" s="10">
        <f>CHOOSE(CONTROL!$C$42, 29.0847, 29.0847) * CHOOSE(CONTROL!$C$21, $C$9, 100%, $E$9)</f>
        <v>29.084700000000002</v>
      </c>
      <c r="M864" s="10">
        <f>CHOOSE(CONTROL!$C$42, 28.0448, 28.0448) * CHOOSE(CONTROL!$C$21, $C$9, 100%, $E$9)</f>
        <v>28.044799999999999</v>
      </c>
      <c r="N864" s="10">
        <f>CHOOSE(CONTROL!$C$42, 28.0611, 28.0611) * CHOOSE(CONTROL!$C$21, $C$9, 100%, $E$9)</f>
        <v>28.0611</v>
      </c>
      <c r="O864" s="10">
        <f>CHOOSE(CONTROL!$C$42, 28.1332, 28.1332) * CHOOSE(CONTROL!$C$21, $C$9, 100%, $E$9)</f>
        <v>28.133199999999999</v>
      </c>
      <c r="P864" s="10">
        <f>CHOOSE(CONTROL!$C$42, 28.0963, 28.0963) * CHOOSE(CONTROL!$C$21, $C$9, 100%, $E$9)</f>
        <v>28.096299999999999</v>
      </c>
      <c r="Q864" s="10">
        <f>CHOOSE(CONTROL!$C$42, 28.7285, 28.7285) * CHOOSE(CONTROL!$C$21, $C$9, 100%, $E$9)</f>
        <v>28.7285</v>
      </c>
      <c r="R864" s="10">
        <f>CHOOSE(CONTROL!$C$42, 29.3873, 29.3873) * CHOOSE(CONTROL!$C$21, $C$9, 100%, $E$9)</f>
        <v>29.3873</v>
      </c>
      <c r="S864" s="10">
        <f>CHOOSE(CONTROL!$C$42, 27.5602, 27.5602) * CHOOSE(CONTROL!$C$21, $C$9, 100%, $E$9)</f>
        <v>27.560199999999998</v>
      </c>
      <c r="T86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64" s="38">
        <f>(1000*CHOOSE(CONTROL!$C$42, 695, 695)*CHOOSE(CONTROL!$C$42, 0.5599, 0.5599)*CHOOSE(CONTROL!$C$42, 31, 31))/1000000</f>
        <v>12.063045499999998</v>
      </c>
      <c r="V864" s="38">
        <f>(1000*CHOOSE(CONTROL!$C$42, 500, 500)*CHOOSE(CONTROL!$C$42, 0.275, 0.275)*CHOOSE(CONTROL!$C$42, 31, 31))/1000000</f>
        <v>4.2625000000000002</v>
      </c>
      <c r="W864" s="38">
        <f>(1000*CHOOSE(CONTROL!$C$42, 0.1146, 0.1146)*CHOOSE(CONTROL!$C$42, 121.5, 121.5)*CHOOSE(CONTROL!$C$42, 31, 31))/1000000</f>
        <v>0.43164089999999994</v>
      </c>
      <c r="X864" s="38">
        <f>(31*0.1790888*100000/1000000)+(31*0.2374*100000/1000000)</f>
        <v>1.2911152800000001</v>
      </c>
      <c r="Y864" s="38">
        <f>(1000*600*CHOOSE(CONTROL!$C$42, 1.0585, 1.0585)*CHOOSE(CONTROL!$C$42, 31, 31))/1000000</f>
        <v>19.688099999999999</v>
      </c>
      <c r="Z864" s="38"/>
      <c r="AA864" s="10"/>
      <c r="AB864" s="39"/>
      <c r="AC864" s="33">
        <f>(B864*122.58+C864*297.941+D864*89.177+E864*40.302+F864*40+G864*160+H864*0+I864*100+J864*300)/(122.58+297.941+89.177+40.302+0+40+160+100+300)</f>
        <v>28.439854115652174</v>
      </c>
      <c r="AD864" s="27">
        <f>(M864*'RAP TEMPLATE-GAS AVAILABILITY'!O863+N864*'RAP TEMPLATE-GAS AVAILABILITY'!P863+O864*'RAP TEMPLATE-GAS AVAILABILITY'!Q863+P864*'RAP TEMPLATE-GAS AVAILABILITY'!R863)/('RAP TEMPLATE-GAS AVAILABILITY'!O863+'RAP TEMPLATE-GAS AVAILABILITY'!P863+'RAP TEMPLATE-GAS AVAILABILITY'!Q863+'RAP TEMPLATE-GAS AVAILABILITY'!R863)</f>
        <v>28.093214388489208</v>
      </c>
    </row>
    <row r="865" spans="1:30" ht="15.75">
      <c r="A865" s="13">
        <v>67603</v>
      </c>
      <c r="B865" s="10">
        <f>CHOOSE(CONTROL!$C$42, 30.3662, 30.3662) * CHOOSE(CONTROL!$C$21, $C$9, 100%, $E$9)</f>
        <v>30.366199999999999</v>
      </c>
      <c r="C865" s="10">
        <f>CHOOSE(CONTROL!$C$42, 30.3713, 30.3713) * CHOOSE(CONTROL!$C$21, $C$9, 100%, $E$9)</f>
        <v>30.371300000000002</v>
      </c>
      <c r="D865" s="10">
        <f>CHOOSE(CONTROL!$C$42, 30.4038, 30.4038) * CHOOSE(CONTROL!$C$21, $C$9, 100%, $E$9)</f>
        <v>30.4038</v>
      </c>
      <c r="E865" s="10">
        <f>CHOOSE(CONTROL!$C$42, 30.4376, 30.4376) * CHOOSE(CONTROL!$C$21, $C$9, 100%, $E$9)</f>
        <v>30.4376</v>
      </c>
      <c r="F865" s="10">
        <f>CHOOSE(CONTROL!$C$42, 30.3504, 30.3504)*CHOOSE(CONTROL!$C$21, $C$9, 100%, $E$9)</f>
        <v>30.3504</v>
      </c>
      <c r="G865" s="10">
        <f>CHOOSE(CONTROL!$C$42, 30.3685, 30.3685)*CHOOSE(CONTROL!$C$21, $C$9, 100%, $E$9)</f>
        <v>30.368500000000001</v>
      </c>
      <c r="H865" s="10">
        <f>CHOOSE(CONTROL!$C$42, 30.4265, 30.4265) * CHOOSE(CONTROL!$C$21, $C$9, 100%, $E$9)</f>
        <v>30.426500000000001</v>
      </c>
      <c r="I865" s="10">
        <f>CHOOSE(CONTROL!$C$42, 30.3797, 30.3797)* CHOOSE(CONTROL!$C$21, $C$9, 100%, $E$9)</f>
        <v>30.3797</v>
      </c>
      <c r="J865" s="10">
        <f>CHOOSE(CONTROL!$C$42, 30.343, 30.343)* CHOOSE(CONTROL!$C$21, $C$9, 100%, $E$9)</f>
        <v>30.343</v>
      </c>
      <c r="K865" s="10">
        <f>CHOOSE(CONTROL!$C$42, 29.612, 29.612) * CHOOSE(CONTROL!$C$21, $C$9, 100%, $E$9)</f>
        <v>29.611999999999998</v>
      </c>
      <c r="L865" s="10">
        <f>CHOOSE(CONTROL!$C$42, 31.0135, 31.0135) * CHOOSE(CONTROL!$C$21, $C$9, 100%, $E$9)</f>
        <v>31.013500000000001</v>
      </c>
      <c r="M865" s="10">
        <f>CHOOSE(CONTROL!$C$42, 29.9527, 29.9527) * CHOOSE(CONTROL!$C$21, $C$9, 100%, $E$9)</f>
        <v>29.9527</v>
      </c>
      <c r="N865" s="10">
        <f>CHOOSE(CONTROL!$C$42, 29.9705, 29.9705) * CHOOSE(CONTROL!$C$21, $C$9, 100%, $E$9)</f>
        <v>29.970500000000001</v>
      </c>
      <c r="O865" s="10">
        <f>CHOOSE(CONTROL!$C$42, 30.035, 30.035) * CHOOSE(CONTROL!$C$21, $C$9, 100%, $E$9)</f>
        <v>30.035</v>
      </c>
      <c r="P865" s="10">
        <f>CHOOSE(CONTROL!$C$42, 29.9889, 29.9889) * CHOOSE(CONTROL!$C$21, $C$9, 100%, $E$9)</f>
        <v>29.988900000000001</v>
      </c>
      <c r="Q865" s="10">
        <f>CHOOSE(CONTROL!$C$42, 30.6303, 30.6303) * CHOOSE(CONTROL!$C$21, $C$9, 100%, $E$9)</f>
        <v>30.630299999999998</v>
      </c>
      <c r="R865" s="10">
        <f>CHOOSE(CONTROL!$C$42, 31.2939, 31.2939) * CHOOSE(CONTROL!$C$21, $C$9, 100%, $E$9)</f>
        <v>31.293900000000001</v>
      </c>
      <c r="S865" s="10">
        <f>CHOOSE(CONTROL!$C$42, 29.4203, 29.4203) * CHOOSE(CONTROL!$C$21, $C$9, 100%, $E$9)</f>
        <v>29.420300000000001</v>
      </c>
      <c r="T86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65" s="38">
        <f>(1000*CHOOSE(CONTROL!$C$42, 695, 695)*CHOOSE(CONTROL!$C$42, 0.5599, 0.5599)*CHOOSE(CONTROL!$C$42, 31, 31))/1000000</f>
        <v>12.063045499999998</v>
      </c>
      <c r="V865" s="38">
        <f>(1000*CHOOSE(CONTROL!$C$42, 500, 500)*CHOOSE(CONTROL!$C$42, 0.275, 0.275)*CHOOSE(CONTROL!$C$42, 31, 31))/1000000</f>
        <v>4.2625000000000002</v>
      </c>
      <c r="W865" s="38">
        <f>(1000*CHOOSE(CONTROL!$C$42, 0.1146, 0.1146)*CHOOSE(CONTROL!$C$42, 121.5, 121.5)*CHOOSE(CONTROL!$C$42, 31, 31))/1000000</f>
        <v>0.43164089999999994</v>
      </c>
      <c r="X865" s="38">
        <f>(31*0.1790888*100000/1000000)+(31*0.2374*100000/1000000)</f>
        <v>1.2911152800000001</v>
      </c>
      <c r="Y865" s="38">
        <f>(1000*600*CHOOSE(CONTROL!$C$42, 1.0585, 1.0585)*CHOOSE(CONTROL!$C$42, 31, 31))/1000000</f>
        <v>19.688099999999999</v>
      </c>
      <c r="Z865" s="38"/>
      <c r="AA865" s="10"/>
      <c r="AB865" s="39"/>
      <c r="AC865" s="33">
        <f>(B865*122.58+C865*297.941+D865*89.177+E865*40.302+F865*40+G865*160+H865*0+I865*100+J865*300)/(122.58+297.941+89.177+40.302+0+40+160+100+300)</f>
        <v>30.367831406173913</v>
      </c>
      <c r="AD865" s="27">
        <f>(M865*'RAP TEMPLATE-GAS AVAILABILITY'!O864+N865*'RAP TEMPLATE-GAS AVAILABILITY'!P864+O865*'RAP TEMPLATE-GAS AVAILABILITY'!Q864+P865*'RAP TEMPLATE-GAS AVAILABILITY'!R864)/('RAP TEMPLATE-GAS AVAILABILITY'!O864+'RAP TEMPLATE-GAS AVAILABILITY'!P864+'RAP TEMPLATE-GAS AVAILABILITY'!Q864+'RAP TEMPLATE-GAS AVAILABILITY'!R864)</f>
        <v>29.996234532374103</v>
      </c>
    </row>
    <row r="866" spans="1:30" ht="15.75">
      <c r="A866" s="13">
        <v>67631</v>
      </c>
      <c r="B866" s="10">
        <f>CHOOSE(CONTROL!$C$42, 30.9071, 30.9071) * CHOOSE(CONTROL!$C$21, $C$9, 100%, $E$9)</f>
        <v>30.9071</v>
      </c>
      <c r="C866" s="10">
        <f>CHOOSE(CONTROL!$C$42, 30.9122, 30.9122) * CHOOSE(CONTROL!$C$21, $C$9, 100%, $E$9)</f>
        <v>30.912199999999999</v>
      </c>
      <c r="D866" s="10">
        <f>CHOOSE(CONTROL!$C$42, 30.9446, 30.9446) * CHOOSE(CONTROL!$C$21, $C$9, 100%, $E$9)</f>
        <v>30.944600000000001</v>
      </c>
      <c r="E866" s="10">
        <f>CHOOSE(CONTROL!$C$42, 30.9784, 30.9784) * CHOOSE(CONTROL!$C$21, $C$9, 100%, $E$9)</f>
        <v>30.978400000000001</v>
      </c>
      <c r="F866" s="10">
        <f>CHOOSE(CONTROL!$C$42, 30.8908, 30.8908)*CHOOSE(CONTROL!$C$21, $C$9, 100%, $E$9)</f>
        <v>30.890799999999999</v>
      </c>
      <c r="G866" s="10">
        <f>CHOOSE(CONTROL!$C$42, 30.9088, 30.9088)*CHOOSE(CONTROL!$C$21, $C$9, 100%, $E$9)</f>
        <v>30.908799999999999</v>
      </c>
      <c r="H866" s="10">
        <f>CHOOSE(CONTROL!$C$42, 30.9673, 30.9673) * CHOOSE(CONTROL!$C$21, $C$9, 100%, $E$9)</f>
        <v>30.967300000000002</v>
      </c>
      <c r="I866" s="10">
        <f>CHOOSE(CONTROL!$C$42, 30.9205, 30.9205)* CHOOSE(CONTROL!$C$21, $C$9, 100%, $E$9)</f>
        <v>30.920500000000001</v>
      </c>
      <c r="J866" s="10">
        <f>CHOOSE(CONTROL!$C$42, 30.8834, 30.8834)* CHOOSE(CONTROL!$C$21, $C$9, 100%, $E$9)</f>
        <v>30.883400000000002</v>
      </c>
      <c r="K866" s="10">
        <f>CHOOSE(CONTROL!$C$42, 30.135, 30.135) * CHOOSE(CONTROL!$C$21, $C$9, 100%, $E$9)</f>
        <v>30.135000000000002</v>
      </c>
      <c r="L866" s="10">
        <f>CHOOSE(CONTROL!$C$42, 31.5543, 31.5543) * CHOOSE(CONTROL!$C$21, $C$9, 100%, $E$9)</f>
        <v>31.554300000000001</v>
      </c>
      <c r="M866" s="10">
        <f>CHOOSE(CONTROL!$C$42, 30.4856, 30.4856) * CHOOSE(CONTROL!$C$21, $C$9, 100%, $E$9)</f>
        <v>30.485600000000002</v>
      </c>
      <c r="N866" s="10">
        <f>CHOOSE(CONTROL!$C$42, 30.5033, 30.5033) * CHOOSE(CONTROL!$C$21, $C$9, 100%, $E$9)</f>
        <v>30.503299999999999</v>
      </c>
      <c r="O866" s="10">
        <f>CHOOSE(CONTROL!$C$42, 30.5683, 30.5683) * CHOOSE(CONTROL!$C$21, $C$9, 100%, $E$9)</f>
        <v>30.568300000000001</v>
      </c>
      <c r="P866" s="10">
        <f>CHOOSE(CONTROL!$C$42, 30.5222, 30.5222) * CHOOSE(CONTROL!$C$21, $C$9, 100%, $E$9)</f>
        <v>30.522200000000002</v>
      </c>
      <c r="Q866" s="10">
        <f>CHOOSE(CONTROL!$C$42, 31.1636, 31.1636) * CHOOSE(CONTROL!$C$21, $C$9, 100%, $E$9)</f>
        <v>31.163599999999999</v>
      </c>
      <c r="R866" s="10">
        <f>CHOOSE(CONTROL!$C$42, 31.8285, 31.8285) * CHOOSE(CONTROL!$C$21, $C$9, 100%, $E$9)</f>
        <v>31.828499999999998</v>
      </c>
      <c r="S866" s="10">
        <f>CHOOSE(CONTROL!$C$42, 29.944, 29.944) * CHOOSE(CONTROL!$C$21, $C$9, 100%, $E$9)</f>
        <v>29.943999999999999</v>
      </c>
      <c r="T86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66" s="38">
        <f>(1000*CHOOSE(CONTROL!$C$42, 695, 695)*CHOOSE(CONTROL!$C$42, 0.5599, 0.5599)*CHOOSE(CONTROL!$C$42, 28, 28))/1000000</f>
        <v>10.895653999999999</v>
      </c>
      <c r="V866" s="38">
        <f>(1000*CHOOSE(CONTROL!$C$42, 500, 500)*CHOOSE(CONTROL!$C$42, 0.275, 0.275)*CHOOSE(CONTROL!$C$42, 28, 28))/1000000</f>
        <v>3.85</v>
      </c>
      <c r="W866" s="38">
        <f>(1000*CHOOSE(CONTROL!$C$42, 0.1146, 0.1146)*CHOOSE(CONTROL!$C$42, 121.5, 121.5)*CHOOSE(CONTROL!$C$42, 28, 28))/1000000</f>
        <v>0.38986920000000003</v>
      </c>
      <c r="X866" s="38">
        <f>(28*0.1790888*100000/1000000)+(28*0.2374*100000/1000000)</f>
        <v>1.16616864</v>
      </c>
      <c r="Y866" s="38">
        <f>(1000*600*CHOOSE(CONTROL!$C$42, 1.0585, 1.0585)*CHOOSE(CONTROL!$C$42, 28, 28))/1000000</f>
        <v>17.782800000000002</v>
      </c>
      <c r="Z866" s="38"/>
      <c r="AA866" s="10"/>
      <c r="AB866" s="39"/>
      <c r="AC866" s="33">
        <f>(B866*122.58+C866*297.941+D866*89.177+E866*40.302+F866*40+G866*160+H866*0+I866*100+J866*300)/(122.58+297.941+89.177+40.302+0+40+160+100+300)</f>
        <v>30.908480147130437</v>
      </c>
      <c r="AD866" s="27">
        <f>(M866*'RAP TEMPLATE-GAS AVAILABILITY'!O865+N866*'RAP TEMPLATE-GAS AVAILABILITY'!P865+O866*'RAP TEMPLATE-GAS AVAILABILITY'!Q865+P866*'RAP TEMPLATE-GAS AVAILABILITY'!R865)/('RAP TEMPLATE-GAS AVAILABILITY'!O865+'RAP TEMPLATE-GAS AVAILABILITY'!P865+'RAP TEMPLATE-GAS AVAILABILITY'!Q865+'RAP TEMPLATE-GAS AVAILABILITY'!R865)</f>
        <v>30.529367625899283</v>
      </c>
    </row>
    <row r="867" spans="1:30" ht="15.75">
      <c r="A867" s="13">
        <v>67662</v>
      </c>
      <c r="B867" s="10">
        <f>CHOOSE(CONTROL!$C$42, 30.0292, 30.0292) * CHOOSE(CONTROL!$C$21, $C$9, 100%, $E$9)</f>
        <v>30.029199999999999</v>
      </c>
      <c r="C867" s="10">
        <f>CHOOSE(CONTROL!$C$42, 30.0343, 30.0343) * CHOOSE(CONTROL!$C$21, $C$9, 100%, $E$9)</f>
        <v>30.034300000000002</v>
      </c>
      <c r="D867" s="10">
        <f>CHOOSE(CONTROL!$C$42, 30.0667, 30.0667) * CHOOSE(CONTROL!$C$21, $C$9, 100%, $E$9)</f>
        <v>30.066700000000001</v>
      </c>
      <c r="E867" s="10">
        <f>CHOOSE(CONTROL!$C$42, 30.1005, 30.1005) * CHOOSE(CONTROL!$C$21, $C$9, 100%, $E$9)</f>
        <v>30.1005</v>
      </c>
      <c r="F867" s="10">
        <f>CHOOSE(CONTROL!$C$42, 30.0114, 30.0114)*CHOOSE(CONTROL!$C$21, $C$9, 100%, $E$9)</f>
        <v>30.011399999999998</v>
      </c>
      <c r="G867" s="10">
        <f>CHOOSE(CONTROL!$C$42, 30.029, 30.029)*CHOOSE(CONTROL!$C$21, $C$9, 100%, $E$9)</f>
        <v>30.029</v>
      </c>
      <c r="H867" s="10">
        <f>CHOOSE(CONTROL!$C$42, 30.0894, 30.0894) * CHOOSE(CONTROL!$C$21, $C$9, 100%, $E$9)</f>
        <v>30.089400000000001</v>
      </c>
      <c r="I867" s="10">
        <f>CHOOSE(CONTROL!$C$42, 30.0426, 30.0426)* CHOOSE(CONTROL!$C$21, $C$9, 100%, $E$9)</f>
        <v>30.0426</v>
      </c>
      <c r="J867" s="10">
        <f>CHOOSE(CONTROL!$C$42, 30.004, 30.004)* CHOOSE(CONTROL!$C$21, $C$9, 100%, $E$9)</f>
        <v>30.004000000000001</v>
      </c>
      <c r="K867" s="10">
        <f>CHOOSE(CONTROL!$C$42, 29.2813, 29.2813) * CHOOSE(CONTROL!$C$21, $C$9, 100%, $E$9)</f>
        <v>29.281300000000002</v>
      </c>
      <c r="L867" s="10">
        <f>CHOOSE(CONTROL!$C$42, 30.6764, 30.6764) * CHOOSE(CONTROL!$C$21, $C$9, 100%, $E$9)</f>
        <v>30.676400000000001</v>
      </c>
      <c r="M867" s="10">
        <f>CHOOSE(CONTROL!$C$42, 29.6184, 29.6184) * CHOOSE(CONTROL!$C$21, $C$9, 100%, $E$9)</f>
        <v>29.618400000000001</v>
      </c>
      <c r="N867" s="10">
        <f>CHOOSE(CONTROL!$C$42, 29.6358, 29.6358) * CHOOSE(CONTROL!$C$21, $C$9, 100%, $E$9)</f>
        <v>29.6358</v>
      </c>
      <c r="O867" s="10">
        <f>CHOOSE(CONTROL!$C$42, 29.7026, 29.7026) * CHOOSE(CONTROL!$C$21, $C$9, 100%, $E$9)</f>
        <v>29.7026</v>
      </c>
      <c r="P867" s="10">
        <f>CHOOSE(CONTROL!$C$42, 29.6566, 29.6566) * CHOOSE(CONTROL!$C$21, $C$9, 100%, $E$9)</f>
        <v>29.656600000000001</v>
      </c>
      <c r="Q867" s="10">
        <f>CHOOSE(CONTROL!$C$42, 30.2979, 30.2979) * CHOOSE(CONTROL!$C$21, $C$9, 100%, $E$9)</f>
        <v>30.297899999999998</v>
      </c>
      <c r="R867" s="10">
        <f>CHOOSE(CONTROL!$C$42, 30.9607, 30.9607) * CHOOSE(CONTROL!$C$21, $C$9, 100%, $E$9)</f>
        <v>30.960699999999999</v>
      </c>
      <c r="S867" s="10">
        <f>CHOOSE(CONTROL!$C$42, 29.0939, 29.0939) * CHOOSE(CONTROL!$C$21, $C$9, 100%, $E$9)</f>
        <v>29.093900000000001</v>
      </c>
      <c r="T86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67" s="38">
        <f>(1000*CHOOSE(CONTROL!$C$42, 695, 695)*CHOOSE(CONTROL!$C$42, 0.5599, 0.5599)*CHOOSE(CONTROL!$C$42, 31, 31))/1000000</f>
        <v>12.063045499999998</v>
      </c>
      <c r="V867" s="38">
        <f>(1000*CHOOSE(CONTROL!$C$42, 500, 500)*CHOOSE(CONTROL!$C$42, 0.275, 0.275)*CHOOSE(CONTROL!$C$42, 31, 31))/1000000</f>
        <v>4.2625000000000002</v>
      </c>
      <c r="W867" s="38">
        <f>(1000*CHOOSE(CONTROL!$C$42, 0.1146, 0.1146)*CHOOSE(CONTROL!$C$42, 121.5, 121.5)*CHOOSE(CONTROL!$C$42, 31, 31))/1000000</f>
        <v>0.43164089999999994</v>
      </c>
      <c r="X867" s="38">
        <f>(31*0.1790888*100000/1000000)+(31*0.2374*100000/1000000)</f>
        <v>1.2911152800000001</v>
      </c>
      <c r="Y867" s="38">
        <f>(1000*600*CHOOSE(CONTROL!$C$42, 1.0585, 1.0585)*CHOOSE(CONTROL!$C$42, 31, 31))/1000000</f>
        <v>19.688099999999999</v>
      </c>
      <c r="Z867" s="38"/>
      <c r="AA867" s="10"/>
      <c r="AB867" s="39"/>
      <c r="AC867" s="33">
        <f>(B867*122.58+C867*297.941+D867*89.177+E867*40.302+F867*40+G867*160+H867*0+I867*100+J867*300)/(122.58+297.941+89.177+40.302+0+40+160+100+300)</f>
        <v>30.029872321043474</v>
      </c>
      <c r="AD867" s="27">
        <f>(M867*'RAP TEMPLATE-GAS AVAILABILITY'!O866+N867*'RAP TEMPLATE-GAS AVAILABILITY'!P866+O867*'RAP TEMPLATE-GAS AVAILABILITY'!Q866+P867*'RAP TEMPLATE-GAS AVAILABILITY'!R866)/('RAP TEMPLATE-GAS AVAILABILITY'!O866+'RAP TEMPLATE-GAS AVAILABILITY'!P866+'RAP TEMPLATE-GAS AVAILABILITY'!Q866+'RAP TEMPLATE-GAS AVAILABILITY'!R866)</f>
        <v>29.663060431654678</v>
      </c>
    </row>
    <row r="868" spans="1:30" ht="15.75">
      <c r="A868" s="13">
        <v>67692</v>
      </c>
      <c r="B868" s="10">
        <f>CHOOSE(CONTROL!$C$42, 29.94, 29.94) * CHOOSE(CONTROL!$C$21, $C$9, 100%, $E$9)</f>
        <v>29.94</v>
      </c>
      <c r="C868" s="10">
        <f>CHOOSE(CONTROL!$C$42, 29.9445, 29.9445) * CHOOSE(CONTROL!$C$21, $C$9, 100%, $E$9)</f>
        <v>29.944500000000001</v>
      </c>
      <c r="D868" s="10">
        <f>CHOOSE(CONTROL!$C$42, 30.1046, 30.1046) * CHOOSE(CONTROL!$C$21, $C$9, 100%, $E$9)</f>
        <v>30.104600000000001</v>
      </c>
      <c r="E868" s="10">
        <f>CHOOSE(CONTROL!$C$42, 30.1365, 30.1365) * CHOOSE(CONTROL!$C$21, $C$9, 100%, $E$9)</f>
        <v>30.136500000000002</v>
      </c>
      <c r="F868" s="10">
        <f>CHOOSE(CONTROL!$C$42, 29.8861, 29.8861)*CHOOSE(CONTROL!$C$21, $C$9, 100%, $E$9)</f>
        <v>29.886099999999999</v>
      </c>
      <c r="G868" s="10">
        <f>CHOOSE(CONTROL!$C$42, 29.9019, 29.9019)*CHOOSE(CONTROL!$C$21, $C$9, 100%, $E$9)</f>
        <v>29.901900000000001</v>
      </c>
      <c r="H868" s="10">
        <f>CHOOSE(CONTROL!$C$42, 30.1259, 30.1259) * CHOOSE(CONTROL!$C$21, $C$9, 100%, $E$9)</f>
        <v>30.125900000000001</v>
      </c>
      <c r="I868" s="10">
        <f>CHOOSE(CONTROL!$C$42, 29.9201, 29.9201)* CHOOSE(CONTROL!$C$21, $C$9, 100%, $E$9)</f>
        <v>29.920100000000001</v>
      </c>
      <c r="J868" s="10">
        <f>CHOOSE(CONTROL!$C$42, 29.8787, 29.8787)* CHOOSE(CONTROL!$C$21, $C$9, 100%, $E$9)</f>
        <v>29.878699999999998</v>
      </c>
      <c r="K868" s="10">
        <f>CHOOSE(CONTROL!$C$42, 29.1466, 29.1466) * CHOOSE(CONTROL!$C$21, $C$9, 100%, $E$9)</f>
        <v>29.146599999999999</v>
      </c>
      <c r="L868" s="10">
        <f>CHOOSE(CONTROL!$C$42, 30.7129, 30.7129) * CHOOSE(CONTROL!$C$21, $C$9, 100%, $E$9)</f>
        <v>30.712900000000001</v>
      </c>
      <c r="M868" s="10">
        <f>CHOOSE(CONTROL!$C$42, 29.4949, 29.4949) * CHOOSE(CONTROL!$C$21, $C$9, 100%, $E$9)</f>
        <v>29.494900000000001</v>
      </c>
      <c r="N868" s="10">
        <f>CHOOSE(CONTROL!$C$42, 29.5105, 29.5105) * CHOOSE(CONTROL!$C$21, $C$9, 100%, $E$9)</f>
        <v>29.5105</v>
      </c>
      <c r="O868" s="10">
        <f>CHOOSE(CONTROL!$C$42, 29.7387, 29.7387) * CHOOSE(CONTROL!$C$21, $C$9, 100%, $E$9)</f>
        <v>29.738700000000001</v>
      </c>
      <c r="P868" s="10">
        <f>CHOOSE(CONTROL!$C$42, 29.5358, 29.5358) * CHOOSE(CONTROL!$C$21, $C$9, 100%, $E$9)</f>
        <v>29.535799999999998</v>
      </c>
      <c r="Q868" s="10">
        <f>CHOOSE(CONTROL!$C$42, 30.334, 30.334) * CHOOSE(CONTROL!$C$21, $C$9, 100%, $E$9)</f>
        <v>30.334</v>
      </c>
      <c r="R868" s="10">
        <f>CHOOSE(CONTROL!$C$42, 30.9968, 30.9968) * CHOOSE(CONTROL!$C$21, $C$9, 100%, $E$9)</f>
        <v>30.9968</v>
      </c>
      <c r="S868" s="10">
        <f>CHOOSE(CONTROL!$C$42, 29.0068, 29.0068) * CHOOSE(CONTROL!$C$21, $C$9, 100%, $E$9)</f>
        <v>29.006799999999998</v>
      </c>
      <c r="T86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68" s="38">
        <f>(1000*CHOOSE(CONTROL!$C$42, 695, 695)*CHOOSE(CONTROL!$C$42, 0.5599, 0.5599)*CHOOSE(CONTROL!$C$42, 30, 30))/1000000</f>
        <v>11.673914999999997</v>
      </c>
      <c r="V868" s="38">
        <f>(1000*CHOOSE(CONTROL!$C$42, 500, 500)*CHOOSE(CONTROL!$C$42, 0.275, 0.275)*CHOOSE(CONTROL!$C$42, 30, 30))/1000000</f>
        <v>4.125</v>
      </c>
      <c r="W868" s="38">
        <f>(1000*CHOOSE(CONTROL!$C$42, 0.1146, 0.1146)*CHOOSE(CONTROL!$C$42, 121.5, 121.5)*CHOOSE(CONTROL!$C$42, 30, 30))/1000000</f>
        <v>0.417717</v>
      </c>
      <c r="X868" s="38">
        <f>(30*0.1790888*245000/1000000)+(30*0.2374*100000/1000000)</f>
        <v>2.0285026799999999</v>
      </c>
      <c r="Y868" s="38">
        <f>(1000*600*CHOOSE(CONTROL!$C$42, 1.0585, 1.0585)*CHOOSE(CONTROL!$C$42, 30, 30))/1000000</f>
        <v>19.053000000000001</v>
      </c>
      <c r="Z868" s="38"/>
      <c r="AA868" s="10"/>
      <c r="AB868" s="39"/>
      <c r="AC868" s="33">
        <f>(B868*141.293+C868*267.993+D868*115.016+E868*89.698+F868*40+G868*185+H868*0+I868*100+J868*300)/(141.293+267.993+115.016+89.698+0+40+185+100+300)</f>
        <v>29.946601096933009</v>
      </c>
      <c r="AD868" s="27">
        <f>(M868*'RAP TEMPLATE-GAS AVAILABILITY'!O867+N868*'RAP TEMPLATE-GAS AVAILABILITY'!P867+O868*'RAP TEMPLATE-GAS AVAILABILITY'!Q867+P868*'RAP TEMPLATE-GAS AVAILABILITY'!R867)/('RAP TEMPLATE-GAS AVAILABILITY'!O867+'RAP TEMPLATE-GAS AVAILABILITY'!P867+'RAP TEMPLATE-GAS AVAILABILITY'!Q867+'RAP TEMPLATE-GAS AVAILABILITY'!R867)</f>
        <v>29.612182014388491</v>
      </c>
    </row>
    <row r="869" spans="1:30" ht="15.75">
      <c r="A869" s="13">
        <v>67723</v>
      </c>
      <c r="B869" s="10">
        <f>CHOOSE(CONTROL!$C$42, 30.2062, 30.2062) * CHOOSE(CONTROL!$C$21, $C$9, 100%, $E$9)</f>
        <v>30.206199999999999</v>
      </c>
      <c r="C869" s="10">
        <f>CHOOSE(CONTROL!$C$42, 30.2142, 30.2142) * CHOOSE(CONTROL!$C$21, $C$9, 100%, $E$9)</f>
        <v>30.214200000000002</v>
      </c>
      <c r="D869" s="10">
        <f>CHOOSE(CONTROL!$C$42, 30.3712, 30.3712) * CHOOSE(CONTROL!$C$21, $C$9, 100%, $E$9)</f>
        <v>30.371200000000002</v>
      </c>
      <c r="E869" s="10">
        <f>CHOOSE(CONTROL!$C$42, 30.4024, 30.4024) * CHOOSE(CONTROL!$C$21, $C$9, 100%, $E$9)</f>
        <v>30.4024</v>
      </c>
      <c r="F869" s="10">
        <f>CHOOSE(CONTROL!$C$42, 30.1503, 30.1503)*CHOOSE(CONTROL!$C$21, $C$9, 100%, $E$9)</f>
        <v>30.150300000000001</v>
      </c>
      <c r="G869" s="10">
        <f>CHOOSE(CONTROL!$C$42, 30.1664, 30.1664)*CHOOSE(CONTROL!$C$21, $C$9, 100%, $E$9)</f>
        <v>30.166399999999999</v>
      </c>
      <c r="H869" s="10">
        <f>CHOOSE(CONTROL!$C$42, 30.3908, 30.3908) * CHOOSE(CONTROL!$C$21, $C$9, 100%, $E$9)</f>
        <v>30.390799999999999</v>
      </c>
      <c r="I869" s="10">
        <f>CHOOSE(CONTROL!$C$42, 30.185, 30.185)* CHOOSE(CONTROL!$C$21, $C$9, 100%, $E$9)</f>
        <v>30.184999999999999</v>
      </c>
      <c r="J869" s="10">
        <f>CHOOSE(CONTROL!$C$42, 30.1429, 30.1429)* CHOOSE(CONTROL!$C$21, $C$9, 100%, $E$9)</f>
        <v>30.142900000000001</v>
      </c>
      <c r="K869" s="10">
        <f>CHOOSE(CONTROL!$C$42, 29.4019, 29.4019) * CHOOSE(CONTROL!$C$21, $C$9, 100%, $E$9)</f>
        <v>29.401900000000001</v>
      </c>
      <c r="L869" s="10">
        <f>CHOOSE(CONTROL!$C$42, 30.9778, 30.9778) * CHOOSE(CONTROL!$C$21, $C$9, 100%, $E$9)</f>
        <v>30.977799999999998</v>
      </c>
      <c r="M869" s="10">
        <f>CHOOSE(CONTROL!$C$42, 29.7554, 29.7554) * CHOOSE(CONTROL!$C$21, $C$9, 100%, $E$9)</f>
        <v>29.755400000000002</v>
      </c>
      <c r="N869" s="10">
        <f>CHOOSE(CONTROL!$C$42, 29.7713, 29.7713) * CHOOSE(CONTROL!$C$21, $C$9, 100%, $E$9)</f>
        <v>29.7713</v>
      </c>
      <c r="O869" s="10">
        <f>CHOOSE(CONTROL!$C$42, 29.9998, 29.9998) * CHOOSE(CONTROL!$C$21, $C$9, 100%, $E$9)</f>
        <v>29.9998</v>
      </c>
      <c r="P869" s="10">
        <f>CHOOSE(CONTROL!$C$42, 29.7969, 29.7969) * CHOOSE(CONTROL!$C$21, $C$9, 100%, $E$9)</f>
        <v>29.796900000000001</v>
      </c>
      <c r="Q869" s="10">
        <f>CHOOSE(CONTROL!$C$42, 30.5951, 30.5951) * CHOOSE(CONTROL!$C$21, $C$9, 100%, $E$9)</f>
        <v>30.595099999999999</v>
      </c>
      <c r="R869" s="10">
        <f>CHOOSE(CONTROL!$C$42, 31.2586, 31.2586) * CHOOSE(CONTROL!$C$21, $C$9, 100%, $E$9)</f>
        <v>31.258600000000001</v>
      </c>
      <c r="S869" s="10">
        <f>CHOOSE(CONTROL!$C$42, 29.2632, 29.2632) * CHOOSE(CONTROL!$C$21, $C$9, 100%, $E$9)</f>
        <v>29.263200000000001</v>
      </c>
      <c r="T86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69" s="38">
        <f>(1000*CHOOSE(CONTROL!$C$42, 695, 695)*CHOOSE(CONTROL!$C$42, 0.5599, 0.5599)*CHOOSE(CONTROL!$C$42, 31, 31))/1000000</f>
        <v>12.063045499999998</v>
      </c>
      <c r="V869" s="38">
        <f>(1000*CHOOSE(CONTROL!$C$42, 500, 500)*CHOOSE(CONTROL!$C$42, 0.275, 0.275)*CHOOSE(CONTROL!$C$42, 31, 31))/1000000</f>
        <v>4.2625000000000002</v>
      </c>
      <c r="W869" s="38">
        <f>(1000*CHOOSE(CONTROL!$C$42, 0.1146, 0.1146)*CHOOSE(CONTROL!$C$42, 121.5, 121.5)*CHOOSE(CONTROL!$C$42, 31, 31))/1000000</f>
        <v>0.43164089999999994</v>
      </c>
      <c r="X869" s="38">
        <f>(31*0.1790888*245000/1000000)+(31*0.2374*100000/1000000)</f>
        <v>2.0961194359999999</v>
      </c>
      <c r="Y869" s="38">
        <f>(1000*600*CHOOSE(CONTROL!$C$42, 1.0585, 1.0585)*CHOOSE(CONTROL!$C$42, 31, 31))/1000000</f>
        <v>19.688099999999999</v>
      </c>
      <c r="Z869" s="38"/>
      <c r="AA869" s="10"/>
      <c r="AB869" s="39"/>
      <c r="AC869" s="33">
        <f>(B869*194.205+C869*267.466+D869*133.845+E869*53.484+F869*40+G869*185+H869*0+I869*100+J869*300)/(194.205+267.466+133.845+53.484+0+40+185+100+300)</f>
        <v>30.209346557142858</v>
      </c>
      <c r="AD869" s="27">
        <f>(M869*'RAP TEMPLATE-GAS AVAILABILITY'!O868+N869*'RAP TEMPLATE-GAS AVAILABILITY'!P868+O869*'RAP TEMPLATE-GAS AVAILABILITY'!Q868+P869*'RAP TEMPLATE-GAS AVAILABILITY'!R868)/('RAP TEMPLATE-GAS AVAILABILITY'!O868+'RAP TEMPLATE-GAS AVAILABILITY'!P868+'RAP TEMPLATE-GAS AVAILABILITY'!Q868+'RAP TEMPLATE-GAS AVAILABILITY'!R868)</f>
        <v>29.87305755395683</v>
      </c>
    </row>
    <row r="870" spans="1:30" ht="15.75">
      <c r="A870" s="13">
        <v>67753</v>
      </c>
      <c r="B870" s="10">
        <f>CHOOSE(CONTROL!$C$42, 31.0634, 31.0634) * CHOOSE(CONTROL!$C$21, $C$9, 100%, $E$9)</f>
        <v>31.063400000000001</v>
      </c>
      <c r="C870" s="10">
        <f>CHOOSE(CONTROL!$C$42, 31.0714, 31.0714) * CHOOSE(CONTROL!$C$21, $C$9, 100%, $E$9)</f>
        <v>31.071400000000001</v>
      </c>
      <c r="D870" s="10">
        <f>CHOOSE(CONTROL!$C$42, 31.2285, 31.2285) * CHOOSE(CONTROL!$C$21, $C$9, 100%, $E$9)</f>
        <v>31.2285</v>
      </c>
      <c r="E870" s="10">
        <f>CHOOSE(CONTROL!$C$42, 31.2597, 31.2597) * CHOOSE(CONTROL!$C$21, $C$9, 100%, $E$9)</f>
        <v>31.259699999999999</v>
      </c>
      <c r="F870" s="10">
        <f>CHOOSE(CONTROL!$C$42, 31.0077, 31.0077)*CHOOSE(CONTROL!$C$21, $C$9, 100%, $E$9)</f>
        <v>31.0077</v>
      </c>
      <c r="G870" s="10">
        <f>CHOOSE(CONTROL!$C$42, 31.0239, 31.0239)*CHOOSE(CONTROL!$C$21, $C$9, 100%, $E$9)</f>
        <v>31.023900000000001</v>
      </c>
      <c r="H870" s="10">
        <f>CHOOSE(CONTROL!$C$42, 31.248, 31.248) * CHOOSE(CONTROL!$C$21, $C$9, 100%, $E$9)</f>
        <v>31.248000000000001</v>
      </c>
      <c r="I870" s="10">
        <f>CHOOSE(CONTROL!$C$42, 31.0422, 31.0422)* CHOOSE(CONTROL!$C$21, $C$9, 100%, $E$9)</f>
        <v>31.042200000000001</v>
      </c>
      <c r="J870" s="10">
        <f>CHOOSE(CONTROL!$C$42, 31.0003, 31.0003)* CHOOSE(CONTROL!$C$21, $C$9, 100%, $E$9)</f>
        <v>31.000299999999999</v>
      </c>
      <c r="K870" s="10">
        <f>CHOOSE(CONTROL!$C$42, 30.2328, 30.2328) * CHOOSE(CONTROL!$C$21, $C$9, 100%, $E$9)</f>
        <v>30.232800000000001</v>
      </c>
      <c r="L870" s="10">
        <f>CHOOSE(CONTROL!$C$42, 31.835, 31.835) * CHOOSE(CONTROL!$C$21, $C$9, 100%, $E$9)</f>
        <v>31.835000000000001</v>
      </c>
      <c r="M870" s="10">
        <f>CHOOSE(CONTROL!$C$42, 30.6009, 30.6009) * CHOOSE(CONTROL!$C$21, $C$9, 100%, $E$9)</f>
        <v>30.600899999999999</v>
      </c>
      <c r="N870" s="10">
        <f>CHOOSE(CONTROL!$C$42, 30.6168, 30.6168) * CHOOSE(CONTROL!$C$21, $C$9, 100%, $E$9)</f>
        <v>30.616800000000001</v>
      </c>
      <c r="O870" s="10">
        <f>CHOOSE(CONTROL!$C$42, 30.8451, 30.8451) * CHOOSE(CONTROL!$C$21, $C$9, 100%, $E$9)</f>
        <v>30.845099999999999</v>
      </c>
      <c r="P870" s="10">
        <f>CHOOSE(CONTROL!$C$42, 30.6422, 30.6422) * CHOOSE(CONTROL!$C$21, $C$9, 100%, $E$9)</f>
        <v>30.642199999999999</v>
      </c>
      <c r="Q870" s="10">
        <f>CHOOSE(CONTROL!$C$42, 31.4404, 31.4404) * CHOOSE(CONTROL!$C$21, $C$9, 100%, $E$9)</f>
        <v>31.4404</v>
      </c>
      <c r="R870" s="10">
        <f>CHOOSE(CONTROL!$C$42, 32.106, 32.106) * CHOOSE(CONTROL!$C$21, $C$9, 100%, $E$9)</f>
        <v>32.106000000000002</v>
      </c>
      <c r="S870" s="10">
        <f>CHOOSE(CONTROL!$C$42, 30.0933, 30.0933) * CHOOSE(CONTROL!$C$21, $C$9, 100%, $E$9)</f>
        <v>30.093299999999999</v>
      </c>
      <c r="T87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70" s="38">
        <f>(1000*CHOOSE(CONTROL!$C$42, 695, 695)*CHOOSE(CONTROL!$C$42, 0.5599, 0.5599)*CHOOSE(CONTROL!$C$42, 30, 30))/1000000</f>
        <v>11.673914999999997</v>
      </c>
      <c r="V870" s="38">
        <f>(1000*CHOOSE(CONTROL!$C$42, 500, 500)*CHOOSE(CONTROL!$C$42, 0.275, 0.275)*CHOOSE(CONTROL!$C$42, 30, 30))/1000000</f>
        <v>4.125</v>
      </c>
      <c r="W870" s="38">
        <f>(1000*CHOOSE(CONTROL!$C$42, 0.1146, 0.1146)*CHOOSE(CONTROL!$C$42, 121.5, 121.5)*CHOOSE(CONTROL!$C$42, 30, 30))/1000000</f>
        <v>0.417717</v>
      </c>
      <c r="X870" s="38">
        <f>(30*0.1790888*245000/1000000)+(30*0.2374*100000/1000000)</f>
        <v>2.0285026799999999</v>
      </c>
      <c r="Y870" s="38">
        <f>(1000*600*CHOOSE(CONTROL!$C$42, 1.0585, 1.0585)*CHOOSE(CONTROL!$C$42, 30, 30))/1000000</f>
        <v>19.053000000000001</v>
      </c>
      <c r="Z870" s="38"/>
      <c r="AA870" s="10"/>
      <c r="AB870" s="39"/>
      <c r="AC870" s="33">
        <f>(B870*194.205+C870*267.466+D870*133.845+E870*53.484+F870*40+G870*185+H870*0+I870*100+J870*300)/(194.205+267.466+133.845+53.484+0+40+185+100+300)</f>
        <v>31.066658199921505</v>
      </c>
      <c r="AD870" s="27">
        <f>(M870*'RAP TEMPLATE-GAS AVAILABILITY'!O869+N870*'RAP TEMPLATE-GAS AVAILABILITY'!P869+O870*'RAP TEMPLATE-GAS AVAILABILITY'!Q869+P870*'RAP TEMPLATE-GAS AVAILABILITY'!R869)/('RAP TEMPLATE-GAS AVAILABILITY'!O869+'RAP TEMPLATE-GAS AVAILABILITY'!P869+'RAP TEMPLATE-GAS AVAILABILITY'!Q869+'RAP TEMPLATE-GAS AVAILABILITY'!R869)</f>
        <v>30.718438129496402</v>
      </c>
    </row>
    <row r="871" spans="1:30" ht="15.75">
      <c r="A871" s="13">
        <v>67784</v>
      </c>
      <c r="B871" s="10">
        <f>CHOOSE(CONTROL!$C$42, 30.4672, 30.4672) * CHOOSE(CONTROL!$C$21, $C$9, 100%, $E$9)</f>
        <v>30.467199999999998</v>
      </c>
      <c r="C871" s="10">
        <f>CHOOSE(CONTROL!$C$42, 30.4752, 30.4752) * CHOOSE(CONTROL!$C$21, $C$9, 100%, $E$9)</f>
        <v>30.475200000000001</v>
      </c>
      <c r="D871" s="10">
        <f>CHOOSE(CONTROL!$C$42, 30.6322, 30.6322) * CHOOSE(CONTROL!$C$21, $C$9, 100%, $E$9)</f>
        <v>30.632200000000001</v>
      </c>
      <c r="E871" s="10">
        <f>CHOOSE(CONTROL!$C$42, 30.6635, 30.6635) * CHOOSE(CONTROL!$C$21, $C$9, 100%, $E$9)</f>
        <v>30.663499999999999</v>
      </c>
      <c r="F871" s="10">
        <f>CHOOSE(CONTROL!$C$42, 30.4118, 30.4118)*CHOOSE(CONTROL!$C$21, $C$9, 100%, $E$9)</f>
        <v>30.411799999999999</v>
      </c>
      <c r="G871" s="10">
        <f>CHOOSE(CONTROL!$C$42, 30.4281, 30.4281)*CHOOSE(CONTROL!$C$21, $C$9, 100%, $E$9)</f>
        <v>30.428100000000001</v>
      </c>
      <c r="H871" s="10">
        <f>CHOOSE(CONTROL!$C$42, 30.6518, 30.6518) * CHOOSE(CONTROL!$C$21, $C$9, 100%, $E$9)</f>
        <v>30.651800000000001</v>
      </c>
      <c r="I871" s="10">
        <f>CHOOSE(CONTROL!$C$42, 30.446, 30.446)* CHOOSE(CONTROL!$C$21, $C$9, 100%, $E$9)</f>
        <v>30.446000000000002</v>
      </c>
      <c r="J871" s="10">
        <f>CHOOSE(CONTROL!$C$42, 30.4044, 30.4044)* CHOOSE(CONTROL!$C$21, $C$9, 100%, $E$9)</f>
        <v>30.404399999999999</v>
      </c>
      <c r="K871" s="10">
        <f>CHOOSE(CONTROL!$C$42, 29.6559, 29.6559) * CHOOSE(CONTROL!$C$21, $C$9, 100%, $E$9)</f>
        <v>29.655899999999999</v>
      </c>
      <c r="L871" s="10">
        <f>CHOOSE(CONTROL!$C$42, 31.2388, 31.2388) * CHOOSE(CONTROL!$C$21, $C$9, 100%, $E$9)</f>
        <v>31.238800000000001</v>
      </c>
      <c r="M871" s="10">
        <f>CHOOSE(CONTROL!$C$42, 30.0133, 30.0133) * CHOOSE(CONTROL!$C$21, $C$9, 100%, $E$9)</f>
        <v>30.013300000000001</v>
      </c>
      <c r="N871" s="10">
        <f>CHOOSE(CONTROL!$C$42, 30.0293, 30.0293) * CHOOSE(CONTROL!$C$21, $C$9, 100%, $E$9)</f>
        <v>30.029299999999999</v>
      </c>
      <c r="O871" s="10">
        <f>CHOOSE(CONTROL!$C$42, 30.2572, 30.2572) * CHOOSE(CONTROL!$C$21, $C$9, 100%, $E$9)</f>
        <v>30.257200000000001</v>
      </c>
      <c r="P871" s="10">
        <f>CHOOSE(CONTROL!$C$42, 30.0543, 30.0543) * CHOOSE(CONTROL!$C$21, $C$9, 100%, $E$9)</f>
        <v>30.054300000000001</v>
      </c>
      <c r="Q871" s="10">
        <f>CHOOSE(CONTROL!$C$42, 30.8525, 30.8525) * CHOOSE(CONTROL!$C$21, $C$9, 100%, $E$9)</f>
        <v>30.852499999999999</v>
      </c>
      <c r="R871" s="10">
        <f>CHOOSE(CONTROL!$C$42, 31.5166, 31.5166) * CHOOSE(CONTROL!$C$21, $C$9, 100%, $E$9)</f>
        <v>31.5166</v>
      </c>
      <c r="S871" s="10">
        <f>CHOOSE(CONTROL!$C$42, 29.516, 29.516) * CHOOSE(CONTROL!$C$21, $C$9, 100%, $E$9)</f>
        <v>29.515999999999998</v>
      </c>
      <c r="T87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71" s="38">
        <f>(1000*CHOOSE(CONTROL!$C$42, 695, 695)*CHOOSE(CONTROL!$C$42, 0.5599, 0.5599)*CHOOSE(CONTROL!$C$42, 31, 31))/1000000</f>
        <v>12.063045499999998</v>
      </c>
      <c r="V871" s="38">
        <f>(1000*CHOOSE(CONTROL!$C$42, 500, 500)*CHOOSE(CONTROL!$C$42, 0.275, 0.275)*CHOOSE(CONTROL!$C$42, 31, 31))/1000000</f>
        <v>4.2625000000000002</v>
      </c>
      <c r="W871" s="38">
        <f>(1000*CHOOSE(CONTROL!$C$42, 0.1146, 0.1146)*CHOOSE(CONTROL!$C$42, 121.5, 121.5)*CHOOSE(CONTROL!$C$42, 31, 31))/1000000</f>
        <v>0.43164089999999994</v>
      </c>
      <c r="X871" s="38">
        <f>(31*0.1790888*245000/1000000)+(31*0.2374*100000/1000000)</f>
        <v>2.0961194359999999</v>
      </c>
      <c r="Y871" s="38">
        <f>(1000*600*CHOOSE(CONTROL!$C$42, 1.0585, 1.0585)*CHOOSE(CONTROL!$C$42, 31, 31))/1000000</f>
        <v>19.688099999999999</v>
      </c>
      <c r="Z871" s="38"/>
      <c r="AA871" s="10"/>
      <c r="AB871" s="39"/>
      <c r="AC871" s="33">
        <f>(B871*194.205+C871*267.466+D871*133.845+E871*53.484+F871*40+G871*185+H871*0+I871*100+J871*300)/(194.205+267.466+133.845+53.484+0+40+185+100+300)</f>
        <v>30.47058584160126</v>
      </c>
      <c r="AD871" s="27">
        <f>(M871*'RAP TEMPLATE-GAS AVAILABILITY'!O870+N871*'RAP TEMPLATE-GAS AVAILABILITY'!P870+O871*'RAP TEMPLATE-GAS AVAILABILITY'!Q870+P871*'RAP TEMPLATE-GAS AVAILABILITY'!R870)/('RAP TEMPLATE-GAS AVAILABILITY'!O870+'RAP TEMPLATE-GAS AVAILABILITY'!P870+'RAP TEMPLATE-GAS AVAILABILITY'!Q870+'RAP TEMPLATE-GAS AVAILABILITY'!R870)</f>
        <v>30.130664748201436</v>
      </c>
    </row>
    <row r="872" spans="1:30" ht="15.75">
      <c r="A872" s="13">
        <v>67815</v>
      </c>
      <c r="B872" s="10">
        <f>CHOOSE(CONTROL!$C$42, 28.9616, 28.9616) * CHOOSE(CONTROL!$C$21, $C$9, 100%, $E$9)</f>
        <v>28.961600000000001</v>
      </c>
      <c r="C872" s="10">
        <f>CHOOSE(CONTROL!$C$42, 28.9696, 28.9696) * CHOOSE(CONTROL!$C$21, $C$9, 100%, $E$9)</f>
        <v>28.9696</v>
      </c>
      <c r="D872" s="10">
        <f>CHOOSE(CONTROL!$C$42, 29.1266, 29.1266) * CHOOSE(CONTROL!$C$21, $C$9, 100%, $E$9)</f>
        <v>29.1266</v>
      </c>
      <c r="E872" s="10">
        <f>CHOOSE(CONTROL!$C$42, 29.1579, 29.1579) * CHOOSE(CONTROL!$C$21, $C$9, 100%, $E$9)</f>
        <v>29.157900000000001</v>
      </c>
      <c r="F872" s="10">
        <f>CHOOSE(CONTROL!$C$42, 28.9062, 28.9062)*CHOOSE(CONTROL!$C$21, $C$9, 100%, $E$9)</f>
        <v>28.906199999999998</v>
      </c>
      <c r="G872" s="10">
        <f>CHOOSE(CONTROL!$C$42, 28.9224, 28.9224)*CHOOSE(CONTROL!$C$21, $C$9, 100%, $E$9)</f>
        <v>28.9224</v>
      </c>
      <c r="H872" s="10">
        <f>CHOOSE(CONTROL!$C$42, 29.1462, 29.1462) * CHOOSE(CONTROL!$C$21, $C$9, 100%, $E$9)</f>
        <v>29.1462</v>
      </c>
      <c r="I872" s="10">
        <f>CHOOSE(CONTROL!$C$42, 28.9404, 28.9404)* CHOOSE(CONTROL!$C$21, $C$9, 100%, $E$9)</f>
        <v>28.9404</v>
      </c>
      <c r="J872" s="10">
        <f>CHOOSE(CONTROL!$C$42, 28.8988, 28.8988)* CHOOSE(CONTROL!$C$21, $C$9, 100%, $E$9)</f>
        <v>28.898800000000001</v>
      </c>
      <c r="K872" s="10">
        <f>CHOOSE(CONTROL!$C$42, 28.1971, 28.1971) * CHOOSE(CONTROL!$C$21, $C$9, 100%, $E$9)</f>
        <v>28.197099999999999</v>
      </c>
      <c r="L872" s="10">
        <f>CHOOSE(CONTROL!$C$42, 29.7332, 29.7332) * CHOOSE(CONTROL!$C$21, $C$9, 100%, $E$9)</f>
        <v>29.7332</v>
      </c>
      <c r="M872" s="10">
        <f>CHOOSE(CONTROL!$C$42, 28.5286, 28.5286) * CHOOSE(CONTROL!$C$21, $C$9, 100%, $E$9)</f>
        <v>28.528600000000001</v>
      </c>
      <c r="N872" s="10">
        <f>CHOOSE(CONTROL!$C$42, 28.5446, 28.5446) * CHOOSE(CONTROL!$C$21, $C$9, 100%, $E$9)</f>
        <v>28.544599999999999</v>
      </c>
      <c r="O872" s="10">
        <f>CHOOSE(CONTROL!$C$42, 28.7726, 28.7726) * CHOOSE(CONTROL!$C$21, $C$9, 100%, $E$9)</f>
        <v>28.772600000000001</v>
      </c>
      <c r="P872" s="10">
        <f>CHOOSE(CONTROL!$C$42, 28.5697, 28.5697) * CHOOSE(CONTROL!$C$21, $C$9, 100%, $E$9)</f>
        <v>28.569700000000001</v>
      </c>
      <c r="Q872" s="10">
        <f>CHOOSE(CONTROL!$C$42, 29.3679, 29.3679) * CHOOSE(CONTROL!$C$21, $C$9, 100%, $E$9)</f>
        <v>29.367899999999999</v>
      </c>
      <c r="R872" s="10">
        <f>CHOOSE(CONTROL!$C$42, 30.0283, 30.0283) * CHOOSE(CONTROL!$C$21, $C$9, 100%, $E$9)</f>
        <v>30.028300000000002</v>
      </c>
      <c r="S872" s="10">
        <f>CHOOSE(CONTROL!$C$42, 28.0581, 28.0581) * CHOOSE(CONTROL!$C$21, $C$9, 100%, $E$9)</f>
        <v>28.0581</v>
      </c>
      <c r="T87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72" s="38">
        <f>(1000*CHOOSE(CONTROL!$C$42, 695, 695)*CHOOSE(CONTROL!$C$42, 0.5599, 0.5599)*CHOOSE(CONTROL!$C$42, 31, 31))/1000000</f>
        <v>12.063045499999998</v>
      </c>
      <c r="V872" s="38">
        <f>(1000*CHOOSE(CONTROL!$C$42, 500, 500)*CHOOSE(CONTROL!$C$42, 0.275, 0.275)*CHOOSE(CONTROL!$C$42, 31, 31))/1000000</f>
        <v>4.2625000000000002</v>
      </c>
      <c r="W872" s="38">
        <f>(1000*CHOOSE(CONTROL!$C$42, 0.1146, 0.1146)*CHOOSE(CONTROL!$C$42, 121.5, 121.5)*CHOOSE(CONTROL!$C$42, 31, 31))/1000000</f>
        <v>0.43164089999999994</v>
      </c>
      <c r="X872" s="38">
        <f>(31*0.1790888*245000/1000000)+(31*0.2374*100000/1000000)</f>
        <v>2.0961194359999999</v>
      </c>
      <c r="Y872" s="38">
        <f>(1000*600*CHOOSE(CONTROL!$C$42, 1.0585, 1.0585)*CHOOSE(CONTROL!$C$42, 31, 31))/1000000</f>
        <v>19.688099999999999</v>
      </c>
      <c r="Z872" s="38"/>
      <c r="AA872" s="10"/>
      <c r="AB872" s="39"/>
      <c r="AC872" s="33">
        <f>(B872*194.205+C872*267.466+D872*133.845+E872*53.484+F872*40+G872*185+H872*0+I872*100+J872*300)/(194.205+267.466+133.845+53.484+0+40+185+100+300)</f>
        <v>28.964971320408168</v>
      </c>
      <c r="AD872" s="27">
        <f>(M872*'RAP TEMPLATE-GAS AVAILABILITY'!O871+N872*'RAP TEMPLATE-GAS AVAILABILITY'!P871+O872*'RAP TEMPLATE-GAS AVAILABILITY'!Q871+P872*'RAP TEMPLATE-GAS AVAILABILITY'!R871)/('RAP TEMPLATE-GAS AVAILABILITY'!O871+'RAP TEMPLATE-GAS AVAILABILITY'!P871+'RAP TEMPLATE-GAS AVAILABILITY'!Q871+'RAP TEMPLATE-GAS AVAILABILITY'!R871)</f>
        <v>28.646024460431658</v>
      </c>
    </row>
    <row r="873" spans="1:30" ht="15.75">
      <c r="A873" s="13">
        <v>67845</v>
      </c>
      <c r="B873" s="10">
        <f>CHOOSE(CONTROL!$C$42, 27.122, 27.122) * CHOOSE(CONTROL!$C$21, $C$9, 100%, $E$9)</f>
        <v>27.122</v>
      </c>
      <c r="C873" s="10">
        <f>CHOOSE(CONTROL!$C$42, 27.13, 27.13) * CHOOSE(CONTROL!$C$21, $C$9, 100%, $E$9)</f>
        <v>27.13</v>
      </c>
      <c r="D873" s="10">
        <f>CHOOSE(CONTROL!$C$42, 27.2871, 27.2871) * CHOOSE(CONTROL!$C$21, $C$9, 100%, $E$9)</f>
        <v>27.287099999999999</v>
      </c>
      <c r="E873" s="10">
        <f>CHOOSE(CONTROL!$C$42, 27.3183, 27.3183) * CHOOSE(CONTROL!$C$21, $C$9, 100%, $E$9)</f>
        <v>27.318300000000001</v>
      </c>
      <c r="F873" s="10">
        <f>CHOOSE(CONTROL!$C$42, 27.0664, 27.0664)*CHOOSE(CONTROL!$C$21, $C$9, 100%, $E$9)</f>
        <v>27.066400000000002</v>
      </c>
      <c r="G873" s="10">
        <f>CHOOSE(CONTROL!$C$42, 27.0826, 27.0826)*CHOOSE(CONTROL!$C$21, $C$9, 100%, $E$9)</f>
        <v>27.082599999999999</v>
      </c>
      <c r="H873" s="10">
        <f>CHOOSE(CONTROL!$C$42, 27.3066, 27.3066) * CHOOSE(CONTROL!$C$21, $C$9, 100%, $E$9)</f>
        <v>27.3066</v>
      </c>
      <c r="I873" s="10">
        <f>CHOOSE(CONTROL!$C$42, 27.1008, 27.1008)* CHOOSE(CONTROL!$C$21, $C$9, 100%, $E$9)</f>
        <v>27.1008</v>
      </c>
      <c r="J873" s="10">
        <f>CHOOSE(CONTROL!$C$42, 27.059, 27.059)* CHOOSE(CONTROL!$C$21, $C$9, 100%, $E$9)</f>
        <v>27.059000000000001</v>
      </c>
      <c r="K873" s="10">
        <f>CHOOSE(CONTROL!$C$42, 26.4145, 26.4145) * CHOOSE(CONTROL!$C$21, $C$9, 100%, $E$9)</f>
        <v>26.4145</v>
      </c>
      <c r="L873" s="10">
        <f>CHOOSE(CONTROL!$C$42, 27.8936, 27.8936) * CHOOSE(CONTROL!$C$21, $C$9, 100%, $E$9)</f>
        <v>27.893599999999999</v>
      </c>
      <c r="M873" s="10">
        <f>CHOOSE(CONTROL!$C$42, 26.7145, 26.7145) * CHOOSE(CONTROL!$C$21, $C$9, 100%, $E$9)</f>
        <v>26.714500000000001</v>
      </c>
      <c r="N873" s="10">
        <f>CHOOSE(CONTROL!$C$42, 26.7305, 26.7305) * CHOOSE(CONTROL!$C$21, $C$9, 100%, $E$9)</f>
        <v>26.730499999999999</v>
      </c>
      <c r="O873" s="10">
        <f>CHOOSE(CONTROL!$C$42, 26.9587, 26.9587) * CHOOSE(CONTROL!$C$21, $C$9, 100%, $E$9)</f>
        <v>26.9587</v>
      </c>
      <c r="P873" s="10">
        <f>CHOOSE(CONTROL!$C$42, 26.7558, 26.7558) * CHOOSE(CONTROL!$C$21, $C$9, 100%, $E$9)</f>
        <v>26.755800000000001</v>
      </c>
      <c r="Q873" s="10">
        <f>CHOOSE(CONTROL!$C$42, 27.554, 27.554) * CHOOSE(CONTROL!$C$21, $C$9, 100%, $E$9)</f>
        <v>27.553999999999998</v>
      </c>
      <c r="R873" s="10">
        <f>CHOOSE(CONTROL!$C$42, 28.2099, 28.2099) * CHOOSE(CONTROL!$C$21, $C$9, 100%, $E$9)</f>
        <v>28.209900000000001</v>
      </c>
      <c r="S873" s="10">
        <f>CHOOSE(CONTROL!$C$42, 26.2768, 26.2768) * CHOOSE(CONTROL!$C$21, $C$9, 100%, $E$9)</f>
        <v>26.276800000000001</v>
      </c>
      <c r="T87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73" s="38">
        <f>(1000*CHOOSE(CONTROL!$C$42, 695, 695)*CHOOSE(CONTROL!$C$42, 0.5599, 0.5599)*CHOOSE(CONTROL!$C$42, 30, 30))/1000000</f>
        <v>11.673914999999997</v>
      </c>
      <c r="V873" s="38">
        <f>(1000*CHOOSE(CONTROL!$C$42, 500, 500)*CHOOSE(CONTROL!$C$42, 0.275, 0.275)*CHOOSE(CONTROL!$C$42, 30, 30))/1000000</f>
        <v>4.125</v>
      </c>
      <c r="W873" s="38">
        <f>(1000*CHOOSE(CONTROL!$C$42, 0.1146, 0.1146)*CHOOSE(CONTROL!$C$42, 121.5, 121.5)*CHOOSE(CONTROL!$C$42, 30, 30))/1000000</f>
        <v>0.417717</v>
      </c>
      <c r="X873" s="38">
        <f>(30*0.1790888*245000/1000000)+(30*0.2374*100000/1000000)</f>
        <v>2.0285026799999999</v>
      </c>
      <c r="Y873" s="38">
        <f>(1000*600*CHOOSE(CONTROL!$C$42, 1.0585, 1.0585)*CHOOSE(CONTROL!$C$42, 30, 30))/1000000</f>
        <v>19.053000000000001</v>
      </c>
      <c r="Z873" s="38"/>
      <c r="AA873" s="10"/>
      <c r="AB873" s="39"/>
      <c r="AC873" s="33">
        <f>(B873*194.205+C873*267.466+D873*133.845+E873*53.484+F873*40+G873*185+H873*0+I873*100+J873*300)/(194.205+267.466+133.845+53.484+0+40+185+100+300)</f>
        <v>27.125299408712721</v>
      </c>
      <c r="AD873" s="27">
        <f>(M873*'RAP TEMPLATE-GAS AVAILABILITY'!O872+N873*'RAP TEMPLATE-GAS AVAILABILITY'!P872+O873*'RAP TEMPLATE-GAS AVAILABILITY'!Q872+P873*'RAP TEMPLATE-GAS AVAILABILITY'!R872)/('RAP TEMPLATE-GAS AVAILABILITY'!O872+'RAP TEMPLATE-GAS AVAILABILITY'!P872+'RAP TEMPLATE-GAS AVAILABILITY'!Q872+'RAP TEMPLATE-GAS AVAILABILITY'!R872)</f>
        <v>26.832043884892084</v>
      </c>
    </row>
    <row r="874" spans="1:30" ht="15.75">
      <c r="A874" s="13">
        <v>67876</v>
      </c>
      <c r="B874" s="10">
        <f>CHOOSE(CONTROL!$C$42, 26.5689, 26.5689) * CHOOSE(CONTROL!$C$21, $C$9, 100%, $E$9)</f>
        <v>26.568899999999999</v>
      </c>
      <c r="C874" s="10">
        <f>CHOOSE(CONTROL!$C$42, 26.5742, 26.5742) * CHOOSE(CONTROL!$C$21, $C$9, 100%, $E$9)</f>
        <v>26.574200000000001</v>
      </c>
      <c r="D874" s="10">
        <f>CHOOSE(CONTROL!$C$42, 26.7361, 26.7361) * CHOOSE(CONTROL!$C$21, $C$9, 100%, $E$9)</f>
        <v>26.7361</v>
      </c>
      <c r="E874" s="10">
        <f>CHOOSE(CONTROL!$C$42, 26.7651, 26.7651) * CHOOSE(CONTROL!$C$21, $C$9, 100%, $E$9)</f>
        <v>26.7651</v>
      </c>
      <c r="F874" s="10">
        <f>CHOOSE(CONTROL!$C$42, 26.5153, 26.5153)*CHOOSE(CONTROL!$C$21, $C$9, 100%, $E$9)</f>
        <v>26.5153</v>
      </c>
      <c r="G874" s="10">
        <f>CHOOSE(CONTROL!$C$42, 26.5311, 26.5311)*CHOOSE(CONTROL!$C$21, $C$9, 100%, $E$9)</f>
        <v>26.531099999999999</v>
      </c>
      <c r="H874" s="10">
        <f>CHOOSE(CONTROL!$C$42, 26.7552, 26.7552) * CHOOSE(CONTROL!$C$21, $C$9, 100%, $E$9)</f>
        <v>26.755199999999999</v>
      </c>
      <c r="I874" s="10">
        <f>CHOOSE(CONTROL!$C$42, 26.5494, 26.5494)* CHOOSE(CONTROL!$C$21, $C$9, 100%, $E$9)</f>
        <v>26.549399999999999</v>
      </c>
      <c r="J874" s="10">
        <f>CHOOSE(CONTROL!$C$42, 26.5079, 26.5079)* CHOOSE(CONTROL!$C$21, $C$9, 100%, $E$9)</f>
        <v>26.507899999999999</v>
      </c>
      <c r="K874" s="10">
        <f>CHOOSE(CONTROL!$C$42, 25.881, 25.881) * CHOOSE(CONTROL!$C$21, $C$9, 100%, $E$9)</f>
        <v>25.881</v>
      </c>
      <c r="L874" s="10">
        <f>CHOOSE(CONTROL!$C$42, 27.3422, 27.3422) * CHOOSE(CONTROL!$C$21, $C$9, 100%, $E$9)</f>
        <v>27.342199999999998</v>
      </c>
      <c r="M874" s="10">
        <f>CHOOSE(CONTROL!$C$42, 26.1711, 26.1711) * CHOOSE(CONTROL!$C$21, $C$9, 100%, $E$9)</f>
        <v>26.171099999999999</v>
      </c>
      <c r="N874" s="10">
        <f>CHOOSE(CONTROL!$C$42, 26.1867, 26.1867) * CHOOSE(CONTROL!$C$21, $C$9, 100%, $E$9)</f>
        <v>26.186699999999998</v>
      </c>
      <c r="O874" s="10">
        <f>CHOOSE(CONTROL!$C$42, 26.4149, 26.4149) * CHOOSE(CONTROL!$C$21, $C$9, 100%, $E$9)</f>
        <v>26.414899999999999</v>
      </c>
      <c r="P874" s="10">
        <f>CHOOSE(CONTROL!$C$42, 26.2121, 26.2121) * CHOOSE(CONTROL!$C$21, $C$9, 100%, $E$9)</f>
        <v>26.2121</v>
      </c>
      <c r="Q874" s="10">
        <f>CHOOSE(CONTROL!$C$42, 27.0102, 27.0102) * CHOOSE(CONTROL!$C$21, $C$9, 100%, $E$9)</f>
        <v>27.010200000000001</v>
      </c>
      <c r="R874" s="10">
        <f>CHOOSE(CONTROL!$C$42, 27.6648, 27.6648) * CHOOSE(CONTROL!$C$21, $C$9, 100%, $E$9)</f>
        <v>27.6648</v>
      </c>
      <c r="S874" s="10">
        <f>CHOOSE(CONTROL!$C$42, 25.7429, 25.7429) * CHOOSE(CONTROL!$C$21, $C$9, 100%, $E$9)</f>
        <v>25.742899999999999</v>
      </c>
      <c r="T87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74" s="38">
        <f>(1000*CHOOSE(CONTROL!$C$42, 695, 695)*CHOOSE(CONTROL!$C$42, 0.5599, 0.5599)*CHOOSE(CONTROL!$C$42, 31, 31))/1000000</f>
        <v>12.063045499999998</v>
      </c>
      <c r="V874" s="38">
        <f>(1000*CHOOSE(CONTROL!$C$42, 500, 500)*CHOOSE(CONTROL!$C$42, 0.275, 0.275)*CHOOSE(CONTROL!$C$42, 31, 31))/1000000</f>
        <v>4.2625000000000002</v>
      </c>
      <c r="W874" s="38">
        <f>(1000*CHOOSE(CONTROL!$C$42, 0.1146, 0.1146)*CHOOSE(CONTROL!$C$42, 121.5, 121.5)*CHOOSE(CONTROL!$C$42, 31, 31))/1000000</f>
        <v>0.43164089999999994</v>
      </c>
      <c r="X874" s="38">
        <f>(31*0.1790888*245000/1000000)+(31*0.2374*100000/1000000)</f>
        <v>2.0961194359999999</v>
      </c>
      <c r="Y874" s="38">
        <f>(1000*600*CHOOSE(CONTROL!$C$42, 1.0585, 1.0585)*CHOOSE(CONTROL!$C$42, 31, 31))/1000000</f>
        <v>19.688099999999999</v>
      </c>
      <c r="Z874" s="38"/>
      <c r="AA874" s="10"/>
      <c r="AB874" s="39"/>
      <c r="AC874" s="33">
        <f>(B874*131.881+C874*277.167+D874*79.08+E874*125.872+F874*40+G874*185+H874*0+I874*100+J874*300)/(131.881+277.167+79.08+125.872+0+40+185+100+300)</f>
        <v>26.576971224778042</v>
      </c>
      <c r="AD874" s="27">
        <f>(M874*'RAP TEMPLATE-GAS AVAILABILITY'!O873+N874*'RAP TEMPLATE-GAS AVAILABILITY'!P873+O874*'RAP TEMPLATE-GAS AVAILABILITY'!Q873+P874*'RAP TEMPLATE-GAS AVAILABILITY'!R873)/('RAP TEMPLATE-GAS AVAILABILITY'!O873+'RAP TEMPLATE-GAS AVAILABILITY'!P873+'RAP TEMPLATE-GAS AVAILABILITY'!Q873+'RAP TEMPLATE-GAS AVAILABILITY'!R873)</f>
        <v>26.288396402877698</v>
      </c>
    </row>
    <row r="875" spans="1:30" ht="15.75">
      <c r="A875" s="13">
        <v>67906</v>
      </c>
      <c r="B875" s="10">
        <f>CHOOSE(CONTROL!$C$42, 27.2688, 27.2688) * CHOOSE(CONTROL!$C$21, $C$9, 100%, $E$9)</f>
        <v>27.268799999999999</v>
      </c>
      <c r="C875" s="10">
        <f>CHOOSE(CONTROL!$C$42, 27.2739, 27.2739) * CHOOSE(CONTROL!$C$21, $C$9, 100%, $E$9)</f>
        <v>27.273900000000001</v>
      </c>
      <c r="D875" s="10">
        <f>CHOOSE(CONTROL!$C$42, 27.2986, 27.2986) * CHOOSE(CONTROL!$C$21, $C$9, 100%, $E$9)</f>
        <v>27.2986</v>
      </c>
      <c r="E875" s="10">
        <f>CHOOSE(CONTROL!$C$42, 27.3324, 27.3324) * CHOOSE(CONTROL!$C$21, $C$9, 100%, $E$9)</f>
        <v>27.3324</v>
      </c>
      <c r="F875" s="10">
        <f>CHOOSE(CONTROL!$C$42, 27.2372, 27.2372)*CHOOSE(CONTROL!$C$21, $C$9, 100%, $E$9)</f>
        <v>27.237200000000001</v>
      </c>
      <c r="G875" s="10">
        <f>CHOOSE(CONTROL!$C$42, 27.2532, 27.2532)*CHOOSE(CONTROL!$C$21, $C$9, 100%, $E$9)</f>
        <v>27.2532</v>
      </c>
      <c r="H875" s="10">
        <f>CHOOSE(CONTROL!$C$42, 27.3213, 27.3213) * CHOOSE(CONTROL!$C$21, $C$9, 100%, $E$9)</f>
        <v>27.321300000000001</v>
      </c>
      <c r="I875" s="10">
        <f>CHOOSE(CONTROL!$C$42, 27.2838, 27.2838)* CHOOSE(CONTROL!$C$21, $C$9, 100%, $E$9)</f>
        <v>27.283799999999999</v>
      </c>
      <c r="J875" s="10">
        <f>CHOOSE(CONTROL!$C$42, 27.2298, 27.2298)* CHOOSE(CONTROL!$C$21, $C$9, 100%, $E$9)</f>
        <v>27.229800000000001</v>
      </c>
      <c r="K875" s="10">
        <f>CHOOSE(CONTROL!$C$42, 26.5947, 26.5947) * CHOOSE(CONTROL!$C$21, $C$9, 100%, $E$9)</f>
        <v>26.5947</v>
      </c>
      <c r="L875" s="10">
        <f>CHOOSE(CONTROL!$C$42, 27.9083, 27.9083) * CHOOSE(CONTROL!$C$21, $C$9, 100%, $E$9)</f>
        <v>27.908300000000001</v>
      </c>
      <c r="M875" s="10">
        <f>CHOOSE(CONTROL!$C$42, 26.8829, 26.8829) * CHOOSE(CONTROL!$C$21, $C$9, 100%, $E$9)</f>
        <v>26.882899999999999</v>
      </c>
      <c r="N875" s="10">
        <f>CHOOSE(CONTROL!$C$42, 26.8987, 26.8987) * CHOOSE(CONTROL!$C$21, $C$9, 100%, $E$9)</f>
        <v>26.898700000000002</v>
      </c>
      <c r="O875" s="10">
        <f>CHOOSE(CONTROL!$C$42, 26.9732, 26.9732) * CHOOSE(CONTROL!$C$21, $C$9, 100%, $E$9)</f>
        <v>26.973199999999999</v>
      </c>
      <c r="P875" s="10">
        <f>CHOOSE(CONTROL!$C$42, 26.9363, 26.9363) * CHOOSE(CONTROL!$C$21, $C$9, 100%, $E$9)</f>
        <v>26.936299999999999</v>
      </c>
      <c r="Q875" s="10">
        <f>CHOOSE(CONTROL!$C$42, 27.5685, 27.5685) * CHOOSE(CONTROL!$C$21, $C$9, 100%, $E$9)</f>
        <v>27.5685</v>
      </c>
      <c r="R875" s="10">
        <f>CHOOSE(CONTROL!$C$42, 28.2244, 28.2244) * CHOOSE(CONTROL!$C$21, $C$9, 100%, $E$9)</f>
        <v>28.224399999999999</v>
      </c>
      <c r="S875" s="10">
        <f>CHOOSE(CONTROL!$C$42, 26.4211, 26.4211) * CHOOSE(CONTROL!$C$21, $C$9, 100%, $E$9)</f>
        <v>26.421099999999999</v>
      </c>
      <c r="T87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75" s="38">
        <f>(1000*CHOOSE(CONTROL!$C$42, 695, 695)*CHOOSE(CONTROL!$C$42, 0.5599, 0.5599)*CHOOSE(CONTROL!$C$42, 30, 30))/1000000</f>
        <v>11.673914999999997</v>
      </c>
      <c r="V875" s="38">
        <f>(1000*CHOOSE(CONTROL!$C$42, 500, 500)*CHOOSE(CONTROL!$C$42, 0.275, 0.275)*CHOOSE(CONTROL!$C$42, 30, 30))/1000000</f>
        <v>4.125</v>
      </c>
      <c r="W875" s="38">
        <f>(1000*CHOOSE(CONTROL!$C$42, 0.1146, 0.1146)*CHOOSE(CONTROL!$C$42, 121.5, 121.5)*CHOOSE(CONTROL!$C$42, 30, 30))/1000000</f>
        <v>0.417717</v>
      </c>
      <c r="X875" s="38">
        <f>(30*0.1790888*100000/1000000)+(30*0.2374*100000/1000000)</f>
        <v>1.2494664</v>
      </c>
      <c r="Y875" s="38">
        <f>(1000*600*CHOOSE(CONTROL!$C$42, 1.0585, 1.0585)*CHOOSE(CONTROL!$C$42, 30, 30))/1000000</f>
        <v>19.053000000000001</v>
      </c>
      <c r="Z875" s="38"/>
      <c r="AA875" s="10"/>
      <c r="AB875" s="39"/>
      <c r="AC875" s="33">
        <f>(B875*122.58+C875*297.941+D875*89.177+E875*40.302+F875*40+G875*160+H875*0+I875*100+J875*300)/(122.58+297.941+89.177+40.302+0+40+160+100+300)</f>
        <v>27.262521896434787</v>
      </c>
      <c r="AD875" s="27">
        <f>(M875*'RAP TEMPLATE-GAS AVAILABILITY'!O874+N875*'RAP TEMPLATE-GAS AVAILABILITY'!P874+O875*'RAP TEMPLATE-GAS AVAILABILITY'!Q874+P875*'RAP TEMPLATE-GAS AVAILABILITY'!R874)/('RAP TEMPLATE-GAS AVAILABILITY'!O874+'RAP TEMPLATE-GAS AVAILABILITY'!P874+'RAP TEMPLATE-GAS AVAILABILITY'!Q874+'RAP TEMPLATE-GAS AVAILABILITY'!R874)</f>
        <v>26.93242014388489</v>
      </c>
    </row>
    <row r="876" spans="1:30" ht="15.75">
      <c r="A876" s="13">
        <v>67937</v>
      </c>
      <c r="B876" s="10">
        <f>CHOOSE(CONTROL!$C$42, 29.1291, 29.1291) * CHOOSE(CONTROL!$C$21, $C$9, 100%, $E$9)</f>
        <v>29.129100000000001</v>
      </c>
      <c r="C876" s="10">
        <f>CHOOSE(CONTROL!$C$42, 29.1342, 29.1342) * CHOOSE(CONTROL!$C$21, $C$9, 100%, $E$9)</f>
        <v>29.1342</v>
      </c>
      <c r="D876" s="10">
        <f>CHOOSE(CONTROL!$C$42, 29.1589, 29.1589) * CHOOSE(CONTROL!$C$21, $C$9, 100%, $E$9)</f>
        <v>29.158899999999999</v>
      </c>
      <c r="E876" s="10">
        <f>CHOOSE(CONTROL!$C$42, 29.1927, 29.1927) * CHOOSE(CONTROL!$C$21, $C$9, 100%, $E$9)</f>
        <v>29.192699999999999</v>
      </c>
      <c r="F876" s="10">
        <f>CHOOSE(CONTROL!$C$42, 29.0994, 29.0994)*CHOOSE(CONTROL!$C$21, $C$9, 100%, $E$9)</f>
        <v>29.099399999999999</v>
      </c>
      <c r="G876" s="10">
        <f>CHOOSE(CONTROL!$C$42, 29.1158, 29.1158)*CHOOSE(CONTROL!$C$21, $C$9, 100%, $E$9)</f>
        <v>29.1158</v>
      </c>
      <c r="H876" s="10">
        <f>CHOOSE(CONTROL!$C$42, 29.1816, 29.1816) * CHOOSE(CONTROL!$C$21, $C$9, 100%, $E$9)</f>
        <v>29.1816</v>
      </c>
      <c r="I876" s="10">
        <f>CHOOSE(CONTROL!$C$42, 29.1441, 29.1441)* CHOOSE(CONTROL!$C$21, $C$9, 100%, $E$9)</f>
        <v>29.144100000000002</v>
      </c>
      <c r="J876" s="10">
        <f>CHOOSE(CONTROL!$C$42, 29.092, 29.092)* CHOOSE(CONTROL!$C$21, $C$9, 100%, $E$9)</f>
        <v>29.091999999999999</v>
      </c>
      <c r="K876" s="10">
        <f>CHOOSE(CONTROL!$C$42, 28.401, 28.401) * CHOOSE(CONTROL!$C$21, $C$9, 100%, $E$9)</f>
        <v>28.401</v>
      </c>
      <c r="L876" s="10">
        <f>CHOOSE(CONTROL!$C$42, 29.7686, 29.7686) * CHOOSE(CONTROL!$C$21, $C$9, 100%, $E$9)</f>
        <v>29.768599999999999</v>
      </c>
      <c r="M876" s="10">
        <f>CHOOSE(CONTROL!$C$42, 28.7191, 28.7191) * CHOOSE(CONTROL!$C$21, $C$9, 100%, $E$9)</f>
        <v>28.719100000000001</v>
      </c>
      <c r="N876" s="10">
        <f>CHOOSE(CONTROL!$C$42, 28.7354, 28.7354) * CHOOSE(CONTROL!$C$21, $C$9, 100%, $E$9)</f>
        <v>28.735399999999998</v>
      </c>
      <c r="O876" s="10">
        <f>CHOOSE(CONTROL!$C$42, 28.8075, 28.8075) * CHOOSE(CONTROL!$C$21, $C$9, 100%, $E$9)</f>
        <v>28.807500000000001</v>
      </c>
      <c r="P876" s="10">
        <f>CHOOSE(CONTROL!$C$42, 28.7706, 28.7706) * CHOOSE(CONTROL!$C$21, $C$9, 100%, $E$9)</f>
        <v>28.770600000000002</v>
      </c>
      <c r="Q876" s="10">
        <f>CHOOSE(CONTROL!$C$42, 29.4028, 29.4028) * CHOOSE(CONTROL!$C$21, $C$9, 100%, $E$9)</f>
        <v>29.402799999999999</v>
      </c>
      <c r="R876" s="10">
        <f>CHOOSE(CONTROL!$C$42, 30.0633, 30.0633) * CHOOSE(CONTROL!$C$21, $C$9, 100%, $E$9)</f>
        <v>30.063300000000002</v>
      </c>
      <c r="S876" s="10">
        <f>CHOOSE(CONTROL!$C$42, 28.2224, 28.2224) * CHOOSE(CONTROL!$C$21, $C$9, 100%, $E$9)</f>
        <v>28.2224</v>
      </c>
      <c r="T87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76" s="38">
        <f>(1000*CHOOSE(CONTROL!$C$42, 695, 695)*CHOOSE(CONTROL!$C$42, 0.5599, 0.5599)*CHOOSE(CONTROL!$C$42, 31, 31))/1000000</f>
        <v>12.063045499999998</v>
      </c>
      <c r="V876" s="38">
        <f>(1000*CHOOSE(CONTROL!$C$42, 500, 500)*CHOOSE(CONTROL!$C$42, 0.275, 0.275)*CHOOSE(CONTROL!$C$42, 31, 31))/1000000</f>
        <v>4.2625000000000002</v>
      </c>
      <c r="W876" s="38">
        <f>(1000*CHOOSE(CONTROL!$C$42, 0.1146, 0.1146)*CHOOSE(CONTROL!$C$42, 121.5, 121.5)*CHOOSE(CONTROL!$C$42, 31, 31))/1000000</f>
        <v>0.43164089999999994</v>
      </c>
      <c r="X876" s="38">
        <f>(31*0.1790888*100000/1000000)+(31*0.2374*100000/1000000)</f>
        <v>1.2911152800000001</v>
      </c>
      <c r="Y876" s="38">
        <f>(1000*600*CHOOSE(CONTROL!$C$42, 1.0585, 1.0585)*CHOOSE(CONTROL!$C$42, 31, 31))/1000000</f>
        <v>19.688099999999999</v>
      </c>
      <c r="Z876" s="38"/>
      <c r="AA876" s="10"/>
      <c r="AB876" s="39"/>
      <c r="AC876" s="33">
        <f>(B876*122.58+C876*297.941+D876*89.177+E876*40.302+F876*40+G876*160+H876*0+I876*100+J876*300)/(122.58+297.941+89.177+40.302+0+40+160+100+300)</f>
        <v>29.123703635565217</v>
      </c>
      <c r="AD876" s="27">
        <f>(M876*'RAP TEMPLATE-GAS AVAILABILITY'!O875+N876*'RAP TEMPLATE-GAS AVAILABILITY'!P875+O876*'RAP TEMPLATE-GAS AVAILABILITY'!Q875+P876*'RAP TEMPLATE-GAS AVAILABILITY'!R875)/('RAP TEMPLATE-GAS AVAILABILITY'!O875+'RAP TEMPLATE-GAS AVAILABILITY'!P875+'RAP TEMPLATE-GAS AVAILABILITY'!Q875+'RAP TEMPLATE-GAS AVAILABILITY'!R875)</f>
        <v>28.767514388489214</v>
      </c>
    </row>
    <row r="877" spans="1:30" ht="15.75">
      <c r="A877" s="13">
        <v>67968</v>
      </c>
      <c r="B877" s="10">
        <f>CHOOSE(CONTROL!$C$42, 31.0963, 31.0963) * CHOOSE(CONTROL!$C$21, $C$9, 100%, $E$9)</f>
        <v>31.096299999999999</v>
      </c>
      <c r="C877" s="10">
        <f>CHOOSE(CONTROL!$C$42, 31.1014, 31.1014) * CHOOSE(CONTROL!$C$21, $C$9, 100%, $E$9)</f>
        <v>31.101400000000002</v>
      </c>
      <c r="D877" s="10">
        <f>CHOOSE(CONTROL!$C$42, 31.1338, 31.1338) * CHOOSE(CONTROL!$C$21, $C$9, 100%, $E$9)</f>
        <v>31.133800000000001</v>
      </c>
      <c r="E877" s="10">
        <f>CHOOSE(CONTROL!$C$42, 31.1676, 31.1676) * CHOOSE(CONTROL!$C$21, $C$9, 100%, $E$9)</f>
        <v>31.1676</v>
      </c>
      <c r="F877" s="10">
        <f>CHOOSE(CONTROL!$C$42, 31.0804, 31.0804)*CHOOSE(CONTROL!$C$21, $C$9, 100%, $E$9)</f>
        <v>31.080400000000001</v>
      </c>
      <c r="G877" s="10">
        <f>CHOOSE(CONTROL!$C$42, 31.0985, 31.0985)*CHOOSE(CONTROL!$C$21, $C$9, 100%, $E$9)</f>
        <v>31.098500000000001</v>
      </c>
      <c r="H877" s="10">
        <f>CHOOSE(CONTROL!$C$42, 31.1565, 31.1565) * CHOOSE(CONTROL!$C$21, $C$9, 100%, $E$9)</f>
        <v>31.156500000000001</v>
      </c>
      <c r="I877" s="10">
        <f>CHOOSE(CONTROL!$C$42, 31.1097, 31.1097)* CHOOSE(CONTROL!$C$21, $C$9, 100%, $E$9)</f>
        <v>31.1097</v>
      </c>
      <c r="J877" s="10">
        <f>CHOOSE(CONTROL!$C$42, 31.073, 31.073)* CHOOSE(CONTROL!$C$21, $C$9, 100%, $E$9)</f>
        <v>31.073</v>
      </c>
      <c r="K877" s="10">
        <f>CHOOSE(CONTROL!$C$42, 30.3192, 30.3192) * CHOOSE(CONTROL!$C$21, $C$9, 100%, $E$9)</f>
        <v>30.319199999999999</v>
      </c>
      <c r="L877" s="10">
        <f>CHOOSE(CONTROL!$C$42, 31.7435, 31.7435) * CHOOSE(CONTROL!$C$21, $C$9, 100%, $E$9)</f>
        <v>31.743500000000001</v>
      </c>
      <c r="M877" s="10">
        <f>CHOOSE(CONTROL!$C$42, 30.6726, 30.6726) * CHOOSE(CONTROL!$C$21, $C$9, 100%, $E$9)</f>
        <v>30.672599999999999</v>
      </c>
      <c r="N877" s="10">
        <f>CHOOSE(CONTROL!$C$42, 30.6904, 30.6904) * CHOOSE(CONTROL!$C$21, $C$9, 100%, $E$9)</f>
        <v>30.6904</v>
      </c>
      <c r="O877" s="10">
        <f>CHOOSE(CONTROL!$C$42, 30.7548, 30.7548) * CHOOSE(CONTROL!$C$21, $C$9, 100%, $E$9)</f>
        <v>30.754799999999999</v>
      </c>
      <c r="P877" s="10">
        <f>CHOOSE(CONTROL!$C$42, 30.7088, 30.7088) * CHOOSE(CONTROL!$C$21, $C$9, 100%, $E$9)</f>
        <v>30.7088</v>
      </c>
      <c r="Q877" s="10">
        <f>CHOOSE(CONTROL!$C$42, 31.3501, 31.3501) * CHOOSE(CONTROL!$C$21, $C$9, 100%, $E$9)</f>
        <v>31.350100000000001</v>
      </c>
      <c r="R877" s="10">
        <f>CHOOSE(CONTROL!$C$42, 32.0155, 32.0155) * CHOOSE(CONTROL!$C$21, $C$9, 100%, $E$9)</f>
        <v>32.015500000000003</v>
      </c>
      <c r="S877" s="10">
        <f>CHOOSE(CONTROL!$C$42, 30.1272, 30.1272) * CHOOSE(CONTROL!$C$21, $C$9, 100%, $E$9)</f>
        <v>30.127199999999998</v>
      </c>
      <c r="T87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77" s="38">
        <f>(1000*CHOOSE(CONTROL!$C$42, 695, 695)*CHOOSE(CONTROL!$C$42, 0.5599, 0.5599)*CHOOSE(CONTROL!$C$42, 31, 31))/1000000</f>
        <v>12.063045499999998</v>
      </c>
      <c r="V877" s="38">
        <f>(1000*CHOOSE(CONTROL!$C$42, 500, 500)*CHOOSE(CONTROL!$C$42, 0.275, 0.275)*CHOOSE(CONTROL!$C$42, 31, 31))/1000000</f>
        <v>4.2625000000000002</v>
      </c>
      <c r="W877" s="38">
        <f>(1000*CHOOSE(CONTROL!$C$42, 0.1146, 0.1146)*CHOOSE(CONTROL!$C$42, 121.5, 121.5)*CHOOSE(CONTROL!$C$42, 31, 31))/1000000</f>
        <v>0.43164089999999994</v>
      </c>
      <c r="X877" s="38">
        <f>(31*0.1790888*100000/1000000)+(31*0.2374*100000/1000000)</f>
        <v>1.2911152800000001</v>
      </c>
      <c r="Y877" s="38">
        <f>(1000*600*CHOOSE(CONTROL!$C$42, 1.0585, 1.0585)*CHOOSE(CONTROL!$C$42, 31, 31))/1000000</f>
        <v>19.688099999999999</v>
      </c>
      <c r="Z877" s="38"/>
      <c r="AA877" s="10"/>
      <c r="AB877" s="39"/>
      <c r="AC877" s="33">
        <f>(B877*122.58+C877*297.941+D877*89.177+E877*40.302+F877*40+G877*160+H877*0+I877*100+J877*300)/(122.58+297.941+89.177+40.302+0+40+160+100+300)</f>
        <v>31.097867973217394</v>
      </c>
      <c r="AD877" s="27">
        <f>(M877*'RAP TEMPLATE-GAS AVAILABILITY'!O876+N877*'RAP TEMPLATE-GAS AVAILABILITY'!P876+O877*'RAP TEMPLATE-GAS AVAILABILITY'!Q876+P877*'RAP TEMPLATE-GAS AVAILABILITY'!R876)/('RAP TEMPLATE-GAS AVAILABILITY'!O876+'RAP TEMPLATE-GAS AVAILABILITY'!P876+'RAP TEMPLATE-GAS AVAILABILITY'!Q876+'RAP TEMPLATE-GAS AVAILABILITY'!R876)</f>
        <v>30.7160892086331</v>
      </c>
    </row>
    <row r="878" spans="1:30" ht="15.75">
      <c r="A878" s="13">
        <v>67996</v>
      </c>
      <c r="B878" s="10">
        <f>CHOOSE(CONTROL!$C$42, 31.6501, 31.6501) * CHOOSE(CONTROL!$C$21, $C$9, 100%, $E$9)</f>
        <v>31.650099999999998</v>
      </c>
      <c r="C878" s="10">
        <f>CHOOSE(CONTROL!$C$42, 31.6552, 31.6552) * CHOOSE(CONTROL!$C$21, $C$9, 100%, $E$9)</f>
        <v>31.655200000000001</v>
      </c>
      <c r="D878" s="10">
        <f>CHOOSE(CONTROL!$C$42, 31.6876, 31.6876) * CHOOSE(CONTROL!$C$21, $C$9, 100%, $E$9)</f>
        <v>31.6876</v>
      </c>
      <c r="E878" s="10">
        <f>CHOOSE(CONTROL!$C$42, 31.7214, 31.7214) * CHOOSE(CONTROL!$C$21, $C$9, 100%, $E$9)</f>
        <v>31.721399999999999</v>
      </c>
      <c r="F878" s="10">
        <f>CHOOSE(CONTROL!$C$42, 31.6338, 31.6338)*CHOOSE(CONTROL!$C$21, $C$9, 100%, $E$9)</f>
        <v>31.633800000000001</v>
      </c>
      <c r="G878" s="10">
        <f>CHOOSE(CONTROL!$C$42, 31.6518, 31.6518)*CHOOSE(CONTROL!$C$21, $C$9, 100%, $E$9)</f>
        <v>31.651800000000001</v>
      </c>
      <c r="H878" s="10">
        <f>CHOOSE(CONTROL!$C$42, 31.7103, 31.7103) * CHOOSE(CONTROL!$C$21, $C$9, 100%, $E$9)</f>
        <v>31.7103</v>
      </c>
      <c r="I878" s="10">
        <f>CHOOSE(CONTROL!$C$42, 31.6635, 31.6635)* CHOOSE(CONTROL!$C$21, $C$9, 100%, $E$9)</f>
        <v>31.663499999999999</v>
      </c>
      <c r="J878" s="10">
        <f>CHOOSE(CONTROL!$C$42, 31.6264, 31.6264)* CHOOSE(CONTROL!$C$21, $C$9, 100%, $E$9)</f>
        <v>31.6264</v>
      </c>
      <c r="K878" s="10">
        <f>CHOOSE(CONTROL!$C$42, 30.8548, 30.8548) * CHOOSE(CONTROL!$C$21, $C$9, 100%, $E$9)</f>
        <v>30.854800000000001</v>
      </c>
      <c r="L878" s="10">
        <f>CHOOSE(CONTROL!$C$42, 32.2973, 32.2973) * CHOOSE(CONTROL!$C$21, $C$9, 100%, $E$9)</f>
        <v>32.2973</v>
      </c>
      <c r="M878" s="10">
        <f>CHOOSE(CONTROL!$C$42, 31.2182, 31.2182) * CHOOSE(CONTROL!$C$21, $C$9, 100%, $E$9)</f>
        <v>31.2182</v>
      </c>
      <c r="N878" s="10">
        <f>CHOOSE(CONTROL!$C$42, 31.2359, 31.2359) * CHOOSE(CONTROL!$C$21, $C$9, 100%, $E$9)</f>
        <v>31.235900000000001</v>
      </c>
      <c r="O878" s="10">
        <f>CHOOSE(CONTROL!$C$42, 31.301, 31.301) * CHOOSE(CONTROL!$C$21, $C$9, 100%, $E$9)</f>
        <v>31.300999999999998</v>
      </c>
      <c r="P878" s="10">
        <f>CHOOSE(CONTROL!$C$42, 31.2549, 31.2549) * CHOOSE(CONTROL!$C$21, $C$9, 100%, $E$9)</f>
        <v>31.254899999999999</v>
      </c>
      <c r="Q878" s="10">
        <f>CHOOSE(CONTROL!$C$42, 31.8963, 31.8963) * CHOOSE(CONTROL!$C$21, $C$9, 100%, $E$9)</f>
        <v>31.8963</v>
      </c>
      <c r="R878" s="10">
        <f>CHOOSE(CONTROL!$C$42, 32.563, 32.563) * CHOOSE(CONTROL!$C$21, $C$9, 100%, $E$9)</f>
        <v>32.563000000000002</v>
      </c>
      <c r="S878" s="10">
        <f>CHOOSE(CONTROL!$C$42, 30.6635, 30.6635) * CHOOSE(CONTROL!$C$21, $C$9, 100%, $E$9)</f>
        <v>30.663499999999999</v>
      </c>
      <c r="T87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78" s="38">
        <f>(1000*CHOOSE(CONTROL!$C$42, 695, 695)*CHOOSE(CONTROL!$C$42, 0.5599, 0.5599)*CHOOSE(CONTROL!$C$42, 28, 28))/1000000</f>
        <v>10.895653999999999</v>
      </c>
      <c r="V878" s="38">
        <f>(1000*CHOOSE(CONTROL!$C$42, 500, 500)*CHOOSE(CONTROL!$C$42, 0.275, 0.275)*CHOOSE(CONTROL!$C$42, 28, 28))/1000000</f>
        <v>3.85</v>
      </c>
      <c r="W878" s="38">
        <f>(1000*CHOOSE(CONTROL!$C$42, 0.1146, 0.1146)*CHOOSE(CONTROL!$C$42, 121.5, 121.5)*CHOOSE(CONTROL!$C$42, 28, 28))/1000000</f>
        <v>0.38986920000000003</v>
      </c>
      <c r="X878" s="38">
        <f>(28*0.1790888*100000/1000000)+(28*0.2374*100000/1000000)</f>
        <v>1.16616864</v>
      </c>
      <c r="Y878" s="38">
        <f>(1000*600*CHOOSE(CONTROL!$C$42, 1.0585, 1.0585)*CHOOSE(CONTROL!$C$42, 28, 28))/1000000</f>
        <v>17.782800000000002</v>
      </c>
      <c r="Z878" s="38"/>
      <c r="AA878" s="10"/>
      <c r="AB878" s="39"/>
      <c r="AC878" s="33">
        <f>(B878*122.58+C878*297.941+D878*89.177+E878*40.302+F878*40+G878*160+H878*0+I878*100+J878*300)/(122.58+297.941+89.177+40.302+0+40+160+100+300)</f>
        <v>31.651480147130432</v>
      </c>
      <c r="AD878" s="27">
        <f>(M878*'RAP TEMPLATE-GAS AVAILABILITY'!O877+N878*'RAP TEMPLATE-GAS AVAILABILITY'!P877+O878*'RAP TEMPLATE-GAS AVAILABILITY'!Q877+P878*'RAP TEMPLATE-GAS AVAILABILITY'!R877)/('RAP TEMPLATE-GAS AVAILABILITY'!O877+'RAP TEMPLATE-GAS AVAILABILITY'!P877+'RAP TEMPLATE-GAS AVAILABILITY'!Q877+'RAP TEMPLATE-GAS AVAILABILITY'!R877)</f>
        <v>31.262027338129492</v>
      </c>
    </row>
    <row r="879" spans="1:30" ht="15.75">
      <c r="A879" s="13">
        <v>68027</v>
      </c>
      <c r="B879" s="10">
        <f>CHOOSE(CONTROL!$C$42, 30.7511, 30.7511) * CHOOSE(CONTROL!$C$21, $C$9, 100%, $E$9)</f>
        <v>30.751100000000001</v>
      </c>
      <c r="C879" s="10">
        <f>CHOOSE(CONTROL!$C$42, 30.7562, 30.7562) * CHOOSE(CONTROL!$C$21, $C$9, 100%, $E$9)</f>
        <v>30.7562</v>
      </c>
      <c r="D879" s="10">
        <f>CHOOSE(CONTROL!$C$42, 30.7886, 30.7886) * CHOOSE(CONTROL!$C$21, $C$9, 100%, $E$9)</f>
        <v>30.788599999999999</v>
      </c>
      <c r="E879" s="10">
        <f>CHOOSE(CONTROL!$C$42, 30.8224, 30.8224) * CHOOSE(CONTROL!$C$21, $C$9, 100%, $E$9)</f>
        <v>30.822399999999998</v>
      </c>
      <c r="F879" s="10">
        <f>CHOOSE(CONTROL!$C$42, 30.7333, 30.7333)*CHOOSE(CONTROL!$C$21, $C$9, 100%, $E$9)</f>
        <v>30.7333</v>
      </c>
      <c r="G879" s="10">
        <f>CHOOSE(CONTROL!$C$42, 30.7509, 30.7509)*CHOOSE(CONTROL!$C$21, $C$9, 100%, $E$9)</f>
        <v>30.750900000000001</v>
      </c>
      <c r="H879" s="10">
        <f>CHOOSE(CONTROL!$C$42, 30.8113, 30.8113) * CHOOSE(CONTROL!$C$21, $C$9, 100%, $E$9)</f>
        <v>30.811299999999999</v>
      </c>
      <c r="I879" s="10">
        <f>CHOOSE(CONTROL!$C$42, 30.7645, 30.7645)* CHOOSE(CONTROL!$C$21, $C$9, 100%, $E$9)</f>
        <v>30.764500000000002</v>
      </c>
      <c r="J879" s="10">
        <f>CHOOSE(CONTROL!$C$42, 30.7259, 30.7259)* CHOOSE(CONTROL!$C$21, $C$9, 100%, $E$9)</f>
        <v>30.725899999999999</v>
      </c>
      <c r="K879" s="10">
        <f>CHOOSE(CONTROL!$C$42, 29.9807, 29.9807) * CHOOSE(CONTROL!$C$21, $C$9, 100%, $E$9)</f>
        <v>29.980699999999999</v>
      </c>
      <c r="L879" s="10">
        <f>CHOOSE(CONTROL!$C$42, 31.3983, 31.3983) * CHOOSE(CONTROL!$C$21, $C$9, 100%, $E$9)</f>
        <v>31.398299999999999</v>
      </c>
      <c r="M879" s="10">
        <f>CHOOSE(CONTROL!$C$42, 30.3303, 30.3303) * CHOOSE(CONTROL!$C$21, $C$9, 100%, $E$9)</f>
        <v>30.330300000000001</v>
      </c>
      <c r="N879" s="10">
        <f>CHOOSE(CONTROL!$C$42, 30.3476, 30.3476) * CHOOSE(CONTROL!$C$21, $C$9, 100%, $E$9)</f>
        <v>30.3476</v>
      </c>
      <c r="O879" s="10">
        <f>CHOOSE(CONTROL!$C$42, 30.4145, 30.4145) * CHOOSE(CONTROL!$C$21, $C$9, 100%, $E$9)</f>
        <v>30.4145</v>
      </c>
      <c r="P879" s="10">
        <f>CHOOSE(CONTROL!$C$42, 30.3684, 30.3684) * CHOOSE(CONTROL!$C$21, $C$9, 100%, $E$9)</f>
        <v>30.368400000000001</v>
      </c>
      <c r="Q879" s="10">
        <f>CHOOSE(CONTROL!$C$42, 31.0098, 31.0098) * CHOOSE(CONTROL!$C$21, $C$9, 100%, $E$9)</f>
        <v>31.009799999999998</v>
      </c>
      <c r="R879" s="10">
        <f>CHOOSE(CONTROL!$C$42, 31.6743, 31.6743) * CHOOSE(CONTROL!$C$21, $C$9, 100%, $E$9)</f>
        <v>31.674299999999999</v>
      </c>
      <c r="S879" s="10">
        <f>CHOOSE(CONTROL!$C$42, 29.7929, 29.7929) * CHOOSE(CONTROL!$C$21, $C$9, 100%, $E$9)</f>
        <v>29.792899999999999</v>
      </c>
      <c r="T87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79" s="38">
        <f>(1000*CHOOSE(CONTROL!$C$42, 695, 695)*CHOOSE(CONTROL!$C$42, 0.5599, 0.5599)*CHOOSE(CONTROL!$C$42, 31, 31))/1000000</f>
        <v>12.063045499999998</v>
      </c>
      <c r="V879" s="38">
        <f>(1000*CHOOSE(CONTROL!$C$42, 500, 500)*CHOOSE(CONTROL!$C$42, 0.275, 0.275)*CHOOSE(CONTROL!$C$42, 31, 31))/1000000</f>
        <v>4.2625000000000002</v>
      </c>
      <c r="W879" s="38">
        <f>(1000*CHOOSE(CONTROL!$C$42, 0.1146, 0.1146)*CHOOSE(CONTROL!$C$42, 121.5, 121.5)*CHOOSE(CONTROL!$C$42, 31, 31))/1000000</f>
        <v>0.43164089999999994</v>
      </c>
      <c r="X879" s="38">
        <f>(31*0.1790888*100000/1000000)+(31*0.2374*100000/1000000)</f>
        <v>1.2911152800000001</v>
      </c>
      <c r="Y879" s="38">
        <f>(1000*600*CHOOSE(CONTROL!$C$42, 1.0585, 1.0585)*CHOOSE(CONTROL!$C$42, 31, 31))/1000000</f>
        <v>19.688099999999999</v>
      </c>
      <c r="Z879" s="38"/>
      <c r="AA879" s="10"/>
      <c r="AB879" s="39"/>
      <c r="AC879" s="33">
        <f>(B879*122.58+C879*297.941+D879*89.177+E879*40.302+F879*40+G879*160+H879*0+I879*100+J879*300)/(122.58+297.941+89.177+40.302+0+40+160+100+300)</f>
        <v>30.751772321043479</v>
      </c>
      <c r="AD879" s="27">
        <f>(M879*'RAP TEMPLATE-GAS AVAILABILITY'!O878+N879*'RAP TEMPLATE-GAS AVAILABILITY'!P878+O879*'RAP TEMPLATE-GAS AVAILABILITY'!Q878+P879*'RAP TEMPLATE-GAS AVAILABILITY'!R878)/('RAP TEMPLATE-GAS AVAILABILITY'!O878+'RAP TEMPLATE-GAS AVAILABILITY'!P878+'RAP TEMPLATE-GAS AVAILABILITY'!Q878+'RAP TEMPLATE-GAS AVAILABILITY'!R878)</f>
        <v>30.374940287769778</v>
      </c>
    </row>
    <row r="880" spans="1:30" ht="15.75">
      <c r="A880" s="13">
        <v>68057</v>
      </c>
      <c r="B880" s="10">
        <f>CHOOSE(CONTROL!$C$42, 30.6597, 30.6597) * CHOOSE(CONTROL!$C$21, $C$9, 100%, $E$9)</f>
        <v>30.659700000000001</v>
      </c>
      <c r="C880" s="10">
        <f>CHOOSE(CONTROL!$C$42, 30.6642, 30.6642) * CHOOSE(CONTROL!$C$21, $C$9, 100%, $E$9)</f>
        <v>30.664200000000001</v>
      </c>
      <c r="D880" s="10">
        <f>CHOOSE(CONTROL!$C$42, 30.8244, 30.8244) * CHOOSE(CONTROL!$C$21, $C$9, 100%, $E$9)</f>
        <v>30.824400000000001</v>
      </c>
      <c r="E880" s="10">
        <f>CHOOSE(CONTROL!$C$42, 30.8562, 30.8562) * CHOOSE(CONTROL!$C$21, $C$9, 100%, $E$9)</f>
        <v>30.856200000000001</v>
      </c>
      <c r="F880" s="10">
        <f>CHOOSE(CONTROL!$C$42, 30.6058, 30.6058)*CHOOSE(CONTROL!$C$21, $C$9, 100%, $E$9)</f>
        <v>30.605799999999999</v>
      </c>
      <c r="G880" s="10">
        <f>CHOOSE(CONTROL!$C$42, 30.6216, 30.6216)*CHOOSE(CONTROL!$C$21, $C$9, 100%, $E$9)</f>
        <v>30.621600000000001</v>
      </c>
      <c r="H880" s="10">
        <f>CHOOSE(CONTROL!$C$42, 30.8457, 30.8457) * CHOOSE(CONTROL!$C$21, $C$9, 100%, $E$9)</f>
        <v>30.845700000000001</v>
      </c>
      <c r="I880" s="10">
        <f>CHOOSE(CONTROL!$C$42, 30.6399, 30.6399)* CHOOSE(CONTROL!$C$21, $C$9, 100%, $E$9)</f>
        <v>30.639900000000001</v>
      </c>
      <c r="J880" s="10">
        <f>CHOOSE(CONTROL!$C$42, 30.5984, 30.5984)* CHOOSE(CONTROL!$C$21, $C$9, 100%, $E$9)</f>
        <v>30.598400000000002</v>
      </c>
      <c r="K880" s="10">
        <f>CHOOSE(CONTROL!$C$42, 29.8439, 29.8439) * CHOOSE(CONTROL!$C$21, $C$9, 100%, $E$9)</f>
        <v>29.843900000000001</v>
      </c>
      <c r="L880" s="10">
        <f>CHOOSE(CONTROL!$C$42, 31.4327, 31.4327) * CHOOSE(CONTROL!$C$21, $C$9, 100%, $E$9)</f>
        <v>31.432700000000001</v>
      </c>
      <c r="M880" s="10">
        <f>CHOOSE(CONTROL!$C$42, 30.2046, 30.2046) * CHOOSE(CONTROL!$C$21, $C$9, 100%, $E$9)</f>
        <v>30.204599999999999</v>
      </c>
      <c r="N880" s="10">
        <f>CHOOSE(CONTROL!$C$42, 30.2202, 30.2202) * CHOOSE(CONTROL!$C$21, $C$9, 100%, $E$9)</f>
        <v>30.220199999999998</v>
      </c>
      <c r="O880" s="10">
        <f>CHOOSE(CONTROL!$C$42, 30.4484, 30.4484) * CHOOSE(CONTROL!$C$21, $C$9, 100%, $E$9)</f>
        <v>30.448399999999999</v>
      </c>
      <c r="P880" s="10">
        <f>CHOOSE(CONTROL!$C$42, 30.2455, 30.2455) * CHOOSE(CONTROL!$C$21, $C$9, 100%, $E$9)</f>
        <v>30.2455</v>
      </c>
      <c r="Q880" s="10">
        <f>CHOOSE(CONTROL!$C$42, 31.0437, 31.0437) * CHOOSE(CONTROL!$C$21, $C$9, 100%, $E$9)</f>
        <v>31.043700000000001</v>
      </c>
      <c r="R880" s="10">
        <f>CHOOSE(CONTROL!$C$42, 31.7083, 31.7083) * CHOOSE(CONTROL!$C$21, $C$9, 100%, $E$9)</f>
        <v>31.708300000000001</v>
      </c>
      <c r="S880" s="10">
        <f>CHOOSE(CONTROL!$C$42, 29.7037, 29.7037) * CHOOSE(CONTROL!$C$21, $C$9, 100%, $E$9)</f>
        <v>29.703700000000001</v>
      </c>
      <c r="T88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80" s="38">
        <f>(1000*CHOOSE(CONTROL!$C$42, 695, 695)*CHOOSE(CONTROL!$C$42, 0.5599, 0.5599)*CHOOSE(CONTROL!$C$42, 30, 30))/1000000</f>
        <v>11.673914999999997</v>
      </c>
      <c r="V880" s="38">
        <f>(1000*CHOOSE(CONTROL!$C$42, 500, 500)*CHOOSE(CONTROL!$C$42, 0.275, 0.275)*CHOOSE(CONTROL!$C$42, 30, 30))/1000000</f>
        <v>4.125</v>
      </c>
      <c r="W880" s="38">
        <f>(1000*CHOOSE(CONTROL!$C$42, 0.1146, 0.1146)*CHOOSE(CONTROL!$C$42, 121.5, 121.5)*CHOOSE(CONTROL!$C$42, 30, 30))/1000000</f>
        <v>0.417717</v>
      </c>
      <c r="X880" s="38">
        <f>(30*0.1790888*245000/1000000)+(30*0.2374*100000/1000000)</f>
        <v>2.0285026799999999</v>
      </c>
      <c r="Y880" s="38">
        <f>(1000*600*CHOOSE(CONTROL!$C$42, 1.0585, 1.0585)*CHOOSE(CONTROL!$C$42, 30, 30))/1000000</f>
        <v>19.053000000000001</v>
      </c>
      <c r="Z880" s="38"/>
      <c r="AA880" s="10"/>
      <c r="AB880" s="39"/>
      <c r="AC880" s="33">
        <f>(B880*141.293+C880*267.993+D880*115.016+E880*89.698+F880*40+G880*185+H880*0+I880*100+J880*300)/(141.293+267.993+115.016+89.698+0+40+185+100+300)</f>
        <v>30.666318450928173</v>
      </c>
      <c r="AD880" s="27">
        <f>(M880*'RAP TEMPLATE-GAS AVAILABILITY'!O879+N880*'RAP TEMPLATE-GAS AVAILABILITY'!P879+O880*'RAP TEMPLATE-GAS AVAILABILITY'!Q879+P880*'RAP TEMPLATE-GAS AVAILABILITY'!R879)/('RAP TEMPLATE-GAS AVAILABILITY'!O879+'RAP TEMPLATE-GAS AVAILABILITY'!P879+'RAP TEMPLATE-GAS AVAILABILITY'!Q879+'RAP TEMPLATE-GAS AVAILABILITY'!R879)</f>
        <v>30.321882014388489</v>
      </c>
    </row>
    <row r="881" spans="1:30" ht="15.75">
      <c r="A881" s="13">
        <v>68088</v>
      </c>
      <c r="B881" s="10">
        <f>CHOOSE(CONTROL!$C$42, 30.9323, 30.9323) * CHOOSE(CONTROL!$C$21, $C$9, 100%, $E$9)</f>
        <v>30.932300000000001</v>
      </c>
      <c r="C881" s="10">
        <f>CHOOSE(CONTROL!$C$42, 30.9403, 30.9403) * CHOOSE(CONTROL!$C$21, $C$9, 100%, $E$9)</f>
        <v>30.940300000000001</v>
      </c>
      <c r="D881" s="10">
        <f>CHOOSE(CONTROL!$C$42, 31.0973, 31.0973) * CHOOSE(CONTROL!$C$21, $C$9, 100%, $E$9)</f>
        <v>31.097300000000001</v>
      </c>
      <c r="E881" s="10">
        <f>CHOOSE(CONTROL!$C$42, 31.1285, 31.1285) * CHOOSE(CONTROL!$C$21, $C$9, 100%, $E$9)</f>
        <v>31.128499999999999</v>
      </c>
      <c r="F881" s="10">
        <f>CHOOSE(CONTROL!$C$42, 30.8764, 30.8764)*CHOOSE(CONTROL!$C$21, $C$9, 100%, $E$9)</f>
        <v>30.8764</v>
      </c>
      <c r="G881" s="10">
        <f>CHOOSE(CONTROL!$C$42, 30.8925, 30.8925)*CHOOSE(CONTROL!$C$21, $C$9, 100%, $E$9)</f>
        <v>30.892499999999998</v>
      </c>
      <c r="H881" s="10">
        <f>CHOOSE(CONTROL!$C$42, 31.1169, 31.1169) * CHOOSE(CONTROL!$C$21, $C$9, 100%, $E$9)</f>
        <v>31.116900000000001</v>
      </c>
      <c r="I881" s="10">
        <f>CHOOSE(CONTROL!$C$42, 30.9111, 30.9111)* CHOOSE(CONTROL!$C$21, $C$9, 100%, $E$9)</f>
        <v>30.911100000000001</v>
      </c>
      <c r="J881" s="10">
        <f>CHOOSE(CONTROL!$C$42, 30.869, 30.869)* CHOOSE(CONTROL!$C$21, $C$9, 100%, $E$9)</f>
        <v>30.869</v>
      </c>
      <c r="K881" s="10">
        <f>CHOOSE(CONTROL!$C$42, 30.1054, 30.1054) * CHOOSE(CONTROL!$C$21, $C$9, 100%, $E$9)</f>
        <v>30.105399999999999</v>
      </c>
      <c r="L881" s="10">
        <f>CHOOSE(CONTROL!$C$42, 31.7039, 31.7039) * CHOOSE(CONTROL!$C$21, $C$9, 100%, $E$9)</f>
        <v>31.703900000000001</v>
      </c>
      <c r="M881" s="10">
        <f>CHOOSE(CONTROL!$C$42, 30.4714, 30.4714) * CHOOSE(CONTROL!$C$21, $C$9, 100%, $E$9)</f>
        <v>30.471399999999999</v>
      </c>
      <c r="N881" s="10">
        <f>CHOOSE(CONTROL!$C$42, 30.4873, 30.4873) * CHOOSE(CONTROL!$C$21, $C$9, 100%, $E$9)</f>
        <v>30.487300000000001</v>
      </c>
      <c r="O881" s="10">
        <f>CHOOSE(CONTROL!$C$42, 30.7158, 30.7158) * CHOOSE(CONTROL!$C$21, $C$9, 100%, $E$9)</f>
        <v>30.715800000000002</v>
      </c>
      <c r="P881" s="10">
        <f>CHOOSE(CONTROL!$C$42, 30.5129, 30.5129) * CHOOSE(CONTROL!$C$21, $C$9, 100%, $E$9)</f>
        <v>30.512899999999998</v>
      </c>
      <c r="Q881" s="10">
        <f>CHOOSE(CONTROL!$C$42, 31.3111, 31.3111) * CHOOSE(CONTROL!$C$21, $C$9, 100%, $E$9)</f>
        <v>31.3111</v>
      </c>
      <c r="R881" s="10">
        <f>CHOOSE(CONTROL!$C$42, 31.9764, 31.9764) * CHOOSE(CONTROL!$C$21, $C$9, 100%, $E$9)</f>
        <v>31.976400000000002</v>
      </c>
      <c r="S881" s="10">
        <f>CHOOSE(CONTROL!$C$42, 29.9663, 29.9663) * CHOOSE(CONTROL!$C$21, $C$9, 100%, $E$9)</f>
        <v>29.9663</v>
      </c>
      <c r="T88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81" s="38">
        <f>(1000*CHOOSE(CONTROL!$C$42, 695, 695)*CHOOSE(CONTROL!$C$42, 0.5599, 0.5599)*CHOOSE(CONTROL!$C$42, 31, 31))/1000000</f>
        <v>12.063045499999998</v>
      </c>
      <c r="V881" s="38">
        <f>(1000*CHOOSE(CONTROL!$C$42, 500, 500)*CHOOSE(CONTROL!$C$42, 0.275, 0.275)*CHOOSE(CONTROL!$C$42, 31, 31))/1000000</f>
        <v>4.2625000000000002</v>
      </c>
      <c r="W881" s="38">
        <f>(1000*CHOOSE(CONTROL!$C$42, 0.1146, 0.1146)*CHOOSE(CONTROL!$C$42, 121.5, 121.5)*CHOOSE(CONTROL!$C$42, 31, 31))/1000000</f>
        <v>0.43164089999999994</v>
      </c>
      <c r="X881" s="38">
        <f>(31*0.1790888*245000/1000000)+(31*0.2374*100000/1000000)</f>
        <v>2.0961194359999999</v>
      </c>
      <c r="Y881" s="38">
        <f>(1000*600*CHOOSE(CONTROL!$C$42, 1.0585, 1.0585)*CHOOSE(CONTROL!$C$42, 31, 31))/1000000</f>
        <v>19.688099999999999</v>
      </c>
      <c r="Z881" s="38"/>
      <c r="AA881" s="10"/>
      <c r="AB881" s="39"/>
      <c r="AC881" s="33">
        <f>(B881*194.205+C881*267.466+D881*133.845+E881*53.484+F881*40+G881*185+H881*0+I881*100+J881*300)/(194.205+267.466+133.845+53.484+0+40+185+100+300)</f>
        <v>30.935446557142861</v>
      </c>
      <c r="AD881" s="27">
        <f>(M881*'RAP TEMPLATE-GAS AVAILABILITY'!O880+N881*'RAP TEMPLATE-GAS AVAILABILITY'!P880+O881*'RAP TEMPLATE-GAS AVAILABILITY'!Q880+P881*'RAP TEMPLATE-GAS AVAILABILITY'!R880)/('RAP TEMPLATE-GAS AVAILABILITY'!O880+'RAP TEMPLATE-GAS AVAILABILITY'!P880+'RAP TEMPLATE-GAS AVAILABILITY'!Q880+'RAP TEMPLATE-GAS AVAILABILITY'!R880)</f>
        <v>30.589057553956835</v>
      </c>
    </row>
    <row r="882" spans="1:30" ht="15.75">
      <c r="A882" s="13">
        <v>68118</v>
      </c>
      <c r="B882" s="10">
        <f>CHOOSE(CONTROL!$C$42, 31.8101, 31.8101) * CHOOSE(CONTROL!$C$21, $C$9, 100%, $E$9)</f>
        <v>31.810099999999998</v>
      </c>
      <c r="C882" s="10">
        <f>CHOOSE(CONTROL!$C$42, 31.8181, 31.8181) * CHOOSE(CONTROL!$C$21, $C$9, 100%, $E$9)</f>
        <v>31.818100000000001</v>
      </c>
      <c r="D882" s="10">
        <f>CHOOSE(CONTROL!$C$42, 31.9752, 31.9752) * CHOOSE(CONTROL!$C$21, $C$9, 100%, $E$9)</f>
        <v>31.975200000000001</v>
      </c>
      <c r="E882" s="10">
        <f>CHOOSE(CONTROL!$C$42, 32.0064, 32.0064) * CHOOSE(CONTROL!$C$21, $C$9, 100%, $E$9)</f>
        <v>32.006399999999999</v>
      </c>
      <c r="F882" s="10">
        <f>CHOOSE(CONTROL!$C$42, 31.7544, 31.7544)*CHOOSE(CONTROL!$C$21, $C$9, 100%, $E$9)</f>
        <v>31.7544</v>
      </c>
      <c r="G882" s="10">
        <f>CHOOSE(CONTROL!$C$42, 31.7706, 31.7706)*CHOOSE(CONTROL!$C$21, $C$9, 100%, $E$9)</f>
        <v>31.770600000000002</v>
      </c>
      <c r="H882" s="10">
        <f>CHOOSE(CONTROL!$C$42, 31.9947, 31.9947) * CHOOSE(CONTROL!$C$21, $C$9, 100%, $E$9)</f>
        <v>31.994700000000002</v>
      </c>
      <c r="I882" s="10">
        <f>CHOOSE(CONTROL!$C$42, 31.7889, 31.7889)* CHOOSE(CONTROL!$C$21, $C$9, 100%, $E$9)</f>
        <v>31.788900000000002</v>
      </c>
      <c r="J882" s="10">
        <f>CHOOSE(CONTROL!$C$42, 31.747, 31.747)* CHOOSE(CONTROL!$C$21, $C$9, 100%, $E$9)</f>
        <v>31.747</v>
      </c>
      <c r="K882" s="10">
        <f>CHOOSE(CONTROL!$C$42, 30.9562, 30.9562) * CHOOSE(CONTROL!$C$21, $C$9, 100%, $E$9)</f>
        <v>30.956199999999999</v>
      </c>
      <c r="L882" s="10">
        <f>CHOOSE(CONTROL!$C$42, 32.5817, 32.5817) * CHOOSE(CONTROL!$C$21, $C$9, 100%, $E$9)</f>
        <v>32.581699999999998</v>
      </c>
      <c r="M882" s="10">
        <f>CHOOSE(CONTROL!$C$42, 31.3371, 31.3371) * CHOOSE(CONTROL!$C$21, $C$9, 100%, $E$9)</f>
        <v>31.3371</v>
      </c>
      <c r="N882" s="10">
        <f>CHOOSE(CONTROL!$C$42, 31.3531, 31.3531) * CHOOSE(CONTROL!$C$21, $C$9, 100%, $E$9)</f>
        <v>31.353100000000001</v>
      </c>
      <c r="O882" s="10">
        <f>CHOOSE(CONTROL!$C$42, 31.5814, 31.5814) * CHOOSE(CONTROL!$C$21, $C$9, 100%, $E$9)</f>
        <v>31.581399999999999</v>
      </c>
      <c r="P882" s="10">
        <f>CHOOSE(CONTROL!$C$42, 31.3785, 31.3785) * CHOOSE(CONTROL!$C$21, $C$9, 100%, $E$9)</f>
        <v>31.378499999999999</v>
      </c>
      <c r="Q882" s="10">
        <f>CHOOSE(CONTROL!$C$42, 32.1767, 32.1767) * CHOOSE(CONTROL!$C$21, $C$9, 100%, $E$9)</f>
        <v>32.176699999999997</v>
      </c>
      <c r="R882" s="10">
        <f>CHOOSE(CONTROL!$C$42, 32.8441, 32.8441) * CHOOSE(CONTROL!$C$21, $C$9, 100%, $E$9)</f>
        <v>32.844099999999997</v>
      </c>
      <c r="S882" s="10">
        <f>CHOOSE(CONTROL!$C$42, 30.8163, 30.8163) * CHOOSE(CONTROL!$C$21, $C$9, 100%, $E$9)</f>
        <v>30.816299999999998</v>
      </c>
      <c r="T88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82" s="38">
        <f>(1000*CHOOSE(CONTROL!$C$42, 695, 695)*CHOOSE(CONTROL!$C$42, 0.5599, 0.5599)*CHOOSE(CONTROL!$C$42, 30, 30))/1000000</f>
        <v>11.673914999999997</v>
      </c>
      <c r="V882" s="38">
        <f>(1000*CHOOSE(CONTROL!$C$42, 500, 500)*CHOOSE(CONTROL!$C$42, 0.275, 0.275)*CHOOSE(CONTROL!$C$42, 30, 30))/1000000</f>
        <v>4.125</v>
      </c>
      <c r="W882" s="38">
        <f>(1000*CHOOSE(CONTROL!$C$42, 0.1146, 0.1146)*CHOOSE(CONTROL!$C$42, 121.5, 121.5)*CHOOSE(CONTROL!$C$42, 30, 30))/1000000</f>
        <v>0.417717</v>
      </c>
      <c r="X882" s="38">
        <f>(30*0.1790888*245000/1000000)+(30*0.2374*100000/1000000)</f>
        <v>2.0285026799999999</v>
      </c>
      <c r="Y882" s="38">
        <f>(1000*600*CHOOSE(CONTROL!$C$42, 1.0585, 1.0585)*CHOOSE(CONTROL!$C$42, 30, 30))/1000000</f>
        <v>19.053000000000001</v>
      </c>
      <c r="Z882" s="38"/>
      <c r="AA882" s="10"/>
      <c r="AB882" s="39"/>
      <c r="AC882" s="33">
        <f>(B882*194.205+C882*267.466+D882*133.845+E882*53.484+F882*40+G882*185+H882*0+I882*100+J882*300)/(194.205+267.466+133.845+53.484+0+40+185+100+300)</f>
        <v>31.813358199921513</v>
      </c>
      <c r="AD882" s="27">
        <f>(M882*'RAP TEMPLATE-GAS AVAILABILITY'!O881+N882*'RAP TEMPLATE-GAS AVAILABILITY'!P881+O882*'RAP TEMPLATE-GAS AVAILABILITY'!Q881+P882*'RAP TEMPLATE-GAS AVAILABILITY'!R881)/('RAP TEMPLATE-GAS AVAILABILITY'!O881+'RAP TEMPLATE-GAS AVAILABILITY'!P881+'RAP TEMPLATE-GAS AVAILABILITY'!Q881+'RAP TEMPLATE-GAS AVAILABILITY'!R881)</f>
        <v>31.454703597122304</v>
      </c>
    </row>
    <row r="883" spans="1:30" ht="15.75">
      <c r="A883" s="13">
        <v>68149</v>
      </c>
      <c r="B883" s="10">
        <f>CHOOSE(CONTROL!$C$42, 31.1996, 31.1996) * CHOOSE(CONTROL!$C$21, $C$9, 100%, $E$9)</f>
        <v>31.1996</v>
      </c>
      <c r="C883" s="10">
        <f>CHOOSE(CONTROL!$C$42, 31.2076, 31.2076) * CHOOSE(CONTROL!$C$21, $C$9, 100%, $E$9)</f>
        <v>31.207599999999999</v>
      </c>
      <c r="D883" s="10">
        <f>CHOOSE(CONTROL!$C$42, 31.3646, 31.3646) * CHOOSE(CONTROL!$C$21, $C$9, 100%, $E$9)</f>
        <v>31.364599999999999</v>
      </c>
      <c r="E883" s="10">
        <f>CHOOSE(CONTROL!$C$42, 31.3958, 31.3958) * CHOOSE(CONTROL!$C$21, $C$9, 100%, $E$9)</f>
        <v>31.395800000000001</v>
      </c>
      <c r="F883" s="10">
        <f>CHOOSE(CONTROL!$C$42, 31.1442, 31.1442)*CHOOSE(CONTROL!$C$21, $C$9, 100%, $E$9)</f>
        <v>31.144200000000001</v>
      </c>
      <c r="G883" s="10">
        <f>CHOOSE(CONTROL!$C$42, 31.1605, 31.1605)*CHOOSE(CONTROL!$C$21, $C$9, 100%, $E$9)</f>
        <v>31.160499999999999</v>
      </c>
      <c r="H883" s="10">
        <f>CHOOSE(CONTROL!$C$42, 31.3842, 31.3842) * CHOOSE(CONTROL!$C$21, $C$9, 100%, $E$9)</f>
        <v>31.3842</v>
      </c>
      <c r="I883" s="10">
        <f>CHOOSE(CONTROL!$C$42, 31.1784, 31.1784)* CHOOSE(CONTROL!$C$21, $C$9, 100%, $E$9)</f>
        <v>31.1784</v>
      </c>
      <c r="J883" s="10">
        <f>CHOOSE(CONTROL!$C$42, 31.1368, 31.1368)* CHOOSE(CONTROL!$C$21, $C$9, 100%, $E$9)</f>
        <v>31.136800000000001</v>
      </c>
      <c r="K883" s="10">
        <f>CHOOSE(CONTROL!$C$42, 30.3654, 30.3654) * CHOOSE(CONTROL!$C$21, $C$9, 100%, $E$9)</f>
        <v>30.365400000000001</v>
      </c>
      <c r="L883" s="10">
        <f>CHOOSE(CONTROL!$C$42, 31.9712, 31.9712) * CHOOSE(CONTROL!$C$21, $C$9, 100%, $E$9)</f>
        <v>31.9712</v>
      </c>
      <c r="M883" s="10">
        <f>CHOOSE(CONTROL!$C$42, 30.7355, 30.7355) * CHOOSE(CONTROL!$C$21, $C$9, 100%, $E$9)</f>
        <v>30.735499999999998</v>
      </c>
      <c r="N883" s="10">
        <f>CHOOSE(CONTROL!$C$42, 30.7515, 30.7515) * CHOOSE(CONTROL!$C$21, $C$9, 100%, $E$9)</f>
        <v>30.7515</v>
      </c>
      <c r="O883" s="10">
        <f>CHOOSE(CONTROL!$C$42, 30.9794, 30.9794) * CHOOSE(CONTROL!$C$21, $C$9, 100%, $E$9)</f>
        <v>30.979399999999998</v>
      </c>
      <c r="P883" s="10">
        <f>CHOOSE(CONTROL!$C$42, 30.7765, 30.7765) * CHOOSE(CONTROL!$C$21, $C$9, 100%, $E$9)</f>
        <v>30.776499999999999</v>
      </c>
      <c r="Q883" s="10">
        <f>CHOOSE(CONTROL!$C$42, 31.5747, 31.5747) * CHOOSE(CONTROL!$C$21, $C$9, 100%, $E$9)</f>
        <v>31.5747</v>
      </c>
      <c r="R883" s="10">
        <f>CHOOSE(CONTROL!$C$42, 32.2406, 32.2406) * CHOOSE(CONTROL!$C$21, $C$9, 100%, $E$9)</f>
        <v>32.240600000000001</v>
      </c>
      <c r="S883" s="10">
        <f>CHOOSE(CONTROL!$C$42, 30.2251, 30.2251) * CHOOSE(CONTROL!$C$21, $C$9, 100%, $E$9)</f>
        <v>30.225100000000001</v>
      </c>
      <c r="T88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83" s="38">
        <f>(1000*CHOOSE(CONTROL!$C$42, 695, 695)*CHOOSE(CONTROL!$C$42, 0.5599, 0.5599)*CHOOSE(CONTROL!$C$42, 31, 31))/1000000</f>
        <v>12.063045499999998</v>
      </c>
      <c r="V883" s="38">
        <f>(1000*CHOOSE(CONTROL!$C$42, 500, 500)*CHOOSE(CONTROL!$C$42, 0.275, 0.275)*CHOOSE(CONTROL!$C$42, 31, 31))/1000000</f>
        <v>4.2625000000000002</v>
      </c>
      <c r="W883" s="38">
        <f>(1000*CHOOSE(CONTROL!$C$42, 0.1146, 0.1146)*CHOOSE(CONTROL!$C$42, 121.5, 121.5)*CHOOSE(CONTROL!$C$42, 31, 31))/1000000</f>
        <v>0.43164089999999994</v>
      </c>
      <c r="X883" s="38">
        <f>(31*0.1790888*245000/1000000)+(31*0.2374*100000/1000000)</f>
        <v>2.0961194359999999</v>
      </c>
      <c r="Y883" s="38">
        <f>(1000*600*CHOOSE(CONTROL!$C$42, 1.0585, 1.0585)*CHOOSE(CONTROL!$C$42, 31, 31))/1000000</f>
        <v>19.688099999999999</v>
      </c>
      <c r="Z883" s="38"/>
      <c r="AA883" s="10"/>
      <c r="AB883" s="39"/>
      <c r="AC883" s="33">
        <f>(B883*194.205+C883*267.466+D883*133.845+E883*53.484+F883*40+G883*185+H883*0+I883*100+J883*300)/(194.205+267.466+133.845+53.484+0+40+185+100+300)</f>
        <v>31.202981643485089</v>
      </c>
      <c r="AD883" s="27">
        <f>(M883*'RAP TEMPLATE-GAS AVAILABILITY'!O882+N883*'RAP TEMPLATE-GAS AVAILABILITY'!P882+O883*'RAP TEMPLATE-GAS AVAILABILITY'!Q882+P883*'RAP TEMPLATE-GAS AVAILABILITY'!R882)/('RAP TEMPLATE-GAS AVAILABILITY'!O882+'RAP TEMPLATE-GAS AVAILABILITY'!P882+'RAP TEMPLATE-GAS AVAILABILITY'!Q882+'RAP TEMPLATE-GAS AVAILABILITY'!R882)</f>
        <v>30.852864748201441</v>
      </c>
    </row>
    <row r="884" spans="1:30" ht="15.75">
      <c r="A884" s="13">
        <v>68180</v>
      </c>
      <c r="B884" s="10">
        <f>CHOOSE(CONTROL!$C$42, 29.6578, 29.6578) * CHOOSE(CONTROL!$C$21, $C$9, 100%, $E$9)</f>
        <v>29.657800000000002</v>
      </c>
      <c r="C884" s="10">
        <f>CHOOSE(CONTROL!$C$42, 29.6658, 29.6658) * CHOOSE(CONTROL!$C$21, $C$9, 100%, $E$9)</f>
        <v>29.665800000000001</v>
      </c>
      <c r="D884" s="10">
        <f>CHOOSE(CONTROL!$C$42, 29.8228, 29.8228) * CHOOSE(CONTROL!$C$21, $C$9, 100%, $E$9)</f>
        <v>29.822800000000001</v>
      </c>
      <c r="E884" s="10">
        <f>CHOOSE(CONTROL!$C$42, 29.8541, 29.8541) * CHOOSE(CONTROL!$C$21, $C$9, 100%, $E$9)</f>
        <v>29.854099999999999</v>
      </c>
      <c r="F884" s="10">
        <f>CHOOSE(CONTROL!$C$42, 29.6024, 29.6024)*CHOOSE(CONTROL!$C$21, $C$9, 100%, $E$9)</f>
        <v>29.602399999999999</v>
      </c>
      <c r="G884" s="10">
        <f>CHOOSE(CONTROL!$C$42, 29.6186, 29.6186)*CHOOSE(CONTROL!$C$21, $C$9, 100%, $E$9)</f>
        <v>29.618600000000001</v>
      </c>
      <c r="H884" s="10">
        <f>CHOOSE(CONTROL!$C$42, 29.8424, 29.8424) * CHOOSE(CONTROL!$C$21, $C$9, 100%, $E$9)</f>
        <v>29.842400000000001</v>
      </c>
      <c r="I884" s="10">
        <f>CHOOSE(CONTROL!$C$42, 29.6366, 29.6366)* CHOOSE(CONTROL!$C$21, $C$9, 100%, $E$9)</f>
        <v>29.636600000000001</v>
      </c>
      <c r="J884" s="10">
        <f>CHOOSE(CONTROL!$C$42, 29.595, 29.595)* CHOOSE(CONTROL!$C$21, $C$9, 100%, $E$9)</f>
        <v>29.594999999999999</v>
      </c>
      <c r="K884" s="10">
        <f>CHOOSE(CONTROL!$C$42, 28.8716, 28.8716) * CHOOSE(CONTROL!$C$21, $C$9, 100%, $E$9)</f>
        <v>28.871600000000001</v>
      </c>
      <c r="L884" s="10">
        <f>CHOOSE(CONTROL!$C$42, 30.4294, 30.4294) * CHOOSE(CONTROL!$C$21, $C$9, 100%, $E$9)</f>
        <v>30.429400000000001</v>
      </c>
      <c r="M884" s="10">
        <f>CHOOSE(CONTROL!$C$42, 29.2151, 29.2151) * CHOOSE(CONTROL!$C$21, $C$9, 100%, $E$9)</f>
        <v>29.2151</v>
      </c>
      <c r="N884" s="10">
        <f>CHOOSE(CONTROL!$C$42, 29.2311, 29.2311) * CHOOSE(CONTROL!$C$21, $C$9, 100%, $E$9)</f>
        <v>29.231100000000001</v>
      </c>
      <c r="O884" s="10">
        <f>CHOOSE(CONTROL!$C$42, 29.4591, 29.4591) * CHOOSE(CONTROL!$C$21, $C$9, 100%, $E$9)</f>
        <v>29.459099999999999</v>
      </c>
      <c r="P884" s="10">
        <f>CHOOSE(CONTROL!$C$42, 29.2562, 29.2562) * CHOOSE(CONTROL!$C$21, $C$9, 100%, $E$9)</f>
        <v>29.2562</v>
      </c>
      <c r="Q884" s="10">
        <f>CHOOSE(CONTROL!$C$42, 30.0544, 30.0544) * CHOOSE(CONTROL!$C$21, $C$9, 100%, $E$9)</f>
        <v>30.054400000000001</v>
      </c>
      <c r="R884" s="10">
        <f>CHOOSE(CONTROL!$C$42, 30.7165, 30.7165) * CHOOSE(CONTROL!$C$21, $C$9, 100%, $E$9)</f>
        <v>30.7165</v>
      </c>
      <c r="S884" s="10">
        <f>CHOOSE(CONTROL!$C$42, 28.7322, 28.7322) * CHOOSE(CONTROL!$C$21, $C$9, 100%, $E$9)</f>
        <v>28.732199999999999</v>
      </c>
      <c r="T88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84" s="38">
        <f>(1000*CHOOSE(CONTROL!$C$42, 695, 695)*CHOOSE(CONTROL!$C$42, 0.5599, 0.5599)*CHOOSE(CONTROL!$C$42, 31, 31))/1000000</f>
        <v>12.063045499999998</v>
      </c>
      <c r="V884" s="38">
        <f>(1000*CHOOSE(CONTROL!$C$42, 500, 500)*CHOOSE(CONTROL!$C$42, 0.275, 0.275)*CHOOSE(CONTROL!$C$42, 31, 31))/1000000</f>
        <v>4.2625000000000002</v>
      </c>
      <c r="W884" s="38">
        <f>(1000*CHOOSE(CONTROL!$C$42, 0.1146, 0.1146)*CHOOSE(CONTROL!$C$42, 121.5, 121.5)*CHOOSE(CONTROL!$C$42, 31, 31))/1000000</f>
        <v>0.43164089999999994</v>
      </c>
      <c r="X884" s="38">
        <f>(31*0.1790888*245000/1000000)+(31*0.2374*100000/1000000)</f>
        <v>2.0961194359999999</v>
      </c>
      <c r="Y884" s="38">
        <f>(1000*600*CHOOSE(CONTROL!$C$42, 1.0585, 1.0585)*CHOOSE(CONTROL!$C$42, 31, 31))/1000000</f>
        <v>19.688099999999999</v>
      </c>
      <c r="Z884" s="38"/>
      <c r="AA884" s="10"/>
      <c r="AB884" s="39"/>
      <c r="AC884" s="33">
        <f>(B884*194.205+C884*267.466+D884*133.845+E884*53.484+F884*40+G884*185+H884*0+I884*100+J884*300)/(194.205+267.466+133.845+53.484+0+40+185+100+300)</f>
        <v>29.661171320408162</v>
      </c>
      <c r="AD884" s="27">
        <f>(M884*'RAP TEMPLATE-GAS AVAILABILITY'!O883+N884*'RAP TEMPLATE-GAS AVAILABILITY'!P883+O884*'RAP TEMPLATE-GAS AVAILABILITY'!Q883+P884*'RAP TEMPLATE-GAS AVAILABILITY'!R883)/('RAP TEMPLATE-GAS AVAILABILITY'!O883+'RAP TEMPLATE-GAS AVAILABILITY'!P883+'RAP TEMPLATE-GAS AVAILABILITY'!Q883+'RAP TEMPLATE-GAS AVAILABILITY'!R883)</f>
        <v>29.33252446043165</v>
      </c>
    </row>
    <row r="885" spans="1:30" ht="15.75">
      <c r="A885" s="13">
        <v>68210</v>
      </c>
      <c r="B885" s="10">
        <f>CHOOSE(CONTROL!$C$42, 27.774, 27.774) * CHOOSE(CONTROL!$C$21, $C$9, 100%, $E$9)</f>
        <v>27.774000000000001</v>
      </c>
      <c r="C885" s="10">
        <f>CHOOSE(CONTROL!$C$42, 27.782, 27.782) * CHOOSE(CONTROL!$C$21, $C$9, 100%, $E$9)</f>
        <v>27.782</v>
      </c>
      <c r="D885" s="10">
        <f>CHOOSE(CONTROL!$C$42, 27.9391, 27.9391) * CHOOSE(CONTROL!$C$21, $C$9, 100%, $E$9)</f>
        <v>27.9391</v>
      </c>
      <c r="E885" s="10">
        <f>CHOOSE(CONTROL!$C$42, 27.9703, 27.9703) * CHOOSE(CONTROL!$C$21, $C$9, 100%, $E$9)</f>
        <v>27.970300000000002</v>
      </c>
      <c r="F885" s="10">
        <f>CHOOSE(CONTROL!$C$42, 27.7184, 27.7184)*CHOOSE(CONTROL!$C$21, $C$9, 100%, $E$9)</f>
        <v>27.718399999999999</v>
      </c>
      <c r="G885" s="10">
        <f>CHOOSE(CONTROL!$C$42, 27.7346, 27.7346)*CHOOSE(CONTROL!$C$21, $C$9, 100%, $E$9)</f>
        <v>27.7346</v>
      </c>
      <c r="H885" s="10">
        <f>CHOOSE(CONTROL!$C$42, 27.9586, 27.9586) * CHOOSE(CONTROL!$C$21, $C$9, 100%, $E$9)</f>
        <v>27.958600000000001</v>
      </c>
      <c r="I885" s="10">
        <f>CHOOSE(CONTROL!$C$42, 27.7528, 27.7528)* CHOOSE(CONTROL!$C$21, $C$9, 100%, $E$9)</f>
        <v>27.752800000000001</v>
      </c>
      <c r="J885" s="10">
        <f>CHOOSE(CONTROL!$C$42, 27.711, 27.711)* CHOOSE(CONTROL!$C$21, $C$9, 100%, $E$9)</f>
        <v>27.710999999999999</v>
      </c>
      <c r="K885" s="10">
        <f>CHOOSE(CONTROL!$C$42, 27.0462, 27.0462) * CHOOSE(CONTROL!$C$21, $C$9, 100%, $E$9)</f>
        <v>27.046199999999999</v>
      </c>
      <c r="L885" s="10">
        <f>CHOOSE(CONTROL!$C$42, 28.5456, 28.5456) * CHOOSE(CONTROL!$C$21, $C$9, 100%, $E$9)</f>
        <v>28.5456</v>
      </c>
      <c r="M885" s="10">
        <f>CHOOSE(CONTROL!$C$42, 27.3574, 27.3574) * CHOOSE(CONTROL!$C$21, $C$9, 100%, $E$9)</f>
        <v>27.357399999999998</v>
      </c>
      <c r="N885" s="10">
        <f>CHOOSE(CONTROL!$C$42, 27.3734, 27.3734) * CHOOSE(CONTROL!$C$21, $C$9, 100%, $E$9)</f>
        <v>27.3734</v>
      </c>
      <c r="O885" s="10">
        <f>CHOOSE(CONTROL!$C$42, 27.6016, 27.6016) * CHOOSE(CONTROL!$C$21, $C$9, 100%, $E$9)</f>
        <v>27.601600000000001</v>
      </c>
      <c r="P885" s="10">
        <f>CHOOSE(CONTROL!$C$42, 27.3987, 27.3987) * CHOOSE(CONTROL!$C$21, $C$9, 100%, $E$9)</f>
        <v>27.398700000000002</v>
      </c>
      <c r="Q885" s="10">
        <f>CHOOSE(CONTROL!$C$42, 28.1969, 28.1969) * CHOOSE(CONTROL!$C$21, $C$9, 100%, $E$9)</f>
        <v>28.196899999999999</v>
      </c>
      <c r="R885" s="10">
        <f>CHOOSE(CONTROL!$C$42, 28.8544, 28.8544) * CHOOSE(CONTROL!$C$21, $C$9, 100%, $E$9)</f>
        <v>28.854399999999998</v>
      </c>
      <c r="S885" s="10">
        <f>CHOOSE(CONTROL!$C$42, 26.9082, 26.9082) * CHOOSE(CONTROL!$C$21, $C$9, 100%, $E$9)</f>
        <v>26.908200000000001</v>
      </c>
      <c r="T88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85" s="38">
        <f>(1000*CHOOSE(CONTROL!$C$42, 695, 695)*CHOOSE(CONTROL!$C$42, 0.5599, 0.5599)*CHOOSE(CONTROL!$C$42, 30, 30))/1000000</f>
        <v>11.673914999999997</v>
      </c>
      <c r="V885" s="38">
        <f>(1000*CHOOSE(CONTROL!$C$42, 500, 500)*CHOOSE(CONTROL!$C$42, 0.275, 0.275)*CHOOSE(CONTROL!$C$42, 30, 30))/1000000</f>
        <v>4.125</v>
      </c>
      <c r="W885" s="38">
        <f>(1000*CHOOSE(CONTROL!$C$42, 0.1146, 0.1146)*CHOOSE(CONTROL!$C$42, 121.5, 121.5)*CHOOSE(CONTROL!$C$42, 30, 30))/1000000</f>
        <v>0.417717</v>
      </c>
      <c r="X885" s="38">
        <f>(30*0.1790888*245000/1000000)+(30*0.2374*100000/1000000)</f>
        <v>2.0285026799999999</v>
      </c>
      <c r="Y885" s="38">
        <f>(1000*600*CHOOSE(CONTROL!$C$42, 1.0585, 1.0585)*CHOOSE(CONTROL!$C$42, 30, 30))/1000000</f>
        <v>19.053000000000001</v>
      </c>
      <c r="Z885" s="38"/>
      <c r="AA885" s="10"/>
      <c r="AB885" s="39"/>
      <c r="AC885" s="33">
        <f>(B885*194.205+C885*267.466+D885*133.845+E885*53.484+F885*40+G885*185+H885*0+I885*100+J885*300)/(194.205+267.466+133.845+53.484+0+40+185+100+300)</f>
        <v>27.777299408712722</v>
      </c>
      <c r="AD885" s="27">
        <f>(M885*'RAP TEMPLATE-GAS AVAILABILITY'!O884+N885*'RAP TEMPLATE-GAS AVAILABILITY'!P884+O885*'RAP TEMPLATE-GAS AVAILABILITY'!Q884+P885*'RAP TEMPLATE-GAS AVAILABILITY'!R884)/('RAP TEMPLATE-GAS AVAILABILITY'!O884+'RAP TEMPLATE-GAS AVAILABILITY'!P884+'RAP TEMPLATE-GAS AVAILABILITY'!Q884+'RAP TEMPLATE-GAS AVAILABILITY'!R884)</f>
        <v>27.474943884892085</v>
      </c>
    </row>
    <row r="886" spans="1:30" ht="15.75">
      <c r="A886" s="13">
        <v>68241</v>
      </c>
      <c r="B886" s="10">
        <f>CHOOSE(CONTROL!$C$42, 27.2076, 27.2076) * CHOOSE(CONTROL!$C$21, $C$9, 100%, $E$9)</f>
        <v>27.207599999999999</v>
      </c>
      <c r="C886" s="10">
        <f>CHOOSE(CONTROL!$C$42, 27.213, 27.213) * CHOOSE(CONTROL!$C$21, $C$9, 100%, $E$9)</f>
        <v>27.213000000000001</v>
      </c>
      <c r="D886" s="10">
        <f>CHOOSE(CONTROL!$C$42, 27.3749, 27.3749) * CHOOSE(CONTROL!$C$21, $C$9, 100%, $E$9)</f>
        <v>27.3749</v>
      </c>
      <c r="E886" s="10">
        <f>CHOOSE(CONTROL!$C$42, 27.4038, 27.4038) * CHOOSE(CONTROL!$C$21, $C$9, 100%, $E$9)</f>
        <v>27.4038</v>
      </c>
      <c r="F886" s="10">
        <f>CHOOSE(CONTROL!$C$42, 27.154, 27.154)*CHOOSE(CONTROL!$C$21, $C$9, 100%, $E$9)</f>
        <v>27.154</v>
      </c>
      <c r="G886" s="10">
        <f>CHOOSE(CONTROL!$C$42, 27.1698, 27.1698)*CHOOSE(CONTROL!$C$21, $C$9, 100%, $E$9)</f>
        <v>27.169799999999999</v>
      </c>
      <c r="H886" s="10">
        <f>CHOOSE(CONTROL!$C$42, 27.3939, 27.3939) * CHOOSE(CONTROL!$C$21, $C$9, 100%, $E$9)</f>
        <v>27.393899999999999</v>
      </c>
      <c r="I886" s="10">
        <f>CHOOSE(CONTROL!$C$42, 27.1881, 27.1881)* CHOOSE(CONTROL!$C$21, $C$9, 100%, $E$9)</f>
        <v>27.188099999999999</v>
      </c>
      <c r="J886" s="10">
        <f>CHOOSE(CONTROL!$C$42, 27.1466, 27.1466)* CHOOSE(CONTROL!$C$21, $C$9, 100%, $E$9)</f>
        <v>27.146599999999999</v>
      </c>
      <c r="K886" s="10">
        <f>CHOOSE(CONTROL!$C$42, 26.4998, 26.4998) * CHOOSE(CONTROL!$C$21, $C$9, 100%, $E$9)</f>
        <v>26.4998</v>
      </c>
      <c r="L886" s="10">
        <f>CHOOSE(CONTROL!$C$42, 27.9809, 27.9809) * CHOOSE(CONTROL!$C$21, $C$9, 100%, $E$9)</f>
        <v>27.980899999999998</v>
      </c>
      <c r="M886" s="10">
        <f>CHOOSE(CONTROL!$C$42, 26.8009, 26.8009) * CHOOSE(CONTROL!$C$21, $C$9, 100%, $E$9)</f>
        <v>26.800899999999999</v>
      </c>
      <c r="N886" s="10">
        <f>CHOOSE(CONTROL!$C$42, 26.8165, 26.8165) * CHOOSE(CONTROL!$C$21, $C$9, 100%, $E$9)</f>
        <v>26.816500000000001</v>
      </c>
      <c r="O886" s="10">
        <f>CHOOSE(CONTROL!$C$42, 27.0448, 27.0448) * CHOOSE(CONTROL!$C$21, $C$9, 100%, $E$9)</f>
        <v>27.044799999999999</v>
      </c>
      <c r="P886" s="10">
        <f>CHOOSE(CONTROL!$C$42, 26.8419, 26.8419) * CHOOSE(CONTROL!$C$21, $C$9, 100%, $E$9)</f>
        <v>26.841899999999999</v>
      </c>
      <c r="Q886" s="10">
        <f>CHOOSE(CONTROL!$C$42, 27.6401, 27.6401) * CHOOSE(CONTROL!$C$21, $C$9, 100%, $E$9)</f>
        <v>27.6401</v>
      </c>
      <c r="R886" s="10">
        <f>CHOOSE(CONTROL!$C$42, 28.2962, 28.2962) * CHOOSE(CONTROL!$C$21, $C$9, 100%, $E$9)</f>
        <v>28.296199999999999</v>
      </c>
      <c r="S886" s="10">
        <f>CHOOSE(CONTROL!$C$42, 26.3614, 26.3614) * CHOOSE(CONTROL!$C$21, $C$9, 100%, $E$9)</f>
        <v>26.3614</v>
      </c>
      <c r="T88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86" s="38">
        <f>(1000*CHOOSE(CONTROL!$C$42, 695, 695)*CHOOSE(CONTROL!$C$42, 0.5599, 0.5599)*CHOOSE(CONTROL!$C$42, 31, 31))/1000000</f>
        <v>12.063045499999998</v>
      </c>
      <c r="V886" s="38">
        <f>(1000*CHOOSE(CONTROL!$C$42, 500, 500)*CHOOSE(CONTROL!$C$42, 0.275, 0.275)*CHOOSE(CONTROL!$C$42, 31, 31))/1000000</f>
        <v>4.2625000000000002</v>
      </c>
      <c r="W886" s="38">
        <f>(1000*CHOOSE(CONTROL!$C$42, 0.1146, 0.1146)*CHOOSE(CONTROL!$C$42, 121.5, 121.5)*CHOOSE(CONTROL!$C$42, 31, 31))/1000000</f>
        <v>0.43164089999999994</v>
      </c>
      <c r="X886" s="38">
        <f>(31*0.1790888*245000/1000000)+(31*0.2374*100000/1000000)</f>
        <v>2.0961194359999999</v>
      </c>
      <c r="Y886" s="38">
        <f>(1000*600*CHOOSE(CONTROL!$C$42, 1.0585, 1.0585)*CHOOSE(CONTROL!$C$42, 31, 31))/1000000</f>
        <v>19.688099999999999</v>
      </c>
      <c r="Z886" s="38"/>
      <c r="AA886" s="10"/>
      <c r="AB886" s="39"/>
      <c r="AC886" s="33">
        <f>(B886*131.881+C886*277.167+D886*79.08+E886*125.872+F886*40+G886*185+H886*0+I886*100+J886*300)/(131.881+277.167+79.08+125.872+0+40+185+100+300)</f>
        <v>27.215699977562551</v>
      </c>
      <c r="AD886" s="27">
        <f>(M886*'RAP TEMPLATE-GAS AVAILABILITY'!O885+N886*'RAP TEMPLATE-GAS AVAILABILITY'!P885+O886*'RAP TEMPLATE-GAS AVAILABILITY'!Q885+P886*'RAP TEMPLATE-GAS AVAILABILITY'!R885)/('RAP TEMPLATE-GAS AVAILABILITY'!O885+'RAP TEMPLATE-GAS AVAILABILITY'!P885+'RAP TEMPLATE-GAS AVAILABILITY'!Q885+'RAP TEMPLATE-GAS AVAILABILITY'!R885)</f>
        <v>26.9182417266187</v>
      </c>
    </row>
    <row r="887" spans="1:30" ht="15.75">
      <c r="A887" s="13">
        <v>68271</v>
      </c>
      <c r="B887" s="10">
        <f>CHOOSE(CONTROL!$C$42, 27.9244, 27.9244) * CHOOSE(CONTROL!$C$21, $C$9, 100%, $E$9)</f>
        <v>27.924399999999999</v>
      </c>
      <c r="C887" s="10">
        <f>CHOOSE(CONTROL!$C$42, 27.9295, 27.9295) * CHOOSE(CONTROL!$C$21, $C$9, 100%, $E$9)</f>
        <v>27.929500000000001</v>
      </c>
      <c r="D887" s="10">
        <f>CHOOSE(CONTROL!$C$42, 27.9542, 27.9542) * CHOOSE(CONTROL!$C$21, $C$9, 100%, $E$9)</f>
        <v>27.9542</v>
      </c>
      <c r="E887" s="10">
        <f>CHOOSE(CONTROL!$C$42, 27.988, 27.988) * CHOOSE(CONTROL!$C$21, $C$9, 100%, $E$9)</f>
        <v>27.988</v>
      </c>
      <c r="F887" s="10">
        <f>CHOOSE(CONTROL!$C$42, 27.8927, 27.8927)*CHOOSE(CONTROL!$C$21, $C$9, 100%, $E$9)</f>
        <v>27.892700000000001</v>
      </c>
      <c r="G887" s="10">
        <f>CHOOSE(CONTROL!$C$42, 27.9087, 27.9087)*CHOOSE(CONTROL!$C$21, $C$9, 100%, $E$9)</f>
        <v>27.9087</v>
      </c>
      <c r="H887" s="10">
        <f>CHOOSE(CONTROL!$C$42, 27.9769, 27.9769) * CHOOSE(CONTROL!$C$21, $C$9, 100%, $E$9)</f>
        <v>27.976900000000001</v>
      </c>
      <c r="I887" s="10">
        <f>CHOOSE(CONTROL!$C$42, 27.9394, 27.9394)* CHOOSE(CONTROL!$C$21, $C$9, 100%, $E$9)</f>
        <v>27.939399999999999</v>
      </c>
      <c r="J887" s="10">
        <f>CHOOSE(CONTROL!$C$42, 27.8853, 27.8853)* CHOOSE(CONTROL!$C$21, $C$9, 100%, $E$9)</f>
        <v>27.885300000000001</v>
      </c>
      <c r="K887" s="10">
        <f>CHOOSE(CONTROL!$C$42, 27.2298, 27.2298) * CHOOSE(CONTROL!$C$21, $C$9, 100%, $E$9)</f>
        <v>27.229800000000001</v>
      </c>
      <c r="L887" s="10">
        <f>CHOOSE(CONTROL!$C$42, 28.5639, 28.5639) * CHOOSE(CONTROL!$C$21, $C$9, 100%, $E$9)</f>
        <v>28.5639</v>
      </c>
      <c r="M887" s="10">
        <f>CHOOSE(CONTROL!$C$42, 27.5293, 27.5293) * CHOOSE(CONTROL!$C$21, $C$9, 100%, $E$9)</f>
        <v>27.529299999999999</v>
      </c>
      <c r="N887" s="10">
        <f>CHOOSE(CONTROL!$C$42, 27.5451, 27.5451) * CHOOSE(CONTROL!$C$21, $C$9, 100%, $E$9)</f>
        <v>27.545100000000001</v>
      </c>
      <c r="O887" s="10">
        <f>CHOOSE(CONTROL!$C$42, 27.6196, 27.6196) * CHOOSE(CONTROL!$C$21, $C$9, 100%, $E$9)</f>
        <v>27.619599999999998</v>
      </c>
      <c r="P887" s="10">
        <f>CHOOSE(CONTROL!$C$42, 27.5827, 27.5827) * CHOOSE(CONTROL!$C$21, $C$9, 100%, $E$9)</f>
        <v>27.582699999999999</v>
      </c>
      <c r="Q887" s="10">
        <f>CHOOSE(CONTROL!$C$42, 28.2149, 28.2149) * CHOOSE(CONTROL!$C$21, $C$9, 100%, $E$9)</f>
        <v>28.2149</v>
      </c>
      <c r="R887" s="10">
        <f>CHOOSE(CONTROL!$C$42, 28.8724, 28.8724) * CHOOSE(CONTROL!$C$21, $C$9, 100%, $E$9)</f>
        <v>28.872399999999999</v>
      </c>
      <c r="S887" s="10">
        <f>CHOOSE(CONTROL!$C$42, 27.0559, 27.0559) * CHOOSE(CONTROL!$C$21, $C$9, 100%, $E$9)</f>
        <v>27.055900000000001</v>
      </c>
      <c r="T88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87" s="38">
        <f>(1000*CHOOSE(CONTROL!$C$42, 695, 695)*CHOOSE(CONTROL!$C$42, 0.5599, 0.5599)*CHOOSE(CONTROL!$C$42, 30, 30))/1000000</f>
        <v>11.673914999999997</v>
      </c>
      <c r="V887" s="38">
        <f>(1000*CHOOSE(CONTROL!$C$42, 500, 500)*CHOOSE(CONTROL!$C$42, 0.275, 0.275)*CHOOSE(CONTROL!$C$42, 30, 30))/1000000</f>
        <v>4.125</v>
      </c>
      <c r="W887" s="38">
        <f>(1000*CHOOSE(CONTROL!$C$42, 0.1146, 0.1146)*CHOOSE(CONTROL!$C$42, 121.5, 121.5)*CHOOSE(CONTROL!$C$42, 30, 30))/1000000</f>
        <v>0.417717</v>
      </c>
      <c r="X887" s="38">
        <f>(30*0.1790888*100000/1000000)+(30*0.2374*100000/1000000)</f>
        <v>1.2494664</v>
      </c>
      <c r="Y887" s="38">
        <f>(1000*600*CHOOSE(CONTROL!$C$42, 1.0585, 1.0585)*CHOOSE(CONTROL!$C$42, 30, 30))/1000000</f>
        <v>19.053000000000001</v>
      </c>
      <c r="Z887" s="38"/>
      <c r="AA887" s="10"/>
      <c r="AB887" s="39"/>
      <c r="AC887" s="33">
        <f>(B887*122.58+C887*297.941+D887*89.177+E887*40.302+F887*40+G887*160+H887*0+I887*100+J887*300)/(122.58+297.941+89.177+40.302+0+40+160+100+300)</f>
        <v>27.918078418173913</v>
      </c>
      <c r="AD887" s="27">
        <f>(M887*'RAP TEMPLATE-GAS AVAILABILITY'!O886+N887*'RAP TEMPLATE-GAS AVAILABILITY'!P886+O887*'RAP TEMPLATE-GAS AVAILABILITY'!Q886+P887*'RAP TEMPLATE-GAS AVAILABILITY'!R886)/('RAP TEMPLATE-GAS AVAILABILITY'!O886+'RAP TEMPLATE-GAS AVAILABILITY'!P886+'RAP TEMPLATE-GAS AVAILABILITY'!Q886+'RAP TEMPLATE-GAS AVAILABILITY'!R886)</f>
        <v>27.57882014388489</v>
      </c>
    </row>
    <row r="888" spans="1:30" ht="15.75">
      <c r="A888" s="13">
        <v>68302</v>
      </c>
      <c r="B888" s="10">
        <f>CHOOSE(CONTROL!$C$42, 29.8294, 29.8294) * CHOOSE(CONTROL!$C$21, $C$9, 100%, $E$9)</f>
        <v>29.8294</v>
      </c>
      <c r="C888" s="10">
        <f>CHOOSE(CONTROL!$C$42, 29.8345, 29.8345) * CHOOSE(CONTROL!$C$21, $C$9, 100%, $E$9)</f>
        <v>29.834499999999998</v>
      </c>
      <c r="D888" s="10">
        <f>CHOOSE(CONTROL!$C$42, 29.8592, 29.8592) * CHOOSE(CONTROL!$C$21, $C$9, 100%, $E$9)</f>
        <v>29.859200000000001</v>
      </c>
      <c r="E888" s="10">
        <f>CHOOSE(CONTROL!$C$42, 29.893, 29.893) * CHOOSE(CONTROL!$C$21, $C$9, 100%, $E$9)</f>
        <v>29.893000000000001</v>
      </c>
      <c r="F888" s="10">
        <f>CHOOSE(CONTROL!$C$42, 29.7997, 29.7997)*CHOOSE(CONTROL!$C$21, $C$9, 100%, $E$9)</f>
        <v>29.799700000000001</v>
      </c>
      <c r="G888" s="10">
        <f>CHOOSE(CONTROL!$C$42, 29.8161, 29.8161)*CHOOSE(CONTROL!$C$21, $C$9, 100%, $E$9)</f>
        <v>29.816099999999999</v>
      </c>
      <c r="H888" s="10">
        <f>CHOOSE(CONTROL!$C$42, 29.8819, 29.8819) * CHOOSE(CONTROL!$C$21, $C$9, 100%, $E$9)</f>
        <v>29.881900000000002</v>
      </c>
      <c r="I888" s="10">
        <f>CHOOSE(CONTROL!$C$42, 29.8444, 29.8444)* CHOOSE(CONTROL!$C$21, $C$9, 100%, $E$9)</f>
        <v>29.8444</v>
      </c>
      <c r="J888" s="10">
        <f>CHOOSE(CONTROL!$C$42, 29.7923, 29.7923)* CHOOSE(CONTROL!$C$21, $C$9, 100%, $E$9)</f>
        <v>29.792300000000001</v>
      </c>
      <c r="K888" s="10">
        <f>CHOOSE(CONTROL!$C$42, 29.0795, 29.0795) * CHOOSE(CONTROL!$C$21, $C$9, 100%, $E$9)</f>
        <v>29.079499999999999</v>
      </c>
      <c r="L888" s="10">
        <f>CHOOSE(CONTROL!$C$42, 30.4689, 30.4689) * CHOOSE(CONTROL!$C$21, $C$9, 100%, $E$9)</f>
        <v>30.468900000000001</v>
      </c>
      <c r="M888" s="10">
        <f>CHOOSE(CONTROL!$C$42, 29.4097, 29.4097) * CHOOSE(CONTROL!$C$21, $C$9, 100%, $E$9)</f>
        <v>29.409700000000001</v>
      </c>
      <c r="N888" s="10">
        <f>CHOOSE(CONTROL!$C$42, 29.4259, 29.4259) * CHOOSE(CONTROL!$C$21, $C$9, 100%, $E$9)</f>
        <v>29.425899999999999</v>
      </c>
      <c r="O888" s="10">
        <f>CHOOSE(CONTROL!$C$42, 29.498, 29.498) * CHOOSE(CONTROL!$C$21, $C$9, 100%, $E$9)</f>
        <v>29.498000000000001</v>
      </c>
      <c r="P888" s="10">
        <f>CHOOSE(CONTROL!$C$42, 29.4611, 29.4611) * CHOOSE(CONTROL!$C$21, $C$9, 100%, $E$9)</f>
        <v>29.461099999999998</v>
      </c>
      <c r="Q888" s="10">
        <f>CHOOSE(CONTROL!$C$42, 30.0933, 30.0933) * CHOOSE(CONTROL!$C$21, $C$9, 100%, $E$9)</f>
        <v>30.093299999999999</v>
      </c>
      <c r="R888" s="10">
        <f>CHOOSE(CONTROL!$C$42, 30.7555, 30.7555) * CHOOSE(CONTROL!$C$21, $C$9, 100%, $E$9)</f>
        <v>30.755500000000001</v>
      </c>
      <c r="S888" s="10">
        <f>CHOOSE(CONTROL!$C$42, 28.9005, 28.9005) * CHOOSE(CONTROL!$C$21, $C$9, 100%, $E$9)</f>
        <v>28.900500000000001</v>
      </c>
      <c r="T88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888" s="38">
        <f>(1000*CHOOSE(CONTROL!$C$42, 695, 695)*CHOOSE(CONTROL!$C$42, 0.5599, 0.5599)*CHOOSE(CONTROL!$C$42, 31, 31))/1000000</f>
        <v>12.063045499999998</v>
      </c>
      <c r="V888" s="38">
        <f>(1000*CHOOSE(CONTROL!$C$42, 500, 500)*CHOOSE(CONTROL!$C$42, 0.275, 0.275)*CHOOSE(CONTROL!$C$42, 31, 31))/1000000</f>
        <v>4.2625000000000002</v>
      </c>
      <c r="W888" s="38">
        <f>(1000*CHOOSE(CONTROL!$C$42, 0.1146, 0.1146)*CHOOSE(CONTROL!$C$42, 121.5, 121.5)*CHOOSE(CONTROL!$C$42, 31, 31))/1000000</f>
        <v>0.43164089999999994</v>
      </c>
      <c r="X888" s="38">
        <f>(31*0.1790888*100000/1000000)+(31*0.2374*100000/1000000)</f>
        <v>1.2911152800000001</v>
      </c>
      <c r="Y888" s="38">
        <f>(1000*600*CHOOSE(CONTROL!$C$42, 1.0585, 1.0585)*CHOOSE(CONTROL!$C$42, 31, 31))/1000000</f>
        <v>19.688099999999999</v>
      </c>
      <c r="Z888" s="38"/>
      <c r="AA888" s="10"/>
      <c r="AB888" s="39"/>
      <c r="AC888" s="33">
        <f>(B888*122.58+C888*297.941+D888*89.177+E888*40.302+F888*40+G888*160+H888*0+I888*100+J888*300)/(122.58+297.941+89.177+40.302+0+40+160+100+300)</f>
        <v>29.824003635565219</v>
      </c>
      <c r="AD888" s="27">
        <f>(M888*'RAP TEMPLATE-GAS AVAILABILITY'!O887+N888*'RAP TEMPLATE-GAS AVAILABILITY'!P887+O888*'RAP TEMPLATE-GAS AVAILABILITY'!Q887+P888*'RAP TEMPLATE-GAS AVAILABILITY'!R887)/('RAP TEMPLATE-GAS AVAILABILITY'!O887+'RAP TEMPLATE-GAS AVAILABILITY'!P887+'RAP TEMPLATE-GAS AVAILABILITY'!Q887+'RAP TEMPLATE-GAS AVAILABILITY'!R887)</f>
        <v>29.458048920863316</v>
      </c>
    </row>
    <row r="889" spans="1:30" ht="15.75">
      <c r="A889" s="13">
        <v>68333</v>
      </c>
      <c r="B889" s="10">
        <f>CHOOSE(CONTROL!$C$42, 31.8438, 31.8438) * CHOOSE(CONTROL!$C$21, $C$9, 100%, $E$9)</f>
        <v>31.843800000000002</v>
      </c>
      <c r="C889" s="10">
        <f>CHOOSE(CONTROL!$C$42, 31.8489, 31.8489) * CHOOSE(CONTROL!$C$21, $C$9, 100%, $E$9)</f>
        <v>31.8489</v>
      </c>
      <c r="D889" s="10">
        <f>CHOOSE(CONTROL!$C$42, 31.8813, 31.8813) * CHOOSE(CONTROL!$C$21, $C$9, 100%, $E$9)</f>
        <v>31.8813</v>
      </c>
      <c r="E889" s="10">
        <f>CHOOSE(CONTROL!$C$42, 31.9151, 31.9151) * CHOOSE(CONTROL!$C$21, $C$9, 100%, $E$9)</f>
        <v>31.915099999999999</v>
      </c>
      <c r="F889" s="10">
        <f>CHOOSE(CONTROL!$C$42, 31.828, 31.828)*CHOOSE(CONTROL!$C$21, $C$9, 100%, $E$9)</f>
        <v>31.827999999999999</v>
      </c>
      <c r="G889" s="10">
        <f>CHOOSE(CONTROL!$C$42, 31.846, 31.846)*CHOOSE(CONTROL!$C$21, $C$9, 100%, $E$9)</f>
        <v>31.846</v>
      </c>
      <c r="H889" s="10">
        <f>CHOOSE(CONTROL!$C$42, 31.904, 31.904) * CHOOSE(CONTROL!$C$21, $C$9, 100%, $E$9)</f>
        <v>31.904</v>
      </c>
      <c r="I889" s="10">
        <f>CHOOSE(CONTROL!$C$42, 31.8572, 31.8572)* CHOOSE(CONTROL!$C$21, $C$9, 100%, $E$9)</f>
        <v>31.857199999999999</v>
      </c>
      <c r="J889" s="10">
        <f>CHOOSE(CONTROL!$C$42, 31.8206, 31.8206)* CHOOSE(CONTROL!$C$21, $C$9, 100%, $E$9)</f>
        <v>31.820599999999999</v>
      </c>
      <c r="K889" s="10">
        <f>CHOOSE(CONTROL!$C$42, 31.0434, 31.0434) * CHOOSE(CONTROL!$C$21, $C$9, 100%, $E$9)</f>
        <v>31.043399999999998</v>
      </c>
      <c r="L889" s="10">
        <f>CHOOSE(CONTROL!$C$42, 32.491, 32.491) * CHOOSE(CONTROL!$C$21, $C$9, 100%, $E$9)</f>
        <v>32.491</v>
      </c>
      <c r="M889" s="10">
        <f>CHOOSE(CONTROL!$C$42, 31.4097, 31.4097) * CHOOSE(CONTROL!$C$21, $C$9, 100%, $E$9)</f>
        <v>31.409700000000001</v>
      </c>
      <c r="N889" s="10">
        <f>CHOOSE(CONTROL!$C$42, 31.4275, 31.4275) * CHOOSE(CONTROL!$C$21, $C$9, 100%, $E$9)</f>
        <v>31.427499999999998</v>
      </c>
      <c r="O889" s="10">
        <f>CHOOSE(CONTROL!$C$42, 31.492, 31.492) * CHOOSE(CONTROL!$C$21, $C$9, 100%, $E$9)</f>
        <v>31.492000000000001</v>
      </c>
      <c r="P889" s="10">
        <f>CHOOSE(CONTROL!$C$42, 31.4459, 31.4459) * CHOOSE(CONTROL!$C$21, $C$9, 100%, $E$9)</f>
        <v>31.445900000000002</v>
      </c>
      <c r="Q889" s="10">
        <f>CHOOSE(CONTROL!$C$42, 32.0873, 32.0873) * CHOOSE(CONTROL!$C$21, $C$9, 100%, $E$9)</f>
        <v>32.087299999999999</v>
      </c>
      <c r="R889" s="10">
        <f>CHOOSE(CONTROL!$C$42, 32.7545, 32.7545) * CHOOSE(CONTROL!$C$21, $C$9, 100%, $E$9)</f>
        <v>32.7545</v>
      </c>
      <c r="S889" s="10">
        <f>CHOOSE(CONTROL!$C$42, 30.851, 30.851) * CHOOSE(CONTROL!$C$21, $C$9, 100%, $E$9)</f>
        <v>30.850999999999999</v>
      </c>
      <c r="T88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889" s="38">
        <f>(1000*CHOOSE(CONTROL!$C$42, 695, 695)*CHOOSE(CONTROL!$C$42, 0.5599, 0.5599)*CHOOSE(CONTROL!$C$42, 31, 31))/1000000</f>
        <v>12.063045499999998</v>
      </c>
      <c r="V889" s="38">
        <f>(1000*CHOOSE(CONTROL!$C$42, 500, 500)*CHOOSE(CONTROL!$C$42, 0.275, 0.275)*CHOOSE(CONTROL!$C$42, 31, 31))/1000000</f>
        <v>4.2625000000000002</v>
      </c>
      <c r="W889" s="38">
        <f>(1000*CHOOSE(CONTROL!$C$42, 0.1146, 0.1146)*CHOOSE(CONTROL!$C$42, 121.5, 121.5)*CHOOSE(CONTROL!$C$42, 31, 31))/1000000</f>
        <v>0.43164089999999994</v>
      </c>
      <c r="X889" s="38">
        <f>(31*0.1790888*100000/1000000)+(31*0.2374*100000/1000000)</f>
        <v>1.2911152800000001</v>
      </c>
      <c r="Y889" s="38">
        <f>(1000*600*CHOOSE(CONTROL!$C$42, 1.0585, 1.0585)*CHOOSE(CONTROL!$C$42, 31, 31))/1000000</f>
        <v>19.688099999999999</v>
      </c>
      <c r="Z889" s="38"/>
      <c r="AA889" s="10"/>
      <c r="AB889" s="39"/>
      <c r="AC889" s="33">
        <f>(B889*122.58+C889*297.941+D889*89.177+E889*40.302+F889*40+G889*160+H889*0+I889*100+J889*300)/(122.58+297.941+89.177+40.302+0+40+160+100+300)</f>
        <v>31.845397538434785</v>
      </c>
      <c r="AD889" s="27">
        <f>(M889*'RAP TEMPLATE-GAS AVAILABILITY'!O888+N889*'RAP TEMPLATE-GAS AVAILABILITY'!P888+O889*'RAP TEMPLATE-GAS AVAILABILITY'!Q888+P889*'RAP TEMPLATE-GAS AVAILABILITY'!R888)/('RAP TEMPLATE-GAS AVAILABILITY'!O888+'RAP TEMPLATE-GAS AVAILABILITY'!P888+'RAP TEMPLATE-GAS AVAILABILITY'!Q888+'RAP TEMPLATE-GAS AVAILABILITY'!R888)</f>
        <v>31.4532345323741</v>
      </c>
    </row>
    <row r="890" spans="1:30" ht="15.75">
      <c r="A890" s="13">
        <v>68361</v>
      </c>
      <c r="B890" s="10">
        <f>CHOOSE(CONTROL!$C$42, 32.411, 32.411) * CHOOSE(CONTROL!$C$21, $C$9, 100%, $E$9)</f>
        <v>32.411000000000001</v>
      </c>
      <c r="C890" s="10">
        <f>CHOOSE(CONTROL!$C$42, 32.4161, 32.4161) * CHOOSE(CONTROL!$C$21, $C$9, 100%, $E$9)</f>
        <v>32.4161</v>
      </c>
      <c r="D890" s="10">
        <f>CHOOSE(CONTROL!$C$42, 32.4485, 32.4485) * CHOOSE(CONTROL!$C$21, $C$9, 100%, $E$9)</f>
        <v>32.448500000000003</v>
      </c>
      <c r="E890" s="10">
        <f>CHOOSE(CONTROL!$C$42, 32.4823, 32.4823) * CHOOSE(CONTROL!$C$21, $C$9, 100%, $E$9)</f>
        <v>32.482300000000002</v>
      </c>
      <c r="F890" s="10">
        <f>CHOOSE(CONTROL!$C$42, 32.3947, 32.3947)*CHOOSE(CONTROL!$C$21, $C$9, 100%, $E$9)</f>
        <v>32.3947</v>
      </c>
      <c r="G890" s="10">
        <f>CHOOSE(CONTROL!$C$42, 32.4126, 32.4126)*CHOOSE(CONTROL!$C$21, $C$9, 100%, $E$9)</f>
        <v>32.412599999999998</v>
      </c>
      <c r="H890" s="10">
        <f>CHOOSE(CONTROL!$C$42, 32.4712, 32.4712) * CHOOSE(CONTROL!$C$21, $C$9, 100%, $E$9)</f>
        <v>32.471200000000003</v>
      </c>
      <c r="I890" s="10">
        <f>CHOOSE(CONTROL!$C$42, 32.4244, 32.4244)* CHOOSE(CONTROL!$C$21, $C$9, 100%, $E$9)</f>
        <v>32.424399999999999</v>
      </c>
      <c r="J890" s="10">
        <f>CHOOSE(CONTROL!$C$42, 32.3873, 32.3873)* CHOOSE(CONTROL!$C$21, $C$9, 100%, $E$9)</f>
        <v>32.387300000000003</v>
      </c>
      <c r="K890" s="10">
        <f>CHOOSE(CONTROL!$C$42, 31.5919, 31.5919) * CHOOSE(CONTROL!$C$21, $C$9, 100%, $E$9)</f>
        <v>31.591899999999999</v>
      </c>
      <c r="L890" s="10">
        <f>CHOOSE(CONTROL!$C$42, 33.0582, 33.0582) * CHOOSE(CONTROL!$C$21, $C$9, 100%, $E$9)</f>
        <v>33.058199999999999</v>
      </c>
      <c r="M890" s="10">
        <f>CHOOSE(CONTROL!$C$42, 31.9685, 31.9685) * CHOOSE(CONTROL!$C$21, $C$9, 100%, $E$9)</f>
        <v>31.968499999999999</v>
      </c>
      <c r="N890" s="10">
        <f>CHOOSE(CONTROL!$C$42, 31.9862, 31.9862) * CHOOSE(CONTROL!$C$21, $C$9, 100%, $E$9)</f>
        <v>31.9862</v>
      </c>
      <c r="O890" s="10">
        <f>CHOOSE(CONTROL!$C$42, 32.0512, 32.0512) * CHOOSE(CONTROL!$C$21, $C$9, 100%, $E$9)</f>
        <v>32.051200000000001</v>
      </c>
      <c r="P890" s="10">
        <f>CHOOSE(CONTROL!$C$42, 32.0051, 32.0051) * CHOOSE(CONTROL!$C$21, $C$9, 100%, $E$9)</f>
        <v>32.005099999999999</v>
      </c>
      <c r="Q890" s="10">
        <f>CHOOSE(CONTROL!$C$42, 32.6465, 32.6465) * CHOOSE(CONTROL!$C$21, $C$9, 100%, $E$9)</f>
        <v>32.646500000000003</v>
      </c>
      <c r="R890" s="10">
        <f>CHOOSE(CONTROL!$C$42, 33.3151, 33.3151) * CHOOSE(CONTROL!$C$21, $C$9, 100%, $E$9)</f>
        <v>33.315100000000001</v>
      </c>
      <c r="S890" s="10">
        <f>CHOOSE(CONTROL!$C$42, 31.4002, 31.4002) * CHOOSE(CONTROL!$C$21, $C$9, 100%, $E$9)</f>
        <v>31.400200000000002</v>
      </c>
      <c r="T89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890" s="38">
        <f>(1000*CHOOSE(CONTROL!$C$42, 695, 695)*CHOOSE(CONTROL!$C$42, 0.5599, 0.5599)*CHOOSE(CONTROL!$C$42, 28, 28))/1000000</f>
        <v>10.895653999999999</v>
      </c>
      <c r="V890" s="38">
        <f>(1000*CHOOSE(CONTROL!$C$42, 500, 500)*CHOOSE(CONTROL!$C$42, 0.275, 0.275)*CHOOSE(CONTROL!$C$42, 28, 28))/1000000</f>
        <v>3.85</v>
      </c>
      <c r="W890" s="38">
        <f>(1000*CHOOSE(CONTROL!$C$42, 0.1146, 0.1146)*CHOOSE(CONTROL!$C$42, 121.5, 121.5)*CHOOSE(CONTROL!$C$42, 28, 28))/1000000</f>
        <v>0.38986920000000003</v>
      </c>
      <c r="X890" s="38">
        <f>(28*0.1790888*100000/1000000)+(28*0.2374*100000/1000000)</f>
        <v>1.16616864</v>
      </c>
      <c r="Y890" s="38">
        <f>(1000*600*CHOOSE(CONTROL!$C$42, 1.0585, 1.0585)*CHOOSE(CONTROL!$C$42, 28, 28))/1000000</f>
        <v>17.782800000000002</v>
      </c>
      <c r="Z890" s="38"/>
      <c r="AA890" s="10"/>
      <c r="AB890" s="39"/>
      <c r="AC890" s="33">
        <f>(B890*122.58+C890*297.941+D890*89.177+E890*40.302+F890*40+G890*160+H890*0+I890*100+J890*300)/(122.58+297.941+89.177+40.302+0+40+160+100+300)</f>
        <v>32.412366234086953</v>
      </c>
      <c r="AD890" s="27">
        <f>(M890*'RAP TEMPLATE-GAS AVAILABILITY'!O889+N890*'RAP TEMPLATE-GAS AVAILABILITY'!P889+O890*'RAP TEMPLATE-GAS AVAILABILITY'!Q889+P890*'RAP TEMPLATE-GAS AVAILABILITY'!R889)/('RAP TEMPLATE-GAS AVAILABILITY'!O889+'RAP TEMPLATE-GAS AVAILABILITY'!P889+'RAP TEMPLATE-GAS AVAILABILITY'!Q889+'RAP TEMPLATE-GAS AVAILABILITY'!R889)</f>
        <v>32.012267625899277</v>
      </c>
    </row>
    <row r="891" spans="1:30" ht="15.75">
      <c r="A891" s="13">
        <v>68392</v>
      </c>
      <c r="B891" s="10">
        <f>CHOOSE(CONTROL!$C$42, 31.4903, 31.4903) * CHOOSE(CONTROL!$C$21, $C$9, 100%, $E$9)</f>
        <v>31.490300000000001</v>
      </c>
      <c r="C891" s="10">
        <f>CHOOSE(CONTROL!$C$42, 31.4954, 31.4954) * CHOOSE(CONTROL!$C$21, $C$9, 100%, $E$9)</f>
        <v>31.4954</v>
      </c>
      <c r="D891" s="10">
        <f>CHOOSE(CONTROL!$C$42, 31.5279, 31.5279) * CHOOSE(CONTROL!$C$21, $C$9, 100%, $E$9)</f>
        <v>31.527899999999999</v>
      </c>
      <c r="E891" s="10">
        <f>CHOOSE(CONTROL!$C$42, 31.5617, 31.5617) * CHOOSE(CONTROL!$C$21, $C$9, 100%, $E$9)</f>
        <v>31.561699999999998</v>
      </c>
      <c r="F891" s="10">
        <f>CHOOSE(CONTROL!$C$42, 31.4726, 31.4726)*CHOOSE(CONTROL!$C$21, $C$9, 100%, $E$9)</f>
        <v>31.4726</v>
      </c>
      <c r="G891" s="10">
        <f>CHOOSE(CONTROL!$C$42, 31.4902, 31.4902)*CHOOSE(CONTROL!$C$21, $C$9, 100%, $E$9)</f>
        <v>31.490200000000002</v>
      </c>
      <c r="H891" s="10">
        <f>CHOOSE(CONTROL!$C$42, 31.5505, 31.5505) * CHOOSE(CONTROL!$C$21, $C$9, 100%, $E$9)</f>
        <v>31.5505</v>
      </c>
      <c r="I891" s="10">
        <f>CHOOSE(CONTROL!$C$42, 31.5038, 31.5038)* CHOOSE(CONTROL!$C$21, $C$9, 100%, $E$9)</f>
        <v>31.503799999999998</v>
      </c>
      <c r="J891" s="10">
        <f>CHOOSE(CONTROL!$C$42, 31.4652, 31.4652)* CHOOSE(CONTROL!$C$21, $C$9, 100%, $E$9)</f>
        <v>31.465199999999999</v>
      </c>
      <c r="K891" s="10">
        <f>CHOOSE(CONTROL!$C$42, 30.6969, 30.6969) * CHOOSE(CONTROL!$C$21, $C$9, 100%, $E$9)</f>
        <v>30.696899999999999</v>
      </c>
      <c r="L891" s="10">
        <f>CHOOSE(CONTROL!$C$42, 32.1375, 32.1375) * CHOOSE(CONTROL!$C$21, $C$9, 100%, $E$9)</f>
        <v>32.137500000000003</v>
      </c>
      <c r="M891" s="10">
        <f>CHOOSE(CONTROL!$C$42, 31.0592, 31.0592) * CHOOSE(CONTROL!$C$21, $C$9, 100%, $E$9)</f>
        <v>31.059200000000001</v>
      </c>
      <c r="N891" s="10">
        <f>CHOOSE(CONTROL!$C$42, 31.0766, 31.0766) * CHOOSE(CONTROL!$C$21, $C$9, 100%, $E$9)</f>
        <v>31.076599999999999</v>
      </c>
      <c r="O891" s="10">
        <f>CHOOSE(CONTROL!$C$42, 31.1434, 31.1434) * CHOOSE(CONTROL!$C$21, $C$9, 100%, $E$9)</f>
        <v>31.1434</v>
      </c>
      <c r="P891" s="10">
        <f>CHOOSE(CONTROL!$C$42, 31.0973, 31.0973) * CHOOSE(CONTROL!$C$21, $C$9, 100%, $E$9)</f>
        <v>31.097300000000001</v>
      </c>
      <c r="Q891" s="10">
        <f>CHOOSE(CONTROL!$C$42, 31.7387, 31.7387) * CHOOSE(CONTROL!$C$21, $C$9, 100%, $E$9)</f>
        <v>31.738700000000001</v>
      </c>
      <c r="R891" s="10">
        <f>CHOOSE(CONTROL!$C$42, 32.4051, 32.4051) * CHOOSE(CONTROL!$C$21, $C$9, 100%, $E$9)</f>
        <v>32.405099999999997</v>
      </c>
      <c r="S891" s="10">
        <f>CHOOSE(CONTROL!$C$42, 30.5087, 30.5087) * CHOOSE(CONTROL!$C$21, $C$9, 100%, $E$9)</f>
        <v>30.508700000000001</v>
      </c>
      <c r="T89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891" s="38">
        <f>(1000*CHOOSE(CONTROL!$C$42, 695, 695)*CHOOSE(CONTROL!$C$42, 0.5599, 0.5599)*CHOOSE(CONTROL!$C$42, 31, 31))/1000000</f>
        <v>12.063045499999998</v>
      </c>
      <c r="V891" s="38">
        <f>(1000*CHOOSE(CONTROL!$C$42, 500, 500)*CHOOSE(CONTROL!$C$42, 0.275, 0.275)*CHOOSE(CONTROL!$C$42, 31, 31))/1000000</f>
        <v>4.2625000000000002</v>
      </c>
      <c r="W891" s="38">
        <f>(1000*CHOOSE(CONTROL!$C$42, 0.1146, 0.1146)*CHOOSE(CONTROL!$C$42, 121.5, 121.5)*CHOOSE(CONTROL!$C$42, 31, 31))/1000000</f>
        <v>0.43164089999999994</v>
      </c>
      <c r="X891" s="38">
        <f>(31*0.1790888*100000/1000000)+(31*0.2374*100000/1000000)</f>
        <v>1.2911152800000001</v>
      </c>
      <c r="Y891" s="38">
        <f>(1000*600*CHOOSE(CONTROL!$C$42, 1.0585, 1.0585)*CHOOSE(CONTROL!$C$42, 31, 31))/1000000</f>
        <v>19.688099999999999</v>
      </c>
      <c r="Z891" s="38"/>
      <c r="AA891" s="10"/>
      <c r="AB891" s="39"/>
      <c r="AC891" s="33">
        <f>(B891*122.58+C891*297.941+D891*89.177+E891*40.302+F891*40+G891*160+H891*0+I891*100+J891*300)/(122.58+297.941+89.177+40.302+0+40+160+100+300)</f>
        <v>31.491035753999995</v>
      </c>
      <c r="AD891" s="27">
        <f>(M891*'RAP TEMPLATE-GAS AVAILABILITY'!O890+N891*'RAP TEMPLATE-GAS AVAILABILITY'!P890+O891*'RAP TEMPLATE-GAS AVAILABILITY'!Q890+P891*'RAP TEMPLATE-GAS AVAILABILITY'!R890)/('RAP TEMPLATE-GAS AVAILABILITY'!O890+'RAP TEMPLATE-GAS AVAILABILITY'!P890+'RAP TEMPLATE-GAS AVAILABILITY'!Q890+'RAP TEMPLATE-GAS AVAILABILITY'!R890)</f>
        <v>31.103846043165465</v>
      </c>
    </row>
    <row r="892" spans="1:30" ht="15.75">
      <c r="A892" s="13">
        <v>68422</v>
      </c>
      <c r="B892" s="10">
        <f>CHOOSE(CONTROL!$C$42, 31.3968, 31.3968) * CHOOSE(CONTROL!$C$21, $C$9, 100%, $E$9)</f>
        <v>31.396799999999999</v>
      </c>
      <c r="C892" s="10">
        <f>CHOOSE(CONTROL!$C$42, 31.4013, 31.4013) * CHOOSE(CONTROL!$C$21, $C$9, 100%, $E$9)</f>
        <v>31.401299999999999</v>
      </c>
      <c r="D892" s="10">
        <f>CHOOSE(CONTROL!$C$42, 31.5614, 31.5614) * CHOOSE(CONTROL!$C$21, $C$9, 100%, $E$9)</f>
        <v>31.561399999999999</v>
      </c>
      <c r="E892" s="10">
        <f>CHOOSE(CONTROL!$C$42, 31.5933, 31.5933) * CHOOSE(CONTROL!$C$21, $C$9, 100%, $E$9)</f>
        <v>31.593299999999999</v>
      </c>
      <c r="F892" s="10">
        <f>CHOOSE(CONTROL!$C$42, 31.3429, 31.3429)*CHOOSE(CONTROL!$C$21, $C$9, 100%, $E$9)</f>
        <v>31.3429</v>
      </c>
      <c r="G892" s="10">
        <f>CHOOSE(CONTROL!$C$42, 31.3587, 31.3587)*CHOOSE(CONTROL!$C$21, $C$9, 100%, $E$9)</f>
        <v>31.358699999999999</v>
      </c>
      <c r="H892" s="10">
        <f>CHOOSE(CONTROL!$C$42, 31.5827, 31.5827) * CHOOSE(CONTROL!$C$21, $C$9, 100%, $E$9)</f>
        <v>31.582699999999999</v>
      </c>
      <c r="I892" s="10">
        <f>CHOOSE(CONTROL!$C$42, 31.3769, 31.3769)* CHOOSE(CONTROL!$C$21, $C$9, 100%, $E$9)</f>
        <v>31.376899999999999</v>
      </c>
      <c r="J892" s="10">
        <f>CHOOSE(CONTROL!$C$42, 31.3355, 31.3355)* CHOOSE(CONTROL!$C$21, $C$9, 100%, $E$9)</f>
        <v>31.3355</v>
      </c>
      <c r="K892" s="10">
        <f>CHOOSE(CONTROL!$C$42, 30.558, 30.558) * CHOOSE(CONTROL!$C$21, $C$9, 100%, $E$9)</f>
        <v>30.558</v>
      </c>
      <c r="L892" s="10">
        <f>CHOOSE(CONTROL!$C$42, 32.1697, 32.1697) * CHOOSE(CONTROL!$C$21, $C$9, 100%, $E$9)</f>
        <v>32.169699999999999</v>
      </c>
      <c r="M892" s="10">
        <f>CHOOSE(CONTROL!$C$42, 30.9313, 30.9313) * CHOOSE(CONTROL!$C$21, $C$9, 100%, $E$9)</f>
        <v>30.9313</v>
      </c>
      <c r="N892" s="10">
        <f>CHOOSE(CONTROL!$C$42, 30.9469, 30.9469) * CHOOSE(CONTROL!$C$21, $C$9, 100%, $E$9)</f>
        <v>30.946899999999999</v>
      </c>
      <c r="O892" s="10">
        <f>CHOOSE(CONTROL!$C$42, 31.1751, 31.1751) * CHOOSE(CONTROL!$C$21, $C$9, 100%, $E$9)</f>
        <v>31.1751</v>
      </c>
      <c r="P892" s="10">
        <f>CHOOSE(CONTROL!$C$42, 30.9722, 30.9722) * CHOOSE(CONTROL!$C$21, $C$9, 100%, $E$9)</f>
        <v>30.972200000000001</v>
      </c>
      <c r="Q892" s="10">
        <f>CHOOSE(CONTROL!$C$42, 31.7704, 31.7704) * CHOOSE(CONTROL!$C$21, $C$9, 100%, $E$9)</f>
        <v>31.770399999999999</v>
      </c>
      <c r="R892" s="10">
        <f>CHOOSE(CONTROL!$C$42, 32.4369, 32.4369) * CHOOSE(CONTROL!$C$21, $C$9, 100%, $E$9)</f>
        <v>32.436900000000001</v>
      </c>
      <c r="S892" s="10">
        <f>CHOOSE(CONTROL!$C$42, 30.4174, 30.4174) * CHOOSE(CONTROL!$C$21, $C$9, 100%, $E$9)</f>
        <v>30.417400000000001</v>
      </c>
      <c r="T89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892" s="38">
        <f>(1000*CHOOSE(CONTROL!$C$42, 695, 695)*CHOOSE(CONTROL!$C$42, 0.5599, 0.5599)*CHOOSE(CONTROL!$C$42, 30, 30))/1000000</f>
        <v>11.673914999999997</v>
      </c>
      <c r="V892" s="38">
        <f>(1000*CHOOSE(CONTROL!$C$42, 500, 500)*CHOOSE(CONTROL!$C$42, 0.275, 0.275)*CHOOSE(CONTROL!$C$42, 30, 30))/1000000</f>
        <v>4.125</v>
      </c>
      <c r="W892" s="38">
        <f>(1000*CHOOSE(CONTROL!$C$42, 0.1146, 0.1146)*CHOOSE(CONTROL!$C$42, 121.5, 121.5)*CHOOSE(CONTROL!$C$42, 30, 30))/1000000</f>
        <v>0.417717</v>
      </c>
      <c r="X892" s="38">
        <f>(30*0.1790888*245000/1000000)+(30*0.2374*100000/1000000)</f>
        <v>2.0285026799999999</v>
      </c>
      <c r="Y892" s="38">
        <f>(1000*600*CHOOSE(CONTROL!$C$42, 1.0585, 1.0585)*CHOOSE(CONTROL!$C$42, 30, 30))/1000000</f>
        <v>19.053000000000001</v>
      </c>
      <c r="Z892" s="38"/>
      <c r="AA892" s="10"/>
      <c r="AB892" s="39"/>
      <c r="AC892" s="33">
        <f>(B892*141.293+C892*267.993+D892*115.016+E892*89.698+F892*40+G892*185+H892*0+I892*100+J892*300)/(141.293+267.993+115.016+89.698+0+40+185+100+300)</f>
        <v>31.40340109693301</v>
      </c>
      <c r="AD892" s="27">
        <f>(M892*'RAP TEMPLATE-GAS AVAILABILITY'!O891+N892*'RAP TEMPLATE-GAS AVAILABILITY'!P891+O892*'RAP TEMPLATE-GAS AVAILABILITY'!Q891+P892*'RAP TEMPLATE-GAS AVAILABILITY'!R891)/('RAP TEMPLATE-GAS AVAILABILITY'!O891+'RAP TEMPLATE-GAS AVAILABILITY'!P891+'RAP TEMPLATE-GAS AVAILABILITY'!Q891+'RAP TEMPLATE-GAS AVAILABILITY'!R891)</f>
        <v>31.04858201438849</v>
      </c>
    </row>
    <row r="893" spans="1:30" ht="15.75">
      <c r="A893" s="13">
        <v>68453</v>
      </c>
      <c r="B893" s="10">
        <f>CHOOSE(CONTROL!$C$42, 31.6758, 31.6758) * CHOOSE(CONTROL!$C$21, $C$9, 100%, $E$9)</f>
        <v>31.675799999999999</v>
      </c>
      <c r="C893" s="10">
        <f>CHOOSE(CONTROL!$C$42, 31.6838, 31.6838) * CHOOSE(CONTROL!$C$21, $C$9, 100%, $E$9)</f>
        <v>31.683800000000002</v>
      </c>
      <c r="D893" s="10">
        <f>CHOOSE(CONTROL!$C$42, 31.8409, 31.8409) * CHOOSE(CONTROL!$C$21, $C$9, 100%, $E$9)</f>
        <v>31.840900000000001</v>
      </c>
      <c r="E893" s="10">
        <f>CHOOSE(CONTROL!$C$42, 31.8721, 31.8721) * CHOOSE(CONTROL!$C$21, $C$9, 100%, $E$9)</f>
        <v>31.8721</v>
      </c>
      <c r="F893" s="10">
        <f>CHOOSE(CONTROL!$C$42, 31.62, 31.62)*CHOOSE(CONTROL!$C$21, $C$9, 100%, $E$9)</f>
        <v>31.62</v>
      </c>
      <c r="G893" s="10">
        <f>CHOOSE(CONTROL!$C$42, 31.6361, 31.6361)*CHOOSE(CONTROL!$C$21, $C$9, 100%, $E$9)</f>
        <v>31.636099999999999</v>
      </c>
      <c r="H893" s="10">
        <f>CHOOSE(CONTROL!$C$42, 31.8604, 31.8604) * CHOOSE(CONTROL!$C$21, $C$9, 100%, $E$9)</f>
        <v>31.860399999999998</v>
      </c>
      <c r="I893" s="10">
        <f>CHOOSE(CONTROL!$C$42, 31.6546, 31.6546)* CHOOSE(CONTROL!$C$21, $C$9, 100%, $E$9)</f>
        <v>31.654599999999999</v>
      </c>
      <c r="J893" s="10">
        <f>CHOOSE(CONTROL!$C$42, 31.6126, 31.6126)* CHOOSE(CONTROL!$C$21, $C$9, 100%, $E$9)</f>
        <v>31.6126</v>
      </c>
      <c r="K893" s="10">
        <f>CHOOSE(CONTROL!$C$42, 30.8257, 30.8257) * CHOOSE(CONTROL!$C$21, $C$9, 100%, $E$9)</f>
        <v>30.825700000000001</v>
      </c>
      <c r="L893" s="10">
        <f>CHOOSE(CONTROL!$C$42, 32.4474, 32.4474) * CHOOSE(CONTROL!$C$21, $C$9, 100%, $E$9)</f>
        <v>32.447400000000002</v>
      </c>
      <c r="M893" s="10">
        <f>CHOOSE(CONTROL!$C$42, 31.2046, 31.2046) * CHOOSE(CONTROL!$C$21, $C$9, 100%, $E$9)</f>
        <v>31.204599999999999</v>
      </c>
      <c r="N893" s="10">
        <f>CHOOSE(CONTROL!$C$42, 31.2205, 31.2205) * CHOOSE(CONTROL!$C$21, $C$9, 100%, $E$9)</f>
        <v>31.220500000000001</v>
      </c>
      <c r="O893" s="10">
        <f>CHOOSE(CONTROL!$C$42, 31.449, 31.449) * CHOOSE(CONTROL!$C$21, $C$9, 100%, $E$9)</f>
        <v>31.449000000000002</v>
      </c>
      <c r="P893" s="10">
        <f>CHOOSE(CONTROL!$C$42, 31.2461, 31.2461) * CHOOSE(CONTROL!$C$21, $C$9, 100%, $E$9)</f>
        <v>31.246099999999998</v>
      </c>
      <c r="Q893" s="10">
        <f>CHOOSE(CONTROL!$C$42, 32.0443, 32.0443) * CHOOSE(CONTROL!$C$21, $C$9, 100%, $E$9)</f>
        <v>32.0443</v>
      </c>
      <c r="R893" s="10">
        <f>CHOOSE(CONTROL!$C$42, 32.7114, 32.7114) * CHOOSE(CONTROL!$C$21, $C$9, 100%, $E$9)</f>
        <v>32.711399999999998</v>
      </c>
      <c r="S893" s="10">
        <f>CHOOSE(CONTROL!$C$42, 30.6863, 30.6863) * CHOOSE(CONTROL!$C$21, $C$9, 100%, $E$9)</f>
        <v>30.686299999999999</v>
      </c>
      <c r="T89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893" s="38">
        <f>(1000*CHOOSE(CONTROL!$C$42, 695, 695)*CHOOSE(CONTROL!$C$42, 0.5599, 0.5599)*CHOOSE(CONTROL!$C$42, 31, 31))/1000000</f>
        <v>12.063045499999998</v>
      </c>
      <c r="V893" s="38">
        <f>(1000*CHOOSE(CONTROL!$C$42, 500, 500)*CHOOSE(CONTROL!$C$42, 0.275, 0.275)*CHOOSE(CONTROL!$C$42, 31, 31))/1000000</f>
        <v>4.2625000000000002</v>
      </c>
      <c r="W893" s="38">
        <f>(1000*CHOOSE(CONTROL!$C$42, 0.1146, 0.1146)*CHOOSE(CONTROL!$C$42, 121.5, 121.5)*CHOOSE(CONTROL!$C$42, 31, 31))/1000000</f>
        <v>0.43164089999999994</v>
      </c>
      <c r="X893" s="38">
        <f>(31*0.1790888*245000/1000000)+(31*0.2374*100000/1000000)</f>
        <v>2.0961194359999999</v>
      </c>
      <c r="Y893" s="38">
        <f>(1000*600*CHOOSE(CONTROL!$C$42, 1.0585, 1.0585)*CHOOSE(CONTROL!$C$42, 31, 31))/1000000</f>
        <v>19.688099999999999</v>
      </c>
      <c r="Z893" s="38"/>
      <c r="AA893" s="10"/>
      <c r="AB893" s="39"/>
      <c r="AC893" s="33">
        <f>(B893*194.205+C893*267.466+D893*133.845+E893*53.484+F893*40+G893*185+H893*0+I893*100+J893*300)/(194.205+267.466+133.845+53.484+0+40+185+100+300)</f>
        <v>31.679002469937203</v>
      </c>
      <c r="AD893" s="27">
        <f>(M893*'RAP TEMPLATE-GAS AVAILABILITY'!O892+N893*'RAP TEMPLATE-GAS AVAILABILITY'!P892+O893*'RAP TEMPLATE-GAS AVAILABILITY'!Q892+P893*'RAP TEMPLATE-GAS AVAILABILITY'!R892)/('RAP TEMPLATE-GAS AVAILABILITY'!O892+'RAP TEMPLATE-GAS AVAILABILITY'!P892+'RAP TEMPLATE-GAS AVAILABILITY'!Q892+'RAP TEMPLATE-GAS AVAILABILITY'!R892)</f>
        <v>31.322257553956835</v>
      </c>
    </row>
    <row r="894" spans="1:30" ht="15.75">
      <c r="A894" s="13">
        <v>68483</v>
      </c>
      <c r="B894" s="10">
        <f>CHOOSE(CONTROL!$C$42, 32.5747, 32.5747) * CHOOSE(CONTROL!$C$21, $C$9, 100%, $E$9)</f>
        <v>32.5747</v>
      </c>
      <c r="C894" s="10">
        <f>CHOOSE(CONTROL!$C$42, 32.5827, 32.5827) * CHOOSE(CONTROL!$C$21, $C$9, 100%, $E$9)</f>
        <v>32.582700000000003</v>
      </c>
      <c r="D894" s="10">
        <f>CHOOSE(CONTROL!$C$42, 32.7398, 32.7398) * CHOOSE(CONTROL!$C$21, $C$9, 100%, $E$9)</f>
        <v>32.739800000000002</v>
      </c>
      <c r="E894" s="10">
        <f>CHOOSE(CONTROL!$C$42, 32.771, 32.771) * CHOOSE(CONTROL!$C$21, $C$9, 100%, $E$9)</f>
        <v>32.771000000000001</v>
      </c>
      <c r="F894" s="10">
        <f>CHOOSE(CONTROL!$C$42, 32.5191, 32.5191)*CHOOSE(CONTROL!$C$21, $C$9, 100%, $E$9)</f>
        <v>32.519100000000002</v>
      </c>
      <c r="G894" s="10">
        <f>CHOOSE(CONTROL!$C$42, 32.5352, 32.5352)*CHOOSE(CONTROL!$C$21, $C$9, 100%, $E$9)</f>
        <v>32.535200000000003</v>
      </c>
      <c r="H894" s="10">
        <f>CHOOSE(CONTROL!$C$42, 32.7593, 32.7593) * CHOOSE(CONTROL!$C$21, $C$9, 100%, $E$9)</f>
        <v>32.759300000000003</v>
      </c>
      <c r="I894" s="10">
        <f>CHOOSE(CONTROL!$C$42, 32.5535, 32.5535)* CHOOSE(CONTROL!$C$21, $C$9, 100%, $E$9)</f>
        <v>32.5535</v>
      </c>
      <c r="J894" s="10">
        <f>CHOOSE(CONTROL!$C$42, 32.5117, 32.5117)* CHOOSE(CONTROL!$C$21, $C$9, 100%, $E$9)</f>
        <v>32.511699999999998</v>
      </c>
      <c r="K894" s="10">
        <f>CHOOSE(CONTROL!$C$42, 31.697, 31.697) * CHOOSE(CONTROL!$C$21, $C$9, 100%, $E$9)</f>
        <v>31.696999999999999</v>
      </c>
      <c r="L894" s="10">
        <f>CHOOSE(CONTROL!$C$42, 33.3463, 33.3463) * CHOOSE(CONTROL!$C$21, $C$9, 100%, $E$9)</f>
        <v>33.346299999999999</v>
      </c>
      <c r="M894" s="10">
        <f>CHOOSE(CONTROL!$C$42, 32.0911, 32.0911) * CHOOSE(CONTROL!$C$21, $C$9, 100%, $E$9)</f>
        <v>32.091099999999997</v>
      </c>
      <c r="N894" s="10">
        <f>CHOOSE(CONTROL!$C$42, 32.1071, 32.1071) * CHOOSE(CONTROL!$C$21, $C$9, 100%, $E$9)</f>
        <v>32.107100000000003</v>
      </c>
      <c r="O894" s="10">
        <f>CHOOSE(CONTROL!$C$42, 32.3353, 32.3353) * CHOOSE(CONTROL!$C$21, $C$9, 100%, $E$9)</f>
        <v>32.335299999999997</v>
      </c>
      <c r="P894" s="10">
        <f>CHOOSE(CONTROL!$C$42, 32.1325, 32.1325) * CHOOSE(CONTROL!$C$21, $C$9, 100%, $E$9)</f>
        <v>32.1325</v>
      </c>
      <c r="Q894" s="10">
        <f>CHOOSE(CONTROL!$C$42, 32.9306, 32.9306) * CHOOSE(CONTROL!$C$21, $C$9, 100%, $E$9)</f>
        <v>32.930599999999998</v>
      </c>
      <c r="R894" s="10">
        <f>CHOOSE(CONTROL!$C$42, 33.6, 33.6) * CHOOSE(CONTROL!$C$21, $C$9, 100%, $E$9)</f>
        <v>33.6</v>
      </c>
      <c r="S894" s="10">
        <f>CHOOSE(CONTROL!$C$42, 31.5567, 31.5567) * CHOOSE(CONTROL!$C$21, $C$9, 100%, $E$9)</f>
        <v>31.556699999999999</v>
      </c>
      <c r="T89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894" s="38">
        <f>(1000*CHOOSE(CONTROL!$C$42, 695, 695)*CHOOSE(CONTROL!$C$42, 0.5599, 0.5599)*CHOOSE(CONTROL!$C$42, 30, 30))/1000000</f>
        <v>11.673914999999997</v>
      </c>
      <c r="V894" s="38">
        <f>(1000*CHOOSE(CONTROL!$C$42, 500, 500)*CHOOSE(CONTROL!$C$42, 0.275, 0.275)*CHOOSE(CONTROL!$C$42, 30, 30))/1000000</f>
        <v>4.125</v>
      </c>
      <c r="W894" s="38">
        <f>(1000*CHOOSE(CONTROL!$C$42, 0.1146, 0.1146)*CHOOSE(CONTROL!$C$42, 121.5, 121.5)*CHOOSE(CONTROL!$C$42, 30, 30))/1000000</f>
        <v>0.417717</v>
      </c>
      <c r="X894" s="38">
        <f>(30*0.1790888*245000/1000000)+(30*0.2374*100000/1000000)</f>
        <v>2.0285026799999999</v>
      </c>
      <c r="Y894" s="38">
        <f>(1000*600*CHOOSE(CONTROL!$C$42, 1.0585, 1.0585)*CHOOSE(CONTROL!$C$42, 30, 30))/1000000</f>
        <v>19.053000000000001</v>
      </c>
      <c r="Z894" s="38"/>
      <c r="AA894" s="10"/>
      <c r="AB894" s="39"/>
      <c r="AC894" s="33">
        <f>(B894*194.205+C894*267.466+D894*133.845+E894*53.484+F894*40+G894*185+H894*0+I894*100+J894*300)/(194.205+267.466+133.845+53.484+0+40+185+100+300)</f>
        <v>32.577984887519619</v>
      </c>
      <c r="AD894" s="27">
        <f>(M894*'RAP TEMPLATE-GAS AVAILABILITY'!O893+N894*'RAP TEMPLATE-GAS AVAILABILITY'!P893+O894*'RAP TEMPLATE-GAS AVAILABILITY'!Q893+P894*'RAP TEMPLATE-GAS AVAILABILITY'!R893)/('RAP TEMPLATE-GAS AVAILABILITY'!O893+'RAP TEMPLATE-GAS AVAILABILITY'!P893+'RAP TEMPLATE-GAS AVAILABILITY'!Q893+'RAP TEMPLATE-GAS AVAILABILITY'!R893)</f>
        <v>32.208658273381289</v>
      </c>
    </row>
    <row r="895" spans="1:30" ht="15.75">
      <c r="A895" s="13">
        <v>68514</v>
      </c>
      <c r="B895" s="10">
        <f>CHOOSE(CONTROL!$C$42, 31.9495, 31.9495) * CHOOSE(CONTROL!$C$21, $C$9, 100%, $E$9)</f>
        <v>31.9495</v>
      </c>
      <c r="C895" s="10">
        <f>CHOOSE(CONTROL!$C$42, 31.9575, 31.9575) * CHOOSE(CONTROL!$C$21, $C$9, 100%, $E$9)</f>
        <v>31.9575</v>
      </c>
      <c r="D895" s="10">
        <f>CHOOSE(CONTROL!$C$42, 32.1146, 32.1146) * CHOOSE(CONTROL!$C$21, $C$9, 100%, $E$9)</f>
        <v>32.114600000000003</v>
      </c>
      <c r="E895" s="10">
        <f>CHOOSE(CONTROL!$C$42, 32.1458, 32.1458) * CHOOSE(CONTROL!$C$21, $C$9, 100%, $E$9)</f>
        <v>32.145800000000001</v>
      </c>
      <c r="F895" s="10">
        <f>CHOOSE(CONTROL!$C$42, 31.8942, 31.8942)*CHOOSE(CONTROL!$C$21, $C$9, 100%, $E$9)</f>
        <v>31.894200000000001</v>
      </c>
      <c r="G895" s="10">
        <f>CHOOSE(CONTROL!$C$42, 31.9104, 31.9104)*CHOOSE(CONTROL!$C$21, $C$9, 100%, $E$9)</f>
        <v>31.910399999999999</v>
      </c>
      <c r="H895" s="10">
        <f>CHOOSE(CONTROL!$C$42, 32.1341, 32.1341) * CHOOSE(CONTROL!$C$21, $C$9, 100%, $E$9)</f>
        <v>32.134099999999997</v>
      </c>
      <c r="I895" s="10">
        <f>CHOOSE(CONTROL!$C$42, 31.9283, 31.9283)* CHOOSE(CONTROL!$C$21, $C$9, 100%, $E$9)</f>
        <v>31.9283</v>
      </c>
      <c r="J895" s="10">
        <f>CHOOSE(CONTROL!$C$42, 31.8868, 31.8868)* CHOOSE(CONTROL!$C$21, $C$9, 100%, $E$9)</f>
        <v>31.886800000000001</v>
      </c>
      <c r="K895" s="10">
        <f>CHOOSE(CONTROL!$C$42, 31.092, 31.092) * CHOOSE(CONTROL!$C$21, $C$9, 100%, $E$9)</f>
        <v>31.091999999999999</v>
      </c>
      <c r="L895" s="10">
        <f>CHOOSE(CONTROL!$C$42, 32.7211, 32.7211) * CHOOSE(CONTROL!$C$21, $C$9, 100%, $E$9)</f>
        <v>32.7211</v>
      </c>
      <c r="M895" s="10">
        <f>CHOOSE(CONTROL!$C$42, 31.475, 31.475) * CHOOSE(CONTROL!$C$21, $C$9, 100%, $E$9)</f>
        <v>31.475000000000001</v>
      </c>
      <c r="N895" s="10">
        <f>CHOOSE(CONTROL!$C$42, 31.491, 31.491) * CHOOSE(CONTROL!$C$21, $C$9, 100%, $E$9)</f>
        <v>31.491</v>
      </c>
      <c r="O895" s="10">
        <f>CHOOSE(CONTROL!$C$42, 31.7189, 31.7189) * CHOOSE(CONTROL!$C$21, $C$9, 100%, $E$9)</f>
        <v>31.718900000000001</v>
      </c>
      <c r="P895" s="10">
        <f>CHOOSE(CONTROL!$C$42, 31.516, 31.516) * CHOOSE(CONTROL!$C$21, $C$9, 100%, $E$9)</f>
        <v>31.515999999999998</v>
      </c>
      <c r="Q895" s="10">
        <f>CHOOSE(CONTROL!$C$42, 32.3142, 32.3142) * CHOOSE(CONTROL!$C$21, $C$9, 100%, $E$9)</f>
        <v>32.3142</v>
      </c>
      <c r="R895" s="10">
        <f>CHOOSE(CONTROL!$C$42, 32.9819, 32.9819) * CHOOSE(CONTROL!$C$21, $C$9, 100%, $E$9)</f>
        <v>32.981900000000003</v>
      </c>
      <c r="S895" s="10">
        <f>CHOOSE(CONTROL!$C$42, 30.9513, 30.9513) * CHOOSE(CONTROL!$C$21, $C$9, 100%, $E$9)</f>
        <v>30.9513</v>
      </c>
      <c r="T89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895" s="38">
        <f>(1000*CHOOSE(CONTROL!$C$42, 695, 695)*CHOOSE(CONTROL!$C$42, 0.5599, 0.5599)*CHOOSE(CONTROL!$C$42, 31, 31))/1000000</f>
        <v>12.063045499999998</v>
      </c>
      <c r="V895" s="38">
        <f>(1000*CHOOSE(CONTROL!$C$42, 500, 500)*CHOOSE(CONTROL!$C$42, 0.275, 0.275)*CHOOSE(CONTROL!$C$42, 31, 31))/1000000</f>
        <v>4.2625000000000002</v>
      </c>
      <c r="W895" s="38">
        <f>(1000*CHOOSE(CONTROL!$C$42, 0.1146, 0.1146)*CHOOSE(CONTROL!$C$42, 121.5, 121.5)*CHOOSE(CONTROL!$C$42, 31, 31))/1000000</f>
        <v>0.43164089999999994</v>
      </c>
      <c r="X895" s="38">
        <f>(31*0.1790888*245000/1000000)+(31*0.2374*100000/1000000)</f>
        <v>2.0961194359999999</v>
      </c>
      <c r="Y895" s="38">
        <f>(1000*600*CHOOSE(CONTROL!$C$42, 1.0585, 1.0585)*CHOOSE(CONTROL!$C$42, 31, 31))/1000000</f>
        <v>19.688099999999999</v>
      </c>
      <c r="Z895" s="38"/>
      <c r="AA895" s="10"/>
      <c r="AB895" s="39"/>
      <c r="AC895" s="33">
        <f>(B895*194.205+C895*267.466+D895*133.845+E895*53.484+F895*40+G895*185+H895*0+I895*100+J895*300)/(194.205+267.466+133.845+53.484+0+40+185+100+300)</f>
        <v>31.952923035086346</v>
      </c>
      <c r="AD895" s="27">
        <f>(M895*'RAP TEMPLATE-GAS AVAILABILITY'!O894+N895*'RAP TEMPLATE-GAS AVAILABILITY'!P894+O895*'RAP TEMPLATE-GAS AVAILABILITY'!Q894+P895*'RAP TEMPLATE-GAS AVAILABILITY'!R894)/('RAP TEMPLATE-GAS AVAILABILITY'!O894+'RAP TEMPLATE-GAS AVAILABILITY'!P894+'RAP TEMPLATE-GAS AVAILABILITY'!Q894+'RAP TEMPLATE-GAS AVAILABILITY'!R894)</f>
        <v>31.592364748201437</v>
      </c>
    </row>
    <row r="896" spans="1:30" ht="15.75">
      <c r="A896" s="13">
        <v>68545</v>
      </c>
      <c r="B896" s="10">
        <f>CHOOSE(CONTROL!$C$42, 30.3707, 30.3707) * CHOOSE(CONTROL!$C$21, $C$9, 100%, $E$9)</f>
        <v>30.370699999999999</v>
      </c>
      <c r="C896" s="10">
        <f>CHOOSE(CONTROL!$C$42, 30.3787, 30.3787) * CHOOSE(CONTROL!$C$21, $C$9, 100%, $E$9)</f>
        <v>30.378699999999998</v>
      </c>
      <c r="D896" s="10">
        <f>CHOOSE(CONTROL!$C$42, 30.5358, 30.5358) * CHOOSE(CONTROL!$C$21, $C$9, 100%, $E$9)</f>
        <v>30.535799999999998</v>
      </c>
      <c r="E896" s="10">
        <f>CHOOSE(CONTROL!$C$42, 30.567, 30.567) * CHOOSE(CONTROL!$C$21, $C$9, 100%, $E$9)</f>
        <v>30.567</v>
      </c>
      <c r="F896" s="10">
        <f>CHOOSE(CONTROL!$C$42, 30.3153, 30.3153)*CHOOSE(CONTROL!$C$21, $C$9, 100%, $E$9)</f>
        <v>30.315300000000001</v>
      </c>
      <c r="G896" s="10">
        <f>CHOOSE(CONTROL!$C$42, 30.3315, 30.3315)*CHOOSE(CONTROL!$C$21, $C$9, 100%, $E$9)</f>
        <v>30.331499999999998</v>
      </c>
      <c r="H896" s="10">
        <f>CHOOSE(CONTROL!$C$42, 30.5553, 30.5553) * CHOOSE(CONTROL!$C$21, $C$9, 100%, $E$9)</f>
        <v>30.555299999999999</v>
      </c>
      <c r="I896" s="10">
        <f>CHOOSE(CONTROL!$C$42, 30.3495, 30.3495)* CHOOSE(CONTROL!$C$21, $C$9, 100%, $E$9)</f>
        <v>30.349499999999999</v>
      </c>
      <c r="J896" s="10">
        <f>CHOOSE(CONTROL!$C$42, 30.3079, 30.3079)* CHOOSE(CONTROL!$C$21, $C$9, 100%, $E$9)</f>
        <v>30.3079</v>
      </c>
      <c r="K896" s="10">
        <f>CHOOSE(CONTROL!$C$42, 29.5623, 29.5623) * CHOOSE(CONTROL!$C$21, $C$9, 100%, $E$9)</f>
        <v>29.5623</v>
      </c>
      <c r="L896" s="10">
        <f>CHOOSE(CONTROL!$C$42, 31.1423, 31.1423) * CHOOSE(CONTROL!$C$21, $C$9, 100%, $E$9)</f>
        <v>31.142299999999999</v>
      </c>
      <c r="M896" s="10">
        <f>CHOOSE(CONTROL!$C$42, 29.9181, 29.9181) * CHOOSE(CONTROL!$C$21, $C$9, 100%, $E$9)</f>
        <v>29.918099999999999</v>
      </c>
      <c r="N896" s="10">
        <f>CHOOSE(CONTROL!$C$42, 29.9341, 29.9341) * CHOOSE(CONTROL!$C$21, $C$9, 100%, $E$9)</f>
        <v>29.934100000000001</v>
      </c>
      <c r="O896" s="10">
        <f>CHOOSE(CONTROL!$C$42, 30.1621, 30.1621) * CHOOSE(CONTROL!$C$21, $C$9, 100%, $E$9)</f>
        <v>30.162099999999999</v>
      </c>
      <c r="P896" s="10">
        <f>CHOOSE(CONTROL!$C$42, 29.9592, 29.9592) * CHOOSE(CONTROL!$C$21, $C$9, 100%, $E$9)</f>
        <v>29.959199999999999</v>
      </c>
      <c r="Q896" s="10">
        <f>CHOOSE(CONTROL!$C$42, 30.7574, 30.7574) * CHOOSE(CONTROL!$C$21, $C$9, 100%, $E$9)</f>
        <v>30.757400000000001</v>
      </c>
      <c r="R896" s="10">
        <f>CHOOSE(CONTROL!$C$42, 31.4212, 31.4212) * CHOOSE(CONTROL!$C$21, $C$9, 100%, $E$9)</f>
        <v>31.421199999999999</v>
      </c>
      <c r="S896" s="10">
        <f>CHOOSE(CONTROL!$C$42, 29.4226, 29.4226) * CHOOSE(CONTROL!$C$21, $C$9, 100%, $E$9)</f>
        <v>29.422599999999999</v>
      </c>
      <c r="T89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896" s="38">
        <f>(1000*CHOOSE(CONTROL!$C$42, 695, 695)*CHOOSE(CONTROL!$C$42, 0.5599, 0.5599)*CHOOSE(CONTROL!$C$42, 31, 31))/1000000</f>
        <v>12.063045499999998</v>
      </c>
      <c r="V896" s="38">
        <f>(1000*CHOOSE(CONTROL!$C$42, 500, 500)*CHOOSE(CONTROL!$C$42, 0.275, 0.275)*CHOOSE(CONTROL!$C$42, 31, 31))/1000000</f>
        <v>4.2625000000000002</v>
      </c>
      <c r="W896" s="38">
        <f>(1000*CHOOSE(CONTROL!$C$42, 0.1146, 0.1146)*CHOOSE(CONTROL!$C$42, 121.5, 121.5)*CHOOSE(CONTROL!$C$42, 31, 31))/1000000</f>
        <v>0.43164089999999994</v>
      </c>
      <c r="X896" s="38">
        <f>(31*0.1790888*245000/1000000)+(31*0.2374*100000/1000000)</f>
        <v>2.0961194359999999</v>
      </c>
      <c r="Y896" s="38">
        <f>(1000*600*CHOOSE(CONTROL!$C$42, 1.0585, 1.0585)*CHOOSE(CONTROL!$C$42, 31, 31))/1000000</f>
        <v>19.688099999999999</v>
      </c>
      <c r="Z896" s="38"/>
      <c r="AA896" s="10"/>
      <c r="AB896" s="39"/>
      <c r="AC896" s="33">
        <f>(B896*194.205+C896*267.466+D896*133.845+E896*53.484+F896*40+G896*185+H896*0+I896*100+J896*300)/(194.205+267.466+133.845+53.484+0+40+185+100+300)</f>
        <v>30.374081826295136</v>
      </c>
      <c r="AD896" s="27">
        <f>(M896*'RAP TEMPLATE-GAS AVAILABILITY'!O895+N896*'RAP TEMPLATE-GAS AVAILABILITY'!P895+O896*'RAP TEMPLATE-GAS AVAILABILITY'!Q895+P896*'RAP TEMPLATE-GAS AVAILABILITY'!R895)/('RAP TEMPLATE-GAS AVAILABILITY'!O895+'RAP TEMPLATE-GAS AVAILABILITY'!P895+'RAP TEMPLATE-GAS AVAILABILITY'!Q895+'RAP TEMPLATE-GAS AVAILABILITY'!R895)</f>
        <v>30.035524460431656</v>
      </c>
    </row>
    <row r="897" spans="1:30" ht="15.75">
      <c r="A897" s="13">
        <v>68575</v>
      </c>
      <c r="B897" s="10">
        <f>CHOOSE(CONTROL!$C$42, 28.4417, 28.4417) * CHOOSE(CONTROL!$C$21, $C$9, 100%, $E$9)</f>
        <v>28.441700000000001</v>
      </c>
      <c r="C897" s="10">
        <f>CHOOSE(CONTROL!$C$42, 28.4497, 28.4497) * CHOOSE(CONTROL!$C$21, $C$9, 100%, $E$9)</f>
        <v>28.4497</v>
      </c>
      <c r="D897" s="10">
        <f>CHOOSE(CONTROL!$C$42, 28.6067, 28.6067) * CHOOSE(CONTROL!$C$21, $C$9, 100%, $E$9)</f>
        <v>28.6067</v>
      </c>
      <c r="E897" s="10">
        <f>CHOOSE(CONTROL!$C$42, 28.6379, 28.6379) * CHOOSE(CONTROL!$C$21, $C$9, 100%, $E$9)</f>
        <v>28.637899999999998</v>
      </c>
      <c r="F897" s="10">
        <f>CHOOSE(CONTROL!$C$42, 28.386, 28.386)*CHOOSE(CONTROL!$C$21, $C$9, 100%, $E$9)</f>
        <v>28.385999999999999</v>
      </c>
      <c r="G897" s="10">
        <f>CHOOSE(CONTROL!$C$42, 28.4022, 28.4022)*CHOOSE(CONTROL!$C$21, $C$9, 100%, $E$9)</f>
        <v>28.402200000000001</v>
      </c>
      <c r="H897" s="10">
        <f>CHOOSE(CONTROL!$C$42, 28.6263, 28.6263) * CHOOSE(CONTROL!$C$21, $C$9, 100%, $E$9)</f>
        <v>28.626300000000001</v>
      </c>
      <c r="I897" s="10">
        <f>CHOOSE(CONTROL!$C$42, 28.4205, 28.4205)* CHOOSE(CONTROL!$C$21, $C$9, 100%, $E$9)</f>
        <v>28.420500000000001</v>
      </c>
      <c r="J897" s="10">
        <f>CHOOSE(CONTROL!$C$42, 28.3786, 28.3786)* CHOOSE(CONTROL!$C$21, $C$9, 100%, $E$9)</f>
        <v>28.378599999999999</v>
      </c>
      <c r="K897" s="10">
        <f>CHOOSE(CONTROL!$C$42, 27.693, 27.693) * CHOOSE(CONTROL!$C$21, $C$9, 100%, $E$9)</f>
        <v>27.693000000000001</v>
      </c>
      <c r="L897" s="10">
        <f>CHOOSE(CONTROL!$C$42, 29.2133, 29.2133) * CHOOSE(CONTROL!$C$21, $C$9, 100%, $E$9)</f>
        <v>29.2133</v>
      </c>
      <c r="M897" s="10">
        <f>CHOOSE(CONTROL!$C$42, 28.0158, 28.0158) * CHOOSE(CONTROL!$C$21, $C$9, 100%, $E$9)</f>
        <v>28.015799999999999</v>
      </c>
      <c r="N897" s="10">
        <f>CHOOSE(CONTROL!$C$42, 28.0317, 28.0317) * CHOOSE(CONTROL!$C$21, $C$9, 100%, $E$9)</f>
        <v>28.031700000000001</v>
      </c>
      <c r="O897" s="10">
        <f>CHOOSE(CONTROL!$C$42, 28.2599, 28.2599) * CHOOSE(CONTROL!$C$21, $C$9, 100%, $E$9)</f>
        <v>28.259899999999998</v>
      </c>
      <c r="P897" s="10">
        <f>CHOOSE(CONTROL!$C$42, 28.057, 28.057) * CHOOSE(CONTROL!$C$21, $C$9, 100%, $E$9)</f>
        <v>28.056999999999999</v>
      </c>
      <c r="Q897" s="10">
        <f>CHOOSE(CONTROL!$C$42, 28.8552, 28.8552) * CHOOSE(CONTROL!$C$21, $C$9, 100%, $E$9)</f>
        <v>28.8552</v>
      </c>
      <c r="R897" s="10">
        <f>CHOOSE(CONTROL!$C$42, 29.5144, 29.5144) * CHOOSE(CONTROL!$C$21, $C$9, 100%, $E$9)</f>
        <v>29.514399999999998</v>
      </c>
      <c r="S897" s="10">
        <f>CHOOSE(CONTROL!$C$42, 27.5547, 27.5547) * CHOOSE(CONTROL!$C$21, $C$9, 100%, $E$9)</f>
        <v>27.5547</v>
      </c>
      <c r="T89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897" s="38">
        <f>(1000*CHOOSE(CONTROL!$C$42, 695, 695)*CHOOSE(CONTROL!$C$42, 0.5599, 0.5599)*CHOOSE(CONTROL!$C$42, 30, 30))/1000000</f>
        <v>11.673914999999997</v>
      </c>
      <c r="V897" s="38">
        <f>(1000*CHOOSE(CONTROL!$C$42, 500, 500)*CHOOSE(CONTROL!$C$42, 0.275, 0.275)*CHOOSE(CONTROL!$C$42, 30, 30))/1000000</f>
        <v>4.125</v>
      </c>
      <c r="W897" s="38">
        <f>(1000*CHOOSE(CONTROL!$C$42, 0.1146, 0.1146)*CHOOSE(CONTROL!$C$42, 121.5, 121.5)*CHOOSE(CONTROL!$C$42, 30, 30))/1000000</f>
        <v>0.417717</v>
      </c>
      <c r="X897" s="38">
        <f>(30*0.1790888*245000/1000000)+(30*0.2374*100000/1000000)</f>
        <v>2.0285026799999999</v>
      </c>
      <c r="Y897" s="38">
        <f>(1000*600*CHOOSE(CONTROL!$C$42, 1.0585, 1.0585)*CHOOSE(CONTROL!$C$42, 30, 30))/1000000</f>
        <v>19.053000000000001</v>
      </c>
      <c r="Z897" s="38"/>
      <c r="AA897" s="10"/>
      <c r="AB897" s="39"/>
      <c r="AC897" s="33">
        <f>(B897*194.205+C897*267.466+D897*133.845+E897*53.484+F897*40+G897*185+H897*0+I897*100+J897*300)/(194.205+267.466+133.845+53.484+0+40+185+100+300)</f>
        <v>28.444943495918363</v>
      </c>
      <c r="AD897" s="27">
        <f>(M897*'RAP TEMPLATE-GAS AVAILABILITY'!O896+N897*'RAP TEMPLATE-GAS AVAILABILITY'!P896+O897*'RAP TEMPLATE-GAS AVAILABILITY'!Q896+P897*'RAP TEMPLATE-GAS AVAILABILITY'!R896)/('RAP TEMPLATE-GAS AVAILABILITY'!O896+'RAP TEMPLATE-GAS AVAILABILITY'!P896+'RAP TEMPLATE-GAS AVAILABILITY'!Q896+'RAP TEMPLATE-GAS AVAILABILITY'!R896)</f>
        <v>28.133278417266187</v>
      </c>
    </row>
    <row r="898" spans="1:30" ht="15.75">
      <c r="A898" s="13">
        <v>68606</v>
      </c>
      <c r="B898" s="10">
        <f>CHOOSE(CONTROL!$C$42, 27.8617, 27.8617) * CHOOSE(CONTROL!$C$21, $C$9, 100%, $E$9)</f>
        <v>27.861699999999999</v>
      </c>
      <c r="C898" s="10">
        <f>CHOOSE(CONTROL!$C$42, 27.8671, 27.8671) * CHOOSE(CONTROL!$C$21, $C$9, 100%, $E$9)</f>
        <v>27.867100000000001</v>
      </c>
      <c r="D898" s="10">
        <f>CHOOSE(CONTROL!$C$42, 28.029, 28.029) * CHOOSE(CONTROL!$C$21, $C$9, 100%, $E$9)</f>
        <v>28.029</v>
      </c>
      <c r="E898" s="10">
        <f>CHOOSE(CONTROL!$C$42, 28.0579, 28.0579) * CHOOSE(CONTROL!$C$21, $C$9, 100%, $E$9)</f>
        <v>28.0579</v>
      </c>
      <c r="F898" s="10">
        <f>CHOOSE(CONTROL!$C$42, 27.8081, 27.8081)*CHOOSE(CONTROL!$C$21, $C$9, 100%, $E$9)</f>
        <v>27.8081</v>
      </c>
      <c r="G898" s="10">
        <f>CHOOSE(CONTROL!$C$42, 27.8239, 27.8239)*CHOOSE(CONTROL!$C$21, $C$9, 100%, $E$9)</f>
        <v>27.823899999999998</v>
      </c>
      <c r="H898" s="10">
        <f>CHOOSE(CONTROL!$C$42, 28.0481, 28.0481) * CHOOSE(CONTROL!$C$21, $C$9, 100%, $E$9)</f>
        <v>28.048100000000002</v>
      </c>
      <c r="I898" s="10">
        <f>CHOOSE(CONTROL!$C$42, 27.8422, 27.8422)* CHOOSE(CONTROL!$C$21, $C$9, 100%, $E$9)</f>
        <v>27.842199999999998</v>
      </c>
      <c r="J898" s="10">
        <f>CHOOSE(CONTROL!$C$42, 27.8007, 27.8007)* CHOOSE(CONTROL!$C$21, $C$9, 100%, $E$9)</f>
        <v>27.800699999999999</v>
      </c>
      <c r="K898" s="10">
        <f>CHOOSE(CONTROL!$C$42, 27.1335, 27.1335) * CHOOSE(CONTROL!$C$21, $C$9, 100%, $E$9)</f>
        <v>27.133500000000002</v>
      </c>
      <c r="L898" s="10">
        <f>CHOOSE(CONTROL!$C$42, 28.6351, 28.6351) * CHOOSE(CONTROL!$C$21, $C$9, 100%, $E$9)</f>
        <v>28.635100000000001</v>
      </c>
      <c r="M898" s="10">
        <f>CHOOSE(CONTROL!$C$42, 27.4459, 27.4459) * CHOOSE(CONTROL!$C$21, $C$9, 100%, $E$9)</f>
        <v>27.445900000000002</v>
      </c>
      <c r="N898" s="10">
        <f>CHOOSE(CONTROL!$C$42, 27.4615, 27.4615) * CHOOSE(CONTROL!$C$21, $C$9, 100%, $E$9)</f>
        <v>27.461500000000001</v>
      </c>
      <c r="O898" s="10">
        <f>CHOOSE(CONTROL!$C$42, 27.6898, 27.6898) * CHOOSE(CONTROL!$C$21, $C$9, 100%, $E$9)</f>
        <v>27.689800000000002</v>
      </c>
      <c r="P898" s="10">
        <f>CHOOSE(CONTROL!$C$42, 27.4869, 27.4869) * CHOOSE(CONTROL!$C$21, $C$9, 100%, $E$9)</f>
        <v>27.486899999999999</v>
      </c>
      <c r="Q898" s="10">
        <f>CHOOSE(CONTROL!$C$42, 28.2851, 28.2851) * CHOOSE(CONTROL!$C$21, $C$9, 100%, $E$9)</f>
        <v>28.2851</v>
      </c>
      <c r="R898" s="10">
        <f>CHOOSE(CONTROL!$C$42, 28.9428, 28.9428) * CHOOSE(CONTROL!$C$21, $C$9, 100%, $E$9)</f>
        <v>28.942799999999998</v>
      </c>
      <c r="S898" s="10">
        <f>CHOOSE(CONTROL!$C$42, 26.9948, 26.9948) * CHOOSE(CONTROL!$C$21, $C$9, 100%, $E$9)</f>
        <v>26.994800000000001</v>
      </c>
      <c r="T89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898" s="38">
        <f>(1000*CHOOSE(CONTROL!$C$42, 695, 695)*CHOOSE(CONTROL!$C$42, 0.5599, 0.5599)*CHOOSE(CONTROL!$C$42, 31, 31))/1000000</f>
        <v>12.063045499999998</v>
      </c>
      <c r="V898" s="38">
        <f>(1000*CHOOSE(CONTROL!$C$42, 500, 500)*CHOOSE(CONTROL!$C$42, 0.275, 0.275)*CHOOSE(CONTROL!$C$42, 31, 31))/1000000</f>
        <v>4.2625000000000002</v>
      </c>
      <c r="W898" s="38">
        <f>(1000*CHOOSE(CONTROL!$C$42, 0.1146, 0.1146)*CHOOSE(CONTROL!$C$42, 121.5, 121.5)*CHOOSE(CONTROL!$C$42, 31, 31))/1000000</f>
        <v>0.43164089999999994</v>
      </c>
      <c r="X898" s="38">
        <f>(31*0.1790888*245000/1000000)+(31*0.2374*100000/1000000)</f>
        <v>2.0961194359999999</v>
      </c>
      <c r="Y898" s="38">
        <f>(1000*600*CHOOSE(CONTROL!$C$42, 1.0585, 1.0585)*CHOOSE(CONTROL!$C$42, 31, 31))/1000000</f>
        <v>19.688099999999999</v>
      </c>
      <c r="Z898" s="38"/>
      <c r="AA898" s="10"/>
      <c r="AB898" s="39"/>
      <c r="AC898" s="33">
        <f>(B898*131.881+C898*277.167+D898*79.08+E898*125.872+F898*40+G898*185+H898*0+I898*100+J898*300)/(131.881+277.167+79.08+125.872+0+40+185+100+300)</f>
        <v>27.869799977562554</v>
      </c>
      <c r="AD898" s="27">
        <f>(M898*'RAP TEMPLATE-GAS AVAILABILITY'!O897+N898*'RAP TEMPLATE-GAS AVAILABILITY'!P897+O898*'RAP TEMPLATE-GAS AVAILABILITY'!Q897+P898*'RAP TEMPLATE-GAS AVAILABILITY'!R897)/('RAP TEMPLATE-GAS AVAILABILITY'!O897+'RAP TEMPLATE-GAS AVAILABILITY'!P897+'RAP TEMPLATE-GAS AVAILABILITY'!Q897+'RAP TEMPLATE-GAS AVAILABILITY'!R897)</f>
        <v>27.563241726618703</v>
      </c>
    </row>
    <row r="899" spans="1:30" ht="15.75">
      <c r="A899" s="13">
        <v>68636</v>
      </c>
      <c r="B899" s="10">
        <f>CHOOSE(CONTROL!$C$42, 28.5958, 28.5958) * CHOOSE(CONTROL!$C$21, $C$9, 100%, $E$9)</f>
        <v>28.595800000000001</v>
      </c>
      <c r="C899" s="10">
        <f>CHOOSE(CONTROL!$C$42, 28.6009, 28.6009) * CHOOSE(CONTROL!$C$21, $C$9, 100%, $E$9)</f>
        <v>28.600899999999999</v>
      </c>
      <c r="D899" s="10">
        <f>CHOOSE(CONTROL!$C$42, 28.6255, 28.6255) * CHOOSE(CONTROL!$C$21, $C$9, 100%, $E$9)</f>
        <v>28.625499999999999</v>
      </c>
      <c r="E899" s="10">
        <f>CHOOSE(CONTROL!$C$42, 28.6593, 28.6593) * CHOOSE(CONTROL!$C$21, $C$9, 100%, $E$9)</f>
        <v>28.659300000000002</v>
      </c>
      <c r="F899" s="10">
        <f>CHOOSE(CONTROL!$C$42, 28.5641, 28.5641)*CHOOSE(CONTROL!$C$21, $C$9, 100%, $E$9)</f>
        <v>28.5641</v>
      </c>
      <c r="G899" s="10">
        <f>CHOOSE(CONTROL!$C$42, 28.5801, 28.5801)*CHOOSE(CONTROL!$C$21, $C$9, 100%, $E$9)</f>
        <v>28.580100000000002</v>
      </c>
      <c r="H899" s="10">
        <f>CHOOSE(CONTROL!$C$42, 28.6482, 28.6482) * CHOOSE(CONTROL!$C$21, $C$9, 100%, $E$9)</f>
        <v>28.648199999999999</v>
      </c>
      <c r="I899" s="10">
        <f>CHOOSE(CONTROL!$C$42, 28.6107, 28.6107)* CHOOSE(CONTROL!$C$21, $C$9, 100%, $E$9)</f>
        <v>28.610700000000001</v>
      </c>
      <c r="J899" s="10">
        <f>CHOOSE(CONTROL!$C$42, 28.5567, 28.5567)* CHOOSE(CONTROL!$C$21, $C$9, 100%, $E$9)</f>
        <v>28.556699999999999</v>
      </c>
      <c r="K899" s="10">
        <f>CHOOSE(CONTROL!$C$42, 27.8802, 27.8802) * CHOOSE(CONTROL!$C$21, $C$9, 100%, $E$9)</f>
        <v>27.880199999999999</v>
      </c>
      <c r="L899" s="10">
        <f>CHOOSE(CONTROL!$C$42, 29.2352, 29.2352) * CHOOSE(CONTROL!$C$21, $C$9, 100%, $E$9)</f>
        <v>29.235199999999999</v>
      </c>
      <c r="M899" s="10">
        <f>CHOOSE(CONTROL!$C$42, 28.1913, 28.1913) * CHOOSE(CONTROL!$C$21, $C$9, 100%, $E$9)</f>
        <v>28.191299999999998</v>
      </c>
      <c r="N899" s="10">
        <f>CHOOSE(CONTROL!$C$42, 28.2071, 28.2071) * CHOOSE(CONTROL!$C$21, $C$9, 100%, $E$9)</f>
        <v>28.207100000000001</v>
      </c>
      <c r="O899" s="10">
        <f>CHOOSE(CONTROL!$C$42, 28.2816, 28.2816) * CHOOSE(CONTROL!$C$21, $C$9, 100%, $E$9)</f>
        <v>28.281600000000001</v>
      </c>
      <c r="P899" s="10">
        <f>CHOOSE(CONTROL!$C$42, 28.2447, 28.2447) * CHOOSE(CONTROL!$C$21, $C$9, 100%, $E$9)</f>
        <v>28.244700000000002</v>
      </c>
      <c r="Q899" s="10">
        <f>CHOOSE(CONTROL!$C$42, 28.8769, 28.8769) * CHOOSE(CONTROL!$C$21, $C$9, 100%, $E$9)</f>
        <v>28.876899999999999</v>
      </c>
      <c r="R899" s="10">
        <f>CHOOSE(CONTROL!$C$42, 29.5361, 29.5361) * CHOOSE(CONTROL!$C$21, $C$9, 100%, $E$9)</f>
        <v>29.536100000000001</v>
      </c>
      <c r="S899" s="10">
        <f>CHOOSE(CONTROL!$C$42, 27.7059, 27.7059) * CHOOSE(CONTROL!$C$21, $C$9, 100%, $E$9)</f>
        <v>27.7059</v>
      </c>
      <c r="T89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899" s="38">
        <f>(1000*CHOOSE(CONTROL!$C$42, 695, 695)*CHOOSE(CONTROL!$C$42, 0.5599, 0.5599)*CHOOSE(CONTROL!$C$42, 30, 30))/1000000</f>
        <v>11.673914999999997</v>
      </c>
      <c r="V899" s="38">
        <f>(1000*CHOOSE(CONTROL!$C$42, 500, 500)*CHOOSE(CONTROL!$C$42, 0.275, 0.275)*CHOOSE(CONTROL!$C$42, 30, 30))/1000000</f>
        <v>4.125</v>
      </c>
      <c r="W899" s="38">
        <f>(1000*CHOOSE(CONTROL!$C$42, 0.1146, 0.1146)*CHOOSE(CONTROL!$C$42, 121.5, 121.5)*CHOOSE(CONTROL!$C$42, 30, 30))/1000000</f>
        <v>0.417717</v>
      </c>
      <c r="X899" s="38">
        <f>(30*0.1790888*100000/1000000)+(30*0.2374*100000/1000000)</f>
        <v>1.2494664</v>
      </c>
      <c r="Y899" s="38">
        <f>(1000*600*CHOOSE(CONTROL!$C$42, 1.0585, 1.0585)*CHOOSE(CONTROL!$C$42, 30, 30))/1000000</f>
        <v>19.053000000000001</v>
      </c>
      <c r="Z899" s="38"/>
      <c r="AA899" s="10"/>
      <c r="AB899" s="39"/>
      <c r="AC899" s="33">
        <f>(B899*122.58+C899*297.941+D899*89.177+E899*40.302+F899*40+G899*160+H899*0+I899*100+J899*300)/(122.58+297.941+89.177+40.302+0+40+160+100+300)</f>
        <v>28.589458463478259</v>
      </c>
      <c r="AD899" s="27">
        <f>(M899*'RAP TEMPLATE-GAS AVAILABILITY'!O898+N899*'RAP TEMPLATE-GAS AVAILABILITY'!P898+O899*'RAP TEMPLATE-GAS AVAILABILITY'!Q898+P899*'RAP TEMPLATE-GAS AVAILABILITY'!R898)/('RAP TEMPLATE-GAS AVAILABILITY'!O898+'RAP TEMPLATE-GAS AVAILABILITY'!P898+'RAP TEMPLATE-GAS AVAILABILITY'!Q898+'RAP TEMPLATE-GAS AVAILABILITY'!R898)</f>
        <v>28.240820143884896</v>
      </c>
    </row>
    <row r="900" spans="1:30" ht="15.75">
      <c r="A900" s="13">
        <v>68667</v>
      </c>
      <c r="B900" s="10">
        <f>CHOOSE(CONTROL!$C$42, 30.5465, 30.5465) * CHOOSE(CONTROL!$C$21, $C$9, 100%, $E$9)</f>
        <v>30.546500000000002</v>
      </c>
      <c r="C900" s="10">
        <f>CHOOSE(CONTROL!$C$42, 30.5516, 30.5516) * CHOOSE(CONTROL!$C$21, $C$9, 100%, $E$9)</f>
        <v>30.551600000000001</v>
      </c>
      <c r="D900" s="10">
        <f>CHOOSE(CONTROL!$C$42, 30.5763, 30.5763) * CHOOSE(CONTROL!$C$21, $C$9, 100%, $E$9)</f>
        <v>30.5763</v>
      </c>
      <c r="E900" s="10">
        <f>CHOOSE(CONTROL!$C$42, 30.6101, 30.6101) * CHOOSE(CONTROL!$C$21, $C$9, 100%, $E$9)</f>
        <v>30.610099999999999</v>
      </c>
      <c r="F900" s="10">
        <f>CHOOSE(CONTROL!$C$42, 30.5168, 30.5168)*CHOOSE(CONTROL!$C$21, $C$9, 100%, $E$9)</f>
        <v>30.5168</v>
      </c>
      <c r="G900" s="10">
        <f>CHOOSE(CONTROL!$C$42, 30.5332, 30.5332)*CHOOSE(CONTROL!$C$21, $C$9, 100%, $E$9)</f>
        <v>30.533200000000001</v>
      </c>
      <c r="H900" s="10">
        <f>CHOOSE(CONTROL!$C$42, 30.599, 30.599) * CHOOSE(CONTROL!$C$21, $C$9, 100%, $E$9)</f>
        <v>30.599</v>
      </c>
      <c r="I900" s="10">
        <f>CHOOSE(CONTROL!$C$42, 30.5615, 30.5615)* CHOOSE(CONTROL!$C$21, $C$9, 100%, $E$9)</f>
        <v>30.561499999999999</v>
      </c>
      <c r="J900" s="10">
        <f>CHOOSE(CONTROL!$C$42, 30.5094, 30.5094)* CHOOSE(CONTROL!$C$21, $C$9, 100%, $E$9)</f>
        <v>30.509399999999999</v>
      </c>
      <c r="K900" s="10">
        <f>CHOOSE(CONTROL!$C$42, 29.7742, 29.7742) * CHOOSE(CONTROL!$C$21, $C$9, 100%, $E$9)</f>
        <v>29.7742</v>
      </c>
      <c r="L900" s="10">
        <f>CHOOSE(CONTROL!$C$42, 31.186, 31.186) * CHOOSE(CONTROL!$C$21, $C$9, 100%, $E$9)</f>
        <v>31.186</v>
      </c>
      <c r="M900" s="10">
        <f>CHOOSE(CONTROL!$C$42, 30.1168, 30.1168) * CHOOSE(CONTROL!$C$21, $C$9, 100%, $E$9)</f>
        <v>30.116800000000001</v>
      </c>
      <c r="N900" s="10">
        <f>CHOOSE(CONTROL!$C$42, 30.133, 30.133) * CHOOSE(CONTROL!$C$21, $C$9, 100%, $E$9)</f>
        <v>30.132999999999999</v>
      </c>
      <c r="O900" s="10">
        <f>CHOOSE(CONTROL!$C$42, 30.2051, 30.2051) * CHOOSE(CONTROL!$C$21, $C$9, 100%, $E$9)</f>
        <v>30.205100000000002</v>
      </c>
      <c r="P900" s="10">
        <f>CHOOSE(CONTROL!$C$42, 30.1682, 30.1682) * CHOOSE(CONTROL!$C$21, $C$9, 100%, $E$9)</f>
        <v>30.168199999999999</v>
      </c>
      <c r="Q900" s="10">
        <f>CHOOSE(CONTROL!$C$42, 30.8004, 30.8004) * CHOOSE(CONTROL!$C$21, $C$9, 100%, $E$9)</f>
        <v>30.8004</v>
      </c>
      <c r="R900" s="10">
        <f>CHOOSE(CONTROL!$C$42, 31.4644, 31.4644) * CHOOSE(CONTROL!$C$21, $C$9, 100%, $E$9)</f>
        <v>31.464400000000001</v>
      </c>
      <c r="S900" s="10">
        <f>CHOOSE(CONTROL!$C$42, 29.5948, 29.5948) * CHOOSE(CONTROL!$C$21, $C$9, 100%, $E$9)</f>
        <v>29.594799999999999</v>
      </c>
      <c r="T90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00" s="38">
        <f>(1000*CHOOSE(CONTROL!$C$42, 695, 695)*CHOOSE(CONTROL!$C$42, 0.5599, 0.5599)*CHOOSE(CONTROL!$C$42, 31, 31))/1000000</f>
        <v>12.063045499999998</v>
      </c>
      <c r="V900" s="38">
        <f>(1000*CHOOSE(CONTROL!$C$42, 500, 500)*CHOOSE(CONTROL!$C$42, 0.275, 0.275)*CHOOSE(CONTROL!$C$42, 31, 31))/1000000</f>
        <v>4.2625000000000002</v>
      </c>
      <c r="W900" s="38">
        <f>(1000*CHOOSE(CONTROL!$C$42, 0.1146, 0.1146)*CHOOSE(CONTROL!$C$42, 121.5, 121.5)*CHOOSE(CONTROL!$C$42, 31, 31))/1000000</f>
        <v>0.43164089999999994</v>
      </c>
      <c r="X900" s="38">
        <f>(31*0.1790888*100000/1000000)+(31*0.2374*100000/1000000)</f>
        <v>1.2911152800000001</v>
      </c>
      <c r="Y900" s="38">
        <f>(1000*600*CHOOSE(CONTROL!$C$42, 1.0585, 1.0585)*CHOOSE(CONTROL!$C$42, 31, 31))/1000000</f>
        <v>19.688099999999999</v>
      </c>
      <c r="Z900" s="38"/>
      <c r="AA900" s="10"/>
      <c r="AB900" s="39"/>
      <c r="AC900" s="33">
        <f>(B900*122.58+C900*297.941+D900*89.177+E900*40.302+F900*40+G900*160+H900*0+I900*100+J900*300)/(122.58+297.941+89.177+40.302+0+40+160+100+300)</f>
        <v>30.541103635565214</v>
      </c>
      <c r="AD900" s="27">
        <f>(M900*'RAP TEMPLATE-GAS AVAILABILITY'!O899+N900*'RAP TEMPLATE-GAS AVAILABILITY'!P899+O900*'RAP TEMPLATE-GAS AVAILABILITY'!Q899+P900*'RAP TEMPLATE-GAS AVAILABILITY'!R899)/('RAP TEMPLATE-GAS AVAILABILITY'!O899+'RAP TEMPLATE-GAS AVAILABILITY'!P899+'RAP TEMPLATE-GAS AVAILABILITY'!Q899+'RAP TEMPLATE-GAS AVAILABILITY'!R899)</f>
        <v>30.165148920863309</v>
      </c>
    </row>
    <row r="901" spans="1:30" ht="15.75">
      <c r="A901" s="13">
        <v>68698</v>
      </c>
      <c r="B901" s="10">
        <f>CHOOSE(CONTROL!$C$42, 32.6093, 32.6093) * CHOOSE(CONTROL!$C$21, $C$9, 100%, $E$9)</f>
        <v>32.609299999999998</v>
      </c>
      <c r="C901" s="10">
        <f>CHOOSE(CONTROL!$C$42, 32.6144, 32.6144) * CHOOSE(CONTROL!$C$21, $C$9, 100%, $E$9)</f>
        <v>32.614400000000003</v>
      </c>
      <c r="D901" s="10">
        <f>CHOOSE(CONTROL!$C$42, 32.6469, 32.6469) * CHOOSE(CONTROL!$C$21, $C$9, 100%, $E$9)</f>
        <v>32.646900000000002</v>
      </c>
      <c r="E901" s="10">
        <f>CHOOSE(CONTROL!$C$42, 32.6807, 32.6807) * CHOOSE(CONTROL!$C$21, $C$9, 100%, $E$9)</f>
        <v>32.680700000000002</v>
      </c>
      <c r="F901" s="10">
        <f>CHOOSE(CONTROL!$C$42, 32.5935, 32.5935)*CHOOSE(CONTROL!$C$21, $C$9, 100%, $E$9)</f>
        <v>32.593499999999999</v>
      </c>
      <c r="G901" s="10">
        <f>CHOOSE(CONTROL!$C$42, 32.6116, 32.6116)*CHOOSE(CONTROL!$C$21, $C$9, 100%, $E$9)</f>
        <v>32.611600000000003</v>
      </c>
      <c r="H901" s="10">
        <f>CHOOSE(CONTROL!$C$42, 32.6695, 32.6695) * CHOOSE(CONTROL!$C$21, $C$9, 100%, $E$9)</f>
        <v>32.669499999999999</v>
      </c>
      <c r="I901" s="10">
        <f>CHOOSE(CONTROL!$C$42, 32.6228, 32.6228)* CHOOSE(CONTROL!$C$21, $C$9, 100%, $E$9)</f>
        <v>32.622799999999998</v>
      </c>
      <c r="J901" s="10">
        <f>CHOOSE(CONTROL!$C$42, 32.5861, 32.5861)* CHOOSE(CONTROL!$C$21, $C$9, 100%, $E$9)</f>
        <v>32.586100000000002</v>
      </c>
      <c r="K901" s="10">
        <f>CHOOSE(CONTROL!$C$42, 31.7851, 31.7851) * CHOOSE(CONTROL!$C$21, $C$9, 100%, $E$9)</f>
        <v>31.7851</v>
      </c>
      <c r="L901" s="10">
        <f>CHOOSE(CONTROL!$C$42, 33.2565, 33.2565) * CHOOSE(CONTROL!$C$21, $C$9, 100%, $E$9)</f>
        <v>33.256500000000003</v>
      </c>
      <c r="M901" s="10">
        <f>CHOOSE(CONTROL!$C$42, 32.1645, 32.1645) * CHOOSE(CONTROL!$C$21, $C$9, 100%, $E$9)</f>
        <v>32.164499999999997</v>
      </c>
      <c r="N901" s="10">
        <f>CHOOSE(CONTROL!$C$42, 32.1823, 32.1823) * CHOOSE(CONTROL!$C$21, $C$9, 100%, $E$9)</f>
        <v>32.182299999999998</v>
      </c>
      <c r="O901" s="10">
        <f>CHOOSE(CONTROL!$C$42, 32.2468, 32.2468) * CHOOSE(CONTROL!$C$21, $C$9, 100%, $E$9)</f>
        <v>32.2468</v>
      </c>
      <c r="P901" s="10">
        <f>CHOOSE(CONTROL!$C$42, 32.2007, 32.2007) * CHOOSE(CONTROL!$C$21, $C$9, 100%, $E$9)</f>
        <v>32.200699999999998</v>
      </c>
      <c r="Q901" s="10">
        <f>CHOOSE(CONTROL!$C$42, 32.8421, 32.8421) * CHOOSE(CONTROL!$C$21, $C$9, 100%, $E$9)</f>
        <v>32.842100000000002</v>
      </c>
      <c r="R901" s="10">
        <f>CHOOSE(CONTROL!$C$42, 33.5112, 33.5112) * CHOOSE(CONTROL!$C$21, $C$9, 100%, $E$9)</f>
        <v>33.511200000000002</v>
      </c>
      <c r="S901" s="10">
        <f>CHOOSE(CONTROL!$C$42, 31.5923, 31.5923) * CHOOSE(CONTROL!$C$21, $C$9, 100%, $E$9)</f>
        <v>31.592300000000002</v>
      </c>
      <c r="T90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01" s="38">
        <f>(1000*CHOOSE(CONTROL!$C$42, 695, 695)*CHOOSE(CONTROL!$C$42, 0.5599, 0.5599)*CHOOSE(CONTROL!$C$42, 31, 31))/1000000</f>
        <v>12.063045499999998</v>
      </c>
      <c r="V901" s="38">
        <f>(1000*CHOOSE(CONTROL!$C$42, 500, 500)*CHOOSE(CONTROL!$C$42, 0.275, 0.275)*CHOOSE(CONTROL!$C$42, 31, 31))/1000000</f>
        <v>4.2625000000000002</v>
      </c>
      <c r="W901" s="38">
        <f>(1000*CHOOSE(CONTROL!$C$42, 0.1146, 0.1146)*CHOOSE(CONTROL!$C$42, 121.5, 121.5)*CHOOSE(CONTROL!$C$42, 31, 31))/1000000</f>
        <v>0.43164089999999994</v>
      </c>
      <c r="X901" s="38">
        <f>(31*0.1790888*100000/1000000)+(31*0.2374*100000/1000000)</f>
        <v>1.2911152800000001</v>
      </c>
      <c r="Y901" s="38">
        <f>(1000*600*CHOOSE(CONTROL!$C$42, 1.0585, 1.0585)*CHOOSE(CONTROL!$C$42, 31, 31))/1000000</f>
        <v>19.688099999999999</v>
      </c>
      <c r="Z901" s="38"/>
      <c r="AA901" s="10"/>
      <c r="AB901" s="39"/>
      <c r="AC901" s="33">
        <f>(B901*122.58+C901*297.941+D901*89.177+E901*40.302+F901*40+G901*160+H901*0+I901*100+J901*300)/(122.58+297.941+89.177+40.302+0+40+160+100+300)</f>
        <v>32.610931406173911</v>
      </c>
      <c r="AD901" s="27">
        <f>(M901*'RAP TEMPLATE-GAS AVAILABILITY'!O900+N901*'RAP TEMPLATE-GAS AVAILABILITY'!P900+O901*'RAP TEMPLATE-GAS AVAILABILITY'!Q900+P901*'RAP TEMPLATE-GAS AVAILABILITY'!R900)/('RAP TEMPLATE-GAS AVAILABILITY'!O900+'RAP TEMPLATE-GAS AVAILABILITY'!P900+'RAP TEMPLATE-GAS AVAILABILITY'!Q900+'RAP TEMPLATE-GAS AVAILABILITY'!R900)</f>
        <v>32.2080345323741</v>
      </c>
    </row>
    <row r="902" spans="1:30" ht="15.75">
      <c r="A902" s="13">
        <v>68727</v>
      </c>
      <c r="B902" s="10">
        <f>CHOOSE(CONTROL!$C$42, 33.1901, 33.1901) * CHOOSE(CONTROL!$C$21, $C$9, 100%, $E$9)</f>
        <v>33.190100000000001</v>
      </c>
      <c r="C902" s="10">
        <f>CHOOSE(CONTROL!$C$42, 33.1952, 33.1952) * CHOOSE(CONTROL!$C$21, $C$9, 100%, $E$9)</f>
        <v>33.1952</v>
      </c>
      <c r="D902" s="10">
        <f>CHOOSE(CONTROL!$C$42, 33.2276, 33.2276) * CHOOSE(CONTROL!$C$21, $C$9, 100%, $E$9)</f>
        <v>33.227600000000002</v>
      </c>
      <c r="E902" s="10">
        <f>CHOOSE(CONTROL!$C$42, 33.2614, 33.2614) * CHOOSE(CONTROL!$C$21, $C$9, 100%, $E$9)</f>
        <v>33.261400000000002</v>
      </c>
      <c r="F902" s="10">
        <f>CHOOSE(CONTROL!$C$42, 33.1738, 33.1738)*CHOOSE(CONTROL!$C$21, $C$9, 100%, $E$9)</f>
        <v>33.1738</v>
      </c>
      <c r="G902" s="10">
        <f>CHOOSE(CONTROL!$C$42, 33.1918, 33.1918)*CHOOSE(CONTROL!$C$21, $C$9, 100%, $E$9)</f>
        <v>33.191800000000001</v>
      </c>
      <c r="H902" s="10">
        <f>CHOOSE(CONTROL!$C$42, 33.2503, 33.2503) * CHOOSE(CONTROL!$C$21, $C$9, 100%, $E$9)</f>
        <v>33.250300000000003</v>
      </c>
      <c r="I902" s="10">
        <f>CHOOSE(CONTROL!$C$42, 33.2035, 33.2035)* CHOOSE(CONTROL!$C$21, $C$9, 100%, $E$9)</f>
        <v>33.203499999999998</v>
      </c>
      <c r="J902" s="10">
        <f>CHOOSE(CONTROL!$C$42, 33.1664, 33.1664)* CHOOSE(CONTROL!$C$21, $C$9, 100%, $E$9)</f>
        <v>33.166400000000003</v>
      </c>
      <c r="K902" s="10">
        <f>CHOOSE(CONTROL!$C$42, 32.3467, 32.3467) * CHOOSE(CONTROL!$C$21, $C$9, 100%, $E$9)</f>
        <v>32.346699999999998</v>
      </c>
      <c r="L902" s="10">
        <f>CHOOSE(CONTROL!$C$42, 33.8373, 33.8373) * CHOOSE(CONTROL!$C$21, $C$9, 100%, $E$9)</f>
        <v>33.837299999999999</v>
      </c>
      <c r="M902" s="10">
        <f>CHOOSE(CONTROL!$C$42, 32.7368, 32.7368) * CHOOSE(CONTROL!$C$21, $C$9, 100%, $E$9)</f>
        <v>32.736800000000002</v>
      </c>
      <c r="N902" s="10">
        <f>CHOOSE(CONTROL!$C$42, 32.7544, 32.7544) * CHOOSE(CONTROL!$C$21, $C$9, 100%, $E$9)</f>
        <v>32.754399999999997</v>
      </c>
      <c r="O902" s="10">
        <f>CHOOSE(CONTROL!$C$42, 32.8195, 32.8195) * CHOOSE(CONTROL!$C$21, $C$9, 100%, $E$9)</f>
        <v>32.819499999999998</v>
      </c>
      <c r="P902" s="10">
        <f>CHOOSE(CONTROL!$C$42, 32.7734, 32.7734) * CHOOSE(CONTROL!$C$21, $C$9, 100%, $E$9)</f>
        <v>32.773400000000002</v>
      </c>
      <c r="Q902" s="10">
        <f>CHOOSE(CONTROL!$C$42, 33.4148, 33.4148) * CHOOSE(CONTROL!$C$21, $C$9, 100%, $E$9)</f>
        <v>33.4148</v>
      </c>
      <c r="R902" s="10">
        <f>CHOOSE(CONTROL!$C$42, 34.0853, 34.0853) * CHOOSE(CONTROL!$C$21, $C$9, 100%, $E$9)</f>
        <v>34.085299999999997</v>
      </c>
      <c r="S902" s="10">
        <f>CHOOSE(CONTROL!$C$42, 32.1546, 32.1546) * CHOOSE(CONTROL!$C$21, $C$9, 100%, $E$9)</f>
        <v>32.154600000000002</v>
      </c>
      <c r="T902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902" s="38">
        <f>(1000*CHOOSE(CONTROL!$C$42, 695, 695)*CHOOSE(CONTROL!$C$42, 0.5599, 0.5599)*CHOOSE(CONTROL!$C$42, 29, 29))/1000000</f>
        <v>11.284784499999999</v>
      </c>
      <c r="V902" s="38">
        <f>(1000*CHOOSE(CONTROL!$C$42, 500, 500)*CHOOSE(CONTROL!$C$42, 0.275, 0.275)*CHOOSE(CONTROL!$C$42, 29, 29))/1000000</f>
        <v>3.9874999999999998</v>
      </c>
      <c r="W902" s="38">
        <f>(1000*CHOOSE(CONTROL!$C$42, 0.1146, 0.1146)*CHOOSE(CONTROL!$C$42, 121.5, 121.5)*CHOOSE(CONTROL!$C$42, 29, 29))/1000000</f>
        <v>0.40379309999999996</v>
      </c>
      <c r="X902" s="38">
        <f>(29*0.1790888*100000/1000000)+(29*0.2374*100000/1000000)</f>
        <v>1.2078175199999999</v>
      </c>
      <c r="Y902" s="38">
        <f>(1000*600*CHOOSE(CONTROL!$C$42, 1.0585, 1.0585)*CHOOSE(CONTROL!$C$42, 29, 29))/1000000</f>
        <v>18.417899999999999</v>
      </c>
      <c r="Z902" s="38"/>
      <c r="AA902" s="10"/>
      <c r="AB902" s="39"/>
      <c r="AC902" s="33">
        <f>(B902*122.58+C902*297.941+D902*89.177+E902*40.302+F902*40+G902*160+H902*0+I902*100+J902*300)/(122.58+297.941+89.177+40.302+0+40+160+100+300)</f>
        <v>33.191480147130434</v>
      </c>
      <c r="AD902" s="27">
        <f>(M902*'RAP TEMPLATE-GAS AVAILABILITY'!O901+N902*'RAP TEMPLATE-GAS AVAILABILITY'!P901+O902*'RAP TEMPLATE-GAS AVAILABILITY'!Q901+P902*'RAP TEMPLATE-GAS AVAILABILITY'!R901)/('RAP TEMPLATE-GAS AVAILABILITY'!O901+'RAP TEMPLATE-GAS AVAILABILITY'!P901+'RAP TEMPLATE-GAS AVAILABILITY'!Q901+'RAP TEMPLATE-GAS AVAILABILITY'!R901)</f>
        <v>32.780561870503597</v>
      </c>
    </row>
    <row r="903" spans="1:30" ht="15.75">
      <c r="A903" s="13">
        <v>68758</v>
      </c>
      <c r="B903" s="10">
        <f>CHOOSE(CONTROL!$C$42, 32.2474, 32.2474) * CHOOSE(CONTROL!$C$21, $C$9, 100%, $E$9)</f>
        <v>32.247399999999999</v>
      </c>
      <c r="C903" s="10">
        <f>CHOOSE(CONTROL!$C$42, 32.2525, 32.2525) * CHOOSE(CONTROL!$C$21, $C$9, 100%, $E$9)</f>
        <v>32.252499999999998</v>
      </c>
      <c r="D903" s="10">
        <f>CHOOSE(CONTROL!$C$42, 32.2849, 32.2849) * CHOOSE(CONTROL!$C$21, $C$9, 100%, $E$9)</f>
        <v>32.2849</v>
      </c>
      <c r="E903" s="10">
        <f>CHOOSE(CONTROL!$C$42, 32.3187, 32.3187) * CHOOSE(CONTROL!$C$21, $C$9, 100%, $E$9)</f>
        <v>32.3187</v>
      </c>
      <c r="F903" s="10">
        <f>CHOOSE(CONTROL!$C$42, 32.2296, 32.2296)*CHOOSE(CONTROL!$C$21, $C$9, 100%, $E$9)</f>
        <v>32.229599999999998</v>
      </c>
      <c r="G903" s="10">
        <f>CHOOSE(CONTROL!$C$42, 32.2472, 32.2472)*CHOOSE(CONTROL!$C$21, $C$9, 100%, $E$9)</f>
        <v>32.247199999999999</v>
      </c>
      <c r="H903" s="10">
        <f>CHOOSE(CONTROL!$C$42, 32.3076, 32.3076) * CHOOSE(CONTROL!$C$21, $C$9, 100%, $E$9)</f>
        <v>32.307600000000001</v>
      </c>
      <c r="I903" s="10">
        <f>CHOOSE(CONTROL!$C$42, 32.2608, 32.2608)* CHOOSE(CONTROL!$C$21, $C$9, 100%, $E$9)</f>
        <v>32.260800000000003</v>
      </c>
      <c r="J903" s="10">
        <f>CHOOSE(CONTROL!$C$42, 32.2222, 32.2222)* CHOOSE(CONTROL!$C$21, $C$9, 100%, $E$9)</f>
        <v>32.222200000000001</v>
      </c>
      <c r="K903" s="10">
        <f>CHOOSE(CONTROL!$C$42, 31.4303, 31.4303) * CHOOSE(CONTROL!$C$21, $C$9, 100%, $E$9)</f>
        <v>31.430299999999999</v>
      </c>
      <c r="L903" s="10">
        <f>CHOOSE(CONTROL!$C$42, 32.8946, 32.8946) * CHOOSE(CONTROL!$C$21, $C$9, 100%, $E$9)</f>
        <v>32.894599999999997</v>
      </c>
      <c r="M903" s="10">
        <f>CHOOSE(CONTROL!$C$42, 31.8057, 31.8057) * CHOOSE(CONTROL!$C$21, $C$9, 100%, $E$9)</f>
        <v>31.805700000000002</v>
      </c>
      <c r="N903" s="10">
        <f>CHOOSE(CONTROL!$C$42, 31.823, 31.823) * CHOOSE(CONTROL!$C$21, $C$9, 100%, $E$9)</f>
        <v>31.823</v>
      </c>
      <c r="O903" s="10">
        <f>CHOOSE(CONTROL!$C$42, 31.8899, 31.8899) * CHOOSE(CONTROL!$C$21, $C$9, 100%, $E$9)</f>
        <v>31.889900000000001</v>
      </c>
      <c r="P903" s="10">
        <f>CHOOSE(CONTROL!$C$42, 31.8438, 31.8438) * CHOOSE(CONTROL!$C$21, $C$9, 100%, $E$9)</f>
        <v>31.843800000000002</v>
      </c>
      <c r="Q903" s="10">
        <f>CHOOSE(CONTROL!$C$42, 32.4852, 32.4852) * CHOOSE(CONTROL!$C$21, $C$9, 100%, $E$9)</f>
        <v>32.485199999999999</v>
      </c>
      <c r="R903" s="10">
        <f>CHOOSE(CONTROL!$C$42, 33.1534, 33.1534) * CHOOSE(CONTROL!$C$21, $C$9, 100%, $E$9)</f>
        <v>33.153399999999998</v>
      </c>
      <c r="S903" s="10">
        <f>CHOOSE(CONTROL!$C$42, 31.2418, 31.2418) * CHOOSE(CONTROL!$C$21, $C$9, 100%, $E$9)</f>
        <v>31.241800000000001</v>
      </c>
      <c r="T90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03" s="38">
        <f>(1000*CHOOSE(CONTROL!$C$42, 695, 695)*CHOOSE(CONTROL!$C$42, 0.5599, 0.5599)*CHOOSE(CONTROL!$C$42, 31, 31))/1000000</f>
        <v>12.063045499999998</v>
      </c>
      <c r="V903" s="38">
        <f>(1000*CHOOSE(CONTROL!$C$42, 500, 500)*CHOOSE(CONTROL!$C$42, 0.275, 0.275)*CHOOSE(CONTROL!$C$42, 31, 31))/1000000</f>
        <v>4.2625000000000002</v>
      </c>
      <c r="W903" s="38">
        <f>(1000*CHOOSE(CONTROL!$C$42, 0.1146, 0.1146)*CHOOSE(CONTROL!$C$42, 121.5, 121.5)*CHOOSE(CONTROL!$C$42, 31, 31))/1000000</f>
        <v>0.43164089999999994</v>
      </c>
      <c r="X903" s="38">
        <f>(31*0.1790888*100000/1000000)+(31*0.2374*100000/1000000)</f>
        <v>1.2911152800000001</v>
      </c>
      <c r="Y903" s="38">
        <f>(1000*600*CHOOSE(CONTROL!$C$42, 1.0585, 1.0585)*CHOOSE(CONTROL!$C$42, 31, 31))/1000000</f>
        <v>19.688099999999999</v>
      </c>
      <c r="Z903" s="38"/>
      <c r="AA903" s="10"/>
      <c r="AB903" s="39"/>
      <c r="AC903" s="33">
        <f>(B903*122.58+C903*297.941+D903*89.177+E903*40.302+F903*40+G903*160+H903*0+I903*100+J903*300)/(122.58+297.941+89.177+40.302+0+40+160+100+300)</f>
        <v>32.24807232104348</v>
      </c>
      <c r="AD903" s="27">
        <f>(M903*'RAP TEMPLATE-GAS AVAILABILITY'!O902+N903*'RAP TEMPLATE-GAS AVAILABILITY'!P902+O903*'RAP TEMPLATE-GAS AVAILABILITY'!Q902+P903*'RAP TEMPLATE-GAS AVAILABILITY'!R902)/('RAP TEMPLATE-GAS AVAILABILITY'!O902+'RAP TEMPLATE-GAS AVAILABILITY'!P902+'RAP TEMPLATE-GAS AVAILABILITY'!Q902+'RAP TEMPLATE-GAS AVAILABILITY'!R902)</f>
        <v>31.850340287769789</v>
      </c>
    </row>
    <row r="904" spans="1:30" ht="15.75">
      <c r="A904" s="13">
        <v>68788</v>
      </c>
      <c r="B904" s="10">
        <f>CHOOSE(CONTROL!$C$42, 32.1515, 32.1515) * CHOOSE(CONTROL!$C$21, $C$9, 100%, $E$9)</f>
        <v>32.151499999999999</v>
      </c>
      <c r="C904" s="10">
        <f>CHOOSE(CONTROL!$C$42, 32.156, 32.156) * CHOOSE(CONTROL!$C$21, $C$9, 100%, $E$9)</f>
        <v>32.155999999999999</v>
      </c>
      <c r="D904" s="10">
        <f>CHOOSE(CONTROL!$C$42, 32.3162, 32.3162) * CHOOSE(CONTROL!$C$21, $C$9, 100%, $E$9)</f>
        <v>32.316200000000002</v>
      </c>
      <c r="E904" s="10">
        <f>CHOOSE(CONTROL!$C$42, 32.348, 32.348) * CHOOSE(CONTROL!$C$21, $C$9, 100%, $E$9)</f>
        <v>32.347999999999999</v>
      </c>
      <c r="F904" s="10">
        <f>CHOOSE(CONTROL!$C$42, 32.0976, 32.0976)*CHOOSE(CONTROL!$C$21, $C$9, 100%, $E$9)</f>
        <v>32.0976</v>
      </c>
      <c r="G904" s="10">
        <f>CHOOSE(CONTROL!$C$42, 32.1134, 32.1134)*CHOOSE(CONTROL!$C$21, $C$9, 100%, $E$9)</f>
        <v>32.113399999999999</v>
      </c>
      <c r="H904" s="10">
        <f>CHOOSE(CONTROL!$C$42, 32.3375, 32.3375) * CHOOSE(CONTROL!$C$21, $C$9, 100%, $E$9)</f>
        <v>32.337499999999999</v>
      </c>
      <c r="I904" s="10">
        <f>CHOOSE(CONTROL!$C$42, 32.1317, 32.1317)* CHOOSE(CONTROL!$C$21, $C$9, 100%, $E$9)</f>
        <v>32.131700000000002</v>
      </c>
      <c r="J904" s="10">
        <f>CHOOSE(CONTROL!$C$42, 32.0902, 32.0902)* CHOOSE(CONTROL!$C$21, $C$9, 100%, $E$9)</f>
        <v>32.090200000000003</v>
      </c>
      <c r="K904" s="10">
        <f>CHOOSE(CONTROL!$C$42, 31.2892, 31.2892) * CHOOSE(CONTROL!$C$21, $C$9, 100%, $E$9)</f>
        <v>31.289200000000001</v>
      </c>
      <c r="L904" s="10">
        <f>CHOOSE(CONTROL!$C$42, 32.9245, 32.9245) * CHOOSE(CONTROL!$C$21, $C$9, 100%, $E$9)</f>
        <v>32.924500000000002</v>
      </c>
      <c r="M904" s="10">
        <f>CHOOSE(CONTROL!$C$42, 31.6756, 31.6756) * CHOOSE(CONTROL!$C$21, $C$9, 100%, $E$9)</f>
        <v>31.675599999999999</v>
      </c>
      <c r="N904" s="10">
        <f>CHOOSE(CONTROL!$C$42, 31.6912, 31.6912) * CHOOSE(CONTROL!$C$21, $C$9, 100%, $E$9)</f>
        <v>31.691199999999998</v>
      </c>
      <c r="O904" s="10">
        <f>CHOOSE(CONTROL!$C$42, 31.9194, 31.9194) * CHOOSE(CONTROL!$C$21, $C$9, 100%, $E$9)</f>
        <v>31.9194</v>
      </c>
      <c r="P904" s="10">
        <f>CHOOSE(CONTROL!$C$42, 31.7165, 31.7165) * CHOOSE(CONTROL!$C$21, $C$9, 100%, $E$9)</f>
        <v>31.7165</v>
      </c>
      <c r="Q904" s="10">
        <f>CHOOSE(CONTROL!$C$42, 32.5147, 32.5147) * CHOOSE(CONTROL!$C$21, $C$9, 100%, $E$9)</f>
        <v>32.514699999999998</v>
      </c>
      <c r="R904" s="10">
        <f>CHOOSE(CONTROL!$C$42, 33.1829, 33.1829) * CHOOSE(CONTROL!$C$21, $C$9, 100%, $E$9)</f>
        <v>33.182899999999997</v>
      </c>
      <c r="S904" s="10">
        <f>CHOOSE(CONTROL!$C$42, 31.1482, 31.1482) * CHOOSE(CONTROL!$C$21, $C$9, 100%, $E$9)</f>
        <v>31.148199999999999</v>
      </c>
      <c r="T90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04" s="38">
        <f>(1000*CHOOSE(CONTROL!$C$42, 695, 695)*CHOOSE(CONTROL!$C$42, 0.5599, 0.5599)*CHOOSE(CONTROL!$C$42, 30, 30))/1000000</f>
        <v>11.673914999999997</v>
      </c>
      <c r="V904" s="38">
        <f>(1000*CHOOSE(CONTROL!$C$42, 500, 500)*CHOOSE(CONTROL!$C$42, 0.275, 0.275)*CHOOSE(CONTROL!$C$42, 30, 30))/1000000</f>
        <v>4.125</v>
      </c>
      <c r="W904" s="38">
        <f>(1000*CHOOSE(CONTROL!$C$42, 0.1146, 0.1146)*CHOOSE(CONTROL!$C$42, 121.5, 121.5)*CHOOSE(CONTROL!$C$42, 30, 30))/1000000</f>
        <v>0.417717</v>
      </c>
      <c r="X904" s="38">
        <f>(30*0.1790888*245000/1000000)+(30*0.2374*100000/1000000)</f>
        <v>2.0285026799999999</v>
      </c>
      <c r="Y904" s="38">
        <f>(1000*600*CHOOSE(CONTROL!$C$42, 1.0585, 1.0585)*CHOOSE(CONTROL!$C$42, 30, 30))/1000000</f>
        <v>19.053000000000001</v>
      </c>
      <c r="Z904" s="38"/>
      <c r="AA904" s="10"/>
      <c r="AB904" s="39"/>
      <c r="AC904" s="33">
        <f>(B904*141.293+C904*267.993+D904*115.016+E904*89.698+F904*40+G904*185+H904*0+I904*100+J904*300)/(141.293+267.993+115.016+89.698+0+40+185+100+300)</f>
        <v>32.158118450928164</v>
      </c>
      <c r="AD904" s="27">
        <f>(M904*'RAP TEMPLATE-GAS AVAILABILITY'!O903+N904*'RAP TEMPLATE-GAS AVAILABILITY'!P903+O904*'RAP TEMPLATE-GAS AVAILABILITY'!Q903+P904*'RAP TEMPLATE-GAS AVAILABILITY'!R903)/('RAP TEMPLATE-GAS AVAILABILITY'!O903+'RAP TEMPLATE-GAS AVAILABILITY'!P903+'RAP TEMPLATE-GAS AVAILABILITY'!Q903+'RAP TEMPLATE-GAS AVAILABILITY'!R903)</f>
        <v>31.792882014388489</v>
      </c>
    </row>
    <row r="905" spans="1:30" ht="15.75">
      <c r="A905" s="13">
        <v>68819</v>
      </c>
      <c r="B905" s="10">
        <f>CHOOSE(CONTROL!$C$42, 32.4372, 32.4372) * CHOOSE(CONTROL!$C$21, $C$9, 100%, $E$9)</f>
        <v>32.437199999999997</v>
      </c>
      <c r="C905" s="10">
        <f>CHOOSE(CONTROL!$C$42, 32.4452, 32.4452) * CHOOSE(CONTROL!$C$21, $C$9, 100%, $E$9)</f>
        <v>32.4452</v>
      </c>
      <c r="D905" s="10">
        <f>CHOOSE(CONTROL!$C$42, 32.6023, 32.6023) * CHOOSE(CONTROL!$C$21, $C$9, 100%, $E$9)</f>
        <v>32.6023</v>
      </c>
      <c r="E905" s="10">
        <f>CHOOSE(CONTROL!$C$42, 32.6335, 32.6335) * CHOOSE(CONTROL!$C$21, $C$9, 100%, $E$9)</f>
        <v>32.633499999999998</v>
      </c>
      <c r="F905" s="10">
        <f>CHOOSE(CONTROL!$C$42, 32.3814, 32.3814)*CHOOSE(CONTROL!$C$21, $C$9, 100%, $E$9)</f>
        <v>32.381399999999999</v>
      </c>
      <c r="G905" s="10">
        <f>CHOOSE(CONTROL!$C$42, 32.3975, 32.3975)*CHOOSE(CONTROL!$C$21, $C$9, 100%, $E$9)</f>
        <v>32.397500000000001</v>
      </c>
      <c r="H905" s="10">
        <f>CHOOSE(CONTROL!$C$42, 32.6218, 32.6218) * CHOOSE(CONTROL!$C$21, $C$9, 100%, $E$9)</f>
        <v>32.6218</v>
      </c>
      <c r="I905" s="10">
        <f>CHOOSE(CONTROL!$C$42, 32.416, 32.416)* CHOOSE(CONTROL!$C$21, $C$9, 100%, $E$9)</f>
        <v>32.415999999999997</v>
      </c>
      <c r="J905" s="10">
        <f>CHOOSE(CONTROL!$C$42, 32.374, 32.374)* CHOOSE(CONTROL!$C$21, $C$9, 100%, $E$9)</f>
        <v>32.374000000000002</v>
      </c>
      <c r="K905" s="10">
        <f>CHOOSE(CONTROL!$C$42, 31.5633, 31.5633) * CHOOSE(CONTROL!$C$21, $C$9, 100%, $E$9)</f>
        <v>31.563300000000002</v>
      </c>
      <c r="L905" s="10">
        <f>CHOOSE(CONTROL!$C$42, 33.2088, 33.2088) * CHOOSE(CONTROL!$C$21, $C$9, 100%, $E$9)</f>
        <v>33.208799999999997</v>
      </c>
      <c r="M905" s="10">
        <f>CHOOSE(CONTROL!$C$42, 31.9554, 31.9554) * CHOOSE(CONTROL!$C$21, $C$9, 100%, $E$9)</f>
        <v>31.955400000000001</v>
      </c>
      <c r="N905" s="10">
        <f>CHOOSE(CONTROL!$C$42, 31.9713, 31.9713) * CHOOSE(CONTROL!$C$21, $C$9, 100%, $E$9)</f>
        <v>31.971299999999999</v>
      </c>
      <c r="O905" s="10">
        <f>CHOOSE(CONTROL!$C$42, 32.1998, 32.1998) * CHOOSE(CONTROL!$C$21, $C$9, 100%, $E$9)</f>
        <v>32.199800000000003</v>
      </c>
      <c r="P905" s="10">
        <f>CHOOSE(CONTROL!$C$42, 31.9969, 31.9969) * CHOOSE(CONTROL!$C$21, $C$9, 100%, $E$9)</f>
        <v>31.9969</v>
      </c>
      <c r="Q905" s="10">
        <f>CHOOSE(CONTROL!$C$42, 32.7951, 32.7951) * CHOOSE(CONTROL!$C$21, $C$9, 100%, $E$9)</f>
        <v>32.795099999999998</v>
      </c>
      <c r="R905" s="10">
        <f>CHOOSE(CONTROL!$C$42, 33.464, 33.464) * CHOOSE(CONTROL!$C$21, $C$9, 100%, $E$9)</f>
        <v>33.463999999999999</v>
      </c>
      <c r="S905" s="10">
        <f>CHOOSE(CONTROL!$C$42, 31.4236, 31.4236) * CHOOSE(CONTROL!$C$21, $C$9, 100%, $E$9)</f>
        <v>31.4236</v>
      </c>
      <c r="T90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05" s="38">
        <f>(1000*CHOOSE(CONTROL!$C$42, 695, 695)*CHOOSE(CONTROL!$C$42, 0.5599, 0.5599)*CHOOSE(CONTROL!$C$42, 31, 31))/1000000</f>
        <v>12.063045499999998</v>
      </c>
      <c r="V905" s="38">
        <f>(1000*CHOOSE(CONTROL!$C$42, 500, 500)*CHOOSE(CONTROL!$C$42, 0.275, 0.275)*CHOOSE(CONTROL!$C$42, 31, 31))/1000000</f>
        <v>4.2625000000000002</v>
      </c>
      <c r="W905" s="38">
        <f>(1000*CHOOSE(CONTROL!$C$42, 0.1146, 0.1146)*CHOOSE(CONTROL!$C$42, 121.5, 121.5)*CHOOSE(CONTROL!$C$42, 31, 31))/1000000</f>
        <v>0.43164089999999994</v>
      </c>
      <c r="X905" s="38">
        <f>(31*0.1790888*245000/1000000)+(31*0.2374*100000/1000000)</f>
        <v>2.0961194359999999</v>
      </c>
      <c r="Y905" s="38">
        <f>(1000*600*CHOOSE(CONTROL!$C$42, 1.0585, 1.0585)*CHOOSE(CONTROL!$C$42, 31, 31))/1000000</f>
        <v>19.688099999999999</v>
      </c>
      <c r="Z905" s="38"/>
      <c r="AA905" s="10"/>
      <c r="AB905" s="39"/>
      <c r="AC905" s="33">
        <f>(B905*194.205+C905*267.466+D905*133.845+E905*53.484+F905*40+G905*185+H905*0+I905*100+J905*300)/(194.205+267.466+133.845+53.484+0+40+185+100+300)</f>
        <v>32.440402469937204</v>
      </c>
      <c r="AD905" s="27">
        <f>(M905*'RAP TEMPLATE-GAS AVAILABILITY'!O904+N905*'RAP TEMPLATE-GAS AVAILABILITY'!P904+O905*'RAP TEMPLATE-GAS AVAILABILITY'!Q904+P905*'RAP TEMPLATE-GAS AVAILABILITY'!R904)/('RAP TEMPLATE-GAS AVAILABILITY'!O904+'RAP TEMPLATE-GAS AVAILABILITY'!P904+'RAP TEMPLATE-GAS AVAILABILITY'!Q904+'RAP TEMPLATE-GAS AVAILABILITY'!R904)</f>
        <v>32.073057553956836</v>
      </c>
    </row>
    <row r="906" spans="1:30" ht="15.75">
      <c r="A906" s="13">
        <v>68849</v>
      </c>
      <c r="B906" s="10">
        <f>CHOOSE(CONTROL!$C$42, 33.3578, 33.3578) * CHOOSE(CONTROL!$C$21, $C$9, 100%, $E$9)</f>
        <v>33.357799999999997</v>
      </c>
      <c r="C906" s="10">
        <f>CHOOSE(CONTROL!$C$42, 33.3658, 33.3658) * CHOOSE(CONTROL!$C$21, $C$9, 100%, $E$9)</f>
        <v>33.3658</v>
      </c>
      <c r="D906" s="10">
        <f>CHOOSE(CONTROL!$C$42, 33.5228, 33.5228) * CHOOSE(CONTROL!$C$21, $C$9, 100%, $E$9)</f>
        <v>33.522799999999997</v>
      </c>
      <c r="E906" s="10">
        <f>CHOOSE(CONTROL!$C$42, 33.554, 33.554) * CHOOSE(CONTROL!$C$21, $C$9, 100%, $E$9)</f>
        <v>33.554000000000002</v>
      </c>
      <c r="F906" s="10">
        <f>CHOOSE(CONTROL!$C$42, 33.3021, 33.3021)*CHOOSE(CONTROL!$C$21, $C$9, 100%, $E$9)</f>
        <v>33.302100000000003</v>
      </c>
      <c r="G906" s="10">
        <f>CHOOSE(CONTROL!$C$42, 33.3183, 33.3183)*CHOOSE(CONTROL!$C$21, $C$9, 100%, $E$9)</f>
        <v>33.318300000000001</v>
      </c>
      <c r="H906" s="10">
        <f>CHOOSE(CONTROL!$C$42, 33.5424, 33.5424) * CHOOSE(CONTROL!$C$21, $C$9, 100%, $E$9)</f>
        <v>33.542400000000001</v>
      </c>
      <c r="I906" s="10">
        <f>CHOOSE(CONTROL!$C$42, 33.3365, 33.3365)* CHOOSE(CONTROL!$C$21, $C$9, 100%, $E$9)</f>
        <v>33.336500000000001</v>
      </c>
      <c r="J906" s="10">
        <f>CHOOSE(CONTROL!$C$42, 33.2947, 33.2947)* CHOOSE(CONTROL!$C$21, $C$9, 100%, $E$9)</f>
        <v>33.294699999999999</v>
      </c>
      <c r="K906" s="10">
        <f>CHOOSE(CONTROL!$C$42, 32.4555, 32.4555) * CHOOSE(CONTROL!$C$21, $C$9, 100%, $E$9)</f>
        <v>32.455500000000001</v>
      </c>
      <c r="L906" s="10">
        <f>CHOOSE(CONTROL!$C$42, 34.1294, 34.1294) * CHOOSE(CONTROL!$C$21, $C$9, 100%, $E$9)</f>
        <v>34.129399999999997</v>
      </c>
      <c r="M906" s="10">
        <f>CHOOSE(CONTROL!$C$42, 32.8632, 32.8632) * CHOOSE(CONTROL!$C$21, $C$9, 100%, $E$9)</f>
        <v>32.863199999999999</v>
      </c>
      <c r="N906" s="10">
        <f>CHOOSE(CONTROL!$C$42, 32.8792, 32.8792) * CHOOSE(CONTROL!$C$21, $C$9, 100%, $E$9)</f>
        <v>32.879199999999997</v>
      </c>
      <c r="O906" s="10">
        <f>CHOOSE(CONTROL!$C$42, 33.1074, 33.1074) * CHOOSE(CONTROL!$C$21, $C$9, 100%, $E$9)</f>
        <v>33.107399999999998</v>
      </c>
      <c r="P906" s="10">
        <f>CHOOSE(CONTROL!$C$42, 32.9045, 32.9045) * CHOOSE(CONTROL!$C$21, $C$9, 100%, $E$9)</f>
        <v>32.904499999999999</v>
      </c>
      <c r="Q906" s="10">
        <f>CHOOSE(CONTROL!$C$42, 33.7027, 33.7027) * CHOOSE(CONTROL!$C$21, $C$9, 100%, $E$9)</f>
        <v>33.7027</v>
      </c>
      <c r="R906" s="10">
        <f>CHOOSE(CONTROL!$C$42, 34.374, 34.374) * CHOOSE(CONTROL!$C$21, $C$9, 100%, $E$9)</f>
        <v>34.374000000000002</v>
      </c>
      <c r="S906" s="10">
        <f>CHOOSE(CONTROL!$C$42, 32.3149, 32.3149) * CHOOSE(CONTROL!$C$21, $C$9, 100%, $E$9)</f>
        <v>32.314900000000002</v>
      </c>
      <c r="T90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06" s="38">
        <f>(1000*CHOOSE(CONTROL!$C$42, 695, 695)*CHOOSE(CONTROL!$C$42, 0.5599, 0.5599)*CHOOSE(CONTROL!$C$42, 30, 30))/1000000</f>
        <v>11.673914999999997</v>
      </c>
      <c r="V906" s="38">
        <f>(1000*CHOOSE(CONTROL!$C$42, 500, 500)*CHOOSE(CONTROL!$C$42, 0.275, 0.275)*CHOOSE(CONTROL!$C$42, 30, 30))/1000000</f>
        <v>4.125</v>
      </c>
      <c r="W906" s="38">
        <f>(1000*CHOOSE(CONTROL!$C$42, 0.1146, 0.1146)*CHOOSE(CONTROL!$C$42, 121.5, 121.5)*CHOOSE(CONTROL!$C$42, 30, 30))/1000000</f>
        <v>0.417717</v>
      </c>
      <c r="X906" s="38">
        <f>(30*0.1790888*245000/1000000)+(30*0.2374*100000/1000000)</f>
        <v>2.0285026799999999</v>
      </c>
      <c r="Y906" s="38">
        <f>(1000*600*CHOOSE(CONTROL!$C$42, 1.0585, 1.0585)*CHOOSE(CONTROL!$C$42, 30, 30))/1000000</f>
        <v>19.053000000000001</v>
      </c>
      <c r="Z906" s="38"/>
      <c r="AA906" s="10"/>
      <c r="AB906" s="39"/>
      <c r="AC906" s="33">
        <f>(B906*194.205+C906*267.466+D906*133.845+E906*53.484+F906*40+G906*185+H906*0+I906*100+J906*300)/(194.205+267.466+133.845+53.484+0+40+185+100+300)</f>
        <v>33.361035646624799</v>
      </c>
      <c r="AD906" s="27">
        <f>(M906*'RAP TEMPLATE-GAS AVAILABILITY'!O905+N906*'RAP TEMPLATE-GAS AVAILABILITY'!P905+O906*'RAP TEMPLATE-GAS AVAILABILITY'!Q905+P906*'RAP TEMPLATE-GAS AVAILABILITY'!R905)/('RAP TEMPLATE-GAS AVAILABILITY'!O905+'RAP TEMPLATE-GAS AVAILABILITY'!P905+'RAP TEMPLATE-GAS AVAILABILITY'!Q905+'RAP TEMPLATE-GAS AVAILABILITY'!R905)</f>
        <v>32.980743884892092</v>
      </c>
    </row>
    <row r="907" spans="1:30" ht="15.75">
      <c r="A907" s="13">
        <v>68880</v>
      </c>
      <c r="B907" s="10">
        <f>CHOOSE(CONTROL!$C$42, 32.7175, 32.7175) * CHOOSE(CONTROL!$C$21, $C$9, 100%, $E$9)</f>
        <v>32.717500000000001</v>
      </c>
      <c r="C907" s="10">
        <f>CHOOSE(CONTROL!$C$42, 32.7255, 32.7255) * CHOOSE(CONTROL!$C$21, $C$9, 100%, $E$9)</f>
        <v>32.725499999999997</v>
      </c>
      <c r="D907" s="10">
        <f>CHOOSE(CONTROL!$C$42, 32.8826, 32.8826) * CHOOSE(CONTROL!$C$21, $C$9, 100%, $E$9)</f>
        <v>32.882599999999996</v>
      </c>
      <c r="E907" s="10">
        <f>CHOOSE(CONTROL!$C$42, 32.9138, 32.9138) * CHOOSE(CONTROL!$C$21, $C$9, 100%, $E$9)</f>
        <v>32.913800000000002</v>
      </c>
      <c r="F907" s="10">
        <f>CHOOSE(CONTROL!$C$42, 32.6622, 32.6622)*CHOOSE(CONTROL!$C$21, $C$9, 100%, $E$9)</f>
        <v>32.662199999999999</v>
      </c>
      <c r="G907" s="10">
        <f>CHOOSE(CONTROL!$C$42, 32.6784, 32.6784)*CHOOSE(CONTROL!$C$21, $C$9, 100%, $E$9)</f>
        <v>32.678400000000003</v>
      </c>
      <c r="H907" s="10">
        <f>CHOOSE(CONTROL!$C$42, 32.9021, 32.9021) * CHOOSE(CONTROL!$C$21, $C$9, 100%, $E$9)</f>
        <v>32.902099999999997</v>
      </c>
      <c r="I907" s="10">
        <f>CHOOSE(CONTROL!$C$42, 32.6963, 32.6963)* CHOOSE(CONTROL!$C$21, $C$9, 100%, $E$9)</f>
        <v>32.696300000000001</v>
      </c>
      <c r="J907" s="10">
        <f>CHOOSE(CONTROL!$C$42, 32.6548, 32.6548)* CHOOSE(CONTROL!$C$21, $C$9, 100%, $E$9)</f>
        <v>32.654800000000002</v>
      </c>
      <c r="K907" s="10">
        <f>CHOOSE(CONTROL!$C$42, 31.836, 31.836) * CHOOSE(CONTROL!$C$21, $C$9, 100%, $E$9)</f>
        <v>31.835999999999999</v>
      </c>
      <c r="L907" s="10">
        <f>CHOOSE(CONTROL!$C$42, 33.4891, 33.4891) * CHOOSE(CONTROL!$C$21, $C$9, 100%, $E$9)</f>
        <v>33.489100000000001</v>
      </c>
      <c r="M907" s="10">
        <f>CHOOSE(CONTROL!$C$42, 32.2322, 32.2322) * CHOOSE(CONTROL!$C$21, $C$9, 100%, $E$9)</f>
        <v>32.232199999999999</v>
      </c>
      <c r="N907" s="10">
        <f>CHOOSE(CONTROL!$C$42, 32.2483, 32.2483) * CHOOSE(CONTROL!$C$21, $C$9, 100%, $E$9)</f>
        <v>32.2483</v>
      </c>
      <c r="O907" s="10">
        <f>CHOOSE(CONTROL!$C$42, 32.4761, 32.4761) * CHOOSE(CONTROL!$C$21, $C$9, 100%, $E$9)</f>
        <v>32.476100000000002</v>
      </c>
      <c r="P907" s="10">
        <f>CHOOSE(CONTROL!$C$42, 32.2732, 32.2732) * CHOOSE(CONTROL!$C$21, $C$9, 100%, $E$9)</f>
        <v>32.273200000000003</v>
      </c>
      <c r="Q907" s="10">
        <f>CHOOSE(CONTROL!$C$42, 33.0714, 33.0714) * CHOOSE(CONTROL!$C$21, $C$9, 100%, $E$9)</f>
        <v>33.071399999999997</v>
      </c>
      <c r="R907" s="10">
        <f>CHOOSE(CONTROL!$C$42, 33.7411, 33.7411) * CHOOSE(CONTROL!$C$21, $C$9, 100%, $E$9)</f>
        <v>33.741100000000003</v>
      </c>
      <c r="S907" s="10">
        <f>CHOOSE(CONTROL!$C$42, 31.695, 31.695) * CHOOSE(CONTROL!$C$21, $C$9, 100%, $E$9)</f>
        <v>31.695</v>
      </c>
      <c r="T90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07" s="38">
        <f>(1000*CHOOSE(CONTROL!$C$42, 695, 695)*CHOOSE(CONTROL!$C$42, 0.5599, 0.5599)*CHOOSE(CONTROL!$C$42, 31, 31))/1000000</f>
        <v>12.063045499999998</v>
      </c>
      <c r="V907" s="38">
        <f>(1000*CHOOSE(CONTROL!$C$42, 500, 500)*CHOOSE(CONTROL!$C$42, 0.275, 0.275)*CHOOSE(CONTROL!$C$42, 31, 31))/1000000</f>
        <v>4.2625000000000002</v>
      </c>
      <c r="W907" s="38">
        <f>(1000*CHOOSE(CONTROL!$C$42, 0.1146, 0.1146)*CHOOSE(CONTROL!$C$42, 121.5, 121.5)*CHOOSE(CONTROL!$C$42, 31, 31))/1000000</f>
        <v>0.43164089999999994</v>
      </c>
      <c r="X907" s="38">
        <f>(31*0.1790888*245000/1000000)+(31*0.2374*100000/1000000)</f>
        <v>2.0961194359999999</v>
      </c>
      <c r="Y907" s="38">
        <f>(1000*600*CHOOSE(CONTROL!$C$42, 1.0585, 1.0585)*CHOOSE(CONTROL!$C$42, 31, 31))/1000000</f>
        <v>19.688099999999999</v>
      </c>
      <c r="Z907" s="38"/>
      <c r="AA907" s="10"/>
      <c r="AB907" s="39"/>
      <c r="AC907" s="33">
        <f>(B907*194.205+C907*267.466+D907*133.845+E907*53.484+F907*40+G907*185+H907*0+I907*100+J907*300)/(194.205+267.466+133.845+53.484+0+40+185+100+300)</f>
        <v>32.720923035086344</v>
      </c>
      <c r="AD907" s="27">
        <f>(M907*'RAP TEMPLATE-GAS AVAILABILITY'!O906+N907*'RAP TEMPLATE-GAS AVAILABILITY'!P906+O907*'RAP TEMPLATE-GAS AVAILABILITY'!Q906+P907*'RAP TEMPLATE-GAS AVAILABILITY'!R906)/('RAP TEMPLATE-GAS AVAILABILITY'!O906+'RAP TEMPLATE-GAS AVAILABILITY'!P906+'RAP TEMPLATE-GAS AVAILABILITY'!Q906+'RAP TEMPLATE-GAS AVAILABILITY'!R906)</f>
        <v>32.349570503597128</v>
      </c>
    </row>
    <row r="908" spans="1:30" ht="15.75">
      <c r="A908" s="13">
        <v>68911</v>
      </c>
      <c r="B908" s="10">
        <f>CHOOSE(CONTROL!$C$42, 31.1008, 31.1008) * CHOOSE(CONTROL!$C$21, $C$9, 100%, $E$9)</f>
        <v>31.1008</v>
      </c>
      <c r="C908" s="10">
        <f>CHOOSE(CONTROL!$C$42, 31.1088, 31.1088) * CHOOSE(CONTROL!$C$21, $C$9, 100%, $E$9)</f>
        <v>31.108799999999999</v>
      </c>
      <c r="D908" s="10">
        <f>CHOOSE(CONTROL!$C$42, 31.2658, 31.2658) * CHOOSE(CONTROL!$C$21, $C$9, 100%, $E$9)</f>
        <v>31.265799999999999</v>
      </c>
      <c r="E908" s="10">
        <f>CHOOSE(CONTROL!$C$42, 31.297, 31.297) * CHOOSE(CONTROL!$C$21, $C$9, 100%, $E$9)</f>
        <v>31.297000000000001</v>
      </c>
      <c r="F908" s="10">
        <f>CHOOSE(CONTROL!$C$42, 31.0453, 31.0453)*CHOOSE(CONTROL!$C$21, $C$9, 100%, $E$9)</f>
        <v>31.045300000000001</v>
      </c>
      <c r="G908" s="10">
        <f>CHOOSE(CONTROL!$C$42, 31.0616, 31.0616)*CHOOSE(CONTROL!$C$21, $C$9, 100%, $E$9)</f>
        <v>31.061599999999999</v>
      </c>
      <c r="H908" s="10">
        <f>CHOOSE(CONTROL!$C$42, 31.2854, 31.2854) * CHOOSE(CONTROL!$C$21, $C$9, 100%, $E$9)</f>
        <v>31.285399999999999</v>
      </c>
      <c r="I908" s="10">
        <f>CHOOSE(CONTROL!$C$42, 31.0795, 31.0795)* CHOOSE(CONTROL!$C$21, $C$9, 100%, $E$9)</f>
        <v>31.079499999999999</v>
      </c>
      <c r="J908" s="10">
        <f>CHOOSE(CONTROL!$C$42, 31.0379, 31.0379)* CHOOSE(CONTROL!$C$21, $C$9, 100%, $E$9)</f>
        <v>31.0379</v>
      </c>
      <c r="K908" s="10">
        <f>CHOOSE(CONTROL!$C$42, 30.2695, 30.2695) * CHOOSE(CONTROL!$C$21, $C$9, 100%, $E$9)</f>
        <v>30.269500000000001</v>
      </c>
      <c r="L908" s="10">
        <f>CHOOSE(CONTROL!$C$42, 31.8724, 31.8724) * CHOOSE(CONTROL!$C$21, $C$9, 100%, $E$9)</f>
        <v>31.872399999999999</v>
      </c>
      <c r="M908" s="10">
        <f>CHOOSE(CONTROL!$C$42, 30.638, 30.638) * CHOOSE(CONTROL!$C$21, $C$9, 100%, $E$9)</f>
        <v>30.638000000000002</v>
      </c>
      <c r="N908" s="10">
        <f>CHOOSE(CONTROL!$C$42, 30.654, 30.654) * CHOOSE(CONTROL!$C$21, $C$9, 100%, $E$9)</f>
        <v>30.654</v>
      </c>
      <c r="O908" s="10">
        <f>CHOOSE(CONTROL!$C$42, 30.8819, 30.8819) * CHOOSE(CONTROL!$C$21, $C$9, 100%, $E$9)</f>
        <v>30.881900000000002</v>
      </c>
      <c r="P908" s="10">
        <f>CHOOSE(CONTROL!$C$42, 30.679, 30.679) * CHOOSE(CONTROL!$C$21, $C$9, 100%, $E$9)</f>
        <v>30.678999999999998</v>
      </c>
      <c r="Q908" s="10">
        <f>CHOOSE(CONTROL!$C$42, 31.4772, 31.4772) * CHOOSE(CONTROL!$C$21, $C$9, 100%, $E$9)</f>
        <v>31.4772</v>
      </c>
      <c r="R908" s="10">
        <f>CHOOSE(CONTROL!$C$42, 32.1429, 32.1429) * CHOOSE(CONTROL!$C$21, $C$9, 100%, $E$9)</f>
        <v>32.142899999999997</v>
      </c>
      <c r="S908" s="10">
        <f>CHOOSE(CONTROL!$C$42, 30.1295, 30.1295) * CHOOSE(CONTROL!$C$21, $C$9, 100%, $E$9)</f>
        <v>30.1295</v>
      </c>
      <c r="T90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08" s="38">
        <f>(1000*CHOOSE(CONTROL!$C$42, 695, 695)*CHOOSE(CONTROL!$C$42, 0.5599, 0.5599)*CHOOSE(CONTROL!$C$42, 31, 31))/1000000</f>
        <v>12.063045499999998</v>
      </c>
      <c r="V908" s="38">
        <f>(1000*CHOOSE(CONTROL!$C$42, 500, 500)*CHOOSE(CONTROL!$C$42, 0.275, 0.275)*CHOOSE(CONTROL!$C$42, 31, 31))/1000000</f>
        <v>4.2625000000000002</v>
      </c>
      <c r="W908" s="38">
        <f>(1000*CHOOSE(CONTROL!$C$42, 0.1146, 0.1146)*CHOOSE(CONTROL!$C$42, 121.5, 121.5)*CHOOSE(CONTROL!$C$42, 31, 31))/1000000</f>
        <v>0.43164089999999994</v>
      </c>
      <c r="X908" s="38">
        <f>(31*0.1790888*245000/1000000)+(31*0.2374*100000/1000000)</f>
        <v>2.0961194359999999</v>
      </c>
      <c r="Y908" s="38">
        <f>(1000*600*CHOOSE(CONTROL!$C$42, 1.0585, 1.0585)*CHOOSE(CONTROL!$C$42, 31, 31))/1000000</f>
        <v>19.688099999999999</v>
      </c>
      <c r="Z908" s="38"/>
      <c r="AA908" s="10"/>
      <c r="AB908" s="39"/>
      <c r="AC908" s="33">
        <f>(B908*194.205+C908*267.466+D908*133.845+E908*53.484+F908*40+G908*185+H908*0+I908*100+J908*300)/(194.205+267.466+133.845+53.484+0+40+185+100+300)</f>
        <v>31.104132585400318</v>
      </c>
      <c r="AD908" s="27">
        <f>(M908*'RAP TEMPLATE-GAS AVAILABILITY'!O907+N908*'RAP TEMPLATE-GAS AVAILABILITY'!P907+O908*'RAP TEMPLATE-GAS AVAILABILITY'!Q907+P908*'RAP TEMPLATE-GAS AVAILABILITY'!R907)/('RAP TEMPLATE-GAS AVAILABILITY'!O907+'RAP TEMPLATE-GAS AVAILABILITY'!P907+'RAP TEMPLATE-GAS AVAILABILITY'!Q907+'RAP TEMPLATE-GAS AVAILABILITY'!R907)</f>
        <v>30.755364748201444</v>
      </c>
    </row>
    <row r="909" spans="1:30" ht="15.75">
      <c r="A909" s="13">
        <v>68941</v>
      </c>
      <c r="B909" s="10">
        <f>CHOOSE(CONTROL!$C$42, 29.1254, 29.1254) * CHOOSE(CONTROL!$C$21, $C$9, 100%, $E$9)</f>
        <v>29.125399999999999</v>
      </c>
      <c r="C909" s="10">
        <f>CHOOSE(CONTROL!$C$42, 29.1334, 29.1334) * CHOOSE(CONTROL!$C$21, $C$9, 100%, $E$9)</f>
        <v>29.133400000000002</v>
      </c>
      <c r="D909" s="10">
        <f>CHOOSE(CONTROL!$C$42, 29.2904, 29.2904) * CHOOSE(CONTROL!$C$21, $C$9, 100%, $E$9)</f>
        <v>29.290400000000002</v>
      </c>
      <c r="E909" s="10">
        <f>CHOOSE(CONTROL!$C$42, 29.3216, 29.3216) * CHOOSE(CONTROL!$C$21, $C$9, 100%, $E$9)</f>
        <v>29.3216</v>
      </c>
      <c r="F909" s="10">
        <f>CHOOSE(CONTROL!$C$42, 29.0698, 29.0698)*CHOOSE(CONTROL!$C$21, $C$9, 100%, $E$9)</f>
        <v>29.069800000000001</v>
      </c>
      <c r="G909" s="10">
        <f>CHOOSE(CONTROL!$C$42, 29.0859, 29.0859)*CHOOSE(CONTROL!$C$21, $C$9, 100%, $E$9)</f>
        <v>29.085899999999999</v>
      </c>
      <c r="H909" s="10">
        <f>CHOOSE(CONTROL!$C$42, 29.31, 29.31) * CHOOSE(CONTROL!$C$21, $C$9, 100%, $E$9)</f>
        <v>29.31</v>
      </c>
      <c r="I909" s="10">
        <f>CHOOSE(CONTROL!$C$42, 29.1042, 29.1042)* CHOOSE(CONTROL!$C$21, $C$9, 100%, $E$9)</f>
        <v>29.104199999999999</v>
      </c>
      <c r="J909" s="10">
        <f>CHOOSE(CONTROL!$C$42, 29.0624, 29.0624)* CHOOSE(CONTROL!$C$21, $C$9, 100%, $E$9)</f>
        <v>29.0624</v>
      </c>
      <c r="K909" s="10">
        <f>CHOOSE(CONTROL!$C$42, 28.3554, 28.3554) * CHOOSE(CONTROL!$C$21, $C$9, 100%, $E$9)</f>
        <v>28.355399999999999</v>
      </c>
      <c r="L909" s="10">
        <f>CHOOSE(CONTROL!$C$42, 29.897, 29.897) * CHOOSE(CONTROL!$C$21, $C$9, 100%, $E$9)</f>
        <v>29.896999999999998</v>
      </c>
      <c r="M909" s="10">
        <f>CHOOSE(CONTROL!$C$42, 28.6899, 28.6899) * CHOOSE(CONTROL!$C$21, $C$9, 100%, $E$9)</f>
        <v>28.689900000000002</v>
      </c>
      <c r="N909" s="10">
        <f>CHOOSE(CONTROL!$C$42, 28.7059, 28.7059) * CHOOSE(CONTROL!$C$21, $C$9, 100%, $E$9)</f>
        <v>28.7059</v>
      </c>
      <c r="O909" s="10">
        <f>CHOOSE(CONTROL!$C$42, 28.9341, 28.9341) * CHOOSE(CONTROL!$C$21, $C$9, 100%, $E$9)</f>
        <v>28.934100000000001</v>
      </c>
      <c r="P909" s="10">
        <f>CHOOSE(CONTROL!$C$42, 28.7312, 28.7312) * CHOOSE(CONTROL!$C$21, $C$9, 100%, $E$9)</f>
        <v>28.731200000000001</v>
      </c>
      <c r="Q909" s="10">
        <f>CHOOSE(CONTROL!$C$42, 29.5294, 29.5294) * CHOOSE(CONTROL!$C$21, $C$9, 100%, $E$9)</f>
        <v>29.529399999999999</v>
      </c>
      <c r="R909" s="10">
        <f>CHOOSE(CONTROL!$C$42, 30.1902, 30.1902) * CHOOSE(CONTROL!$C$21, $C$9, 100%, $E$9)</f>
        <v>30.190200000000001</v>
      </c>
      <c r="S909" s="10">
        <f>CHOOSE(CONTROL!$C$42, 28.2167, 28.2167) * CHOOSE(CONTROL!$C$21, $C$9, 100%, $E$9)</f>
        <v>28.216699999999999</v>
      </c>
      <c r="T90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09" s="38">
        <f>(1000*CHOOSE(CONTROL!$C$42, 695, 695)*CHOOSE(CONTROL!$C$42, 0.5599, 0.5599)*CHOOSE(CONTROL!$C$42, 30, 30))/1000000</f>
        <v>11.673914999999997</v>
      </c>
      <c r="V909" s="38">
        <f>(1000*CHOOSE(CONTROL!$C$42, 500, 500)*CHOOSE(CONTROL!$C$42, 0.275, 0.275)*CHOOSE(CONTROL!$C$42, 30, 30))/1000000</f>
        <v>4.125</v>
      </c>
      <c r="W909" s="38">
        <f>(1000*CHOOSE(CONTROL!$C$42, 0.1146, 0.1146)*CHOOSE(CONTROL!$C$42, 121.5, 121.5)*CHOOSE(CONTROL!$C$42, 30, 30))/1000000</f>
        <v>0.417717</v>
      </c>
      <c r="X909" s="38">
        <f>(30*0.1790888*245000/1000000)+(30*0.2374*100000/1000000)</f>
        <v>2.0285026799999999</v>
      </c>
      <c r="Y909" s="38">
        <f>(1000*600*CHOOSE(CONTROL!$C$42, 1.0585, 1.0585)*CHOOSE(CONTROL!$C$42, 30, 30))/1000000</f>
        <v>19.053000000000001</v>
      </c>
      <c r="Z909" s="38"/>
      <c r="AA909" s="10"/>
      <c r="AB909" s="39"/>
      <c r="AC909" s="33">
        <f>(B909*194.205+C909*267.466+D909*133.845+E909*53.484+F909*40+G909*185+H909*0+I909*100+J909*300)/(194.205+267.466+133.845+53.484+0+40+185+100+300)</f>
        <v>29.128670183516483</v>
      </c>
      <c r="AD909" s="27">
        <f>(M909*'RAP TEMPLATE-GAS AVAILABILITY'!O908+N909*'RAP TEMPLATE-GAS AVAILABILITY'!P908+O909*'RAP TEMPLATE-GAS AVAILABILITY'!Q908+P909*'RAP TEMPLATE-GAS AVAILABILITY'!R908)/('RAP TEMPLATE-GAS AVAILABILITY'!O908+'RAP TEMPLATE-GAS AVAILABILITY'!P908+'RAP TEMPLATE-GAS AVAILABILITY'!Q908+'RAP TEMPLATE-GAS AVAILABILITY'!R908)</f>
        <v>28.807443884892088</v>
      </c>
    </row>
    <row r="910" spans="1:30" ht="15.75">
      <c r="A910" s="13">
        <v>68972</v>
      </c>
      <c r="B910" s="10">
        <f>CHOOSE(CONTROL!$C$42, 28.5316, 28.5316) * CHOOSE(CONTROL!$C$21, $C$9, 100%, $E$9)</f>
        <v>28.531600000000001</v>
      </c>
      <c r="C910" s="10">
        <f>CHOOSE(CONTROL!$C$42, 28.5369, 28.5369) * CHOOSE(CONTROL!$C$21, $C$9, 100%, $E$9)</f>
        <v>28.536899999999999</v>
      </c>
      <c r="D910" s="10">
        <f>CHOOSE(CONTROL!$C$42, 28.6988, 28.6988) * CHOOSE(CONTROL!$C$21, $C$9, 100%, $E$9)</f>
        <v>28.698799999999999</v>
      </c>
      <c r="E910" s="10">
        <f>CHOOSE(CONTROL!$C$42, 28.7278, 28.7278) * CHOOSE(CONTROL!$C$21, $C$9, 100%, $E$9)</f>
        <v>28.727799999999998</v>
      </c>
      <c r="F910" s="10">
        <f>CHOOSE(CONTROL!$C$42, 28.478, 28.478)*CHOOSE(CONTROL!$C$21, $C$9, 100%, $E$9)</f>
        <v>28.478000000000002</v>
      </c>
      <c r="G910" s="10">
        <f>CHOOSE(CONTROL!$C$42, 28.4938, 28.4938)*CHOOSE(CONTROL!$C$21, $C$9, 100%, $E$9)</f>
        <v>28.4938</v>
      </c>
      <c r="H910" s="10">
        <f>CHOOSE(CONTROL!$C$42, 28.7179, 28.7179) * CHOOSE(CONTROL!$C$21, $C$9, 100%, $E$9)</f>
        <v>28.7179</v>
      </c>
      <c r="I910" s="10">
        <f>CHOOSE(CONTROL!$C$42, 28.5121, 28.5121)* CHOOSE(CONTROL!$C$21, $C$9, 100%, $E$9)</f>
        <v>28.5121</v>
      </c>
      <c r="J910" s="10">
        <f>CHOOSE(CONTROL!$C$42, 28.4706, 28.4706)* CHOOSE(CONTROL!$C$21, $C$9, 100%, $E$9)</f>
        <v>28.470600000000001</v>
      </c>
      <c r="K910" s="10">
        <f>CHOOSE(CONTROL!$C$42, 27.7824, 27.7824) * CHOOSE(CONTROL!$C$21, $C$9, 100%, $E$9)</f>
        <v>27.782399999999999</v>
      </c>
      <c r="L910" s="10">
        <f>CHOOSE(CONTROL!$C$42, 29.3049, 29.3049) * CHOOSE(CONTROL!$C$21, $C$9, 100%, $E$9)</f>
        <v>29.3049</v>
      </c>
      <c r="M910" s="10">
        <f>CHOOSE(CONTROL!$C$42, 28.1064, 28.1064) * CHOOSE(CONTROL!$C$21, $C$9, 100%, $E$9)</f>
        <v>28.106400000000001</v>
      </c>
      <c r="N910" s="10">
        <f>CHOOSE(CONTROL!$C$42, 28.122, 28.122) * CHOOSE(CONTROL!$C$21, $C$9, 100%, $E$9)</f>
        <v>28.122</v>
      </c>
      <c r="O910" s="10">
        <f>CHOOSE(CONTROL!$C$42, 28.3503, 28.3503) * CHOOSE(CONTROL!$C$21, $C$9, 100%, $E$9)</f>
        <v>28.350300000000001</v>
      </c>
      <c r="P910" s="10">
        <f>CHOOSE(CONTROL!$C$42, 28.1474, 28.1474) * CHOOSE(CONTROL!$C$21, $C$9, 100%, $E$9)</f>
        <v>28.147400000000001</v>
      </c>
      <c r="Q910" s="10">
        <f>CHOOSE(CONTROL!$C$42, 28.9456, 28.9456) * CHOOSE(CONTROL!$C$21, $C$9, 100%, $E$9)</f>
        <v>28.945599999999999</v>
      </c>
      <c r="R910" s="10">
        <f>CHOOSE(CONTROL!$C$42, 29.6049, 29.6049) * CHOOSE(CONTROL!$C$21, $C$9, 100%, $E$9)</f>
        <v>29.604900000000001</v>
      </c>
      <c r="S910" s="10">
        <f>CHOOSE(CONTROL!$C$42, 27.6434, 27.6434) * CHOOSE(CONTROL!$C$21, $C$9, 100%, $E$9)</f>
        <v>27.6434</v>
      </c>
      <c r="T91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10" s="38">
        <f>(1000*CHOOSE(CONTROL!$C$42, 695, 695)*CHOOSE(CONTROL!$C$42, 0.5599, 0.5599)*CHOOSE(CONTROL!$C$42, 31, 31))/1000000</f>
        <v>12.063045499999998</v>
      </c>
      <c r="V910" s="38">
        <f>(1000*CHOOSE(CONTROL!$C$42, 500, 500)*CHOOSE(CONTROL!$C$42, 0.275, 0.275)*CHOOSE(CONTROL!$C$42, 31, 31))/1000000</f>
        <v>4.2625000000000002</v>
      </c>
      <c r="W910" s="38">
        <f>(1000*CHOOSE(CONTROL!$C$42, 0.1146, 0.1146)*CHOOSE(CONTROL!$C$42, 121.5, 121.5)*CHOOSE(CONTROL!$C$42, 31, 31))/1000000</f>
        <v>0.43164089999999994</v>
      </c>
      <c r="X910" s="38">
        <f>(31*0.1790888*245000/1000000)+(31*0.2374*100000/1000000)</f>
        <v>2.0961194359999999</v>
      </c>
      <c r="Y910" s="38">
        <f>(1000*600*CHOOSE(CONTROL!$C$42, 1.0585, 1.0585)*CHOOSE(CONTROL!$C$42, 31, 31))/1000000</f>
        <v>19.688099999999999</v>
      </c>
      <c r="Z910" s="38"/>
      <c r="AA910" s="10"/>
      <c r="AB910" s="39"/>
      <c r="AC910" s="33">
        <f>(B910*131.881+C910*277.167+D910*79.08+E910*125.872+F910*40+G910*185+H910*0+I910*100+J910*300)/(131.881+277.167+79.08+125.872+0+40+185+100+300)</f>
        <v>28.539671224778047</v>
      </c>
      <c r="AD910" s="27">
        <f>(M910*'RAP TEMPLATE-GAS AVAILABILITY'!O909+N910*'RAP TEMPLATE-GAS AVAILABILITY'!P909+O910*'RAP TEMPLATE-GAS AVAILABILITY'!Q909+P910*'RAP TEMPLATE-GAS AVAILABILITY'!R909)/('RAP TEMPLATE-GAS AVAILABILITY'!O909+'RAP TEMPLATE-GAS AVAILABILITY'!P909+'RAP TEMPLATE-GAS AVAILABILITY'!Q909+'RAP TEMPLATE-GAS AVAILABILITY'!R909)</f>
        <v>28.223741726618709</v>
      </c>
    </row>
    <row r="911" spans="1:30" ht="15.75">
      <c r="A911" s="13">
        <v>69002</v>
      </c>
      <c r="B911" s="10">
        <f>CHOOSE(CONTROL!$C$42, 29.2832, 29.2832) * CHOOSE(CONTROL!$C$21, $C$9, 100%, $E$9)</f>
        <v>29.283200000000001</v>
      </c>
      <c r="C911" s="10">
        <f>CHOOSE(CONTROL!$C$42, 29.2883, 29.2883) * CHOOSE(CONTROL!$C$21, $C$9, 100%, $E$9)</f>
        <v>29.2883</v>
      </c>
      <c r="D911" s="10">
        <f>CHOOSE(CONTROL!$C$42, 29.313, 29.313) * CHOOSE(CONTROL!$C$21, $C$9, 100%, $E$9)</f>
        <v>29.312999999999999</v>
      </c>
      <c r="E911" s="10">
        <f>CHOOSE(CONTROL!$C$42, 29.3468, 29.3468) * CHOOSE(CONTROL!$C$21, $C$9, 100%, $E$9)</f>
        <v>29.346800000000002</v>
      </c>
      <c r="F911" s="10">
        <f>CHOOSE(CONTROL!$C$42, 29.2516, 29.2516)*CHOOSE(CONTROL!$C$21, $C$9, 100%, $E$9)</f>
        <v>29.2516</v>
      </c>
      <c r="G911" s="10">
        <f>CHOOSE(CONTROL!$C$42, 29.2676, 29.2676)*CHOOSE(CONTROL!$C$21, $C$9, 100%, $E$9)</f>
        <v>29.267600000000002</v>
      </c>
      <c r="H911" s="10">
        <f>CHOOSE(CONTROL!$C$42, 29.3357, 29.3357) * CHOOSE(CONTROL!$C$21, $C$9, 100%, $E$9)</f>
        <v>29.335699999999999</v>
      </c>
      <c r="I911" s="10">
        <f>CHOOSE(CONTROL!$C$42, 29.2982, 29.2982)* CHOOSE(CONTROL!$C$21, $C$9, 100%, $E$9)</f>
        <v>29.298200000000001</v>
      </c>
      <c r="J911" s="10">
        <f>CHOOSE(CONTROL!$C$42, 29.2442, 29.2442)* CHOOSE(CONTROL!$C$21, $C$9, 100%, $E$9)</f>
        <v>29.244199999999999</v>
      </c>
      <c r="K911" s="10">
        <f>CHOOSE(CONTROL!$C$42, 28.5462, 28.5462) * CHOOSE(CONTROL!$C$21, $C$9, 100%, $E$9)</f>
        <v>28.546199999999999</v>
      </c>
      <c r="L911" s="10">
        <f>CHOOSE(CONTROL!$C$42, 29.9227, 29.9227) * CHOOSE(CONTROL!$C$21, $C$9, 100%, $E$9)</f>
        <v>29.922699999999999</v>
      </c>
      <c r="M911" s="10">
        <f>CHOOSE(CONTROL!$C$42, 28.8692, 28.8692) * CHOOSE(CONTROL!$C$21, $C$9, 100%, $E$9)</f>
        <v>28.869199999999999</v>
      </c>
      <c r="N911" s="10">
        <f>CHOOSE(CONTROL!$C$42, 28.885, 28.885) * CHOOSE(CONTROL!$C$21, $C$9, 100%, $E$9)</f>
        <v>28.885000000000002</v>
      </c>
      <c r="O911" s="10">
        <f>CHOOSE(CONTROL!$C$42, 28.9595, 28.9595) * CHOOSE(CONTROL!$C$21, $C$9, 100%, $E$9)</f>
        <v>28.959499999999998</v>
      </c>
      <c r="P911" s="10">
        <f>CHOOSE(CONTROL!$C$42, 28.9226, 28.9226) * CHOOSE(CONTROL!$C$21, $C$9, 100%, $E$9)</f>
        <v>28.922599999999999</v>
      </c>
      <c r="Q911" s="10">
        <f>CHOOSE(CONTROL!$C$42, 29.5548, 29.5548) * CHOOSE(CONTROL!$C$21, $C$9, 100%, $E$9)</f>
        <v>29.5548</v>
      </c>
      <c r="R911" s="10">
        <f>CHOOSE(CONTROL!$C$42, 30.2156, 30.2156) * CHOOSE(CONTROL!$C$21, $C$9, 100%, $E$9)</f>
        <v>30.215599999999998</v>
      </c>
      <c r="S911" s="10">
        <f>CHOOSE(CONTROL!$C$42, 28.3716, 28.3716) * CHOOSE(CONTROL!$C$21, $C$9, 100%, $E$9)</f>
        <v>28.371600000000001</v>
      </c>
      <c r="T91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11" s="38">
        <f>(1000*CHOOSE(CONTROL!$C$42, 695, 695)*CHOOSE(CONTROL!$C$42, 0.5599, 0.5599)*CHOOSE(CONTROL!$C$42, 30, 30))/1000000</f>
        <v>11.673914999999997</v>
      </c>
      <c r="V911" s="38">
        <f>(1000*CHOOSE(CONTROL!$C$42, 500, 500)*CHOOSE(CONTROL!$C$42, 0.275, 0.275)*CHOOSE(CONTROL!$C$42, 30, 30))/1000000</f>
        <v>4.125</v>
      </c>
      <c r="W911" s="38">
        <f>(1000*CHOOSE(CONTROL!$C$42, 0.1146, 0.1146)*CHOOSE(CONTROL!$C$42, 121.5, 121.5)*CHOOSE(CONTROL!$C$42, 30, 30))/1000000</f>
        <v>0.417717</v>
      </c>
      <c r="X911" s="38">
        <f>(30*0.1790888*100000/1000000)+(30*0.2374*100000/1000000)</f>
        <v>1.2494664</v>
      </c>
      <c r="Y911" s="38">
        <f>(1000*600*CHOOSE(CONTROL!$C$42, 1.0585, 1.0585)*CHOOSE(CONTROL!$C$42, 30, 30))/1000000</f>
        <v>19.053000000000001</v>
      </c>
      <c r="Z911" s="38"/>
      <c r="AA911" s="10"/>
      <c r="AB911" s="39"/>
      <c r="AC911" s="33">
        <f>(B911*122.58+C911*297.941+D911*89.177+E911*40.302+F911*40+G911*160+H911*0+I911*100+J911*300)/(122.58+297.941+89.177+40.302+0+40+160+100+300)</f>
        <v>29.276921896434782</v>
      </c>
      <c r="AD911" s="27">
        <f>(M911*'RAP TEMPLATE-GAS AVAILABILITY'!O910+N911*'RAP TEMPLATE-GAS AVAILABILITY'!P910+O911*'RAP TEMPLATE-GAS AVAILABILITY'!Q910+P911*'RAP TEMPLATE-GAS AVAILABILITY'!R910)/('RAP TEMPLATE-GAS AVAILABILITY'!O910+'RAP TEMPLATE-GAS AVAILABILITY'!P910+'RAP TEMPLATE-GAS AVAILABILITY'!Q910+'RAP TEMPLATE-GAS AVAILABILITY'!R910)</f>
        <v>28.918720143884894</v>
      </c>
    </row>
    <row r="912" spans="1:30" ht="15.75">
      <c r="A912" s="13">
        <v>69033</v>
      </c>
      <c r="B912" s="10">
        <f>CHOOSE(CONTROL!$C$42, 31.2809, 31.2809) * CHOOSE(CONTROL!$C$21, $C$9, 100%, $E$9)</f>
        <v>31.280899999999999</v>
      </c>
      <c r="C912" s="10">
        <f>CHOOSE(CONTROL!$C$42, 31.286, 31.286) * CHOOSE(CONTROL!$C$21, $C$9, 100%, $E$9)</f>
        <v>31.286000000000001</v>
      </c>
      <c r="D912" s="10">
        <f>CHOOSE(CONTROL!$C$42, 31.3106, 31.3106) * CHOOSE(CONTROL!$C$21, $C$9, 100%, $E$9)</f>
        <v>31.310600000000001</v>
      </c>
      <c r="E912" s="10">
        <f>CHOOSE(CONTROL!$C$42, 31.3444, 31.3444) * CHOOSE(CONTROL!$C$21, $C$9, 100%, $E$9)</f>
        <v>31.3444</v>
      </c>
      <c r="F912" s="10">
        <f>CHOOSE(CONTROL!$C$42, 31.2511, 31.2511)*CHOOSE(CONTROL!$C$21, $C$9, 100%, $E$9)</f>
        <v>31.251100000000001</v>
      </c>
      <c r="G912" s="10">
        <f>CHOOSE(CONTROL!$C$42, 31.2676, 31.2676)*CHOOSE(CONTROL!$C$21, $C$9, 100%, $E$9)</f>
        <v>31.267600000000002</v>
      </c>
      <c r="H912" s="10">
        <f>CHOOSE(CONTROL!$C$42, 31.3333, 31.3333) * CHOOSE(CONTROL!$C$21, $C$9, 100%, $E$9)</f>
        <v>31.333300000000001</v>
      </c>
      <c r="I912" s="10">
        <f>CHOOSE(CONTROL!$C$42, 31.2958, 31.2958)* CHOOSE(CONTROL!$C$21, $C$9, 100%, $E$9)</f>
        <v>31.2958</v>
      </c>
      <c r="J912" s="10">
        <f>CHOOSE(CONTROL!$C$42, 31.2437, 31.2437)* CHOOSE(CONTROL!$C$21, $C$9, 100%, $E$9)</f>
        <v>31.2437</v>
      </c>
      <c r="K912" s="10">
        <f>CHOOSE(CONTROL!$C$42, 30.4856, 30.4856) * CHOOSE(CONTROL!$C$21, $C$9, 100%, $E$9)</f>
        <v>30.485600000000002</v>
      </c>
      <c r="L912" s="10">
        <f>CHOOSE(CONTROL!$C$42, 31.9203, 31.9203) * CHOOSE(CONTROL!$C$21, $C$9, 100%, $E$9)</f>
        <v>31.920300000000001</v>
      </c>
      <c r="M912" s="10">
        <f>CHOOSE(CONTROL!$C$42, 30.8409, 30.8409) * CHOOSE(CONTROL!$C$21, $C$9, 100%, $E$9)</f>
        <v>30.840900000000001</v>
      </c>
      <c r="N912" s="10">
        <f>CHOOSE(CONTROL!$C$42, 30.8571, 30.8571) * CHOOSE(CONTROL!$C$21, $C$9, 100%, $E$9)</f>
        <v>30.857099999999999</v>
      </c>
      <c r="O912" s="10">
        <f>CHOOSE(CONTROL!$C$42, 30.9292, 30.9292) * CHOOSE(CONTROL!$C$21, $C$9, 100%, $E$9)</f>
        <v>30.929200000000002</v>
      </c>
      <c r="P912" s="10">
        <f>CHOOSE(CONTROL!$C$42, 30.8923, 30.8923) * CHOOSE(CONTROL!$C$21, $C$9, 100%, $E$9)</f>
        <v>30.892299999999999</v>
      </c>
      <c r="Q912" s="10">
        <f>CHOOSE(CONTROL!$C$42, 31.5245, 31.5245) * CHOOSE(CONTROL!$C$21, $C$9, 100%, $E$9)</f>
        <v>31.5245</v>
      </c>
      <c r="R912" s="10">
        <f>CHOOSE(CONTROL!$C$42, 32.1903, 32.1903) * CHOOSE(CONTROL!$C$21, $C$9, 100%, $E$9)</f>
        <v>32.190300000000001</v>
      </c>
      <c r="S912" s="10">
        <f>CHOOSE(CONTROL!$C$42, 30.3059, 30.3059) * CHOOSE(CONTROL!$C$21, $C$9, 100%, $E$9)</f>
        <v>30.305900000000001</v>
      </c>
      <c r="T91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12" s="38">
        <f>(1000*CHOOSE(CONTROL!$C$42, 695, 695)*CHOOSE(CONTROL!$C$42, 0.5599, 0.5599)*CHOOSE(CONTROL!$C$42, 31, 31))/1000000</f>
        <v>12.063045499999998</v>
      </c>
      <c r="V912" s="38">
        <f>(1000*CHOOSE(CONTROL!$C$42, 500, 500)*CHOOSE(CONTROL!$C$42, 0.275, 0.275)*CHOOSE(CONTROL!$C$42, 31, 31))/1000000</f>
        <v>4.2625000000000002</v>
      </c>
      <c r="W912" s="38">
        <f>(1000*CHOOSE(CONTROL!$C$42, 0.1146, 0.1146)*CHOOSE(CONTROL!$C$42, 121.5, 121.5)*CHOOSE(CONTROL!$C$42, 31, 31))/1000000</f>
        <v>0.43164089999999994</v>
      </c>
      <c r="X912" s="38">
        <f>(31*0.1790888*100000/1000000)+(31*0.2374*100000/1000000)</f>
        <v>1.2911152800000001</v>
      </c>
      <c r="Y912" s="38">
        <f>(1000*600*CHOOSE(CONTROL!$C$42, 1.0585, 1.0585)*CHOOSE(CONTROL!$C$42, 31, 31))/1000000</f>
        <v>19.688099999999999</v>
      </c>
      <c r="Z912" s="38"/>
      <c r="AA912" s="10"/>
      <c r="AB912" s="39"/>
      <c r="AC912" s="33">
        <f>(B912*122.58+C912*297.941+D912*89.177+E912*40.302+F912*40+G912*160+H912*0+I912*100+J912*300)/(122.58+297.941+89.177+40.302+0+40+160+100+300)</f>
        <v>31.275454115652177</v>
      </c>
      <c r="AD912" s="27">
        <f>(M912*'RAP TEMPLATE-GAS AVAILABILITY'!O911+N912*'RAP TEMPLATE-GAS AVAILABILITY'!P911+O912*'RAP TEMPLATE-GAS AVAILABILITY'!Q911+P912*'RAP TEMPLATE-GAS AVAILABILITY'!R911)/('RAP TEMPLATE-GAS AVAILABILITY'!O911+'RAP TEMPLATE-GAS AVAILABILITY'!P911+'RAP TEMPLATE-GAS AVAILABILITY'!Q911+'RAP TEMPLATE-GAS AVAILABILITY'!R911)</f>
        <v>30.889248920863313</v>
      </c>
    </row>
    <row r="913" spans="1:30" ht="15.75">
      <c r="A913" s="13">
        <v>69064</v>
      </c>
      <c r="B913" s="10">
        <f>CHOOSE(CONTROL!$C$42, 33.3932, 33.3932) * CHOOSE(CONTROL!$C$21, $C$9, 100%, $E$9)</f>
        <v>33.3932</v>
      </c>
      <c r="C913" s="10">
        <f>CHOOSE(CONTROL!$C$42, 33.3983, 33.3983) * CHOOSE(CONTROL!$C$21, $C$9, 100%, $E$9)</f>
        <v>33.398299999999999</v>
      </c>
      <c r="D913" s="10">
        <f>CHOOSE(CONTROL!$C$42, 33.4308, 33.4308) * CHOOSE(CONTROL!$C$21, $C$9, 100%, $E$9)</f>
        <v>33.430799999999998</v>
      </c>
      <c r="E913" s="10">
        <f>CHOOSE(CONTROL!$C$42, 33.4646, 33.4646) * CHOOSE(CONTROL!$C$21, $C$9, 100%, $E$9)</f>
        <v>33.464599999999997</v>
      </c>
      <c r="F913" s="10">
        <f>CHOOSE(CONTROL!$C$42, 33.3774, 33.3774)*CHOOSE(CONTROL!$C$21, $C$9, 100%, $E$9)</f>
        <v>33.377400000000002</v>
      </c>
      <c r="G913" s="10">
        <f>CHOOSE(CONTROL!$C$42, 33.3955, 33.3955)*CHOOSE(CONTROL!$C$21, $C$9, 100%, $E$9)</f>
        <v>33.395499999999998</v>
      </c>
      <c r="H913" s="10">
        <f>CHOOSE(CONTROL!$C$42, 33.4534, 33.4534) * CHOOSE(CONTROL!$C$21, $C$9, 100%, $E$9)</f>
        <v>33.453400000000002</v>
      </c>
      <c r="I913" s="10">
        <f>CHOOSE(CONTROL!$C$42, 33.4067, 33.4067)* CHOOSE(CONTROL!$C$21, $C$9, 100%, $E$9)</f>
        <v>33.406700000000001</v>
      </c>
      <c r="J913" s="10">
        <f>CHOOSE(CONTROL!$C$42, 33.37, 33.37)* CHOOSE(CONTROL!$C$21, $C$9, 100%, $E$9)</f>
        <v>33.369999999999997</v>
      </c>
      <c r="K913" s="10">
        <f>CHOOSE(CONTROL!$C$42, 32.5445, 32.5445) * CHOOSE(CONTROL!$C$21, $C$9, 100%, $E$9)</f>
        <v>32.544499999999999</v>
      </c>
      <c r="L913" s="10">
        <f>CHOOSE(CONTROL!$C$42, 34.0404, 34.0404) * CHOOSE(CONTROL!$C$21, $C$9, 100%, $E$9)</f>
        <v>34.040399999999998</v>
      </c>
      <c r="M913" s="10">
        <f>CHOOSE(CONTROL!$C$42, 32.9375, 32.9375) * CHOOSE(CONTROL!$C$21, $C$9, 100%, $E$9)</f>
        <v>32.9375</v>
      </c>
      <c r="N913" s="10">
        <f>CHOOSE(CONTROL!$C$42, 32.9553, 32.9553) * CHOOSE(CONTROL!$C$21, $C$9, 100%, $E$9)</f>
        <v>32.955300000000001</v>
      </c>
      <c r="O913" s="10">
        <f>CHOOSE(CONTROL!$C$42, 33.0198, 33.0198) * CHOOSE(CONTROL!$C$21, $C$9, 100%, $E$9)</f>
        <v>33.019799999999996</v>
      </c>
      <c r="P913" s="10">
        <f>CHOOSE(CONTROL!$C$42, 32.9737, 32.9737) * CHOOSE(CONTROL!$C$21, $C$9, 100%, $E$9)</f>
        <v>32.973700000000001</v>
      </c>
      <c r="Q913" s="10">
        <f>CHOOSE(CONTROL!$C$42, 33.6151, 33.6151) * CHOOSE(CONTROL!$C$21, $C$9, 100%, $E$9)</f>
        <v>33.615099999999998</v>
      </c>
      <c r="R913" s="10">
        <f>CHOOSE(CONTROL!$C$42, 34.2861, 34.2861) * CHOOSE(CONTROL!$C$21, $C$9, 100%, $E$9)</f>
        <v>34.286099999999998</v>
      </c>
      <c r="S913" s="10">
        <f>CHOOSE(CONTROL!$C$42, 32.3513, 32.3513) * CHOOSE(CONTROL!$C$21, $C$9, 100%, $E$9)</f>
        <v>32.351300000000002</v>
      </c>
      <c r="T91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13" s="38">
        <f>(1000*CHOOSE(CONTROL!$C$42, 695, 695)*CHOOSE(CONTROL!$C$42, 0.5599, 0.5599)*CHOOSE(CONTROL!$C$42, 31, 31))/1000000</f>
        <v>12.063045499999998</v>
      </c>
      <c r="V913" s="38">
        <f>(1000*CHOOSE(CONTROL!$C$42, 500, 500)*CHOOSE(CONTROL!$C$42, 0.275, 0.275)*CHOOSE(CONTROL!$C$42, 31, 31))/1000000</f>
        <v>4.2625000000000002</v>
      </c>
      <c r="W913" s="38">
        <f>(1000*CHOOSE(CONTROL!$C$42, 0.1146, 0.1146)*CHOOSE(CONTROL!$C$42, 121.5, 121.5)*CHOOSE(CONTROL!$C$42, 31, 31))/1000000</f>
        <v>0.43164089999999994</v>
      </c>
      <c r="X913" s="38">
        <f>(31*0.1790888*100000/1000000)+(31*0.2374*100000/1000000)</f>
        <v>1.2911152800000001</v>
      </c>
      <c r="Y913" s="38">
        <f>(1000*600*CHOOSE(CONTROL!$C$42, 1.0585, 1.0585)*CHOOSE(CONTROL!$C$42, 31, 31))/1000000</f>
        <v>19.688099999999999</v>
      </c>
      <c r="Z913" s="38"/>
      <c r="AA913" s="10"/>
      <c r="AB913" s="39"/>
      <c r="AC913" s="33">
        <f>(B913*122.58+C913*297.941+D913*89.177+E913*40.302+F913*40+G913*160+H913*0+I913*100+J913*300)/(122.58+297.941+89.177+40.302+0+40+160+100+300)</f>
        <v>33.394831406173914</v>
      </c>
      <c r="AD913" s="27">
        <f>(M913*'RAP TEMPLATE-GAS AVAILABILITY'!O912+N913*'RAP TEMPLATE-GAS AVAILABILITY'!P912+O913*'RAP TEMPLATE-GAS AVAILABILITY'!Q912+P913*'RAP TEMPLATE-GAS AVAILABILITY'!R912)/('RAP TEMPLATE-GAS AVAILABILITY'!O912+'RAP TEMPLATE-GAS AVAILABILITY'!P912+'RAP TEMPLATE-GAS AVAILABILITY'!Q912+'RAP TEMPLATE-GAS AVAILABILITY'!R912)</f>
        <v>32.981034532374103</v>
      </c>
    </row>
    <row r="914" spans="1:30" ht="15.75">
      <c r="A914" s="13">
        <v>69092</v>
      </c>
      <c r="B914" s="10">
        <f>CHOOSE(CONTROL!$C$42, 33.988, 33.988) * CHOOSE(CONTROL!$C$21, $C$9, 100%, $E$9)</f>
        <v>33.988</v>
      </c>
      <c r="C914" s="10">
        <f>CHOOSE(CONTROL!$C$42, 33.9931, 33.9931) * CHOOSE(CONTROL!$C$21, $C$9, 100%, $E$9)</f>
        <v>33.993099999999998</v>
      </c>
      <c r="D914" s="10">
        <f>CHOOSE(CONTROL!$C$42, 34.0255, 34.0255) * CHOOSE(CONTROL!$C$21, $C$9, 100%, $E$9)</f>
        <v>34.025500000000001</v>
      </c>
      <c r="E914" s="10">
        <f>CHOOSE(CONTROL!$C$42, 34.0593, 34.0593) * CHOOSE(CONTROL!$C$21, $C$9, 100%, $E$9)</f>
        <v>34.0593</v>
      </c>
      <c r="F914" s="10">
        <f>CHOOSE(CONTROL!$C$42, 33.9717, 33.9717)*CHOOSE(CONTROL!$C$21, $C$9, 100%, $E$9)</f>
        <v>33.971699999999998</v>
      </c>
      <c r="G914" s="10">
        <f>CHOOSE(CONTROL!$C$42, 33.9896, 33.9896)*CHOOSE(CONTROL!$C$21, $C$9, 100%, $E$9)</f>
        <v>33.989600000000003</v>
      </c>
      <c r="H914" s="10">
        <f>CHOOSE(CONTROL!$C$42, 34.0482, 34.0482) * CHOOSE(CONTROL!$C$21, $C$9, 100%, $E$9)</f>
        <v>34.048200000000001</v>
      </c>
      <c r="I914" s="10">
        <f>CHOOSE(CONTROL!$C$42, 34.0014, 34.0014)* CHOOSE(CONTROL!$C$21, $C$9, 100%, $E$9)</f>
        <v>34.001399999999997</v>
      </c>
      <c r="J914" s="10">
        <f>CHOOSE(CONTROL!$C$42, 33.9643, 33.9643)* CHOOSE(CONTROL!$C$21, $C$9, 100%, $E$9)</f>
        <v>33.964300000000001</v>
      </c>
      <c r="K914" s="10">
        <f>CHOOSE(CONTROL!$C$42, 33.1197, 33.1197) * CHOOSE(CONTROL!$C$21, $C$9, 100%, $E$9)</f>
        <v>33.119700000000002</v>
      </c>
      <c r="L914" s="10">
        <f>CHOOSE(CONTROL!$C$42, 34.6352, 34.6352) * CHOOSE(CONTROL!$C$21, $C$9, 100%, $E$9)</f>
        <v>34.635199999999998</v>
      </c>
      <c r="M914" s="10">
        <f>CHOOSE(CONTROL!$C$42, 33.5235, 33.5235) * CHOOSE(CONTROL!$C$21, $C$9, 100%, $E$9)</f>
        <v>33.523499999999999</v>
      </c>
      <c r="N914" s="10">
        <f>CHOOSE(CONTROL!$C$42, 33.5412, 33.5412) * CHOOSE(CONTROL!$C$21, $C$9, 100%, $E$9)</f>
        <v>33.541200000000003</v>
      </c>
      <c r="O914" s="10">
        <f>CHOOSE(CONTROL!$C$42, 33.6062, 33.6062) * CHOOSE(CONTROL!$C$21, $C$9, 100%, $E$9)</f>
        <v>33.606200000000001</v>
      </c>
      <c r="P914" s="10">
        <f>CHOOSE(CONTROL!$C$42, 33.5601, 33.5601) * CHOOSE(CONTROL!$C$21, $C$9, 100%, $E$9)</f>
        <v>33.560099999999998</v>
      </c>
      <c r="Q914" s="10">
        <f>CHOOSE(CONTROL!$C$42, 34.2015, 34.2015) * CHOOSE(CONTROL!$C$21, $C$9, 100%, $E$9)</f>
        <v>34.201500000000003</v>
      </c>
      <c r="R914" s="10">
        <f>CHOOSE(CONTROL!$C$42, 34.874, 34.874) * CHOOSE(CONTROL!$C$21, $C$9, 100%, $E$9)</f>
        <v>34.874000000000002</v>
      </c>
      <c r="S914" s="10">
        <f>CHOOSE(CONTROL!$C$42, 32.9272, 32.9272) * CHOOSE(CONTROL!$C$21, $C$9, 100%, $E$9)</f>
        <v>32.927199999999999</v>
      </c>
      <c r="T91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14" s="38">
        <f>(1000*CHOOSE(CONTROL!$C$42, 695, 695)*CHOOSE(CONTROL!$C$42, 0.5599, 0.5599)*CHOOSE(CONTROL!$C$42, 28, 28))/1000000</f>
        <v>10.895653999999999</v>
      </c>
      <c r="V914" s="38">
        <f>(1000*CHOOSE(CONTROL!$C$42, 500, 500)*CHOOSE(CONTROL!$C$42, 0.275, 0.275)*CHOOSE(CONTROL!$C$42, 28, 28))/1000000</f>
        <v>3.85</v>
      </c>
      <c r="W914" s="38">
        <f>(1000*CHOOSE(CONTROL!$C$42, 0.1146, 0.1146)*CHOOSE(CONTROL!$C$42, 121.5, 121.5)*CHOOSE(CONTROL!$C$42, 28, 28))/1000000</f>
        <v>0.38986920000000003</v>
      </c>
      <c r="X914" s="38">
        <f>(28*0.1790888*100000/1000000)+(28*0.2374*100000/1000000)</f>
        <v>1.16616864</v>
      </c>
      <c r="Y914" s="38">
        <f>(1000*600*CHOOSE(CONTROL!$C$42, 1.0585, 1.0585)*CHOOSE(CONTROL!$C$42, 28, 28))/1000000</f>
        <v>17.782800000000002</v>
      </c>
      <c r="Z914" s="38"/>
      <c r="AA914" s="10"/>
      <c r="AB914" s="39"/>
      <c r="AC914" s="33">
        <f>(B914*122.58+C914*297.941+D914*89.177+E914*40.302+F914*40+G914*160+H914*0+I914*100+J914*300)/(122.58+297.941+89.177+40.302+0+40+160+100+300)</f>
        <v>33.989366234086951</v>
      </c>
      <c r="AD914" s="27">
        <f>(M914*'RAP TEMPLATE-GAS AVAILABILITY'!O913+N914*'RAP TEMPLATE-GAS AVAILABILITY'!P913+O914*'RAP TEMPLATE-GAS AVAILABILITY'!Q913+P914*'RAP TEMPLATE-GAS AVAILABILITY'!R913)/('RAP TEMPLATE-GAS AVAILABILITY'!O913+'RAP TEMPLATE-GAS AVAILABILITY'!P913+'RAP TEMPLATE-GAS AVAILABILITY'!Q913+'RAP TEMPLATE-GAS AVAILABILITY'!R913)</f>
        <v>33.567267625899284</v>
      </c>
    </row>
    <row r="915" spans="1:30" ht="15.75">
      <c r="A915" s="13">
        <v>69123</v>
      </c>
      <c r="B915" s="10">
        <f>CHOOSE(CONTROL!$C$42, 33.0226, 33.0226) * CHOOSE(CONTROL!$C$21, $C$9, 100%, $E$9)</f>
        <v>33.022599999999997</v>
      </c>
      <c r="C915" s="10">
        <f>CHOOSE(CONTROL!$C$42, 33.0277, 33.0277) * CHOOSE(CONTROL!$C$21, $C$9, 100%, $E$9)</f>
        <v>33.027700000000003</v>
      </c>
      <c r="D915" s="10">
        <f>CHOOSE(CONTROL!$C$42, 33.0601, 33.0601) * CHOOSE(CONTROL!$C$21, $C$9, 100%, $E$9)</f>
        <v>33.060099999999998</v>
      </c>
      <c r="E915" s="10">
        <f>CHOOSE(CONTROL!$C$42, 33.0939, 33.0939) * CHOOSE(CONTROL!$C$21, $C$9, 100%, $E$9)</f>
        <v>33.093899999999998</v>
      </c>
      <c r="F915" s="10">
        <f>CHOOSE(CONTROL!$C$42, 33.0048, 33.0048)*CHOOSE(CONTROL!$C$21, $C$9, 100%, $E$9)</f>
        <v>33.004800000000003</v>
      </c>
      <c r="G915" s="10">
        <f>CHOOSE(CONTROL!$C$42, 33.0224, 33.0224)*CHOOSE(CONTROL!$C$21, $C$9, 100%, $E$9)</f>
        <v>33.022399999999998</v>
      </c>
      <c r="H915" s="10">
        <f>CHOOSE(CONTROL!$C$42, 33.0828, 33.0828) * CHOOSE(CONTROL!$C$21, $C$9, 100%, $E$9)</f>
        <v>33.082799999999999</v>
      </c>
      <c r="I915" s="10">
        <f>CHOOSE(CONTROL!$C$42, 33.036, 33.036)* CHOOSE(CONTROL!$C$21, $C$9, 100%, $E$9)</f>
        <v>33.036000000000001</v>
      </c>
      <c r="J915" s="10">
        <f>CHOOSE(CONTROL!$C$42, 32.9974, 32.9974)* CHOOSE(CONTROL!$C$21, $C$9, 100%, $E$9)</f>
        <v>32.997399999999999</v>
      </c>
      <c r="K915" s="10">
        <f>CHOOSE(CONTROL!$C$42, 32.1813, 32.1813) * CHOOSE(CONTROL!$C$21, $C$9, 100%, $E$9)</f>
        <v>32.1813</v>
      </c>
      <c r="L915" s="10">
        <f>CHOOSE(CONTROL!$C$42, 33.6698, 33.6698) * CHOOSE(CONTROL!$C$21, $C$9, 100%, $E$9)</f>
        <v>33.669800000000002</v>
      </c>
      <c r="M915" s="10">
        <f>CHOOSE(CONTROL!$C$42, 32.5701, 32.5701) * CHOOSE(CONTROL!$C$21, $C$9, 100%, $E$9)</f>
        <v>32.570099999999996</v>
      </c>
      <c r="N915" s="10">
        <f>CHOOSE(CONTROL!$C$42, 32.5874, 32.5874) * CHOOSE(CONTROL!$C$21, $C$9, 100%, $E$9)</f>
        <v>32.587400000000002</v>
      </c>
      <c r="O915" s="10">
        <f>CHOOSE(CONTROL!$C$42, 32.6543, 32.6543) * CHOOSE(CONTROL!$C$21, $C$9, 100%, $E$9)</f>
        <v>32.654299999999999</v>
      </c>
      <c r="P915" s="10">
        <f>CHOOSE(CONTROL!$C$42, 32.6082, 32.6082) * CHOOSE(CONTROL!$C$21, $C$9, 100%, $E$9)</f>
        <v>32.608199999999997</v>
      </c>
      <c r="Q915" s="10">
        <f>CHOOSE(CONTROL!$C$42, 33.2496, 33.2496) * CHOOSE(CONTROL!$C$21, $C$9, 100%, $E$9)</f>
        <v>33.249600000000001</v>
      </c>
      <c r="R915" s="10">
        <f>CHOOSE(CONTROL!$C$42, 33.9197, 33.9197) * CHOOSE(CONTROL!$C$21, $C$9, 100%, $E$9)</f>
        <v>33.919699999999999</v>
      </c>
      <c r="S915" s="10">
        <f>CHOOSE(CONTROL!$C$42, 31.9924, 31.9924) * CHOOSE(CONTROL!$C$21, $C$9, 100%, $E$9)</f>
        <v>31.9924</v>
      </c>
      <c r="T91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15" s="38">
        <f>(1000*CHOOSE(CONTROL!$C$42, 695, 695)*CHOOSE(CONTROL!$C$42, 0.5599, 0.5599)*CHOOSE(CONTROL!$C$42, 31, 31))/1000000</f>
        <v>12.063045499999998</v>
      </c>
      <c r="V915" s="38">
        <f>(1000*CHOOSE(CONTROL!$C$42, 500, 500)*CHOOSE(CONTROL!$C$42, 0.275, 0.275)*CHOOSE(CONTROL!$C$42, 31, 31))/1000000</f>
        <v>4.2625000000000002</v>
      </c>
      <c r="W915" s="38">
        <f>(1000*CHOOSE(CONTROL!$C$42, 0.1146, 0.1146)*CHOOSE(CONTROL!$C$42, 121.5, 121.5)*CHOOSE(CONTROL!$C$42, 31, 31))/1000000</f>
        <v>0.43164089999999994</v>
      </c>
      <c r="X915" s="38">
        <f>(31*0.1790888*100000/1000000)+(31*0.2374*100000/1000000)</f>
        <v>1.2911152800000001</v>
      </c>
      <c r="Y915" s="38">
        <f>(1000*600*CHOOSE(CONTROL!$C$42, 1.0585, 1.0585)*CHOOSE(CONTROL!$C$42, 31, 31))/1000000</f>
        <v>19.688099999999999</v>
      </c>
      <c r="Z915" s="38"/>
      <c r="AA915" s="10"/>
      <c r="AB915" s="39"/>
      <c r="AC915" s="33">
        <f>(B915*122.58+C915*297.941+D915*89.177+E915*40.302+F915*40+G915*160+H915*0+I915*100+J915*300)/(122.58+297.941+89.177+40.302+0+40+160+100+300)</f>
        <v>33.023272321043478</v>
      </c>
      <c r="AD915" s="27">
        <f>(M915*'RAP TEMPLATE-GAS AVAILABILITY'!O914+N915*'RAP TEMPLATE-GAS AVAILABILITY'!P914+O915*'RAP TEMPLATE-GAS AVAILABILITY'!Q914+P915*'RAP TEMPLATE-GAS AVAILABILITY'!R914)/('RAP TEMPLATE-GAS AVAILABILITY'!O914+'RAP TEMPLATE-GAS AVAILABILITY'!P914+'RAP TEMPLATE-GAS AVAILABILITY'!Q914+'RAP TEMPLATE-GAS AVAILABILITY'!R914)</f>
        <v>32.614740287769784</v>
      </c>
    </row>
    <row r="916" spans="1:30" ht="15.75">
      <c r="A916" s="13">
        <v>69153</v>
      </c>
      <c r="B916" s="10">
        <f>CHOOSE(CONTROL!$C$42, 32.9244, 32.9244) * CHOOSE(CONTROL!$C$21, $C$9, 100%, $E$9)</f>
        <v>32.924399999999999</v>
      </c>
      <c r="C916" s="10">
        <f>CHOOSE(CONTROL!$C$42, 32.9289, 32.9289) * CHOOSE(CONTROL!$C$21, $C$9, 100%, $E$9)</f>
        <v>32.928899999999999</v>
      </c>
      <c r="D916" s="10">
        <f>CHOOSE(CONTROL!$C$42, 33.0891, 33.0891) * CHOOSE(CONTROL!$C$21, $C$9, 100%, $E$9)</f>
        <v>33.089100000000002</v>
      </c>
      <c r="E916" s="10">
        <f>CHOOSE(CONTROL!$C$42, 33.1209, 33.1209) * CHOOSE(CONTROL!$C$21, $C$9, 100%, $E$9)</f>
        <v>33.120899999999999</v>
      </c>
      <c r="F916" s="10">
        <f>CHOOSE(CONTROL!$C$42, 32.8705, 32.8705)*CHOOSE(CONTROL!$C$21, $C$9, 100%, $E$9)</f>
        <v>32.8705</v>
      </c>
      <c r="G916" s="10">
        <f>CHOOSE(CONTROL!$C$42, 32.8863, 32.8863)*CHOOSE(CONTROL!$C$21, $C$9, 100%, $E$9)</f>
        <v>32.886299999999999</v>
      </c>
      <c r="H916" s="10">
        <f>CHOOSE(CONTROL!$C$42, 33.1104, 33.1104) * CHOOSE(CONTROL!$C$21, $C$9, 100%, $E$9)</f>
        <v>33.110399999999998</v>
      </c>
      <c r="I916" s="10">
        <f>CHOOSE(CONTROL!$C$42, 32.9045, 32.9045)* CHOOSE(CONTROL!$C$21, $C$9, 100%, $E$9)</f>
        <v>32.904499999999999</v>
      </c>
      <c r="J916" s="10">
        <f>CHOOSE(CONTROL!$C$42, 32.8631, 32.8631)* CHOOSE(CONTROL!$C$21, $C$9, 100%, $E$9)</f>
        <v>32.863100000000003</v>
      </c>
      <c r="K916" s="10">
        <f>CHOOSE(CONTROL!$C$42, 32.0379, 32.0379) * CHOOSE(CONTROL!$C$21, $C$9, 100%, $E$9)</f>
        <v>32.0379</v>
      </c>
      <c r="L916" s="10">
        <f>CHOOSE(CONTROL!$C$42, 33.6974, 33.6974) * CHOOSE(CONTROL!$C$21, $C$9, 100%, $E$9)</f>
        <v>33.697400000000002</v>
      </c>
      <c r="M916" s="10">
        <f>CHOOSE(CONTROL!$C$42, 32.4377, 32.4377) * CHOOSE(CONTROL!$C$21, $C$9, 100%, $E$9)</f>
        <v>32.4377</v>
      </c>
      <c r="N916" s="10">
        <f>CHOOSE(CONTROL!$C$42, 32.4533, 32.4533) * CHOOSE(CONTROL!$C$21, $C$9, 100%, $E$9)</f>
        <v>32.453299999999999</v>
      </c>
      <c r="O916" s="10">
        <f>CHOOSE(CONTROL!$C$42, 32.6815, 32.6815) * CHOOSE(CONTROL!$C$21, $C$9, 100%, $E$9)</f>
        <v>32.6815</v>
      </c>
      <c r="P916" s="10">
        <f>CHOOSE(CONTROL!$C$42, 32.4786, 32.4786) * CHOOSE(CONTROL!$C$21, $C$9, 100%, $E$9)</f>
        <v>32.4786</v>
      </c>
      <c r="Q916" s="10">
        <f>CHOOSE(CONTROL!$C$42, 33.2768, 33.2768) * CHOOSE(CONTROL!$C$21, $C$9, 100%, $E$9)</f>
        <v>33.276800000000001</v>
      </c>
      <c r="R916" s="10">
        <f>CHOOSE(CONTROL!$C$42, 33.947, 33.947) * CHOOSE(CONTROL!$C$21, $C$9, 100%, $E$9)</f>
        <v>33.947000000000003</v>
      </c>
      <c r="S916" s="10">
        <f>CHOOSE(CONTROL!$C$42, 31.8966, 31.8966) * CHOOSE(CONTROL!$C$21, $C$9, 100%, $E$9)</f>
        <v>31.896599999999999</v>
      </c>
      <c r="T91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16" s="38">
        <f>(1000*CHOOSE(CONTROL!$C$42, 695, 695)*CHOOSE(CONTROL!$C$42, 0.5599, 0.5599)*CHOOSE(CONTROL!$C$42, 30, 30))/1000000</f>
        <v>11.673914999999997</v>
      </c>
      <c r="V916" s="38">
        <f>(1000*CHOOSE(CONTROL!$C$42, 500, 500)*CHOOSE(CONTROL!$C$42, 0.275, 0.275)*CHOOSE(CONTROL!$C$42, 30, 30))/1000000</f>
        <v>4.125</v>
      </c>
      <c r="W916" s="38">
        <f>(1000*CHOOSE(CONTROL!$C$42, 0.1146, 0.1146)*CHOOSE(CONTROL!$C$42, 121.5, 121.5)*CHOOSE(CONTROL!$C$42, 30, 30))/1000000</f>
        <v>0.417717</v>
      </c>
      <c r="X916" s="38">
        <f>(30*0.1790888*245000/1000000)+(30*0.2374*100000/1000000)</f>
        <v>2.0285026799999999</v>
      </c>
      <c r="Y916" s="38">
        <f>(1000*600*CHOOSE(CONTROL!$C$42, 1.0585, 1.0585)*CHOOSE(CONTROL!$C$42, 30, 30))/1000000</f>
        <v>19.053000000000001</v>
      </c>
      <c r="Z916" s="38"/>
      <c r="AA916" s="10"/>
      <c r="AB916" s="39"/>
      <c r="AC916" s="33">
        <f>(B916*141.293+C916*267.993+D916*115.016+E916*89.698+F916*40+G916*185+H916*0+I916*100+J916*300)/(141.293+267.993+115.016+89.698+0+40+185+100+300)</f>
        <v>32.931010379903149</v>
      </c>
      <c r="AD916" s="27">
        <f>(M916*'RAP TEMPLATE-GAS AVAILABILITY'!O915+N916*'RAP TEMPLATE-GAS AVAILABILITY'!P915+O916*'RAP TEMPLATE-GAS AVAILABILITY'!Q915+P916*'RAP TEMPLATE-GAS AVAILABILITY'!R915)/('RAP TEMPLATE-GAS AVAILABILITY'!O915+'RAP TEMPLATE-GAS AVAILABILITY'!P915+'RAP TEMPLATE-GAS AVAILABILITY'!Q915+'RAP TEMPLATE-GAS AVAILABILITY'!R915)</f>
        <v>32.554982014388493</v>
      </c>
    </row>
    <row r="917" spans="1:30" ht="15.75">
      <c r="A917" s="13">
        <v>69184</v>
      </c>
      <c r="B917" s="10">
        <f>CHOOSE(CONTROL!$C$42, 33.217, 33.217) * CHOOSE(CONTROL!$C$21, $C$9, 100%, $E$9)</f>
        <v>33.216999999999999</v>
      </c>
      <c r="C917" s="10">
        <f>CHOOSE(CONTROL!$C$42, 33.225, 33.225) * CHOOSE(CONTROL!$C$21, $C$9, 100%, $E$9)</f>
        <v>33.225000000000001</v>
      </c>
      <c r="D917" s="10">
        <f>CHOOSE(CONTROL!$C$42, 33.382, 33.382) * CHOOSE(CONTROL!$C$21, $C$9, 100%, $E$9)</f>
        <v>33.381999999999998</v>
      </c>
      <c r="E917" s="10">
        <f>CHOOSE(CONTROL!$C$42, 33.4132, 33.4132) * CHOOSE(CONTROL!$C$21, $C$9, 100%, $E$9)</f>
        <v>33.413200000000003</v>
      </c>
      <c r="F917" s="10">
        <f>CHOOSE(CONTROL!$C$42, 33.1611, 33.1611)*CHOOSE(CONTROL!$C$21, $C$9, 100%, $E$9)</f>
        <v>33.161099999999998</v>
      </c>
      <c r="G917" s="10">
        <f>CHOOSE(CONTROL!$C$42, 33.1772, 33.1772)*CHOOSE(CONTROL!$C$21, $C$9, 100%, $E$9)</f>
        <v>33.177199999999999</v>
      </c>
      <c r="H917" s="10">
        <f>CHOOSE(CONTROL!$C$42, 33.4016, 33.4016) * CHOOSE(CONTROL!$C$21, $C$9, 100%, $E$9)</f>
        <v>33.401600000000002</v>
      </c>
      <c r="I917" s="10">
        <f>CHOOSE(CONTROL!$C$42, 33.1957, 33.1957)* CHOOSE(CONTROL!$C$21, $C$9, 100%, $E$9)</f>
        <v>33.195700000000002</v>
      </c>
      <c r="J917" s="10">
        <f>CHOOSE(CONTROL!$C$42, 33.1537, 33.1537)* CHOOSE(CONTROL!$C$21, $C$9, 100%, $E$9)</f>
        <v>33.153700000000001</v>
      </c>
      <c r="K917" s="10">
        <f>CHOOSE(CONTROL!$C$42, 32.3187, 32.3187) * CHOOSE(CONTROL!$C$21, $C$9, 100%, $E$9)</f>
        <v>32.3187</v>
      </c>
      <c r="L917" s="10">
        <f>CHOOSE(CONTROL!$C$42, 33.9886, 33.9886) * CHOOSE(CONTROL!$C$21, $C$9, 100%, $E$9)</f>
        <v>33.988599999999998</v>
      </c>
      <c r="M917" s="10">
        <f>CHOOSE(CONTROL!$C$42, 32.7242, 32.7242) * CHOOSE(CONTROL!$C$21, $C$9, 100%, $E$9)</f>
        <v>32.724200000000003</v>
      </c>
      <c r="N917" s="10">
        <f>CHOOSE(CONTROL!$C$42, 32.7401, 32.7401) * CHOOSE(CONTROL!$C$21, $C$9, 100%, $E$9)</f>
        <v>32.740099999999998</v>
      </c>
      <c r="O917" s="10">
        <f>CHOOSE(CONTROL!$C$42, 32.9686, 32.9686) * CHOOSE(CONTROL!$C$21, $C$9, 100%, $E$9)</f>
        <v>32.968600000000002</v>
      </c>
      <c r="P917" s="10">
        <f>CHOOSE(CONTROL!$C$42, 32.7657, 32.7657) * CHOOSE(CONTROL!$C$21, $C$9, 100%, $E$9)</f>
        <v>32.765700000000002</v>
      </c>
      <c r="Q917" s="10">
        <f>CHOOSE(CONTROL!$C$42, 33.5639, 33.5639) * CHOOSE(CONTROL!$C$21, $C$9, 100%, $E$9)</f>
        <v>33.563899999999997</v>
      </c>
      <c r="R917" s="10">
        <f>CHOOSE(CONTROL!$C$42, 34.2348, 34.2348) * CHOOSE(CONTROL!$C$21, $C$9, 100%, $E$9)</f>
        <v>34.2348</v>
      </c>
      <c r="S917" s="10">
        <f>CHOOSE(CONTROL!$C$42, 32.1786, 32.1786) * CHOOSE(CONTROL!$C$21, $C$9, 100%, $E$9)</f>
        <v>32.178600000000003</v>
      </c>
      <c r="T91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17" s="38">
        <f>(1000*CHOOSE(CONTROL!$C$42, 695, 695)*CHOOSE(CONTROL!$C$42, 0.5599, 0.5599)*CHOOSE(CONTROL!$C$42, 31, 31))/1000000</f>
        <v>12.063045499999998</v>
      </c>
      <c r="V917" s="38">
        <f>(1000*CHOOSE(CONTROL!$C$42, 500, 500)*CHOOSE(CONTROL!$C$42, 0.275, 0.275)*CHOOSE(CONTROL!$C$42, 31, 31))/1000000</f>
        <v>4.2625000000000002</v>
      </c>
      <c r="W917" s="38">
        <f>(1000*CHOOSE(CONTROL!$C$42, 0.1146, 0.1146)*CHOOSE(CONTROL!$C$42, 121.5, 121.5)*CHOOSE(CONTROL!$C$42, 31, 31))/1000000</f>
        <v>0.43164089999999994</v>
      </c>
      <c r="X917" s="38">
        <f>(31*0.1790888*245000/1000000)+(31*0.2374*100000/1000000)</f>
        <v>2.0961194359999999</v>
      </c>
      <c r="Y917" s="38">
        <f>(1000*600*CHOOSE(CONTROL!$C$42, 1.0585, 1.0585)*CHOOSE(CONTROL!$C$42, 31, 31))/1000000</f>
        <v>19.688099999999999</v>
      </c>
      <c r="Z917" s="38"/>
      <c r="AA917" s="10"/>
      <c r="AB917" s="39"/>
      <c r="AC917" s="33">
        <f>(B917*194.205+C917*267.466+D917*133.845+E917*53.484+F917*40+G917*185+H917*0+I917*100+J917*300)/(194.205+267.466+133.845+53.484+0+40+185+100+300)</f>
        <v>33.220138707849294</v>
      </c>
      <c r="AD917" s="27">
        <f>(M917*'RAP TEMPLATE-GAS AVAILABILITY'!O916+N917*'RAP TEMPLATE-GAS AVAILABILITY'!P916+O917*'RAP TEMPLATE-GAS AVAILABILITY'!Q916+P917*'RAP TEMPLATE-GAS AVAILABILITY'!R916)/('RAP TEMPLATE-GAS AVAILABILITY'!O916+'RAP TEMPLATE-GAS AVAILABILITY'!P916+'RAP TEMPLATE-GAS AVAILABILITY'!Q916+'RAP TEMPLATE-GAS AVAILABILITY'!R916)</f>
        <v>32.841857553956835</v>
      </c>
    </row>
    <row r="918" spans="1:30" ht="15.75">
      <c r="A918" s="13">
        <v>69214</v>
      </c>
      <c r="B918" s="10">
        <f>CHOOSE(CONTROL!$C$42, 34.1596, 34.1596) * CHOOSE(CONTROL!$C$21, $C$9, 100%, $E$9)</f>
        <v>34.159599999999998</v>
      </c>
      <c r="C918" s="10">
        <f>CHOOSE(CONTROL!$C$42, 34.1676, 34.1676) * CHOOSE(CONTROL!$C$21, $C$9, 100%, $E$9)</f>
        <v>34.1676</v>
      </c>
      <c r="D918" s="10">
        <f>CHOOSE(CONTROL!$C$42, 34.3246, 34.3246) * CHOOSE(CONTROL!$C$21, $C$9, 100%, $E$9)</f>
        <v>34.324599999999997</v>
      </c>
      <c r="E918" s="10">
        <f>CHOOSE(CONTROL!$C$42, 34.3559, 34.3559) * CHOOSE(CONTROL!$C$21, $C$9, 100%, $E$9)</f>
        <v>34.355899999999998</v>
      </c>
      <c r="F918" s="10">
        <f>CHOOSE(CONTROL!$C$42, 34.1039, 34.1039)*CHOOSE(CONTROL!$C$21, $C$9, 100%, $E$9)</f>
        <v>34.103900000000003</v>
      </c>
      <c r="G918" s="10">
        <f>CHOOSE(CONTROL!$C$42, 34.1201, 34.1201)*CHOOSE(CONTROL!$C$21, $C$9, 100%, $E$9)</f>
        <v>34.120100000000001</v>
      </c>
      <c r="H918" s="10">
        <f>CHOOSE(CONTROL!$C$42, 34.3442, 34.3442) * CHOOSE(CONTROL!$C$21, $C$9, 100%, $E$9)</f>
        <v>34.344200000000001</v>
      </c>
      <c r="I918" s="10">
        <f>CHOOSE(CONTROL!$C$42, 34.1384, 34.1384)* CHOOSE(CONTROL!$C$21, $C$9, 100%, $E$9)</f>
        <v>34.138399999999997</v>
      </c>
      <c r="J918" s="10">
        <f>CHOOSE(CONTROL!$C$42, 34.0965, 34.0965)* CHOOSE(CONTROL!$C$21, $C$9, 100%, $E$9)</f>
        <v>34.096499999999999</v>
      </c>
      <c r="K918" s="10">
        <f>CHOOSE(CONTROL!$C$42, 33.2323, 33.2323) * CHOOSE(CONTROL!$C$21, $C$9, 100%, $E$9)</f>
        <v>33.232300000000002</v>
      </c>
      <c r="L918" s="10">
        <f>CHOOSE(CONTROL!$C$42, 34.9312, 34.9312) * CHOOSE(CONTROL!$C$21, $C$9, 100%, $E$9)</f>
        <v>34.931199999999997</v>
      </c>
      <c r="M918" s="10">
        <f>CHOOSE(CONTROL!$C$42, 33.6539, 33.6539) * CHOOSE(CONTROL!$C$21, $C$9, 100%, $E$9)</f>
        <v>33.6539</v>
      </c>
      <c r="N918" s="10">
        <f>CHOOSE(CONTROL!$C$42, 33.6698, 33.6698) * CHOOSE(CONTROL!$C$21, $C$9, 100%, $E$9)</f>
        <v>33.669800000000002</v>
      </c>
      <c r="O918" s="10">
        <f>CHOOSE(CONTROL!$C$42, 33.8981, 33.8981) * CHOOSE(CONTROL!$C$21, $C$9, 100%, $E$9)</f>
        <v>33.898099999999999</v>
      </c>
      <c r="P918" s="10">
        <f>CHOOSE(CONTROL!$C$42, 33.6952, 33.6952) * CHOOSE(CONTROL!$C$21, $C$9, 100%, $E$9)</f>
        <v>33.6952</v>
      </c>
      <c r="Q918" s="10">
        <f>CHOOSE(CONTROL!$C$42, 34.4934, 34.4934) * CHOOSE(CONTROL!$C$21, $C$9, 100%, $E$9)</f>
        <v>34.493400000000001</v>
      </c>
      <c r="R918" s="10">
        <f>CHOOSE(CONTROL!$C$42, 35.1666, 35.1666) * CHOOSE(CONTROL!$C$21, $C$9, 100%, $E$9)</f>
        <v>35.166600000000003</v>
      </c>
      <c r="S918" s="10">
        <f>CHOOSE(CONTROL!$C$42, 33.0913, 33.0913) * CHOOSE(CONTROL!$C$21, $C$9, 100%, $E$9)</f>
        <v>33.091299999999997</v>
      </c>
      <c r="T91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18" s="38">
        <f>(1000*CHOOSE(CONTROL!$C$42, 695, 695)*CHOOSE(CONTROL!$C$42, 0.5599, 0.5599)*CHOOSE(CONTROL!$C$42, 30, 30))/1000000</f>
        <v>11.673914999999997</v>
      </c>
      <c r="V918" s="38">
        <f>(1000*CHOOSE(CONTROL!$C$42, 500, 500)*CHOOSE(CONTROL!$C$42, 0.275, 0.275)*CHOOSE(CONTROL!$C$42, 30, 30))/1000000</f>
        <v>4.125</v>
      </c>
      <c r="W918" s="38">
        <f>(1000*CHOOSE(CONTROL!$C$42, 0.1146, 0.1146)*CHOOSE(CONTROL!$C$42, 121.5, 121.5)*CHOOSE(CONTROL!$C$42, 30, 30))/1000000</f>
        <v>0.417717</v>
      </c>
      <c r="X918" s="38">
        <f>(30*0.1790888*245000/1000000)+(30*0.2374*100000/1000000)</f>
        <v>2.0285026799999999</v>
      </c>
      <c r="Y918" s="38">
        <f>(1000*600*CHOOSE(CONTROL!$C$42, 1.0585, 1.0585)*CHOOSE(CONTROL!$C$42, 30, 30))/1000000</f>
        <v>19.053000000000001</v>
      </c>
      <c r="Z918" s="38"/>
      <c r="AA918" s="10"/>
      <c r="AB918" s="39"/>
      <c r="AC918" s="33">
        <f>(B918*194.205+C918*267.466+D918*133.845+E918*53.484+F918*40+G918*185+H918*0+I918*100+J918*300)/(194.205+267.466+133.845+53.484+0+40+185+100+300)</f>
        <v>34.162847694034525</v>
      </c>
      <c r="AD918" s="27">
        <f>(M918*'RAP TEMPLATE-GAS AVAILABILITY'!O917+N918*'RAP TEMPLATE-GAS AVAILABILITY'!P917+O918*'RAP TEMPLATE-GAS AVAILABILITY'!Q917+P918*'RAP TEMPLATE-GAS AVAILABILITY'!R917)/('RAP TEMPLATE-GAS AVAILABILITY'!O917+'RAP TEMPLATE-GAS AVAILABILITY'!P917+'RAP TEMPLATE-GAS AVAILABILITY'!Q917+'RAP TEMPLATE-GAS AVAILABILITY'!R917)</f>
        <v>33.771438129496403</v>
      </c>
    </row>
    <row r="919" spans="1:30" ht="15.75">
      <c r="A919" s="13">
        <v>69245</v>
      </c>
      <c r="B919" s="10">
        <f>CHOOSE(CONTROL!$C$42, 33.504, 33.504) * CHOOSE(CONTROL!$C$21, $C$9, 100%, $E$9)</f>
        <v>33.503999999999998</v>
      </c>
      <c r="C919" s="10">
        <f>CHOOSE(CONTROL!$C$42, 33.512, 33.512) * CHOOSE(CONTROL!$C$21, $C$9, 100%, $E$9)</f>
        <v>33.512</v>
      </c>
      <c r="D919" s="10">
        <f>CHOOSE(CONTROL!$C$42, 33.669, 33.669) * CHOOSE(CONTROL!$C$21, $C$9, 100%, $E$9)</f>
        <v>33.668999999999997</v>
      </c>
      <c r="E919" s="10">
        <f>CHOOSE(CONTROL!$C$42, 33.7003, 33.7003) * CHOOSE(CONTROL!$C$21, $C$9, 100%, $E$9)</f>
        <v>33.700299999999999</v>
      </c>
      <c r="F919" s="10">
        <f>CHOOSE(CONTROL!$C$42, 33.4486, 33.4486)*CHOOSE(CONTROL!$C$21, $C$9, 100%, $E$9)</f>
        <v>33.448599999999999</v>
      </c>
      <c r="G919" s="10">
        <f>CHOOSE(CONTROL!$C$42, 33.4649, 33.4649)*CHOOSE(CONTROL!$C$21, $C$9, 100%, $E$9)</f>
        <v>33.4649</v>
      </c>
      <c r="H919" s="10">
        <f>CHOOSE(CONTROL!$C$42, 33.6886, 33.6886) * CHOOSE(CONTROL!$C$21, $C$9, 100%, $E$9)</f>
        <v>33.688600000000001</v>
      </c>
      <c r="I919" s="10">
        <f>CHOOSE(CONTROL!$C$42, 33.4828, 33.4828)* CHOOSE(CONTROL!$C$21, $C$9, 100%, $E$9)</f>
        <v>33.482799999999997</v>
      </c>
      <c r="J919" s="10">
        <f>CHOOSE(CONTROL!$C$42, 33.4412, 33.4412)* CHOOSE(CONTROL!$C$21, $C$9, 100%, $E$9)</f>
        <v>33.441200000000002</v>
      </c>
      <c r="K919" s="10">
        <f>CHOOSE(CONTROL!$C$42, 32.5979, 32.5979) * CHOOSE(CONTROL!$C$21, $C$9, 100%, $E$9)</f>
        <v>32.597900000000003</v>
      </c>
      <c r="L919" s="10">
        <f>CHOOSE(CONTROL!$C$42, 34.2756, 34.2756) * CHOOSE(CONTROL!$C$21, $C$9, 100%, $E$9)</f>
        <v>34.275599999999997</v>
      </c>
      <c r="M919" s="10">
        <f>CHOOSE(CONTROL!$C$42, 33.0077, 33.0077) * CHOOSE(CONTROL!$C$21, $C$9, 100%, $E$9)</f>
        <v>33.0077</v>
      </c>
      <c r="N919" s="10">
        <f>CHOOSE(CONTROL!$C$42, 33.0237, 33.0237) * CHOOSE(CONTROL!$C$21, $C$9, 100%, $E$9)</f>
        <v>33.023699999999998</v>
      </c>
      <c r="O919" s="10">
        <f>CHOOSE(CONTROL!$C$42, 33.2516, 33.2516) * CHOOSE(CONTROL!$C$21, $C$9, 100%, $E$9)</f>
        <v>33.251600000000003</v>
      </c>
      <c r="P919" s="10">
        <f>CHOOSE(CONTROL!$C$42, 33.0487, 33.0487) * CHOOSE(CONTROL!$C$21, $C$9, 100%, $E$9)</f>
        <v>33.048699999999997</v>
      </c>
      <c r="Q919" s="10">
        <f>CHOOSE(CONTROL!$C$42, 33.8469, 33.8469) * CHOOSE(CONTROL!$C$21, $C$9, 100%, $E$9)</f>
        <v>33.846899999999998</v>
      </c>
      <c r="R919" s="10">
        <f>CHOOSE(CONTROL!$C$42, 34.5185, 34.5185) * CHOOSE(CONTROL!$C$21, $C$9, 100%, $E$9)</f>
        <v>34.518500000000003</v>
      </c>
      <c r="S919" s="10">
        <f>CHOOSE(CONTROL!$C$42, 32.4565, 32.4565) * CHOOSE(CONTROL!$C$21, $C$9, 100%, $E$9)</f>
        <v>32.456499999999998</v>
      </c>
      <c r="T91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19" s="38">
        <f>(1000*CHOOSE(CONTROL!$C$42, 695, 695)*CHOOSE(CONTROL!$C$42, 0.5599, 0.5599)*CHOOSE(CONTROL!$C$42, 31, 31))/1000000</f>
        <v>12.063045499999998</v>
      </c>
      <c r="V919" s="38">
        <f>(1000*CHOOSE(CONTROL!$C$42, 500, 500)*CHOOSE(CONTROL!$C$42, 0.275, 0.275)*CHOOSE(CONTROL!$C$42, 31, 31))/1000000</f>
        <v>4.2625000000000002</v>
      </c>
      <c r="W919" s="38">
        <f>(1000*CHOOSE(CONTROL!$C$42, 0.1146, 0.1146)*CHOOSE(CONTROL!$C$42, 121.5, 121.5)*CHOOSE(CONTROL!$C$42, 31, 31))/1000000</f>
        <v>0.43164089999999994</v>
      </c>
      <c r="X919" s="38">
        <f>(31*0.1790888*245000/1000000)+(31*0.2374*100000/1000000)</f>
        <v>2.0961194359999999</v>
      </c>
      <c r="Y919" s="38">
        <f>(1000*600*CHOOSE(CONTROL!$C$42, 1.0585, 1.0585)*CHOOSE(CONTROL!$C$42, 31, 31))/1000000</f>
        <v>19.688099999999999</v>
      </c>
      <c r="Z919" s="38"/>
      <c r="AA919" s="10"/>
      <c r="AB919" s="39"/>
      <c r="AC919" s="33">
        <f>(B919*194.205+C919*267.466+D919*133.845+E919*53.484+F919*40+G919*185+H919*0+I919*100+J919*300)/(194.205+267.466+133.845+53.484+0+40+185+100+300)</f>
        <v>33.507385841601256</v>
      </c>
      <c r="AD919" s="27">
        <f>(M919*'RAP TEMPLATE-GAS AVAILABILITY'!O918+N919*'RAP TEMPLATE-GAS AVAILABILITY'!P918+O919*'RAP TEMPLATE-GAS AVAILABILITY'!Q918+P919*'RAP TEMPLATE-GAS AVAILABILITY'!R918)/('RAP TEMPLATE-GAS AVAILABILITY'!O918+'RAP TEMPLATE-GAS AVAILABILITY'!P918+'RAP TEMPLATE-GAS AVAILABILITY'!Q918+'RAP TEMPLATE-GAS AVAILABILITY'!R918)</f>
        <v>33.125064748201439</v>
      </c>
    </row>
    <row r="920" spans="1:30" ht="15.75">
      <c r="A920" s="13">
        <v>69276</v>
      </c>
      <c r="B920" s="10">
        <f>CHOOSE(CONTROL!$C$42, 31.8484, 31.8484) * CHOOSE(CONTROL!$C$21, $C$9, 100%, $E$9)</f>
        <v>31.848400000000002</v>
      </c>
      <c r="C920" s="10">
        <f>CHOOSE(CONTROL!$C$42, 31.8564, 31.8564) * CHOOSE(CONTROL!$C$21, $C$9, 100%, $E$9)</f>
        <v>31.856400000000001</v>
      </c>
      <c r="D920" s="10">
        <f>CHOOSE(CONTROL!$C$42, 32.0134, 32.0134) * CHOOSE(CONTROL!$C$21, $C$9, 100%, $E$9)</f>
        <v>32.013399999999997</v>
      </c>
      <c r="E920" s="10">
        <f>CHOOSE(CONTROL!$C$42, 32.0446, 32.0446) * CHOOSE(CONTROL!$C$21, $C$9, 100%, $E$9)</f>
        <v>32.044600000000003</v>
      </c>
      <c r="F920" s="10">
        <f>CHOOSE(CONTROL!$C$42, 31.7929, 31.7929)*CHOOSE(CONTROL!$C$21, $C$9, 100%, $E$9)</f>
        <v>31.792899999999999</v>
      </c>
      <c r="G920" s="10">
        <f>CHOOSE(CONTROL!$C$42, 31.8092, 31.8092)*CHOOSE(CONTROL!$C$21, $C$9, 100%, $E$9)</f>
        <v>31.809200000000001</v>
      </c>
      <c r="H920" s="10">
        <f>CHOOSE(CONTROL!$C$42, 32.033, 32.033) * CHOOSE(CONTROL!$C$21, $C$9, 100%, $E$9)</f>
        <v>32.033000000000001</v>
      </c>
      <c r="I920" s="10">
        <f>CHOOSE(CONTROL!$C$42, 31.8271, 31.8271)* CHOOSE(CONTROL!$C$21, $C$9, 100%, $E$9)</f>
        <v>31.827100000000002</v>
      </c>
      <c r="J920" s="10">
        <f>CHOOSE(CONTROL!$C$42, 31.7855, 31.7855)* CHOOSE(CONTROL!$C$21, $C$9, 100%, $E$9)</f>
        <v>31.785499999999999</v>
      </c>
      <c r="K920" s="10">
        <f>CHOOSE(CONTROL!$C$42, 30.9938, 30.9938) * CHOOSE(CONTROL!$C$21, $C$9, 100%, $E$9)</f>
        <v>30.9938</v>
      </c>
      <c r="L920" s="10">
        <f>CHOOSE(CONTROL!$C$42, 32.62, 32.62) * CHOOSE(CONTROL!$C$21, $C$9, 100%, $E$9)</f>
        <v>32.619999999999997</v>
      </c>
      <c r="M920" s="10">
        <f>CHOOSE(CONTROL!$C$42, 31.3751, 31.3751) * CHOOSE(CONTROL!$C$21, $C$9, 100%, $E$9)</f>
        <v>31.3751</v>
      </c>
      <c r="N920" s="10">
        <f>CHOOSE(CONTROL!$C$42, 31.3911, 31.3911) * CHOOSE(CONTROL!$C$21, $C$9, 100%, $E$9)</f>
        <v>31.391100000000002</v>
      </c>
      <c r="O920" s="10">
        <f>CHOOSE(CONTROL!$C$42, 31.6191, 31.6191) * CHOOSE(CONTROL!$C$21, $C$9, 100%, $E$9)</f>
        <v>31.6191</v>
      </c>
      <c r="P920" s="10">
        <f>CHOOSE(CONTROL!$C$42, 31.4162, 31.4162) * CHOOSE(CONTROL!$C$21, $C$9, 100%, $E$9)</f>
        <v>31.4162</v>
      </c>
      <c r="Q920" s="10">
        <f>CHOOSE(CONTROL!$C$42, 32.2144, 32.2144) * CHOOSE(CONTROL!$C$21, $C$9, 100%, $E$9)</f>
        <v>32.214399999999998</v>
      </c>
      <c r="R920" s="10">
        <f>CHOOSE(CONTROL!$C$42, 32.8819, 32.8819) * CHOOSE(CONTROL!$C$21, $C$9, 100%, $E$9)</f>
        <v>32.881900000000002</v>
      </c>
      <c r="S920" s="10">
        <f>CHOOSE(CONTROL!$C$42, 30.8534, 30.8534) * CHOOSE(CONTROL!$C$21, $C$9, 100%, $E$9)</f>
        <v>30.853400000000001</v>
      </c>
      <c r="T92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20" s="38">
        <f>(1000*CHOOSE(CONTROL!$C$42, 695, 695)*CHOOSE(CONTROL!$C$42, 0.5599, 0.5599)*CHOOSE(CONTROL!$C$42, 31, 31))/1000000</f>
        <v>12.063045499999998</v>
      </c>
      <c r="V920" s="38">
        <f>(1000*CHOOSE(CONTROL!$C$42, 500, 500)*CHOOSE(CONTROL!$C$42, 0.275, 0.275)*CHOOSE(CONTROL!$C$42, 31, 31))/1000000</f>
        <v>4.2625000000000002</v>
      </c>
      <c r="W920" s="38">
        <f>(1000*CHOOSE(CONTROL!$C$42, 0.1146, 0.1146)*CHOOSE(CONTROL!$C$42, 121.5, 121.5)*CHOOSE(CONTROL!$C$42, 31, 31))/1000000</f>
        <v>0.43164089999999994</v>
      </c>
      <c r="X920" s="38">
        <f>(31*0.1790888*245000/1000000)+(31*0.2374*100000/1000000)</f>
        <v>2.0961194359999999</v>
      </c>
      <c r="Y920" s="38">
        <f>(1000*600*CHOOSE(CONTROL!$C$42, 1.0585, 1.0585)*CHOOSE(CONTROL!$C$42, 31, 31))/1000000</f>
        <v>19.688099999999999</v>
      </c>
      <c r="Z920" s="38"/>
      <c r="AA920" s="10"/>
      <c r="AB920" s="39"/>
      <c r="AC920" s="33">
        <f>(B920*194.205+C920*267.466+D920*133.845+E920*53.484+F920*40+G920*185+H920*0+I920*100+J920*300)/(194.205+267.466+133.845+53.484+0+40+185+100+300)</f>
        <v>31.851732585400313</v>
      </c>
      <c r="AD920" s="27">
        <f>(M920*'RAP TEMPLATE-GAS AVAILABILITY'!O919+N920*'RAP TEMPLATE-GAS AVAILABILITY'!P919+O920*'RAP TEMPLATE-GAS AVAILABILITY'!Q919+P920*'RAP TEMPLATE-GAS AVAILABILITY'!R919)/('RAP TEMPLATE-GAS AVAILABILITY'!O919+'RAP TEMPLATE-GAS AVAILABILITY'!P919+'RAP TEMPLATE-GAS AVAILABILITY'!Q919+'RAP TEMPLATE-GAS AVAILABILITY'!R919)</f>
        <v>31.492524460431653</v>
      </c>
    </row>
    <row r="921" spans="1:30" ht="15.75">
      <c r="A921" s="13">
        <v>69306</v>
      </c>
      <c r="B921" s="10">
        <f>CHOOSE(CONTROL!$C$42, 29.8255, 29.8255) * CHOOSE(CONTROL!$C$21, $C$9, 100%, $E$9)</f>
        <v>29.825500000000002</v>
      </c>
      <c r="C921" s="10">
        <f>CHOOSE(CONTROL!$C$42, 29.8335, 29.8335) * CHOOSE(CONTROL!$C$21, $C$9, 100%, $E$9)</f>
        <v>29.833500000000001</v>
      </c>
      <c r="D921" s="10">
        <f>CHOOSE(CONTROL!$C$42, 29.9906, 29.9906) * CHOOSE(CONTROL!$C$21, $C$9, 100%, $E$9)</f>
        <v>29.990600000000001</v>
      </c>
      <c r="E921" s="10">
        <f>CHOOSE(CONTROL!$C$42, 30.0218, 30.0218) * CHOOSE(CONTROL!$C$21, $C$9, 100%, $E$9)</f>
        <v>30.021799999999999</v>
      </c>
      <c r="F921" s="10">
        <f>CHOOSE(CONTROL!$C$42, 29.7699, 29.7699)*CHOOSE(CONTROL!$C$21, $C$9, 100%, $E$9)</f>
        <v>29.7699</v>
      </c>
      <c r="G921" s="10">
        <f>CHOOSE(CONTROL!$C$42, 29.7861, 29.7861)*CHOOSE(CONTROL!$C$21, $C$9, 100%, $E$9)</f>
        <v>29.786100000000001</v>
      </c>
      <c r="H921" s="10">
        <f>CHOOSE(CONTROL!$C$42, 30.0101, 30.0101) * CHOOSE(CONTROL!$C$21, $C$9, 100%, $E$9)</f>
        <v>30.010100000000001</v>
      </c>
      <c r="I921" s="10">
        <f>CHOOSE(CONTROL!$C$42, 29.8043, 29.8043)* CHOOSE(CONTROL!$C$21, $C$9, 100%, $E$9)</f>
        <v>29.804300000000001</v>
      </c>
      <c r="J921" s="10">
        <f>CHOOSE(CONTROL!$C$42, 29.7625, 29.7625)* CHOOSE(CONTROL!$C$21, $C$9, 100%, $E$9)</f>
        <v>29.762499999999999</v>
      </c>
      <c r="K921" s="10">
        <f>CHOOSE(CONTROL!$C$42, 29.0337, 29.0337) * CHOOSE(CONTROL!$C$21, $C$9, 100%, $E$9)</f>
        <v>29.0337</v>
      </c>
      <c r="L921" s="10">
        <f>CHOOSE(CONTROL!$C$42, 30.5971, 30.5971) * CHOOSE(CONTROL!$C$21, $C$9, 100%, $E$9)</f>
        <v>30.597100000000001</v>
      </c>
      <c r="M921" s="10">
        <f>CHOOSE(CONTROL!$C$42, 29.3803, 29.3803) * CHOOSE(CONTROL!$C$21, $C$9, 100%, $E$9)</f>
        <v>29.380299999999998</v>
      </c>
      <c r="N921" s="10">
        <f>CHOOSE(CONTROL!$C$42, 29.3963, 29.3963) * CHOOSE(CONTROL!$C$21, $C$9, 100%, $E$9)</f>
        <v>29.3963</v>
      </c>
      <c r="O921" s="10">
        <f>CHOOSE(CONTROL!$C$42, 29.6245, 29.6245) * CHOOSE(CONTROL!$C$21, $C$9, 100%, $E$9)</f>
        <v>29.624500000000001</v>
      </c>
      <c r="P921" s="10">
        <f>CHOOSE(CONTROL!$C$42, 29.4216, 29.4216) * CHOOSE(CONTROL!$C$21, $C$9, 100%, $E$9)</f>
        <v>29.421600000000002</v>
      </c>
      <c r="Q921" s="10">
        <f>CHOOSE(CONTROL!$C$42, 30.2198, 30.2198) * CHOOSE(CONTROL!$C$21, $C$9, 100%, $E$9)</f>
        <v>30.219799999999999</v>
      </c>
      <c r="R921" s="10">
        <f>CHOOSE(CONTROL!$C$42, 30.8823, 30.8823) * CHOOSE(CONTROL!$C$21, $C$9, 100%, $E$9)</f>
        <v>30.882300000000001</v>
      </c>
      <c r="S921" s="10">
        <f>CHOOSE(CONTROL!$C$42, 28.8946, 28.8946) * CHOOSE(CONTROL!$C$21, $C$9, 100%, $E$9)</f>
        <v>28.894600000000001</v>
      </c>
      <c r="T92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21" s="38">
        <f>(1000*CHOOSE(CONTROL!$C$42, 695, 695)*CHOOSE(CONTROL!$C$42, 0.5599, 0.5599)*CHOOSE(CONTROL!$C$42, 30, 30))/1000000</f>
        <v>11.673914999999997</v>
      </c>
      <c r="V921" s="38">
        <f>(1000*CHOOSE(CONTROL!$C$42, 500, 500)*CHOOSE(CONTROL!$C$42, 0.275, 0.275)*CHOOSE(CONTROL!$C$42, 30, 30))/1000000</f>
        <v>4.125</v>
      </c>
      <c r="W921" s="38">
        <f>(1000*CHOOSE(CONTROL!$C$42, 0.1146, 0.1146)*CHOOSE(CONTROL!$C$42, 121.5, 121.5)*CHOOSE(CONTROL!$C$42, 30, 30))/1000000</f>
        <v>0.417717</v>
      </c>
      <c r="X921" s="38">
        <f>(30*0.1790888*245000/1000000)+(30*0.2374*100000/1000000)</f>
        <v>2.0285026799999999</v>
      </c>
      <c r="Y921" s="38">
        <f>(1000*600*CHOOSE(CONTROL!$C$42, 1.0585, 1.0585)*CHOOSE(CONTROL!$C$42, 30, 30))/1000000</f>
        <v>19.053000000000001</v>
      </c>
      <c r="Z921" s="38"/>
      <c r="AA921" s="10"/>
      <c r="AB921" s="39"/>
      <c r="AC921" s="33">
        <f>(B921*194.205+C921*267.466+D921*133.845+E921*53.484+F921*40+G921*185+H921*0+I921*100+J921*300)/(194.205+267.466+133.845+53.484+0+40+185+100+300)</f>
        <v>29.828799408712719</v>
      </c>
      <c r="AD921" s="27">
        <f>(M921*'RAP TEMPLATE-GAS AVAILABILITY'!O920+N921*'RAP TEMPLATE-GAS AVAILABILITY'!P920+O921*'RAP TEMPLATE-GAS AVAILABILITY'!Q920+P921*'RAP TEMPLATE-GAS AVAILABILITY'!R920)/('RAP TEMPLATE-GAS AVAILABILITY'!O920+'RAP TEMPLATE-GAS AVAILABILITY'!P920+'RAP TEMPLATE-GAS AVAILABILITY'!Q920+'RAP TEMPLATE-GAS AVAILABILITY'!R920)</f>
        <v>29.497843884892088</v>
      </c>
    </row>
    <row r="922" spans="1:30" ht="15.75">
      <c r="A922" s="13">
        <v>69337</v>
      </c>
      <c r="B922" s="10">
        <f>CHOOSE(CONTROL!$C$42, 29.2175, 29.2175) * CHOOSE(CONTROL!$C$21, $C$9, 100%, $E$9)</f>
        <v>29.217500000000001</v>
      </c>
      <c r="C922" s="10">
        <f>CHOOSE(CONTROL!$C$42, 29.2228, 29.2228) * CHOOSE(CONTROL!$C$21, $C$9, 100%, $E$9)</f>
        <v>29.222799999999999</v>
      </c>
      <c r="D922" s="10">
        <f>CHOOSE(CONTROL!$C$42, 29.3847, 29.3847) * CHOOSE(CONTROL!$C$21, $C$9, 100%, $E$9)</f>
        <v>29.384699999999999</v>
      </c>
      <c r="E922" s="10">
        <f>CHOOSE(CONTROL!$C$42, 29.4137, 29.4137) * CHOOSE(CONTROL!$C$21, $C$9, 100%, $E$9)</f>
        <v>29.413699999999999</v>
      </c>
      <c r="F922" s="10">
        <f>CHOOSE(CONTROL!$C$42, 29.1639, 29.1639)*CHOOSE(CONTROL!$C$21, $C$9, 100%, $E$9)</f>
        <v>29.163900000000002</v>
      </c>
      <c r="G922" s="10">
        <f>CHOOSE(CONTROL!$C$42, 29.1797, 29.1797)*CHOOSE(CONTROL!$C$21, $C$9, 100%, $E$9)</f>
        <v>29.1797</v>
      </c>
      <c r="H922" s="10">
        <f>CHOOSE(CONTROL!$C$42, 29.4038, 29.4038) * CHOOSE(CONTROL!$C$21, $C$9, 100%, $E$9)</f>
        <v>29.4038</v>
      </c>
      <c r="I922" s="10">
        <f>CHOOSE(CONTROL!$C$42, 29.198, 29.198)* CHOOSE(CONTROL!$C$21, $C$9, 100%, $E$9)</f>
        <v>29.198</v>
      </c>
      <c r="J922" s="10">
        <f>CHOOSE(CONTROL!$C$42, 29.1565, 29.1565)* CHOOSE(CONTROL!$C$21, $C$9, 100%, $E$9)</f>
        <v>29.156500000000001</v>
      </c>
      <c r="K922" s="10">
        <f>CHOOSE(CONTROL!$C$42, 28.4469, 28.4469) * CHOOSE(CONTROL!$C$21, $C$9, 100%, $E$9)</f>
        <v>28.446899999999999</v>
      </c>
      <c r="L922" s="10">
        <f>CHOOSE(CONTROL!$C$42, 29.9908, 29.9908) * CHOOSE(CONTROL!$C$21, $C$9, 100%, $E$9)</f>
        <v>29.9908</v>
      </c>
      <c r="M922" s="10">
        <f>CHOOSE(CONTROL!$C$42, 28.7827, 28.7827) * CHOOSE(CONTROL!$C$21, $C$9, 100%, $E$9)</f>
        <v>28.782699999999998</v>
      </c>
      <c r="N922" s="10">
        <f>CHOOSE(CONTROL!$C$42, 28.7983, 28.7983) * CHOOSE(CONTROL!$C$21, $C$9, 100%, $E$9)</f>
        <v>28.798300000000001</v>
      </c>
      <c r="O922" s="10">
        <f>CHOOSE(CONTROL!$C$42, 29.0266, 29.0266) * CHOOSE(CONTROL!$C$21, $C$9, 100%, $E$9)</f>
        <v>29.026599999999998</v>
      </c>
      <c r="P922" s="10">
        <f>CHOOSE(CONTROL!$C$42, 28.8237, 28.8237) * CHOOSE(CONTROL!$C$21, $C$9, 100%, $E$9)</f>
        <v>28.823699999999999</v>
      </c>
      <c r="Q922" s="10">
        <f>CHOOSE(CONTROL!$C$42, 29.6219, 29.6219) * CHOOSE(CONTROL!$C$21, $C$9, 100%, $E$9)</f>
        <v>29.6219</v>
      </c>
      <c r="R922" s="10">
        <f>CHOOSE(CONTROL!$C$42, 30.283, 30.283) * CHOOSE(CONTROL!$C$21, $C$9, 100%, $E$9)</f>
        <v>30.283000000000001</v>
      </c>
      <c r="S922" s="10">
        <f>CHOOSE(CONTROL!$C$42, 28.3076, 28.3076) * CHOOSE(CONTROL!$C$21, $C$9, 100%, $E$9)</f>
        <v>28.307600000000001</v>
      </c>
      <c r="T92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22" s="38">
        <f>(1000*CHOOSE(CONTROL!$C$42, 695, 695)*CHOOSE(CONTROL!$C$42, 0.5599, 0.5599)*CHOOSE(CONTROL!$C$42, 31, 31))/1000000</f>
        <v>12.063045499999998</v>
      </c>
      <c r="V922" s="38">
        <f>(1000*CHOOSE(CONTROL!$C$42, 500, 500)*CHOOSE(CONTROL!$C$42, 0.275, 0.275)*CHOOSE(CONTROL!$C$42, 31, 31))/1000000</f>
        <v>4.2625000000000002</v>
      </c>
      <c r="W922" s="38">
        <f>(1000*CHOOSE(CONTROL!$C$42, 0.1146, 0.1146)*CHOOSE(CONTROL!$C$42, 121.5, 121.5)*CHOOSE(CONTROL!$C$42, 31, 31))/1000000</f>
        <v>0.43164089999999994</v>
      </c>
      <c r="X922" s="38">
        <f>(31*0.1790888*245000/1000000)+(31*0.2374*100000/1000000)</f>
        <v>2.0961194359999999</v>
      </c>
      <c r="Y922" s="38">
        <f>(1000*600*CHOOSE(CONTROL!$C$42, 1.0585, 1.0585)*CHOOSE(CONTROL!$C$42, 31, 31))/1000000</f>
        <v>19.688099999999999</v>
      </c>
      <c r="Z922" s="38"/>
      <c r="AA922" s="10"/>
      <c r="AB922" s="39"/>
      <c r="AC922" s="33">
        <f>(B922*131.881+C922*277.167+D922*79.08+E922*125.872+F922*40+G922*185+H922*0+I922*100+J922*300)/(131.881+277.167+79.08+125.872+0+40+185+100+300)</f>
        <v>29.225571224778051</v>
      </c>
      <c r="AD922" s="27">
        <f>(M922*'RAP TEMPLATE-GAS AVAILABILITY'!O921+N922*'RAP TEMPLATE-GAS AVAILABILITY'!P921+O922*'RAP TEMPLATE-GAS AVAILABILITY'!Q921+P922*'RAP TEMPLATE-GAS AVAILABILITY'!R921)/('RAP TEMPLATE-GAS AVAILABILITY'!O921+'RAP TEMPLATE-GAS AVAILABILITY'!P921+'RAP TEMPLATE-GAS AVAILABILITY'!Q921+'RAP TEMPLATE-GAS AVAILABILITY'!R921)</f>
        <v>28.900041726618703</v>
      </c>
    </row>
    <row r="923" spans="1:30" ht="15.75">
      <c r="A923" s="13">
        <v>69367</v>
      </c>
      <c r="B923" s="10">
        <f>CHOOSE(CONTROL!$C$42, 29.9872, 29.9872) * CHOOSE(CONTROL!$C$21, $C$9, 100%, $E$9)</f>
        <v>29.987200000000001</v>
      </c>
      <c r="C923" s="10">
        <f>CHOOSE(CONTROL!$C$42, 29.9923, 29.9923) * CHOOSE(CONTROL!$C$21, $C$9, 100%, $E$9)</f>
        <v>29.9923</v>
      </c>
      <c r="D923" s="10">
        <f>CHOOSE(CONTROL!$C$42, 30.017, 30.017) * CHOOSE(CONTROL!$C$21, $C$9, 100%, $E$9)</f>
        <v>30.016999999999999</v>
      </c>
      <c r="E923" s="10">
        <f>CHOOSE(CONTROL!$C$42, 30.0508, 30.0508) * CHOOSE(CONTROL!$C$21, $C$9, 100%, $E$9)</f>
        <v>30.050799999999999</v>
      </c>
      <c r="F923" s="10">
        <f>CHOOSE(CONTROL!$C$42, 29.9555, 29.9555)*CHOOSE(CONTROL!$C$21, $C$9, 100%, $E$9)</f>
        <v>29.955500000000001</v>
      </c>
      <c r="G923" s="10">
        <f>CHOOSE(CONTROL!$C$42, 29.9716, 29.9716)*CHOOSE(CONTROL!$C$21, $C$9, 100%, $E$9)</f>
        <v>29.971599999999999</v>
      </c>
      <c r="H923" s="10">
        <f>CHOOSE(CONTROL!$C$42, 30.0397, 30.0397) * CHOOSE(CONTROL!$C$21, $C$9, 100%, $E$9)</f>
        <v>30.0397</v>
      </c>
      <c r="I923" s="10">
        <f>CHOOSE(CONTROL!$C$42, 30.0022, 30.0022)* CHOOSE(CONTROL!$C$21, $C$9, 100%, $E$9)</f>
        <v>30.002199999999998</v>
      </c>
      <c r="J923" s="10">
        <f>CHOOSE(CONTROL!$C$42, 29.9481, 29.9481)* CHOOSE(CONTROL!$C$21, $C$9, 100%, $E$9)</f>
        <v>29.9481</v>
      </c>
      <c r="K923" s="10">
        <f>CHOOSE(CONTROL!$C$42, 29.2282, 29.2282) * CHOOSE(CONTROL!$C$21, $C$9, 100%, $E$9)</f>
        <v>29.228200000000001</v>
      </c>
      <c r="L923" s="10">
        <f>CHOOSE(CONTROL!$C$42, 30.6267, 30.6267) * CHOOSE(CONTROL!$C$21, $C$9, 100%, $E$9)</f>
        <v>30.6267</v>
      </c>
      <c r="M923" s="10">
        <f>CHOOSE(CONTROL!$C$42, 29.5634, 29.5634) * CHOOSE(CONTROL!$C$21, $C$9, 100%, $E$9)</f>
        <v>29.563400000000001</v>
      </c>
      <c r="N923" s="10">
        <f>CHOOSE(CONTROL!$C$42, 29.5791, 29.5791) * CHOOSE(CONTROL!$C$21, $C$9, 100%, $E$9)</f>
        <v>29.5791</v>
      </c>
      <c r="O923" s="10">
        <f>CHOOSE(CONTROL!$C$42, 29.6536, 29.6536) * CHOOSE(CONTROL!$C$21, $C$9, 100%, $E$9)</f>
        <v>29.653600000000001</v>
      </c>
      <c r="P923" s="10">
        <f>CHOOSE(CONTROL!$C$42, 29.6167, 29.6167) * CHOOSE(CONTROL!$C$21, $C$9, 100%, $E$9)</f>
        <v>29.616700000000002</v>
      </c>
      <c r="Q923" s="10">
        <f>CHOOSE(CONTROL!$C$42, 30.2489, 30.2489) * CHOOSE(CONTROL!$C$21, $C$9, 100%, $E$9)</f>
        <v>30.248899999999999</v>
      </c>
      <c r="R923" s="10">
        <f>CHOOSE(CONTROL!$C$42, 30.9116, 30.9116) * CHOOSE(CONTROL!$C$21, $C$9, 100%, $E$9)</f>
        <v>30.9116</v>
      </c>
      <c r="S923" s="10">
        <f>CHOOSE(CONTROL!$C$42, 29.0533, 29.0533) * CHOOSE(CONTROL!$C$21, $C$9, 100%, $E$9)</f>
        <v>29.0533</v>
      </c>
      <c r="T92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23" s="38">
        <f>(1000*CHOOSE(CONTROL!$C$42, 695, 695)*CHOOSE(CONTROL!$C$42, 0.5599, 0.5599)*CHOOSE(CONTROL!$C$42, 30, 30))/1000000</f>
        <v>11.673914999999997</v>
      </c>
      <c r="V923" s="38">
        <f>(1000*CHOOSE(CONTROL!$C$42, 500, 500)*CHOOSE(CONTROL!$C$42, 0.275, 0.275)*CHOOSE(CONTROL!$C$42, 30, 30))/1000000</f>
        <v>4.125</v>
      </c>
      <c r="W923" s="38">
        <f>(1000*CHOOSE(CONTROL!$C$42, 0.1146, 0.1146)*CHOOSE(CONTROL!$C$42, 121.5, 121.5)*CHOOSE(CONTROL!$C$42, 30, 30))/1000000</f>
        <v>0.417717</v>
      </c>
      <c r="X923" s="38">
        <f>(30*0.1790888*100000/1000000)+(30*0.2374*100000/1000000)</f>
        <v>1.2494664</v>
      </c>
      <c r="Y923" s="38">
        <f>(1000*600*CHOOSE(CONTROL!$C$42, 1.0585, 1.0585)*CHOOSE(CONTROL!$C$42, 30, 30))/1000000</f>
        <v>19.053000000000001</v>
      </c>
      <c r="Z923" s="38"/>
      <c r="AA923" s="10"/>
      <c r="AB923" s="39"/>
      <c r="AC923" s="33">
        <f>(B923*122.58+C923*297.941+D923*89.177+E923*40.302+F923*40+G923*160+H923*0+I923*100+J923*300)/(122.58+297.941+89.177+40.302+0+40+160+100+300)</f>
        <v>29.98089233121739</v>
      </c>
      <c r="AD923" s="27">
        <f>(M923*'RAP TEMPLATE-GAS AVAILABILITY'!O922+N923*'RAP TEMPLATE-GAS AVAILABILITY'!P922+O923*'RAP TEMPLATE-GAS AVAILABILITY'!Q922+P923*'RAP TEMPLATE-GAS AVAILABILITY'!R922)/('RAP TEMPLATE-GAS AVAILABILITY'!O922+'RAP TEMPLATE-GAS AVAILABILITY'!P922+'RAP TEMPLATE-GAS AVAILABILITY'!Q922+'RAP TEMPLATE-GAS AVAILABILITY'!R922)</f>
        <v>29.612854676258994</v>
      </c>
    </row>
    <row r="924" spans="1:30" ht="15.75">
      <c r="A924" s="13">
        <v>69398</v>
      </c>
      <c r="B924" s="10">
        <f>CHOOSE(CONTROL!$C$42, 32.0328, 32.0328) * CHOOSE(CONTROL!$C$21, $C$9, 100%, $E$9)</f>
        <v>32.032800000000002</v>
      </c>
      <c r="C924" s="10">
        <f>CHOOSE(CONTROL!$C$42, 32.0379, 32.0379) * CHOOSE(CONTROL!$C$21, $C$9, 100%, $E$9)</f>
        <v>32.0379</v>
      </c>
      <c r="D924" s="10">
        <f>CHOOSE(CONTROL!$C$42, 32.0626, 32.0626) * CHOOSE(CONTROL!$C$21, $C$9, 100%, $E$9)</f>
        <v>32.062600000000003</v>
      </c>
      <c r="E924" s="10">
        <f>CHOOSE(CONTROL!$C$42, 32.0964, 32.0964) * CHOOSE(CONTROL!$C$21, $C$9, 100%, $E$9)</f>
        <v>32.096400000000003</v>
      </c>
      <c r="F924" s="10">
        <f>CHOOSE(CONTROL!$C$42, 32.0031, 32.0031)*CHOOSE(CONTROL!$C$21, $C$9, 100%, $E$9)</f>
        <v>32.003100000000003</v>
      </c>
      <c r="G924" s="10">
        <f>CHOOSE(CONTROL!$C$42, 32.0196, 32.0196)*CHOOSE(CONTROL!$C$21, $C$9, 100%, $E$9)</f>
        <v>32.019599999999997</v>
      </c>
      <c r="H924" s="10">
        <f>CHOOSE(CONTROL!$C$42, 32.0853, 32.0853) * CHOOSE(CONTROL!$C$21, $C$9, 100%, $E$9)</f>
        <v>32.085299999999997</v>
      </c>
      <c r="I924" s="10">
        <f>CHOOSE(CONTROL!$C$42, 32.0478, 32.0478)* CHOOSE(CONTROL!$C$21, $C$9, 100%, $E$9)</f>
        <v>32.047800000000002</v>
      </c>
      <c r="J924" s="10">
        <f>CHOOSE(CONTROL!$C$42, 31.9957, 31.9957)* CHOOSE(CONTROL!$C$21, $C$9, 100%, $E$9)</f>
        <v>31.995699999999999</v>
      </c>
      <c r="K924" s="10">
        <f>CHOOSE(CONTROL!$C$42, 31.2141, 31.2141) * CHOOSE(CONTROL!$C$21, $C$9, 100%, $E$9)</f>
        <v>31.214099999999998</v>
      </c>
      <c r="L924" s="10">
        <f>CHOOSE(CONTROL!$C$42, 32.6723, 32.6723) * CHOOSE(CONTROL!$C$21, $C$9, 100%, $E$9)</f>
        <v>32.6723</v>
      </c>
      <c r="M924" s="10">
        <f>CHOOSE(CONTROL!$C$42, 31.5824, 31.5824) * CHOOSE(CONTROL!$C$21, $C$9, 100%, $E$9)</f>
        <v>31.5824</v>
      </c>
      <c r="N924" s="10">
        <f>CHOOSE(CONTROL!$C$42, 31.5986, 31.5986) * CHOOSE(CONTROL!$C$21, $C$9, 100%, $E$9)</f>
        <v>31.598600000000001</v>
      </c>
      <c r="O924" s="10">
        <f>CHOOSE(CONTROL!$C$42, 31.6707, 31.6707) * CHOOSE(CONTROL!$C$21, $C$9, 100%, $E$9)</f>
        <v>31.6707</v>
      </c>
      <c r="P924" s="10">
        <f>CHOOSE(CONTROL!$C$42, 31.6338, 31.6338) * CHOOSE(CONTROL!$C$21, $C$9, 100%, $E$9)</f>
        <v>31.633800000000001</v>
      </c>
      <c r="Q924" s="10">
        <f>CHOOSE(CONTROL!$C$42, 32.266, 32.266) * CHOOSE(CONTROL!$C$21, $C$9, 100%, $E$9)</f>
        <v>32.265999999999998</v>
      </c>
      <c r="R924" s="10">
        <f>CHOOSE(CONTROL!$C$42, 32.9337, 32.9337) * CHOOSE(CONTROL!$C$21, $C$9, 100%, $E$9)</f>
        <v>32.933700000000002</v>
      </c>
      <c r="S924" s="10">
        <f>CHOOSE(CONTROL!$C$42, 31.0341, 31.0341) * CHOOSE(CONTROL!$C$21, $C$9, 100%, $E$9)</f>
        <v>31.034099999999999</v>
      </c>
      <c r="T92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24" s="38">
        <f>(1000*CHOOSE(CONTROL!$C$42, 695, 695)*CHOOSE(CONTROL!$C$42, 0.5599, 0.5599)*CHOOSE(CONTROL!$C$42, 31, 31))/1000000</f>
        <v>12.063045499999998</v>
      </c>
      <c r="V924" s="38">
        <f>(1000*CHOOSE(CONTROL!$C$42, 500, 500)*CHOOSE(CONTROL!$C$42, 0.275, 0.275)*CHOOSE(CONTROL!$C$42, 31, 31))/1000000</f>
        <v>4.2625000000000002</v>
      </c>
      <c r="W924" s="38">
        <f>(1000*CHOOSE(CONTROL!$C$42, 0.1146, 0.1146)*CHOOSE(CONTROL!$C$42, 121.5, 121.5)*CHOOSE(CONTROL!$C$42, 31, 31))/1000000</f>
        <v>0.43164089999999994</v>
      </c>
      <c r="X924" s="38">
        <f>(31*0.1790888*100000/1000000)+(31*0.2374*100000/1000000)</f>
        <v>1.2911152800000001</v>
      </c>
      <c r="Y924" s="38">
        <f>(1000*600*CHOOSE(CONTROL!$C$42, 1.0585, 1.0585)*CHOOSE(CONTROL!$C$42, 31, 31))/1000000</f>
        <v>19.688099999999999</v>
      </c>
      <c r="Z924" s="38"/>
      <c r="AA924" s="10"/>
      <c r="AB924" s="39"/>
      <c r="AC924" s="33">
        <f>(B924*122.58+C924*297.941+D924*89.177+E924*40.302+F924*40+G924*160+H924*0+I924*100+J924*300)/(122.58+297.941+89.177+40.302+0+40+160+100+300)</f>
        <v>32.027417548608689</v>
      </c>
      <c r="AD924" s="27">
        <f>(M924*'RAP TEMPLATE-GAS AVAILABILITY'!O923+N924*'RAP TEMPLATE-GAS AVAILABILITY'!P923+O924*'RAP TEMPLATE-GAS AVAILABILITY'!Q923+P924*'RAP TEMPLATE-GAS AVAILABILITY'!R923)/('RAP TEMPLATE-GAS AVAILABILITY'!O923+'RAP TEMPLATE-GAS AVAILABILITY'!P923+'RAP TEMPLATE-GAS AVAILABILITY'!Q923+'RAP TEMPLATE-GAS AVAILABILITY'!R923)</f>
        <v>31.630748920863311</v>
      </c>
    </row>
    <row r="925" spans="1:30" ht="15.75">
      <c r="A925" s="13">
        <v>69429</v>
      </c>
      <c r="B925" s="10">
        <f>CHOOSE(CONTROL!$C$42, 34.196, 34.196) * CHOOSE(CONTROL!$C$21, $C$9, 100%, $E$9)</f>
        <v>34.195999999999998</v>
      </c>
      <c r="C925" s="10">
        <f>CHOOSE(CONTROL!$C$42, 34.2011, 34.2011) * CHOOSE(CONTROL!$C$21, $C$9, 100%, $E$9)</f>
        <v>34.201099999999997</v>
      </c>
      <c r="D925" s="10">
        <f>CHOOSE(CONTROL!$C$42, 34.2335, 34.2335) * CHOOSE(CONTROL!$C$21, $C$9, 100%, $E$9)</f>
        <v>34.233499999999999</v>
      </c>
      <c r="E925" s="10">
        <f>CHOOSE(CONTROL!$C$42, 34.2673, 34.2673) * CHOOSE(CONTROL!$C$21, $C$9, 100%, $E$9)</f>
        <v>34.267299999999999</v>
      </c>
      <c r="F925" s="10">
        <f>CHOOSE(CONTROL!$C$42, 34.1802, 34.1802)*CHOOSE(CONTROL!$C$21, $C$9, 100%, $E$9)</f>
        <v>34.180199999999999</v>
      </c>
      <c r="G925" s="10">
        <f>CHOOSE(CONTROL!$C$42, 34.1982, 34.1982)*CHOOSE(CONTROL!$C$21, $C$9, 100%, $E$9)</f>
        <v>34.1982</v>
      </c>
      <c r="H925" s="10">
        <f>CHOOSE(CONTROL!$C$42, 34.2562, 34.2562) * CHOOSE(CONTROL!$C$21, $C$9, 100%, $E$9)</f>
        <v>34.2562</v>
      </c>
      <c r="I925" s="10">
        <f>CHOOSE(CONTROL!$C$42, 34.2094, 34.2094)* CHOOSE(CONTROL!$C$21, $C$9, 100%, $E$9)</f>
        <v>34.209400000000002</v>
      </c>
      <c r="J925" s="10">
        <f>CHOOSE(CONTROL!$C$42, 34.1728, 34.1728)* CHOOSE(CONTROL!$C$21, $C$9, 100%, $E$9)</f>
        <v>34.172800000000002</v>
      </c>
      <c r="K925" s="10">
        <f>CHOOSE(CONTROL!$C$42, 33.3222, 33.3222) * CHOOSE(CONTROL!$C$21, $C$9, 100%, $E$9)</f>
        <v>33.322200000000002</v>
      </c>
      <c r="L925" s="10">
        <f>CHOOSE(CONTROL!$C$42, 34.8432, 34.8432) * CHOOSE(CONTROL!$C$21, $C$9, 100%, $E$9)</f>
        <v>34.843200000000003</v>
      </c>
      <c r="M925" s="10">
        <f>CHOOSE(CONTROL!$C$42, 33.729, 33.729) * CHOOSE(CONTROL!$C$21, $C$9, 100%, $E$9)</f>
        <v>33.728999999999999</v>
      </c>
      <c r="N925" s="10">
        <f>CHOOSE(CONTROL!$C$42, 33.7468, 33.7468) * CHOOSE(CONTROL!$C$21, $C$9, 100%, $E$9)</f>
        <v>33.7468</v>
      </c>
      <c r="O925" s="10">
        <f>CHOOSE(CONTROL!$C$42, 33.8113, 33.8113) * CHOOSE(CONTROL!$C$21, $C$9, 100%, $E$9)</f>
        <v>33.811300000000003</v>
      </c>
      <c r="P925" s="10">
        <f>CHOOSE(CONTROL!$C$42, 33.7652, 33.7652) * CHOOSE(CONTROL!$C$21, $C$9, 100%, $E$9)</f>
        <v>33.7652</v>
      </c>
      <c r="Q925" s="10">
        <f>CHOOSE(CONTROL!$C$42, 34.4066, 34.4066) * CHOOSE(CONTROL!$C$21, $C$9, 100%, $E$9)</f>
        <v>34.406599999999997</v>
      </c>
      <c r="R925" s="10">
        <f>CHOOSE(CONTROL!$C$42, 35.0796, 35.0796) * CHOOSE(CONTROL!$C$21, $C$9, 100%, $E$9)</f>
        <v>35.079599999999999</v>
      </c>
      <c r="S925" s="10">
        <f>CHOOSE(CONTROL!$C$42, 33.1286, 33.1286) * CHOOSE(CONTROL!$C$21, $C$9, 100%, $E$9)</f>
        <v>33.128599999999999</v>
      </c>
      <c r="T92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25" s="38">
        <f>(1000*CHOOSE(CONTROL!$C$42, 695, 695)*CHOOSE(CONTROL!$C$42, 0.5599, 0.5599)*CHOOSE(CONTROL!$C$42, 31, 31))/1000000</f>
        <v>12.063045499999998</v>
      </c>
      <c r="V925" s="38">
        <f>(1000*CHOOSE(CONTROL!$C$42, 500, 500)*CHOOSE(CONTROL!$C$42, 0.275, 0.275)*CHOOSE(CONTROL!$C$42, 31, 31))/1000000</f>
        <v>4.2625000000000002</v>
      </c>
      <c r="W925" s="38">
        <f>(1000*CHOOSE(CONTROL!$C$42, 0.1146, 0.1146)*CHOOSE(CONTROL!$C$42, 121.5, 121.5)*CHOOSE(CONTROL!$C$42, 31, 31))/1000000</f>
        <v>0.43164089999999994</v>
      </c>
      <c r="X925" s="38">
        <f>(31*0.1790888*100000/1000000)+(31*0.2374*100000/1000000)</f>
        <v>1.2911152800000001</v>
      </c>
      <c r="Y925" s="38">
        <f>(1000*600*CHOOSE(CONTROL!$C$42, 1.0585, 1.0585)*CHOOSE(CONTROL!$C$42, 31, 31))/1000000</f>
        <v>19.688099999999999</v>
      </c>
      <c r="Z925" s="38"/>
      <c r="AA925" s="10"/>
      <c r="AB925" s="39"/>
      <c r="AC925" s="33">
        <f>(B925*122.58+C925*297.941+D925*89.177+E925*40.302+F925*40+G925*160+H925*0+I925*100+J925*300)/(122.58+297.941+89.177+40.302+0+40+160+100+300)</f>
        <v>34.197597538434778</v>
      </c>
      <c r="AD925" s="27">
        <f>(M925*'RAP TEMPLATE-GAS AVAILABILITY'!O924+N925*'RAP TEMPLATE-GAS AVAILABILITY'!P924+O925*'RAP TEMPLATE-GAS AVAILABILITY'!Q924+P925*'RAP TEMPLATE-GAS AVAILABILITY'!R924)/('RAP TEMPLATE-GAS AVAILABILITY'!O924+'RAP TEMPLATE-GAS AVAILABILITY'!P924+'RAP TEMPLATE-GAS AVAILABILITY'!Q924+'RAP TEMPLATE-GAS AVAILABILITY'!R924)</f>
        <v>33.772534532374102</v>
      </c>
    </row>
    <row r="926" spans="1:30" ht="15.75">
      <c r="A926" s="13">
        <v>69457</v>
      </c>
      <c r="B926" s="10">
        <f>CHOOSE(CONTROL!$C$42, 34.805, 34.805) * CHOOSE(CONTROL!$C$21, $C$9, 100%, $E$9)</f>
        <v>34.805</v>
      </c>
      <c r="C926" s="10">
        <f>CHOOSE(CONTROL!$C$42, 34.8101, 34.8101) * CHOOSE(CONTROL!$C$21, $C$9, 100%, $E$9)</f>
        <v>34.810099999999998</v>
      </c>
      <c r="D926" s="10">
        <f>CHOOSE(CONTROL!$C$42, 34.8425, 34.8425) * CHOOSE(CONTROL!$C$21, $C$9, 100%, $E$9)</f>
        <v>34.842500000000001</v>
      </c>
      <c r="E926" s="10">
        <f>CHOOSE(CONTROL!$C$42, 34.8763, 34.8763) * CHOOSE(CONTROL!$C$21, $C$9, 100%, $E$9)</f>
        <v>34.876300000000001</v>
      </c>
      <c r="F926" s="10">
        <f>CHOOSE(CONTROL!$C$42, 34.7887, 34.7887)*CHOOSE(CONTROL!$C$21, $C$9, 100%, $E$9)</f>
        <v>34.788699999999999</v>
      </c>
      <c r="G926" s="10">
        <f>CHOOSE(CONTROL!$C$42, 34.8067, 34.8067)*CHOOSE(CONTROL!$C$21, $C$9, 100%, $E$9)</f>
        <v>34.806699999999999</v>
      </c>
      <c r="H926" s="10">
        <f>CHOOSE(CONTROL!$C$42, 34.8652, 34.8652) * CHOOSE(CONTROL!$C$21, $C$9, 100%, $E$9)</f>
        <v>34.865200000000002</v>
      </c>
      <c r="I926" s="10">
        <f>CHOOSE(CONTROL!$C$42, 34.8184, 34.8184)* CHOOSE(CONTROL!$C$21, $C$9, 100%, $E$9)</f>
        <v>34.818399999999997</v>
      </c>
      <c r="J926" s="10">
        <f>CHOOSE(CONTROL!$C$42, 34.7813, 34.7813)* CHOOSE(CONTROL!$C$21, $C$9, 100%, $E$9)</f>
        <v>34.781300000000002</v>
      </c>
      <c r="K926" s="10">
        <f>CHOOSE(CONTROL!$C$42, 33.9112, 33.9112) * CHOOSE(CONTROL!$C$21, $C$9, 100%, $E$9)</f>
        <v>33.911200000000001</v>
      </c>
      <c r="L926" s="10">
        <f>CHOOSE(CONTROL!$C$42, 35.4522, 35.4522) * CHOOSE(CONTROL!$C$21, $C$9, 100%, $E$9)</f>
        <v>35.452199999999998</v>
      </c>
      <c r="M926" s="10">
        <f>CHOOSE(CONTROL!$C$42, 34.3291, 34.3291) * CHOOSE(CONTROL!$C$21, $C$9, 100%, $E$9)</f>
        <v>34.329099999999997</v>
      </c>
      <c r="N926" s="10">
        <f>CHOOSE(CONTROL!$C$42, 34.3468, 34.3468) * CHOOSE(CONTROL!$C$21, $C$9, 100%, $E$9)</f>
        <v>34.346800000000002</v>
      </c>
      <c r="O926" s="10">
        <f>CHOOSE(CONTROL!$C$42, 34.4118, 34.4118) * CHOOSE(CONTROL!$C$21, $C$9, 100%, $E$9)</f>
        <v>34.411799999999999</v>
      </c>
      <c r="P926" s="10">
        <f>CHOOSE(CONTROL!$C$42, 34.3658, 34.3658) * CHOOSE(CONTROL!$C$21, $C$9, 100%, $E$9)</f>
        <v>34.3658</v>
      </c>
      <c r="Q926" s="10">
        <f>CHOOSE(CONTROL!$C$42, 35.0071, 35.0071) * CHOOSE(CONTROL!$C$21, $C$9, 100%, $E$9)</f>
        <v>35.007100000000001</v>
      </c>
      <c r="R926" s="10">
        <f>CHOOSE(CONTROL!$C$42, 35.6817, 35.6817) * CHOOSE(CONTROL!$C$21, $C$9, 100%, $E$9)</f>
        <v>35.681699999999999</v>
      </c>
      <c r="S926" s="10">
        <f>CHOOSE(CONTROL!$C$42, 33.7183, 33.7183) * CHOOSE(CONTROL!$C$21, $C$9, 100%, $E$9)</f>
        <v>33.718299999999999</v>
      </c>
      <c r="T92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26" s="38">
        <f>(1000*CHOOSE(CONTROL!$C$42, 695, 695)*CHOOSE(CONTROL!$C$42, 0.5599, 0.5599)*CHOOSE(CONTROL!$C$42, 28, 28))/1000000</f>
        <v>10.895653999999999</v>
      </c>
      <c r="V926" s="38">
        <f>(1000*CHOOSE(CONTROL!$C$42, 500, 500)*CHOOSE(CONTROL!$C$42, 0.275, 0.275)*CHOOSE(CONTROL!$C$42, 28, 28))/1000000</f>
        <v>3.85</v>
      </c>
      <c r="W926" s="38">
        <f>(1000*CHOOSE(CONTROL!$C$42, 0.1146, 0.1146)*CHOOSE(CONTROL!$C$42, 121.5, 121.5)*CHOOSE(CONTROL!$C$42, 28, 28))/1000000</f>
        <v>0.38986920000000003</v>
      </c>
      <c r="X926" s="38">
        <f>(28*0.1790888*100000/1000000)+(28*0.2374*100000/1000000)</f>
        <v>1.16616864</v>
      </c>
      <c r="Y926" s="38">
        <f>(1000*600*CHOOSE(CONTROL!$C$42, 1.0585, 1.0585)*CHOOSE(CONTROL!$C$42, 28, 28))/1000000</f>
        <v>17.782800000000002</v>
      </c>
      <c r="Z926" s="38"/>
      <c r="AA926" s="10"/>
      <c r="AB926" s="39"/>
      <c r="AC926" s="33">
        <f>(B926*122.58+C926*297.941+D926*89.177+E926*40.302+F926*40+G926*160+H926*0+I926*100+J926*300)/(122.58+297.941+89.177+40.302+0+40+160+100+300)</f>
        <v>34.806380147130433</v>
      </c>
      <c r="AD926" s="27">
        <f>(M926*'RAP TEMPLATE-GAS AVAILABILITY'!O925+N926*'RAP TEMPLATE-GAS AVAILABILITY'!P925+O926*'RAP TEMPLATE-GAS AVAILABILITY'!Q925+P926*'RAP TEMPLATE-GAS AVAILABILITY'!R925)/('RAP TEMPLATE-GAS AVAILABILITY'!O925+'RAP TEMPLATE-GAS AVAILABILITY'!P925+'RAP TEMPLATE-GAS AVAILABILITY'!Q925+'RAP TEMPLATE-GAS AVAILABILITY'!R925)</f>
        <v>34.372882014388487</v>
      </c>
    </row>
    <row r="927" spans="1:30" ht="15.75">
      <c r="A927" s="13">
        <v>69488</v>
      </c>
      <c r="B927" s="10">
        <f>CHOOSE(CONTROL!$C$42, 33.8164, 33.8164) * CHOOSE(CONTROL!$C$21, $C$9, 100%, $E$9)</f>
        <v>33.816400000000002</v>
      </c>
      <c r="C927" s="10">
        <f>CHOOSE(CONTROL!$C$42, 33.8215, 33.8215) * CHOOSE(CONTROL!$C$21, $C$9, 100%, $E$9)</f>
        <v>33.8215</v>
      </c>
      <c r="D927" s="10">
        <f>CHOOSE(CONTROL!$C$42, 33.8539, 33.8539) * CHOOSE(CONTROL!$C$21, $C$9, 100%, $E$9)</f>
        <v>33.853900000000003</v>
      </c>
      <c r="E927" s="10">
        <f>CHOOSE(CONTROL!$C$42, 33.8877, 33.8877) * CHOOSE(CONTROL!$C$21, $C$9, 100%, $E$9)</f>
        <v>33.887700000000002</v>
      </c>
      <c r="F927" s="10">
        <f>CHOOSE(CONTROL!$C$42, 33.7987, 33.7987)*CHOOSE(CONTROL!$C$21, $C$9, 100%, $E$9)</f>
        <v>33.798699999999997</v>
      </c>
      <c r="G927" s="10">
        <f>CHOOSE(CONTROL!$C$42, 33.8162, 33.8162)*CHOOSE(CONTROL!$C$21, $C$9, 100%, $E$9)</f>
        <v>33.816200000000002</v>
      </c>
      <c r="H927" s="10">
        <f>CHOOSE(CONTROL!$C$42, 33.8766, 33.8766) * CHOOSE(CONTROL!$C$21, $C$9, 100%, $E$9)</f>
        <v>33.876600000000003</v>
      </c>
      <c r="I927" s="10">
        <f>CHOOSE(CONTROL!$C$42, 33.8298, 33.8298)* CHOOSE(CONTROL!$C$21, $C$9, 100%, $E$9)</f>
        <v>33.829799999999999</v>
      </c>
      <c r="J927" s="10">
        <f>CHOOSE(CONTROL!$C$42, 33.7913, 33.7913)* CHOOSE(CONTROL!$C$21, $C$9, 100%, $E$9)</f>
        <v>33.7913</v>
      </c>
      <c r="K927" s="10">
        <f>CHOOSE(CONTROL!$C$42, 32.9503, 32.9503) * CHOOSE(CONTROL!$C$21, $C$9, 100%, $E$9)</f>
        <v>32.950299999999999</v>
      </c>
      <c r="L927" s="10">
        <f>CHOOSE(CONTROL!$C$42, 34.4636, 34.4636) * CHOOSE(CONTROL!$C$21, $C$9, 100%, $E$9)</f>
        <v>34.4636</v>
      </c>
      <c r="M927" s="10">
        <f>CHOOSE(CONTROL!$C$42, 33.3529, 33.3529) * CHOOSE(CONTROL!$C$21, $C$9, 100%, $E$9)</f>
        <v>33.352899999999998</v>
      </c>
      <c r="N927" s="10">
        <f>CHOOSE(CONTROL!$C$42, 33.3702, 33.3702) * CHOOSE(CONTROL!$C$21, $C$9, 100%, $E$9)</f>
        <v>33.370199999999997</v>
      </c>
      <c r="O927" s="10">
        <f>CHOOSE(CONTROL!$C$42, 33.437, 33.437) * CHOOSE(CONTROL!$C$21, $C$9, 100%, $E$9)</f>
        <v>33.436999999999998</v>
      </c>
      <c r="P927" s="10">
        <f>CHOOSE(CONTROL!$C$42, 33.391, 33.391) * CHOOSE(CONTROL!$C$21, $C$9, 100%, $E$9)</f>
        <v>33.390999999999998</v>
      </c>
      <c r="Q927" s="10">
        <f>CHOOSE(CONTROL!$C$42, 34.0323, 34.0323) * CHOOSE(CONTROL!$C$21, $C$9, 100%, $E$9)</f>
        <v>34.032299999999999</v>
      </c>
      <c r="R927" s="10">
        <f>CHOOSE(CONTROL!$C$42, 34.7044, 34.7044) * CHOOSE(CONTROL!$C$21, $C$9, 100%, $E$9)</f>
        <v>34.7044</v>
      </c>
      <c r="S927" s="10">
        <f>CHOOSE(CONTROL!$C$42, 32.7611, 32.7611) * CHOOSE(CONTROL!$C$21, $C$9, 100%, $E$9)</f>
        <v>32.761099999999999</v>
      </c>
      <c r="T92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27" s="38">
        <f>(1000*CHOOSE(CONTROL!$C$42, 695, 695)*CHOOSE(CONTROL!$C$42, 0.5599, 0.5599)*CHOOSE(CONTROL!$C$42, 31, 31))/1000000</f>
        <v>12.063045499999998</v>
      </c>
      <c r="V927" s="38">
        <f>(1000*CHOOSE(CONTROL!$C$42, 500, 500)*CHOOSE(CONTROL!$C$42, 0.275, 0.275)*CHOOSE(CONTROL!$C$42, 31, 31))/1000000</f>
        <v>4.2625000000000002</v>
      </c>
      <c r="W927" s="38">
        <f>(1000*CHOOSE(CONTROL!$C$42, 0.1146, 0.1146)*CHOOSE(CONTROL!$C$42, 121.5, 121.5)*CHOOSE(CONTROL!$C$42, 31, 31))/1000000</f>
        <v>0.43164089999999994</v>
      </c>
      <c r="X927" s="38">
        <f>(31*0.1790888*100000/1000000)+(31*0.2374*100000/1000000)</f>
        <v>1.2911152800000001</v>
      </c>
      <c r="Y927" s="38">
        <f>(1000*600*CHOOSE(CONTROL!$C$42, 1.0585, 1.0585)*CHOOSE(CONTROL!$C$42, 31, 31))/1000000</f>
        <v>19.688099999999999</v>
      </c>
      <c r="Z927" s="38"/>
      <c r="AA927" s="10"/>
      <c r="AB927" s="39"/>
      <c r="AC927" s="33">
        <f>(B927*122.58+C927*297.941+D927*89.177+E927*40.302+F927*40+G927*160+H927*0+I927*100+J927*300)/(122.58+297.941+89.177+40.302+0+40+160+100+300)</f>
        <v>33.817101886260872</v>
      </c>
      <c r="AD927" s="27">
        <f>(M927*'RAP TEMPLATE-GAS AVAILABILITY'!O926+N927*'RAP TEMPLATE-GAS AVAILABILITY'!P926+O927*'RAP TEMPLATE-GAS AVAILABILITY'!Q926+P927*'RAP TEMPLATE-GAS AVAILABILITY'!R926)/('RAP TEMPLATE-GAS AVAILABILITY'!O926+'RAP TEMPLATE-GAS AVAILABILITY'!P926+'RAP TEMPLATE-GAS AVAILABILITY'!Q926+'RAP TEMPLATE-GAS AVAILABILITY'!R926)</f>
        <v>33.397494964028773</v>
      </c>
    </row>
    <row r="928" spans="1:30" ht="15.75">
      <c r="A928" s="13">
        <v>69518</v>
      </c>
      <c r="B928" s="10">
        <f>CHOOSE(CONTROL!$C$42, 33.7159, 33.7159) * CHOOSE(CONTROL!$C$21, $C$9, 100%, $E$9)</f>
        <v>33.715899999999998</v>
      </c>
      <c r="C928" s="10">
        <f>CHOOSE(CONTROL!$C$42, 33.7204, 33.7204) * CHOOSE(CONTROL!$C$21, $C$9, 100%, $E$9)</f>
        <v>33.720399999999998</v>
      </c>
      <c r="D928" s="10">
        <f>CHOOSE(CONTROL!$C$42, 33.8805, 33.8805) * CHOOSE(CONTROL!$C$21, $C$9, 100%, $E$9)</f>
        <v>33.880499999999998</v>
      </c>
      <c r="E928" s="10">
        <f>CHOOSE(CONTROL!$C$42, 33.9124, 33.9124) * CHOOSE(CONTROL!$C$21, $C$9, 100%, $E$9)</f>
        <v>33.912399999999998</v>
      </c>
      <c r="F928" s="10">
        <f>CHOOSE(CONTROL!$C$42, 33.662, 33.662)*CHOOSE(CONTROL!$C$21, $C$9, 100%, $E$9)</f>
        <v>33.661999999999999</v>
      </c>
      <c r="G928" s="10">
        <f>CHOOSE(CONTROL!$C$42, 33.6778, 33.6778)*CHOOSE(CONTROL!$C$21, $C$9, 100%, $E$9)</f>
        <v>33.677799999999998</v>
      </c>
      <c r="H928" s="10">
        <f>CHOOSE(CONTROL!$C$42, 33.9018, 33.9018) * CHOOSE(CONTROL!$C$21, $C$9, 100%, $E$9)</f>
        <v>33.901800000000001</v>
      </c>
      <c r="I928" s="10">
        <f>CHOOSE(CONTROL!$C$42, 33.696, 33.696)* CHOOSE(CONTROL!$C$21, $C$9, 100%, $E$9)</f>
        <v>33.695999999999998</v>
      </c>
      <c r="J928" s="10">
        <f>CHOOSE(CONTROL!$C$42, 33.6546, 33.6546)* CHOOSE(CONTROL!$C$21, $C$9, 100%, $E$9)</f>
        <v>33.654600000000002</v>
      </c>
      <c r="K928" s="10">
        <f>CHOOSE(CONTROL!$C$42, 32.8047, 32.8047) * CHOOSE(CONTROL!$C$21, $C$9, 100%, $E$9)</f>
        <v>32.804699999999997</v>
      </c>
      <c r="L928" s="10">
        <f>CHOOSE(CONTROL!$C$42, 34.4888, 34.4888) * CHOOSE(CONTROL!$C$21, $C$9, 100%, $E$9)</f>
        <v>34.488799999999998</v>
      </c>
      <c r="M928" s="10">
        <f>CHOOSE(CONTROL!$C$42, 33.2181, 33.2181) * CHOOSE(CONTROL!$C$21, $C$9, 100%, $E$9)</f>
        <v>33.2181</v>
      </c>
      <c r="N928" s="10">
        <f>CHOOSE(CONTROL!$C$42, 33.2337, 33.2337) * CHOOSE(CONTROL!$C$21, $C$9, 100%, $E$9)</f>
        <v>33.233699999999999</v>
      </c>
      <c r="O928" s="10">
        <f>CHOOSE(CONTROL!$C$42, 33.4619, 33.4619) * CHOOSE(CONTROL!$C$21, $C$9, 100%, $E$9)</f>
        <v>33.4619</v>
      </c>
      <c r="P928" s="10">
        <f>CHOOSE(CONTROL!$C$42, 33.259, 33.259) * CHOOSE(CONTROL!$C$21, $C$9, 100%, $E$9)</f>
        <v>33.259</v>
      </c>
      <c r="Q928" s="10">
        <f>CHOOSE(CONTROL!$C$42, 34.0572, 34.0572) * CHOOSE(CONTROL!$C$21, $C$9, 100%, $E$9)</f>
        <v>34.057200000000002</v>
      </c>
      <c r="R928" s="10">
        <f>CHOOSE(CONTROL!$C$42, 34.7293, 34.7293) * CHOOSE(CONTROL!$C$21, $C$9, 100%, $E$9)</f>
        <v>34.729300000000002</v>
      </c>
      <c r="S928" s="10">
        <f>CHOOSE(CONTROL!$C$42, 32.663, 32.663) * CHOOSE(CONTROL!$C$21, $C$9, 100%, $E$9)</f>
        <v>32.662999999999997</v>
      </c>
      <c r="T92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28" s="38">
        <f>(1000*CHOOSE(CONTROL!$C$42, 695, 695)*CHOOSE(CONTROL!$C$42, 0.5599, 0.5599)*CHOOSE(CONTROL!$C$42, 30, 30))/1000000</f>
        <v>11.673914999999997</v>
      </c>
      <c r="V928" s="38">
        <f>(1000*CHOOSE(CONTROL!$C$42, 500, 500)*CHOOSE(CONTROL!$C$42, 0.275, 0.275)*CHOOSE(CONTROL!$C$42, 30, 30))/1000000</f>
        <v>4.125</v>
      </c>
      <c r="W928" s="38">
        <f>(1000*CHOOSE(CONTROL!$C$42, 0.1146, 0.1146)*CHOOSE(CONTROL!$C$42, 121.5, 121.5)*CHOOSE(CONTROL!$C$42, 30, 30))/1000000</f>
        <v>0.417717</v>
      </c>
      <c r="X928" s="38">
        <f>(30*0.1790888*245000/1000000)+(30*0.2374*100000/1000000)</f>
        <v>2.0285026799999999</v>
      </c>
      <c r="Y928" s="38">
        <f>(1000*600*CHOOSE(CONTROL!$C$42, 1.0585, 1.0585)*CHOOSE(CONTROL!$C$42, 30, 30))/1000000</f>
        <v>19.053000000000001</v>
      </c>
      <c r="Z928" s="38"/>
      <c r="AA928" s="10"/>
      <c r="AB928" s="39"/>
      <c r="AC928" s="33">
        <f>(B928*141.293+C928*267.993+D928*115.016+E928*89.698+F928*40+G928*185+H928*0+I928*100+J928*300)/(141.293+267.993+115.016+89.698+0+40+185+100+300)</f>
        <v>33.722501096933001</v>
      </c>
      <c r="AD928" s="27">
        <f>(M928*'RAP TEMPLATE-GAS AVAILABILITY'!O927+N928*'RAP TEMPLATE-GAS AVAILABILITY'!P927+O928*'RAP TEMPLATE-GAS AVAILABILITY'!Q927+P928*'RAP TEMPLATE-GAS AVAILABILITY'!R927)/('RAP TEMPLATE-GAS AVAILABILITY'!O927+'RAP TEMPLATE-GAS AVAILABILITY'!P927+'RAP TEMPLATE-GAS AVAILABILITY'!Q927+'RAP TEMPLATE-GAS AVAILABILITY'!R927)</f>
        <v>33.335382014388486</v>
      </c>
    </row>
    <row r="929" spans="1:30" ht="15.75">
      <c r="A929" s="13">
        <v>69549</v>
      </c>
      <c r="B929" s="10">
        <f>CHOOSE(CONTROL!$C$42, 34.0154, 34.0154) * CHOOSE(CONTROL!$C$21, $C$9, 100%, $E$9)</f>
        <v>34.0154</v>
      </c>
      <c r="C929" s="10">
        <f>CHOOSE(CONTROL!$C$42, 34.0234, 34.0234) * CHOOSE(CONTROL!$C$21, $C$9, 100%, $E$9)</f>
        <v>34.023400000000002</v>
      </c>
      <c r="D929" s="10">
        <f>CHOOSE(CONTROL!$C$42, 34.1805, 34.1805) * CHOOSE(CONTROL!$C$21, $C$9, 100%, $E$9)</f>
        <v>34.180500000000002</v>
      </c>
      <c r="E929" s="10">
        <f>CHOOSE(CONTROL!$C$42, 34.2117, 34.2117) * CHOOSE(CONTROL!$C$21, $C$9, 100%, $E$9)</f>
        <v>34.2117</v>
      </c>
      <c r="F929" s="10">
        <f>CHOOSE(CONTROL!$C$42, 33.9595, 33.9595)*CHOOSE(CONTROL!$C$21, $C$9, 100%, $E$9)</f>
        <v>33.959499999999998</v>
      </c>
      <c r="G929" s="10">
        <f>CHOOSE(CONTROL!$C$42, 33.9757, 33.9757)*CHOOSE(CONTROL!$C$21, $C$9, 100%, $E$9)</f>
        <v>33.975700000000003</v>
      </c>
      <c r="H929" s="10">
        <f>CHOOSE(CONTROL!$C$42, 34.2, 34.2) * CHOOSE(CONTROL!$C$21, $C$9, 100%, $E$9)</f>
        <v>34.200000000000003</v>
      </c>
      <c r="I929" s="10">
        <f>CHOOSE(CONTROL!$C$42, 33.9942, 33.9942)* CHOOSE(CONTROL!$C$21, $C$9, 100%, $E$9)</f>
        <v>33.994199999999999</v>
      </c>
      <c r="J929" s="10">
        <f>CHOOSE(CONTROL!$C$42, 33.9521, 33.9521)* CHOOSE(CONTROL!$C$21, $C$9, 100%, $E$9)</f>
        <v>33.952100000000002</v>
      </c>
      <c r="K929" s="10">
        <f>CHOOSE(CONTROL!$C$42, 33.0922, 33.0922) * CHOOSE(CONTROL!$C$21, $C$9, 100%, $E$9)</f>
        <v>33.092199999999998</v>
      </c>
      <c r="L929" s="10">
        <f>CHOOSE(CONTROL!$C$42, 34.787, 34.787) * CHOOSE(CONTROL!$C$21, $C$9, 100%, $E$9)</f>
        <v>34.786999999999999</v>
      </c>
      <c r="M929" s="10">
        <f>CHOOSE(CONTROL!$C$42, 33.5115, 33.5115) * CHOOSE(CONTROL!$C$21, $C$9, 100%, $E$9)</f>
        <v>33.511499999999998</v>
      </c>
      <c r="N929" s="10">
        <f>CHOOSE(CONTROL!$C$42, 33.5274, 33.5274) * CHOOSE(CONTROL!$C$21, $C$9, 100%, $E$9)</f>
        <v>33.5274</v>
      </c>
      <c r="O929" s="10">
        <f>CHOOSE(CONTROL!$C$42, 33.7559, 33.7559) * CHOOSE(CONTROL!$C$21, $C$9, 100%, $E$9)</f>
        <v>33.755899999999997</v>
      </c>
      <c r="P929" s="10">
        <f>CHOOSE(CONTROL!$C$42, 33.553, 33.553) * CHOOSE(CONTROL!$C$21, $C$9, 100%, $E$9)</f>
        <v>33.552999999999997</v>
      </c>
      <c r="Q929" s="10">
        <f>CHOOSE(CONTROL!$C$42, 34.3512, 34.3512) * CHOOSE(CONTROL!$C$21, $C$9, 100%, $E$9)</f>
        <v>34.351199999999999</v>
      </c>
      <c r="R929" s="10">
        <f>CHOOSE(CONTROL!$C$42, 35.0241, 35.0241) * CHOOSE(CONTROL!$C$21, $C$9, 100%, $E$9)</f>
        <v>35.024099999999997</v>
      </c>
      <c r="S929" s="10">
        <f>CHOOSE(CONTROL!$C$42, 32.9517, 32.9517) * CHOOSE(CONTROL!$C$21, $C$9, 100%, $E$9)</f>
        <v>32.951700000000002</v>
      </c>
      <c r="T92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29" s="38">
        <f>(1000*CHOOSE(CONTROL!$C$42, 695, 695)*CHOOSE(CONTROL!$C$42, 0.5599, 0.5599)*CHOOSE(CONTROL!$C$42, 31, 31))/1000000</f>
        <v>12.063045499999998</v>
      </c>
      <c r="V929" s="38">
        <f>(1000*CHOOSE(CONTROL!$C$42, 500, 500)*CHOOSE(CONTROL!$C$42, 0.275, 0.275)*CHOOSE(CONTROL!$C$42, 31, 31))/1000000</f>
        <v>4.2625000000000002</v>
      </c>
      <c r="W929" s="38">
        <f>(1000*CHOOSE(CONTROL!$C$42, 0.1146, 0.1146)*CHOOSE(CONTROL!$C$42, 121.5, 121.5)*CHOOSE(CONTROL!$C$42, 31, 31))/1000000</f>
        <v>0.43164089999999994</v>
      </c>
      <c r="X929" s="38">
        <f>(31*0.1790888*245000/1000000)+(31*0.2374*100000/1000000)</f>
        <v>2.0961194359999999</v>
      </c>
      <c r="Y929" s="38">
        <f>(1000*600*CHOOSE(CONTROL!$C$42, 1.0585, 1.0585)*CHOOSE(CONTROL!$C$42, 31, 31))/1000000</f>
        <v>19.688099999999999</v>
      </c>
      <c r="Z929" s="38"/>
      <c r="AA929" s="10"/>
      <c r="AB929" s="39"/>
      <c r="AC929" s="33">
        <f>(B929*194.205+C929*267.466+D929*133.845+E929*53.484+F929*40+G929*185+H929*0+I929*100+J929*300)/(194.205+267.466+133.845+53.484+0+40+185+100+300)</f>
        <v>34.018575782339084</v>
      </c>
      <c r="AD929" s="27">
        <f>(M929*'RAP TEMPLATE-GAS AVAILABILITY'!O928+N929*'RAP TEMPLATE-GAS AVAILABILITY'!P928+O929*'RAP TEMPLATE-GAS AVAILABILITY'!Q928+P929*'RAP TEMPLATE-GAS AVAILABILITY'!R928)/('RAP TEMPLATE-GAS AVAILABILITY'!O928+'RAP TEMPLATE-GAS AVAILABILITY'!P928+'RAP TEMPLATE-GAS AVAILABILITY'!Q928+'RAP TEMPLATE-GAS AVAILABILITY'!R928)</f>
        <v>33.62915755395683</v>
      </c>
    </row>
    <row r="930" spans="1:30" ht="15.75">
      <c r="A930" s="13">
        <v>69579</v>
      </c>
      <c r="B930" s="10">
        <f>CHOOSE(CONTROL!$C$42, 34.9807, 34.9807) * CHOOSE(CONTROL!$C$21, $C$9, 100%, $E$9)</f>
        <v>34.980699999999999</v>
      </c>
      <c r="C930" s="10">
        <f>CHOOSE(CONTROL!$C$42, 34.9887, 34.9887) * CHOOSE(CONTROL!$C$21, $C$9, 100%, $E$9)</f>
        <v>34.988700000000001</v>
      </c>
      <c r="D930" s="10">
        <f>CHOOSE(CONTROL!$C$42, 35.1457, 35.1457) * CHOOSE(CONTROL!$C$21, $C$9, 100%, $E$9)</f>
        <v>35.145699999999998</v>
      </c>
      <c r="E930" s="10">
        <f>CHOOSE(CONTROL!$C$42, 35.177, 35.177) * CHOOSE(CONTROL!$C$21, $C$9, 100%, $E$9)</f>
        <v>35.177</v>
      </c>
      <c r="F930" s="10">
        <f>CHOOSE(CONTROL!$C$42, 34.925, 34.925)*CHOOSE(CONTROL!$C$21, $C$9, 100%, $E$9)</f>
        <v>34.924999999999997</v>
      </c>
      <c r="G930" s="10">
        <f>CHOOSE(CONTROL!$C$42, 34.9412, 34.9412)*CHOOSE(CONTROL!$C$21, $C$9, 100%, $E$9)</f>
        <v>34.941200000000002</v>
      </c>
      <c r="H930" s="10">
        <f>CHOOSE(CONTROL!$C$42, 35.1653, 35.1653) * CHOOSE(CONTROL!$C$21, $C$9, 100%, $E$9)</f>
        <v>35.165300000000002</v>
      </c>
      <c r="I930" s="10">
        <f>CHOOSE(CONTROL!$C$42, 34.9595, 34.9595)* CHOOSE(CONTROL!$C$21, $C$9, 100%, $E$9)</f>
        <v>34.959499999999998</v>
      </c>
      <c r="J930" s="10">
        <f>CHOOSE(CONTROL!$C$42, 34.9176, 34.9176)* CHOOSE(CONTROL!$C$21, $C$9, 100%, $E$9)</f>
        <v>34.9176</v>
      </c>
      <c r="K930" s="10">
        <f>CHOOSE(CONTROL!$C$42, 34.0278, 34.0278) * CHOOSE(CONTROL!$C$21, $C$9, 100%, $E$9)</f>
        <v>34.027799999999999</v>
      </c>
      <c r="L930" s="10">
        <f>CHOOSE(CONTROL!$C$42, 35.7523, 35.7523) * CHOOSE(CONTROL!$C$21, $C$9, 100%, $E$9)</f>
        <v>35.752299999999998</v>
      </c>
      <c r="M930" s="10">
        <f>CHOOSE(CONTROL!$C$42, 34.4635, 34.4635) * CHOOSE(CONTROL!$C$21, $C$9, 100%, $E$9)</f>
        <v>34.463500000000003</v>
      </c>
      <c r="N930" s="10">
        <f>CHOOSE(CONTROL!$C$42, 34.4794, 34.4794) * CHOOSE(CONTROL!$C$21, $C$9, 100%, $E$9)</f>
        <v>34.479399999999998</v>
      </c>
      <c r="O930" s="10">
        <f>CHOOSE(CONTROL!$C$42, 34.7077, 34.7077) * CHOOSE(CONTROL!$C$21, $C$9, 100%, $E$9)</f>
        <v>34.707700000000003</v>
      </c>
      <c r="P930" s="10">
        <f>CHOOSE(CONTROL!$C$42, 34.5048, 34.5048) * CHOOSE(CONTROL!$C$21, $C$9, 100%, $E$9)</f>
        <v>34.504800000000003</v>
      </c>
      <c r="Q930" s="10">
        <f>CHOOSE(CONTROL!$C$42, 35.303, 35.303) * CHOOSE(CONTROL!$C$21, $C$9, 100%, $E$9)</f>
        <v>35.302999999999997</v>
      </c>
      <c r="R930" s="10">
        <f>CHOOSE(CONTROL!$C$42, 35.9783, 35.9783) * CHOOSE(CONTROL!$C$21, $C$9, 100%, $E$9)</f>
        <v>35.978299999999997</v>
      </c>
      <c r="S930" s="10">
        <f>CHOOSE(CONTROL!$C$42, 33.8864, 33.8864) * CHOOSE(CONTROL!$C$21, $C$9, 100%, $E$9)</f>
        <v>33.886400000000002</v>
      </c>
      <c r="T93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30" s="38">
        <f>(1000*CHOOSE(CONTROL!$C$42, 695, 695)*CHOOSE(CONTROL!$C$42, 0.5599, 0.5599)*CHOOSE(CONTROL!$C$42, 30, 30))/1000000</f>
        <v>11.673914999999997</v>
      </c>
      <c r="V930" s="38">
        <f>(1000*CHOOSE(CONTROL!$C$42, 500, 500)*CHOOSE(CONTROL!$C$42, 0.275, 0.275)*CHOOSE(CONTROL!$C$42, 30, 30))/1000000</f>
        <v>4.125</v>
      </c>
      <c r="W930" s="38">
        <f>(1000*CHOOSE(CONTROL!$C$42, 0.1146, 0.1146)*CHOOSE(CONTROL!$C$42, 121.5, 121.5)*CHOOSE(CONTROL!$C$42, 30, 30))/1000000</f>
        <v>0.417717</v>
      </c>
      <c r="X930" s="38">
        <f>(30*0.1790888*245000/1000000)+(30*0.2374*100000/1000000)</f>
        <v>2.0285026799999999</v>
      </c>
      <c r="Y930" s="38">
        <f>(1000*600*CHOOSE(CONTROL!$C$42, 1.0585, 1.0585)*CHOOSE(CONTROL!$C$42, 30, 30))/1000000</f>
        <v>19.053000000000001</v>
      </c>
      <c r="Z930" s="38"/>
      <c r="AA930" s="10"/>
      <c r="AB930" s="39"/>
      <c r="AC930" s="33">
        <f>(B930*194.205+C930*267.466+D930*133.845+E930*53.484+F930*40+G930*185+H930*0+I930*100+J930*300)/(194.205+267.466+133.845+53.484+0+40+185+100+300)</f>
        <v>34.983947694034534</v>
      </c>
      <c r="AD930" s="27">
        <f>(M930*'RAP TEMPLATE-GAS AVAILABILITY'!O929+N930*'RAP TEMPLATE-GAS AVAILABILITY'!P929+O930*'RAP TEMPLATE-GAS AVAILABILITY'!Q929+P930*'RAP TEMPLATE-GAS AVAILABILITY'!R929)/('RAP TEMPLATE-GAS AVAILABILITY'!O929+'RAP TEMPLATE-GAS AVAILABILITY'!P929+'RAP TEMPLATE-GAS AVAILABILITY'!Q929+'RAP TEMPLATE-GAS AVAILABILITY'!R929)</f>
        <v>34.581038129496406</v>
      </c>
    </row>
    <row r="931" spans="1:30" ht="15.75">
      <c r="A931" s="13">
        <v>69610</v>
      </c>
      <c r="B931" s="10">
        <f>CHOOSE(CONTROL!$C$42, 34.3093, 34.3093) * CHOOSE(CONTROL!$C$21, $C$9, 100%, $E$9)</f>
        <v>34.3093</v>
      </c>
      <c r="C931" s="10">
        <f>CHOOSE(CONTROL!$C$42, 34.3173, 34.3173) * CHOOSE(CONTROL!$C$21, $C$9, 100%, $E$9)</f>
        <v>34.317300000000003</v>
      </c>
      <c r="D931" s="10">
        <f>CHOOSE(CONTROL!$C$42, 34.4744, 34.4744) * CHOOSE(CONTROL!$C$21, $C$9, 100%, $E$9)</f>
        <v>34.474400000000003</v>
      </c>
      <c r="E931" s="10">
        <f>CHOOSE(CONTROL!$C$42, 34.5056, 34.5056) * CHOOSE(CONTROL!$C$21, $C$9, 100%, $E$9)</f>
        <v>34.505600000000001</v>
      </c>
      <c r="F931" s="10">
        <f>CHOOSE(CONTROL!$C$42, 34.254, 34.254)*CHOOSE(CONTROL!$C$21, $C$9, 100%, $E$9)</f>
        <v>34.253999999999998</v>
      </c>
      <c r="G931" s="10">
        <f>CHOOSE(CONTROL!$C$42, 34.2702, 34.2702)*CHOOSE(CONTROL!$C$21, $C$9, 100%, $E$9)</f>
        <v>34.270200000000003</v>
      </c>
      <c r="H931" s="10">
        <f>CHOOSE(CONTROL!$C$42, 34.4939, 34.4939) * CHOOSE(CONTROL!$C$21, $C$9, 100%, $E$9)</f>
        <v>34.493899999999996</v>
      </c>
      <c r="I931" s="10">
        <f>CHOOSE(CONTROL!$C$42, 34.2881, 34.2881)* CHOOSE(CONTROL!$C$21, $C$9, 100%, $E$9)</f>
        <v>34.2881</v>
      </c>
      <c r="J931" s="10">
        <f>CHOOSE(CONTROL!$C$42, 34.2466, 34.2466)* CHOOSE(CONTROL!$C$21, $C$9, 100%, $E$9)</f>
        <v>34.246600000000001</v>
      </c>
      <c r="K931" s="10">
        <f>CHOOSE(CONTROL!$C$42, 33.3781, 33.3781) * CHOOSE(CONTROL!$C$21, $C$9, 100%, $E$9)</f>
        <v>33.378100000000003</v>
      </c>
      <c r="L931" s="10">
        <f>CHOOSE(CONTROL!$C$42, 35.0809, 35.0809) * CHOOSE(CONTROL!$C$21, $C$9, 100%, $E$9)</f>
        <v>35.0809</v>
      </c>
      <c r="M931" s="10">
        <f>CHOOSE(CONTROL!$C$42, 33.8018, 33.8018) * CHOOSE(CONTROL!$C$21, $C$9, 100%, $E$9)</f>
        <v>33.8018</v>
      </c>
      <c r="N931" s="10">
        <f>CHOOSE(CONTROL!$C$42, 33.8179, 33.8179) * CHOOSE(CONTROL!$C$21, $C$9, 100%, $E$9)</f>
        <v>33.817900000000002</v>
      </c>
      <c r="O931" s="10">
        <f>CHOOSE(CONTROL!$C$42, 34.0457, 34.0457) * CHOOSE(CONTROL!$C$21, $C$9, 100%, $E$9)</f>
        <v>34.045699999999997</v>
      </c>
      <c r="P931" s="10">
        <f>CHOOSE(CONTROL!$C$42, 33.8428, 33.8428) * CHOOSE(CONTROL!$C$21, $C$9, 100%, $E$9)</f>
        <v>33.842799999999997</v>
      </c>
      <c r="Q931" s="10">
        <f>CHOOSE(CONTROL!$C$42, 34.641, 34.641) * CHOOSE(CONTROL!$C$21, $C$9, 100%, $E$9)</f>
        <v>34.640999999999998</v>
      </c>
      <c r="R931" s="10">
        <f>CHOOSE(CONTROL!$C$42, 35.3146, 35.3146) * CHOOSE(CONTROL!$C$21, $C$9, 100%, $E$9)</f>
        <v>35.314599999999999</v>
      </c>
      <c r="S931" s="10">
        <f>CHOOSE(CONTROL!$C$42, 33.2363, 33.2363) * CHOOSE(CONTROL!$C$21, $C$9, 100%, $E$9)</f>
        <v>33.2363</v>
      </c>
      <c r="T93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31" s="38">
        <f>(1000*CHOOSE(CONTROL!$C$42, 695, 695)*CHOOSE(CONTROL!$C$42, 0.5599, 0.5599)*CHOOSE(CONTROL!$C$42, 31, 31))/1000000</f>
        <v>12.063045499999998</v>
      </c>
      <c r="V931" s="38">
        <f>(1000*CHOOSE(CONTROL!$C$42, 500, 500)*CHOOSE(CONTROL!$C$42, 0.275, 0.275)*CHOOSE(CONTROL!$C$42, 31, 31))/1000000</f>
        <v>4.2625000000000002</v>
      </c>
      <c r="W931" s="38">
        <f>(1000*CHOOSE(CONTROL!$C$42, 0.1146, 0.1146)*CHOOSE(CONTROL!$C$42, 121.5, 121.5)*CHOOSE(CONTROL!$C$42, 31, 31))/1000000</f>
        <v>0.43164089999999994</v>
      </c>
      <c r="X931" s="38">
        <f>(31*0.1790888*245000/1000000)+(31*0.2374*100000/1000000)</f>
        <v>2.0961194359999999</v>
      </c>
      <c r="Y931" s="38">
        <f>(1000*600*CHOOSE(CONTROL!$C$42, 1.0585, 1.0585)*CHOOSE(CONTROL!$C$42, 31, 31))/1000000</f>
        <v>19.688099999999999</v>
      </c>
      <c r="Z931" s="38"/>
      <c r="AA931" s="10"/>
      <c r="AB931" s="39"/>
      <c r="AC931" s="33">
        <f>(B931*194.205+C931*267.466+D931*133.845+E931*53.484+F931*40+G931*185+H931*0+I931*100+J931*300)/(194.205+267.466+133.845+53.484+0+40+185+100+300)</f>
        <v>34.312723035086336</v>
      </c>
      <c r="AD931" s="27">
        <f>(M931*'RAP TEMPLATE-GAS AVAILABILITY'!O930+N931*'RAP TEMPLATE-GAS AVAILABILITY'!P930+O931*'RAP TEMPLATE-GAS AVAILABILITY'!Q930+P931*'RAP TEMPLATE-GAS AVAILABILITY'!R930)/('RAP TEMPLATE-GAS AVAILABILITY'!O930+'RAP TEMPLATE-GAS AVAILABILITY'!P930+'RAP TEMPLATE-GAS AVAILABILITY'!Q930+'RAP TEMPLATE-GAS AVAILABILITY'!R930)</f>
        <v>33.919170503597122</v>
      </c>
    </row>
    <row r="932" spans="1:30" ht="15.75">
      <c r="A932" s="13">
        <v>69641</v>
      </c>
      <c r="B932" s="10">
        <f>CHOOSE(CONTROL!$C$42, 32.6139, 32.6139) * CHOOSE(CONTROL!$C$21, $C$9, 100%, $E$9)</f>
        <v>32.613900000000001</v>
      </c>
      <c r="C932" s="10">
        <f>CHOOSE(CONTROL!$C$42, 32.6219, 32.6219) * CHOOSE(CONTROL!$C$21, $C$9, 100%, $E$9)</f>
        <v>32.621899999999997</v>
      </c>
      <c r="D932" s="10">
        <f>CHOOSE(CONTROL!$C$42, 32.779, 32.779) * CHOOSE(CONTROL!$C$21, $C$9, 100%, $E$9)</f>
        <v>32.779000000000003</v>
      </c>
      <c r="E932" s="10">
        <f>CHOOSE(CONTROL!$C$42, 32.8102, 32.8102) * CHOOSE(CONTROL!$C$21, $C$9, 100%, $E$9)</f>
        <v>32.810200000000002</v>
      </c>
      <c r="F932" s="10">
        <f>CHOOSE(CONTROL!$C$42, 32.5585, 32.5585)*CHOOSE(CONTROL!$C$21, $C$9, 100%, $E$9)</f>
        <v>32.558500000000002</v>
      </c>
      <c r="G932" s="10">
        <f>CHOOSE(CONTROL!$C$42, 32.5747, 32.5747)*CHOOSE(CONTROL!$C$21, $C$9, 100%, $E$9)</f>
        <v>32.5747</v>
      </c>
      <c r="H932" s="10">
        <f>CHOOSE(CONTROL!$C$42, 32.7985, 32.7985) * CHOOSE(CONTROL!$C$21, $C$9, 100%, $E$9)</f>
        <v>32.798499999999997</v>
      </c>
      <c r="I932" s="10">
        <f>CHOOSE(CONTROL!$C$42, 32.5927, 32.5927)* CHOOSE(CONTROL!$C$21, $C$9, 100%, $E$9)</f>
        <v>32.592700000000001</v>
      </c>
      <c r="J932" s="10">
        <f>CHOOSE(CONTROL!$C$42, 32.5511, 32.5511)* CHOOSE(CONTROL!$C$21, $C$9, 100%, $E$9)</f>
        <v>32.551099999999998</v>
      </c>
      <c r="K932" s="10">
        <f>CHOOSE(CONTROL!$C$42, 31.7355, 31.7355) * CHOOSE(CONTROL!$C$21, $C$9, 100%, $E$9)</f>
        <v>31.735499999999998</v>
      </c>
      <c r="L932" s="10">
        <f>CHOOSE(CONTROL!$C$42, 33.3855, 33.3855) * CHOOSE(CONTROL!$C$21, $C$9, 100%, $E$9)</f>
        <v>33.3855</v>
      </c>
      <c r="M932" s="10">
        <f>CHOOSE(CONTROL!$C$42, 32.13, 32.13) * CHOOSE(CONTROL!$C$21, $C$9, 100%, $E$9)</f>
        <v>32.130000000000003</v>
      </c>
      <c r="N932" s="10">
        <f>CHOOSE(CONTROL!$C$42, 32.146, 32.146) * CHOOSE(CONTROL!$C$21, $C$9, 100%, $E$9)</f>
        <v>32.146000000000001</v>
      </c>
      <c r="O932" s="10">
        <f>CHOOSE(CONTROL!$C$42, 32.374, 32.374) * CHOOSE(CONTROL!$C$21, $C$9, 100%, $E$9)</f>
        <v>32.374000000000002</v>
      </c>
      <c r="P932" s="10">
        <f>CHOOSE(CONTROL!$C$42, 32.1711, 32.1711) * CHOOSE(CONTROL!$C$21, $C$9, 100%, $E$9)</f>
        <v>32.171100000000003</v>
      </c>
      <c r="Q932" s="10">
        <f>CHOOSE(CONTROL!$C$42, 32.9693, 32.9693) * CHOOSE(CONTROL!$C$21, $C$9, 100%, $E$9)</f>
        <v>32.969299999999997</v>
      </c>
      <c r="R932" s="10">
        <f>CHOOSE(CONTROL!$C$42, 33.6387, 33.6387) * CHOOSE(CONTROL!$C$21, $C$9, 100%, $E$9)</f>
        <v>33.6387</v>
      </c>
      <c r="S932" s="10">
        <f>CHOOSE(CONTROL!$C$42, 31.5947, 31.5947) * CHOOSE(CONTROL!$C$21, $C$9, 100%, $E$9)</f>
        <v>31.5947</v>
      </c>
      <c r="T93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32" s="38">
        <f>(1000*CHOOSE(CONTROL!$C$42, 695, 695)*CHOOSE(CONTROL!$C$42, 0.5599, 0.5599)*CHOOSE(CONTROL!$C$42, 31, 31))/1000000</f>
        <v>12.063045499999998</v>
      </c>
      <c r="V932" s="38">
        <f>(1000*CHOOSE(CONTROL!$C$42, 500, 500)*CHOOSE(CONTROL!$C$42, 0.275, 0.275)*CHOOSE(CONTROL!$C$42, 31, 31))/1000000</f>
        <v>4.2625000000000002</v>
      </c>
      <c r="W932" s="38">
        <f>(1000*CHOOSE(CONTROL!$C$42, 0.1146, 0.1146)*CHOOSE(CONTROL!$C$42, 121.5, 121.5)*CHOOSE(CONTROL!$C$42, 31, 31))/1000000</f>
        <v>0.43164089999999994</v>
      </c>
      <c r="X932" s="38">
        <f>(31*0.1790888*245000/1000000)+(31*0.2374*100000/1000000)</f>
        <v>2.0961194359999999</v>
      </c>
      <c r="Y932" s="38">
        <f>(1000*600*CHOOSE(CONTROL!$C$42, 1.0585, 1.0585)*CHOOSE(CONTROL!$C$42, 31, 31))/1000000</f>
        <v>19.688099999999999</v>
      </c>
      <c r="Z932" s="38"/>
      <c r="AA932" s="10"/>
      <c r="AB932" s="39"/>
      <c r="AC932" s="33">
        <f>(B932*194.205+C932*267.466+D932*133.845+E932*53.484+F932*40+G932*185+H932*0+I932*100+J932*300)/(194.205+267.466+133.845+53.484+0+40+185+100+300)</f>
        <v>32.617281826295134</v>
      </c>
      <c r="AD932" s="27">
        <f>(M932*'RAP TEMPLATE-GAS AVAILABILITY'!O931+N932*'RAP TEMPLATE-GAS AVAILABILITY'!P931+O932*'RAP TEMPLATE-GAS AVAILABILITY'!Q931+P932*'RAP TEMPLATE-GAS AVAILABILITY'!R931)/('RAP TEMPLATE-GAS AVAILABILITY'!O931+'RAP TEMPLATE-GAS AVAILABILITY'!P931+'RAP TEMPLATE-GAS AVAILABILITY'!Q931+'RAP TEMPLATE-GAS AVAILABILITY'!R931)</f>
        <v>32.24742446043166</v>
      </c>
    </row>
    <row r="933" spans="1:30" ht="15.75">
      <c r="A933" s="13">
        <v>69671</v>
      </c>
      <c r="B933" s="10">
        <f>CHOOSE(CONTROL!$C$42, 30.5425, 30.5425) * CHOOSE(CONTROL!$C$21, $C$9, 100%, $E$9)</f>
        <v>30.5425</v>
      </c>
      <c r="C933" s="10">
        <f>CHOOSE(CONTROL!$C$42, 30.5505, 30.5505) * CHOOSE(CONTROL!$C$21, $C$9, 100%, $E$9)</f>
        <v>30.5505</v>
      </c>
      <c r="D933" s="10">
        <f>CHOOSE(CONTROL!$C$42, 30.7075, 30.7075) * CHOOSE(CONTROL!$C$21, $C$9, 100%, $E$9)</f>
        <v>30.7075</v>
      </c>
      <c r="E933" s="10">
        <f>CHOOSE(CONTROL!$C$42, 30.7387, 30.7387) * CHOOSE(CONTROL!$C$21, $C$9, 100%, $E$9)</f>
        <v>30.738700000000001</v>
      </c>
      <c r="F933" s="10">
        <f>CHOOSE(CONTROL!$C$42, 30.4868, 30.4868)*CHOOSE(CONTROL!$C$21, $C$9, 100%, $E$9)</f>
        <v>30.486799999999999</v>
      </c>
      <c r="G933" s="10">
        <f>CHOOSE(CONTROL!$C$42, 30.503, 30.503)*CHOOSE(CONTROL!$C$21, $C$9, 100%, $E$9)</f>
        <v>30.503</v>
      </c>
      <c r="H933" s="10">
        <f>CHOOSE(CONTROL!$C$42, 30.7271, 30.7271) * CHOOSE(CONTROL!$C$21, $C$9, 100%, $E$9)</f>
        <v>30.7271</v>
      </c>
      <c r="I933" s="10">
        <f>CHOOSE(CONTROL!$C$42, 30.5213, 30.5213)* CHOOSE(CONTROL!$C$21, $C$9, 100%, $E$9)</f>
        <v>30.5213</v>
      </c>
      <c r="J933" s="10">
        <f>CHOOSE(CONTROL!$C$42, 30.4794, 30.4794)* CHOOSE(CONTROL!$C$21, $C$9, 100%, $E$9)</f>
        <v>30.479399999999998</v>
      </c>
      <c r="K933" s="10">
        <f>CHOOSE(CONTROL!$C$42, 29.7282, 29.7282) * CHOOSE(CONTROL!$C$21, $C$9, 100%, $E$9)</f>
        <v>29.728200000000001</v>
      </c>
      <c r="L933" s="10">
        <f>CHOOSE(CONTROL!$C$42, 31.3141, 31.3141) * CHOOSE(CONTROL!$C$21, $C$9, 100%, $E$9)</f>
        <v>31.3141</v>
      </c>
      <c r="M933" s="10">
        <f>CHOOSE(CONTROL!$C$42, 30.0873, 30.0873) * CHOOSE(CONTROL!$C$21, $C$9, 100%, $E$9)</f>
        <v>30.087299999999999</v>
      </c>
      <c r="N933" s="10">
        <f>CHOOSE(CONTROL!$C$42, 30.1032, 30.1032) * CHOOSE(CONTROL!$C$21, $C$9, 100%, $E$9)</f>
        <v>30.103200000000001</v>
      </c>
      <c r="O933" s="10">
        <f>CHOOSE(CONTROL!$C$42, 30.3314, 30.3314) * CHOOSE(CONTROL!$C$21, $C$9, 100%, $E$9)</f>
        <v>30.331399999999999</v>
      </c>
      <c r="P933" s="10">
        <f>CHOOSE(CONTROL!$C$42, 30.1285, 30.1285) * CHOOSE(CONTROL!$C$21, $C$9, 100%, $E$9)</f>
        <v>30.128499999999999</v>
      </c>
      <c r="Q933" s="10">
        <f>CHOOSE(CONTROL!$C$42, 30.9267, 30.9267) * CHOOSE(CONTROL!$C$21, $C$9, 100%, $E$9)</f>
        <v>30.9267</v>
      </c>
      <c r="R933" s="10">
        <f>CHOOSE(CONTROL!$C$42, 31.591, 31.591) * CHOOSE(CONTROL!$C$21, $C$9, 100%, $E$9)</f>
        <v>31.591000000000001</v>
      </c>
      <c r="S933" s="10">
        <f>CHOOSE(CONTROL!$C$42, 29.5889, 29.5889) * CHOOSE(CONTROL!$C$21, $C$9, 100%, $E$9)</f>
        <v>29.588899999999999</v>
      </c>
      <c r="T93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33" s="38">
        <f>(1000*CHOOSE(CONTROL!$C$42, 695, 695)*CHOOSE(CONTROL!$C$42, 0.5599, 0.5599)*CHOOSE(CONTROL!$C$42, 30, 30))/1000000</f>
        <v>11.673914999999997</v>
      </c>
      <c r="V933" s="38">
        <f>(1000*CHOOSE(CONTROL!$C$42, 500, 500)*CHOOSE(CONTROL!$C$42, 0.275, 0.275)*CHOOSE(CONTROL!$C$42, 30, 30))/1000000</f>
        <v>4.125</v>
      </c>
      <c r="W933" s="38">
        <f>(1000*CHOOSE(CONTROL!$C$42, 0.1146, 0.1146)*CHOOSE(CONTROL!$C$42, 121.5, 121.5)*CHOOSE(CONTROL!$C$42, 30, 30))/1000000</f>
        <v>0.417717</v>
      </c>
      <c r="X933" s="38">
        <f>(30*0.1790888*245000/1000000)+(30*0.2374*100000/1000000)</f>
        <v>2.0285026799999999</v>
      </c>
      <c r="Y933" s="38">
        <f>(1000*600*CHOOSE(CONTROL!$C$42, 1.0585, 1.0585)*CHOOSE(CONTROL!$C$42, 30, 30))/1000000</f>
        <v>19.053000000000001</v>
      </c>
      <c r="Z933" s="38"/>
      <c r="AA933" s="10"/>
      <c r="AB933" s="39"/>
      <c r="AC933" s="33">
        <f>(B933*194.205+C933*267.466+D933*133.845+E933*53.484+F933*40+G933*185+H933*0+I933*100+J933*300)/(194.205+267.466+133.845+53.484+0+40+185+100+300)</f>
        <v>30.545743495918366</v>
      </c>
      <c r="AD933" s="27">
        <f>(M933*'RAP TEMPLATE-GAS AVAILABILITY'!O932+N933*'RAP TEMPLATE-GAS AVAILABILITY'!P932+O933*'RAP TEMPLATE-GAS AVAILABILITY'!Q932+P933*'RAP TEMPLATE-GAS AVAILABILITY'!R932)/('RAP TEMPLATE-GAS AVAILABILITY'!O932+'RAP TEMPLATE-GAS AVAILABILITY'!P932+'RAP TEMPLATE-GAS AVAILABILITY'!Q932+'RAP TEMPLATE-GAS AVAILABILITY'!R932)</f>
        <v>30.20477841726618</v>
      </c>
    </row>
    <row r="934" spans="1:30" ht="15.75">
      <c r="A934" s="13">
        <v>69702</v>
      </c>
      <c r="B934" s="10">
        <f>CHOOSE(CONTROL!$C$42, 29.9199, 29.9199) * CHOOSE(CONTROL!$C$21, $C$9, 100%, $E$9)</f>
        <v>29.919899999999998</v>
      </c>
      <c r="C934" s="10">
        <f>CHOOSE(CONTROL!$C$42, 29.9252, 29.9252) * CHOOSE(CONTROL!$C$21, $C$9, 100%, $E$9)</f>
        <v>29.9252</v>
      </c>
      <c r="D934" s="10">
        <f>CHOOSE(CONTROL!$C$42, 30.0871, 30.0871) * CHOOSE(CONTROL!$C$21, $C$9, 100%, $E$9)</f>
        <v>30.0871</v>
      </c>
      <c r="E934" s="10">
        <f>CHOOSE(CONTROL!$C$42, 30.1161, 30.1161) * CHOOSE(CONTROL!$C$21, $C$9, 100%, $E$9)</f>
        <v>30.116099999999999</v>
      </c>
      <c r="F934" s="10">
        <f>CHOOSE(CONTROL!$C$42, 29.8663, 29.8663)*CHOOSE(CONTROL!$C$21, $C$9, 100%, $E$9)</f>
        <v>29.866299999999999</v>
      </c>
      <c r="G934" s="10">
        <f>CHOOSE(CONTROL!$C$42, 29.8821, 29.8821)*CHOOSE(CONTROL!$C$21, $C$9, 100%, $E$9)</f>
        <v>29.882100000000001</v>
      </c>
      <c r="H934" s="10">
        <f>CHOOSE(CONTROL!$C$42, 30.1062, 30.1062) * CHOOSE(CONTROL!$C$21, $C$9, 100%, $E$9)</f>
        <v>30.106200000000001</v>
      </c>
      <c r="I934" s="10">
        <f>CHOOSE(CONTROL!$C$42, 29.9004, 29.9004)* CHOOSE(CONTROL!$C$21, $C$9, 100%, $E$9)</f>
        <v>29.900400000000001</v>
      </c>
      <c r="J934" s="10">
        <f>CHOOSE(CONTROL!$C$42, 29.8589, 29.8589)* CHOOSE(CONTROL!$C$21, $C$9, 100%, $E$9)</f>
        <v>29.858899999999998</v>
      </c>
      <c r="K934" s="10">
        <f>CHOOSE(CONTROL!$C$42, 29.1274, 29.1274) * CHOOSE(CONTROL!$C$21, $C$9, 100%, $E$9)</f>
        <v>29.127400000000002</v>
      </c>
      <c r="L934" s="10">
        <f>CHOOSE(CONTROL!$C$42, 30.6932, 30.6932) * CHOOSE(CONTROL!$C$21, $C$9, 100%, $E$9)</f>
        <v>30.693200000000001</v>
      </c>
      <c r="M934" s="10">
        <f>CHOOSE(CONTROL!$C$42, 29.4753, 29.4753) * CHOOSE(CONTROL!$C$21, $C$9, 100%, $E$9)</f>
        <v>29.475300000000001</v>
      </c>
      <c r="N934" s="10">
        <f>CHOOSE(CONTROL!$C$42, 29.4909, 29.4909) * CHOOSE(CONTROL!$C$21, $C$9, 100%, $E$9)</f>
        <v>29.4909</v>
      </c>
      <c r="O934" s="10">
        <f>CHOOSE(CONTROL!$C$42, 29.7192, 29.7192) * CHOOSE(CONTROL!$C$21, $C$9, 100%, $E$9)</f>
        <v>29.719200000000001</v>
      </c>
      <c r="P934" s="10">
        <f>CHOOSE(CONTROL!$C$42, 29.5163, 29.5163) * CHOOSE(CONTROL!$C$21, $C$9, 100%, $E$9)</f>
        <v>29.516300000000001</v>
      </c>
      <c r="Q934" s="10">
        <f>CHOOSE(CONTROL!$C$42, 30.3145, 30.3145) * CHOOSE(CONTROL!$C$21, $C$9, 100%, $E$9)</f>
        <v>30.314499999999999</v>
      </c>
      <c r="R934" s="10">
        <f>CHOOSE(CONTROL!$C$42, 30.9773, 30.9773) * CHOOSE(CONTROL!$C$21, $C$9, 100%, $E$9)</f>
        <v>30.9773</v>
      </c>
      <c r="S934" s="10">
        <f>CHOOSE(CONTROL!$C$42, 28.9877, 28.9877) * CHOOSE(CONTROL!$C$21, $C$9, 100%, $E$9)</f>
        <v>28.9877</v>
      </c>
      <c r="T93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34" s="38">
        <f>(1000*CHOOSE(CONTROL!$C$42, 695, 695)*CHOOSE(CONTROL!$C$42, 0.5599, 0.5599)*CHOOSE(CONTROL!$C$42, 31, 31))/1000000</f>
        <v>12.063045499999998</v>
      </c>
      <c r="V934" s="38">
        <f>(1000*CHOOSE(CONTROL!$C$42, 500, 500)*CHOOSE(CONTROL!$C$42, 0.275, 0.275)*CHOOSE(CONTROL!$C$42, 31, 31))/1000000</f>
        <v>4.2625000000000002</v>
      </c>
      <c r="W934" s="38">
        <f>(1000*CHOOSE(CONTROL!$C$42, 0.1146, 0.1146)*CHOOSE(CONTROL!$C$42, 121.5, 121.5)*CHOOSE(CONTROL!$C$42, 31, 31))/1000000</f>
        <v>0.43164089999999994</v>
      </c>
      <c r="X934" s="38">
        <f>(31*0.1790888*245000/1000000)+(31*0.2374*100000/1000000)</f>
        <v>2.0961194359999999</v>
      </c>
      <c r="Y934" s="38">
        <f>(1000*600*CHOOSE(CONTROL!$C$42, 1.0585, 1.0585)*CHOOSE(CONTROL!$C$42, 31, 31))/1000000</f>
        <v>19.688099999999999</v>
      </c>
      <c r="Z934" s="38"/>
      <c r="AA934" s="10"/>
      <c r="AB934" s="39"/>
      <c r="AC934" s="33">
        <f>(B934*131.881+C934*277.167+D934*79.08+E934*125.872+F934*40+G934*185+H934*0+I934*100+J934*300)/(131.881+277.167+79.08+125.872+0+40+185+100+300)</f>
        <v>29.927971224778052</v>
      </c>
      <c r="AD934" s="27">
        <f>(M934*'RAP TEMPLATE-GAS AVAILABILITY'!O933+N934*'RAP TEMPLATE-GAS AVAILABILITY'!P933+O934*'RAP TEMPLATE-GAS AVAILABILITY'!Q933+P934*'RAP TEMPLATE-GAS AVAILABILITY'!R933)/('RAP TEMPLATE-GAS AVAILABILITY'!O933+'RAP TEMPLATE-GAS AVAILABILITY'!P933+'RAP TEMPLATE-GAS AVAILABILITY'!Q933+'RAP TEMPLATE-GAS AVAILABILITY'!R933)</f>
        <v>29.592641726618709</v>
      </c>
    </row>
    <row r="935" spans="1:30" ht="15.75">
      <c r="A935" s="13">
        <v>69732</v>
      </c>
      <c r="B935" s="10">
        <f>CHOOSE(CONTROL!$C$42, 30.7081, 30.7081) * CHOOSE(CONTROL!$C$21, $C$9, 100%, $E$9)</f>
        <v>30.708100000000002</v>
      </c>
      <c r="C935" s="10">
        <f>CHOOSE(CONTROL!$C$42, 30.7132, 30.7132) * CHOOSE(CONTROL!$C$21, $C$9, 100%, $E$9)</f>
        <v>30.713200000000001</v>
      </c>
      <c r="D935" s="10">
        <f>CHOOSE(CONTROL!$C$42, 30.7379, 30.7379) * CHOOSE(CONTROL!$C$21, $C$9, 100%, $E$9)</f>
        <v>30.7379</v>
      </c>
      <c r="E935" s="10">
        <f>CHOOSE(CONTROL!$C$42, 30.7717, 30.7717) * CHOOSE(CONTROL!$C$21, $C$9, 100%, $E$9)</f>
        <v>30.771699999999999</v>
      </c>
      <c r="F935" s="10">
        <f>CHOOSE(CONTROL!$C$42, 30.6765, 30.6765)*CHOOSE(CONTROL!$C$21, $C$9, 100%, $E$9)</f>
        <v>30.676500000000001</v>
      </c>
      <c r="G935" s="10">
        <f>CHOOSE(CONTROL!$C$42, 30.6925, 30.6925)*CHOOSE(CONTROL!$C$21, $C$9, 100%, $E$9)</f>
        <v>30.692499999999999</v>
      </c>
      <c r="H935" s="10">
        <f>CHOOSE(CONTROL!$C$42, 30.7606, 30.7606) * CHOOSE(CONTROL!$C$21, $C$9, 100%, $E$9)</f>
        <v>30.7606</v>
      </c>
      <c r="I935" s="10">
        <f>CHOOSE(CONTROL!$C$42, 30.7231, 30.7231)* CHOOSE(CONTROL!$C$21, $C$9, 100%, $E$9)</f>
        <v>30.723099999999999</v>
      </c>
      <c r="J935" s="10">
        <f>CHOOSE(CONTROL!$C$42, 30.6691, 30.6691)* CHOOSE(CONTROL!$C$21, $C$9, 100%, $E$9)</f>
        <v>30.6691</v>
      </c>
      <c r="K935" s="10">
        <f>CHOOSE(CONTROL!$C$42, 29.9267, 29.9267) * CHOOSE(CONTROL!$C$21, $C$9, 100%, $E$9)</f>
        <v>29.9267</v>
      </c>
      <c r="L935" s="10">
        <f>CHOOSE(CONTROL!$C$42, 31.3476, 31.3476) * CHOOSE(CONTROL!$C$21, $C$9, 100%, $E$9)</f>
        <v>31.3476</v>
      </c>
      <c r="M935" s="10">
        <f>CHOOSE(CONTROL!$C$42, 30.2742, 30.2742) * CHOOSE(CONTROL!$C$21, $C$9, 100%, $E$9)</f>
        <v>30.2742</v>
      </c>
      <c r="N935" s="10">
        <f>CHOOSE(CONTROL!$C$42, 30.29, 30.29) * CHOOSE(CONTROL!$C$21, $C$9, 100%, $E$9)</f>
        <v>30.29</v>
      </c>
      <c r="O935" s="10">
        <f>CHOOSE(CONTROL!$C$42, 30.3645, 30.3645) * CHOOSE(CONTROL!$C$21, $C$9, 100%, $E$9)</f>
        <v>30.3645</v>
      </c>
      <c r="P935" s="10">
        <f>CHOOSE(CONTROL!$C$42, 30.3276, 30.3276) * CHOOSE(CONTROL!$C$21, $C$9, 100%, $E$9)</f>
        <v>30.3276</v>
      </c>
      <c r="Q935" s="10">
        <f>CHOOSE(CONTROL!$C$42, 30.9598, 30.9598) * CHOOSE(CONTROL!$C$21, $C$9, 100%, $E$9)</f>
        <v>30.959800000000001</v>
      </c>
      <c r="R935" s="10">
        <f>CHOOSE(CONTROL!$C$42, 31.6242, 31.6242) * CHOOSE(CONTROL!$C$21, $C$9, 100%, $E$9)</f>
        <v>31.624199999999998</v>
      </c>
      <c r="S935" s="10">
        <f>CHOOSE(CONTROL!$C$42, 29.7513, 29.7513) * CHOOSE(CONTROL!$C$21, $C$9, 100%, $E$9)</f>
        <v>29.751300000000001</v>
      </c>
      <c r="T93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35" s="38">
        <f>(1000*CHOOSE(CONTROL!$C$42, 695, 695)*CHOOSE(CONTROL!$C$42, 0.5599, 0.5599)*CHOOSE(CONTROL!$C$42, 30, 30))/1000000</f>
        <v>11.673914999999997</v>
      </c>
      <c r="V935" s="38">
        <f>(1000*CHOOSE(CONTROL!$C$42, 500, 500)*CHOOSE(CONTROL!$C$42, 0.275, 0.275)*CHOOSE(CONTROL!$C$42, 30, 30))/1000000</f>
        <v>4.125</v>
      </c>
      <c r="W935" s="38">
        <f>(1000*CHOOSE(CONTROL!$C$42, 0.1146, 0.1146)*CHOOSE(CONTROL!$C$42, 121.5, 121.5)*CHOOSE(CONTROL!$C$42, 30, 30))/1000000</f>
        <v>0.417717</v>
      </c>
      <c r="X935" s="38">
        <f>(30*0.1790888*100000/1000000)+(30*0.2374*100000/1000000)</f>
        <v>1.2494664</v>
      </c>
      <c r="Y935" s="38">
        <f>(1000*600*CHOOSE(CONTROL!$C$42, 1.0585, 1.0585)*CHOOSE(CONTROL!$C$42, 30, 30))/1000000</f>
        <v>19.053000000000001</v>
      </c>
      <c r="Z935" s="38"/>
      <c r="AA935" s="10"/>
      <c r="AB935" s="39"/>
      <c r="AC935" s="33">
        <f>(B935*122.58+C935*297.941+D935*89.177+E935*40.302+F935*40+G935*160+H935*0+I935*100+J935*300)/(122.58+297.941+89.177+40.302+0+40+160+100+300)</f>
        <v>30.70182189643478</v>
      </c>
      <c r="AD935" s="27">
        <f>(M935*'RAP TEMPLATE-GAS AVAILABILITY'!O934+N935*'RAP TEMPLATE-GAS AVAILABILITY'!P934+O935*'RAP TEMPLATE-GAS AVAILABILITY'!Q934+P935*'RAP TEMPLATE-GAS AVAILABILITY'!R934)/('RAP TEMPLATE-GAS AVAILABILITY'!O934+'RAP TEMPLATE-GAS AVAILABILITY'!P934+'RAP TEMPLATE-GAS AVAILABILITY'!Q934+'RAP TEMPLATE-GAS AVAILABILITY'!R934)</f>
        <v>30.323720143884895</v>
      </c>
    </row>
    <row r="936" spans="1:30" ht="15.75">
      <c r="A936" s="13">
        <v>69763</v>
      </c>
      <c r="B936" s="10">
        <f>CHOOSE(CONTROL!$C$42, 32.8029, 32.8029) * CHOOSE(CONTROL!$C$21, $C$9, 100%, $E$9)</f>
        <v>32.802900000000001</v>
      </c>
      <c r="C936" s="10">
        <f>CHOOSE(CONTROL!$C$42, 32.808, 32.808) * CHOOSE(CONTROL!$C$21, $C$9, 100%, $E$9)</f>
        <v>32.808</v>
      </c>
      <c r="D936" s="10">
        <f>CHOOSE(CONTROL!$C$42, 32.8327, 32.8327) * CHOOSE(CONTROL!$C$21, $C$9, 100%, $E$9)</f>
        <v>32.832700000000003</v>
      </c>
      <c r="E936" s="10">
        <f>CHOOSE(CONTROL!$C$42, 32.8665, 32.8665) * CHOOSE(CONTROL!$C$21, $C$9, 100%, $E$9)</f>
        <v>32.866500000000002</v>
      </c>
      <c r="F936" s="10">
        <f>CHOOSE(CONTROL!$C$42, 32.7732, 32.7732)*CHOOSE(CONTROL!$C$21, $C$9, 100%, $E$9)</f>
        <v>32.773200000000003</v>
      </c>
      <c r="G936" s="10">
        <f>CHOOSE(CONTROL!$C$42, 32.7896, 32.7896)*CHOOSE(CONTROL!$C$21, $C$9, 100%, $E$9)</f>
        <v>32.7896</v>
      </c>
      <c r="H936" s="10">
        <f>CHOOSE(CONTROL!$C$42, 32.8554, 32.8554) * CHOOSE(CONTROL!$C$21, $C$9, 100%, $E$9)</f>
        <v>32.855400000000003</v>
      </c>
      <c r="I936" s="10">
        <f>CHOOSE(CONTROL!$C$42, 32.8179, 32.8179)* CHOOSE(CONTROL!$C$21, $C$9, 100%, $E$9)</f>
        <v>32.817900000000002</v>
      </c>
      <c r="J936" s="10">
        <f>CHOOSE(CONTROL!$C$42, 32.7658, 32.7658)* CHOOSE(CONTROL!$C$21, $C$9, 100%, $E$9)</f>
        <v>32.765799999999999</v>
      </c>
      <c r="K936" s="10">
        <f>CHOOSE(CONTROL!$C$42, 31.9602, 31.9602) * CHOOSE(CONTROL!$C$21, $C$9, 100%, $E$9)</f>
        <v>31.9602</v>
      </c>
      <c r="L936" s="10">
        <f>CHOOSE(CONTROL!$C$42, 33.4424, 33.4424) * CHOOSE(CONTROL!$C$21, $C$9, 100%, $E$9)</f>
        <v>33.442399999999999</v>
      </c>
      <c r="M936" s="10">
        <f>CHOOSE(CONTROL!$C$42, 32.3417, 32.3417) * CHOOSE(CONTROL!$C$21, $C$9, 100%, $E$9)</f>
        <v>32.341700000000003</v>
      </c>
      <c r="N936" s="10">
        <f>CHOOSE(CONTROL!$C$42, 32.3579, 32.3579) * CHOOSE(CONTROL!$C$21, $C$9, 100%, $E$9)</f>
        <v>32.357900000000001</v>
      </c>
      <c r="O936" s="10">
        <f>CHOOSE(CONTROL!$C$42, 32.43, 32.43) * CHOOSE(CONTROL!$C$21, $C$9, 100%, $E$9)</f>
        <v>32.43</v>
      </c>
      <c r="P936" s="10">
        <f>CHOOSE(CONTROL!$C$42, 32.3931, 32.3931) * CHOOSE(CONTROL!$C$21, $C$9, 100%, $E$9)</f>
        <v>32.393099999999997</v>
      </c>
      <c r="Q936" s="10">
        <f>CHOOSE(CONTROL!$C$42, 33.0253, 33.0253) * CHOOSE(CONTROL!$C$21, $C$9, 100%, $E$9)</f>
        <v>33.025300000000001</v>
      </c>
      <c r="R936" s="10">
        <f>CHOOSE(CONTROL!$C$42, 33.6949, 33.6949) * CHOOSE(CONTROL!$C$21, $C$9, 100%, $E$9)</f>
        <v>33.694899999999997</v>
      </c>
      <c r="S936" s="10">
        <f>CHOOSE(CONTROL!$C$42, 31.7797, 31.7797) * CHOOSE(CONTROL!$C$21, $C$9, 100%, $E$9)</f>
        <v>31.779699999999998</v>
      </c>
      <c r="T93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36" s="38">
        <f>(1000*CHOOSE(CONTROL!$C$42, 695, 695)*CHOOSE(CONTROL!$C$42, 0.5599, 0.5599)*CHOOSE(CONTROL!$C$42, 31, 31))/1000000</f>
        <v>12.063045499999998</v>
      </c>
      <c r="V936" s="38">
        <f>(1000*CHOOSE(CONTROL!$C$42, 500, 500)*CHOOSE(CONTROL!$C$42, 0.275, 0.275)*CHOOSE(CONTROL!$C$42, 31, 31))/1000000</f>
        <v>4.2625000000000002</v>
      </c>
      <c r="W936" s="38">
        <f>(1000*CHOOSE(CONTROL!$C$42, 0.1146, 0.1146)*CHOOSE(CONTROL!$C$42, 121.5, 121.5)*CHOOSE(CONTROL!$C$42, 31, 31))/1000000</f>
        <v>0.43164089999999994</v>
      </c>
      <c r="X936" s="38">
        <f>(31*0.1790888*100000/1000000)+(31*0.2374*100000/1000000)</f>
        <v>1.2911152800000001</v>
      </c>
      <c r="Y936" s="38">
        <f>(1000*600*CHOOSE(CONTROL!$C$42, 1.0585, 1.0585)*CHOOSE(CONTROL!$C$42, 31, 31))/1000000</f>
        <v>19.688099999999999</v>
      </c>
      <c r="Z936" s="38"/>
      <c r="AA936" s="10"/>
      <c r="AB936" s="39"/>
      <c r="AC936" s="33">
        <f>(B936*122.58+C936*297.941+D936*89.177+E936*40.302+F936*40+G936*160+H936*0+I936*100+J936*300)/(122.58+297.941+89.177+40.302+0+40+160+100+300)</f>
        <v>32.797503635565221</v>
      </c>
      <c r="AD936" s="27">
        <f>(M936*'RAP TEMPLATE-GAS AVAILABILITY'!O935+N936*'RAP TEMPLATE-GAS AVAILABILITY'!P935+O936*'RAP TEMPLATE-GAS AVAILABILITY'!Q935+P936*'RAP TEMPLATE-GAS AVAILABILITY'!R935)/('RAP TEMPLATE-GAS AVAILABILITY'!O935+'RAP TEMPLATE-GAS AVAILABILITY'!P935+'RAP TEMPLATE-GAS AVAILABILITY'!Q935+'RAP TEMPLATE-GAS AVAILABILITY'!R935)</f>
        <v>32.390048920863315</v>
      </c>
    </row>
    <row r="937" spans="1:30" ht="15.75">
      <c r="A937" s="13">
        <v>69794</v>
      </c>
      <c r="B937" s="10">
        <f>CHOOSE(CONTROL!$C$42, 35.018, 35.018) * CHOOSE(CONTROL!$C$21, $C$9, 100%, $E$9)</f>
        <v>35.018000000000001</v>
      </c>
      <c r="C937" s="10">
        <f>CHOOSE(CONTROL!$C$42, 35.0231, 35.0231) * CHOOSE(CONTROL!$C$21, $C$9, 100%, $E$9)</f>
        <v>35.023099999999999</v>
      </c>
      <c r="D937" s="10">
        <f>CHOOSE(CONTROL!$C$42, 35.0555, 35.0555) * CHOOSE(CONTROL!$C$21, $C$9, 100%, $E$9)</f>
        <v>35.055500000000002</v>
      </c>
      <c r="E937" s="10">
        <f>CHOOSE(CONTROL!$C$42, 35.0893, 35.0893) * CHOOSE(CONTROL!$C$21, $C$9, 100%, $E$9)</f>
        <v>35.089300000000001</v>
      </c>
      <c r="F937" s="10">
        <f>CHOOSE(CONTROL!$C$42, 35.0022, 35.0022)*CHOOSE(CONTROL!$C$21, $C$9, 100%, $E$9)</f>
        <v>35.002200000000002</v>
      </c>
      <c r="G937" s="10">
        <f>CHOOSE(CONTROL!$C$42, 35.0202, 35.0202)*CHOOSE(CONTROL!$C$21, $C$9, 100%, $E$9)</f>
        <v>35.020200000000003</v>
      </c>
      <c r="H937" s="10">
        <f>CHOOSE(CONTROL!$C$42, 35.0782, 35.0782) * CHOOSE(CONTROL!$C$21, $C$9, 100%, $E$9)</f>
        <v>35.078200000000002</v>
      </c>
      <c r="I937" s="10">
        <f>CHOOSE(CONTROL!$C$42, 35.0314, 35.0314)* CHOOSE(CONTROL!$C$21, $C$9, 100%, $E$9)</f>
        <v>35.031399999999998</v>
      </c>
      <c r="J937" s="10">
        <f>CHOOSE(CONTROL!$C$42, 34.9948, 34.9948)* CHOOSE(CONTROL!$C$21, $C$9, 100%, $E$9)</f>
        <v>34.994799999999998</v>
      </c>
      <c r="K937" s="10">
        <f>CHOOSE(CONTROL!$C$42, 34.1186, 34.1186) * CHOOSE(CONTROL!$C$21, $C$9, 100%, $E$9)</f>
        <v>34.118600000000001</v>
      </c>
      <c r="L937" s="10">
        <f>CHOOSE(CONTROL!$C$42, 35.6652, 35.6652) * CHOOSE(CONTROL!$C$21, $C$9, 100%, $E$9)</f>
        <v>35.665199999999999</v>
      </c>
      <c r="M937" s="10">
        <f>CHOOSE(CONTROL!$C$42, 34.5396, 34.5396) * CHOOSE(CONTROL!$C$21, $C$9, 100%, $E$9)</f>
        <v>34.5396</v>
      </c>
      <c r="N937" s="10">
        <f>CHOOSE(CONTROL!$C$42, 34.5574, 34.5574) * CHOOSE(CONTROL!$C$21, $C$9, 100%, $E$9)</f>
        <v>34.557400000000001</v>
      </c>
      <c r="O937" s="10">
        <f>CHOOSE(CONTROL!$C$42, 34.6219, 34.6219) * CHOOSE(CONTROL!$C$21, $C$9, 100%, $E$9)</f>
        <v>34.621899999999997</v>
      </c>
      <c r="P937" s="10">
        <f>CHOOSE(CONTROL!$C$42, 34.5758, 34.5758) * CHOOSE(CONTROL!$C$21, $C$9, 100%, $E$9)</f>
        <v>34.575800000000001</v>
      </c>
      <c r="Q937" s="10">
        <f>CHOOSE(CONTROL!$C$42, 35.2172, 35.2172) * CHOOSE(CONTROL!$C$21, $C$9, 100%, $E$9)</f>
        <v>35.217199999999998</v>
      </c>
      <c r="R937" s="10">
        <f>CHOOSE(CONTROL!$C$42, 35.8922, 35.8922) * CHOOSE(CONTROL!$C$21, $C$9, 100%, $E$9)</f>
        <v>35.892200000000003</v>
      </c>
      <c r="S937" s="10">
        <f>CHOOSE(CONTROL!$C$42, 33.9246, 33.9246) * CHOOSE(CONTROL!$C$21, $C$9, 100%, $E$9)</f>
        <v>33.924599999999998</v>
      </c>
      <c r="T93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37" s="38">
        <f>(1000*CHOOSE(CONTROL!$C$42, 695, 695)*CHOOSE(CONTROL!$C$42, 0.5599, 0.5599)*CHOOSE(CONTROL!$C$42, 31, 31))/1000000</f>
        <v>12.063045499999998</v>
      </c>
      <c r="V937" s="38">
        <f>(1000*CHOOSE(CONTROL!$C$42, 500, 500)*CHOOSE(CONTROL!$C$42, 0.275, 0.275)*CHOOSE(CONTROL!$C$42, 31, 31))/1000000</f>
        <v>4.2625000000000002</v>
      </c>
      <c r="W937" s="38">
        <f>(1000*CHOOSE(CONTROL!$C$42, 0.1146, 0.1146)*CHOOSE(CONTROL!$C$42, 121.5, 121.5)*CHOOSE(CONTROL!$C$42, 31, 31))/1000000</f>
        <v>0.43164089999999994</v>
      </c>
      <c r="X937" s="38">
        <f>(31*0.1790888*100000/1000000)+(31*0.2374*100000/1000000)</f>
        <v>1.2911152800000001</v>
      </c>
      <c r="Y937" s="38">
        <f>(1000*600*CHOOSE(CONTROL!$C$42, 1.0585, 1.0585)*CHOOSE(CONTROL!$C$42, 31, 31))/1000000</f>
        <v>19.688099999999999</v>
      </c>
      <c r="Z937" s="38"/>
      <c r="AA937" s="10"/>
      <c r="AB937" s="39"/>
      <c r="AC937" s="33">
        <f>(B937*122.58+C937*297.941+D937*89.177+E937*40.302+F937*40+G937*160+H937*0+I937*100+J937*300)/(122.58+297.941+89.177+40.302+0+40+160+100+300)</f>
        <v>35.01959753843478</v>
      </c>
      <c r="AD937" s="27">
        <f>(M937*'RAP TEMPLATE-GAS AVAILABILITY'!O936+N937*'RAP TEMPLATE-GAS AVAILABILITY'!P936+O937*'RAP TEMPLATE-GAS AVAILABILITY'!Q936+P937*'RAP TEMPLATE-GAS AVAILABILITY'!R936)/('RAP TEMPLATE-GAS AVAILABILITY'!O936+'RAP TEMPLATE-GAS AVAILABILITY'!P936+'RAP TEMPLATE-GAS AVAILABILITY'!Q936+'RAP TEMPLATE-GAS AVAILABILITY'!R936)</f>
        <v>34.583134532374103</v>
      </c>
    </row>
    <row r="938" spans="1:30" ht="15.75">
      <c r="A938" s="13">
        <v>69822</v>
      </c>
      <c r="B938" s="10">
        <f>CHOOSE(CONTROL!$C$42, 35.6417, 35.6417) * CHOOSE(CONTROL!$C$21, $C$9, 100%, $E$9)</f>
        <v>35.6417</v>
      </c>
      <c r="C938" s="10">
        <f>CHOOSE(CONTROL!$C$42, 35.6468, 35.6468) * CHOOSE(CONTROL!$C$21, $C$9, 100%, $E$9)</f>
        <v>35.646799999999999</v>
      </c>
      <c r="D938" s="10">
        <f>CHOOSE(CONTROL!$C$42, 35.6792, 35.6792) * CHOOSE(CONTROL!$C$21, $C$9, 100%, $E$9)</f>
        <v>35.679200000000002</v>
      </c>
      <c r="E938" s="10">
        <f>CHOOSE(CONTROL!$C$42, 35.713, 35.713) * CHOOSE(CONTROL!$C$21, $C$9, 100%, $E$9)</f>
        <v>35.713000000000001</v>
      </c>
      <c r="F938" s="10">
        <f>CHOOSE(CONTROL!$C$42, 35.6254, 35.6254)*CHOOSE(CONTROL!$C$21, $C$9, 100%, $E$9)</f>
        <v>35.625399999999999</v>
      </c>
      <c r="G938" s="10">
        <f>CHOOSE(CONTROL!$C$42, 35.6433, 35.6433)*CHOOSE(CONTROL!$C$21, $C$9, 100%, $E$9)</f>
        <v>35.643300000000004</v>
      </c>
      <c r="H938" s="10">
        <f>CHOOSE(CONTROL!$C$42, 35.7019, 35.7019) * CHOOSE(CONTROL!$C$21, $C$9, 100%, $E$9)</f>
        <v>35.701900000000002</v>
      </c>
      <c r="I938" s="10">
        <f>CHOOSE(CONTROL!$C$42, 35.6551, 35.6551)* CHOOSE(CONTROL!$C$21, $C$9, 100%, $E$9)</f>
        <v>35.655099999999997</v>
      </c>
      <c r="J938" s="10">
        <f>CHOOSE(CONTROL!$C$42, 35.618, 35.618)* CHOOSE(CONTROL!$C$21, $C$9, 100%, $E$9)</f>
        <v>35.618000000000002</v>
      </c>
      <c r="K938" s="10">
        <f>CHOOSE(CONTROL!$C$42, 34.7218, 34.7218) * CHOOSE(CONTROL!$C$21, $C$9, 100%, $E$9)</f>
        <v>34.721800000000002</v>
      </c>
      <c r="L938" s="10">
        <f>CHOOSE(CONTROL!$C$42, 36.2889, 36.2889) * CHOOSE(CONTROL!$C$21, $C$9, 100%, $E$9)</f>
        <v>36.288899999999998</v>
      </c>
      <c r="M938" s="10">
        <f>CHOOSE(CONTROL!$C$42, 35.1541, 35.1541) * CHOOSE(CONTROL!$C$21, $C$9, 100%, $E$9)</f>
        <v>35.1541</v>
      </c>
      <c r="N938" s="10">
        <f>CHOOSE(CONTROL!$C$42, 35.1718, 35.1718) * CHOOSE(CONTROL!$C$21, $C$9, 100%, $E$9)</f>
        <v>35.171799999999998</v>
      </c>
      <c r="O938" s="10">
        <f>CHOOSE(CONTROL!$C$42, 35.2368, 35.2368) * CHOOSE(CONTROL!$C$21, $C$9, 100%, $E$9)</f>
        <v>35.236800000000002</v>
      </c>
      <c r="P938" s="10">
        <f>CHOOSE(CONTROL!$C$42, 35.1908, 35.1908) * CHOOSE(CONTROL!$C$21, $C$9, 100%, $E$9)</f>
        <v>35.190800000000003</v>
      </c>
      <c r="Q938" s="10">
        <f>CHOOSE(CONTROL!$C$42, 35.8321, 35.8321) * CHOOSE(CONTROL!$C$21, $C$9, 100%, $E$9)</f>
        <v>35.832099999999997</v>
      </c>
      <c r="R938" s="10">
        <f>CHOOSE(CONTROL!$C$42, 36.5087, 36.5087) * CHOOSE(CONTROL!$C$21, $C$9, 100%, $E$9)</f>
        <v>36.508699999999997</v>
      </c>
      <c r="S938" s="10">
        <f>CHOOSE(CONTROL!$C$42, 34.5285, 34.5285) * CHOOSE(CONTROL!$C$21, $C$9, 100%, $E$9)</f>
        <v>34.528500000000001</v>
      </c>
      <c r="T938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38" s="38">
        <f>(1000*CHOOSE(CONTROL!$C$42, 695, 695)*CHOOSE(CONTROL!$C$42, 0.5599, 0.5599)*CHOOSE(CONTROL!$C$42, 28, 28))/1000000</f>
        <v>10.895653999999999</v>
      </c>
      <c r="V938" s="38">
        <f>(1000*CHOOSE(CONTROL!$C$42, 500, 500)*CHOOSE(CONTROL!$C$42, 0.275, 0.275)*CHOOSE(CONTROL!$C$42, 28, 28))/1000000</f>
        <v>3.85</v>
      </c>
      <c r="W938" s="38">
        <f>(1000*CHOOSE(CONTROL!$C$42, 0.1146, 0.1146)*CHOOSE(CONTROL!$C$42, 121.5, 121.5)*CHOOSE(CONTROL!$C$42, 28, 28))/1000000</f>
        <v>0.38986920000000003</v>
      </c>
      <c r="X938" s="38">
        <f>(28*0.1790888*100000/1000000)+(28*0.2374*100000/1000000)</f>
        <v>1.16616864</v>
      </c>
      <c r="Y938" s="38">
        <f>(1000*600*CHOOSE(CONTROL!$C$42, 1.0585, 1.0585)*CHOOSE(CONTROL!$C$42, 28, 28))/1000000</f>
        <v>17.782800000000002</v>
      </c>
      <c r="Z938" s="38"/>
      <c r="AA938" s="10"/>
      <c r="AB938" s="39"/>
      <c r="AC938" s="33">
        <f>(B938*122.58+C938*297.941+D938*89.177+E938*40.302+F938*40+G938*160+H938*0+I938*100+J938*300)/(122.58+297.941+89.177+40.302+0+40+160+100+300)</f>
        <v>35.643066234086959</v>
      </c>
      <c r="AD938" s="27">
        <f>(M938*'RAP TEMPLATE-GAS AVAILABILITY'!O937+N938*'RAP TEMPLATE-GAS AVAILABILITY'!P937+O938*'RAP TEMPLATE-GAS AVAILABILITY'!Q937+P938*'RAP TEMPLATE-GAS AVAILABILITY'!R937)/('RAP TEMPLATE-GAS AVAILABILITY'!O937+'RAP TEMPLATE-GAS AVAILABILITY'!P937+'RAP TEMPLATE-GAS AVAILABILITY'!Q937+'RAP TEMPLATE-GAS AVAILABILITY'!R937)</f>
        <v>35.19788201438849</v>
      </c>
    </row>
    <row r="939" spans="1:30" ht="15.75">
      <c r="A939" s="13">
        <v>69853</v>
      </c>
      <c r="B939" s="10">
        <f>CHOOSE(CONTROL!$C$42, 34.6293, 34.6293) * CHOOSE(CONTROL!$C$21, $C$9, 100%, $E$9)</f>
        <v>34.629300000000001</v>
      </c>
      <c r="C939" s="10">
        <f>CHOOSE(CONTROL!$C$42, 34.6344, 34.6344) * CHOOSE(CONTROL!$C$21, $C$9, 100%, $E$9)</f>
        <v>34.634399999999999</v>
      </c>
      <c r="D939" s="10">
        <f>CHOOSE(CONTROL!$C$42, 34.6668, 34.6668) * CHOOSE(CONTROL!$C$21, $C$9, 100%, $E$9)</f>
        <v>34.666800000000002</v>
      </c>
      <c r="E939" s="10">
        <f>CHOOSE(CONTROL!$C$42, 34.7007, 34.7007) * CHOOSE(CONTROL!$C$21, $C$9, 100%, $E$9)</f>
        <v>34.700699999999998</v>
      </c>
      <c r="F939" s="10">
        <f>CHOOSE(CONTROL!$C$42, 34.6116, 34.6116)*CHOOSE(CONTROL!$C$21, $C$9, 100%, $E$9)</f>
        <v>34.611600000000003</v>
      </c>
      <c r="G939" s="10">
        <f>CHOOSE(CONTROL!$C$42, 34.6291, 34.6291)*CHOOSE(CONTROL!$C$21, $C$9, 100%, $E$9)</f>
        <v>34.629100000000001</v>
      </c>
      <c r="H939" s="10">
        <f>CHOOSE(CONTROL!$C$42, 34.6895, 34.6895) * CHOOSE(CONTROL!$C$21, $C$9, 100%, $E$9)</f>
        <v>34.689500000000002</v>
      </c>
      <c r="I939" s="10">
        <f>CHOOSE(CONTROL!$C$42, 34.6428, 34.6428)* CHOOSE(CONTROL!$C$21, $C$9, 100%, $E$9)</f>
        <v>34.642800000000001</v>
      </c>
      <c r="J939" s="10">
        <f>CHOOSE(CONTROL!$C$42, 34.6042, 34.6042)* CHOOSE(CONTROL!$C$21, $C$9, 100%, $E$9)</f>
        <v>34.604199999999999</v>
      </c>
      <c r="K939" s="10">
        <f>CHOOSE(CONTROL!$C$42, 33.7379, 33.7379) * CHOOSE(CONTROL!$C$21, $C$9, 100%, $E$9)</f>
        <v>33.737900000000003</v>
      </c>
      <c r="L939" s="10">
        <f>CHOOSE(CONTROL!$C$42, 35.2765, 35.2765) * CHOOSE(CONTROL!$C$21, $C$9, 100%, $E$9)</f>
        <v>35.276499999999999</v>
      </c>
      <c r="M939" s="10">
        <f>CHOOSE(CONTROL!$C$42, 34.1544, 34.1544) * CHOOSE(CONTROL!$C$21, $C$9, 100%, $E$9)</f>
        <v>34.154400000000003</v>
      </c>
      <c r="N939" s="10">
        <f>CHOOSE(CONTROL!$C$42, 34.1718, 34.1718) * CHOOSE(CONTROL!$C$21, $C$9, 100%, $E$9)</f>
        <v>34.171799999999998</v>
      </c>
      <c r="O939" s="10">
        <f>CHOOSE(CONTROL!$C$42, 34.2386, 34.2386) * CHOOSE(CONTROL!$C$21, $C$9, 100%, $E$9)</f>
        <v>34.238599999999998</v>
      </c>
      <c r="P939" s="10">
        <f>CHOOSE(CONTROL!$C$42, 34.1925, 34.1925) * CHOOSE(CONTROL!$C$21, $C$9, 100%, $E$9)</f>
        <v>34.192500000000003</v>
      </c>
      <c r="Q939" s="10">
        <f>CHOOSE(CONTROL!$C$42, 34.8339, 34.8339) * CHOOSE(CONTROL!$C$21, $C$9, 100%, $E$9)</f>
        <v>34.8339</v>
      </c>
      <c r="R939" s="10">
        <f>CHOOSE(CONTROL!$C$42, 35.508, 35.508) * CHOOSE(CONTROL!$C$21, $C$9, 100%, $E$9)</f>
        <v>35.508000000000003</v>
      </c>
      <c r="S939" s="10">
        <f>CHOOSE(CONTROL!$C$42, 33.5482, 33.5482) * CHOOSE(CONTROL!$C$21, $C$9, 100%, $E$9)</f>
        <v>33.548200000000001</v>
      </c>
      <c r="T93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39" s="38">
        <f>(1000*CHOOSE(CONTROL!$C$42, 695, 695)*CHOOSE(CONTROL!$C$42, 0.5599, 0.5599)*CHOOSE(CONTROL!$C$42, 31, 31))/1000000</f>
        <v>12.063045499999998</v>
      </c>
      <c r="V939" s="38">
        <f>(1000*CHOOSE(CONTROL!$C$42, 500, 500)*CHOOSE(CONTROL!$C$42, 0.275, 0.275)*CHOOSE(CONTROL!$C$42, 31, 31))/1000000</f>
        <v>4.2625000000000002</v>
      </c>
      <c r="W939" s="38">
        <f>(1000*CHOOSE(CONTROL!$C$42, 0.1146, 0.1146)*CHOOSE(CONTROL!$C$42, 121.5, 121.5)*CHOOSE(CONTROL!$C$42, 31, 31))/1000000</f>
        <v>0.43164089999999994</v>
      </c>
      <c r="X939" s="38">
        <f>(31*0.1790888*100000/1000000)+(31*0.2374*100000/1000000)</f>
        <v>1.2911152800000001</v>
      </c>
      <c r="Y939" s="38">
        <f>(1000*600*CHOOSE(CONTROL!$C$42, 1.0585, 1.0585)*CHOOSE(CONTROL!$C$42, 31, 31))/1000000</f>
        <v>19.688099999999999</v>
      </c>
      <c r="Z939" s="38"/>
      <c r="AA939" s="10"/>
      <c r="AB939" s="39"/>
      <c r="AC939" s="33">
        <f>(B939*122.58+C939*297.941+D939*89.177+E939*40.302+F939*40+G939*160+H939*0+I939*100+J939*300)/(122.58+297.941+89.177+40.302+0+40+160+100+300)</f>
        <v>34.630014086434784</v>
      </c>
      <c r="AD939" s="27">
        <f>(M939*'RAP TEMPLATE-GAS AVAILABILITY'!O938+N939*'RAP TEMPLATE-GAS AVAILABILITY'!P938+O939*'RAP TEMPLATE-GAS AVAILABILITY'!Q938+P939*'RAP TEMPLATE-GAS AVAILABILITY'!R938)/('RAP TEMPLATE-GAS AVAILABILITY'!O938+'RAP TEMPLATE-GAS AVAILABILITY'!P938+'RAP TEMPLATE-GAS AVAILABILITY'!Q938+'RAP TEMPLATE-GAS AVAILABILITY'!R938)</f>
        <v>34.199046043165467</v>
      </c>
    </row>
    <row r="940" spans="1:30" ht="15.75">
      <c r="A940" s="13">
        <v>69883</v>
      </c>
      <c r="B940" s="10">
        <f>CHOOSE(CONTROL!$C$42, 34.5263, 34.5263) * CHOOSE(CONTROL!$C$21, $C$9, 100%, $E$9)</f>
        <v>34.526299999999999</v>
      </c>
      <c r="C940" s="10">
        <f>CHOOSE(CONTROL!$C$42, 34.5309, 34.5309) * CHOOSE(CONTROL!$C$21, $C$9, 100%, $E$9)</f>
        <v>34.530900000000003</v>
      </c>
      <c r="D940" s="10">
        <f>CHOOSE(CONTROL!$C$42, 34.691, 34.691) * CHOOSE(CONTROL!$C$21, $C$9, 100%, $E$9)</f>
        <v>34.691000000000003</v>
      </c>
      <c r="E940" s="10">
        <f>CHOOSE(CONTROL!$C$42, 34.7228, 34.7228) * CHOOSE(CONTROL!$C$21, $C$9, 100%, $E$9)</f>
        <v>34.722799999999999</v>
      </c>
      <c r="F940" s="10">
        <f>CHOOSE(CONTROL!$C$42, 34.4724, 34.4724)*CHOOSE(CONTROL!$C$21, $C$9, 100%, $E$9)</f>
        <v>34.4724</v>
      </c>
      <c r="G940" s="10">
        <f>CHOOSE(CONTROL!$C$42, 34.4883, 34.4883)*CHOOSE(CONTROL!$C$21, $C$9, 100%, $E$9)</f>
        <v>34.488300000000002</v>
      </c>
      <c r="H940" s="10">
        <f>CHOOSE(CONTROL!$C$42, 34.7123, 34.7123) * CHOOSE(CONTROL!$C$21, $C$9, 100%, $E$9)</f>
        <v>34.712299999999999</v>
      </c>
      <c r="I940" s="10">
        <f>CHOOSE(CONTROL!$C$42, 34.5065, 34.5065)* CHOOSE(CONTROL!$C$21, $C$9, 100%, $E$9)</f>
        <v>34.506500000000003</v>
      </c>
      <c r="J940" s="10">
        <f>CHOOSE(CONTROL!$C$42, 34.465, 34.465)* CHOOSE(CONTROL!$C$21, $C$9, 100%, $E$9)</f>
        <v>34.465000000000003</v>
      </c>
      <c r="K940" s="10">
        <f>CHOOSE(CONTROL!$C$42, 33.5898, 33.5898) * CHOOSE(CONTROL!$C$21, $C$9, 100%, $E$9)</f>
        <v>33.589799999999997</v>
      </c>
      <c r="L940" s="10">
        <f>CHOOSE(CONTROL!$C$42, 35.2993, 35.2993) * CHOOSE(CONTROL!$C$21, $C$9, 100%, $E$9)</f>
        <v>35.299300000000002</v>
      </c>
      <c r="M940" s="10">
        <f>CHOOSE(CONTROL!$C$42, 34.0173, 34.0173) * CHOOSE(CONTROL!$C$21, $C$9, 100%, $E$9)</f>
        <v>34.017299999999999</v>
      </c>
      <c r="N940" s="10">
        <f>CHOOSE(CONTROL!$C$42, 34.0328, 34.0328) * CHOOSE(CONTROL!$C$21, $C$9, 100%, $E$9)</f>
        <v>34.032800000000002</v>
      </c>
      <c r="O940" s="10">
        <f>CHOOSE(CONTROL!$C$42, 34.2611, 34.2611) * CHOOSE(CONTROL!$C$21, $C$9, 100%, $E$9)</f>
        <v>34.261099999999999</v>
      </c>
      <c r="P940" s="10">
        <f>CHOOSE(CONTROL!$C$42, 34.0582, 34.0582) * CHOOSE(CONTROL!$C$21, $C$9, 100%, $E$9)</f>
        <v>34.058199999999999</v>
      </c>
      <c r="Q940" s="10">
        <f>CHOOSE(CONTROL!$C$42, 34.8564, 34.8564) * CHOOSE(CONTROL!$C$21, $C$9, 100%, $E$9)</f>
        <v>34.856400000000001</v>
      </c>
      <c r="R940" s="10">
        <f>CHOOSE(CONTROL!$C$42, 35.5305, 35.5305) * CHOOSE(CONTROL!$C$21, $C$9, 100%, $E$9)</f>
        <v>35.530500000000004</v>
      </c>
      <c r="S940" s="10">
        <f>CHOOSE(CONTROL!$C$42, 33.4478, 33.4478) * CHOOSE(CONTROL!$C$21, $C$9, 100%, $E$9)</f>
        <v>33.447800000000001</v>
      </c>
      <c r="T94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40" s="38">
        <f>(1000*CHOOSE(CONTROL!$C$42, 695, 695)*CHOOSE(CONTROL!$C$42, 0.5599, 0.5599)*CHOOSE(CONTROL!$C$42, 30, 30))/1000000</f>
        <v>11.673914999999997</v>
      </c>
      <c r="V940" s="38">
        <f>(1000*CHOOSE(CONTROL!$C$42, 500, 500)*CHOOSE(CONTROL!$C$42, 0.275, 0.275)*CHOOSE(CONTROL!$C$42, 30, 30))/1000000</f>
        <v>4.125</v>
      </c>
      <c r="W940" s="38">
        <f>(1000*CHOOSE(CONTROL!$C$42, 0.1146, 0.1146)*CHOOSE(CONTROL!$C$42, 121.5, 121.5)*CHOOSE(CONTROL!$C$42, 30, 30))/1000000</f>
        <v>0.417717</v>
      </c>
      <c r="X940" s="38">
        <f>(30*0.1790888*245000/1000000)+(30*0.2374*100000/1000000)</f>
        <v>2.0285026799999999</v>
      </c>
      <c r="Y940" s="38">
        <f>(1000*600*CHOOSE(CONTROL!$C$42, 1.0585, 1.0585)*CHOOSE(CONTROL!$C$42, 30, 30))/1000000</f>
        <v>19.053000000000001</v>
      </c>
      <c r="Z940" s="38"/>
      <c r="AA940" s="10"/>
      <c r="AB940" s="39"/>
      <c r="AC940" s="33">
        <f>(B940*141.293+C940*267.993+D940*115.016+E940*89.698+F940*40+G940*185+H940*0+I940*100+J940*300)/(141.293+267.993+115.016+89.698+0+40+185+100+300)</f>
        <v>34.532955012106541</v>
      </c>
      <c r="AD940" s="27">
        <f>(M940*'RAP TEMPLATE-GAS AVAILABILITY'!O939+N940*'RAP TEMPLATE-GAS AVAILABILITY'!P939+O940*'RAP TEMPLATE-GAS AVAILABILITY'!Q939+P940*'RAP TEMPLATE-GAS AVAILABILITY'!R939)/('RAP TEMPLATE-GAS AVAILABILITY'!O939+'RAP TEMPLATE-GAS AVAILABILITY'!P939+'RAP TEMPLATE-GAS AVAILABILITY'!Q939+'RAP TEMPLATE-GAS AVAILABILITY'!R939)</f>
        <v>34.134576258992809</v>
      </c>
    </row>
    <row r="941" spans="1:30" ht="15.75">
      <c r="A941" s="13">
        <v>69914</v>
      </c>
      <c r="B941" s="10">
        <f>CHOOSE(CONTROL!$C$42, 34.833, 34.833) * CHOOSE(CONTROL!$C$21, $C$9, 100%, $E$9)</f>
        <v>34.832999999999998</v>
      </c>
      <c r="C941" s="10">
        <f>CHOOSE(CONTROL!$C$42, 34.841, 34.841) * CHOOSE(CONTROL!$C$21, $C$9, 100%, $E$9)</f>
        <v>34.841000000000001</v>
      </c>
      <c r="D941" s="10">
        <f>CHOOSE(CONTROL!$C$42, 34.9981, 34.9981) * CHOOSE(CONTROL!$C$21, $C$9, 100%, $E$9)</f>
        <v>34.998100000000001</v>
      </c>
      <c r="E941" s="10">
        <f>CHOOSE(CONTROL!$C$42, 35.0293, 35.0293) * CHOOSE(CONTROL!$C$21, $C$9, 100%, $E$9)</f>
        <v>35.029299999999999</v>
      </c>
      <c r="F941" s="10">
        <f>CHOOSE(CONTROL!$C$42, 34.7772, 34.7772)*CHOOSE(CONTROL!$C$21, $C$9, 100%, $E$9)</f>
        <v>34.777200000000001</v>
      </c>
      <c r="G941" s="10">
        <f>CHOOSE(CONTROL!$C$42, 34.7933, 34.7933)*CHOOSE(CONTROL!$C$21, $C$9, 100%, $E$9)</f>
        <v>34.793300000000002</v>
      </c>
      <c r="H941" s="10">
        <f>CHOOSE(CONTROL!$C$42, 35.0176, 35.0176) * CHOOSE(CONTROL!$C$21, $C$9, 100%, $E$9)</f>
        <v>35.017600000000002</v>
      </c>
      <c r="I941" s="10">
        <f>CHOOSE(CONTROL!$C$42, 34.8118, 34.8118)* CHOOSE(CONTROL!$C$21, $C$9, 100%, $E$9)</f>
        <v>34.811799999999998</v>
      </c>
      <c r="J941" s="10">
        <f>CHOOSE(CONTROL!$C$42, 34.7698, 34.7698)* CHOOSE(CONTROL!$C$21, $C$9, 100%, $E$9)</f>
        <v>34.769799999999996</v>
      </c>
      <c r="K941" s="10">
        <f>CHOOSE(CONTROL!$C$42, 33.8843, 33.8843) * CHOOSE(CONTROL!$C$21, $C$9, 100%, $E$9)</f>
        <v>33.884300000000003</v>
      </c>
      <c r="L941" s="10">
        <f>CHOOSE(CONTROL!$C$42, 35.6046, 35.6046) * CHOOSE(CONTROL!$C$21, $C$9, 100%, $E$9)</f>
        <v>35.604599999999998</v>
      </c>
      <c r="M941" s="10">
        <f>CHOOSE(CONTROL!$C$42, 34.3177, 34.3177) * CHOOSE(CONTROL!$C$21, $C$9, 100%, $E$9)</f>
        <v>34.317700000000002</v>
      </c>
      <c r="N941" s="10">
        <f>CHOOSE(CONTROL!$C$42, 34.3336, 34.3336) * CHOOSE(CONTROL!$C$21, $C$9, 100%, $E$9)</f>
        <v>34.333599999999997</v>
      </c>
      <c r="O941" s="10">
        <f>CHOOSE(CONTROL!$C$42, 34.5621, 34.5621) * CHOOSE(CONTROL!$C$21, $C$9, 100%, $E$9)</f>
        <v>34.562100000000001</v>
      </c>
      <c r="P941" s="10">
        <f>CHOOSE(CONTROL!$C$42, 34.3592, 34.3592) * CHOOSE(CONTROL!$C$21, $C$9, 100%, $E$9)</f>
        <v>34.359200000000001</v>
      </c>
      <c r="Q941" s="10">
        <f>CHOOSE(CONTROL!$C$42, 35.1574, 35.1574) * CHOOSE(CONTROL!$C$21, $C$9, 100%, $E$9)</f>
        <v>35.157400000000003</v>
      </c>
      <c r="R941" s="10">
        <f>CHOOSE(CONTROL!$C$42, 35.8323, 35.8323) * CHOOSE(CONTROL!$C$21, $C$9, 100%, $E$9)</f>
        <v>35.832299999999996</v>
      </c>
      <c r="S941" s="10">
        <f>CHOOSE(CONTROL!$C$42, 33.7434, 33.7434) * CHOOSE(CONTROL!$C$21, $C$9, 100%, $E$9)</f>
        <v>33.743400000000001</v>
      </c>
      <c r="T94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41" s="38">
        <f>(1000*CHOOSE(CONTROL!$C$42, 695, 695)*CHOOSE(CONTROL!$C$42, 0.5599, 0.5599)*CHOOSE(CONTROL!$C$42, 31, 31))/1000000</f>
        <v>12.063045499999998</v>
      </c>
      <c r="V941" s="38">
        <f>(1000*CHOOSE(CONTROL!$C$42, 500, 500)*CHOOSE(CONTROL!$C$42, 0.275, 0.275)*CHOOSE(CONTROL!$C$42, 31, 31))/1000000</f>
        <v>4.2625000000000002</v>
      </c>
      <c r="W941" s="38">
        <f>(1000*CHOOSE(CONTROL!$C$42, 0.1146, 0.1146)*CHOOSE(CONTROL!$C$42, 121.5, 121.5)*CHOOSE(CONTROL!$C$42, 31, 31))/1000000</f>
        <v>0.43164089999999994</v>
      </c>
      <c r="X941" s="38">
        <f>(31*0.1790888*245000/1000000)+(31*0.2374*100000/1000000)</f>
        <v>2.0961194359999999</v>
      </c>
      <c r="Y941" s="38">
        <f>(1000*600*CHOOSE(CONTROL!$C$42, 1.0585, 1.0585)*CHOOSE(CONTROL!$C$42, 31, 31))/1000000</f>
        <v>19.688099999999999</v>
      </c>
      <c r="Z941" s="38"/>
      <c r="AA941" s="10"/>
      <c r="AB941" s="39"/>
      <c r="AC941" s="33">
        <f>(B941*194.205+C941*267.466+D941*133.845+E941*53.484+F941*40+G941*185+H941*0+I941*100+J941*300)/(194.205+267.466+133.845+53.484+0+40+185+100+300)</f>
        <v>34.836202469937206</v>
      </c>
      <c r="AD941" s="27">
        <f>(M941*'RAP TEMPLATE-GAS AVAILABILITY'!O940+N941*'RAP TEMPLATE-GAS AVAILABILITY'!P940+O941*'RAP TEMPLATE-GAS AVAILABILITY'!Q940+P941*'RAP TEMPLATE-GAS AVAILABILITY'!R940)/('RAP TEMPLATE-GAS AVAILABILITY'!O940+'RAP TEMPLATE-GAS AVAILABILITY'!P940+'RAP TEMPLATE-GAS AVAILABILITY'!Q940+'RAP TEMPLATE-GAS AVAILABILITY'!R940)</f>
        <v>34.435357553956834</v>
      </c>
    </row>
    <row r="942" spans="1:30" ht="15.75">
      <c r="A942" s="13">
        <v>69944</v>
      </c>
      <c r="B942" s="10">
        <f>CHOOSE(CONTROL!$C$42, 35.8215, 35.8215) * CHOOSE(CONTROL!$C$21, $C$9, 100%, $E$9)</f>
        <v>35.8215</v>
      </c>
      <c r="C942" s="10">
        <f>CHOOSE(CONTROL!$C$42, 35.8295, 35.8295) * CHOOSE(CONTROL!$C$21, $C$9, 100%, $E$9)</f>
        <v>35.829500000000003</v>
      </c>
      <c r="D942" s="10">
        <f>CHOOSE(CONTROL!$C$42, 35.9866, 35.9866) * CHOOSE(CONTROL!$C$21, $C$9, 100%, $E$9)</f>
        <v>35.986600000000003</v>
      </c>
      <c r="E942" s="10">
        <f>CHOOSE(CONTROL!$C$42, 36.0178, 36.0178) * CHOOSE(CONTROL!$C$21, $C$9, 100%, $E$9)</f>
        <v>36.017800000000001</v>
      </c>
      <c r="F942" s="10">
        <f>CHOOSE(CONTROL!$C$42, 35.7658, 35.7658)*CHOOSE(CONTROL!$C$21, $C$9, 100%, $E$9)</f>
        <v>35.765799999999999</v>
      </c>
      <c r="G942" s="10">
        <f>CHOOSE(CONTROL!$C$42, 35.782, 35.782)*CHOOSE(CONTROL!$C$21, $C$9, 100%, $E$9)</f>
        <v>35.781999999999996</v>
      </c>
      <c r="H942" s="10">
        <f>CHOOSE(CONTROL!$C$42, 36.0061, 36.0061) * CHOOSE(CONTROL!$C$21, $C$9, 100%, $E$9)</f>
        <v>36.006100000000004</v>
      </c>
      <c r="I942" s="10">
        <f>CHOOSE(CONTROL!$C$42, 35.8003, 35.8003)* CHOOSE(CONTROL!$C$21, $C$9, 100%, $E$9)</f>
        <v>35.8003</v>
      </c>
      <c r="J942" s="10">
        <f>CHOOSE(CONTROL!$C$42, 35.7584, 35.7584)* CHOOSE(CONTROL!$C$21, $C$9, 100%, $E$9)</f>
        <v>35.758400000000002</v>
      </c>
      <c r="K942" s="10">
        <f>CHOOSE(CONTROL!$C$42, 34.8424, 34.8424) * CHOOSE(CONTROL!$C$21, $C$9, 100%, $E$9)</f>
        <v>34.842399999999998</v>
      </c>
      <c r="L942" s="10">
        <f>CHOOSE(CONTROL!$C$42, 36.5931, 36.5931) * CHOOSE(CONTROL!$C$21, $C$9, 100%, $E$9)</f>
        <v>36.5931</v>
      </c>
      <c r="M942" s="10">
        <f>CHOOSE(CONTROL!$C$42, 35.2926, 35.2926) * CHOOSE(CONTROL!$C$21, $C$9, 100%, $E$9)</f>
        <v>35.2926</v>
      </c>
      <c r="N942" s="10">
        <f>CHOOSE(CONTROL!$C$42, 35.3085, 35.3085) * CHOOSE(CONTROL!$C$21, $C$9, 100%, $E$9)</f>
        <v>35.308500000000002</v>
      </c>
      <c r="O942" s="10">
        <f>CHOOSE(CONTROL!$C$42, 35.5368, 35.5368) * CHOOSE(CONTROL!$C$21, $C$9, 100%, $E$9)</f>
        <v>35.536799999999999</v>
      </c>
      <c r="P942" s="10">
        <f>CHOOSE(CONTROL!$C$42, 35.3339, 35.3339) * CHOOSE(CONTROL!$C$21, $C$9, 100%, $E$9)</f>
        <v>35.3339</v>
      </c>
      <c r="Q942" s="10">
        <f>CHOOSE(CONTROL!$C$42, 36.1321, 36.1321) * CHOOSE(CONTROL!$C$21, $C$9, 100%, $E$9)</f>
        <v>36.132100000000001</v>
      </c>
      <c r="R942" s="10">
        <f>CHOOSE(CONTROL!$C$42, 36.8094, 36.8094) * CHOOSE(CONTROL!$C$21, $C$9, 100%, $E$9)</f>
        <v>36.809399999999997</v>
      </c>
      <c r="S942" s="10">
        <f>CHOOSE(CONTROL!$C$42, 34.7006, 34.7006) * CHOOSE(CONTROL!$C$21, $C$9, 100%, $E$9)</f>
        <v>34.700600000000001</v>
      </c>
      <c r="T94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42" s="38">
        <f>(1000*CHOOSE(CONTROL!$C$42, 695, 695)*CHOOSE(CONTROL!$C$42, 0.5599, 0.5599)*CHOOSE(CONTROL!$C$42, 30, 30))/1000000</f>
        <v>11.673914999999997</v>
      </c>
      <c r="V942" s="38">
        <f>(1000*CHOOSE(CONTROL!$C$42, 500, 500)*CHOOSE(CONTROL!$C$42, 0.275, 0.275)*CHOOSE(CONTROL!$C$42, 30, 30))/1000000</f>
        <v>4.125</v>
      </c>
      <c r="W942" s="38">
        <f>(1000*CHOOSE(CONTROL!$C$42, 0.1146, 0.1146)*CHOOSE(CONTROL!$C$42, 121.5, 121.5)*CHOOSE(CONTROL!$C$42, 30, 30))/1000000</f>
        <v>0.417717</v>
      </c>
      <c r="X942" s="38">
        <f>(30*0.1790888*245000/1000000)+(30*0.2374*100000/1000000)</f>
        <v>2.0285026799999999</v>
      </c>
      <c r="Y942" s="38">
        <f>(1000*600*CHOOSE(CONTROL!$C$42, 1.0585, 1.0585)*CHOOSE(CONTROL!$C$42, 30, 30))/1000000</f>
        <v>19.053000000000001</v>
      </c>
      <c r="Z942" s="38"/>
      <c r="AA942" s="10"/>
      <c r="AB942" s="39"/>
      <c r="AC942" s="33">
        <f>(B942*194.205+C942*267.466+D942*133.845+E942*53.484+F942*40+G942*185+H942*0+I942*100+J942*300)/(194.205+267.466+133.845+53.484+0+40+185+100+300)</f>
        <v>35.824758199921504</v>
      </c>
      <c r="AD942" s="27">
        <f>(M942*'RAP TEMPLATE-GAS AVAILABILITY'!O941+N942*'RAP TEMPLATE-GAS AVAILABILITY'!P941+O942*'RAP TEMPLATE-GAS AVAILABILITY'!Q941+P942*'RAP TEMPLATE-GAS AVAILABILITY'!R941)/('RAP TEMPLATE-GAS AVAILABILITY'!O941+'RAP TEMPLATE-GAS AVAILABILITY'!P941+'RAP TEMPLATE-GAS AVAILABILITY'!Q941+'RAP TEMPLATE-GAS AVAILABILITY'!R941)</f>
        <v>35.410138129496403</v>
      </c>
    </row>
    <row r="943" spans="1:30" ht="15.75">
      <c r="A943" s="13">
        <v>69975</v>
      </c>
      <c r="B943" s="10">
        <f>CHOOSE(CONTROL!$C$42, 35.134, 35.134) * CHOOSE(CONTROL!$C$21, $C$9, 100%, $E$9)</f>
        <v>35.134</v>
      </c>
      <c r="C943" s="10">
        <f>CHOOSE(CONTROL!$C$42, 35.142, 35.142) * CHOOSE(CONTROL!$C$21, $C$9, 100%, $E$9)</f>
        <v>35.142000000000003</v>
      </c>
      <c r="D943" s="10">
        <f>CHOOSE(CONTROL!$C$42, 35.2991, 35.2991) * CHOOSE(CONTROL!$C$21, $C$9, 100%, $E$9)</f>
        <v>35.299100000000003</v>
      </c>
      <c r="E943" s="10">
        <f>CHOOSE(CONTROL!$C$42, 35.3303, 35.3303) * CHOOSE(CONTROL!$C$21, $C$9, 100%, $E$9)</f>
        <v>35.330300000000001</v>
      </c>
      <c r="F943" s="10">
        <f>CHOOSE(CONTROL!$C$42, 35.0787, 35.0787)*CHOOSE(CONTROL!$C$21, $C$9, 100%, $E$9)</f>
        <v>35.078699999999998</v>
      </c>
      <c r="G943" s="10">
        <f>CHOOSE(CONTROL!$C$42, 35.0949, 35.0949)*CHOOSE(CONTROL!$C$21, $C$9, 100%, $E$9)</f>
        <v>35.094900000000003</v>
      </c>
      <c r="H943" s="10">
        <f>CHOOSE(CONTROL!$C$42, 35.3186, 35.3186) * CHOOSE(CONTROL!$C$21, $C$9, 100%, $E$9)</f>
        <v>35.318600000000004</v>
      </c>
      <c r="I943" s="10">
        <f>CHOOSE(CONTROL!$C$42, 35.1128, 35.1128)* CHOOSE(CONTROL!$C$21, $C$9, 100%, $E$9)</f>
        <v>35.1128</v>
      </c>
      <c r="J943" s="10">
        <f>CHOOSE(CONTROL!$C$42, 35.0713, 35.0713)* CHOOSE(CONTROL!$C$21, $C$9, 100%, $E$9)</f>
        <v>35.071300000000001</v>
      </c>
      <c r="K943" s="10">
        <f>CHOOSE(CONTROL!$C$42, 34.177, 34.177) * CHOOSE(CONTROL!$C$21, $C$9, 100%, $E$9)</f>
        <v>34.177</v>
      </c>
      <c r="L943" s="10">
        <f>CHOOSE(CONTROL!$C$42, 35.9056, 35.9056) * CHOOSE(CONTROL!$C$21, $C$9, 100%, $E$9)</f>
        <v>35.9056</v>
      </c>
      <c r="M943" s="10">
        <f>CHOOSE(CONTROL!$C$42, 34.615, 34.615) * CHOOSE(CONTROL!$C$21, $C$9, 100%, $E$9)</f>
        <v>34.615000000000002</v>
      </c>
      <c r="N943" s="10">
        <f>CHOOSE(CONTROL!$C$42, 34.631, 34.631) * CHOOSE(CONTROL!$C$21, $C$9, 100%, $E$9)</f>
        <v>34.631</v>
      </c>
      <c r="O943" s="10">
        <f>CHOOSE(CONTROL!$C$42, 34.8589, 34.8589) * CHOOSE(CONTROL!$C$21, $C$9, 100%, $E$9)</f>
        <v>34.858899999999998</v>
      </c>
      <c r="P943" s="10">
        <f>CHOOSE(CONTROL!$C$42, 34.656, 34.656) * CHOOSE(CONTROL!$C$21, $C$9, 100%, $E$9)</f>
        <v>34.655999999999999</v>
      </c>
      <c r="Q943" s="10">
        <f>CHOOSE(CONTROL!$C$42, 35.4542, 35.4542) * CHOOSE(CONTROL!$C$21, $C$9, 100%, $E$9)</f>
        <v>35.4542</v>
      </c>
      <c r="R943" s="10">
        <f>CHOOSE(CONTROL!$C$42, 36.1298, 36.1298) * CHOOSE(CONTROL!$C$21, $C$9, 100%, $E$9)</f>
        <v>36.129800000000003</v>
      </c>
      <c r="S943" s="10">
        <f>CHOOSE(CONTROL!$C$42, 34.0349, 34.0349) * CHOOSE(CONTROL!$C$21, $C$9, 100%, $E$9)</f>
        <v>34.0349</v>
      </c>
      <c r="T94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43" s="38">
        <f>(1000*CHOOSE(CONTROL!$C$42, 695, 695)*CHOOSE(CONTROL!$C$42, 0.5599, 0.5599)*CHOOSE(CONTROL!$C$42, 31, 31))/1000000</f>
        <v>12.063045499999998</v>
      </c>
      <c r="V943" s="38">
        <f>(1000*CHOOSE(CONTROL!$C$42, 500, 500)*CHOOSE(CONTROL!$C$42, 0.275, 0.275)*CHOOSE(CONTROL!$C$42, 31, 31))/1000000</f>
        <v>4.2625000000000002</v>
      </c>
      <c r="W943" s="38">
        <f>(1000*CHOOSE(CONTROL!$C$42, 0.1146, 0.1146)*CHOOSE(CONTROL!$C$42, 121.5, 121.5)*CHOOSE(CONTROL!$C$42, 31, 31))/1000000</f>
        <v>0.43164089999999994</v>
      </c>
      <c r="X943" s="38">
        <f>(31*0.1790888*245000/1000000)+(31*0.2374*100000/1000000)</f>
        <v>2.0961194359999999</v>
      </c>
      <c r="Y943" s="38">
        <f>(1000*600*CHOOSE(CONTROL!$C$42, 1.0585, 1.0585)*CHOOSE(CONTROL!$C$42, 31, 31))/1000000</f>
        <v>19.688099999999999</v>
      </c>
      <c r="Z943" s="38"/>
      <c r="AA943" s="10"/>
      <c r="AB943" s="39"/>
      <c r="AC943" s="33">
        <f>(B943*194.205+C943*267.466+D943*133.845+E943*53.484+F943*40+G943*185+H943*0+I943*100+J943*300)/(194.205+267.466+133.845+53.484+0+40+185+100+300)</f>
        <v>35.137423035086343</v>
      </c>
      <c r="AD943" s="27">
        <f>(M943*'RAP TEMPLATE-GAS AVAILABILITY'!O942+N943*'RAP TEMPLATE-GAS AVAILABILITY'!P942+O943*'RAP TEMPLATE-GAS AVAILABILITY'!Q942+P943*'RAP TEMPLATE-GAS AVAILABILITY'!R942)/('RAP TEMPLATE-GAS AVAILABILITY'!O942+'RAP TEMPLATE-GAS AVAILABILITY'!P942+'RAP TEMPLATE-GAS AVAILABILITY'!Q942+'RAP TEMPLATE-GAS AVAILABILITY'!R942)</f>
        <v>34.732364748201434</v>
      </c>
    </row>
    <row r="944" spans="1:30" ht="15.75">
      <c r="A944" s="13">
        <v>70006</v>
      </c>
      <c r="B944" s="10">
        <f>CHOOSE(CONTROL!$C$42, 33.3979, 33.3979) * CHOOSE(CONTROL!$C$21, $C$9, 100%, $E$9)</f>
        <v>33.3979</v>
      </c>
      <c r="C944" s="10">
        <f>CHOOSE(CONTROL!$C$42, 33.4059, 33.4059) * CHOOSE(CONTROL!$C$21, $C$9, 100%, $E$9)</f>
        <v>33.405900000000003</v>
      </c>
      <c r="D944" s="10">
        <f>CHOOSE(CONTROL!$C$42, 33.5629, 33.5629) * CHOOSE(CONTROL!$C$21, $C$9, 100%, $E$9)</f>
        <v>33.562899999999999</v>
      </c>
      <c r="E944" s="10">
        <f>CHOOSE(CONTROL!$C$42, 33.5942, 33.5942) * CHOOSE(CONTROL!$C$21, $C$9, 100%, $E$9)</f>
        <v>33.594200000000001</v>
      </c>
      <c r="F944" s="10">
        <f>CHOOSE(CONTROL!$C$42, 33.3425, 33.3425)*CHOOSE(CONTROL!$C$21, $C$9, 100%, $E$9)</f>
        <v>33.342500000000001</v>
      </c>
      <c r="G944" s="10">
        <f>CHOOSE(CONTROL!$C$42, 33.3587, 33.3587)*CHOOSE(CONTROL!$C$21, $C$9, 100%, $E$9)</f>
        <v>33.358699999999999</v>
      </c>
      <c r="H944" s="10">
        <f>CHOOSE(CONTROL!$C$42, 33.5825, 33.5825) * CHOOSE(CONTROL!$C$21, $C$9, 100%, $E$9)</f>
        <v>33.582500000000003</v>
      </c>
      <c r="I944" s="10">
        <f>CHOOSE(CONTROL!$C$42, 33.3767, 33.3767)* CHOOSE(CONTROL!$C$21, $C$9, 100%, $E$9)</f>
        <v>33.3767</v>
      </c>
      <c r="J944" s="10">
        <f>CHOOSE(CONTROL!$C$42, 33.3351, 33.3351)* CHOOSE(CONTROL!$C$21, $C$9, 100%, $E$9)</f>
        <v>33.335099999999997</v>
      </c>
      <c r="K944" s="10">
        <f>CHOOSE(CONTROL!$C$42, 32.495, 32.495) * CHOOSE(CONTROL!$C$21, $C$9, 100%, $E$9)</f>
        <v>32.494999999999997</v>
      </c>
      <c r="L944" s="10">
        <f>CHOOSE(CONTROL!$C$42, 34.1695, 34.1695) * CHOOSE(CONTROL!$C$21, $C$9, 100%, $E$9)</f>
        <v>34.169499999999999</v>
      </c>
      <c r="M944" s="10">
        <f>CHOOSE(CONTROL!$C$42, 32.903, 32.903) * CHOOSE(CONTROL!$C$21, $C$9, 100%, $E$9)</f>
        <v>32.902999999999999</v>
      </c>
      <c r="N944" s="10">
        <f>CHOOSE(CONTROL!$C$42, 32.919, 32.919) * CHOOSE(CONTROL!$C$21, $C$9, 100%, $E$9)</f>
        <v>32.918999999999997</v>
      </c>
      <c r="O944" s="10">
        <f>CHOOSE(CONTROL!$C$42, 33.147, 33.147) * CHOOSE(CONTROL!$C$21, $C$9, 100%, $E$9)</f>
        <v>33.146999999999998</v>
      </c>
      <c r="P944" s="10">
        <f>CHOOSE(CONTROL!$C$42, 32.9441, 32.9441) * CHOOSE(CONTROL!$C$21, $C$9, 100%, $E$9)</f>
        <v>32.944099999999999</v>
      </c>
      <c r="Q944" s="10">
        <f>CHOOSE(CONTROL!$C$42, 33.7423, 33.7423) * CHOOSE(CONTROL!$C$21, $C$9, 100%, $E$9)</f>
        <v>33.7423</v>
      </c>
      <c r="R944" s="10">
        <f>CHOOSE(CONTROL!$C$42, 34.4137, 34.4137) * CHOOSE(CONTROL!$C$21, $C$9, 100%, $E$9)</f>
        <v>34.413699999999999</v>
      </c>
      <c r="S944" s="10">
        <f>CHOOSE(CONTROL!$C$42, 32.3538, 32.3538) * CHOOSE(CONTROL!$C$21, $C$9, 100%, $E$9)</f>
        <v>32.3538</v>
      </c>
      <c r="T94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44" s="38">
        <f>(1000*CHOOSE(CONTROL!$C$42, 695, 695)*CHOOSE(CONTROL!$C$42, 0.5599, 0.5599)*CHOOSE(CONTROL!$C$42, 31, 31))/1000000</f>
        <v>12.063045499999998</v>
      </c>
      <c r="V944" s="38">
        <f>(1000*CHOOSE(CONTROL!$C$42, 500, 500)*CHOOSE(CONTROL!$C$42, 0.275, 0.275)*CHOOSE(CONTROL!$C$42, 31, 31))/1000000</f>
        <v>4.2625000000000002</v>
      </c>
      <c r="W944" s="38">
        <f>(1000*CHOOSE(CONTROL!$C$42, 0.1146, 0.1146)*CHOOSE(CONTROL!$C$42, 121.5, 121.5)*CHOOSE(CONTROL!$C$42, 31, 31))/1000000</f>
        <v>0.43164089999999994</v>
      </c>
      <c r="X944" s="38">
        <f>(31*0.1790888*245000/1000000)+(31*0.2374*100000/1000000)</f>
        <v>2.0961194359999999</v>
      </c>
      <c r="Y944" s="38">
        <f>(1000*600*CHOOSE(CONTROL!$C$42, 1.0585, 1.0585)*CHOOSE(CONTROL!$C$42, 31, 31))/1000000</f>
        <v>19.688099999999999</v>
      </c>
      <c r="Z944" s="38"/>
      <c r="AA944" s="10"/>
      <c r="AB944" s="39"/>
      <c r="AC944" s="33">
        <f>(B944*194.205+C944*267.466+D944*133.845+E944*53.484+F944*40+G944*185+H944*0+I944*100+J944*300)/(194.205+267.466+133.845+53.484+0+40+185+100+300)</f>
        <v>33.401271320408163</v>
      </c>
      <c r="AD944" s="27">
        <f>(M944*'RAP TEMPLATE-GAS AVAILABILITY'!O943+N944*'RAP TEMPLATE-GAS AVAILABILITY'!P943+O944*'RAP TEMPLATE-GAS AVAILABILITY'!Q943+P944*'RAP TEMPLATE-GAS AVAILABILITY'!R943)/('RAP TEMPLATE-GAS AVAILABILITY'!O943+'RAP TEMPLATE-GAS AVAILABILITY'!P943+'RAP TEMPLATE-GAS AVAILABILITY'!Q943+'RAP TEMPLATE-GAS AVAILABILITY'!R943)</f>
        <v>33.020424460431656</v>
      </c>
    </row>
    <row r="945" spans="1:30" ht="15.75">
      <c r="A945" s="13">
        <v>70036</v>
      </c>
      <c r="B945" s="10">
        <f>CHOOSE(CONTROL!$C$42, 31.2767, 31.2767) * CHOOSE(CONTROL!$C$21, $C$9, 100%, $E$9)</f>
        <v>31.276700000000002</v>
      </c>
      <c r="C945" s="10">
        <f>CHOOSE(CONTROL!$C$42, 31.2847, 31.2847) * CHOOSE(CONTROL!$C$21, $C$9, 100%, $E$9)</f>
        <v>31.284700000000001</v>
      </c>
      <c r="D945" s="10">
        <f>CHOOSE(CONTROL!$C$42, 31.4417, 31.4417) * CHOOSE(CONTROL!$C$21, $C$9, 100%, $E$9)</f>
        <v>31.441700000000001</v>
      </c>
      <c r="E945" s="10">
        <f>CHOOSE(CONTROL!$C$42, 31.4729, 31.4729) * CHOOSE(CONTROL!$C$21, $C$9, 100%, $E$9)</f>
        <v>31.472899999999999</v>
      </c>
      <c r="F945" s="10">
        <f>CHOOSE(CONTROL!$C$42, 31.221, 31.221)*CHOOSE(CONTROL!$C$21, $C$9, 100%, $E$9)</f>
        <v>31.221</v>
      </c>
      <c r="G945" s="10">
        <f>CHOOSE(CONTROL!$C$42, 31.2372, 31.2372)*CHOOSE(CONTROL!$C$21, $C$9, 100%, $E$9)</f>
        <v>31.237200000000001</v>
      </c>
      <c r="H945" s="10">
        <f>CHOOSE(CONTROL!$C$42, 31.4613, 31.4613) * CHOOSE(CONTROL!$C$21, $C$9, 100%, $E$9)</f>
        <v>31.461300000000001</v>
      </c>
      <c r="I945" s="10">
        <f>CHOOSE(CONTROL!$C$42, 31.2554, 31.2554)* CHOOSE(CONTROL!$C$21, $C$9, 100%, $E$9)</f>
        <v>31.255400000000002</v>
      </c>
      <c r="J945" s="10">
        <f>CHOOSE(CONTROL!$C$42, 31.2136, 31.2136)* CHOOSE(CONTROL!$C$21, $C$9, 100%, $E$9)</f>
        <v>31.2136</v>
      </c>
      <c r="K945" s="10">
        <f>CHOOSE(CONTROL!$C$42, 30.4395, 30.4395) * CHOOSE(CONTROL!$C$21, $C$9, 100%, $E$9)</f>
        <v>30.439499999999999</v>
      </c>
      <c r="L945" s="10">
        <f>CHOOSE(CONTROL!$C$42, 32.0483, 32.0483) * CHOOSE(CONTROL!$C$21, $C$9, 100%, $E$9)</f>
        <v>32.048299999999998</v>
      </c>
      <c r="M945" s="10">
        <f>CHOOSE(CONTROL!$C$42, 30.8112, 30.8112) * CHOOSE(CONTROL!$C$21, $C$9, 100%, $E$9)</f>
        <v>30.811199999999999</v>
      </c>
      <c r="N945" s="10">
        <f>CHOOSE(CONTROL!$C$42, 30.8272, 30.8272) * CHOOSE(CONTROL!$C$21, $C$9, 100%, $E$9)</f>
        <v>30.827200000000001</v>
      </c>
      <c r="O945" s="10">
        <f>CHOOSE(CONTROL!$C$42, 31.0554, 31.0554) * CHOOSE(CONTROL!$C$21, $C$9, 100%, $E$9)</f>
        <v>31.055399999999999</v>
      </c>
      <c r="P945" s="10">
        <f>CHOOSE(CONTROL!$C$42, 30.8525, 30.8525) * CHOOSE(CONTROL!$C$21, $C$9, 100%, $E$9)</f>
        <v>30.852499999999999</v>
      </c>
      <c r="Q945" s="10">
        <f>CHOOSE(CONTROL!$C$42, 31.6507, 31.6507) * CHOOSE(CONTROL!$C$21, $C$9, 100%, $E$9)</f>
        <v>31.650700000000001</v>
      </c>
      <c r="R945" s="10">
        <f>CHOOSE(CONTROL!$C$42, 32.3168, 32.3168) * CHOOSE(CONTROL!$C$21, $C$9, 100%, $E$9)</f>
        <v>32.316800000000001</v>
      </c>
      <c r="S945" s="10">
        <f>CHOOSE(CONTROL!$C$42, 30.2998, 30.2998) * CHOOSE(CONTROL!$C$21, $C$9, 100%, $E$9)</f>
        <v>30.299800000000001</v>
      </c>
      <c r="T94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45" s="38">
        <f>(1000*CHOOSE(CONTROL!$C$42, 695, 695)*CHOOSE(CONTROL!$C$42, 0.5599, 0.5599)*CHOOSE(CONTROL!$C$42, 30, 30))/1000000</f>
        <v>11.673914999999997</v>
      </c>
      <c r="V945" s="38">
        <f>(1000*CHOOSE(CONTROL!$C$42, 500, 500)*CHOOSE(CONTROL!$C$42, 0.275, 0.275)*CHOOSE(CONTROL!$C$42, 30, 30))/1000000</f>
        <v>4.125</v>
      </c>
      <c r="W945" s="38">
        <f>(1000*CHOOSE(CONTROL!$C$42, 0.1146, 0.1146)*CHOOSE(CONTROL!$C$42, 121.5, 121.5)*CHOOSE(CONTROL!$C$42, 30, 30))/1000000</f>
        <v>0.417717</v>
      </c>
      <c r="X945" s="38">
        <f>(30*0.1790888*245000/1000000)+(30*0.2374*100000/1000000)</f>
        <v>2.0285026799999999</v>
      </c>
      <c r="Y945" s="38">
        <f>(1000*600*CHOOSE(CONTROL!$C$42, 1.0585, 1.0585)*CHOOSE(CONTROL!$C$42, 30, 30))/1000000</f>
        <v>19.053000000000001</v>
      </c>
      <c r="Z945" s="38"/>
      <c r="AA945" s="10"/>
      <c r="AB945" s="39"/>
      <c r="AC945" s="33">
        <f>(B945*194.205+C945*267.466+D945*133.845+E945*53.484+F945*40+G945*185+H945*0+I945*100+J945*300)/(194.205+267.466+133.845+53.484+0+40+185+100+300)</f>
        <v>31.279935646624807</v>
      </c>
      <c r="AD945" s="27">
        <f>(M945*'RAP TEMPLATE-GAS AVAILABILITY'!O944+N945*'RAP TEMPLATE-GAS AVAILABILITY'!P944+O945*'RAP TEMPLATE-GAS AVAILABILITY'!Q944+P945*'RAP TEMPLATE-GAS AVAILABILITY'!R944)/('RAP TEMPLATE-GAS AVAILABILITY'!O944+'RAP TEMPLATE-GAS AVAILABILITY'!P944+'RAP TEMPLATE-GAS AVAILABILITY'!Q944+'RAP TEMPLATE-GAS AVAILABILITY'!R944)</f>
        <v>30.928743884892086</v>
      </c>
    </row>
    <row r="946" spans="1:30" ht="15.75">
      <c r="A946" s="13">
        <v>70067</v>
      </c>
      <c r="B946" s="10">
        <f>CHOOSE(CONTROL!$C$42, 30.6392, 30.6392) * CHOOSE(CONTROL!$C$21, $C$9, 100%, $E$9)</f>
        <v>30.639199999999999</v>
      </c>
      <c r="C946" s="10">
        <f>CHOOSE(CONTROL!$C$42, 30.6445, 30.6445) * CHOOSE(CONTROL!$C$21, $C$9, 100%, $E$9)</f>
        <v>30.644500000000001</v>
      </c>
      <c r="D946" s="10">
        <f>CHOOSE(CONTROL!$C$42, 30.8064, 30.8064) * CHOOSE(CONTROL!$C$21, $C$9, 100%, $E$9)</f>
        <v>30.8064</v>
      </c>
      <c r="E946" s="10">
        <f>CHOOSE(CONTROL!$C$42, 30.8354, 30.8354) * CHOOSE(CONTROL!$C$21, $C$9, 100%, $E$9)</f>
        <v>30.8354</v>
      </c>
      <c r="F946" s="10">
        <f>CHOOSE(CONTROL!$C$42, 30.5856, 30.5856)*CHOOSE(CONTROL!$C$21, $C$9, 100%, $E$9)</f>
        <v>30.585599999999999</v>
      </c>
      <c r="G946" s="10">
        <f>CHOOSE(CONTROL!$C$42, 30.6014, 30.6014)*CHOOSE(CONTROL!$C$21, $C$9, 100%, $E$9)</f>
        <v>30.601400000000002</v>
      </c>
      <c r="H946" s="10">
        <f>CHOOSE(CONTROL!$C$42, 30.8255, 30.8255) * CHOOSE(CONTROL!$C$21, $C$9, 100%, $E$9)</f>
        <v>30.825500000000002</v>
      </c>
      <c r="I946" s="10">
        <f>CHOOSE(CONTROL!$C$42, 30.6197, 30.6197)* CHOOSE(CONTROL!$C$21, $C$9, 100%, $E$9)</f>
        <v>30.619700000000002</v>
      </c>
      <c r="J946" s="10">
        <f>CHOOSE(CONTROL!$C$42, 30.5782, 30.5782)* CHOOSE(CONTROL!$C$21, $C$9, 100%, $E$9)</f>
        <v>30.578199999999999</v>
      </c>
      <c r="K946" s="10">
        <f>CHOOSE(CONTROL!$C$42, 29.8242, 29.8242) * CHOOSE(CONTROL!$C$21, $C$9, 100%, $E$9)</f>
        <v>29.824200000000001</v>
      </c>
      <c r="L946" s="10">
        <f>CHOOSE(CONTROL!$C$42, 31.4125, 31.4125) * CHOOSE(CONTROL!$C$21, $C$9, 100%, $E$9)</f>
        <v>31.412500000000001</v>
      </c>
      <c r="M946" s="10">
        <f>CHOOSE(CONTROL!$C$42, 30.1846, 30.1846) * CHOOSE(CONTROL!$C$21, $C$9, 100%, $E$9)</f>
        <v>30.1846</v>
      </c>
      <c r="N946" s="10">
        <f>CHOOSE(CONTROL!$C$42, 30.2002, 30.2002) * CHOOSE(CONTROL!$C$21, $C$9, 100%, $E$9)</f>
        <v>30.200199999999999</v>
      </c>
      <c r="O946" s="10">
        <f>CHOOSE(CONTROL!$C$42, 30.4285, 30.4285) * CHOOSE(CONTROL!$C$21, $C$9, 100%, $E$9)</f>
        <v>30.4285</v>
      </c>
      <c r="P946" s="10">
        <f>CHOOSE(CONTROL!$C$42, 30.2256, 30.2256) * CHOOSE(CONTROL!$C$21, $C$9, 100%, $E$9)</f>
        <v>30.2256</v>
      </c>
      <c r="Q946" s="10">
        <f>CHOOSE(CONTROL!$C$42, 31.0238, 31.0238) * CHOOSE(CONTROL!$C$21, $C$9, 100%, $E$9)</f>
        <v>31.023800000000001</v>
      </c>
      <c r="R946" s="10">
        <f>CHOOSE(CONTROL!$C$42, 31.6883, 31.6883) * CHOOSE(CONTROL!$C$21, $C$9, 100%, $E$9)</f>
        <v>31.688300000000002</v>
      </c>
      <c r="S946" s="10">
        <f>CHOOSE(CONTROL!$C$42, 29.6842, 29.6842) * CHOOSE(CONTROL!$C$21, $C$9, 100%, $E$9)</f>
        <v>29.684200000000001</v>
      </c>
      <c r="T94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46" s="38">
        <f>(1000*CHOOSE(CONTROL!$C$42, 695, 695)*CHOOSE(CONTROL!$C$42, 0.5599, 0.5599)*CHOOSE(CONTROL!$C$42, 31, 31))/1000000</f>
        <v>12.063045499999998</v>
      </c>
      <c r="V946" s="38">
        <f>(1000*CHOOSE(CONTROL!$C$42, 500, 500)*CHOOSE(CONTROL!$C$42, 0.275, 0.275)*CHOOSE(CONTROL!$C$42, 31, 31))/1000000</f>
        <v>4.2625000000000002</v>
      </c>
      <c r="W946" s="38">
        <f>(1000*CHOOSE(CONTROL!$C$42, 0.1146, 0.1146)*CHOOSE(CONTROL!$C$42, 121.5, 121.5)*CHOOSE(CONTROL!$C$42, 31, 31))/1000000</f>
        <v>0.43164089999999994</v>
      </c>
      <c r="X946" s="38">
        <f>(31*0.1790888*245000/1000000)+(31*0.2374*100000/1000000)</f>
        <v>2.0961194359999999</v>
      </c>
      <c r="Y946" s="38">
        <f>(1000*600*CHOOSE(CONTROL!$C$42, 1.0585, 1.0585)*CHOOSE(CONTROL!$C$42, 31, 31))/1000000</f>
        <v>19.688099999999999</v>
      </c>
      <c r="Z946" s="38"/>
      <c r="AA946" s="10"/>
      <c r="AB946" s="39"/>
      <c r="AC946" s="33">
        <f>(B946*131.881+C946*277.167+D946*79.08+E946*125.872+F946*40+G946*185+H946*0+I946*100+J946*300)/(131.881+277.167+79.08+125.872+0+40+185+100+300)</f>
        <v>30.647271224778041</v>
      </c>
      <c r="AD946" s="27">
        <f>(M946*'RAP TEMPLATE-GAS AVAILABILITY'!O945+N946*'RAP TEMPLATE-GAS AVAILABILITY'!P945+O946*'RAP TEMPLATE-GAS AVAILABILITY'!Q945+P946*'RAP TEMPLATE-GAS AVAILABILITY'!R945)/('RAP TEMPLATE-GAS AVAILABILITY'!O945+'RAP TEMPLATE-GAS AVAILABILITY'!P945+'RAP TEMPLATE-GAS AVAILABILITY'!Q945+'RAP TEMPLATE-GAS AVAILABILITY'!R945)</f>
        <v>30.301941726618704</v>
      </c>
    </row>
    <row r="947" spans="1:30" ht="15.75">
      <c r="A947" s="13">
        <v>70097</v>
      </c>
      <c r="B947" s="10">
        <f>CHOOSE(CONTROL!$C$42, 31.4464, 31.4464) * CHOOSE(CONTROL!$C$21, $C$9, 100%, $E$9)</f>
        <v>31.446400000000001</v>
      </c>
      <c r="C947" s="10">
        <f>CHOOSE(CONTROL!$C$42, 31.4515, 31.4515) * CHOOSE(CONTROL!$C$21, $C$9, 100%, $E$9)</f>
        <v>31.451499999999999</v>
      </c>
      <c r="D947" s="10">
        <f>CHOOSE(CONTROL!$C$42, 31.4761, 31.4761) * CHOOSE(CONTROL!$C$21, $C$9, 100%, $E$9)</f>
        <v>31.476099999999999</v>
      </c>
      <c r="E947" s="10">
        <f>CHOOSE(CONTROL!$C$42, 31.5099, 31.5099) * CHOOSE(CONTROL!$C$21, $C$9, 100%, $E$9)</f>
        <v>31.509899999999998</v>
      </c>
      <c r="F947" s="10">
        <f>CHOOSE(CONTROL!$C$42, 31.4147, 31.4147)*CHOOSE(CONTROL!$C$21, $C$9, 100%, $E$9)</f>
        <v>31.4147</v>
      </c>
      <c r="G947" s="10">
        <f>CHOOSE(CONTROL!$C$42, 31.4307, 31.4307)*CHOOSE(CONTROL!$C$21, $C$9, 100%, $E$9)</f>
        <v>31.430700000000002</v>
      </c>
      <c r="H947" s="10">
        <f>CHOOSE(CONTROL!$C$42, 31.4988, 31.4988) * CHOOSE(CONTROL!$C$21, $C$9, 100%, $E$9)</f>
        <v>31.498799999999999</v>
      </c>
      <c r="I947" s="10">
        <f>CHOOSE(CONTROL!$C$42, 31.4613, 31.4613)* CHOOSE(CONTROL!$C$21, $C$9, 100%, $E$9)</f>
        <v>31.461300000000001</v>
      </c>
      <c r="J947" s="10">
        <f>CHOOSE(CONTROL!$C$42, 31.4073, 31.4073)* CHOOSE(CONTROL!$C$21, $C$9, 100%, $E$9)</f>
        <v>31.407299999999999</v>
      </c>
      <c r="K947" s="10">
        <f>CHOOSE(CONTROL!$C$42, 30.6418, 30.6418) * CHOOSE(CONTROL!$C$21, $C$9, 100%, $E$9)</f>
        <v>30.6418</v>
      </c>
      <c r="L947" s="10">
        <f>CHOOSE(CONTROL!$C$42, 32.0858, 32.0858) * CHOOSE(CONTROL!$C$21, $C$9, 100%, $E$9)</f>
        <v>32.085799999999999</v>
      </c>
      <c r="M947" s="10">
        <f>CHOOSE(CONTROL!$C$42, 31.0021, 31.0021) * CHOOSE(CONTROL!$C$21, $C$9, 100%, $E$9)</f>
        <v>31.002099999999999</v>
      </c>
      <c r="N947" s="10">
        <f>CHOOSE(CONTROL!$C$42, 31.0179, 31.0179) * CHOOSE(CONTROL!$C$21, $C$9, 100%, $E$9)</f>
        <v>31.017900000000001</v>
      </c>
      <c r="O947" s="10">
        <f>CHOOSE(CONTROL!$C$42, 31.0924, 31.0924) * CHOOSE(CONTROL!$C$21, $C$9, 100%, $E$9)</f>
        <v>31.092400000000001</v>
      </c>
      <c r="P947" s="10">
        <f>CHOOSE(CONTROL!$C$42, 31.0555, 31.0555) * CHOOSE(CONTROL!$C$21, $C$9, 100%, $E$9)</f>
        <v>31.055499999999999</v>
      </c>
      <c r="Q947" s="10">
        <f>CHOOSE(CONTROL!$C$42, 31.6877, 31.6877) * CHOOSE(CONTROL!$C$21, $C$9, 100%, $E$9)</f>
        <v>31.6877</v>
      </c>
      <c r="R947" s="10">
        <f>CHOOSE(CONTROL!$C$42, 32.3539, 32.3539) * CHOOSE(CONTROL!$C$21, $C$9, 100%, $E$9)</f>
        <v>32.353900000000003</v>
      </c>
      <c r="S947" s="10">
        <f>CHOOSE(CONTROL!$C$42, 30.4662, 30.4662) * CHOOSE(CONTROL!$C$21, $C$9, 100%, $E$9)</f>
        <v>30.466200000000001</v>
      </c>
      <c r="T94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47" s="38">
        <f>(1000*CHOOSE(CONTROL!$C$42, 695, 695)*CHOOSE(CONTROL!$C$42, 0.5599, 0.5599)*CHOOSE(CONTROL!$C$42, 30, 30))/1000000</f>
        <v>11.673914999999997</v>
      </c>
      <c r="V947" s="38">
        <f>(1000*CHOOSE(CONTROL!$C$42, 500, 500)*CHOOSE(CONTROL!$C$42, 0.275, 0.275)*CHOOSE(CONTROL!$C$42, 30, 30))/1000000</f>
        <v>4.125</v>
      </c>
      <c r="W947" s="38">
        <f>(1000*CHOOSE(CONTROL!$C$42, 0.1146, 0.1146)*CHOOSE(CONTROL!$C$42, 121.5, 121.5)*CHOOSE(CONTROL!$C$42, 30, 30))/1000000</f>
        <v>0.417717</v>
      </c>
      <c r="X947" s="38">
        <f>(30*0.1790888*100000/1000000)+(30*0.2374*100000/1000000)</f>
        <v>1.2494664</v>
      </c>
      <c r="Y947" s="38">
        <f>(1000*600*CHOOSE(CONTROL!$C$42, 1.0585, 1.0585)*CHOOSE(CONTROL!$C$42, 30, 30))/1000000</f>
        <v>19.053000000000001</v>
      </c>
      <c r="Z947" s="38"/>
      <c r="AA947" s="10"/>
      <c r="AB947" s="39"/>
      <c r="AC947" s="33">
        <f>(B947*122.58+C947*297.941+D947*89.177+E947*40.302+F947*40+G947*160+H947*0+I947*100+J947*300)/(122.58+297.941+89.177+40.302+0+40+160+100+300)</f>
        <v>31.440058463478262</v>
      </c>
      <c r="AD947" s="27">
        <f>(M947*'RAP TEMPLATE-GAS AVAILABILITY'!O946+N947*'RAP TEMPLATE-GAS AVAILABILITY'!P946+O947*'RAP TEMPLATE-GAS AVAILABILITY'!Q946+P947*'RAP TEMPLATE-GAS AVAILABILITY'!R946)/('RAP TEMPLATE-GAS AVAILABILITY'!O946+'RAP TEMPLATE-GAS AVAILABILITY'!P946+'RAP TEMPLATE-GAS AVAILABILITY'!Q946+'RAP TEMPLATE-GAS AVAILABILITY'!R946)</f>
        <v>31.051620143884893</v>
      </c>
    </row>
    <row r="948" spans="1:30" ht="15.75">
      <c r="A948" s="13">
        <v>70128</v>
      </c>
      <c r="B948" s="10">
        <f>CHOOSE(CONTROL!$C$42, 33.5915, 33.5915) * CHOOSE(CONTROL!$C$21, $C$9, 100%, $E$9)</f>
        <v>33.591500000000003</v>
      </c>
      <c r="C948" s="10">
        <f>CHOOSE(CONTROL!$C$42, 33.5966, 33.5966) * CHOOSE(CONTROL!$C$21, $C$9, 100%, $E$9)</f>
        <v>33.596600000000002</v>
      </c>
      <c r="D948" s="10">
        <f>CHOOSE(CONTROL!$C$42, 33.6212, 33.6212) * CHOOSE(CONTROL!$C$21, $C$9, 100%, $E$9)</f>
        <v>33.621200000000002</v>
      </c>
      <c r="E948" s="10">
        <f>CHOOSE(CONTROL!$C$42, 33.6551, 33.6551) * CHOOSE(CONTROL!$C$21, $C$9, 100%, $E$9)</f>
        <v>33.655099999999997</v>
      </c>
      <c r="F948" s="10">
        <f>CHOOSE(CONTROL!$C$42, 33.5617, 33.5617)*CHOOSE(CONTROL!$C$21, $C$9, 100%, $E$9)</f>
        <v>33.561700000000002</v>
      </c>
      <c r="G948" s="10">
        <f>CHOOSE(CONTROL!$C$42, 33.5782, 33.5782)*CHOOSE(CONTROL!$C$21, $C$9, 100%, $E$9)</f>
        <v>33.578200000000002</v>
      </c>
      <c r="H948" s="10">
        <f>CHOOSE(CONTROL!$C$42, 33.6439, 33.6439) * CHOOSE(CONTROL!$C$21, $C$9, 100%, $E$9)</f>
        <v>33.643900000000002</v>
      </c>
      <c r="I948" s="10">
        <f>CHOOSE(CONTROL!$C$42, 33.6064, 33.6064)* CHOOSE(CONTROL!$C$21, $C$9, 100%, $E$9)</f>
        <v>33.606400000000001</v>
      </c>
      <c r="J948" s="10">
        <f>CHOOSE(CONTROL!$C$42, 33.5543, 33.5543)* CHOOSE(CONTROL!$C$21, $C$9, 100%, $E$9)</f>
        <v>33.554299999999998</v>
      </c>
      <c r="K948" s="10">
        <f>CHOOSE(CONTROL!$C$42, 32.7241, 32.7241) * CHOOSE(CONTROL!$C$21, $C$9, 100%, $E$9)</f>
        <v>32.7241</v>
      </c>
      <c r="L948" s="10">
        <f>CHOOSE(CONTROL!$C$42, 34.2309, 34.2309) * CHOOSE(CONTROL!$C$21, $C$9, 100%, $E$9)</f>
        <v>34.230899999999998</v>
      </c>
      <c r="M948" s="10">
        <f>CHOOSE(CONTROL!$C$42, 33.1192, 33.1192) * CHOOSE(CONTROL!$C$21, $C$9, 100%, $E$9)</f>
        <v>33.119199999999999</v>
      </c>
      <c r="N948" s="10">
        <f>CHOOSE(CONTROL!$C$42, 33.1355, 33.1355) * CHOOSE(CONTROL!$C$21, $C$9, 100%, $E$9)</f>
        <v>33.1355</v>
      </c>
      <c r="O948" s="10">
        <f>CHOOSE(CONTROL!$C$42, 33.2076, 33.2076) * CHOOSE(CONTROL!$C$21, $C$9, 100%, $E$9)</f>
        <v>33.207599999999999</v>
      </c>
      <c r="P948" s="10">
        <f>CHOOSE(CONTROL!$C$42, 33.1707, 33.1707) * CHOOSE(CONTROL!$C$21, $C$9, 100%, $E$9)</f>
        <v>33.170699999999997</v>
      </c>
      <c r="Q948" s="10">
        <f>CHOOSE(CONTROL!$C$42, 33.8029, 33.8029) * CHOOSE(CONTROL!$C$21, $C$9, 100%, $E$9)</f>
        <v>33.802900000000001</v>
      </c>
      <c r="R948" s="10">
        <f>CHOOSE(CONTROL!$C$42, 34.4744, 34.4744) * CHOOSE(CONTROL!$C$21, $C$9, 100%, $E$9)</f>
        <v>34.474400000000003</v>
      </c>
      <c r="S948" s="10">
        <f>CHOOSE(CONTROL!$C$42, 32.5433, 32.5433) * CHOOSE(CONTROL!$C$21, $C$9, 100%, $E$9)</f>
        <v>32.543300000000002</v>
      </c>
      <c r="T94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48" s="38">
        <f>(1000*CHOOSE(CONTROL!$C$42, 695, 695)*CHOOSE(CONTROL!$C$42, 0.5599, 0.5599)*CHOOSE(CONTROL!$C$42, 31, 31))/1000000</f>
        <v>12.063045499999998</v>
      </c>
      <c r="V948" s="38">
        <f>(1000*CHOOSE(CONTROL!$C$42, 500, 500)*CHOOSE(CONTROL!$C$42, 0.275, 0.275)*CHOOSE(CONTROL!$C$42, 31, 31))/1000000</f>
        <v>4.2625000000000002</v>
      </c>
      <c r="W948" s="38">
        <f>(1000*CHOOSE(CONTROL!$C$42, 0.1146, 0.1146)*CHOOSE(CONTROL!$C$42, 121.5, 121.5)*CHOOSE(CONTROL!$C$42, 31, 31))/1000000</f>
        <v>0.43164089999999994</v>
      </c>
      <c r="X948" s="38">
        <f>(31*0.1790888*100000/1000000)+(31*0.2374*100000/1000000)</f>
        <v>1.2911152800000001</v>
      </c>
      <c r="Y948" s="38">
        <f>(1000*600*CHOOSE(CONTROL!$C$42, 1.0585, 1.0585)*CHOOSE(CONTROL!$C$42, 31, 31))/1000000</f>
        <v>19.688099999999999</v>
      </c>
      <c r="Z948" s="38"/>
      <c r="AA948" s="10"/>
      <c r="AB948" s="39"/>
      <c r="AC948" s="33">
        <f>(B948*122.58+C948*297.941+D948*89.177+E948*40.302+F948*40+G948*160+H948*0+I948*100+J948*300)/(122.58+297.941+89.177+40.302+0+40+160+100+300)</f>
        <v>33.586057620173918</v>
      </c>
      <c r="AD948" s="27">
        <f>(M948*'RAP TEMPLATE-GAS AVAILABILITY'!O947+N948*'RAP TEMPLATE-GAS AVAILABILITY'!P947+O948*'RAP TEMPLATE-GAS AVAILABILITY'!Q947+P948*'RAP TEMPLATE-GAS AVAILABILITY'!R947)/('RAP TEMPLATE-GAS AVAILABILITY'!O947+'RAP TEMPLATE-GAS AVAILABILITY'!P947+'RAP TEMPLATE-GAS AVAILABILITY'!Q947+'RAP TEMPLATE-GAS AVAILABILITY'!R947)</f>
        <v>33.167614388489206</v>
      </c>
    </row>
    <row r="949" spans="1:30" ht="15.75">
      <c r="A949" s="13">
        <v>70159</v>
      </c>
      <c r="B949" s="10">
        <f>CHOOSE(CONTROL!$C$42, 35.8598, 35.8598) * CHOOSE(CONTROL!$C$21, $C$9, 100%, $E$9)</f>
        <v>35.8598</v>
      </c>
      <c r="C949" s="10">
        <f>CHOOSE(CONTROL!$C$42, 35.8649, 35.8649) * CHOOSE(CONTROL!$C$21, $C$9, 100%, $E$9)</f>
        <v>35.864899999999999</v>
      </c>
      <c r="D949" s="10">
        <f>CHOOSE(CONTROL!$C$42, 35.8973, 35.8973) * CHOOSE(CONTROL!$C$21, $C$9, 100%, $E$9)</f>
        <v>35.897300000000001</v>
      </c>
      <c r="E949" s="10">
        <f>CHOOSE(CONTROL!$C$42, 35.9311, 35.9311) * CHOOSE(CONTROL!$C$21, $C$9, 100%, $E$9)</f>
        <v>35.931100000000001</v>
      </c>
      <c r="F949" s="10">
        <f>CHOOSE(CONTROL!$C$42, 35.844, 35.844)*CHOOSE(CONTROL!$C$21, $C$9, 100%, $E$9)</f>
        <v>35.844000000000001</v>
      </c>
      <c r="G949" s="10">
        <f>CHOOSE(CONTROL!$C$42, 35.862, 35.862)*CHOOSE(CONTROL!$C$21, $C$9, 100%, $E$9)</f>
        <v>35.862000000000002</v>
      </c>
      <c r="H949" s="10">
        <f>CHOOSE(CONTROL!$C$42, 35.92, 35.92) * CHOOSE(CONTROL!$C$21, $C$9, 100%, $E$9)</f>
        <v>35.92</v>
      </c>
      <c r="I949" s="10">
        <f>CHOOSE(CONTROL!$C$42, 35.8732, 35.8732)* CHOOSE(CONTROL!$C$21, $C$9, 100%, $E$9)</f>
        <v>35.873199999999997</v>
      </c>
      <c r="J949" s="10">
        <f>CHOOSE(CONTROL!$C$42, 35.8366, 35.8366)* CHOOSE(CONTROL!$C$21, $C$9, 100%, $E$9)</f>
        <v>35.836599999999997</v>
      </c>
      <c r="K949" s="10">
        <f>CHOOSE(CONTROL!$C$42, 34.9341, 34.9341) * CHOOSE(CONTROL!$C$21, $C$9, 100%, $E$9)</f>
        <v>34.934100000000001</v>
      </c>
      <c r="L949" s="10">
        <f>CHOOSE(CONTROL!$C$42, 36.507, 36.507) * CHOOSE(CONTROL!$C$21, $C$9, 100%, $E$9)</f>
        <v>36.506999999999998</v>
      </c>
      <c r="M949" s="10">
        <f>CHOOSE(CONTROL!$C$42, 35.3697, 35.3697) * CHOOSE(CONTROL!$C$21, $C$9, 100%, $E$9)</f>
        <v>35.369700000000002</v>
      </c>
      <c r="N949" s="10">
        <f>CHOOSE(CONTROL!$C$42, 35.3874, 35.3874) * CHOOSE(CONTROL!$C$21, $C$9, 100%, $E$9)</f>
        <v>35.3874</v>
      </c>
      <c r="O949" s="10">
        <f>CHOOSE(CONTROL!$C$42, 35.4519, 35.4519) * CHOOSE(CONTROL!$C$21, $C$9, 100%, $E$9)</f>
        <v>35.451900000000002</v>
      </c>
      <c r="P949" s="10">
        <f>CHOOSE(CONTROL!$C$42, 35.4058, 35.4058) * CHOOSE(CONTROL!$C$21, $C$9, 100%, $E$9)</f>
        <v>35.405799999999999</v>
      </c>
      <c r="Q949" s="10">
        <f>CHOOSE(CONTROL!$C$42, 36.0472, 36.0472) * CHOOSE(CONTROL!$C$21, $C$9, 100%, $E$9)</f>
        <v>36.047199999999997</v>
      </c>
      <c r="R949" s="10">
        <f>CHOOSE(CONTROL!$C$42, 36.7243, 36.7243) * CHOOSE(CONTROL!$C$21, $C$9, 100%, $E$9)</f>
        <v>36.724299999999999</v>
      </c>
      <c r="S949" s="10">
        <f>CHOOSE(CONTROL!$C$42, 34.7397, 34.7397) * CHOOSE(CONTROL!$C$21, $C$9, 100%, $E$9)</f>
        <v>34.739699999999999</v>
      </c>
      <c r="T94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49" s="38">
        <f>(1000*CHOOSE(CONTROL!$C$42, 695, 695)*CHOOSE(CONTROL!$C$42, 0.5599, 0.5599)*CHOOSE(CONTROL!$C$42, 31, 31))/1000000</f>
        <v>12.063045499999998</v>
      </c>
      <c r="V949" s="38">
        <f>(1000*CHOOSE(CONTROL!$C$42, 500, 500)*CHOOSE(CONTROL!$C$42, 0.275, 0.275)*CHOOSE(CONTROL!$C$42, 31, 31))/1000000</f>
        <v>4.2625000000000002</v>
      </c>
      <c r="W949" s="38">
        <f>(1000*CHOOSE(CONTROL!$C$42, 0.1146, 0.1146)*CHOOSE(CONTROL!$C$42, 121.5, 121.5)*CHOOSE(CONTROL!$C$42, 31, 31))/1000000</f>
        <v>0.43164089999999994</v>
      </c>
      <c r="X949" s="38">
        <f>(31*0.1790888*100000/1000000)+(31*0.2374*100000/1000000)</f>
        <v>1.2911152800000001</v>
      </c>
      <c r="Y949" s="38">
        <f>(1000*600*CHOOSE(CONTROL!$C$42, 1.0585, 1.0585)*CHOOSE(CONTROL!$C$42, 31, 31))/1000000</f>
        <v>19.688099999999999</v>
      </c>
      <c r="Z949" s="38"/>
      <c r="AA949" s="10"/>
      <c r="AB949" s="39"/>
      <c r="AC949" s="33">
        <f>(B949*122.58+C949*297.941+D949*89.177+E949*40.302+F949*40+G949*160+H949*0+I949*100+J949*300)/(122.58+297.941+89.177+40.302+0+40+160+100+300)</f>
        <v>35.86139753843478</v>
      </c>
      <c r="AD949" s="27">
        <f>(M949*'RAP TEMPLATE-GAS AVAILABILITY'!O948+N949*'RAP TEMPLATE-GAS AVAILABILITY'!P948+O949*'RAP TEMPLATE-GAS AVAILABILITY'!Q948+P949*'RAP TEMPLATE-GAS AVAILABILITY'!R948)/('RAP TEMPLATE-GAS AVAILABILITY'!O948+'RAP TEMPLATE-GAS AVAILABILITY'!P948+'RAP TEMPLATE-GAS AVAILABILITY'!Q948+'RAP TEMPLATE-GAS AVAILABILITY'!R948)</f>
        <v>35.41316906474821</v>
      </c>
    </row>
    <row r="950" spans="1:30" ht="15.75">
      <c r="A950" s="13">
        <v>70188</v>
      </c>
      <c r="B950" s="10">
        <f>CHOOSE(CONTROL!$C$42, 36.4984, 36.4984) * CHOOSE(CONTROL!$C$21, $C$9, 100%, $E$9)</f>
        <v>36.498399999999997</v>
      </c>
      <c r="C950" s="10">
        <f>CHOOSE(CONTROL!$C$42, 36.5035, 36.5035) * CHOOSE(CONTROL!$C$21, $C$9, 100%, $E$9)</f>
        <v>36.503500000000003</v>
      </c>
      <c r="D950" s="10">
        <f>CHOOSE(CONTROL!$C$42, 36.536, 36.536) * CHOOSE(CONTROL!$C$21, $C$9, 100%, $E$9)</f>
        <v>36.536000000000001</v>
      </c>
      <c r="E950" s="10">
        <f>CHOOSE(CONTROL!$C$42, 36.5698, 36.5698) * CHOOSE(CONTROL!$C$21, $C$9, 100%, $E$9)</f>
        <v>36.569800000000001</v>
      </c>
      <c r="F950" s="10">
        <f>CHOOSE(CONTROL!$C$42, 36.4822, 36.4822)*CHOOSE(CONTROL!$C$21, $C$9, 100%, $E$9)</f>
        <v>36.482199999999999</v>
      </c>
      <c r="G950" s="10">
        <f>CHOOSE(CONTROL!$C$42, 36.5001, 36.5001)*CHOOSE(CONTROL!$C$21, $C$9, 100%, $E$9)</f>
        <v>36.500100000000003</v>
      </c>
      <c r="H950" s="10">
        <f>CHOOSE(CONTROL!$C$42, 36.5587, 36.5587) * CHOOSE(CONTROL!$C$21, $C$9, 100%, $E$9)</f>
        <v>36.558700000000002</v>
      </c>
      <c r="I950" s="10">
        <f>CHOOSE(CONTROL!$C$42, 36.5119, 36.5119)* CHOOSE(CONTROL!$C$21, $C$9, 100%, $E$9)</f>
        <v>36.511899999999997</v>
      </c>
      <c r="J950" s="10">
        <f>CHOOSE(CONTROL!$C$42, 36.4748, 36.4748)* CHOOSE(CONTROL!$C$21, $C$9, 100%, $E$9)</f>
        <v>36.474800000000002</v>
      </c>
      <c r="K950" s="10">
        <f>CHOOSE(CONTROL!$C$42, 35.5518, 35.5518) * CHOOSE(CONTROL!$C$21, $C$9, 100%, $E$9)</f>
        <v>35.5518</v>
      </c>
      <c r="L950" s="10">
        <f>CHOOSE(CONTROL!$C$42, 37.1457, 37.1457) * CHOOSE(CONTROL!$C$21, $C$9, 100%, $E$9)</f>
        <v>37.145699999999998</v>
      </c>
      <c r="M950" s="10">
        <f>CHOOSE(CONTROL!$C$42, 35.9989, 35.9989) * CHOOSE(CONTROL!$C$21, $C$9, 100%, $E$9)</f>
        <v>35.998899999999999</v>
      </c>
      <c r="N950" s="10">
        <f>CHOOSE(CONTROL!$C$42, 36.0166, 36.0166) * CHOOSE(CONTROL!$C$21, $C$9, 100%, $E$9)</f>
        <v>36.016599999999997</v>
      </c>
      <c r="O950" s="10">
        <f>CHOOSE(CONTROL!$C$42, 36.0816, 36.0816) * CHOOSE(CONTROL!$C$21, $C$9, 100%, $E$9)</f>
        <v>36.081600000000002</v>
      </c>
      <c r="P950" s="10">
        <f>CHOOSE(CONTROL!$C$42, 36.0356, 36.0356) * CHOOSE(CONTROL!$C$21, $C$9, 100%, $E$9)</f>
        <v>36.035600000000002</v>
      </c>
      <c r="Q950" s="10">
        <f>CHOOSE(CONTROL!$C$42, 36.6769, 36.6769) * CHOOSE(CONTROL!$C$21, $C$9, 100%, $E$9)</f>
        <v>36.676900000000003</v>
      </c>
      <c r="R950" s="10">
        <f>CHOOSE(CONTROL!$C$42, 37.3556, 37.3556) * CHOOSE(CONTROL!$C$21, $C$9, 100%, $E$9)</f>
        <v>37.355600000000003</v>
      </c>
      <c r="S950" s="10">
        <f>CHOOSE(CONTROL!$C$42, 35.3581, 35.3581) * CHOOSE(CONTROL!$C$21, $C$9, 100%, $E$9)</f>
        <v>35.3581</v>
      </c>
      <c r="T950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950" s="38">
        <f>(1000*CHOOSE(CONTROL!$C$42, 695, 695)*CHOOSE(CONTROL!$C$42, 0.5599, 0.5599)*CHOOSE(CONTROL!$C$42, 29, 29))/1000000</f>
        <v>11.284784499999999</v>
      </c>
      <c r="V950" s="38">
        <f>(1000*CHOOSE(CONTROL!$C$42, 500, 500)*CHOOSE(CONTROL!$C$42, 0.275, 0.275)*CHOOSE(CONTROL!$C$42, 29, 29))/1000000</f>
        <v>3.9874999999999998</v>
      </c>
      <c r="W950" s="38">
        <f>(1000*CHOOSE(CONTROL!$C$42, 0.1146, 0.1146)*CHOOSE(CONTROL!$C$42, 121.5, 121.5)*CHOOSE(CONTROL!$C$42, 29, 29))/1000000</f>
        <v>0.40379309999999996</v>
      </c>
      <c r="X950" s="38">
        <f>(29*0.1790888*100000/1000000)+(29*0.2374*100000/1000000)</f>
        <v>1.2078175199999999</v>
      </c>
      <c r="Y950" s="38">
        <f>(1000*600*CHOOSE(CONTROL!$C$42, 1.0585, 1.0585)*CHOOSE(CONTROL!$C$42, 29, 29))/1000000</f>
        <v>18.417899999999999</v>
      </c>
      <c r="Z950" s="38"/>
      <c r="AA950" s="10"/>
      <c r="AB950" s="39"/>
      <c r="AC950" s="33">
        <f>(B950*122.58+C950*297.941+D950*89.177+E950*40.302+F950*40+G950*160+H950*0+I950*100+J950*300)/(122.58+297.941+89.177+40.302+0+40+160+100+300)</f>
        <v>36.499829667043478</v>
      </c>
      <c r="AD950" s="27">
        <f>(M950*'RAP TEMPLATE-GAS AVAILABILITY'!O949+N950*'RAP TEMPLATE-GAS AVAILABILITY'!P949+O950*'RAP TEMPLATE-GAS AVAILABILITY'!Q949+P950*'RAP TEMPLATE-GAS AVAILABILITY'!R949)/('RAP TEMPLATE-GAS AVAILABILITY'!O949+'RAP TEMPLATE-GAS AVAILABILITY'!P949+'RAP TEMPLATE-GAS AVAILABILITY'!Q949+'RAP TEMPLATE-GAS AVAILABILITY'!R949)</f>
        <v>36.04268201438849</v>
      </c>
    </row>
    <row r="951" spans="1:30" ht="15.75">
      <c r="A951" s="13">
        <v>70219</v>
      </c>
      <c r="B951" s="10">
        <f>CHOOSE(CONTROL!$C$42, 35.4618, 35.4618) * CHOOSE(CONTROL!$C$21, $C$9, 100%, $E$9)</f>
        <v>35.461799999999997</v>
      </c>
      <c r="C951" s="10">
        <f>CHOOSE(CONTROL!$C$42, 35.4669, 35.4669) * CHOOSE(CONTROL!$C$21, $C$9, 100%, $E$9)</f>
        <v>35.466900000000003</v>
      </c>
      <c r="D951" s="10">
        <f>CHOOSE(CONTROL!$C$42, 35.4993, 35.4993) * CHOOSE(CONTROL!$C$21, $C$9, 100%, $E$9)</f>
        <v>35.499299999999998</v>
      </c>
      <c r="E951" s="10">
        <f>CHOOSE(CONTROL!$C$42, 35.5331, 35.5331) * CHOOSE(CONTROL!$C$21, $C$9, 100%, $E$9)</f>
        <v>35.533099999999997</v>
      </c>
      <c r="F951" s="10">
        <f>CHOOSE(CONTROL!$C$42, 35.444, 35.444)*CHOOSE(CONTROL!$C$21, $C$9, 100%, $E$9)</f>
        <v>35.444000000000003</v>
      </c>
      <c r="G951" s="10">
        <f>CHOOSE(CONTROL!$C$42, 35.4616, 35.4616)*CHOOSE(CONTROL!$C$21, $C$9, 100%, $E$9)</f>
        <v>35.461599999999997</v>
      </c>
      <c r="H951" s="10">
        <f>CHOOSE(CONTROL!$C$42, 35.522, 35.522) * CHOOSE(CONTROL!$C$21, $C$9, 100%, $E$9)</f>
        <v>35.521999999999998</v>
      </c>
      <c r="I951" s="10">
        <f>CHOOSE(CONTROL!$C$42, 35.4752, 35.4752)* CHOOSE(CONTROL!$C$21, $C$9, 100%, $E$9)</f>
        <v>35.475200000000001</v>
      </c>
      <c r="J951" s="10">
        <f>CHOOSE(CONTROL!$C$42, 35.4366, 35.4366)* CHOOSE(CONTROL!$C$21, $C$9, 100%, $E$9)</f>
        <v>35.436599999999999</v>
      </c>
      <c r="K951" s="10">
        <f>CHOOSE(CONTROL!$C$42, 34.5443, 34.5443) * CHOOSE(CONTROL!$C$21, $C$9, 100%, $E$9)</f>
        <v>34.5443</v>
      </c>
      <c r="L951" s="10">
        <f>CHOOSE(CONTROL!$C$42, 36.109, 36.109) * CHOOSE(CONTROL!$C$21, $C$9, 100%, $E$9)</f>
        <v>36.109000000000002</v>
      </c>
      <c r="M951" s="10">
        <f>CHOOSE(CONTROL!$C$42, 34.9753, 34.9753) * CHOOSE(CONTROL!$C$21, $C$9, 100%, $E$9)</f>
        <v>34.975299999999997</v>
      </c>
      <c r="N951" s="10">
        <f>CHOOSE(CONTROL!$C$42, 34.9926, 34.9926) * CHOOSE(CONTROL!$C$21, $C$9, 100%, $E$9)</f>
        <v>34.992600000000003</v>
      </c>
      <c r="O951" s="10">
        <f>CHOOSE(CONTROL!$C$42, 35.0594, 35.0594) * CHOOSE(CONTROL!$C$21, $C$9, 100%, $E$9)</f>
        <v>35.059399999999997</v>
      </c>
      <c r="P951" s="10">
        <f>CHOOSE(CONTROL!$C$42, 35.0134, 35.0134) * CHOOSE(CONTROL!$C$21, $C$9, 100%, $E$9)</f>
        <v>35.013399999999997</v>
      </c>
      <c r="Q951" s="10">
        <f>CHOOSE(CONTROL!$C$42, 35.6547, 35.6547) * CHOOSE(CONTROL!$C$21, $C$9, 100%, $E$9)</f>
        <v>35.654699999999998</v>
      </c>
      <c r="R951" s="10">
        <f>CHOOSE(CONTROL!$C$42, 36.3309, 36.3309) * CHOOSE(CONTROL!$C$21, $C$9, 100%, $E$9)</f>
        <v>36.3309</v>
      </c>
      <c r="S951" s="10">
        <f>CHOOSE(CONTROL!$C$42, 34.3543, 34.3543) * CHOOSE(CONTROL!$C$21, $C$9, 100%, $E$9)</f>
        <v>34.354300000000002</v>
      </c>
      <c r="T95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51" s="38">
        <f>(1000*CHOOSE(CONTROL!$C$42, 695, 695)*CHOOSE(CONTROL!$C$42, 0.5599, 0.5599)*CHOOSE(CONTROL!$C$42, 31, 31))/1000000</f>
        <v>12.063045499999998</v>
      </c>
      <c r="V951" s="38">
        <f>(1000*CHOOSE(CONTROL!$C$42, 500, 500)*CHOOSE(CONTROL!$C$42, 0.275, 0.275)*CHOOSE(CONTROL!$C$42, 31, 31))/1000000</f>
        <v>4.2625000000000002</v>
      </c>
      <c r="W951" s="38">
        <f>(1000*CHOOSE(CONTROL!$C$42, 0.1146, 0.1146)*CHOOSE(CONTROL!$C$42, 121.5, 121.5)*CHOOSE(CONTROL!$C$42, 31, 31))/1000000</f>
        <v>0.43164089999999994</v>
      </c>
      <c r="X951" s="38">
        <f>(31*0.1790888*100000/1000000)+(31*0.2374*100000/1000000)</f>
        <v>1.2911152800000001</v>
      </c>
      <c r="Y951" s="38">
        <f>(1000*600*CHOOSE(CONTROL!$C$42, 1.0585, 1.0585)*CHOOSE(CONTROL!$C$42, 31, 31))/1000000</f>
        <v>19.688099999999999</v>
      </c>
      <c r="Z951" s="38"/>
      <c r="AA951" s="10"/>
      <c r="AB951" s="39"/>
      <c r="AC951" s="33">
        <f>(B951*122.58+C951*297.941+D951*89.177+E951*40.302+F951*40+G951*160+H951*0+I951*100+J951*300)/(122.58+297.941+89.177+40.302+0+40+160+100+300)</f>
        <v>35.462472321043478</v>
      </c>
      <c r="AD951" s="27">
        <f>(M951*'RAP TEMPLATE-GAS AVAILABILITY'!O950+N951*'RAP TEMPLATE-GAS AVAILABILITY'!P950+O951*'RAP TEMPLATE-GAS AVAILABILITY'!Q950+P951*'RAP TEMPLATE-GAS AVAILABILITY'!R950)/('RAP TEMPLATE-GAS AVAILABILITY'!O950+'RAP TEMPLATE-GAS AVAILABILITY'!P950+'RAP TEMPLATE-GAS AVAILABILITY'!Q950+'RAP TEMPLATE-GAS AVAILABILITY'!R950)</f>
        <v>35.019894964028779</v>
      </c>
    </row>
    <row r="952" spans="1:30" ht="15.75">
      <c r="A952" s="13">
        <v>70249</v>
      </c>
      <c r="B952" s="10">
        <f>CHOOSE(CONTROL!$C$42, 35.3563, 35.3563) * CHOOSE(CONTROL!$C$21, $C$9, 100%, $E$9)</f>
        <v>35.356299999999997</v>
      </c>
      <c r="C952" s="10">
        <f>CHOOSE(CONTROL!$C$42, 35.3608, 35.3608) * CHOOSE(CONTROL!$C$21, $C$9, 100%, $E$9)</f>
        <v>35.360799999999998</v>
      </c>
      <c r="D952" s="10">
        <f>CHOOSE(CONTROL!$C$42, 35.521, 35.521) * CHOOSE(CONTROL!$C$21, $C$9, 100%, $E$9)</f>
        <v>35.521000000000001</v>
      </c>
      <c r="E952" s="10">
        <f>CHOOSE(CONTROL!$C$42, 35.5528, 35.5528) * CHOOSE(CONTROL!$C$21, $C$9, 100%, $E$9)</f>
        <v>35.552799999999998</v>
      </c>
      <c r="F952" s="10">
        <f>CHOOSE(CONTROL!$C$42, 35.3024, 35.3024)*CHOOSE(CONTROL!$C$21, $C$9, 100%, $E$9)</f>
        <v>35.302399999999999</v>
      </c>
      <c r="G952" s="10">
        <f>CHOOSE(CONTROL!$C$42, 35.3182, 35.3182)*CHOOSE(CONTROL!$C$21, $C$9, 100%, $E$9)</f>
        <v>35.318199999999997</v>
      </c>
      <c r="H952" s="10">
        <f>CHOOSE(CONTROL!$C$42, 35.5423, 35.5423) * CHOOSE(CONTROL!$C$21, $C$9, 100%, $E$9)</f>
        <v>35.542299999999997</v>
      </c>
      <c r="I952" s="10">
        <f>CHOOSE(CONTROL!$C$42, 35.3364, 35.3364)* CHOOSE(CONTROL!$C$21, $C$9, 100%, $E$9)</f>
        <v>35.336399999999998</v>
      </c>
      <c r="J952" s="10">
        <f>CHOOSE(CONTROL!$C$42, 35.295, 35.295)* CHOOSE(CONTROL!$C$21, $C$9, 100%, $E$9)</f>
        <v>35.295000000000002</v>
      </c>
      <c r="K952" s="10">
        <f>CHOOSE(CONTROL!$C$42, 34.3939, 34.3939) * CHOOSE(CONTROL!$C$21, $C$9, 100%, $E$9)</f>
        <v>34.393900000000002</v>
      </c>
      <c r="L952" s="10">
        <f>CHOOSE(CONTROL!$C$42, 36.1293, 36.1293) * CHOOSE(CONTROL!$C$21, $C$9, 100%, $E$9)</f>
        <v>36.129300000000001</v>
      </c>
      <c r="M952" s="10">
        <f>CHOOSE(CONTROL!$C$42, 34.8356, 34.8356) * CHOOSE(CONTROL!$C$21, $C$9, 100%, $E$9)</f>
        <v>34.835599999999999</v>
      </c>
      <c r="N952" s="10">
        <f>CHOOSE(CONTROL!$C$42, 34.8512, 34.8512) * CHOOSE(CONTROL!$C$21, $C$9, 100%, $E$9)</f>
        <v>34.851199999999999</v>
      </c>
      <c r="O952" s="10">
        <f>CHOOSE(CONTROL!$C$42, 35.0794, 35.0794) * CHOOSE(CONTROL!$C$21, $C$9, 100%, $E$9)</f>
        <v>35.0794</v>
      </c>
      <c r="P952" s="10">
        <f>CHOOSE(CONTROL!$C$42, 34.8765, 34.8765) * CHOOSE(CONTROL!$C$21, $C$9, 100%, $E$9)</f>
        <v>34.8765</v>
      </c>
      <c r="Q952" s="10">
        <f>CHOOSE(CONTROL!$C$42, 35.6747, 35.6747) * CHOOSE(CONTROL!$C$21, $C$9, 100%, $E$9)</f>
        <v>35.674700000000001</v>
      </c>
      <c r="R952" s="10">
        <f>CHOOSE(CONTROL!$C$42, 36.3509, 36.3509) * CHOOSE(CONTROL!$C$21, $C$9, 100%, $E$9)</f>
        <v>36.350900000000003</v>
      </c>
      <c r="S952" s="10">
        <f>CHOOSE(CONTROL!$C$42, 34.2514, 34.2514) * CHOOSE(CONTROL!$C$21, $C$9, 100%, $E$9)</f>
        <v>34.251399999999997</v>
      </c>
      <c r="T95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52" s="38">
        <f>(1000*CHOOSE(CONTROL!$C$42, 695, 695)*CHOOSE(CONTROL!$C$42, 0.5599, 0.5599)*CHOOSE(CONTROL!$C$42, 30, 30))/1000000</f>
        <v>11.673914999999997</v>
      </c>
      <c r="V952" s="38">
        <f>(1000*CHOOSE(CONTROL!$C$42, 500, 500)*CHOOSE(CONTROL!$C$42, 0.275, 0.275)*CHOOSE(CONTROL!$C$42, 30, 30))/1000000</f>
        <v>4.125</v>
      </c>
      <c r="W952" s="38">
        <f>(1000*CHOOSE(CONTROL!$C$42, 0.1146, 0.1146)*CHOOSE(CONTROL!$C$42, 121.5, 121.5)*CHOOSE(CONTROL!$C$42, 30, 30))/1000000</f>
        <v>0.417717</v>
      </c>
      <c r="X952" s="38">
        <f>(30*0.1790888*245000/1000000)+(30*0.2374*100000/1000000)</f>
        <v>2.0285026799999999</v>
      </c>
      <c r="Y952" s="38">
        <f>(1000*600*CHOOSE(CONTROL!$C$42, 1.0585, 1.0585)*CHOOSE(CONTROL!$C$42, 30, 30))/1000000</f>
        <v>19.053000000000001</v>
      </c>
      <c r="Z952" s="38"/>
      <c r="AA952" s="10"/>
      <c r="AB952" s="39"/>
      <c r="AC952" s="33">
        <f>(B952*141.293+C952*267.993+D952*115.016+E952*89.698+F952*40+G952*185+H952*0+I952*100+J952*300)/(141.293+267.993+115.016+89.698+0+40+185+100+300)</f>
        <v>35.362910379903148</v>
      </c>
      <c r="AD952" s="27">
        <f>(M952*'RAP TEMPLATE-GAS AVAILABILITY'!O951+N952*'RAP TEMPLATE-GAS AVAILABILITY'!P951+O952*'RAP TEMPLATE-GAS AVAILABILITY'!Q951+P952*'RAP TEMPLATE-GAS AVAILABILITY'!R951)/('RAP TEMPLATE-GAS AVAILABILITY'!O951+'RAP TEMPLATE-GAS AVAILABILITY'!P951+'RAP TEMPLATE-GAS AVAILABILITY'!Q951+'RAP TEMPLATE-GAS AVAILABILITY'!R951)</f>
        <v>34.952882014388493</v>
      </c>
    </row>
    <row r="953" spans="1:30" ht="15.75">
      <c r="A953" s="13">
        <v>70280</v>
      </c>
      <c r="B953" s="10">
        <f>CHOOSE(CONTROL!$C$42, 35.6703, 35.6703) * CHOOSE(CONTROL!$C$21, $C$9, 100%, $E$9)</f>
        <v>35.670299999999997</v>
      </c>
      <c r="C953" s="10">
        <f>CHOOSE(CONTROL!$C$42, 35.6783, 35.6783) * CHOOSE(CONTROL!$C$21, $C$9, 100%, $E$9)</f>
        <v>35.6783</v>
      </c>
      <c r="D953" s="10">
        <f>CHOOSE(CONTROL!$C$42, 35.8354, 35.8354) * CHOOSE(CONTROL!$C$21, $C$9, 100%, $E$9)</f>
        <v>35.8354</v>
      </c>
      <c r="E953" s="10">
        <f>CHOOSE(CONTROL!$C$42, 35.8666, 35.8666) * CHOOSE(CONTROL!$C$21, $C$9, 100%, $E$9)</f>
        <v>35.866599999999998</v>
      </c>
      <c r="F953" s="10">
        <f>CHOOSE(CONTROL!$C$42, 35.6144, 35.6144)*CHOOSE(CONTROL!$C$21, $C$9, 100%, $E$9)</f>
        <v>35.614400000000003</v>
      </c>
      <c r="G953" s="10">
        <f>CHOOSE(CONTROL!$C$42, 35.6306, 35.6306)*CHOOSE(CONTROL!$C$21, $C$9, 100%, $E$9)</f>
        <v>35.630600000000001</v>
      </c>
      <c r="H953" s="10">
        <f>CHOOSE(CONTROL!$C$42, 35.8549, 35.8549) * CHOOSE(CONTROL!$C$21, $C$9, 100%, $E$9)</f>
        <v>35.854900000000001</v>
      </c>
      <c r="I953" s="10">
        <f>CHOOSE(CONTROL!$C$42, 35.6491, 35.6491)* CHOOSE(CONTROL!$C$21, $C$9, 100%, $E$9)</f>
        <v>35.649099999999997</v>
      </c>
      <c r="J953" s="10">
        <f>CHOOSE(CONTROL!$C$42, 35.607, 35.607)* CHOOSE(CONTROL!$C$21, $C$9, 100%, $E$9)</f>
        <v>35.606999999999999</v>
      </c>
      <c r="K953" s="10">
        <f>CHOOSE(CONTROL!$C$42, 34.6955, 34.6955) * CHOOSE(CONTROL!$C$21, $C$9, 100%, $E$9)</f>
        <v>34.695500000000003</v>
      </c>
      <c r="L953" s="10">
        <f>CHOOSE(CONTROL!$C$42, 36.4419, 36.4419) * CHOOSE(CONTROL!$C$21, $C$9, 100%, $E$9)</f>
        <v>36.441899999999997</v>
      </c>
      <c r="M953" s="10">
        <f>CHOOSE(CONTROL!$C$42, 35.1433, 35.1433) * CHOOSE(CONTROL!$C$21, $C$9, 100%, $E$9)</f>
        <v>35.143300000000004</v>
      </c>
      <c r="N953" s="10">
        <f>CHOOSE(CONTROL!$C$42, 35.1592, 35.1592) * CHOOSE(CONTROL!$C$21, $C$9, 100%, $E$9)</f>
        <v>35.159199999999998</v>
      </c>
      <c r="O953" s="10">
        <f>CHOOSE(CONTROL!$C$42, 35.3877, 35.3877) * CHOOSE(CONTROL!$C$21, $C$9, 100%, $E$9)</f>
        <v>35.387700000000002</v>
      </c>
      <c r="P953" s="10">
        <f>CHOOSE(CONTROL!$C$42, 35.1848, 35.1848) * CHOOSE(CONTROL!$C$21, $C$9, 100%, $E$9)</f>
        <v>35.184800000000003</v>
      </c>
      <c r="Q953" s="10">
        <f>CHOOSE(CONTROL!$C$42, 35.983, 35.983) * CHOOSE(CONTROL!$C$21, $C$9, 100%, $E$9)</f>
        <v>35.982999999999997</v>
      </c>
      <c r="R953" s="10">
        <f>CHOOSE(CONTROL!$C$42, 36.66, 36.66) * CHOOSE(CONTROL!$C$21, $C$9, 100%, $E$9)</f>
        <v>36.659999999999997</v>
      </c>
      <c r="S953" s="10">
        <f>CHOOSE(CONTROL!$C$42, 34.5542, 34.5542) * CHOOSE(CONTROL!$C$21, $C$9, 100%, $E$9)</f>
        <v>34.554200000000002</v>
      </c>
      <c r="T95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53" s="38">
        <f>(1000*CHOOSE(CONTROL!$C$42, 695, 695)*CHOOSE(CONTROL!$C$42, 0.5599, 0.5599)*CHOOSE(CONTROL!$C$42, 31, 31))/1000000</f>
        <v>12.063045499999998</v>
      </c>
      <c r="V953" s="38">
        <f>(1000*CHOOSE(CONTROL!$C$42, 500, 500)*CHOOSE(CONTROL!$C$42, 0.275, 0.275)*CHOOSE(CONTROL!$C$42, 31, 31))/1000000</f>
        <v>4.2625000000000002</v>
      </c>
      <c r="W953" s="38">
        <f>(1000*CHOOSE(CONTROL!$C$42, 0.1146, 0.1146)*CHOOSE(CONTROL!$C$42, 121.5, 121.5)*CHOOSE(CONTROL!$C$42, 31, 31))/1000000</f>
        <v>0.43164089999999994</v>
      </c>
      <c r="X953" s="38">
        <f>(31*0.1790888*245000/1000000)+(31*0.2374*100000/1000000)</f>
        <v>2.0961194359999999</v>
      </c>
      <c r="Y953" s="38">
        <f>(1000*600*CHOOSE(CONTROL!$C$42, 1.0585, 1.0585)*CHOOSE(CONTROL!$C$42, 31, 31))/1000000</f>
        <v>19.688099999999999</v>
      </c>
      <c r="Z953" s="38"/>
      <c r="AA953" s="10"/>
      <c r="AB953" s="39"/>
      <c r="AC953" s="33">
        <f>(B953*194.205+C953*267.466+D953*133.845+E953*53.484+F953*40+G953*185+H953*0+I953*100+J953*300)/(194.205+267.466+133.845+53.484+0+40+185+100+300)</f>
        <v>35.673475782339089</v>
      </c>
      <c r="AD953" s="27">
        <f>(M953*'RAP TEMPLATE-GAS AVAILABILITY'!O952+N953*'RAP TEMPLATE-GAS AVAILABILITY'!P952+O953*'RAP TEMPLATE-GAS AVAILABILITY'!Q952+P953*'RAP TEMPLATE-GAS AVAILABILITY'!R952)/('RAP TEMPLATE-GAS AVAILABILITY'!O952+'RAP TEMPLATE-GAS AVAILABILITY'!P952+'RAP TEMPLATE-GAS AVAILABILITY'!Q952+'RAP TEMPLATE-GAS AVAILABILITY'!R952)</f>
        <v>35.260957553956843</v>
      </c>
    </row>
    <row r="954" spans="1:30" ht="15.75">
      <c r="A954" s="13">
        <v>70310</v>
      </c>
      <c r="B954" s="10">
        <f>CHOOSE(CONTROL!$C$42, 36.6825, 36.6825) * CHOOSE(CONTROL!$C$21, $C$9, 100%, $E$9)</f>
        <v>36.682499999999997</v>
      </c>
      <c r="C954" s="10">
        <f>CHOOSE(CONTROL!$C$42, 36.6905, 36.6905) * CHOOSE(CONTROL!$C$21, $C$9, 100%, $E$9)</f>
        <v>36.6905</v>
      </c>
      <c r="D954" s="10">
        <f>CHOOSE(CONTROL!$C$42, 36.8476, 36.8476) * CHOOSE(CONTROL!$C$21, $C$9, 100%, $E$9)</f>
        <v>36.8476</v>
      </c>
      <c r="E954" s="10">
        <f>CHOOSE(CONTROL!$C$42, 36.8788, 36.8788) * CHOOSE(CONTROL!$C$21, $C$9, 100%, $E$9)</f>
        <v>36.878799999999998</v>
      </c>
      <c r="F954" s="10">
        <f>CHOOSE(CONTROL!$C$42, 36.6269, 36.6269)*CHOOSE(CONTROL!$C$21, $C$9, 100%, $E$9)</f>
        <v>36.626899999999999</v>
      </c>
      <c r="G954" s="10">
        <f>CHOOSE(CONTROL!$C$42, 36.643, 36.643)*CHOOSE(CONTROL!$C$21, $C$9, 100%, $E$9)</f>
        <v>36.643000000000001</v>
      </c>
      <c r="H954" s="10">
        <f>CHOOSE(CONTROL!$C$42, 36.8671, 36.8671) * CHOOSE(CONTROL!$C$21, $C$9, 100%, $E$9)</f>
        <v>36.867100000000001</v>
      </c>
      <c r="I954" s="10">
        <f>CHOOSE(CONTROL!$C$42, 36.6613, 36.6613)* CHOOSE(CONTROL!$C$21, $C$9, 100%, $E$9)</f>
        <v>36.661299999999997</v>
      </c>
      <c r="J954" s="10">
        <f>CHOOSE(CONTROL!$C$42, 36.6195, 36.6195)* CHOOSE(CONTROL!$C$21, $C$9, 100%, $E$9)</f>
        <v>36.619500000000002</v>
      </c>
      <c r="K954" s="10">
        <f>CHOOSE(CONTROL!$C$42, 35.6765, 35.6765) * CHOOSE(CONTROL!$C$21, $C$9, 100%, $E$9)</f>
        <v>35.676499999999997</v>
      </c>
      <c r="L954" s="10">
        <f>CHOOSE(CONTROL!$C$42, 37.4541, 37.4541) * CHOOSE(CONTROL!$C$21, $C$9, 100%, $E$9)</f>
        <v>37.454099999999997</v>
      </c>
      <c r="M954" s="10">
        <f>CHOOSE(CONTROL!$C$42, 36.1416, 36.1416) * CHOOSE(CONTROL!$C$21, $C$9, 100%, $E$9)</f>
        <v>36.141599999999997</v>
      </c>
      <c r="N954" s="10">
        <f>CHOOSE(CONTROL!$C$42, 36.1576, 36.1576) * CHOOSE(CONTROL!$C$21, $C$9, 100%, $E$9)</f>
        <v>36.157600000000002</v>
      </c>
      <c r="O954" s="10">
        <f>CHOOSE(CONTROL!$C$42, 36.3858, 36.3858) * CHOOSE(CONTROL!$C$21, $C$9, 100%, $E$9)</f>
        <v>36.385800000000003</v>
      </c>
      <c r="P954" s="10">
        <f>CHOOSE(CONTROL!$C$42, 36.1829, 36.1829) * CHOOSE(CONTROL!$C$21, $C$9, 100%, $E$9)</f>
        <v>36.182899999999997</v>
      </c>
      <c r="Q954" s="10">
        <f>CHOOSE(CONTROL!$C$42, 36.9811, 36.9811) * CHOOSE(CONTROL!$C$21, $C$9, 100%, $E$9)</f>
        <v>36.981099999999998</v>
      </c>
      <c r="R954" s="10">
        <f>CHOOSE(CONTROL!$C$42, 37.6606, 37.6606) * CHOOSE(CONTROL!$C$21, $C$9, 100%, $E$9)</f>
        <v>37.660600000000002</v>
      </c>
      <c r="S954" s="10">
        <f>CHOOSE(CONTROL!$C$42, 35.5343, 35.5343) * CHOOSE(CONTROL!$C$21, $C$9, 100%, $E$9)</f>
        <v>35.534300000000002</v>
      </c>
      <c r="T95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54" s="38">
        <f>(1000*CHOOSE(CONTROL!$C$42, 695, 695)*CHOOSE(CONTROL!$C$42, 0.5599, 0.5599)*CHOOSE(CONTROL!$C$42, 30, 30))/1000000</f>
        <v>11.673914999999997</v>
      </c>
      <c r="V954" s="38">
        <f>(1000*CHOOSE(CONTROL!$C$42, 500, 500)*CHOOSE(CONTROL!$C$42, 0.275, 0.275)*CHOOSE(CONTROL!$C$42, 30, 30))/1000000</f>
        <v>4.125</v>
      </c>
      <c r="W954" s="38">
        <f>(1000*CHOOSE(CONTROL!$C$42, 0.1146, 0.1146)*CHOOSE(CONTROL!$C$42, 121.5, 121.5)*CHOOSE(CONTROL!$C$42, 30, 30))/1000000</f>
        <v>0.417717</v>
      </c>
      <c r="X954" s="38">
        <f>(30*0.1790888*245000/1000000)+(30*0.2374*100000/1000000)</f>
        <v>2.0285026799999999</v>
      </c>
      <c r="Y954" s="38">
        <f>(1000*600*CHOOSE(CONTROL!$C$42, 1.0585, 1.0585)*CHOOSE(CONTROL!$C$42, 30, 30))/1000000</f>
        <v>19.053000000000001</v>
      </c>
      <c r="Z954" s="38"/>
      <c r="AA954" s="10"/>
      <c r="AB954" s="39"/>
      <c r="AC954" s="33">
        <f>(B954*194.205+C954*267.466+D954*133.845+E954*53.484+F954*40+G954*185+H954*0+I954*100+J954*300)/(194.205+267.466+133.845+53.484+0+40+185+100+300)</f>
        <v>36.685784887519624</v>
      </c>
      <c r="AD954" s="27">
        <f>(M954*'RAP TEMPLATE-GAS AVAILABILITY'!O953+N954*'RAP TEMPLATE-GAS AVAILABILITY'!P953+O954*'RAP TEMPLATE-GAS AVAILABILITY'!Q953+P954*'RAP TEMPLATE-GAS AVAILABILITY'!R953)/('RAP TEMPLATE-GAS AVAILABILITY'!O953+'RAP TEMPLATE-GAS AVAILABILITY'!P953+'RAP TEMPLATE-GAS AVAILABILITY'!Q953+'RAP TEMPLATE-GAS AVAILABILITY'!R953)</f>
        <v>36.25914388489209</v>
      </c>
    </row>
    <row r="955" spans="1:30" ht="15.75">
      <c r="A955" s="13">
        <v>70341</v>
      </c>
      <c r="B955" s="10">
        <f>CHOOSE(CONTROL!$C$42, 35.9785, 35.9785) * CHOOSE(CONTROL!$C$21, $C$9, 100%, $E$9)</f>
        <v>35.978499999999997</v>
      </c>
      <c r="C955" s="10">
        <f>CHOOSE(CONTROL!$C$42, 35.9865, 35.9865) * CHOOSE(CONTROL!$C$21, $C$9, 100%, $E$9)</f>
        <v>35.986499999999999</v>
      </c>
      <c r="D955" s="10">
        <f>CHOOSE(CONTROL!$C$42, 36.1436, 36.1436) * CHOOSE(CONTROL!$C$21, $C$9, 100%, $E$9)</f>
        <v>36.143599999999999</v>
      </c>
      <c r="E955" s="10">
        <f>CHOOSE(CONTROL!$C$42, 36.1748, 36.1748) * CHOOSE(CONTROL!$C$21, $C$9, 100%, $E$9)</f>
        <v>36.174799999999998</v>
      </c>
      <c r="F955" s="10">
        <f>CHOOSE(CONTROL!$C$42, 35.9232, 35.9232)*CHOOSE(CONTROL!$C$21, $C$9, 100%, $E$9)</f>
        <v>35.923200000000001</v>
      </c>
      <c r="G955" s="10">
        <f>CHOOSE(CONTROL!$C$42, 35.9394, 35.9394)*CHOOSE(CONTROL!$C$21, $C$9, 100%, $E$9)</f>
        <v>35.939399999999999</v>
      </c>
      <c r="H955" s="10">
        <f>CHOOSE(CONTROL!$C$42, 36.1631, 36.1631) * CHOOSE(CONTROL!$C$21, $C$9, 100%, $E$9)</f>
        <v>36.1631</v>
      </c>
      <c r="I955" s="10">
        <f>CHOOSE(CONTROL!$C$42, 35.9573, 35.9573)* CHOOSE(CONTROL!$C$21, $C$9, 100%, $E$9)</f>
        <v>35.957299999999996</v>
      </c>
      <c r="J955" s="10">
        <f>CHOOSE(CONTROL!$C$42, 35.9158, 35.9158)* CHOOSE(CONTROL!$C$21, $C$9, 100%, $E$9)</f>
        <v>35.915799999999997</v>
      </c>
      <c r="K955" s="10">
        <f>CHOOSE(CONTROL!$C$42, 34.9952, 34.9952) * CHOOSE(CONTROL!$C$21, $C$9, 100%, $E$9)</f>
        <v>34.995199999999997</v>
      </c>
      <c r="L955" s="10">
        <f>CHOOSE(CONTROL!$C$42, 36.7501, 36.7501) * CHOOSE(CONTROL!$C$21, $C$9, 100%, $E$9)</f>
        <v>36.750100000000003</v>
      </c>
      <c r="M955" s="10">
        <f>CHOOSE(CONTROL!$C$42, 35.4477, 35.4477) * CHOOSE(CONTROL!$C$21, $C$9, 100%, $E$9)</f>
        <v>35.447699999999998</v>
      </c>
      <c r="N955" s="10">
        <f>CHOOSE(CONTROL!$C$42, 35.4638, 35.4638) * CHOOSE(CONTROL!$C$21, $C$9, 100%, $E$9)</f>
        <v>35.463799999999999</v>
      </c>
      <c r="O955" s="10">
        <f>CHOOSE(CONTROL!$C$42, 35.6916, 35.6916) * CHOOSE(CONTROL!$C$21, $C$9, 100%, $E$9)</f>
        <v>35.691600000000001</v>
      </c>
      <c r="P955" s="10">
        <f>CHOOSE(CONTROL!$C$42, 35.4887, 35.4887) * CHOOSE(CONTROL!$C$21, $C$9, 100%, $E$9)</f>
        <v>35.488700000000001</v>
      </c>
      <c r="Q955" s="10">
        <f>CHOOSE(CONTROL!$C$42, 36.2869, 36.2869) * CHOOSE(CONTROL!$C$21, $C$9, 100%, $E$9)</f>
        <v>36.286900000000003</v>
      </c>
      <c r="R955" s="10">
        <f>CHOOSE(CONTROL!$C$42, 36.9647, 36.9647) * CHOOSE(CONTROL!$C$21, $C$9, 100%, $E$9)</f>
        <v>36.964700000000001</v>
      </c>
      <c r="S955" s="10">
        <f>CHOOSE(CONTROL!$C$42, 34.8526, 34.8526) * CHOOSE(CONTROL!$C$21, $C$9, 100%, $E$9)</f>
        <v>34.852600000000002</v>
      </c>
      <c r="T95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55" s="38">
        <f>(1000*CHOOSE(CONTROL!$C$42, 695, 695)*CHOOSE(CONTROL!$C$42, 0.5599, 0.5599)*CHOOSE(CONTROL!$C$42, 31, 31))/1000000</f>
        <v>12.063045499999998</v>
      </c>
      <c r="V955" s="38">
        <f>(1000*CHOOSE(CONTROL!$C$42, 500, 500)*CHOOSE(CONTROL!$C$42, 0.275, 0.275)*CHOOSE(CONTROL!$C$42, 31, 31))/1000000</f>
        <v>4.2625000000000002</v>
      </c>
      <c r="W955" s="38">
        <f>(1000*CHOOSE(CONTROL!$C$42, 0.1146, 0.1146)*CHOOSE(CONTROL!$C$42, 121.5, 121.5)*CHOOSE(CONTROL!$C$42, 31, 31))/1000000</f>
        <v>0.43164089999999994</v>
      </c>
      <c r="X955" s="38">
        <f>(31*0.1790888*245000/1000000)+(31*0.2374*100000/1000000)</f>
        <v>2.0961194359999999</v>
      </c>
      <c r="Y955" s="38">
        <f>(1000*600*CHOOSE(CONTROL!$C$42, 1.0585, 1.0585)*CHOOSE(CONTROL!$C$42, 31, 31))/1000000</f>
        <v>19.688099999999999</v>
      </c>
      <c r="Z955" s="38"/>
      <c r="AA955" s="10"/>
      <c r="AB955" s="39"/>
      <c r="AC955" s="33">
        <f>(B955*194.205+C955*267.466+D955*133.845+E955*53.484+F955*40+G955*185+H955*0+I955*100+J955*300)/(194.205+267.466+133.845+53.484+0+40+185+100+300)</f>
        <v>35.981923035086339</v>
      </c>
      <c r="AD955" s="27">
        <f>(M955*'RAP TEMPLATE-GAS AVAILABILITY'!O954+N955*'RAP TEMPLATE-GAS AVAILABILITY'!P954+O955*'RAP TEMPLATE-GAS AVAILABILITY'!Q954+P955*'RAP TEMPLATE-GAS AVAILABILITY'!R954)/('RAP TEMPLATE-GAS AVAILABILITY'!O954+'RAP TEMPLATE-GAS AVAILABILITY'!P954+'RAP TEMPLATE-GAS AVAILABILITY'!Q954+'RAP TEMPLATE-GAS AVAILABILITY'!R954)</f>
        <v>35.56507050359712</v>
      </c>
    </row>
    <row r="956" spans="1:30" ht="15.75">
      <c r="A956" s="13">
        <v>70372</v>
      </c>
      <c r="B956" s="10">
        <f>CHOOSE(CONTROL!$C$42, 34.2007, 34.2007) * CHOOSE(CONTROL!$C$21, $C$9, 100%, $E$9)</f>
        <v>34.200699999999998</v>
      </c>
      <c r="C956" s="10">
        <f>CHOOSE(CONTROL!$C$42, 34.2087, 34.2087) * CHOOSE(CONTROL!$C$21, $C$9, 100%, $E$9)</f>
        <v>34.2087</v>
      </c>
      <c r="D956" s="10">
        <f>CHOOSE(CONTROL!$C$42, 34.3657, 34.3657) * CHOOSE(CONTROL!$C$21, $C$9, 100%, $E$9)</f>
        <v>34.365699999999997</v>
      </c>
      <c r="E956" s="10">
        <f>CHOOSE(CONTROL!$C$42, 34.397, 34.397) * CHOOSE(CONTROL!$C$21, $C$9, 100%, $E$9)</f>
        <v>34.396999999999998</v>
      </c>
      <c r="F956" s="10">
        <f>CHOOSE(CONTROL!$C$42, 34.1453, 34.1453)*CHOOSE(CONTROL!$C$21, $C$9, 100%, $E$9)</f>
        <v>34.145299999999999</v>
      </c>
      <c r="G956" s="10">
        <f>CHOOSE(CONTROL!$C$42, 34.1615, 34.1615)*CHOOSE(CONTROL!$C$21, $C$9, 100%, $E$9)</f>
        <v>34.161499999999997</v>
      </c>
      <c r="H956" s="10">
        <f>CHOOSE(CONTROL!$C$42, 34.3853, 34.3853) * CHOOSE(CONTROL!$C$21, $C$9, 100%, $E$9)</f>
        <v>34.385300000000001</v>
      </c>
      <c r="I956" s="10">
        <f>CHOOSE(CONTROL!$C$42, 34.1795, 34.1795)* CHOOSE(CONTROL!$C$21, $C$9, 100%, $E$9)</f>
        <v>34.179499999999997</v>
      </c>
      <c r="J956" s="10">
        <f>CHOOSE(CONTROL!$C$42, 34.1379, 34.1379)* CHOOSE(CONTROL!$C$21, $C$9, 100%, $E$9)</f>
        <v>34.137900000000002</v>
      </c>
      <c r="K956" s="10">
        <f>CHOOSE(CONTROL!$C$42, 33.2727, 33.2727) * CHOOSE(CONTROL!$C$21, $C$9, 100%, $E$9)</f>
        <v>33.2727</v>
      </c>
      <c r="L956" s="10">
        <f>CHOOSE(CONTROL!$C$42, 34.9723, 34.9723) * CHOOSE(CONTROL!$C$21, $C$9, 100%, $E$9)</f>
        <v>34.972299999999997</v>
      </c>
      <c r="M956" s="10">
        <f>CHOOSE(CONTROL!$C$42, 33.6946, 33.6946) * CHOOSE(CONTROL!$C$21, $C$9, 100%, $E$9)</f>
        <v>33.694600000000001</v>
      </c>
      <c r="N956" s="10">
        <f>CHOOSE(CONTROL!$C$42, 33.7106, 33.7106) * CHOOSE(CONTROL!$C$21, $C$9, 100%, $E$9)</f>
        <v>33.710599999999999</v>
      </c>
      <c r="O956" s="10">
        <f>CHOOSE(CONTROL!$C$42, 33.9386, 33.9386) * CHOOSE(CONTROL!$C$21, $C$9, 100%, $E$9)</f>
        <v>33.938600000000001</v>
      </c>
      <c r="P956" s="10">
        <f>CHOOSE(CONTROL!$C$42, 33.7357, 33.7357) * CHOOSE(CONTROL!$C$21, $C$9, 100%, $E$9)</f>
        <v>33.735700000000001</v>
      </c>
      <c r="Q956" s="10">
        <f>CHOOSE(CONTROL!$C$42, 34.5339, 34.5339) * CHOOSE(CONTROL!$C$21, $C$9, 100%, $E$9)</f>
        <v>34.533900000000003</v>
      </c>
      <c r="R956" s="10">
        <f>CHOOSE(CONTROL!$C$42, 35.2072, 35.2072) * CHOOSE(CONTROL!$C$21, $C$9, 100%, $E$9)</f>
        <v>35.2072</v>
      </c>
      <c r="S956" s="10">
        <f>CHOOSE(CONTROL!$C$42, 33.1311, 33.1311) * CHOOSE(CONTROL!$C$21, $C$9, 100%, $E$9)</f>
        <v>33.131100000000004</v>
      </c>
      <c r="T95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56" s="38">
        <f>(1000*CHOOSE(CONTROL!$C$42, 695, 695)*CHOOSE(CONTROL!$C$42, 0.5599, 0.5599)*CHOOSE(CONTROL!$C$42, 31, 31))/1000000</f>
        <v>12.063045499999998</v>
      </c>
      <c r="V956" s="38">
        <f>(1000*CHOOSE(CONTROL!$C$42, 500, 500)*CHOOSE(CONTROL!$C$42, 0.275, 0.275)*CHOOSE(CONTROL!$C$42, 31, 31))/1000000</f>
        <v>4.2625000000000002</v>
      </c>
      <c r="W956" s="38">
        <f>(1000*CHOOSE(CONTROL!$C$42, 0.1146, 0.1146)*CHOOSE(CONTROL!$C$42, 121.5, 121.5)*CHOOSE(CONTROL!$C$42, 31, 31))/1000000</f>
        <v>0.43164089999999994</v>
      </c>
      <c r="X956" s="38">
        <f>(31*0.1790888*245000/1000000)+(31*0.2374*100000/1000000)</f>
        <v>2.0961194359999999</v>
      </c>
      <c r="Y956" s="38">
        <f>(1000*600*CHOOSE(CONTROL!$C$42, 1.0585, 1.0585)*CHOOSE(CONTROL!$C$42, 31, 31))/1000000</f>
        <v>19.688099999999999</v>
      </c>
      <c r="Z956" s="38"/>
      <c r="AA956" s="10"/>
      <c r="AB956" s="39"/>
      <c r="AC956" s="33">
        <f>(B956*194.205+C956*267.466+D956*133.845+E956*53.484+F956*40+G956*185+H956*0+I956*100+J956*300)/(194.205+267.466+133.845+53.484+0+40+185+100+300)</f>
        <v>34.204071320408161</v>
      </c>
      <c r="AD956" s="27">
        <f>(M956*'RAP TEMPLATE-GAS AVAILABILITY'!O955+N956*'RAP TEMPLATE-GAS AVAILABILITY'!P955+O956*'RAP TEMPLATE-GAS AVAILABILITY'!Q955+P956*'RAP TEMPLATE-GAS AVAILABILITY'!R955)/('RAP TEMPLATE-GAS AVAILABILITY'!O955+'RAP TEMPLATE-GAS AVAILABILITY'!P955+'RAP TEMPLATE-GAS AVAILABILITY'!Q955+'RAP TEMPLATE-GAS AVAILABILITY'!R955)</f>
        <v>33.812024460431651</v>
      </c>
    </row>
    <row r="957" spans="1:30" ht="15.75">
      <c r="A957" s="13">
        <v>70402</v>
      </c>
      <c r="B957" s="10">
        <f>CHOOSE(CONTROL!$C$42, 32.0285, 32.0285) * CHOOSE(CONTROL!$C$21, $C$9, 100%, $E$9)</f>
        <v>32.028500000000001</v>
      </c>
      <c r="C957" s="10">
        <f>CHOOSE(CONTROL!$C$42, 32.0365, 32.0365) * CHOOSE(CONTROL!$C$21, $C$9, 100%, $E$9)</f>
        <v>32.036499999999997</v>
      </c>
      <c r="D957" s="10">
        <f>CHOOSE(CONTROL!$C$42, 32.1935, 32.1935) * CHOOSE(CONTROL!$C$21, $C$9, 100%, $E$9)</f>
        <v>32.1935</v>
      </c>
      <c r="E957" s="10">
        <f>CHOOSE(CONTROL!$C$42, 32.2248, 32.2248) * CHOOSE(CONTROL!$C$21, $C$9, 100%, $E$9)</f>
        <v>32.224800000000002</v>
      </c>
      <c r="F957" s="10">
        <f>CHOOSE(CONTROL!$C$42, 31.9729, 31.9729)*CHOOSE(CONTROL!$C$21, $C$9, 100%, $E$9)</f>
        <v>31.972899999999999</v>
      </c>
      <c r="G957" s="10">
        <f>CHOOSE(CONTROL!$C$42, 31.989, 31.989)*CHOOSE(CONTROL!$C$21, $C$9, 100%, $E$9)</f>
        <v>31.989000000000001</v>
      </c>
      <c r="H957" s="10">
        <f>CHOOSE(CONTROL!$C$42, 32.2131, 32.2131) * CHOOSE(CONTROL!$C$21, $C$9, 100%, $E$9)</f>
        <v>32.213099999999997</v>
      </c>
      <c r="I957" s="10">
        <f>CHOOSE(CONTROL!$C$42, 32.0073, 32.0073)* CHOOSE(CONTROL!$C$21, $C$9, 100%, $E$9)</f>
        <v>32.007300000000001</v>
      </c>
      <c r="J957" s="10">
        <f>CHOOSE(CONTROL!$C$42, 31.9655, 31.9655)* CHOOSE(CONTROL!$C$21, $C$9, 100%, $E$9)</f>
        <v>31.965499999999999</v>
      </c>
      <c r="K957" s="10">
        <f>CHOOSE(CONTROL!$C$42, 31.1679, 31.1679) * CHOOSE(CONTROL!$C$21, $C$9, 100%, $E$9)</f>
        <v>31.167899999999999</v>
      </c>
      <c r="L957" s="10">
        <f>CHOOSE(CONTROL!$C$42, 32.8001, 32.8001) * CHOOSE(CONTROL!$C$21, $C$9, 100%, $E$9)</f>
        <v>32.8001</v>
      </c>
      <c r="M957" s="10">
        <f>CHOOSE(CONTROL!$C$42, 31.5525, 31.5525) * CHOOSE(CONTROL!$C$21, $C$9, 100%, $E$9)</f>
        <v>31.552499999999998</v>
      </c>
      <c r="N957" s="10">
        <f>CHOOSE(CONTROL!$C$42, 31.5685, 31.5685) * CHOOSE(CONTROL!$C$21, $C$9, 100%, $E$9)</f>
        <v>31.5685</v>
      </c>
      <c r="O957" s="10">
        <f>CHOOSE(CONTROL!$C$42, 31.7967, 31.7967) * CHOOSE(CONTROL!$C$21, $C$9, 100%, $E$9)</f>
        <v>31.796700000000001</v>
      </c>
      <c r="P957" s="10">
        <f>CHOOSE(CONTROL!$C$42, 31.5938, 31.5938) * CHOOSE(CONTROL!$C$21, $C$9, 100%, $E$9)</f>
        <v>31.593800000000002</v>
      </c>
      <c r="Q957" s="10">
        <f>CHOOSE(CONTROL!$C$42, 32.392, 32.392) * CHOOSE(CONTROL!$C$21, $C$9, 100%, $E$9)</f>
        <v>32.392000000000003</v>
      </c>
      <c r="R957" s="10">
        <f>CHOOSE(CONTROL!$C$42, 33.06, 33.06) * CHOOSE(CONTROL!$C$21, $C$9, 100%, $E$9)</f>
        <v>33.06</v>
      </c>
      <c r="S957" s="10">
        <f>CHOOSE(CONTROL!$C$42, 31.0278, 31.0278) * CHOOSE(CONTROL!$C$21, $C$9, 100%, $E$9)</f>
        <v>31.027799999999999</v>
      </c>
      <c r="T95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57" s="38">
        <f>(1000*CHOOSE(CONTROL!$C$42, 695, 695)*CHOOSE(CONTROL!$C$42, 0.5599, 0.5599)*CHOOSE(CONTROL!$C$42, 30, 30))/1000000</f>
        <v>11.673914999999997</v>
      </c>
      <c r="V957" s="38">
        <f>(1000*CHOOSE(CONTROL!$C$42, 500, 500)*CHOOSE(CONTROL!$C$42, 0.275, 0.275)*CHOOSE(CONTROL!$C$42, 30, 30))/1000000</f>
        <v>4.125</v>
      </c>
      <c r="W957" s="38">
        <f>(1000*CHOOSE(CONTROL!$C$42, 0.1146, 0.1146)*CHOOSE(CONTROL!$C$42, 121.5, 121.5)*CHOOSE(CONTROL!$C$42, 30, 30))/1000000</f>
        <v>0.417717</v>
      </c>
      <c r="X957" s="38">
        <f>(30*0.1790888*245000/1000000)+(30*0.2374*100000/1000000)</f>
        <v>2.0285026799999999</v>
      </c>
      <c r="Y957" s="38">
        <f>(1000*600*CHOOSE(CONTROL!$C$42, 1.0585, 1.0585)*CHOOSE(CONTROL!$C$42, 30, 30))/1000000</f>
        <v>19.053000000000001</v>
      </c>
      <c r="Z957" s="38"/>
      <c r="AA957" s="10"/>
      <c r="AB957" s="39"/>
      <c r="AC957" s="33">
        <f>(B957*194.205+C957*267.466+D957*133.845+E957*53.484+F957*40+G957*185+H957*0+I957*100+J957*300)/(194.205+267.466+133.845+53.484+0+40+185+100+300)</f>
        <v>32.031774381632651</v>
      </c>
      <c r="AD957" s="27">
        <f>(M957*'RAP TEMPLATE-GAS AVAILABILITY'!O956+N957*'RAP TEMPLATE-GAS AVAILABILITY'!P956+O957*'RAP TEMPLATE-GAS AVAILABILITY'!Q956+P957*'RAP TEMPLATE-GAS AVAILABILITY'!R956)/('RAP TEMPLATE-GAS AVAILABILITY'!O956+'RAP TEMPLATE-GAS AVAILABILITY'!P956+'RAP TEMPLATE-GAS AVAILABILITY'!Q956+'RAP TEMPLATE-GAS AVAILABILITY'!R956)</f>
        <v>31.670043884892088</v>
      </c>
    </row>
    <row r="958" spans="1:30" ht="15.75">
      <c r="A958" s="13">
        <v>70433</v>
      </c>
      <c r="B958" s="10">
        <f>CHOOSE(CONTROL!$C$42, 31.3757, 31.3757) * CHOOSE(CONTROL!$C$21, $C$9, 100%, $E$9)</f>
        <v>31.375699999999998</v>
      </c>
      <c r="C958" s="10">
        <f>CHOOSE(CONTROL!$C$42, 31.3811, 31.3811) * CHOOSE(CONTROL!$C$21, $C$9, 100%, $E$9)</f>
        <v>31.3811</v>
      </c>
      <c r="D958" s="10">
        <f>CHOOSE(CONTROL!$C$42, 31.543, 31.543) * CHOOSE(CONTROL!$C$21, $C$9, 100%, $E$9)</f>
        <v>31.542999999999999</v>
      </c>
      <c r="E958" s="10">
        <f>CHOOSE(CONTROL!$C$42, 31.5719, 31.5719) * CHOOSE(CONTROL!$C$21, $C$9, 100%, $E$9)</f>
        <v>31.571899999999999</v>
      </c>
      <c r="F958" s="10">
        <f>CHOOSE(CONTROL!$C$42, 31.3221, 31.3221)*CHOOSE(CONTROL!$C$21, $C$9, 100%, $E$9)</f>
        <v>31.322099999999999</v>
      </c>
      <c r="G958" s="10">
        <f>CHOOSE(CONTROL!$C$42, 31.3379, 31.3379)*CHOOSE(CONTROL!$C$21, $C$9, 100%, $E$9)</f>
        <v>31.337900000000001</v>
      </c>
      <c r="H958" s="10">
        <f>CHOOSE(CONTROL!$C$42, 31.562, 31.562) * CHOOSE(CONTROL!$C$21, $C$9, 100%, $E$9)</f>
        <v>31.562000000000001</v>
      </c>
      <c r="I958" s="10">
        <f>CHOOSE(CONTROL!$C$42, 31.3562, 31.3562)* CHOOSE(CONTROL!$C$21, $C$9, 100%, $E$9)</f>
        <v>31.356200000000001</v>
      </c>
      <c r="J958" s="10">
        <f>CHOOSE(CONTROL!$C$42, 31.3147, 31.3147)* CHOOSE(CONTROL!$C$21, $C$9, 100%, $E$9)</f>
        <v>31.314699999999998</v>
      </c>
      <c r="K958" s="10">
        <f>CHOOSE(CONTROL!$C$42, 30.5378, 30.5378) * CHOOSE(CONTROL!$C$21, $C$9, 100%, $E$9)</f>
        <v>30.537800000000001</v>
      </c>
      <c r="L958" s="10">
        <f>CHOOSE(CONTROL!$C$42, 32.149, 32.149) * CHOOSE(CONTROL!$C$21, $C$9, 100%, $E$9)</f>
        <v>32.149000000000001</v>
      </c>
      <c r="M958" s="10">
        <f>CHOOSE(CONTROL!$C$42, 30.9109, 30.9109) * CHOOSE(CONTROL!$C$21, $C$9, 100%, $E$9)</f>
        <v>30.910900000000002</v>
      </c>
      <c r="N958" s="10">
        <f>CHOOSE(CONTROL!$C$42, 30.9265, 30.9265) * CHOOSE(CONTROL!$C$21, $C$9, 100%, $E$9)</f>
        <v>30.926500000000001</v>
      </c>
      <c r="O958" s="10">
        <f>CHOOSE(CONTROL!$C$42, 31.1547, 31.1547) * CHOOSE(CONTROL!$C$21, $C$9, 100%, $E$9)</f>
        <v>31.154699999999998</v>
      </c>
      <c r="P958" s="10">
        <f>CHOOSE(CONTROL!$C$42, 30.9519, 30.9519) * CHOOSE(CONTROL!$C$21, $C$9, 100%, $E$9)</f>
        <v>30.951899999999998</v>
      </c>
      <c r="Q958" s="10">
        <f>CHOOSE(CONTROL!$C$42, 31.75, 31.75) * CHOOSE(CONTROL!$C$21, $C$9, 100%, $E$9)</f>
        <v>31.75</v>
      </c>
      <c r="R958" s="10">
        <f>CHOOSE(CONTROL!$C$42, 32.4164, 32.4164) * CHOOSE(CONTROL!$C$21, $C$9, 100%, $E$9)</f>
        <v>32.416400000000003</v>
      </c>
      <c r="S958" s="10">
        <f>CHOOSE(CONTROL!$C$42, 30.3974, 30.3974) * CHOOSE(CONTROL!$C$21, $C$9, 100%, $E$9)</f>
        <v>30.397400000000001</v>
      </c>
      <c r="T95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58" s="38">
        <f>(1000*CHOOSE(CONTROL!$C$42, 695, 695)*CHOOSE(CONTROL!$C$42, 0.5599, 0.5599)*CHOOSE(CONTROL!$C$42, 31, 31))/1000000</f>
        <v>12.063045499999998</v>
      </c>
      <c r="V958" s="38">
        <f>(1000*CHOOSE(CONTROL!$C$42, 500, 500)*CHOOSE(CONTROL!$C$42, 0.275, 0.275)*CHOOSE(CONTROL!$C$42, 31, 31))/1000000</f>
        <v>4.2625000000000002</v>
      </c>
      <c r="W958" s="38">
        <f>(1000*CHOOSE(CONTROL!$C$42, 0.1146, 0.1146)*CHOOSE(CONTROL!$C$42, 121.5, 121.5)*CHOOSE(CONTROL!$C$42, 31, 31))/1000000</f>
        <v>0.43164089999999994</v>
      </c>
      <c r="X958" s="38">
        <f>(31*0.1790888*245000/1000000)+(31*0.2374*100000/1000000)</f>
        <v>2.0961194359999999</v>
      </c>
      <c r="Y958" s="38">
        <f>(1000*600*CHOOSE(CONTROL!$C$42, 1.0585, 1.0585)*CHOOSE(CONTROL!$C$42, 31, 31))/1000000</f>
        <v>19.688099999999999</v>
      </c>
      <c r="Z958" s="38"/>
      <c r="AA958" s="10"/>
      <c r="AB958" s="39"/>
      <c r="AC958" s="33">
        <f>(B958*131.881+C958*277.167+D958*79.08+E958*125.872+F958*40+G958*185+H958*0+I958*100+J958*300)/(131.881+277.167+79.08+125.872+0+40+185+100+300)</f>
        <v>31.38379997756255</v>
      </c>
      <c r="AD958" s="27">
        <f>(M958*'RAP TEMPLATE-GAS AVAILABILITY'!O957+N958*'RAP TEMPLATE-GAS AVAILABILITY'!P957+O958*'RAP TEMPLATE-GAS AVAILABILITY'!Q957+P958*'RAP TEMPLATE-GAS AVAILABILITY'!R957)/('RAP TEMPLATE-GAS AVAILABILITY'!O957+'RAP TEMPLATE-GAS AVAILABILITY'!P957+'RAP TEMPLATE-GAS AVAILABILITY'!Q957+'RAP TEMPLATE-GAS AVAILABILITY'!R957)</f>
        <v>31.028196402877693</v>
      </c>
    </row>
    <row r="959" spans="1:30" ht="15.75">
      <c r="A959" s="13">
        <v>70463</v>
      </c>
      <c r="B959" s="10">
        <f>CHOOSE(CONTROL!$C$42, 32.2023, 32.2023) * CHOOSE(CONTROL!$C$21, $C$9, 100%, $E$9)</f>
        <v>32.202300000000001</v>
      </c>
      <c r="C959" s="10">
        <f>CHOOSE(CONTROL!$C$42, 32.2074, 32.2074) * CHOOSE(CONTROL!$C$21, $C$9, 100%, $E$9)</f>
        <v>32.2074</v>
      </c>
      <c r="D959" s="10">
        <f>CHOOSE(CONTROL!$C$42, 32.2321, 32.2321) * CHOOSE(CONTROL!$C$21, $C$9, 100%, $E$9)</f>
        <v>32.232100000000003</v>
      </c>
      <c r="E959" s="10">
        <f>CHOOSE(CONTROL!$C$42, 32.2659, 32.2659) * CHOOSE(CONTROL!$C$21, $C$9, 100%, $E$9)</f>
        <v>32.265900000000002</v>
      </c>
      <c r="F959" s="10">
        <f>CHOOSE(CONTROL!$C$42, 32.1706, 32.1706)*CHOOSE(CONTROL!$C$21, $C$9, 100%, $E$9)</f>
        <v>32.1706</v>
      </c>
      <c r="G959" s="10">
        <f>CHOOSE(CONTROL!$C$42, 32.1867, 32.1867)*CHOOSE(CONTROL!$C$21, $C$9, 100%, $E$9)</f>
        <v>32.186700000000002</v>
      </c>
      <c r="H959" s="10">
        <f>CHOOSE(CONTROL!$C$42, 32.2548, 32.2548) * CHOOSE(CONTROL!$C$21, $C$9, 100%, $E$9)</f>
        <v>32.254800000000003</v>
      </c>
      <c r="I959" s="10">
        <f>CHOOSE(CONTROL!$C$42, 32.2173, 32.2173)* CHOOSE(CONTROL!$C$21, $C$9, 100%, $E$9)</f>
        <v>32.217300000000002</v>
      </c>
      <c r="J959" s="10">
        <f>CHOOSE(CONTROL!$C$42, 32.1632, 32.1632)* CHOOSE(CONTROL!$C$21, $C$9, 100%, $E$9)</f>
        <v>32.163200000000003</v>
      </c>
      <c r="K959" s="10">
        <f>CHOOSE(CONTROL!$C$42, 31.3742, 31.3742) * CHOOSE(CONTROL!$C$21, $C$9, 100%, $E$9)</f>
        <v>31.374199999999998</v>
      </c>
      <c r="L959" s="10">
        <f>CHOOSE(CONTROL!$C$42, 32.8418, 32.8418) * CHOOSE(CONTROL!$C$21, $C$9, 100%, $E$9)</f>
        <v>32.841799999999999</v>
      </c>
      <c r="M959" s="10">
        <f>CHOOSE(CONTROL!$C$42, 31.7476, 31.7476) * CHOOSE(CONTROL!$C$21, $C$9, 100%, $E$9)</f>
        <v>31.747599999999998</v>
      </c>
      <c r="N959" s="10">
        <f>CHOOSE(CONTROL!$C$42, 31.7633, 31.7633) * CHOOSE(CONTROL!$C$21, $C$9, 100%, $E$9)</f>
        <v>31.763300000000001</v>
      </c>
      <c r="O959" s="10">
        <f>CHOOSE(CONTROL!$C$42, 31.8378, 31.8378) * CHOOSE(CONTROL!$C$21, $C$9, 100%, $E$9)</f>
        <v>31.837800000000001</v>
      </c>
      <c r="P959" s="10">
        <f>CHOOSE(CONTROL!$C$42, 31.8009, 31.8009) * CHOOSE(CONTROL!$C$21, $C$9, 100%, $E$9)</f>
        <v>31.800899999999999</v>
      </c>
      <c r="Q959" s="10">
        <f>CHOOSE(CONTROL!$C$42, 32.4331, 32.4331) * CHOOSE(CONTROL!$C$21, $C$9, 100%, $E$9)</f>
        <v>32.433100000000003</v>
      </c>
      <c r="R959" s="10">
        <f>CHOOSE(CONTROL!$C$42, 33.1012, 33.1012) * CHOOSE(CONTROL!$C$21, $C$9, 100%, $E$9)</f>
        <v>33.101199999999999</v>
      </c>
      <c r="S959" s="10">
        <f>CHOOSE(CONTROL!$C$42, 31.1982, 31.1982) * CHOOSE(CONTROL!$C$21, $C$9, 100%, $E$9)</f>
        <v>31.1982</v>
      </c>
      <c r="T95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59" s="38">
        <f>(1000*CHOOSE(CONTROL!$C$42, 695, 695)*CHOOSE(CONTROL!$C$42, 0.5599, 0.5599)*CHOOSE(CONTROL!$C$42, 30, 30))/1000000</f>
        <v>11.673914999999997</v>
      </c>
      <c r="V959" s="38">
        <f>(1000*CHOOSE(CONTROL!$C$42, 500, 500)*CHOOSE(CONTROL!$C$42, 0.275, 0.275)*CHOOSE(CONTROL!$C$42, 30, 30))/1000000</f>
        <v>4.125</v>
      </c>
      <c r="W959" s="38">
        <f>(1000*CHOOSE(CONTROL!$C$42, 0.1146, 0.1146)*CHOOSE(CONTROL!$C$42, 121.5, 121.5)*CHOOSE(CONTROL!$C$42, 30, 30))/1000000</f>
        <v>0.417717</v>
      </c>
      <c r="X959" s="38">
        <f>(30*0.1790888*100000/1000000)+(30*0.2374*100000/1000000)</f>
        <v>1.2494664</v>
      </c>
      <c r="Y959" s="38">
        <f>(1000*600*CHOOSE(CONTROL!$C$42, 1.0585, 1.0585)*CHOOSE(CONTROL!$C$42, 30, 30))/1000000</f>
        <v>19.053000000000001</v>
      </c>
      <c r="Z959" s="38"/>
      <c r="AA959" s="10"/>
      <c r="AB959" s="39"/>
      <c r="AC959" s="33">
        <f>(B959*122.58+C959*297.941+D959*89.177+E959*40.302+F959*40+G959*160+H959*0+I959*100+J959*300)/(122.58+297.941+89.177+40.302+0+40+160+100+300)</f>
        <v>32.19599233121739</v>
      </c>
      <c r="AD959" s="27">
        <f>(M959*'RAP TEMPLATE-GAS AVAILABILITY'!O958+N959*'RAP TEMPLATE-GAS AVAILABILITY'!P958+O959*'RAP TEMPLATE-GAS AVAILABILITY'!Q958+P959*'RAP TEMPLATE-GAS AVAILABILITY'!R958)/('RAP TEMPLATE-GAS AVAILABILITY'!O958+'RAP TEMPLATE-GAS AVAILABILITY'!P958+'RAP TEMPLATE-GAS AVAILABILITY'!Q958+'RAP TEMPLATE-GAS AVAILABILITY'!R958)</f>
        <v>31.797054676258995</v>
      </c>
    </row>
    <row r="960" spans="1:30" ht="15.75">
      <c r="A960" s="13">
        <v>70494</v>
      </c>
      <c r="B960" s="10">
        <f>CHOOSE(CONTROL!$C$42, 34.399, 34.399) * CHOOSE(CONTROL!$C$21, $C$9, 100%, $E$9)</f>
        <v>34.399000000000001</v>
      </c>
      <c r="C960" s="10">
        <f>CHOOSE(CONTROL!$C$42, 34.4041, 34.4041) * CHOOSE(CONTROL!$C$21, $C$9, 100%, $E$9)</f>
        <v>34.4041</v>
      </c>
      <c r="D960" s="10">
        <f>CHOOSE(CONTROL!$C$42, 34.4288, 34.4288) * CHOOSE(CONTROL!$C$21, $C$9, 100%, $E$9)</f>
        <v>34.428800000000003</v>
      </c>
      <c r="E960" s="10">
        <f>CHOOSE(CONTROL!$C$42, 34.4626, 34.4626) * CHOOSE(CONTROL!$C$21, $C$9, 100%, $E$9)</f>
        <v>34.462600000000002</v>
      </c>
      <c r="F960" s="10">
        <f>CHOOSE(CONTROL!$C$42, 34.3692, 34.3692)*CHOOSE(CONTROL!$C$21, $C$9, 100%, $E$9)</f>
        <v>34.369199999999999</v>
      </c>
      <c r="G960" s="10">
        <f>CHOOSE(CONTROL!$C$42, 34.3857, 34.3857)*CHOOSE(CONTROL!$C$21, $C$9, 100%, $E$9)</f>
        <v>34.3857</v>
      </c>
      <c r="H960" s="10">
        <f>CHOOSE(CONTROL!$C$42, 34.4514, 34.4514) * CHOOSE(CONTROL!$C$21, $C$9, 100%, $E$9)</f>
        <v>34.4514</v>
      </c>
      <c r="I960" s="10">
        <f>CHOOSE(CONTROL!$C$42, 34.414, 34.414)* CHOOSE(CONTROL!$C$21, $C$9, 100%, $E$9)</f>
        <v>34.414000000000001</v>
      </c>
      <c r="J960" s="10">
        <f>CHOOSE(CONTROL!$C$42, 34.3618, 34.3618)* CHOOSE(CONTROL!$C$21, $C$9, 100%, $E$9)</f>
        <v>34.361800000000002</v>
      </c>
      <c r="K960" s="10">
        <f>CHOOSE(CONTROL!$C$42, 33.5064, 33.5064) * CHOOSE(CONTROL!$C$21, $C$9, 100%, $E$9)</f>
        <v>33.506399999999999</v>
      </c>
      <c r="L960" s="10">
        <f>CHOOSE(CONTROL!$C$42, 35.0384, 35.0384) * CHOOSE(CONTROL!$C$21, $C$9, 100%, $E$9)</f>
        <v>35.038400000000003</v>
      </c>
      <c r="M960" s="10">
        <f>CHOOSE(CONTROL!$C$42, 33.9155, 33.9155) * CHOOSE(CONTROL!$C$21, $C$9, 100%, $E$9)</f>
        <v>33.915500000000002</v>
      </c>
      <c r="N960" s="10">
        <f>CHOOSE(CONTROL!$C$42, 33.9317, 33.9317) * CHOOSE(CONTROL!$C$21, $C$9, 100%, $E$9)</f>
        <v>33.931699999999999</v>
      </c>
      <c r="O960" s="10">
        <f>CHOOSE(CONTROL!$C$42, 34.0038, 34.0038) * CHOOSE(CONTROL!$C$21, $C$9, 100%, $E$9)</f>
        <v>34.003799999999998</v>
      </c>
      <c r="P960" s="10">
        <f>CHOOSE(CONTROL!$C$42, 33.9669, 33.9669) * CHOOSE(CONTROL!$C$21, $C$9, 100%, $E$9)</f>
        <v>33.966900000000003</v>
      </c>
      <c r="Q960" s="10">
        <f>CHOOSE(CONTROL!$C$42, 34.5991, 34.5991) * CHOOSE(CONTROL!$C$21, $C$9, 100%, $E$9)</f>
        <v>34.5991</v>
      </c>
      <c r="R960" s="10">
        <f>CHOOSE(CONTROL!$C$42, 35.2726, 35.2726) * CHOOSE(CONTROL!$C$21, $C$9, 100%, $E$9)</f>
        <v>35.272599999999997</v>
      </c>
      <c r="S960" s="10">
        <f>CHOOSE(CONTROL!$C$42, 33.3252, 33.3252) * CHOOSE(CONTROL!$C$21, $C$9, 100%, $E$9)</f>
        <v>33.325200000000002</v>
      </c>
      <c r="T96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60" s="38">
        <f>(1000*CHOOSE(CONTROL!$C$42, 695, 695)*CHOOSE(CONTROL!$C$42, 0.5599, 0.5599)*CHOOSE(CONTROL!$C$42, 31, 31))/1000000</f>
        <v>12.063045499999998</v>
      </c>
      <c r="V960" s="38">
        <f>(1000*CHOOSE(CONTROL!$C$42, 500, 500)*CHOOSE(CONTROL!$C$42, 0.275, 0.275)*CHOOSE(CONTROL!$C$42, 31, 31))/1000000</f>
        <v>4.2625000000000002</v>
      </c>
      <c r="W960" s="38">
        <f>(1000*CHOOSE(CONTROL!$C$42, 0.1146, 0.1146)*CHOOSE(CONTROL!$C$42, 121.5, 121.5)*CHOOSE(CONTROL!$C$42, 31, 31))/1000000</f>
        <v>0.43164089999999994</v>
      </c>
      <c r="X960" s="38">
        <f>(31*0.1790888*100000/1000000)+(31*0.2374*100000/1000000)</f>
        <v>1.2911152800000001</v>
      </c>
      <c r="Y960" s="38">
        <f>(1000*600*CHOOSE(CONTROL!$C$42, 1.0585, 1.0585)*CHOOSE(CONTROL!$C$42, 31, 31))/1000000</f>
        <v>19.688099999999999</v>
      </c>
      <c r="Z960" s="38"/>
      <c r="AA960" s="10"/>
      <c r="AB960" s="39"/>
      <c r="AC960" s="33">
        <f>(B960*122.58+C960*297.941+D960*89.177+E960*40.302+F960*40+G960*160+H960*0+I960*100+J960*300)/(122.58+297.941+89.177+40.302+0+40+160+100+300)</f>
        <v>34.393574070347825</v>
      </c>
      <c r="AD960" s="27">
        <f>(M960*'RAP TEMPLATE-GAS AVAILABILITY'!O959+N960*'RAP TEMPLATE-GAS AVAILABILITY'!P959+O960*'RAP TEMPLATE-GAS AVAILABILITY'!Q959+P960*'RAP TEMPLATE-GAS AVAILABILITY'!R959)/('RAP TEMPLATE-GAS AVAILABILITY'!O959+'RAP TEMPLATE-GAS AVAILABILITY'!P959+'RAP TEMPLATE-GAS AVAILABILITY'!Q959+'RAP TEMPLATE-GAS AVAILABILITY'!R959)</f>
        <v>33.963848920863306</v>
      </c>
    </row>
    <row r="961" spans="1:30" ht="15.75">
      <c r="A961" s="13">
        <v>70525</v>
      </c>
      <c r="B961" s="10">
        <f>CHOOSE(CONTROL!$C$42, 36.7218, 36.7218) * CHOOSE(CONTROL!$C$21, $C$9, 100%, $E$9)</f>
        <v>36.721800000000002</v>
      </c>
      <c r="C961" s="10">
        <f>CHOOSE(CONTROL!$C$42, 36.7269, 36.7269) * CHOOSE(CONTROL!$C$21, $C$9, 100%, $E$9)</f>
        <v>36.726900000000001</v>
      </c>
      <c r="D961" s="10">
        <f>CHOOSE(CONTROL!$C$42, 36.7593, 36.7593) * CHOOSE(CONTROL!$C$21, $C$9, 100%, $E$9)</f>
        <v>36.759300000000003</v>
      </c>
      <c r="E961" s="10">
        <f>CHOOSE(CONTROL!$C$42, 36.7931, 36.7931) * CHOOSE(CONTROL!$C$21, $C$9, 100%, $E$9)</f>
        <v>36.793100000000003</v>
      </c>
      <c r="F961" s="10">
        <f>CHOOSE(CONTROL!$C$42, 36.706, 36.706)*CHOOSE(CONTROL!$C$21, $C$9, 100%, $E$9)</f>
        <v>36.706000000000003</v>
      </c>
      <c r="G961" s="10">
        <f>CHOOSE(CONTROL!$C$42, 36.724, 36.724)*CHOOSE(CONTROL!$C$21, $C$9, 100%, $E$9)</f>
        <v>36.723999999999997</v>
      </c>
      <c r="H961" s="10">
        <f>CHOOSE(CONTROL!$C$42, 36.782, 36.782) * CHOOSE(CONTROL!$C$21, $C$9, 100%, $E$9)</f>
        <v>36.781999999999996</v>
      </c>
      <c r="I961" s="10">
        <f>CHOOSE(CONTROL!$C$42, 36.7352, 36.7352)* CHOOSE(CONTROL!$C$21, $C$9, 100%, $E$9)</f>
        <v>36.735199999999999</v>
      </c>
      <c r="J961" s="10">
        <f>CHOOSE(CONTROL!$C$42, 36.6986, 36.6986)* CHOOSE(CONTROL!$C$21, $C$9, 100%, $E$9)</f>
        <v>36.698599999999999</v>
      </c>
      <c r="K961" s="10">
        <f>CHOOSE(CONTROL!$C$42, 35.7692, 35.7692) * CHOOSE(CONTROL!$C$21, $C$9, 100%, $E$9)</f>
        <v>35.769199999999998</v>
      </c>
      <c r="L961" s="10">
        <f>CHOOSE(CONTROL!$C$42, 37.369, 37.369) * CHOOSE(CONTROL!$C$21, $C$9, 100%, $E$9)</f>
        <v>37.369</v>
      </c>
      <c r="M961" s="10">
        <f>CHOOSE(CONTROL!$C$42, 36.2196, 36.2196) * CHOOSE(CONTROL!$C$21, $C$9, 100%, $E$9)</f>
        <v>36.2196</v>
      </c>
      <c r="N961" s="10">
        <f>CHOOSE(CONTROL!$C$42, 36.2374, 36.2374) * CHOOSE(CONTROL!$C$21, $C$9, 100%, $E$9)</f>
        <v>36.237400000000001</v>
      </c>
      <c r="O961" s="10">
        <f>CHOOSE(CONTROL!$C$42, 36.3019, 36.3019) * CHOOSE(CONTROL!$C$21, $C$9, 100%, $E$9)</f>
        <v>36.301900000000003</v>
      </c>
      <c r="P961" s="10">
        <f>CHOOSE(CONTROL!$C$42, 36.2558, 36.2558) * CHOOSE(CONTROL!$C$21, $C$9, 100%, $E$9)</f>
        <v>36.255800000000001</v>
      </c>
      <c r="Q961" s="10">
        <f>CHOOSE(CONTROL!$C$42, 36.8972, 36.8972) * CHOOSE(CONTROL!$C$21, $C$9, 100%, $E$9)</f>
        <v>36.897199999999998</v>
      </c>
      <c r="R961" s="10">
        <f>CHOOSE(CONTROL!$C$42, 37.5764, 37.5764) * CHOOSE(CONTROL!$C$21, $C$9, 100%, $E$9)</f>
        <v>37.5764</v>
      </c>
      <c r="S961" s="10">
        <f>CHOOSE(CONTROL!$C$42, 35.5744, 35.5744) * CHOOSE(CONTROL!$C$21, $C$9, 100%, $E$9)</f>
        <v>35.574399999999997</v>
      </c>
      <c r="T96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61" s="38">
        <f>(1000*CHOOSE(CONTROL!$C$42, 695, 695)*CHOOSE(CONTROL!$C$42, 0.5599, 0.5599)*CHOOSE(CONTROL!$C$42, 31, 31))/1000000</f>
        <v>12.063045499999998</v>
      </c>
      <c r="V961" s="38">
        <f>(1000*CHOOSE(CONTROL!$C$42, 500, 500)*CHOOSE(CONTROL!$C$42, 0.275, 0.275)*CHOOSE(CONTROL!$C$42, 31, 31))/1000000</f>
        <v>4.2625000000000002</v>
      </c>
      <c r="W961" s="38">
        <f>(1000*CHOOSE(CONTROL!$C$42, 0.1146, 0.1146)*CHOOSE(CONTROL!$C$42, 121.5, 121.5)*CHOOSE(CONTROL!$C$42, 31, 31))/1000000</f>
        <v>0.43164089999999994</v>
      </c>
      <c r="X961" s="38">
        <f>(31*0.1790888*100000/1000000)+(31*0.2374*100000/1000000)</f>
        <v>1.2911152800000001</v>
      </c>
      <c r="Y961" s="38">
        <f>(1000*600*CHOOSE(CONTROL!$C$42, 1.0585, 1.0585)*CHOOSE(CONTROL!$C$42, 31, 31))/1000000</f>
        <v>19.688099999999999</v>
      </c>
      <c r="Z961" s="38"/>
      <c r="AA961" s="10"/>
      <c r="AB961" s="39"/>
      <c r="AC961" s="33">
        <f>(B961*122.58+C961*297.941+D961*89.177+E961*40.302+F961*40+G961*160+H961*0+I961*100+J961*300)/(122.58+297.941+89.177+40.302+0+40+160+100+300)</f>
        <v>36.723397538434781</v>
      </c>
      <c r="AD961" s="27">
        <f>(M961*'RAP TEMPLATE-GAS AVAILABILITY'!O960+N961*'RAP TEMPLATE-GAS AVAILABILITY'!P960+O961*'RAP TEMPLATE-GAS AVAILABILITY'!Q960+P961*'RAP TEMPLATE-GAS AVAILABILITY'!R960)/('RAP TEMPLATE-GAS AVAILABILITY'!O960+'RAP TEMPLATE-GAS AVAILABILITY'!P960+'RAP TEMPLATE-GAS AVAILABILITY'!Q960+'RAP TEMPLATE-GAS AVAILABILITY'!R960)</f>
        <v>36.26313453237411</v>
      </c>
    </row>
    <row r="962" spans="1:30" ht="15.75">
      <c r="A962" s="13">
        <v>70553</v>
      </c>
      <c r="B962" s="10">
        <f>CHOOSE(CONTROL!$C$42, 37.3758, 37.3758) * CHOOSE(CONTROL!$C$21, $C$9, 100%, $E$9)</f>
        <v>37.375799999999998</v>
      </c>
      <c r="C962" s="10">
        <f>CHOOSE(CONTROL!$C$42, 37.3809, 37.3809) * CHOOSE(CONTROL!$C$21, $C$9, 100%, $E$9)</f>
        <v>37.380899999999997</v>
      </c>
      <c r="D962" s="10">
        <f>CHOOSE(CONTROL!$C$42, 37.4133, 37.4133) * CHOOSE(CONTROL!$C$21, $C$9, 100%, $E$9)</f>
        <v>37.4133</v>
      </c>
      <c r="E962" s="10">
        <f>CHOOSE(CONTROL!$C$42, 37.4471, 37.4471) * CHOOSE(CONTROL!$C$21, $C$9, 100%, $E$9)</f>
        <v>37.447099999999999</v>
      </c>
      <c r="F962" s="10">
        <f>CHOOSE(CONTROL!$C$42, 37.3595, 37.3595)*CHOOSE(CONTROL!$C$21, $C$9, 100%, $E$9)</f>
        <v>37.359499999999997</v>
      </c>
      <c r="G962" s="10">
        <f>CHOOSE(CONTROL!$C$42, 37.3774, 37.3774)*CHOOSE(CONTROL!$C$21, $C$9, 100%, $E$9)</f>
        <v>37.377400000000002</v>
      </c>
      <c r="H962" s="10">
        <f>CHOOSE(CONTROL!$C$42, 37.436, 37.436) * CHOOSE(CONTROL!$C$21, $C$9, 100%, $E$9)</f>
        <v>37.436</v>
      </c>
      <c r="I962" s="10">
        <f>CHOOSE(CONTROL!$C$42, 37.3892, 37.3892)* CHOOSE(CONTROL!$C$21, $C$9, 100%, $E$9)</f>
        <v>37.389200000000002</v>
      </c>
      <c r="J962" s="10">
        <f>CHOOSE(CONTROL!$C$42, 37.3521, 37.3521)* CHOOSE(CONTROL!$C$21, $C$9, 100%, $E$9)</f>
        <v>37.3521</v>
      </c>
      <c r="K962" s="10">
        <f>CHOOSE(CONTROL!$C$42, 36.4018, 36.4018) * CHOOSE(CONTROL!$C$21, $C$9, 100%, $E$9)</f>
        <v>36.401800000000001</v>
      </c>
      <c r="L962" s="10">
        <f>CHOOSE(CONTROL!$C$42, 38.023, 38.023) * CHOOSE(CONTROL!$C$21, $C$9, 100%, $E$9)</f>
        <v>38.023000000000003</v>
      </c>
      <c r="M962" s="10">
        <f>CHOOSE(CONTROL!$C$42, 36.864, 36.864) * CHOOSE(CONTROL!$C$21, $C$9, 100%, $E$9)</f>
        <v>36.863999999999997</v>
      </c>
      <c r="N962" s="10">
        <f>CHOOSE(CONTROL!$C$42, 36.8817, 36.8817) * CHOOSE(CONTROL!$C$21, $C$9, 100%, $E$9)</f>
        <v>36.881700000000002</v>
      </c>
      <c r="O962" s="10">
        <f>CHOOSE(CONTROL!$C$42, 36.9468, 36.9468) * CHOOSE(CONTROL!$C$21, $C$9, 100%, $E$9)</f>
        <v>36.946800000000003</v>
      </c>
      <c r="P962" s="10">
        <f>CHOOSE(CONTROL!$C$42, 36.9007, 36.9007) * CHOOSE(CONTROL!$C$21, $C$9, 100%, $E$9)</f>
        <v>36.900700000000001</v>
      </c>
      <c r="Q962" s="10">
        <f>CHOOSE(CONTROL!$C$42, 37.5421, 37.5421) * CHOOSE(CONTROL!$C$21, $C$9, 100%, $E$9)</f>
        <v>37.542099999999998</v>
      </c>
      <c r="R962" s="10">
        <f>CHOOSE(CONTROL!$C$42, 38.2229, 38.2229) * CHOOSE(CONTROL!$C$21, $C$9, 100%, $E$9)</f>
        <v>38.222900000000003</v>
      </c>
      <c r="S962" s="10">
        <f>CHOOSE(CONTROL!$C$42, 36.2076, 36.2076) * CHOOSE(CONTROL!$C$21, $C$9, 100%, $E$9)</f>
        <v>36.207599999999999</v>
      </c>
      <c r="T96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62" s="38">
        <f>(1000*CHOOSE(CONTROL!$C$42, 695, 695)*CHOOSE(CONTROL!$C$42, 0.5599, 0.5599)*CHOOSE(CONTROL!$C$42, 28, 28))/1000000</f>
        <v>10.895653999999999</v>
      </c>
      <c r="V962" s="38">
        <f>(1000*CHOOSE(CONTROL!$C$42, 500, 500)*CHOOSE(CONTROL!$C$42, 0.275, 0.275)*CHOOSE(CONTROL!$C$42, 28, 28))/1000000</f>
        <v>3.85</v>
      </c>
      <c r="W962" s="38">
        <f>(1000*CHOOSE(CONTROL!$C$42, 0.1146, 0.1146)*CHOOSE(CONTROL!$C$42, 121.5, 121.5)*CHOOSE(CONTROL!$C$42, 28, 28))/1000000</f>
        <v>0.38986920000000003</v>
      </c>
      <c r="X962" s="38">
        <f>(28*0.1790888*100000/1000000)+(28*0.2374*100000/1000000)</f>
        <v>1.16616864</v>
      </c>
      <c r="Y962" s="38">
        <f>(1000*600*CHOOSE(CONTROL!$C$42, 1.0585, 1.0585)*CHOOSE(CONTROL!$C$42, 28, 28))/1000000</f>
        <v>17.782800000000002</v>
      </c>
      <c r="Z962" s="38"/>
      <c r="AA962" s="10"/>
      <c r="AB962" s="39"/>
      <c r="AC962" s="33">
        <f>(B962*122.58+C962*297.941+D962*89.177+E962*40.302+F962*40+G962*160+H962*0+I962*100+J962*300)/(122.58+297.941+89.177+40.302+0+40+160+100+300)</f>
        <v>37.37716623408695</v>
      </c>
      <c r="AD962" s="27">
        <f>(M962*'RAP TEMPLATE-GAS AVAILABILITY'!O961+N962*'RAP TEMPLATE-GAS AVAILABILITY'!P961+O962*'RAP TEMPLATE-GAS AVAILABILITY'!Q961+P962*'RAP TEMPLATE-GAS AVAILABILITY'!R961)/('RAP TEMPLATE-GAS AVAILABILITY'!O961+'RAP TEMPLATE-GAS AVAILABILITY'!P961+'RAP TEMPLATE-GAS AVAILABILITY'!Q961+'RAP TEMPLATE-GAS AVAILABILITY'!R961)</f>
        <v>36.907827338129493</v>
      </c>
    </row>
    <row r="963" spans="1:30" ht="15.75">
      <c r="A963" s="13">
        <v>70584</v>
      </c>
      <c r="B963" s="10">
        <f>CHOOSE(CONTROL!$C$42, 36.3142, 36.3142) * CHOOSE(CONTROL!$C$21, $C$9, 100%, $E$9)</f>
        <v>36.3142</v>
      </c>
      <c r="C963" s="10">
        <f>CHOOSE(CONTROL!$C$42, 36.3193, 36.3193) * CHOOSE(CONTROL!$C$21, $C$9, 100%, $E$9)</f>
        <v>36.319299999999998</v>
      </c>
      <c r="D963" s="10">
        <f>CHOOSE(CONTROL!$C$42, 36.3517, 36.3517) * CHOOSE(CONTROL!$C$21, $C$9, 100%, $E$9)</f>
        <v>36.351700000000001</v>
      </c>
      <c r="E963" s="10">
        <f>CHOOSE(CONTROL!$C$42, 36.3855, 36.3855) * CHOOSE(CONTROL!$C$21, $C$9, 100%, $E$9)</f>
        <v>36.3855</v>
      </c>
      <c r="F963" s="10">
        <f>CHOOSE(CONTROL!$C$42, 36.2965, 36.2965)*CHOOSE(CONTROL!$C$21, $C$9, 100%, $E$9)</f>
        <v>36.296500000000002</v>
      </c>
      <c r="G963" s="10">
        <f>CHOOSE(CONTROL!$C$42, 36.314, 36.314)*CHOOSE(CONTROL!$C$21, $C$9, 100%, $E$9)</f>
        <v>36.314</v>
      </c>
      <c r="H963" s="10">
        <f>CHOOSE(CONTROL!$C$42, 36.3744, 36.3744) * CHOOSE(CONTROL!$C$21, $C$9, 100%, $E$9)</f>
        <v>36.374400000000001</v>
      </c>
      <c r="I963" s="10">
        <f>CHOOSE(CONTROL!$C$42, 36.3276, 36.3276)* CHOOSE(CONTROL!$C$21, $C$9, 100%, $E$9)</f>
        <v>36.327599999999997</v>
      </c>
      <c r="J963" s="10">
        <f>CHOOSE(CONTROL!$C$42, 36.2891, 36.2891)* CHOOSE(CONTROL!$C$21, $C$9, 100%, $E$9)</f>
        <v>36.289099999999998</v>
      </c>
      <c r="K963" s="10">
        <f>CHOOSE(CONTROL!$C$42, 35.3702, 35.3702) * CHOOSE(CONTROL!$C$21, $C$9, 100%, $E$9)</f>
        <v>35.370199999999997</v>
      </c>
      <c r="L963" s="10">
        <f>CHOOSE(CONTROL!$C$42, 36.9614, 36.9614) * CHOOSE(CONTROL!$C$21, $C$9, 100%, $E$9)</f>
        <v>36.961399999999998</v>
      </c>
      <c r="M963" s="10">
        <f>CHOOSE(CONTROL!$C$42, 35.8158, 35.8158) * CHOOSE(CONTROL!$C$21, $C$9, 100%, $E$9)</f>
        <v>35.815800000000003</v>
      </c>
      <c r="N963" s="10">
        <f>CHOOSE(CONTROL!$C$42, 35.8331, 35.8331) * CHOOSE(CONTROL!$C$21, $C$9, 100%, $E$9)</f>
        <v>35.833100000000002</v>
      </c>
      <c r="O963" s="10">
        <f>CHOOSE(CONTROL!$C$42, 35.9, 35.9) * CHOOSE(CONTROL!$C$21, $C$9, 100%, $E$9)</f>
        <v>35.9</v>
      </c>
      <c r="P963" s="10">
        <f>CHOOSE(CONTROL!$C$42, 35.8539, 35.8539) * CHOOSE(CONTROL!$C$21, $C$9, 100%, $E$9)</f>
        <v>35.853900000000003</v>
      </c>
      <c r="Q963" s="10">
        <f>CHOOSE(CONTROL!$C$42, 36.4953, 36.4953) * CHOOSE(CONTROL!$C$21, $C$9, 100%, $E$9)</f>
        <v>36.4953</v>
      </c>
      <c r="R963" s="10">
        <f>CHOOSE(CONTROL!$C$42, 37.1735, 37.1735) * CHOOSE(CONTROL!$C$21, $C$9, 100%, $E$9)</f>
        <v>37.173499999999997</v>
      </c>
      <c r="S963" s="10">
        <f>CHOOSE(CONTROL!$C$42, 35.1797, 35.1797) * CHOOSE(CONTROL!$C$21, $C$9, 100%, $E$9)</f>
        <v>35.179699999999997</v>
      </c>
      <c r="T96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63" s="38">
        <f>(1000*CHOOSE(CONTROL!$C$42, 695, 695)*CHOOSE(CONTROL!$C$42, 0.5599, 0.5599)*CHOOSE(CONTROL!$C$42, 31, 31))/1000000</f>
        <v>12.063045499999998</v>
      </c>
      <c r="V963" s="38">
        <f>(1000*CHOOSE(CONTROL!$C$42, 500, 500)*CHOOSE(CONTROL!$C$42, 0.275, 0.275)*CHOOSE(CONTROL!$C$42, 31, 31))/1000000</f>
        <v>4.2625000000000002</v>
      </c>
      <c r="W963" s="38">
        <f>(1000*CHOOSE(CONTROL!$C$42, 0.1146, 0.1146)*CHOOSE(CONTROL!$C$42, 121.5, 121.5)*CHOOSE(CONTROL!$C$42, 31, 31))/1000000</f>
        <v>0.43164089999999994</v>
      </c>
      <c r="X963" s="38">
        <f>(31*0.1790888*100000/1000000)+(31*0.2374*100000/1000000)</f>
        <v>1.2911152800000001</v>
      </c>
      <c r="Y963" s="38">
        <f>(1000*600*CHOOSE(CONTROL!$C$42, 1.0585, 1.0585)*CHOOSE(CONTROL!$C$42, 31, 31))/1000000</f>
        <v>19.688099999999999</v>
      </c>
      <c r="Z963" s="38"/>
      <c r="AA963" s="10"/>
      <c r="AB963" s="39"/>
      <c r="AC963" s="33">
        <f>(B963*122.58+C963*297.941+D963*89.177+E963*40.302+F963*40+G963*160+H963*0+I963*100+J963*300)/(122.58+297.941+89.177+40.302+0+40+160+100+300)</f>
        <v>36.314901886260863</v>
      </c>
      <c r="AD963" s="27">
        <f>(M963*'RAP TEMPLATE-GAS AVAILABILITY'!O962+N963*'RAP TEMPLATE-GAS AVAILABILITY'!P962+O963*'RAP TEMPLATE-GAS AVAILABILITY'!Q962+P963*'RAP TEMPLATE-GAS AVAILABILITY'!R962)/('RAP TEMPLATE-GAS AVAILABILITY'!O962+'RAP TEMPLATE-GAS AVAILABILITY'!P962+'RAP TEMPLATE-GAS AVAILABILITY'!Q962+'RAP TEMPLATE-GAS AVAILABILITY'!R962)</f>
        <v>35.860440287769784</v>
      </c>
    </row>
    <row r="964" spans="1:30" ht="15.75">
      <c r="A964" s="13">
        <v>70614</v>
      </c>
      <c r="B964" s="10">
        <f>CHOOSE(CONTROL!$C$42, 36.2062, 36.2062) * CHOOSE(CONTROL!$C$21, $C$9, 100%, $E$9)</f>
        <v>36.206200000000003</v>
      </c>
      <c r="C964" s="10">
        <f>CHOOSE(CONTROL!$C$42, 36.2107, 36.2107) * CHOOSE(CONTROL!$C$21, $C$9, 100%, $E$9)</f>
        <v>36.210700000000003</v>
      </c>
      <c r="D964" s="10">
        <f>CHOOSE(CONTROL!$C$42, 36.3708, 36.3708) * CHOOSE(CONTROL!$C$21, $C$9, 100%, $E$9)</f>
        <v>36.370800000000003</v>
      </c>
      <c r="E964" s="10">
        <f>CHOOSE(CONTROL!$C$42, 36.4027, 36.4027) * CHOOSE(CONTROL!$C$21, $C$9, 100%, $E$9)</f>
        <v>36.402700000000003</v>
      </c>
      <c r="F964" s="10">
        <f>CHOOSE(CONTROL!$C$42, 36.1523, 36.1523)*CHOOSE(CONTROL!$C$21, $C$9, 100%, $E$9)</f>
        <v>36.152299999999997</v>
      </c>
      <c r="G964" s="10">
        <f>CHOOSE(CONTROL!$C$42, 36.1681, 36.1681)*CHOOSE(CONTROL!$C$21, $C$9, 100%, $E$9)</f>
        <v>36.168100000000003</v>
      </c>
      <c r="H964" s="10">
        <f>CHOOSE(CONTROL!$C$42, 36.3921, 36.3921) * CHOOSE(CONTROL!$C$21, $C$9, 100%, $E$9)</f>
        <v>36.392099999999999</v>
      </c>
      <c r="I964" s="10">
        <f>CHOOSE(CONTROL!$C$42, 36.1863, 36.1863)* CHOOSE(CONTROL!$C$21, $C$9, 100%, $E$9)</f>
        <v>36.186300000000003</v>
      </c>
      <c r="J964" s="10">
        <f>CHOOSE(CONTROL!$C$42, 36.1449, 36.1449)* CHOOSE(CONTROL!$C$21, $C$9, 100%, $E$9)</f>
        <v>36.1449</v>
      </c>
      <c r="K964" s="10">
        <f>CHOOSE(CONTROL!$C$42, 35.2173, 35.2173) * CHOOSE(CONTROL!$C$21, $C$9, 100%, $E$9)</f>
        <v>35.217300000000002</v>
      </c>
      <c r="L964" s="10">
        <f>CHOOSE(CONTROL!$C$42, 36.9791, 36.9791) * CHOOSE(CONTROL!$C$21, $C$9, 100%, $E$9)</f>
        <v>36.979100000000003</v>
      </c>
      <c r="M964" s="10">
        <f>CHOOSE(CONTROL!$C$42, 35.6737, 35.6737) * CHOOSE(CONTROL!$C$21, $C$9, 100%, $E$9)</f>
        <v>35.673699999999997</v>
      </c>
      <c r="N964" s="10">
        <f>CHOOSE(CONTROL!$C$42, 35.6893, 35.6893) * CHOOSE(CONTROL!$C$21, $C$9, 100%, $E$9)</f>
        <v>35.689300000000003</v>
      </c>
      <c r="O964" s="10">
        <f>CHOOSE(CONTROL!$C$42, 35.9175, 35.9175) * CHOOSE(CONTROL!$C$21, $C$9, 100%, $E$9)</f>
        <v>35.917499999999997</v>
      </c>
      <c r="P964" s="10">
        <f>CHOOSE(CONTROL!$C$42, 35.7146, 35.7146) * CHOOSE(CONTROL!$C$21, $C$9, 100%, $E$9)</f>
        <v>35.714599999999997</v>
      </c>
      <c r="Q964" s="10">
        <f>CHOOSE(CONTROL!$C$42, 36.5128, 36.5128) * CHOOSE(CONTROL!$C$21, $C$9, 100%, $E$9)</f>
        <v>36.512799999999999</v>
      </c>
      <c r="R964" s="10">
        <f>CHOOSE(CONTROL!$C$42, 37.191, 37.191) * CHOOSE(CONTROL!$C$21, $C$9, 100%, $E$9)</f>
        <v>37.191000000000003</v>
      </c>
      <c r="S964" s="10">
        <f>CHOOSE(CONTROL!$C$42, 35.0744, 35.0744) * CHOOSE(CONTROL!$C$21, $C$9, 100%, $E$9)</f>
        <v>35.074399999999997</v>
      </c>
      <c r="T96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64" s="38">
        <f>(1000*CHOOSE(CONTROL!$C$42, 695, 695)*CHOOSE(CONTROL!$C$42, 0.5599, 0.5599)*CHOOSE(CONTROL!$C$42, 30, 30))/1000000</f>
        <v>11.673914999999997</v>
      </c>
      <c r="V964" s="38">
        <f>(1000*CHOOSE(CONTROL!$C$42, 500, 500)*CHOOSE(CONTROL!$C$42, 0.275, 0.275)*CHOOSE(CONTROL!$C$42, 30, 30))/1000000</f>
        <v>4.125</v>
      </c>
      <c r="W964" s="38">
        <f>(1000*CHOOSE(CONTROL!$C$42, 0.1146, 0.1146)*CHOOSE(CONTROL!$C$42, 121.5, 121.5)*CHOOSE(CONTROL!$C$42, 30, 30))/1000000</f>
        <v>0.417717</v>
      </c>
      <c r="X964" s="38">
        <f>(30*0.1790888*245000/1000000)+(30*0.2374*100000/1000000)</f>
        <v>2.0285026799999999</v>
      </c>
      <c r="Y964" s="38">
        <f>(1000*600*CHOOSE(CONTROL!$C$42, 1.0585, 1.0585)*CHOOSE(CONTROL!$C$42, 30, 30))/1000000</f>
        <v>19.053000000000001</v>
      </c>
      <c r="Z964" s="38"/>
      <c r="AA964" s="10"/>
      <c r="AB964" s="39"/>
      <c r="AC964" s="33">
        <f>(B964*141.293+C964*267.993+D964*115.016+E964*89.698+F964*40+G964*185+H964*0+I964*100+J964*300)/(141.293+267.993+115.016+89.698+0+40+185+100+300)</f>
        <v>36.212801096933013</v>
      </c>
      <c r="AD964" s="27">
        <f>(M964*'RAP TEMPLATE-GAS AVAILABILITY'!O963+N964*'RAP TEMPLATE-GAS AVAILABILITY'!P963+O964*'RAP TEMPLATE-GAS AVAILABILITY'!Q963+P964*'RAP TEMPLATE-GAS AVAILABILITY'!R963)/('RAP TEMPLATE-GAS AVAILABILITY'!O963+'RAP TEMPLATE-GAS AVAILABILITY'!P963+'RAP TEMPLATE-GAS AVAILABILITY'!Q963+'RAP TEMPLATE-GAS AVAILABILITY'!R963)</f>
        <v>35.79098201438849</v>
      </c>
    </row>
    <row r="965" spans="1:30" ht="15.75">
      <c r="A965" s="13">
        <v>70645</v>
      </c>
      <c r="B965" s="10">
        <f>CHOOSE(CONTROL!$C$42, 36.5277, 36.5277) * CHOOSE(CONTROL!$C$21, $C$9, 100%, $E$9)</f>
        <v>36.527700000000003</v>
      </c>
      <c r="C965" s="10">
        <f>CHOOSE(CONTROL!$C$42, 36.5357, 36.5357) * CHOOSE(CONTROL!$C$21, $C$9, 100%, $E$9)</f>
        <v>36.535699999999999</v>
      </c>
      <c r="D965" s="10">
        <f>CHOOSE(CONTROL!$C$42, 36.6928, 36.6928) * CHOOSE(CONTROL!$C$21, $C$9, 100%, $E$9)</f>
        <v>36.692799999999998</v>
      </c>
      <c r="E965" s="10">
        <f>CHOOSE(CONTROL!$C$42, 36.724, 36.724) * CHOOSE(CONTROL!$C$21, $C$9, 100%, $E$9)</f>
        <v>36.723999999999997</v>
      </c>
      <c r="F965" s="10">
        <f>CHOOSE(CONTROL!$C$42, 36.4718, 36.4718)*CHOOSE(CONTROL!$C$21, $C$9, 100%, $E$9)</f>
        <v>36.471800000000002</v>
      </c>
      <c r="G965" s="10">
        <f>CHOOSE(CONTROL!$C$42, 36.488, 36.488)*CHOOSE(CONTROL!$C$21, $C$9, 100%, $E$9)</f>
        <v>36.488</v>
      </c>
      <c r="H965" s="10">
        <f>CHOOSE(CONTROL!$C$42, 36.7123, 36.7123) * CHOOSE(CONTROL!$C$21, $C$9, 100%, $E$9)</f>
        <v>36.712299999999999</v>
      </c>
      <c r="I965" s="10">
        <f>CHOOSE(CONTROL!$C$42, 36.5065, 36.5065)* CHOOSE(CONTROL!$C$21, $C$9, 100%, $E$9)</f>
        <v>36.506500000000003</v>
      </c>
      <c r="J965" s="10">
        <f>CHOOSE(CONTROL!$C$42, 36.4644, 36.4644)* CHOOSE(CONTROL!$C$21, $C$9, 100%, $E$9)</f>
        <v>36.464399999999998</v>
      </c>
      <c r="K965" s="10">
        <f>CHOOSE(CONTROL!$C$42, 35.5261, 35.5261) * CHOOSE(CONTROL!$C$21, $C$9, 100%, $E$9)</f>
        <v>35.5261</v>
      </c>
      <c r="L965" s="10">
        <f>CHOOSE(CONTROL!$C$42, 37.2993, 37.2993) * CHOOSE(CONTROL!$C$21, $C$9, 100%, $E$9)</f>
        <v>37.299300000000002</v>
      </c>
      <c r="M965" s="10">
        <f>CHOOSE(CONTROL!$C$42, 35.9887, 35.9887) * CHOOSE(CONTROL!$C$21, $C$9, 100%, $E$9)</f>
        <v>35.988700000000001</v>
      </c>
      <c r="N965" s="10">
        <f>CHOOSE(CONTROL!$C$42, 36.0047, 36.0047) * CHOOSE(CONTROL!$C$21, $C$9, 100%, $E$9)</f>
        <v>36.0047</v>
      </c>
      <c r="O965" s="10">
        <f>CHOOSE(CONTROL!$C$42, 36.2332, 36.2332) * CHOOSE(CONTROL!$C$21, $C$9, 100%, $E$9)</f>
        <v>36.233199999999997</v>
      </c>
      <c r="P965" s="10">
        <f>CHOOSE(CONTROL!$C$42, 36.0303, 36.0303) * CHOOSE(CONTROL!$C$21, $C$9, 100%, $E$9)</f>
        <v>36.030299999999997</v>
      </c>
      <c r="Q965" s="10">
        <f>CHOOSE(CONTROL!$C$42, 36.8285, 36.8285) * CHOOSE(CONTROL!$C$21, $C$9, 100%, $E$9)</f>
        <v>36.828499999999998</v>
      </c>
      <c r="R965" s="10">
        <f>CHOOSE(CONTROL!$C$42, 37.5075, 37.5075) * CHOOSE(CONTROL!$C$21, $C$9, 100%, $E$9)</f>
        <v>37.5075</v>
      </c>
      <c r="S965" s="10">
        <f>CHOOSE(CONTROL!$C$42, 35.3844, 35.3844) * CHOOSE(CONTROL!$C$21, $C$9, 100%, $E$9)</f>
        <v>35.384399999999999</v>
      </c>
      <c r="T96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65" s="38">
        <f>(1000*CHOOSE(CONTROL!$C$42, 695, 695)*CHOOSE(CONTROL!$C$42, 0.5599, 0.5599)*CHOOSE(CONTROL!$C$42, 31, 31))/1000000</f>
        <v>12.063045499999998</v>
      </c>
      <c r="V965" s="38">
        <f>(1000*CHOOSE(CONTROL!$C$42, 500, 500)*CHOOSE(CONTROL!$C$42, 0.275, 0.275)*CHOOSE(CONTROL!$C$42, 31, 31))/1000000</f>
        <v>4.2625000000000002</v>
      </c>
      <c r="W965" s="38">
        <f>(1000*CHOOSE(CONTROL!$C$42, 0.1146, 0.1146)*CHOOSE(CONTROL!$C$42, 121.5, 121.5)*CHOOSE(CONTROL!$C$42, 31, 31))/1000000</f>
        <v>0.43164089999999994</v>
      </c>
      <c r="X965" s="38">
        <f>(31*0.1790888*245000/1000000)+(31*0.2374*100000/1000000)</f>
        <v>2.0961194359999999</v>
      </c>
      <c r="Y965" s="38">
        <f>(1000*600*CHOOSE(CONTROL!$C$42, 1.0585, 1.0585)*CHOOSE(CONTROL!$C$42, 31, 31))/1000000</f>
        <v>19.688099999999999</v>
      </c>
      <c r="Z965" s="38"/>
      <c r="AA965" s="10"/>
      <c r="AB965" s="39"/>
      <c r="AC965" s="33">
        <f>(B965*194.205+C965*267.466+D965*133.845+E965*53.484+F965*40+G965*185+H965*0+I965*100+J965*300)/(194.205+267.466+133.845+53.484+0+40+185+100+300)</f>
        <v>36.530875782339088</v>
      </c>
      <c r="AD965" s="27">
        <f>(M965*'RAP TEMPLATE-GAS AVAILABILITY'!O964+N965*'RAP TEMPLATE-GAS AVAILABILITY'!P964+O965*'RAP TEMPLATE-GAS AVAILABILITY'!Q964+P965*'RAP TEMPLATE-GAS AVAILABILITY'!R964)/('RAP TEMPLATE-GAS AVAILABILITY'!O964+'RAP TEMPLATE-GAS AVAILABILITY'!P964+'RAP TEMPLATE-GAS AVAILABILITY'!Q964+'RAP TEMPLATE-GAS AVAILABILITY'!R964)</f>
        <v>36.106423021582735</v>
      </c>
    </row>
    <row r="966" spans="1:30" ht="15.75">
      <c r="A966" s="13">
        <v>70675</v>
      </c>
      <c r="B966" s="10">
        <f>CHOOSE(CONTROL!$C$42, 37.5643, 37.5643) * CHOOSE(CONTROL!$C$21, $C$9, 100%, $E$9)</f>
        <v>37.564300000000003</v>
      </c>
      <c r="C966" s="10">
        <f>CHOOSE(CONTROL!$C$42, 37.5723, 37.5723) * CHOOSE(CONTROL!$C$21, $C$9, 100%, $E$9)</f>
        <v>37.572299999999998</v>
      </c>
      <c r="D966" s="10">
        <f>CHOOSE(CONTROL!$C$42, 37.7293, 37.7293) * CHOOSE(CONTROL!$C$21, $C$9, 100%, $E$9)</f>
        <v>37.729300000000002</v>
      </c>
      <c r="E966" s="10">
        <f>CHOOSE(CONTROL!$C$42, 37.7605, 37.7605) * CHOOSE(CONTROL!$C$21, $C$9, 100%, $E$9)</f>
        <v>37.7605</v>
      </c>
      <c r="F966" s="10">
        <f>CHOOSE(CONTROL!$C$42, 37.5086, 37.5086)*CHOOSE(CONTROL!$C$21, $C$9, 100%, $E$9)</f>
        <v>37.508600000000001</v>
      </c>
      <c r="G966" s="10">
        <f>CHOOSE(CONTROL!$C$42, 37.5248, 37.5248)*CHOOSE(CONTROL!$C$21, $C$9, 100%, $E$9)</f>
        <v>37.524799999999999</v>
      </c>
      <c r="H966" s="10">
        <f>CHOOSE(CONTROL!$C$42, 37.7489, 37.7489) * CHOOSE(CONTROL!$C$21, $C$9, 100%, $E$9)</f>
        <v>37.748899999999999</v>
      </c>
      <c r="I966" s="10">
        <f>CHOOSE(CONTROL!$C$42, 37.543, 37.543)* CHOOSE(CONTROL!$C$21, $C$9, 100%, $E$9)</f>
        <v>37.542999999999999</v>
      </c>
      <c r="J966" s="10">
        <f>CHOOSE(CONTROL!$C$42, 37.5012, 37.5012)* CHOOSE(CONTROL!$C$21, $C$9, 100%, $E$9)</f>
        <v>37.501199999999997</v>
      </c>
      <c r="K966" s="10">
        <f>CHOOSE(CONTROL!$C$42, 36.5307, 36.5307) * CHOOSE(CONTROL!$C$21, $C$9, 100%, $E$9)</f>
        <v>36.530700000000003</v>
      </c>
      <c r="L966" s="10">
        <f>CHOOSE(CONTROL!$C$42, 38.3359, 38.3359) * CHOOSE(CONTROL!$C$21, $C$9, 100%, $E$9)</f>
        <v>38.335900000000002</v>
      </c>
      <c r="M966" s="10">
        <f>CHOOSE(CONTROL!$C$42, 37.011, 37.011) * CHOOSE(CONTROL!$C$21, $C$9, 100%, $E$9)</f>
        <v>37.011000000000003</v>
      </c>
      <c r="N966" s="10">
        <f>CHOOSE(CONTROL!$C$42, 37.027, 37.027) * CHOOSE(CONTROL!$C$21, $C$9, 100%, $E$9)</f>
        <v>37.027000000000001</v>
      </c>
      <c r="O966" s="10">
        <f>CHOOSE(CONTROL!$C$42, 37.2552, 37.2552) * CHOOSE(CONTROL!$C$21, $C$9, 100%, $E$9)</f>
        <v>37.255200000000002</v>
      </c>
      <c r="P966" s="10">
        <f>CHOOSE(CONTROL!$C$42, 37.0523, 37.0523) * CHOOSE(CONTROL!$C$21, $C$9, 100%, $E$9)</f>
        <v>37.052300000000002</v>
      </c>
      <c r="Q966" s="10">
        <f>CHOOSE(CONTROL!$C$42, 37.8505, 37.8505) * CHOOSE(CONTROL!$C$21, $C$9, 100%, $E$9)</f>
        <v>37.850499999999997</v>
      </c>
      <c r="R966" s="10">
        <f>CHOOSE(CONTROL!$C$42, 38.5322, 38.5322) * CHOOSE(CONTROL!$C$21, $C$9, 100%, $E$9)</f>
        <v>38.532200000000003</v>
      </c>
      <c r="S966" s="10">
        <f>CHOOSE(CONTROL!$C$42, 36.3881, 36.3881) * CHOOSE(CONTROL!$C$21, $C$9, 100%, $E$9)</f>
        <v>36.388100000000001</v>
      </c>
      <c r="T96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66" s="38">
        <f>(1000*CHOOSE(CONTROL!$C$42, 695, 695)*CHOOSE(CONTROL!$C$42, 0.5599, 0.5599)*CHOOSE(CONTROL!$C$42, 30, 30))/1000000</f>
        <v>11.673914999999997</v>
      </c>
      <c r="V966" s="38">
        <f>(1000*CHOOSE(CONTROL!$C$42, 500, 500)*CHOOSE(CONTROL!$C$42, 0.275, 0.275)*CHOOSE(CONTROL!$C$42, 30, 30))/1000000</f>
        <v>4.125</v>
      </c>
      <c r="W966" s="38">
        <f>(1000*CHOOSE(CONTROL!$C$42, 0.1146, 0.1146)*CHOOSE(CONTROL!$C$42, 121.5, 121.5)*CHOOSE(CONTROL!$C$42, 30, 30))/1000000</f>
        <v>0.417717</v>
      </c>
      <c r="X966" s="38">
        <f>(30*0.1790888*245000/1000000)+(30*0.2374*100000/1000000)</f>
        <v>2.0285026799999999</v>
      </c>
      <c r="Y966" s="38">
        <f>(1000*600*CHOOSE(CONTROL!$C$42, 1.0585, 1.0585)*CHOOSE(CONTROL!$C$42, 30, 30))/1000000</f>
        <v>19.053000000000001</v>
      </c>
      <c r="Z966" s="38"/>
      <c r="AA966" s="10"/>
      <c r="AB966" s="39"/>
      <c r="AC966" s="33">
        <f>(B966*194.205+C966*267.466+D966*133.845+E966*53.484+F966*40+G966*185+H966*0+I966*100+J966*300)/(194.205+267.466+133.845+53.484+0+40+185+100+300)</f>
        <v>37.567535646624805</v>
      </c>
      <c r="AD966" s="27">
        <f>(M966*'RAP TEMPLATE-GAS AVAILABILITY'!O965+N966*'RAP TEMPLATE-GAS AVAILABILITY'!P965+O966*'RAP TEMPLATE-GAS AVAILABILITY'!Q965+P966*'RAP TEMPLATE-GAS AVAILABILITY'!R965)/('RAP TEMPLATE-GAS AVAILABILITY'!O965+'RAP TEMPLATE-GAS AVAILABILITY'!P965+'RAP TEMPLATE-GAS AVAILABILITY'!Q965+'RAP TEMPLATE-GAS AVAILABILITY'!R965)</f>
        <v>37.128543884892089</v>
      </c>
    </row>
    <row r="967" spans="1:30" ht="15.75">
      <c r="A967" s="13">
        <v>70706</v>
      </c>
      <c r="B967" s="10">
        <f>CHOOSE(CONTROL!$C$42, 36.8433, 36.8433) * CHOOSE(CONTROL!$C$21, $C$9, 100%, $E$9)</f>
        <v>36.843299999999999</v>
      </c>
      <c r="C967" s="10">
        <f>CHOOSE(CONTROL!$C$42, 36.8513, 36.8513) * CHOOSE(CONTROL!$C$21, $C$9, 100%, $E$9)</f>
        <v>36.851300000000002</v>
      </c>
      <c r="D967" s="10">
        <f>CHOOSE(CONTROL!$C$42, 37.0084, 37.0084) * CHOOSE(CONTROL!$C$21, $C$9, 100%, $E$9)</f>
        <v>37.008400000000002</v>
      </c>
      <c r="E967" s="10">
        <f>CHOOSE(CONTROL!$C$42, 37.0396, 37.0396) * CHOOSE(CONTROL!$C$21, $C$9, 100%, $E$9)</f>
        <v>37.0396</v>
      </c>
      <c r="F967" s="10">
        <f>CHOOSE(CONTROL!$C$42, 36.788, 36.788)*CHOOSE(CONTROL!$C$21, $C$9, 100%, $E$9)</f>
        <v>36.787999999999997</v>
      </c>
      <c r="G967" s="10">
        <f>CHOOSE(CONTROL!$C$42, 36.8042, 36.8042)*CHOOSE(CONTROL!$C$21, $C$9, 100%, $E$9)</f>
        <v>36.804200000000002</v>
      </c>
      <c r="H967" s="10">
        <f>CHOOSE(CONTROL!$C$42, 37.0279, 37.0279) * CHOOSE(CONTROL!$C$21, $C$9, 100%, $E$9)</f>
        <v>37.027900000000002</v>
      </c>
      <c r="I967" s="10">
        <f>CHOOSE(CONTROL!$C$42, 36.8221, 36.8221)* CHOOSE(CONTROL!$C$21, $C$9, 100%, $E$9)</f>
        <v>36.822099999999999</v>
      </c>
      <c r="J967" s="10">
        <f>CHOOSE(CONTROL!$C$42, 36.7806, 36.7806)* CHOOSE(CONTROL!$C$21, $C$9, 100%, $E$9)</f>
        <v>36.7806</v>
      </c>
      <c r="K967" s="10">
        <f>CHOOSE(CONTROL!$C$42, 35.833, 35.833) * CHOOSE(CONTROL!$C$21, $C$9, 100%, $E$9)</f>
        <v>35.832999999999998</v>
      </c>
      <c r="L967" s="10">
        <f>CHOOSE(CONTROL!$C$42, 37.6149, 37.6149) * CHOOSE(CONTROL!$C$21, $C$9, 100%, $E$9)</f>
        <v>37.614899999999999</v>
      </c>
      <c r="M967" s="10">
        <f>CHOOSE(CONTROL!$C$42, 36.3005, 36.3005) * CHOOSE(CONTROL!$C$21, $C$9, 100%, $E$9)</f>
        <v>36.3005</v>
      </c>
      <c r="N967" s="10">
        <f>CHOOSE(CONTROL!$C$42, 36.3165, 36.3165) * CHOOSE(CONTROL!$C$21, $C$9, 100%, $E$9)</f>
        <v>36.316499999999998</v>
      </c>
      <c r="O967" s="10">
        <f>CHOOSE(CONTROL!$C$42, 36.5444, 36.5444) * CHOOSE(CONTROL!$C$21, $C$9, 100%, $E$9)</f>
        <v>36.544400000000003</v>
      </c>
      <c r="P967" s="10">
        <f>CHOOSE(CONTROL!$C$42, 36.3415, 36.3415) * CHOOSE(CONTROL!$C$21, $C$9, 100%, $E$9)</f>
        <v>36.341500000000003</v>
      </c>
      <c r="Q967" s="10">
        <f>CHOOSE(CONTROL!$C$42, 37.1397, 37.1397) * CHOOSE(CONTROL!$C$21, $C$9, 100%, $E$9)</f>
        <v>37.139699999999998</v>
      </c>
      <c r="R967" s="10">
        <f>CHOOSE(CONTROL!$C$42, 37.8195, 37.8195) * CHOOSE(CONTROL!$C$21, $C$9, 100%, $E$9)</f>
        <v>37.819499999999998</v>
      </c>
      <c r="S967" s="10">
        <f>CHOOSE(CONTROL!$C$42, 35.69, 35.69) * CHOOSE(CONTROL!$C$21, $C$9, 100%, $E$9)</f>
        <v>35.69</v>
      </c>
      <c r="T96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67" s="38">
        <f>(1000*CHOOSE(CONTROL!$C$42, 695, 695)*CHOOSE(CONTROL!$C$42, 0.5599, 0.5599)*CHOOSE(CONTROL!$C$42, 31, 31))/1000000</f>
        <v>12.063045499999998</v>
      </c>
      <c r="V967" s="38">
        <f>(1000*CHOOSE(CONTROL!$C$42, 500, 500)*CHOOSE(CONTROL!$C$42, 0.275, 0.275)*CHOOSE(CONTROL!$C$42, 31, 31))/1000000</f>
        <v>4.2625000000000002</v>
      </c>
      <c r="W967" s="38">
        <f>(1000*CHOOSE(CONTROL!$C$42, 0.1146, 0.1146)*CHOOSE(CONTROL!$C$42, 121.5, 121.5)*CHOOSE(CONTROL!$C$42, 31, 31))/1000000</f>
        <v>0.43164089999999994</v>
      </c>
      <c r="X967" s="38">
        <f>(31*0.1790888*245000/1000000)+(31*0.2374*100000/1000000)</f>
        <v>2.0961194359999999</v>
      </c>
      <c r="Y967" s="38">
        <f>(1000*600*CHOOSE(CONTROL!$C$42, 1.0585, 1.0585)*CHOOSE(CONTROL!$C$42, 31, 31))/1000000</f>
        <v>19.688099999999999</v>
      </c>
      <c r="Z967" s="38"/>
      <c r="AA967" s="10"/>
      <c r="AB967" s="39"/>
      <c r="AC967" s="33">
        <f>(B967*194.205+C967*267.466+D967*133.845+E967*53.484+F967*40+G967*185+H967*0+I967*100+J967*300)/(194.205+267.466+133.845+53.484+0+40+185+100+300)</f>
        <v>36.846723035086342</v>
      </c>
      <c r="AD967" s="27">
        <f>(M967*'RAP TEMPLATE-GAS AVAILABILITY'!O966+N967*'RAP TEMPLATE-GAS AVAILABILITY'!P966+O967*'RAP TEMPLATE-GAS AVAILABILITY'!Q966+P967*'RAP TEMPLATE-GAS AVAILABILITY'!R966)/('RAP TEMPLATE-GAS AVAILABILITY'!O966+'RAP TEMPLATE-GAS AVAILABILITY'!P966+'RAP TEMPLATE-GAS AVAILABILITY'!Q966+'RAP TEMPLATE-GAS AVAILABILITY'!R966)</f>
        <v>36.417864748201438</v>
      </c>
    </row>
    <row r="968" spans="1:30" ht="15.75">
      <c r="A968" s="13">
        <v>70737</v>
      </c>
      <c r="B968" s="10">
        <f>CHOOSE(CONTROL!$C$42, 35.0228, 35.0228) * CHOOSE(CONTROL!$C$21, $C$9, 100%, $E$9)</f>
        <v>35.022799999999997</v>
      </c>
      <c r="C968" s="10">
        <f>CHOOSE(CONTROL!$C$42, 35.0308, 35.0308) * CHOOSE(CONTROL!$C$21, $C$9, 100%, $E$9)</f>
        <v>35.030799999999999</v>
      </c>
      <c r="D968" s="10">
        <f>CHOOSE(CONTROL!$C$42, 35.1878, 35.1878) * CHOOSE(CONTROL!$C$21, $C$9, 100%, $E$9)</f>
        <v>35.187800000000003</v>
      </c>
      <c r="E968" s="10">
        <f>CHOOSE(CONTROL!$C$42, 35.219, 35.219) * CHOOSE(CONTROL!$C$21, $C$9, 100%, $E$9)</f>
        <v>35.219000000000001</v>
      </c>
      <c r="F968" s="10">
        <f>CHOOSE(CONTROL!$C$42, 34.9673, 34.9673)*CHOOSE(CONTROL!$C$21, $C$9, 100%, $E$9)</f>
        <v>34.967300000000002</v>
      </c>
      <c r="G968" s="10">
        <f>CHOOSE(CONTROL!$C$42, 34.9836, 34.9836)*CHOOSE(CONTROL!$C$21, $C$9, 100%, $E$9)</f>
        <v>34.983600000000003</v>
      </c>
      <c r="H968" s="10">
        <f>CHOOSE(CONTROL!$C$42, 35.2074, 35.2074) * CHOOSE(CONTROL!$C$21, $C$9, 100%, $E$9)</f>
        <v>35.2074</v>
      </c>
      <c r="I968" s="10">
        <f>CHOOSE(CONTROL!$C$42, 35.0015, 35.0015)* CHOOSE(CONTROL!$C$21, $C$9, 100%, $E$9)</f>
        <v>35.0015</v>
      </c>
      <c r="J968" s="10">
        <f>CHOOSE(CONTROL!$C$42, 34.9599, 34.9599)* CHOOSE(CONTROL!$C$21, $C$9, 100%, $E$9)</f>
        <v>34.959899999999998</v>
      </c>
      <c r="K968" s="10">
        <f>CHOOSE(CONTROL!$C$42, 34.0691, 34.0691) * CHOOSE(CONTROL!$C$21, $C$9, 100%, $E$9)</f>
        <v>34.069099999999999</v>
      </c>
      <c r="L968" s="10">
        <f>CHOOSE(CONTROL!$C$42, 35.7944, 35.7944) * CHOOSE(CONTROL!$C$21, $C$9, 100%, $E$9)</f>
        <v>35.794400000000003</v>
      </c>
      <c r="M968" s="10">
        <f>CHOOSE(CONTROL!$C$42, 34.5052, 34.5052) * CHOOSE(CONTROL!$C$21, $C$9, 100%, $E$9)</f>
        <v>34.505200000000002</v>
      </c>
      <c r="N968" s="10">
        <f>CHOOSE(CONTROL!$C$42, 34.5213, 34.5213) * CHOOSE(CONTROL!$C$21, $C$9, 100%, $E$9)</f>
        <v>34.521299999999997</v>
      </c>
      <c r="O968" s="10">
        <f>CHOOSE(CONTROL!$C$42, 34.7492, 34.7492) * CHOOSE(CONTROL!$C$21, $C$9, 100%, $E$9)</f>
        <v>34.749200000000002</v>
      </c>
      <c r="P968" s="10">
        <f>CHOOSE(CONTROL!$C$42, 34.5463, 34.5463) * CHOOSE(CONTROL!$C$21, $C$9, 100%, $E$9)</f>
        <v>34.546300000000002</v>
      </c>
      <c r="Q968" s="10">
        <f>CHOOSE(CONTROL!$C$42, 35.3445, 35.3445) * CHOOSE(CONTROL!$C$21, $C$9, 100%, $E$9)</f>
        <v>35.344499999999996</v>
      </c>
      <c r="R968" s="10">
        <f>CHOOSE(CONTROL!$C$42, 36.0199, 36.0199) * CHOOSE(CONTROL!$C$21, $C$9, 100%, $E$9)</f>
        <v>36.0199</v>
      </c>
      <c r="S968" s="10">
        <f>CHOOSE(CONTROL!$C$42, 33.9271, 33.9271) * CHOOSE(CONTROL!$C$21, $C$9, 100%, $E$9)</f>
        <v>33.927100000000003</v>
      </c>
      <c r="T96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68" s="38">
        <f>(1000*CHOOSE(CONTROL!$C$42, 695, 695)*CHOOSE(CONTROL!$C$42, 0.5599, 0.5599)*CHOOSE(CONTROL!$C$42, 31, 31))/1000000</f>
        <v>12.063045499999998</v>
      </c>
      <c r="V968" s="38">
        <f>(1000*CHOOSE(CONTROL!$C$42, 500, 500)*CHOOSE(CONTROL!$C$42, 0.275, 0.275)*CHOOSE(CONTROL!$C$42, 31, 31))/1000000</f>
        <v>4.2625000000000002</v>
      </c>
      <c r="W968" s="38">
        <f>(1000*CHOOSE(CONTROL!$C$42, 0.1146, 0.1146)*CHOOSE(CONTROL!$C$42, 121.5, 121.5)*CHOOSE(CONTROL!$C$42, 31, 31))/1000000</f>
        <v>0.43164089999999994</v>
      </c>
      <c r="X968" s="38">
        <f>(31*0.1790888*245000/1000000)+(31*0.2374*100000/1000000)</f>
        <v>2.0961194359999999</v>
      </c>
      <c r="Y968" s="38">
        <f>(1000*600*CHOOSE(CONTROL!$C$42, 1.0585, 1.0585)*CHOOSE(CONTROL!$C$42, 31, 31))/1000000</f>
        <v>19.688099999999999</v>
      </c>
      <c r="Z968" s="38"/>
      <c r="AA968" s="10"/>
      <c r="AB968" s="39"/>
      <c r="AC968" s="33">
        <f>(B968*194.205+C968*267.466+D968*133.845+E968*53.484+F968*40+G968*185+H968*0+I968*100+J968*300)/(194.205+267.466+133.845+53.484+0+40+185+100+300)</f>
        <v>35.026132585400319</v>
      </c>
      <c r="AD968" s="27">
        <f>(M968*'RAP TEMPLATE-GAS AVAILABILITY'!O967+N968*'RAP TEMPLATE-GAS AVAILABILITY'!P967+O968*'RAP TEMPLATE-GAS AVAILABILITY'!Q967+P968*'RAP TEMPLATE-GAS AVAILABILITY'!R967)/('RAP TEMPLATE-GAS AVAILABILITY'!O967+'RAP TEMPLATE-GAS AVAILABILITY'!P967+'RAP TEMPLATE-GAS AVAILABILITY'!Q967+'RAP TEMPLATE-GAS AVAILABILITY'!R967)</f>
        <v>34.622630215827336</v>
      </c>
    </row>
    <row r="969" spans="1:30" ht="15.75">
      <c r="A969" s="13">
        <v>70767</v>
      </c>
      <c r="B969" s="10">
        <f>CHOOSE(CONTROL!$C$42, 32.7984, 32.7984) * CHOOSE(CONTROL!$C$21, $C$9, 100%, $E$9)</f>
        <v>32.798400000000001</v>
      </c>
      <c r="C969" s="10">
        <f>CHOOSE(CONTROL!$C$42, 32.8064, 32.8064) * CHOOSE(CONTROL!$C$21, $C$9, 100%, $E$9)</f>
        <v>32.806399999999996</v>
      </c>
      <c r="D969" s="10">
        <f>CHOOSE(CONTROL!$C$42, 32.9634, 32.9634) * CHOOSE(CONTROL!$C$21, $C$9, 100%, $E$9)</f>
        <v>32.9634</v>
      </c>
      <c r="E969" s="10">
        <f>CHOOSE(CONTROL!$C$42, 32.9946, 32.9946) * CHOOSE(CONTROL!$C$21, $C$9, 100%, $E$9)</f>
        <v>32.994599999999998</v>
      </c>
      <c r="F969" s="10">
        <f>CHOOSE(CONTROL!$C$42, 32.7428, 32.7428)*CHOOSE(CONTROL!$C$21, $C$9, 100%, $E$9)</f>
        <v>32.742800000000003</v>
      </c>
      <c r="G969" s="10">
        <f>CHOOSE(CONTROL!$C$42, 32.7589, 32.7589)*CHOOSE(CONTROL!$C$21, $C$9, 100%, $E$9)</f>
        <v>32.758899999999997</v>
      </c>
      <c r="H969" s="10">
        <f>CHOOSE(CONTROL!$C$42, 32.983, 32.983) * CHOOSE(CONTROL!$C$21, $C$9, 100%, $E$9)</f>
        <v>32.982999999999997</v>
      </c>
      <c r="I969" s="10">
        <f>CHOOSE(CONTROL!$C$42, 32.7772, 32.7772)* CHOOSE(CONTROL!$C$21, $C$9, 100%, $E$9)</f>
        <v>32.777200000000001</v>
      </c>
      <c r="J969" s="10">
        <f>CHOOSE(CONTROL!$C$42, 32.7354, 32.7354)* CHOOSE(CONTROL!$C$21, $C$9, 100%, $E$9)</f>
        <v>32.735399999999998</v>
      </c>
      <c r="K969" s="10">
        <f>CHOOSE(CONTROL!$C$42, 31.9137, 31.9137) * CHOOSE(CONTROL!$C$21, $C$9, 100%, $E$9)</f>
        <v>31.913699999999999</v>
      </c>
      <c r="L969" s="10">
        <f>CHOOSE(CONTROL!$C$42, 33.57, 33.57) * CHOOSE(CONTROL!$C$21, $C$9, 100%, $E$9)</f>
        <v>33.57</v>
      </c>
      <c r="M969" s="10">
        <f>CHOOSE(CONTROL!$C$42, 32.3117, 32.3117) * CHOOSE(CONTROL!$C$21, $C$9, 100%, $E$9)</f>
        <v>32.311700000000002</v>
      </c>
      <c r="N969" s="10">
        <f>CHOOSE(CONTROL!$C$42, 32.3276, 32.3276) * CHOOSE(CONTROL!$C$21, $C$9, 100%, $E$9)</f>
        <v>32.327599999999997</v>
      </c>
      <c r="O969" s="10">
        <f>CHOOSE(CONTROL!$C$42, 32.5559, 32.5559) * CHOOSE(CONTROL!$C$21, $C$9, 100%, $E$9)</f>
        <v>32.555900000000001</v>
      </c>
      <c r="P969" s="10">
        <f>CHOOSE(CONTROL!$C$42, 32.353, 32.353) * CHOOSE(CONTROL!$C$21, $C$9, 100%, $E$9)</f>
        <v>32.353000000000002</v>
      </c>
      <c r="Q969" s="10">
        <f>CHOOSE(CONTROL!$C$42, 33.1512, 33.1512) * CHOOSE(CONTROL!$C$21, $C$9, 100%, $E$9)</f>
        <v>33.151200000000003</v>
      </c>
      <c r="R969" s="10">
        <f>CHOOSE(CONTROL!$C$42, 33.821, 33.821) * CHOOSE(CONTROL!$C$21, $C$9, 100%, $E$9)</f>
        <v>33.820999999999998</v>
      </c>
      <c r="S969" s="10">
        <f>CHOOSE(CONTROL!$C$42, 31.7733, 31.7733) * CHOOSE(CONTROL!$C$21, $C$9, 100%, $E$9)</f>
        <v>31.773299999999999</v>
      </c>
      <c r="T96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69" s="38">
        <f>(1000*CHOOSE(CONTROL!$C$42, 695, 695)*CHOOSE(CONTROL!$C$42, 0.5599, 0.5599)*CHOOSE(CONTROL!$C$42, 30, 30))/1000000</f>
        <v>11.673914999999997</v>
      </c>
      <c r="V969" s="38">
        <f>(1000*CHOOSE(CONTROL!$C$42, 500, 500)*CHOOSE(CONTROL!$C$42, 0.275, 0.275)*CHOOSE(CONTROL!$C$42, 30, 30))/1000000</f>
        <v>4.125</v>
      </c>
      <c r="W969" s="38">
        <f>(1000*CHOOSE(CONTROL!$C$42, 0.1146, 0.1146)*CHOOSE(CONTROL!$C$42, 121.5, 121.5)*CHOOSE(CONTROL!$C$42, 30, 30))/1000000</f>
        <v>0.417717</v>
      </c>
      <c r="X969" s="38">
        <f>(30*0.1790888*245000/1000000)+(30*0.2374*100000/1000000)</f>
        <v>2.0285026799999999</v>
      </c>
      <c r="Y969" s="38">
        <f>(1000*600*CHOOSE(CONTROL!$C$42, 1.0585, 1.0585)*CHOOSE(CONTROL!$C$42, 30, 30))/1000000</f>
        <v>19.053000000000001</v>
      </c>
      <c r="Z969" s="38"/>
      <c r="AA969" s="10"/>
      <c r="AB969" s="39"/>
      <c r="AC969" s="33">
        <f>(B969*194.205+C969*267.466+D969*133.845+E969*53.484+F969*40+G969*185+H969*0+I969*100+J969*300)/(194.205+267.466+133.845+53.484+0+40+185+100+300)</f>
        <v>32.801670183516485</v>
      </c>
      <c r="AD969" s="27">
        <f>(M969*'RAP TEMPLATE-GAS AVAILABILITY'!O968+N969*'RAP TEMPLATE-GAS AVAILABILITY'!P968+O969*'RAP TEMPLATE-GAS AVAILABILITY'!Q968+P969*'RAP TEMPLATE-GAS AVAILABILITY'!R968)/('RAP TEMPLATE-GAS AVAILABILITY'!O968+'RAP TEMPLATE-GAS AVAILABILITY'!P968+'RAP TEMPLATE-GAS AVAILABILITY'!Q968+'RAP TEMPLATE-GAS AVAILABILITY'!R968)</f>
        <v>32.429238129496397</v>
      </c>
    </row>
    <row r="970" spans="1:30" ht="15.75">
      <c r="A970" s="13">
        <v>70798</v>
      </c>
      <c r="B970" s="10">
        <f>CHOOSE(CONTROL!$C$42, 32.13, 32.13) * CHOOSE(CONTROL!$C$21, $C$9, 100%, $E$9)</f>
        <v>32.130000000000003</v>
      </c>
      <c r="C970" s="10">
        <f>CHOOSE(CONTROL!$C$42, 32.1353, 32.1353) * CHOOSE(CONTROL!$C$21, $C$9, 100%, $E$9)</f>
        <v>32.135300000000001</v>
      </c>
      <c r="D970" s="10">
        <f>CHOOSE(CONTROL!$C$42, 32.2972, 32.2972) * CHOOSE(CONTROL!$C$21, $C$9, 100%, $E$9)</f>
        <v>32.297199999999997</v>
      </c>
      <c r="E970" s="10">
        <f>CHOOSE(CONTROL!$C$42, 32.3262, 32.3262) * CHOOSE(CONTROL!$C$21, $C$9, 100%, $E$9)</f>
        <v>32.3262</v>
      </c>
      <c r="F970" s="10">
        <f>CHOOSE(CONTROL!$C$42, 32.0764, 32.0764)*CHOOSE(CONTROL!$C$21, $C$9, 100%, $E$9)</f>
        <v>32.0764</v>
      </c>
      <c r="G970" s="10">
        <f>CHOOSE(CONTROL!$C$42, 32.0922, 32.0922)*CHOOSE(CONTROL!$C$21, $C$9, 100%, $E$9)</f>
        <v>32.092199999999998</v>
      </c>
      <c r="H970" s="10">
        <f>CHOOSE(CONTROL!$C$42, 32.3163, 32.3163) * CHOOSE(CONTROL!$C$21, $C$9, 100%, $E$9)</f>
        <v>32.316299999999998</v>
      </c>
      <c r="I970" s="10">
        <f>CHOOSE(CONTROL!$C$42, 32.1105, 32.1105)* CHOOSE(CONTROL!$C$21, $C$9, 100%, $E$9)</f>
        <v>32.110500000000002</v>
      </c>
      <c r="J970" s="10">
        <f>CHOOSE(CONTROL!$C$42, 32.069, 32.069)* CHOOSE(CONTROL!$C$21, $C$9, 100%, $E$9)</f>
        <v>32.069000000000003</v>
      </c>
      <c r="K970" s="10">
        <f>CHOOSE(CONTROL!$C$42, 31.2685, 31.2685) * CHOOSE(CONTROL!$C$21, $C$9, 100%, $E$9)</f>
        <v>31.2685</v>
      </c>
      <c r="L970" s="10">
        <f>CHOOSE(CONTROL!$C$42, 32.9033, 32.9033) * CHOOSE(CONTROL!$C$21, $C$9, 100%, $E$9)</f>
        <v>32.903300000000002</v>
      </c>
      <c r="M970" s="10">
        <f>CHOOSE(CONTROL!$C$42, 31.6546, 31.6546) * CHOOSE(CONTROL!$C$21, $C$9, 100%, $E$9)</f>
        <v>31.654599999999999</v>
      </c>
      <c r="N970" s="10">
        <f>CHOOSE(CONTROL!$C$42, 31.6702, 31.6702) * CHOOSE(CONTROL!$C$21, $C$9, 100%, $E$9)</f>
        <v>31.670200000000001</v>
      </c>
      <c r="O970" s="10">
        <f>CHOOSE(CONTROL!$C$42, 31.8985, 31.8985) * CHOOSE(CONTROL!$C$21, $C$9, 100%, $E$9)</f>
        <v>31.898499999999999</v>
      </c>
      <c r="P970" s="10">
        <f>CHOOSE(CONTROL!$C$42, 31.6956, 31.6956) * CHOOSE(CONTROL!$C$21, $C$9, 100%, $E$9)</f>
        <v>31.695599999999999</v>
      </c>
      <c r="Q970" s="10">
        <f>CHOOSE(CONTROL!$C$42, 32.4938, 32.4938) * CHOOSE(CONTROL!$C$21, $C$9, 100%, $E$9)</f>
        <v>32.4938</v>
      </c>
      <c r="R970" s="10">
        <f>CHOOSE(CONTROL!$C$42, 33.162, 33.162) * CHOOSE(CONTROL!$C$21, $C$9, 100%, $E$9)</f>
        <v>33.161999999999999</v>
      </c>
      <c r="S970" s="10">
        <f>CHOOSE(CONTROL!$C$42, 31.1277, 31.1277) * CHOOSE(CONTROL!$C$21, $C$9, 100%, $E$9)</f>
        <v>31.127700000000001</v>
      </c>
      <c r="T97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70" s="38">
        <f>(1000*CHOOSE(CONTROL!$C$42, 695, 695)*CHOOSE(CONTROL!$C$42, 0.5599, 0.5599)*CHOOSE(CONTROL!$C$42, 31, 31))/1000000</f>
        <v>12.063045499999998</v>
      </c>
      <c r="V970" s="38">
        <f>(1000*CHOOSE(CONTROL!$C$42, 500, 500)*CHOOSE(CONTROL!$C$42, 0.275, 0.275)*CHOOSE(CONTROL!$C$42, 31, 31))/1000000</f>
        <v>4.2625000000000002</v>
      </c>
      <c r="W970" s="38">
        <f>(1000*CHOOSE(CONTROL!$C$42, 0.1146, 0.1146)*CHOOSE(CONTROL!$C$42, 121.5, 121.5)*CHOOSE(CONTROL!$C$42, 31, 31))/1000000</f>
        <v>0.43164089999999994</v>
      </c>
      <c r="X970" s="38">
        <f>(31*0.1790888*245000/1000000)+(31*0.2374*100000/1000000)</f>
        <v>2.0961194359999999</v>
      </c>
      <c r="Y970" s="38">
        <f>(1000*600*CHOOSE(CONTROL!$C$42, 1.0585, 1.0585)*CHOOSE(CONTROL!$C$42, 31, 31))/1000000</f>
        <v>19.688099999999999</v>
      </c>
      <c r="Z970" s="38"/>
      <c r="AA970" s="10"/>
      <c r="AB970" s="39"/>
      <c r="AC970" s="33">
        <f>(B970*131.881+C970*277.167+D970*79.08+E970*125.872+F970*40+G970*185+H970*0+I970*100+J970*300)/(131.881+277.167+79.08+125.872+0+40+185+100+300)</f>
        <v>32.138071224778045</v>
      </c>
      <c r="AD970" s="27">
        <f>(M970*'RAP TEMPLATE-GAS AVAILABILITY'!O969+N970*'RAP TEMPLATE-GAS AVAILABILITY'!P969+O970*'RAP TEMPLATE-GAS AVAILABILITY'!Q969+P970*'RAP TEMPLATE-GAS AVAILABILITY'!R969)/('RAP TEMPLATE-GAS AVAILABILITY'!O969+'RAP TEMPLATE-GAS AVAILABILITY'!P969+'RAP TEMPLATE-GAS AVAILABILITY'!Q969+'RAP TEMPLATE-GAS AVAILABILITY'!R969)</f>
        <v>31.771941726618707</v>
      </c>
    </row>
    <row r="971" spans="1:30" ht="15.75">
      <c r="A971" s="13">
        <v>70828</v>
      </c>
      <c r="B971" s="10">
        <f>CHOOSE(CONTROL!$C$42, 32.9764, 32.9764) * CHOOSE(CONTROL!$C$21, $C$9, 100%, $E$9)</f>
        <v>32.976399999999998</v>
      </c>
      <c r="C971" s="10">
        <f>CHOOSE(CONTROL!$C$42, 32.9815, 32.9815) * CHOOSE(CONTROL!$C$21, $C$9, 100%, $E$9)</f>
        <v>32.981499999999997</v>
      </c>
      <c r="D971" s="10">
        <f>CHOOSE(CONTROL!$C$42, 33.0062, 33.0062) * CHOOSE(CONTROL!$C$21, $C$9, 100%, $E$9)</f>
        <v>33.0062</v>
      </c>
      <c r="E971" s="10">
        <f>CHOOSE(CONTROL!$C$42, 33.04, 33.04) * CHOOSE(CONTROL!$C$21, $C$9, 100%, $E$9)</f>
        <v>33.04</v>
      </c>
      <c r="F971" s="10">
        <f>CHOOSE(CONTROL!$C$42, 32.9448, 32.9448)*CHOOSE(CONTROL!$C$21, $C$9, 100%, $E$9)</f>
        <v>32.944800000000001</v>
      </c>
      <c r="G971" s="10">
        <f>CHOOSE(CONTROL!$C$42, 32.9608, 32.9608)*CHOOSE(CONTROL!$C$21, $C$9, 100%, $E$9)</f>
        <v>32.960799999999999</v>
      </c>
      <c r="H971" s="10">
        <f>CHOOSE(CONTROL!$C$42, 33.0289, 33.0289) * CHOOSE(CONTROL!$C$21, $C$9, 100%, $E$9)</f>
        <v>33.0289</v>
      </c>
      <c r="I971" s="10">
        <f>CHOOSE(CONTROL!$C$42, 32.9914, 32.9914)* CHOOSE(CONTROL!$C$21, $C$9, 100%, $E$9)</f>
        <v>32.991399999999999</v>
      </c>
      <c r="J971" s="10">
        <f>CHOOSE(CONTROL!$C$42, 32.9374, 32.9374)* CHOOSE(CONTROL!$C$21, $C$9, 100%, $E$9)</f>
        <v>32.937399999999997</v>
      </c>
      <c r="K971" s="10">
        <f>CHOOSE(CONTROL!$C$42, 32.1242, 32.1242) * CHOOSE(CONTROL!$C$21, $C$9, 100%, $E$9)</f>
        <v>32.124200000000002</v>
      </c>
      <c r="L971" s="10">
        <f>CHOOSE(CONTROL!$C$42, 33.6159, 33.6159) * CHOOSE(CONTROL!$C$21, $C$9, 100%, $E$9)</f>
        <v>33.615900000000003</v>
      </c>
      <c r="M971" s="10">
        <f>CHOOSE(CONTROL!$C$42, 32.5109, 32.5109) * CHOOSE(CONTROL!$C$21, $C$9, 100%, $E$9)</f>
        <v>32.510899999999999</v>
      </c>
      <c r="N971" s="10">
        <f>CHOOSE(CONTROL!$C$42, 32.5267, 32.5267) * CHOOSE(CONTROL!$C$21, $C$9, 100%, $E$9)</f>
        <v>32.526699999999998</v>
      </c>
      <c r="O971" s="10">
        <f>CHOOSE(CONTROL!$C$42, 32.6012, 32.6012) * CHOOSE(CONTROL!$C$21, $C$9, 100%, $E$9)</f>
        <v>32.601199999999999</v>
      </c>
      <c r="P971" s="10">
        <f>CHOOSE(CONTROL!$C$42, 32.5643, 32.5643) * CHOOSE(CONTROL!$C$21, $C$9, 100%, $E$9)</f>
        <v>32.564300000000003</v>
      </c>
      <c r="Q971" s="10">
        <f>CHOOSE(CONTROL!$C$42, 33.1965, 33.1965) * CHOOSE(CONTROL!$C$21, $C$9, 100%, $E$9)</f>
        <v>33.1965</v>
      </c>
      <c r="R971" s="10">
        <f>CHOOSE(CONTROL!$C$42, 33.8664, 33.8664) * CHOOSE(CONTROL!$C$21, $C$9, 100%, $E$9)</f>
        <v>33.866399999999999</v>
      </c>
      <c r="S971" s="10">
        <f>CHOOSE(CONTROL!$C$42, 31.9478, 31.9478) * CHOOSE(CONTROL!$C$21, $C$9, 100%, $E$9)</f>
        <v>31.947800000000001</v>
      </c>
      <c r="T97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71" s="38">
        <f>(1000*CHOOSE(CONTROL!$C$42, 695, 695)*CHOOSE(CONTROL!$C$42, 0.5599, 0.5599)*CHOOSE(CONTROL!$C$42, 30, 30))/1000000</f>
        <v>11.673914999999997</v>
      </c>
      <c r="V971" s="38">
        <f>(1000*CHOOSE(CONTROL!$C$42, 500, 500)*CHOOSE(CONTROL!$C$42, 0.275, 0.275)*CHOOSE(CONTROL!$C$42, 30, 30))/1000000</f>
        <v>4.125</v>
      </c>
      <c r="W971" s="38">
        <f>(1000*CHOOSE(CONTROL!$C$42, 0.1146, 0.1146)*CHOOSE(CONTROL!$C$42, 121.5, 121.5)*CHOOSE(CONTROL!$C$42, 30, 30))/1000000</f>
        <v>0.417717</v>
      </c>
      <c r="X971" s="38">
        <f>(30*0.1790888*100000/1000000)+(30*0.2374*100000/1000000)</f>
        <v>1.2494664</v>
      </c>
      <c r="Y971" s="38">
        <f>(1000*600*CHOOSE(CONTROL!$C$42, 1.0585, 1.0585)*CHOOSE(CONTROL!$C$42, 30, 30))/1000000</f>
        <v>19.053000000000001</v>
      </c>
      <c r="Z971" s="38"/>
      <c r="AA971" s="10"/>
      <c r="AB971" s="39"/>
      <c r="AC971" s="33">
        <f>(B971*122.58+C971*297.941+D971*89.177+E971*40.302+F971*40+G971*160+H971*0+I971*100+J971*300)/(122.58+297.941+89.177+40.302+0+40+160+100+300)</f>
        <v>32.970121896434776</v>
      </c>
      <c r="AD971" s="27">
        <f>(M971*'RAP TEMPLATE-GAS AVAILABILITY'!O970+N971*'RAP TEMPLATE-GAS AVAILABILITY'!P970+O971*'RAP TEMPLATE-GAS AVAILABILITY'!Q970+P971*'RAP TEMPLATE-GAS AVAILABILITY'!R970)/('RAP TEMPLATE-GAS AVAILABILITY'!O970+'RAP TEMPLATE-GAS AVAILABILITY'!P970+'RAP TEMPLATE-GAS AVAILABILITY'!Q970+'RAP TEMPLATE-GAS AVAILABILITY'!R970)</f>
        <v>32.56042014388489</v>
      </c>
    </row>
    <row r="972" spans="1:30" ht="15.75">
      <c r="A972" s="13">
        <v>70859</v>
      </c>
      <c r="B972" s="10">
        <f>CHOOSE(CONTROL!$C$42, 35.2259, 35.2259) * CHOOSE(CONTROL!$C$21, $C$9, 100%, $E$9)</f>
        <v>35.225900000000003</v>
      </c>
      <c r="C972" s="10">
        <f>CHOOSE(CONTROL!$C$42, 35.231, 35.231) * CHOOSE(CONTROL!$C$21, $C$9, 100%, $E$9)</f>
        <v>35.231000000000002</v>
      </c>
      <c r="D972" s="10">
        <f>CHOOSE(CONTROL!$C$42, 35.2557, 35.2557) * CHOOSE(CONTROL!$C$21, $C$9, 100%, $E$9)</f>
        <v>35.255699999999997</v>
      </c>
      <c r="E972" s="10">
        <f>CHOOSE(CONTROL!$C$42, 35.2895, 35.2895) * CHOOSE(CONTROL!$C$21, $C$9, 100%, $E$9)</f>
        <v>35.289499999999997</v>
      </c>
      <c r="F972" s="10">
        <f>CHOOSE(CONTROL!$C$42, 35.1961, 35.1961)*CHOOSE(CONTROL!$C$21, $C$9, 100%, $E$9)</f>
        <v>35.196100000000001</v>
      </c>
      <c r="G972" s="10">
        <f>CHOOSE(CONTROL!$C$42, 35.2126, 35.2126)*CHOOSE(CONTROL!$C$21, $C$9, 100%, $E$9)</f>
        <v>35.212600000000002</v>
      </c>
      <c r="H972" s="10">
        <f>CHOOSE(CONTROL!$C$42, 35.2783, 35.2783) * CHOOSE(CONTROL!$C$21, $C$9, 100%, $E$9)</f>
        <v>35.278300000000002</v>
      </c>
      <c r="I972" s="10">
        <f>CHOOSE(CONTROL!$C$42, 35.2409, 35.2409)* CHOOSE(CONTROL!$C$21, $C$9, 100%, $E$9)</f>
        <v>35.240900000000003</v>
      </c>
      <c r="J972" s="10">
        <f>CHOOSE(CONTROL!$C$42, 35.1887, 35.1887)* CHOOSE(CONTROL!$C$21, $C$9, 100%, $E$9)</f>
        <v>35.188699999999997</v>
      </c>
      <c r="K972" s="10">
        <f>CHOOSE(CONTROL!$C$42, 34.3075, 34.3075) * CHOOSE(CONTROL!$C$21, $C$9, 100%, $E$9)</f>
        <v>34.307499999999997</v>
      </c>
      <c r="L972" s="10">
        <f>CHOOSE(CONTROL!$C$42, 35.8653, 35.8653) * CHOOSE(CONTROL!$C$21, $C$9, 100%, $E$9)</f>
        <v>35.865299999999998</v>
      </c>
      <c r="M972" s="10">
        <f>CHOOSE(CONTROL!$C$42, 34.7309, 34.7309) * CHOOSE(CONTROL!$C$21, $C$9, 100%, $E$9)</f>
        <v>34.730899999999998</v>
      </c>
      <c r="N972" s="10">
        <f>CHOOSE(CONTROL!$C$42, 34.7471, 34.7471) * CHOOSE(CONTROL!$C$21, $C$9, 100%, $E$9)</f>
        <v>34.747100000000003</v>
      </c>
      <c r="O972" s="10">
        <f>CHOOSE(CONTROL!$C$42, 34.8192, 34.8192) * CHOOSE(CONTROL!$C$21, $C$9, 100%, $E$9)</f>
        <v>34.819200000000002</v>
      </c>
      <c r="P972" s="10">
        <f>CHOOSE(CONTROL!$C$42, 34.7823, 34.7823) * CHOOSE(CONTROL!$C$21, $C$9, 100%, $E$9)</f>
        <v>34.782299999999999</v>
      </c>
      <c r="Q972" s="10">
        <f>CHOOSE(CONTROL!$C$42, 35.4145, 35.4145) * CHOOSE(CONTROL!$C$21, $C$9, 100%, $E$9)</f>
        <v>35.414499999999997</v>
      </c>
      <c r="R972" s="10">
        <f>CHOOSE(CONTROL!$C$42, 36.09, 36.09) * CHOOSE(CONTROL!$C$21, $C$9, 100%, $E$9)</f>
        <v>36.090000000000003</v>
      </c>
      <c r="S972" s="10">
        <f>CHOOSE(CONTROL!$C$42, 34.1259, 34.1259) * CHOOSE(CONTROL!$C$21, $C$9, 100%, $E$9)</f>
        <v>34.125900000000001</v>
      </c>
      <c r="T97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72" s="38">
        <f>(1000*CHOOSE(CONTROL!$C$42, 695, 695)*CHOOSE(CONTROL!$C$42, 0.5599, 0.5599)*CHOOSE(CONTROL!$C$42, 31, 31))/1000000</f>
        <v>12.063045499999998</v>
      </c>
      <c r="V972" s="38">
        <f>(1000*CHOOSE(CONTROL!$C$42, 500, 500)*CHOOSE(CONTROL!$C$42, 0.275, 0.275)*CHOOSE(CONTROL!$C$42, 31, 31))/1000000</f>
        <v>4.2625000000000002</v>
      </c>
      <c r="W972" s="38">
        <f>(1000*CHOOSE(CONTROL!$C$42, 0.1146, 0.1146)*CHOOSE(CONTROL!$C$42, 121.5, 121.5)*CHOOSE(CONTROL!$C$42, 31, 31))/1000000</f>
        <v>0.43164089999999994</v>
      </c>
      <c r="X972" s="38">
        <f>(31*0.1790888*100000/1000000)+(31*0.2374*100000/1000000)</f>
        <v>1.2911152800000001</v>
      </c>
      <c r="Y972" s="38">
        <f>(1000*600*CHOOSE(CONTROL!$C$42, 1.0585, 1.0585)*CHOOSE(CONTROL!$C$42, 31, 31))/1000000</f>
        <v>19.688099999999999</v>
      </c>
      <c r="Z972" s="38"/>
      <c r="AA972" s="10"/>
      <c r="AB972" s="39"/>
      <c r="AC972" s="33">
        <f>(B972*122.58+C972*297.941+D972*89.177+E972*40.302+F972*40+G972*160+H972*0+I972*100+J972*300)/(122.58+297.941+89.177+40.302+0+40+160+100+300)</f>
        <v>35.220474070347827</v>
      </c>
      <c r="AD972" s="27">
        <f>(M972*'RAP TEMPLATE-GAS AVAILABILITY'!O971+N972*'RAP TEMPLATE-GAS AVAILABILITY'!P971+O972*'RAP TEMPLATE-GAS AVAILABILITY'!Q971+P972*'RAP TEMPLATE-GAS AVAILABILITY'!R971)/('RAP TEMPLATE-GAS AVAILABILITY'!O971+'RAP TEMPLATE-GAS AVAILABILITY'!P971+'RAP TEMPLATE-GAS AVAILABILITY'!Q971+'RAP TEMPLATE-GAS AVAILABILITY'!R971)</f>
        <v>34.779248920863303</v>
      </c>
    </row>
    <row r="973" spans="1:30" ht="15.75">
      <c r="A973" s="13">
        <v>70890</v>
      </c>
      <c r="B973" s="10">
        <f>CHOOSE(CONTROL!$C$42, 37.6045, 37.6045) * CHOOSE(CONTROL!$C$21, $C$9, 100%, $E$9)</f>
        <v>37.604500000000002</v>
      </c>
      <c r="C973" s="10">
        <f>CHOOSE(CONTROL!$C$42, 37.6096, 37.6096) * CHOOSE(CONTROL!$C$21, $C$9, 100%, $E$9)</f>
        <v>37.6096</v>
      </c>
      <c r="D973" s="10">
        <f>CHOOSE(CONTROL!$C$42, 37.6421, 37.6421) * CHOOSE(CONTROL!$C$21, $C$9, 100%, $E$9)</f>
        <v>37.642099999999999</v>
      </c>
      <c r="E973" s="10">
        <f>CHOOSE(CONTROL!$C$42, 37.6759, 37.6759) * CHOOSE(CONTROL!$C$21, $C$9, 100%, $E$9)</f>
        <v>37.675899999999999</v>
      </c>
      <c r="F973" s="10">
        <f>CHOOSE(CONTROL!$C$42, 37.5887, 37.5887)*CHOOSE(CONTROL!$C$21, $C$9, 100%, $E$9)</f>
        <v>37.588700000000003</v>
      </c>
      <c r="G973" s="10">
        <f>CHOOSE(CONTROL!$C$42, 37.6067, 37.6067)*CHOOSE(CONTROL!$C$21, $C$9, 100%, $E$9)</f>
        <v>37.606699999999996</v>
      </c>
      <c r="H973" s="10">
        <f>CHOOSE(CONTROL!$C$42, 37.6647, 37.6647) * CHOOSE(CONTROL!$C$21, $C$9, 100%, $E$9)</f>
        <v>37.664700000000003</v>
      </c>
      <c r="I973" s="10">
        <f>CHOOSE(CONTROL!$C$42, 37.618, 37.618)* CHOOSE(CONTROL!$C$21, $C$9, 100%, $E$9)</f>
        <v>37.618000000000002</v>
      </c>
      <c r="J973" s="10">
        <f>CHOOSE(CONTROL!$C$42, 37.5813, 37.5813)* CHOOSE(CONTROL!$C$21, $C$9, 100%, $E$9)</f>
        <v>37.581299999999999</v>
      </c>
      <c r="K973" s="10">
        <f>CHOOSE(CONTROL!$C$42, 36.6243, 36.6243) * CHOOSE(CONTROL!$C$21, $C$9, 100%, $E$9)</f>
        <v>36.624299999999998</v>
      </c>
      <c r="L973" s="10">
        <f>CHOOSE(CONTROL!$C$42, 38.2517, 38.2517) * CHOOSE(CONTROL!$C$21, $C$9, 100%, $E$9)</f>
        <v>38.2517</v>
      </c>
      <c r="M973" s="10">
        <f>CHOOSE(CONTROL!$C$42, 37.09, 37.09) * CHOOSE(CONTROL!$C$21, $C$9, 100%, $E$9)</f>
        <v>37.090000000000003</v>
      </c>
      <c r="N973" s="10">
        <f>CHOOSE(CONTROL!$C$42, 37.1078, 37.1078) * CHOOSE(CONTROL!$C$21, $C$9, 100%, $E$9)</f>
        <v>37.107799999999997</v>
      </c>
      <c r="O973" s="10">
        <f>CHOOSE(CONTROL!$C$42, 37.1723, 37.1723) * CHOOSE(CONTROL!$C$21, $C$9, 100%, $E$9)</f>
        <v>37.1723</v>
      </c>
      <c r="P973" s="10">
        <f>CHOOSE(CONTROL!$C$42, 37.1262, 37.1262) * CHOOSE(CONTROL!$C$21, $C$9, 100%, $E$9)</f>
        <v>37.126199999999997</v>
      </c>
      <c r="Q973" s="10">
        <f>CHOOSE(CONTROL!$C$42, 37.7676, 37.7676) * CHOOSE(CONTROL!$C$21, $C$9, 100%, $E$9)</f>
        <v>37.767600000000002</v>
      </c>
      <c r="R973" s="10">
        <f>CHOOSE(CONTROL!$C$42, 38.449, 38.449) * CHOOSE(CONTROL!$C$21, $C$9, 100%, $E$9)</f>
        <v>38.448999999999998</v>
      </c>
      <c r="S973" s="10">
        <f>CHOOSE(CONTROL!$C$42, 36.4291, 36.4291) * CHOOSE(CONTROL!$C$21, $C$9, 100%, $E$9)</f>
        <v>36.429099999999998</v>
      </c>
      <c r="T97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73" s="38">
        <f>(1000*CHOOSE(CONTROL!$C$42, 695, 695)*CHOOSE(CONTROL!$C$42, 0.5599, 0.5599)*CHOOSE(CONTROL!$C$42, 31, 31))/1000000</f>
        <v>12.063045499999998</v>
      </c>
      <c r="V973" s="38">
        <f>(1000*CHOOSE(CONTROL!$C$42, 500, 500)*CHOOSE(CONTROL!$C$42, 0.275, 0.275)*CHOOSE(CONTROL!$C$42, 31, 31))/1000000</f>
        <v>4.2625000000000002</v>
      </c>
      <c r="W973" s="38">
        <f>(1000*CHOOSE(CONTROL!$C$42, 0.1146, 0.1146)*CHOOSE(CONTROL!$C$42, 121.5, 121.5)*CHOOSE(CONTROL!$C$42, 31, 31))/1000000</f>
        <v>0.43164089999999994</v>
      </c>
      <c r="X973" s="38">
        <f>(31*0.1790888*100000/1000000)+(31*0.2374*100000/1000000)</f>
        <v>1.2911152800000001</v>
      </c>
      <c r="Y973" s="38">
        <f>(1000*600*CHOOSE(CONTROL!$C$42, 1.0585, 1.0585)*CHOOSE(CONTROL!$C$42, 31, 31))/1000000</f>
        <v>19.688099999999999</v>
      </c>
      <c r="Z973" s="38"/>
      <c r="AA973" s="10"/>
      <c r="AB973" s="39"/>
      <c r="AC973" s="33">
        <f>(B973*122.58+C973*297.941+D973*89.177+E973*40.302+F973*40+G973*160+H973*0+I973*100+J973*300)/(122.58+297.941+89.177+40.302+0+40+160+100+300)</f>
        <v>37.606117493130434</v>
      </c>
      <c r="AD973" s="27">
        <f>(M973*'RAP TEMPLATE-GAS AVAILABILITY'!O972+N973*'RAP TEMPLATE-GAS AVAILABILITY'!P972+O973*'RAP TEMPLATE-GAS AVAILABILITY'!Q972+P973*'RAP TEMPLATE-GAS AVAILABILITY'!R972)/('RAP TEMPLATE-GAS AVAILABILITY'!O972+'RAP TEMPLATE-GAS AVAILABILITY'!P972+'RAP TEMPLATE-GAS AVAILABILITY'!Q972+'RAP TEMPLATE-GAS AVAILABILITY'!R972)</f>
        <v>37.1335345323741</v>
      </c>
    </row>
    <row r="974" spans="1:30" ht="15.75">
      <c r="A974" s="13">
        <v>70918</v>
      </c>
      <c r="B974" s="10">
        <f>CHOOSE(CONTROL!$C$42, 38.2742, 38.2742) * CHOOSE(CONTROL!$C$21, $C$9, 100%, $E$9)</f>
        <v>38.2742</v>
      </c>
      <c r="C974" s="10">
        <f>CHOOSE(CONTROL!$C$42, 38.2793, 38.2793) * CHOOSE(CONTROL!$C$21, $C$9, 100%, $E$9)</f>
        <v>38.279299999999999</v>
      </c>
      <c r="D974" s="10">
        <f>CHOOSE(CONTROL!$C$42, 38.3118, 38.3118) * CHOOSE(CONTROL!$C$21, $C$9, 100%, $E$9)</f>
        <v>38.311799999999998</v>
      </c>
      <c r="E974" s="10">
        <f>CHOOSE(CONTROL!$C$42, 38.3456, 38.3456) * CHOOSE(CONTROL!$C$21, $C$9, 100%, $E$9)</f>
        <v>38.345599999999997</v>
      </c>
      <c r="F974" s="10">
        <f>CHOOSE(CONTROL!$C$42, 38.258, 38.258)*CHOOSE(CONTROL!$C$21, $C$9, 100%, $E$9)</f>
        <v>38.258000000000003</v>
      </c>
      <c r="G974" s="10">
        <f>CHOOSE(CONTROL!$C$42, 38.2759, 38.2759)*CHOOSE(CONTROL!$C$21, $C$9, 100%, $E$9)</f>
        <v>38.2759</v>
      </c>
      <c r="H974" s="10">
        <f>CHOOSE(CONTROL!$C$42, 38.3344, 38.3344) * CHOOSE(CONTROL!$C$21, $C$9, 100%, $E$9)</f>
        <v>38.334400000000002</v>
      </c>
      <c r="I974" s="10">
        <f>CHOOSE(CONTROL!$C$42, 38.2877, 38.2877)* CHOOSE(CONTROL!$C$21, $C$9, 100%, $E$9)</f>
        <v>38.287700000000001</v>
      </c>
      <c r="J974" s="10">
        <f>CHOOSE(CONTROL!$C$42, 38.2506, 38.2506)* CHOOSE(CONTROL!$C$21, $C$9, 100%, $E$9)</f>
        <v>38.250599999999999</v>
      </c>
      <c r="K974" s="10">
        <f>CHOOSE(CONTROL!$C$42, 37.2721, 37.2721) * CHOOSE(CONTROL!$C$21, $C$9, 100%, $E$9)</f>
        <v>37.272100000000002</v>
      </c>
      <c r="L974" s="10">
        <f>CHOOSE(CONTROL!$C$42, 38.9214, 38.9214) * CHOOSE(CONTROL!$C$21, $C$9, 100%, $E$9)</f>
        <v>38.921399999999998</v>
      </c>
      <c r="M974" s="10">
        <f>CHOOSE(CONTROL!$C$42, 37.7499, 37.7499) * CHOOSE(CONTROL!$C$21, $C$9, 100%, $E$9)</f>
        <v>37.749899999999997</v>
      </c>
      <c r="N974" s="10">
        <f>CHOOSE(CONTROL!$C$42, 37.7676, 37.7676) * CHOOSE(CONTROL!$C$21, $C$9, 100%, $E$9)</f>
        <v>37.767600000000002</v>
      </c>
      <c r="O974" s="10">
        <f>CHOOSE(CONTROL!$C$42, 37.8327, 37.8327) * CHOOSE(CONTROL!$C$21, $C$9, 100%, $E$9)</f>
        <v>37.832700000000003</v>
      </c>
      <c r="P974" s="10">
        <f>CHOOSE(CONTROL!$C$42, 37.7866, 37.7866) * CHOOSE(CONTROL!$C$21, $C$9, 100%, $E$9)</f>
        <v>37.7866</v>
      </c>
      <c r="Q974" s="10">
        <f>CHOOSE(CONTROL!$C$42, 38.428, 38.428) * CHOOSE(CONTROL!$C$21, $C$9, 100%, $E$9)</f>
        <v>38.427999999999997</v>
      </c>
      <c r="R974" s="10">
        <f>CHOOSE(CONTROL!$C$42, 39.111, 39.111) * CHOOSE(CONTROL!$C$21, $C$9, 100%, $E$9)</f>
        <v>39.110999999999997</v>
      </c>
      <c r="S974" s="10">
        <f>CHOOSE(CONTROL!$C$42, 37.0776, 37.0776) * CHOOSE(CONTROL!$C$21, $C$9, 100%, $E$9)</f>
        <v>37.077599999999997</v>
      </c>
      <c r="T97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74" s="38">
        <f>(1000*CHOOSE(CONTROL!$C$42, 695, 695)*CHOOSE(CONTROL!$C$42, 0.5599, 0.5599)*CHOOSE(CONTROL!$C$42, 28, 28))/1000000</f>
        <v>10.895653999999999</v>
      </c>
      <c r="V974" s="38">
        <f>(1000*CHOOSE(CONTROL!$C$42, 500, 500)*CHOOSE(CONTROL!$C$42, 0.275, 0.275)*CHOOSE(CONTROL!$C$42, 28, 28))/1000000</f>
        <v>3.85</v>
      </c>
      <c r="W974" s="38">
        <f>(1000*CHOOSE(CONTROL!$C$42, 0.1146, 0.1146)*CHOOSE(CONTROL!$C$42, 121.5, 121.5)*CHOOSE(CONTROL!$C$42, 28, 28))/1000000</f>
        <v>0.38986920000000003</v>
      </c>
      <c r="X974" s="38">
        <f>(28*0.1790888*100000/1000000)+(28*0.2374*100000/1000000)</f>
        <v>1.16616864</v>
      </c>
      <c r="Y974" s="38">
        <f>(1000*600*CHOOSE(CONTROL!$C$42, 1.0585, 1.0585)*CHOOSE(CONTROL!$C$42, 28, 28))/1000000</f>
        <v>17.782800000000002</v>
      </c>
      <c r="Z974" s="38"/>
      <c r="AA974" s="10"/>
      <c r="AB974" s="39"/>
      <c r="AC974" s="33">
        <f>(B974*122.58+C974*297.941+D974*89.177+E974*40.302+F974*40+G974*160+H974*0+I974*100+J974*300)/(122.58+297.941+89.177+40.302+0+40+160+100+300)</f>
        <v>38.275629667043475</v>
      </c>
      <c r="AD974" s="27">
        <f>(M974*'RAP TEMPLATE-GAS AVAILABILITY'!O973+N974*'RAP TEMPLATE-GAS AVAILABILITY'!P973+O974*'RAP TEMPLATE-GAS AVAILABILITY'!Q973+P974*'RAP TEMPLATE-GAS AVAILABILITY'!R973)/('RAP TEMPLATE-GAS AVAILABILITY'!O973+'RAP TEMPLATE-GAS AVAILABILITY'!P973+'RAP TEMPLATE-GAS AVAILABILITY'!Q973+'RAP TEMPLATE-GAS AVAILABILITY'!R973)</f>
        <v>37.793727338129493</v>
      </c>
    </row>
    <row r="975" spans="1:30" ht="15.75">
      <c r="A975" s="13">
        <v>70949</v>
      </c>
      <c r="B975" s="10">
        <f>CHOOSE(CONTROL!$C$42, 37.1871, 37.1871) * CHOOSE(CONTROL!$C$21, $C$9, 100%, $E$9)</f>
        <v>37.187100000000001</v>
      </c>
      <c r="C975" s="10">
        <f>CHOOSE(CONTROL!$C$42, 37.1922, 37.1922) * CHOOSE(CONTROL!$C$21, $C$9, 100%, $E$9)</f>
        <v>37.1922</v>
      </c>
      <c r="D975" s="10">
        <f>CHOOSE(CONTROL!$C$42, 37.2247, 37.2247) * CHOOSE(CONTROL!$C$21, $C$9, 100%, $E$9)</f>
        <v>37.224699999999999</v>
      </c>
      <c r="E975" s="10">
        <f>CHOOSE(CONTROL!$C$42, 37.2585, 37.2585) * CHOOSE(CONTROL!$C$21, $C$9, 100%, $E$9)</f>
        <v>37.258499999999998</v>
      </c>
      <c r="F975" s="10">
        <f>CHOOSE(CONTROL!$C$42, 37.1694, 37.1694)*CHOOSE(CONTROL!$C$21, $C$9, 100%, $E$9)</f>
        <v>37.169400000000003</v>
      </c>
      <c r="G975" s="10">
        <f>CHOOSE(CONTROL!$C$42, 37.187, 37.187)*CHOOSE(CONTROL!$C$21, $C$9, 100%, $E$9)</f>
        <v>37.186999999999998</v>
      </c>
      <c r="H975" s="10">
        <f>CHOOSE(CONTROL!$C$42, 37.2473, 37.2473) * CHOOSE(CONTROL!$C$21, $C$9, 100%, $E$9)</f>
        <v>37.247300000000003</v>
      </c>
      <c r="I975" s="10">
        <f>CHOOSE(CONTROL!$C$42, 37.2006, 37.2006)* CHOOSE(CONTROL!$C$21, $C$9, 100%, $E$9)</f>
        <v>37.200600000000001</v>
      </c>
      <c r="J975" s="10">
        <f>CHOOSE(CONTROL!$C$42, 37.162, 37.162)* CHOOSE(CONTROL!$C$21, $C$9, 100%, $E$9)</f>
        <v>37.161999999999999</v>
      </c>
      <c r="K975" s="10">
        <f>CHOOSE(CONTROL!$C$42, 36.2158, 36.2158) * CHOOSE(CONTROL!$C$21, $C$9, 100%, $E$9)</f>
        <v>36.215800000000002</v>
      </c>
      <c r="L975" s="10">
        <f>CHOOSE(CONTROL!$C$42, 37.8343, 37.8343) * CHOOSE(CONTROL!$C$21, $C$9, 100%, $E$9)</f>
        <v>37.834299999999999</v>
      </c>
      <c r="M975" s="10">
        <f>CHOOSE(CONTROL!$C$42, 36.6766, 36.6766) * CHOOSE(CONTROL!$C$21, $C$9, 100%, $E$9)</f>
        <v>36.676600000000001</v>
      </c>
      <c r="N975" s="10">
        <f>CHOOSE(CONTROL!$C$42, 36.6939, 36.6939) * CHOOSE(CONTROL!$C$21, $C$9, 100%, $E$9)</f>
        <v>36.693899999999999</v>
      </c>
      <c r="O975" s="10">
        <f>CHOOSE(CONTROL!$C$42, 36.7607, 36.7607) * CHOOSE(CONTROL!$C$21, $C$9, 100%, $E$9)</f>
        <v>36.7607</v>
      </c>
      <c r="P975" s="10">
        <f>CHOOSE(CONTROL!$C$42, 36.7147, 36.7147) * CHOOSE(CONTROL!$C$21, $C$9, 100%, $E$9)</f>
        <v>36.714700000000001</v>
      </c>
      <c r="Q975" s="10">
        <f>CHOOSE(CONTROL!$C$42, 37.356, 37.356) * CHOOSE(CONTROL!$C$21, $C$9, 100%, $E$9)</f>
        <v>37.356000000000002</v>
      </c>
      <c r="R975" s="10">
        <f>CHOOSE(CONTROL!$C$42, 38.0364, 38.0364) * CHOOSE(CONTROL!$C$21, $C$9, 100%, $E$9)</f>
        <v>38.0364</v>
      </c>
      <c r="S975" s="10">
        <f>CHOOSE(CONTROL!$C$42, 36.025, 36.025) * CHOOSE(CONTROL!$C$21, $C$9, 100%, $E$9)</f>
        <v>36.024999999999999</v>
      </c>
      <c r="T97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75" s="38">
        <f>(1000*CHOOSE(CONTROL!$C$42, 695, 695)*CHOOSE(CONTROL!$C$42, 0.5599, 0.5599)*CHOOSE(CONTROL!$C$42, 31, 31))/1000000</f>
        <v>12.063045499999998</v>
      </c>
      <c r="V975" s="38">
        <f>(1000*CHOOSE(CONTROL!$C$42, 500, 500)*CHOOSE(CONTROL!$C$42, 0.275, 0.275)*CHOOSE(CONTROL!$C$42, 31, 31))/1000000</f>
        <v>4.2625000000000002</v>
      </c>
      <c r="W975" s="38">
        <f>(1000*CHOOSE(CONTROL!$C$42, 0.1146, 0.1146)*CHOOSE(CONTROL!$C$42, 121.5, 121.5)*CHOOSE(CONTROL!$C$42, 31, 31))/1000000</f>
        <v>0.43164089999999994</v>
      </c>
      <c r="X975" s="38">
        <f>(31*0.1790888*100000/1000000)+(31*0.2374*100000/1000000)</f>
        <v>1.2911152800000001</v>
      </c>
      <c r="Y975" s="38">
        <f>(1000*600*CHOOSE(CONTROL!$C$42, 1.0585, 1.0585)*CHOOSE(CONTROL!$C$42, 31, 31))/1000000</f>
        <v>19.688099999999999</v>
      </c>
      <c r="Z975" s="38"/>
      <c r="AA975" s="10"/>
      <c r="AB975" s="39"/>
      <c r="AC975" s="33">
        <f>(B975*122.58+C975*297.941+D975*89.177+E975*40.302+F975*40+G975*160+H975*0+I975*100+J975*300)/(122.58+297.941+89.177+40.302+0+40+160+100+300)</f>
        <v>37.187835754000005</v>
      </c>
      <c r="AD975" s="27">
        <f>(M975*'RAP TEMPLATE-GAS AVAILABILITY'!O974+N975*'RAP TEMPLATE-GAS AVAILABILITY'!P974+O975*'RAP TEMPLATE-GAS AVAILABILITY'!Q974+P975*'RAP TEMPLATE-GAS AVAILABILITY'!R974)/('RAP TEMPLATE-GAS AVAILABILITY'!O974+'RAP TEMPLATE-GAS AVAILABILITY'!P974+'RAP TEMPLATE-GAS AVAILABILITY'!Q974+'RAP TEMPLATE-GAS AVAILABILITY'!R974)</f>
        <v>36.721194964028776</v>
      </c>
    </row>
    <row r="976" spans="1:30" ht="15.75">
      <c r="A976" s="13">
        <v>70979</v>
      </c>
      <c r="B976" s="10">
        <f>CHOOSE(CONTROL!$C$42, 37.0765, 37.0765) * CHOOSE(CONTROL!$C$21, $C$9, 100%, $E$9)</f>
        <v>37.076500000000003</v>
      </c>
      <c r="C976" s="10">
        <f>CHOOSE(CONTROL!$C$42, 37.081, 37.081) * CHOOSE(CONTROL!$C$21, $C$9, 100%, $E$9)</f>
        <v>37.081000000000003</v>
      </c>
      <c r="D976" s="10">
        <f>CHOOSE(CONTROL!$C$42, 37.2412, 37.2412) * CHOOSE(CONTROL!$C$21, $C$9, 100%, $E$9)</f>
        <v>37.241199999999999</v>
      </c>
      <c r="E976" s="10">
        <f>CHOOSE(CONTROL!$C$42, 37.273, 37.273) * CHOOSE(CONTROL!$C$21, $C$9, 100%, $E$9)</f>
        <v>37.273000000000003</v>
      </c>
      <c r="F976" s="10">
        <f>CHOOSE(CONTROL!$C$42, 37.0226, 37.0226)*CHOOSE(CONTROL!$C$21, $C$9, 100%, $E$9)</f>
        <v>37.022599999999997</v>
      </c>
      <c r="G976" s="10">
        <f>CHOOSE(CONTROL!$C$42, 37.0384, 37.0384)*CHOOSE(CONTROL!$C$21, $C$9, 100%, $E$9)</f>
        <v>37.038400000000003</v>
      </c>
      <c r="H976" s="10">
        <f>CHOOSE(CONTROL!$C$42, 37.2625, 37.2625) * CHOOSE(CONTROL!$C$21, $C$9, 100%, $E$9)</f>
        <v>37.262500000000003</v>
      </c>
      <c r="I976" s="10">
        <f>CHOOSE(CONTROL!$C$42, 37.0566, 37.0566)* CHOOSE(CONTROL!$C$21, $C$9, 100%, $E$9)</f>
        <v>37.056600000000003</v>
      </c>
      <c r="J976" s="10">
        <f>CHOOSE(CONTROL!$C$42, 37.0152, 37.0152)* CHOOSE(CONTROL!$C$21, $C$9, 100%, $E$9)</f>
        <v>37.0152</v>
      </c>
      <c r="K976" s="10">
        <f>CHOOSE(CONTROL!$C$42, 36.0604, 36.0604) * CHOOSE(CONTROL!$C$21, $C$9, 100%, $E$9)</f>
        <v>36.060400000000001</v>
      </c>
      <c r="L976" s="10">
        <f>CHOOSE(CONTROL!$C$42, 37.8495, 37.8495) * CHOOSE(CONTROL!$C$21, $C$9, 100%, $E$9)</f>
        <v>37.849499999999999</v>
      </c>
      <c r="M976" s="10">
        <f>CHOOSE(CONTROL!$C$42, 36.5318, 36.5318) * CHOOSE(CONTROL!$C$21, $C$9, 100%, $E$9)</f>
        <v>36.531799999999997</v>
      </c>
      <c r="N976" s="10">
        <f>CHOOSE(CONTROL!$C$42, 36.5474, 36.5474) * CHOOSE(CONTROL!$C$21, $C$9, 100%, $E$9)</f>
        <v>36.547400000000003</v>
      </c>
      <c r="O976" s="10">
        <f>CHOOSE(CONTROL!$C$42, 36.7756, 36.7756) * CHOOSE(CONTROL!$C$21, $C$9, 100%, $E$9)</f>
        <v>36.775599999999997</v>
      </c>
      <c r="P976" s="10">
        <f>CHOOSE(CONTROL!$C$42, 36.5727, 36.5727) * CHOOSE(CONTROL!$C$21, $C$9, 100%, $E$9)</f>
        <v>36.572699999999998</v>
      </c>
      <c r="Q976" s="10">
        <f>CHOOSE(CONTROL!$C$42, 37.3709, 37.3709) * CHOOSE(CONTROL!$C$21, $C$9, 100%, $E$9)</f>
        <v>37.370899999999999</v>
      </c>
      <c r="R976" s="10">
        <f>CHOOSE(CONTROL!$C$42, 38.0514, 38.0514) * CHOOSE(CONTROL!$C$21, $C$9, 100%, $E$9)</f>
        <v>38.051400000000001</v>
      </c>
      <c r="S976" s="10">
        <f>CHOOSE(CONTROL!$C$42, 35.9171, 35.9171) * CHOOSE(CONTROL!$C$21, $C$9, 100%, $E$9)</f>
        <v>35.917099999999998</v>
      </c>
      <c r="T97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76" s="38">
        <f>(1000*CHOOSE(CONTROL!$C$42, 695, 695)*CHOOSE(CONTROL!$C$42, 0.5599, 0.5599)*CHOOSE(CONTROL!$C$42, 30, 30))/1000000</f>
        <v>11.673914999999997</v>
      </c>
      <c r="V976" s="38">
        <f>(1000*CHOOSE(CONTROL!$C$42, 500, 500)*CHOOSE(CONTROL!$C$42, 0.275, 0.275)*CHOOSE(CONTROL!$C$42, 30, 30))/1000000</f>
        <v>4.125</v>
      </c>
      <c r="W976" s="38">
        <f>(1000*CHOOSE(CONTROL!$C$42, 0.1146, 0.1146)*CHOOSE(CONTROL!$C$42, 121.5, 121.5)*CHOOSE(CONTROL!$C$42, 30, 30))/1000000</f>
        <v>0.417717</v>
      </c>
      <c r="X976" s="38">
        <f>(30*0.1790888*245000/1000000)+(30*0.2374*100000/1000000)</f>
        <v>2.0285026799999999</v>
      </c>
      <c r="Y976" s="38">
        <f>(1000*600*CHOOSE(CONTROL!$C$42, 1.0585, 1.0585)*CHOOSE(CONTROL!$C$42, 30, 30))/1000000</f>
        <v>19.053000000000001</v>
      </c>
      <c r="Z976" s="38"/>
      <c r="AA976" s="10"/>
      <c r="AB976" s="39"/>
      <c r="AC976" s="33">
        <f>(B976*141.293+C976*267.993+D976*115.016+E976*89.698+F976*40+G976*185+H976*0+I976*100+J976*300)/(141.293+267.993+115.016+89.698+0+40+185+100+300)</f>
        <v>37.083110379903147</v>
      </c>
      <c r="AD976" s="27">
        <f>(M976*'RAP TEMPLATE-GAS AVAILABILITY'!O975+N976*'RAP TEMPLATE-GAS AVAILABILITY'!P975+O976*'RAP TEMPLATE-GAS AVAILABILITY'!Q975+P976*'RAP TEMPLATE-GAS AVAILABILITY'!R975)/('RAP TEMPLATE-GAS AVAILABILITY'!O975+'RAP TEMPLATE-GAS AVAILABILITY'!P975+'RAP TEMPLATE-GAS AVAILABILITY'!Q975+'RAP TEMPLATE-GAS AVAILABILITY'!R975)</f>
        <v>36.649082014388483</v>
      </c>
    </row>
    <row r="977" spans="1:30" ht="15.75">
      <c r="A977" s="13">
        <v>71010</v>
      </c>
      <c r="B977" s="10">
        <f>CHOOSE(CONTROL!$C$42, 37.4057, 37.4057) * CHOOSE(CONTROL!$C$21, $C$9, 100%, $E$9)</f>
        <v>37.405700000000003</v>
      </c>
      <c r="C977" s="10">
        <f>CHOOSE(CONTROL!$C$42, 37.4137, 37.4137) * CHOOSE(CONTROL!$C$21, $C$9, 100%, $E$9)</f>
        <v>37.413699999999999</v>
      </c>
      <c r="D977" s="10">
        <f>CHOOSE(CONTROL!$C$42, 37.5708, 37.5708) * CHOOSE(CONTROL!$C$21, $C$9, 100%, $E$9)</f>
        <v>37.570799999999998</v>
      </c>
      <c r="E977" s="10">
        <f>CHOOSE(CONTROL!$C$42, 37.602, 37.602) * CHOOSE(CONTROL!$C$21, $C$9, 100%, $E$9)</f>
        <v>37.601999999999997</v>
      </c>
      <c r="F977" s="10">
        <f>CHOOSE(CONTROL!$C$42, 37.3498, 37.3498)*CHOOSE(CONTROL!$C$21, $C$9, 100%, $E$9)</f>
        <v>37.349800000000002</v>
      </c>
      <c r="G977" s="10">
        <f>CHOOSE(CONTROL!$C$42, 37.366, 37.366)*CHOOSE(CONTROL!$C$21, $C$9, 100%, $E$9)</f>
        <v>37.366</v>
      </c>
      <c r="H977" s="10">
        <f>CHOOSE(CONTROL!$C$42, 37.5903, 37.5903) * CHOOSE(CONTROL!$C$21, $C$9, 100%, $E$9)</f>
        <v>37.590299999999999</v>
      </c>
      <c r="I977" s="10">
        <f>CHOOSE(CONTROL!$C$42, 37.3845, 37.3845)* CHOOSE(CONTROL!$C$21, $C$9, 100%, $E$9)</f>
        <v>37.384500000000003</v>
      </c>
      <c r="J977" s="10">
        <f>CHOOSE(CONTROL!$C$42, 37.3424, 37.3424)* CHOOSE(CONTROL!$C$21, $C$9, 100%, $E$9)</f>
        <v>37.342399999999998</v>
      </c>
      <c r="K977" s="10">
        <f>CHOOSE(CONTROL!$C$42, 36.3767, 36.3767) * CHOOSE(CONTROL!$C$21, $C$9, 100%, $E$9)</f>
        <v>36.3767</v>
      </c>
      <c r="L977" s="10">
        <f>CHOOSE(CONTROL!$C$42, 38.1773, 38.1773) * CHOOSE(CONTROL!$C$21, $C$9, 100%, $E$9)</f>
        <v>38.177300000000002</v>
      </c>
      <c r="M977" s="10">
        <f>CHOOSE(CONTROL!$C$42, 36.8545, 36.8545) * CHOOSE(CONTROL!$C$21, $C$9, 100%, $E$9)</f>
        <v>36.854500000000002</v>
      </c>
      <c r="N977" s="10">
        <f>CHOOSE(CONTROL!$C$42, 36.8704, 36.8704) * CHOOSE(CONTROL!$C$21, $C$9, 100%, $E$9)</f>
        <v>36.870399999999997</v>
      </c>
      <c r="O977" s="10">
        <f>CHOOSE(CONTROL!$C$42, 37.0989, 37.0989) * CHOOSE(CONTROL!$C$21, $C$9, 100%, $E$9)</f>
        <v>37.0989</v>
      </c>
      <c r="P977" s="10">
        <f>CHOOSE(CONTROL!$C$42, 36.896, 36.896) * CHOOSE(CONTROL!$C$21, $C$9, 100%, $E$9)</f>
        <v>36.896000000000001</v>
      </c>
      <c r="Q977" s="10">
        <f>CHOOSE(CONTROL!$C$42, 37.6942, 37.6942) * CHOOSE(CONTROL!$C$21, $C$9, 100%, $E$9)</f>
        <v>37.694200000000002</v>
      </c>
      <c r="R977" s="10">
        <f>CHOOSE(CONTROL!$C$42, 38.3754, 38.3754) * CHOOSE(CONTROL!$C$21, $C$9, 100%, $E$9)</f>
        <v>38.375399999999999</v>
      </c>
      <c r="S977" s="10">
        <f>CHOOSE(CONTROL!$C$42, 36.2345, 36.2345) * CHOOSE(CONTROL!$C$21, $C$9, 100%, $E$9)</f>
        <v>36.234499999999997</v>
      </c>
      <c r="T97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77" s="38">
        <f>(1000*CHOOSE(CONTROL!$C$42, 695, 695)*CHOOSE(CONTROL!$C$42, 0.5599, 0.5599)*CHOOSE(CONTROL!$C$42, 31, 31))/1000000</f>
        <v>12.063045499999998</v>
      </c>
      <c r="V977" s="38">
        <f>(1000*CHOOSE(CONTROL!$C$42, 500, 500)*CHOOSE(CONTROL!$C$42, 0.275, 0.275)*CHOOSE(CONTROL!$C$42, 31, 31))/1000000</f>
        <v>4.2625000000000002</v>
      </c>
      <c r="W977" s="38">
        <f>(1000*CHOOSE(CONTROL!$C$42, 0.1146, 0.1146)*CHOOSE(CONTROL!$C$42, 121.5, 121.5)*CHOOSE(CONTROL!$C$42, 31, 31))/1000000</f>
        <v>0.43164089999999994</v>
      </c>
      <c r="X977" s="38">
        <f>(31*0.1790888*245000/1000000)+(31*0.2374*100000/1000000)</f>
        <v>2.0961194359999999</v>
      </c>
      <c r="Y977" s="38">
        <f>(1000*600*CHOOSE(CONTROL!$C$42, 1.0585, 1.0585)*CHOOSE(CONTROL!$C$42, 31, 31))/1000000</f>
        <v>19.688099999999999</v>
      </c>
      <c r="Z977" s="38"/>
      <c r="AA977" s="10"/>
      <c r="AB977" s="39"/>
      <c r="AC977" s="33">
        <f>(B977*194.205+C977*267.466+D977*133.845+E977*53.484+F977*40+G977*185+H977*0+I977*100+J977*300)/(194.205+267.466+133.845+53.484+0+40+185+100+300)</f>
        <v>37.408875782339088</v>
      </c>
      <c r="AD977" s="27">
        <f>(M977*'RAP TEMPLATE-GAS AVAILABILITY'!O976+N977*'RAP TEMPLATE-GAS AVAILABILITY'!P976+O977*'RAP TEMPLATE-GAS AVAILABILITY'!Q976+P977*'RAP TEMPLATE-GAS AVAILABILITY'!R976)/('RAP TEMPLATE-GAS AVAILABILITY'!O976+'RAP TEMPLATE-GAS AVAILABILITY'!P976+'RAP TEMPLATE-GAS AVAILABILITY'!Q976+'RAP TEMPLATE-GAS AVAILABILITY'!R976)</f>
        <v>36.972157553956833</v>
      </c>
    </row>
    <row r="978" spans="1:30" ht="15.75">
      <c r="A978" s="13">
        <v>71040</v>
      </c>
      <c r="B978" s="10">
        <f>CHOOSE(CONTROL!$C$42, 38.4672, 38.4672) * CHOOSE(CONTROL!$C$21, $C$9, 100%, $E$9)</f>
        <v>38.467199999999998</v>
      </c>
      <c r="C978" s="10">
        <f>CHOOSE(CONTROL!$C$42, 38.4752, 38.4752) * CHOOSE(CONTROL!$C$21, $C$9, 100%, $E$9)</f>
        <v>38.475200000000001</v>
      </c>
      <c r="D978" s="10">
        <f>CHOOSE(CONTROL!$C$42, 38.6322, 38.6322) * CHOOSE(CONTROL!$C$21, $C$9, 100%, $E$9)</f>
        <v>38.632199999999997</v>
      </c>
      <c r="E978" s="10">
        <f>CHOOSE(CONTROL!$C$42, 38.6634, 38.6634) * CHOOSE(CONTROL!$C$21, $C$9, 100%, $E$9)</f>
        <v>38.663400000000003</v>
      </c>
      <c r="F978" s="10">
        <f>CHOOSE(CONTROL!$C$42, 38.4115, 38.4115)*CHOOSE(CONTROL!$C$21, $C$9, 100%, $E$9)</f>
        <v>38.411499999999997</v>
      </c>
      <c r="G978" s="10">
        <f>CHOOSE(CONTROL!$C$42, 38.4277, 38.4277)*CHOOSE(CONTROL!$C$21, $C$9, 100%, $E$9)</f>
        <v>38.427700000000002</v>
      </c>
      <c r="H978" s="10">
        <f>CHOOSE(CONTROL!$C$42, 38.6518, 38.6518) * CHOOSE(CONTROL!$C$21, $C$9, 100%, $E$9)</f>
        <v>38.651800000000001</v>
      </c>
      <c r="I978" s="10">
        <f>CHOOSE(CONTROL!$C$42, 38.4459, 38.4459)* CHOOSE(CONTROL!$C$21, $C$9, 100%, $E$9)</f>
        <v>38.445900000000002</v>
      </c>
      <c r="J978" s="10">
        <f>CHOOSE(CONTROL!$C$42, 38.4041, 38.4041)* CHOOSE(CONTROL!$C$21, $C$9, 100%, $E$9)</f>
        <v>38.4041</v>
      </c>
      <c r="K978" s="10">
        <f>CHOOSE(CONTROL!$C$42, 37.4054, 37.4054) * CHOOSE(CONTROL!$C$21, $C$9, 100%, $E$9)</f>
        <v>37.4054</v>
      </c>
      <c r="L978" s="10">
        <f>CHOOSE(CONTROL!$C$42, 39.2388, 39.2388) * CHOOSE(CONTROL!$C$21, $C$9, 100%, $E$9)</f>
        <v>39.238799999999998</v>
      </c>
      <c r="M978" s="10">
        <f>CHOOSE(CONTROL!$C$42, 37.9013, 37.9013) * CHOOSE(CONTROL!$C$21, $C$9, 100%, $E$9)</f>
        <v>37.901299999999999</v>
      </c>
      <c r="N978" s="10">
        <f>CHOOSE(CONTROL!$C$42, 37.9173, 37.9173) * CHOOSE(CONTROL!$C$21, $C$9, 100%, $E$9)</f>
        <v>37.917299999999997</v>
      </c>
      <c r="O978" s="10">
        <f>CHOOSE(CONTROL!$C$42, 38.1455, 38.1455) * CHOOSE(CONTROL!$C$21, $C$9, 100%, $E$9)</f>
        <v>38.145499999999998</v>
      </c>
      <c r="P978" s="10">
        <f>CHOOSE(CONTROL!$C$42, 37.9427, 37.9427) * CHOOSE(CONTROL!$C$21, $C$9, 100%, $E$9)</f>
        <v>37.942700000000002</v>
      </c>
      <c r="Q978" s="10">
        <f>CHOOSE(CONTROL!$C$42, 38.7408, 38.7408) * CHOOSE(CONTROL!$C$21, $C$9, 100%, $E$9)</f>
        <v>38.7408</v>
      </c>
      <c r="R978" s="10">
        <f>CHOOSE(CONTROL!$C$42, 39.4247, 39.4247) * CHOOSE(CONTROL!$C$21, $C$9, 100%, $E$9)</f>
        <v>39.424700000000001</v>
      </c>
      <c r="S978" s="10">
        <f>CHOOSE(CONTROL!$C$42, 37.2623, 37.2623) * CHOOSE(CONTROL!$C$21, $C$9, 100%, $E$9)</f>
        <v>37.262300000000003</v>
      </c>
      <c r="T97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78" s="38">
        <f>(1000*CHOOSE(CONTROL!$C$42, 695, 695)*CHOOSE(CONTROL!$C$42, 0.5599, 0.5599)*CHOOSE(CONTROL!$C$42, 30, 30))/1000000</f>
        <v>11.673914999999997</v>
      </c>
      <c r="V978" s="38">
        <f>(1000*CHOOSE(CONTROL!$C$42, 500, 500)*CHOOSE(CONTROL!$C$42, 0.275, 0.275)*CHOOSE(CONTROL!$C$42, 30, 30))/1000000</f>
        <v>4.125</v>
      </c>
      <c r="W978" s="38">
        <f>(1000*CHOOSE(CONTROL!$C$42, 0.1146, 0.1146)*CHOOSE(CONTROL!$C$42, 121.5, 121.5)*CHOOSE(CONTROL!$C$42, 30, 30))/1000000</f>
        <v>0.417717</v>
      </c>
      <c r="X978" s="38">
        <f>(30*0.1790888*245000/1000000)+(30*0.2374*100000/1000000)</f>
        <v>2.0285026799999999</v>
      </c>
      <c r="Y978" s="38">
        <f>(1000*600*CHOOSE(CONTROL!$C$42, 1.0585, 1.0585)*CHOOSE(CONTROL!$C$42, 30, 30))/1000000</f>
        <v>19.053000000000001</v>
      </c>
      <c r="Z978" s="38"/>
      <c r="AA978" s="10"/>
      <c r="AB978" s="39"/>
      <c r="AC978" s="33">
        <f>(B978*194.205+C978*267.466+D978*133.845+E978*53.484+F978*40+G978*185+H978*0+I978*100+J978*300)/(194.205+267.466+133.845+53.484+0+40+185+100+300)</f>
        <v>38.4704356466248</v>
      </c>
      <c r="AD978" s="27">
        <f>(M978*'RAP TEMPLATE-GAS AVAILABILITY'!O977+N978*'RAP TEMPLATE-GAS AVAILABILITY'!P977+O978*'RAP TEMPLATE-GAS AVAILABILITY'!Q977+P978*'RAP TEMPLATE-GAS AVAILABILITY'!R977)/('RAP TEMPLATE-GAS AVAILABILITY'!O977+'RAP TEMPLATE-GAS AVAILABILITY'!P977+'RAP TEMPLATE-GAS AVAILABILITY'!Q977+'RAP TEMPLATE-GAS AVAILABILITY'!R977)</f>
        <v>38.018858273381291</v>
      </c>
    </row>
    <row r="979" spans="1:30" ht="15.75">
      <c r="A979" s="13">
        <v>71071</v>
      </c>
      <c r="B979" s="10">
        <f>CHOOSE(CONTROL!$C$42, 37.7289, 37.7289) * CHOOSE(CONTROL!$C$21, $C$9, 100%, $E$9)</f>
        <v>37.728900000000003</v>
      </c>
      <c r="C979" s="10">
        <f>CHOOSE(CONTROL!$C$42, 37.7369, 37.7369) * CHOOSE(CONTROL!$C$21, $C$9, 100%, $E$9)</f>
        <v>37.736899999999999</v>
      </c>
      <c r="D979" s="10">
        <f>CHOOSE(CONTROL!$C$42, 37.894, 37.894) * CHOOSE(CONTROL!$C$21, $C$9, 100%, $E$9)</f>
        <v>37.893999999999998</v>
      </c>
      <c r="E979" s="10">
        <f>CHOOSE(CONTROL!$C$42, 37.9252, 37.9252) * CHOOSE(CONTROL!$C$21, $C$9, 100%, $E$9)</f>
        <v>37.925199999999997</v>
      </c>
      <c r="F979" s="10">
        <f>CHOOSE(CONTROL!$C$42, 37.6736, 37.6736)*CHOOSE(CONTROL!$C$21, $C$9, 100%, $E$9)</f>
        <v>37.6736</v>
      </c>
      <c r="G979" s="10">
        <f>CHOOSE(CONTROL!$C$42, 37.6898, 37.6898)*CHOOSE(CONTROL!$C$21, $C$9, 100%, $E$9)</f>
        <v>37.689799999999998</v>
      </c>
      <c r="H979" s="10">
        <f>CHOOSE(CONTROL!$C$42, 37.9135, 37.9135) * CHOOSE(CONTROL!$C$21, $C$9, 100%, $E$9)</f>
        <v>37.913499999999999</v>
      </c>
      <c r="I979" s="10">
        <f>CHOOSE(CONTROL!$C$42, 37.7077, 37.7077)* CHOOSE(CONTROL!$C$21, $C$9, 100%, $E$9)</f>
        <v>37.707700000000003</v>
      </c>
      <c r="J979" s="10">
        <f>CHOOSE(CONTROL!$C$42, 37.6662, 37.6662)* CHOOSE(CONTROL!$C$21, $C$9, 100%, $E$9)</f>
        <v>37.666200000000003</v>
      </c>
      <c r="K979" s="10">
        <f>CHOOSE(CONTROL!$C$42, 36.6909, 36.6909) * CHOOSE(CONTROL!$C$21, $C$9, 100%, $E$9)</f>
        <v>36.690899999999999</v>
      </c>
      <c r="L979" s="10">
        <f>CHOOSE(CONTROL!$C$42, 38.5005, 38.5005) * CHOOSE(CONTROL!$C$21, $C$9, 100%, $E$9)</f>
        <v>38.500500000000002</v>
      </c>
      <c r="M979" s="10">
        <f>CHOOSE(CONTROL!$C$42, 37.1737, 37.1737) * CHOOSE(CONTROL!$C$21, $C$9, 100%, $E$9)</f>
        <v>37.173699999999997</v>
      </c>
      <c r="N979" s="10">
        <f>CHOOSE(CONTROL!$C$42, 37.1897, 37.1897) * CHOOSE(CONTROL!$C$21, $C$9, 100%, $E$9)</f>
        <v>37.189700000000002</v>
      </c>
      <c r="O979" s="10">
        <f>CHOOSE(CONTROL!$C$42, 37.4176, 37.4176) * CHOOSE(CONTROL!$C$21, $C$9, 100%, $E$9)</f>
        <v>37.4176</v>
      </c>
      <c r="P979" s="10">
        <f>CHOOSE(CONTROL!$C$42, 37.2147, 37.2147) * CHOOSE(CONTROL!$C$21, $C$9, 100%, $E$9)</f>
        <v>37.214700000000001</v>
      </c>
      <c r="Q979" s="10">
        <f>CHOOSE(CONTROL!$C$42, 38.0129, 38.0129) * CHOOSE(CONTROL!$C$21, $C$9, 100%, $E$9)</f>
        <v>38.012900000000002</v>
      </c>
      <c r="R979" s="10">
        <f>CHOOSE(CONTROL!$C$42, 38.6949, 38.6949) * CHOOSE(CONTROL!$C$21, $C$9, 100%, $E$9)</f>
        <v>38.694899999999997</v>
      </c>
      <c r="S979" s="10">
        <f>CHOOSE(CONTROL!$C$42, 36.5475, 36.5475) * CHOOSE(CONTROL!$C$21, $C$9, 100%, $E$9)</f>
        <v>36.547499999999999</v>
      </c>
      <c r="T97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79" s="38">
        <f>(1000*CHOOSE(CONTROL!$C$42, 695, 695)*CHOOSE(CONTROL!$C$42, 0.5599, 0.5599)*CHOOSE(CONTROL!$C$42, 31, 31))/1000000</f>
        <v>12.063045499999998</v>
      </c>
      <c r="V979" s="38">
        <f>(1000*CHOOSE(CONTROL!$C$42, 500, 500)*CHOOSE(CONTROL!$C$42, 0.275, 0.275)*CHOOSE(CONTROL!$C$42, 31, 31))/1000000</f>
        <v>4.2625000000000002</v>
      </c>
      <c r="W979" s="38">
        <f>(1000*CHOOSE(CONTROL!$C$42, 0.1146, 0.1146)*CHOOSE(CONTROL!$C$42, 121.5, 121.5)*CHOOSE(CONTROL!$C$42, 31, 31))/1000000</f>
        <v>0.43164089999999994</v>
      </c>
      <c r="X979" s="38">
        <f>(31*0.1790888*245000/1000000)+(31*0.2374*100000/1000000)</f>
        <v>2.0961194359999999</v>
      </c>
      <c r="Y979" s="38">
        <f>(1000*600*CHOOSE(CONTROL!$C$42, 1.0585, 1.0585)*CHOOSE(CONTROL!$C$42, 31, 31))/1000000</f>
        <v>19.688099999999999</v>
      </c>
      <c r="Z979" s="38"/>
      <c r="AA979" s="10"/>
      <c r="AB979" s="39"/>
      <c r="AC979" s="33">
        <f>(B979*194.205+C979*267.466+D979*133.845+E979*53.484+F979*40+G979*185+H979*0+I979*100+J979*300)/(194.205+267.466+133.845+53.484+0+40+185+100+300)</f>
        <v>37.732323035086338</v>
      </c>
      <c r="AD979" s="27">
        <f>(M979*'RAP TEMPLATE-GAS AVAILABILITY'!O978+N979*'RAP TEMPLATE-GAS AVAILABILITY'!P978+O979*'RAP TEMPLATE-GAS AVAILABILITY'!Q978+P979*'RAP TEMPLATE-GAS AVAILABILITY'!R978)/('RAP TEMPLATE-GAS AVAILABILITY'!O978+'RAP TEMPLATE-GAS AVAILABILITY'!P978+'RAP TEMPLATE-GAS AVAILABILITY'!Q978+'RAP TEMPLATE-GAS AVAILABILITY'!R978)</f>
        <v>37.291064748201443</v>
      </c>
    </row>
    <row r="980" spans="1:30" ht="15.75">
      <c r="A980" s="13">
        <v>71102</v>
      </c>
      <c r="B980" s="10">
        <f>CHOOSE(CONTROL!$C$42, 35.8646, 35.8646) * CHOOSE(CONTROL!$C$21, $C$9, 100%, $E$9)</f>
        <v>35.864600000000003</v>
      </c>
      <c r="C980" s="10">
        <f>CHOOSE(CONTROL!$C$42, 35.8726, 35.8726) * CHOOSE(CONTROL!$C$21, $C$9, 100%, $E$9)</f>
        <v>35.872599999999998</v>
      </c>
      <c r="D980" s="10">
        <f>CHOOSE(CONTROL!$C$42, 36.0296, 36.0296) * CHOOSE(CONTROL!$C$21, $C$9, 100%, $E$9)</f>
        <v>36.029600000000002</v>
      </c>
      <c r="E980" s="10">
        <f>CHOOSE(CONTROL!$C$42, 36.0609, 36.0609) * CHOOSE(CONTROL!$C$21, $C$9, 100%, $E$9)</f>
        <v>36.060899999999997</v>
      </c>
      <c r="F980" s="10">
        <f>CHOOSE(CONTROL!$C$42, 35.8092, 35.8092)*CHOOSE(CONTROL!$C$21, $C$9, 100%, $E$9)</f>
        <v>35.809199999999997</v>
      </c>
      <c r="G980" s="10">
        <f>CHOOSE(CONTROL!$C$42, 35.8254, 35.8254)*CHOOSE(CONTROL!$C$21, $C$9, 100%, $E$9)</f>
        <v>35.825400000000002</v>
      </c>
      <c r="H980" s="10">
        <f>CHOOSE(CONTROL!$C$42, 36.0492, 36.0492) * CHOOSE(CONTROL!$C$21, $C$9, 100%, $E$9)</f>
        <v>36.049199999999999</v>
      </c>
      <c r="I980" s="10">
        <f>CHOOSE(CONTROL!$C$42, 35.8434, 35.8434)* CHOOSE(CONTROL!$C$21, $C$9, 100%, $E$9)</f>
        <v>35.843400000000003</v>
      </c>
      <c r="J980" s="10">
        <f>CHOOSE(CONTROL!$C$42, 35.8018, 35.8018)* CHOOSE(CONTROL!$C$21, $C$9, 100%, $E$9)</f>
        <v>35.8018</v>
      </c>
      <c r="K980" s="10">
        <f>CHOOSE(CONTROL!$C$42, 34.8847, 34.8847) * CHOOSE(CONTROL!$C$21, $C$9, 100%, $E$9)</f>
        <v>34.884700000000002</v>
      </c>
      <c r="L980" s="10">
        <f>CHOOSE(CONTROL!$C$42, 36.6362, 36.6362) * CHOOSE(CONTROL!$C$21, $C$9, 100%, $E$9)</f>
        <v>36.636200000000002</v>
      </c>
      <c r="M980" s="10">
        <f>CHOOSE(CONTROL!$C$42, 35.3353, 35.3353) * CHOOSE(CONTROL!$C$21, $C$9, 100%, $E$9)</f>
        <v>35.335299999999997</v>
      </c>
      <c r="N980" s="10">
        <f>CHOOSE(CONTROL!$C$42, 35.3513, 35.3513) * CHOOSE(CONTROL!$C$21, $C$9, 100%, $E$9)</f>
        <v>35.351300000000002</v>
      </c>
      <c r="O980" s="10">
        <f>CHOOSE(CONTROL!$C$42, 35.5793, 35.5793) * CHOOSE(CONTROL!$C$21, $C$9, 100%, $E$9)</f>
        <v>35.579300000000003</v>
      </c>
      <c r="P980" s="10">
        <f>CHOOSE(CONTROL!$C$42, 35.3764, 35.3764) * CHOOSE(CONTROL!$C$21, $C$9, 100%, $E$9)</f>
        <v>35.376399999999997</v>
      </c>
      <c r="Q980" s="10">
        <f>CHOOSE(CONTROL!$C$42, 36.1746, 36.1746) * CHOOSE(CONTROL!$C$21, $C$9, 100%, $E$9)</f>
        <v>36.174599999999998</v>
      </c>
      <c r="R980" s="10">
        <f>CHOOSE(CONTROL!$C$42, 36.852, 36.852) * CHOOSE(CONTROL!$C$21, $C$9, 100%, $E$9)</f>
        <v>36.851999999999997</v>
      </c>
      <c r="S980" s="10">
        <f>CHOOSE(CONTROL!$C$42, 34.7423, 34.7423) * CHOOSE(CONTROL!$C$21, $C$9, 100%, $E$9)</f>
        <v>34.7423</v>
      </c>
      <c r="T98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80" s="38">
        <f>(1000*CHOOSE(CONTROL!$C$42, 695, 695)*CHOOSE(CONTROL!$C$42, 0.5599, 0.5599)*CHOOSE(CONTROL!$C$42, 31, 31))/1000000</f>
        <v>12.063045499999998</v>
      </c>
      <c r="V980" s="38">
        <f>(1000*CHOOSE(CONTROL!$C$42, 500, 500)*CHOOSE(CONTROL!$C$42, 0.275, 0.275)*CHOOSE(CONTROL!$C$42, 31, 31))/1000000</f>
        <v>4.2625000000000002</v>
      </c>
      <c r="W980" s="38">
        <f>(1000*CHOOSE(CONTROL!$C$42, 0.1146, 0.1146)*CHOOSE(CONTROL!$C$42, 121.5, 121.5)*CHOOSE(CONTROL!$C$42, 31, 31))/1000000</f>
        <v>0.43164089999999994</v>
      </c>
      <c r="X980" s="38">
        <f>(31*0.1790888*245000/1000000)+(31*0.2374*100000/1000000)</f>
        <v>2.0961194359999999</v>
      </c>
      <c r="Y980" s="38">
        <f>(1000*600*CHOOSE(CONTROL!$C$42, 1.0585, 1.0585)*CHOOSE(CONTROL!$C$42, 31, 31))/1000000</f>
        <v>19.688099999999999</v>
      </c>
      <c r="Z980" s="38"/>
      <c r="AA980" s="10"/>
      <c r="AB980" s="39"/>
      <c r="AC980" s="33">
        <f>(B980*194.205+C980*267.466+D980*133.845+E980*53.484+F980*40+G980*185+H980*0+I980*100+J980*300)/(194.205+267.466+133.845+53.484+0+40+185+100+300)</f>
        <v>35.867971320408166</v>
      </c>
      <c r="AD980" s="27">
        <f>(M980*'RAP TEMPLATE-GAS AVAILABILITY'!O979+N980*'RAP TEMPLATE-GAS AVAILABILITY'!P979+O980*'RAP TEMPLATE-GAS AVAILABILITY'!Q979+P980*'RAP TEMPLATE-GAS AVAILABILITY'!R979)/('RAP TEMPLATE-GAS AVAILABILITY'!O979+'RAP TEMPLATE-GAS AVAILABILITY'!P979+'RAP TEMPLATE-GAS AVAILABILITY'!Q979+'RAP TEMPLATE-GAS AVAILABILITY'!R979)</f>
        <v>35.452724460431654</v>
      </c>
    </row>
    <row r="981" spans="1:30" ht="15.75">
      <c r="A981" s="13">
        <v>71132</v>
      </c>
      <c r="B981" s="10">
        <f>CHOOSE(CONTROL!$C$42, 33.5868, 33.5868) * CHOOSE(CONTROL!$C$21, $C$9, 100%, $E$9)</f>
        <v>33.586799999999997</v>
      </c>
      <c r="C981" s="10">
        <f>CHOOSE(CONTROL!$C$42, 33.5948, 33.5948) * CHOOSE(CONTROL!$C$21, $C$9, 100%, $E$9)</f>
        <v>33.594799999999999</v>
      </c>
      <c r="D981" s="10">
        <f>CHOOSE(CONTROL!$C$42, 33.7518, 33.7518) * CHOOSE(CONTROL!$C$21, $C$9, 100%, $E$9)</f>
        <v>33.751800000000003</v>
      </c>
      <c r="E981" s="10">
        <f>CHOOSE(CONTROL!$C$42, 33.783, 33.783) * CHOOSE(CONTROL!$C$21, $C$9, 100%, $E$9)</f>
        <v>33.783000000000001</v>
      </c>
      <c r="F981" s="10">
        <f>CHOOSE(CONTROL!$C$42, 33.5311, 33.5311)*CHOOSE(CONTROL!$C$21, $C$9, 100%, $E$9)</f>
        <v>33.531100000000002</v>
      </c>
      <c r="G981" s="10">
        <f>CHOOSE(CONTROL!$C$42, 33.5473, 33.5473)*CHOOSE(CONTROL!$C$21, $C$9, 100%, $E$9)</f>
        <v>33.5473</v>
      </c>
      <c r="H981" s="10">
        <f>CHOOSE(CONTROL!$C$42, 33.7714, 33.7714) * CHOOSE(CONTROL!$C$21, $C$9, 100%, $E$9)</f>
        <v>33.7714</v>
      </c>
      <c r="I981" s="10">
        <f>CHOOSE(CONTROL!$C$42, 33.5655, 33.5655)* CHOOSE(CONTROL!$C$21, $C$9, 100%, $E$9)</f>
        <v>33.5655</v>
      </c>
      <c r="J981" s="10">
        <f>CHOOSE(CONTROL!$C$42, 33.5237, 33.5237)* CHOOSE(CONTROL!$C$21, $C$9, 100%, $E$9)</f>
        <v>33.523699999999998</v>
      </c>
      <c r="K981" s="10">
        <f>CHOOSE(CONTROL!$C$42, 32.6775, 32.6775) * CHOOSE(CONTROL!$C$21, $C$9, 100%, $E$9)</f>
        <v>32.677500000000002</v>
      </c>
      <c r="L981" s="10">
        <f>CHOOSE(CONTROL!$C$42, 34.3584, 34.3584) * CHOOSE(CONTROL!$C$21, $C$9, 100%, $E$9)</f>
        <v>34.358400000000003</v>
      </c>
      <c r="M981" s="10">
        <f>CHOOSE(CONTROL!$C$42, 33.0891, 33.0891) * CHOOSE(CONTROL!$C$21, $C$9, 100%, $E$9)</f>
        <v>33.089100000000002</v>
      </c>
      <c r="N981" s="10">
        <f>CHOOSE(CONTROL!$C$42, 33.105, 33.105) * CHOOSE(CONTROL!$C$21, $C$9, 100%, $E$9)</f>
        <v>33.104999999999997</v>
      </c>
      <c r="O981" s="10">
        <f>CHOOSE(CONTROL!$C$42, 33.3332, 33.3332) * CHOOSE(CONTROL!$C$21, $C$9, 100%, $E$9)</f>
        <v>33.333199999999998</v>
      </c>
      <c r="P981" s="10">
        <f>CHOOSE(CONTROL!$C$42, 33.1303, 33.1303) * CHOOSE(CONTROL!$C$21, $C$9, 100%, $E$9)</f>
        <v>33.130299999999998</v>
      </c>
      <c r="Q981" s="10">
        <f>CHOOSE(CONTROL!$C$42, 33.9285, 33.9285) * CHOOSE(CONTROL!$C$21, $C$9, 100%, $E$9)</f>
        <v>33.9285</v>
      </c>
      <c r="R981" s="10">
        <f>CHOOSE(CONTROL!$C$42, 34.6004, 34.6004) * CHOOSE(CONTROL!$C$21, $C$9, 100%, $E$9)</f>
        <v>34.6004</v>
      </c>
      <c r="S981" s="10">
        <f>CHOOSE(CONTROL!$C$42, 32.5367, 32.5367) * CHOOSE(CONTROL!$C$21, $C$9, 100%, $E$9)</f>
        <v>32.536700000000003</v>
      </c>
      <c r="T98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81" s="38">
        <f>(1000*CHOOSE(CONTROL!$C$42, 695, 695)*CHOOSE(CONTROL!$C$42, 0.5599, 0.5599)*CHOOSE(CONTROL!$C$42, 30, 30))/1000000</f>
        <v>11.673914999999997</v>
      </c>
      <c r="V981" s="38">
        <f>(1000*CHOOSE(CONTROL!$C$42, 500, 500)*CHOOSE(CONTROL!$C$42, 0.275, 0.275)*CHOOSE(CONTROL!$C$42, 30, 30))/1000000</f>
        <v>4.125</v>
      </c>
      <c r="W981" s="38">
        <f>(1000*CHOOSE(CONTROL!$C$42, 0.1146, 0.1146)*CHOOSE(CONTROL!$C$42, 121.5, 121.5)*CHOOSE(CONTROL!$C$42, 30, 30))/1000000</f>
        <v>0.417717</v>
      </c>
      <c r="X981" s="38">
        <f>(30*0.1790888*245000/1000000)+(30*0.2374*100000/1000000)</f>
        <v>2.0285026799999999</v>
      </c>
      <c r="Y981" s="38">
        <f>(1000*600*CHOOSE(CONTROL!$C$42, 1.0585, 1.0585)*CHOOSE(CONTROL!$C$42, 30, 30))/1000000</f>
        <v>19.053000000000001</v>
      </c>
      <c r="Z981" s="38"/>
      <c r="AA981" s="10"/>
      <c r="AB981" s="39"/>
      <c r="AC981" s="33">
        <f>(B981*194.205+C981*267.466+D981*133.845+E981*53.484+F981*40+G981*185+H981*0+I981*100+J981*300)/(194.205+267.466+133.845+53.484+0+40+185+100+300)</f>
        <v>33.590035646624798</v>
      </c>
      <c r="AD981" s="27">
        <f>(M981*'RAP TEMPLATE-GAS AVAILABILITY'!O980+N981*'RAP TEMPLATE-GAS AVAILABILITY'!P980+O981*'RAP TEMPLATE-GAS AVAILABILITY'!Q980+P981*'RAP TEMPLATE-GAS AVAILABILITY'!R980)/('RAP TEMPLATE-GAS AVAILABILITY'!O980+'RAP TEMPLATE-GAS AVAILABILITY'!P980+'RAP TEMPLATE-GAS AVAILABILITY'!Q980+'RAP TEMPLATE-GAS AVAILABILITY'!R980)</f>
        <v>33.206578417266179</v>
      </c>
    </row>
    <row r="982" spans="1:30" ht="15.75">
      <c r="A982" s="13">
        <v>71163</v>
      </c>
      <c r="B982" s="10">
        <f>CHOOSE(CONTROL!$C$42, 32.9024, 32.9024) * CHOOSE(CONTROL!$C$21, $C$9, 100%, $E$9)</f>
        <v>32.9024</v>
      </c>
      <c r="C982" s="10">
        <f>CHOOSE(CONTROL!$C$42, 32.9077, 32.9077) * CHOOSE(CONTROL!$C$21, $C$9, 100%, $E$9)</f>
        <v>32.907699999999998</v>
      </c>
      <c r="D982" s="10">
        <f>CHOOSE(CONTROL!$C$42, 33.0696, 33.0696) * CHOOSE(CONTROL!$C$21, $C$9, 100%, $E$9)</f>
        <v>33.069600000000001</v>
      </c>
      <c r="E982" s="10">
        <f>CHOOSE(CONTROL!$C$42, 33.0986, 33.0986) * CHOOSE(CONTROL!$C$21, $C$9, 100%, $E$9)</f>
        <v>33.098599999999998</v>
      </c>
      <c r="F982" s="10">
        <f>CHOOSE(CONTROL!$C$42, 32.8488, 32.8488)*CHOOSE(CONTROL!$C$21, $C$9, 100%, $E$9)</f>
        <v>32.848799999999997</v>
      </c>
      <c r="G982" s="10">
        <f>CHOOSE(CONTROL!$C$42, 32.8646, 32.8646)*CHOOSE(CONTROL!$C$21, $C$9, 100%, $E$9)</f>
        <v>32.864600000000003</v>
      </c>
      <c r="H982" s="10">
        <f>CHOOSE(CONTROL!$C$42, 33.0887, 33.0887) * CHOOSE(CONTROL!$C$21, $C$9, 100%, $E$9)</f>
        <v>33.088700000000003</v>
      </c>
      <c r="I982" s="10">
        <f>CHOOSE(CONTROL!$C$42, 32.8829, 32.8829)* CHOOSE(CONTROL!$C$21, $C$9, 100%, $E$9)</f>
        <v>32.882899999999999</v>
      </c>
      <c r="J982" s="10">
        <f>CHOOSE(CONTROL!$C$42, 32.8414, 32.8414)* CHOOSE(CONTROL!$C$21, $C$9, 100%, $E$9)</f>
        <v>32.8414</v>
      </c>
      <c r="K982" s="10">
        <f>CHOOSE(CONTROL!$C$42, 32.0168, 32.0168) * CHOOSE(CONTROL!$C$21, $C$9, 100%, $E$9)</f>
        <v>32.016800000000003</v>
      </c>
      <c r="L982" s="10">
        <f>CHOOSE(CONTROL!$C$42, 33.6757, 33.6757) * CHOOSE(CONTROL!$C$21, $C$9, 100%, $E$9)</f>
        <v>33.675699999999999</v>
      </c>
      <c r="M982" s="10">
        <f>CHOOSE(CONTROL!$C$42, 32.4162, 32.4162) * CHOOSE(CONTROL!$C$21, $C$9, 100%, $E$9)</f>
        <v>32.416200000000003</v>
      </c>
      <c r="N982" s="10">
        <f>CHOOSE(CONTROL!$C$42, 32.4318, 32.4318) * CHOOSE(CONTROL!$C$21, $C$9, 100%, $E$9)</f>
        <v>32.431800000000003</v>
      </c>
      <c r="O982" s="10">
        <f>CHOOSE(CONTROL!$C$42, 32.6601, 32.6601) * CHOOSE(CONTROL!$C$21, $C$9, 100%, $E$9)</f>
        <v>32.6601</v>
      </c>
      <c r="P982" s="10">
        <f>CHOOSE(CONTROL!$C$42, 32.4572, 32.4572) * CHOOSE(CONTROL!$C$21, $C$9, 100%, $E$9)</f>
        <v>32.4572</v>
      </c>
      <c r="Q982" s="10">
        <f>CHOOSE(CONTROL!$C$42, 33.2554, 33.2554) * CHOOSE(CONTROL!$C$21, $C$9, 100%, $E$9)</f>
        <v>33.255400000000002</v>
      </c>
      <c r="R982" s="10">
        <f>CHOOSE(CONTROL!$C$42, 33.9255, 33.9255) * CHOOSE(CONTROL!$C$21, $C$9, 100%, $E$9)</f>
        <v>33.9255</v>
      </c>
      <c r="S982" s="10">
        <f>CHOOSE(CONTROL!$C$42, 31.8756, 31.8756) * CHOOSE(CONTROL!$C$21, $C$9, 100%, $E$9)</f>
        <v>31.875599999999999</v>
      </c>
      <c r="T98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82" s="38">
        <f>(1000*CHOOSE(CONTROL!$C$42, 695, 695)*CHOOSE(CONTROL!$C$42, 0.5599, 0.5599)*CHOOSE(CONTROL!$C$42, 31, 31))/1000000</f>
        <v>12.063045499999998</v>
      </c>
      <c r="V982" s="38">
        <f>(1000*CHOOSE(CONTROL!$C$42, 500, 500)*CHOOSE(CONTROL!$C$42, 0.275, 0.275)*CHOOSE(CONTROL!$C$42, 31, 31))/1000000</f>
        <v>4.2625000000000002</v>
      </c>
      <c r="W982" s="38">
        <f>(1000*CHOOSE(CONTROL!$C$42, 0.1146, 0.1146)*CHOOSE(CONTROL!$C$42, 121.5, 121.5)*CHOOSE(CONTROL!$C$42, 31, 31))/1000000</f>
        <v>0.43164089999999994</v>
      </c>
      <c r="X982" s="38">
        <f>(31*0.1790888*245000/1000000)+(31*0.2374*100000/1000000)</f>
        <v>2.0961194359999999</v>
      </c>
      <c r="Y982" s="38">
        <f>(1000*600*CHOOSE(CONTROL!$C$42, 1.0585, 1.0585)*CHOOSE(CONTROL!$C$42, 31, 31))/1000000</f>
        <v>19.688099999999999</v>
      </c>
      <c r="Z982" s="38"/>
      <c r="AA982" s="10"/>
      <c r="AB982" s="39"/>
      <c r="AC982" s="33">
        <f>(B982*131.881+C982*277.167+D982*79.08+E982*125.872+F982*40+G982*185+H982*0+I982*100+J982*300)/(131.881+277.167+79.08+125.872+0+40+185+100+300)</f>
        <v>32.91047122477805</v>
      </c>
      <c r="AD982" s="27">
        <f>(M982*'RAP TEMPLATE-GAS AVAILABILITY'!O981+N982*'RAP TEMPLATE-GAS AVAILABILITY'!P981+O982*'RAP TEMPLATE-GAS AVAILABILITY'!Q981+P982*'RAP TEMPLATE-GAS AVAILABILITY'!R981)/('RAP TEMPLATE-GAS AVAILABILITY'!O981+'RAP TEMPLATE-GAS AVAILABILITY'!P981+'RAP TEMPLATE-GAS AVAILABILITY'!Q981+'RAP TEMPLATE-GAS AVAILABILITY'!R981)</f>
        <v>32.533541726618708</v>
      </c>
    </row>
    <row r="983" spans="1:30" ht="15.75">
      <c r="A983" s="13">
        <v>71193</v>
      </c>
      <c r="B983" s="10">
        <f>CHOOSE(CONTROL!$C$42, 33.7692, 33.7692) * CHOOSE(CONTROL!$C$21, $C$9, 100%, $E$9)</f>
        <v>33.769199999999998</v>
      </c>
      <c r="C983" s="10">
        <f>CHOOSE(CONTROL!$C$42, 33.7743, 33.7743) * CHOOSE(CONTROL!$C$21, $C$9, 100%, $E$9)</f>
        <v>33.774299999999997</v>
      </c>
      <c r="D983" s="10">
        <f>CHOOSE(CONTROL!$C$42, 33.799, 33.799) * CHOOSE(CONTROL!$C$21, $C$9, 100%, $E$9)</f>
        <v>33.798999999999999</v>
      </c>
      <c r="E983" s="10">
        <f>CHOOSE(CONTROL!$C$42, 33.8328, 33.8328) * CHOOSE(CONTROL!$C$21, $C$9, 100%, $E$9)</f>
        <v>33.832799999999999</v>
      </c>
      <c r="F983" s="10">
        <f>CHOOSE(CONTROL!$C$42, 33.7375, 33.7375)*CHOOSE(CONTROL!$C$21, $C$9, 100%, $E$9)</f>
        <v>33.737499999999997</v>
      </c>
      <c r="G983" s="10">
        <f>CHOOSE(CONTROL!$C$42, 33.7535, 33.7535)*CHOOSE(CONTROL!$C$21, $C$9, 100%, $E$9)</f>
        <v>33.753500000000003</v>
      </c>
      <c r="H983" s="10">
        <f>CHOOSE(CONTROL!$C$42, 33.8216, 33.8216) * CHOOSE(CONTROL!$C$21, $C$9, 100%, $E$9)</f>
        <v>33.821599999999997</v>
      </c>
      <c r="I983" s="10">
        <f>CHOOSE(CONTROL!$C$42, 33.7842, 33.7842)* CHOOSE(CONTROL!$C$21, $C$9, 100%, $E$9)</f>
        <v>33.784199999999998</v>
      </c>
      <c r="J983" s="10">
        <f>CHOOSE(CONTROL!$C$42, 33.7301, 33.7301)* CHOOSE(CONTROL!$C$21, $C$9, 100%, $E$9)</f>
        <v>33.7301</v>
      </c>
      <c r="K983" s="10">
        <f>CHOOSE(CONTROL!$C$42, 32.8922, 32.8922) * CHOOSE(CONTROL!$C$21, $C$9, 100%, $E$9)</f>
        <v>32.892200000000003</v>
      </c>
      <c r="L983" s="10">
        <f>CHOOSE(CONTROL!$C$42, 34.4086, 34.4086) * CHOOSE(CONTROL!$C$21, $C$9, 100%, $E$9)</f>
        <v>34.4086</v>
      </c>
      <c r="M983" s="10">
        <f>CHOOSE(CONTROL!$C$42, 33.2926, 33.2926) * CHOOSE(CONTROL!$C$21, $C$9, 100%, $E$9)</f>
        <v>33.2926</v>
      </c>
      <c r="N983" s="10">
        <f>CHOOSE(CONTROL!$C$42, 33.3083, 33.3083) * CHOOSE(CONTROL!$C$21, $C$9, 100%, $E$9)</f>
        <v>33.308300000000003</v>
      </c>
      <c r="O983" s="10">
        <f>CHOOSE(CONTROL!$C$42, 33.3828, 33.3828) * CHOOSE(CONTROL!$C$21, $C$9, 100%, $E$9)</f>
        <v>33.382800000000003</v>
      </c>
      <c r="P983" s="10">
        <f>CHOOSE(CONTROL!$C$42, 33.3459, 33.3459) * CHOOSE(CONTROL!$C$21, $C$9, 100%, $E$9)</f>
        <v>33.3459</v>
      </c>
      <c r="Q983" s="10">
        <f>CHOOSE(CONTROL!$C$42, 33.9781, 33.9781) * CHOOSE(CONTROL!$C$21, $C$9, 100%, $E$9)</f>
        <v>33.978099999999998</v>
      </c>
      <c r="R983" s="10">
        <f>CHOOSE(CONTROL!$C$42, 34.6501, 34.6501) * CHOOSE(CONTROL!$C$21, $C$9, 100%, $E$9)</f>
        <v>34.650100000000002</v>
      </c>
      <c r="S983" s="10">
        <f>CHOOSE(CONTROL!$C$42, 32.7154, 32.7154) * CHOOSE(CONTROL!$C$21, $C$9, 100%, $E$9)</f>
        <v>32.715400000000002</v>
      </c>
      <c r="T98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83" s="38">
        <f>(1000*CHOOSE(CONTROL!$C$42, 695, 695)*CHOOSE(CONTROL!$C$42, 0.5599, 0.5599)*CHOOSE(CONTROL!$C$42, 30, 30))/1000000</f>
        <v>11.673914999999997</v>
      </c>
      <c r="V983" s="38">
        <f>(1000*CHOOSE(CONTROL!$C$42, 500, 500)*CHOOSE(CONTROL!$C$42, 0.275, 0.275)*CHOOSE(CONTROL!$C$42, 30, 30))/1000000</f>
        <v>4.125</v>
      </c>
      <c r="W983" s="38">
        <f>(1000*CHOOSE(CONTROL!$C$42, 0.1146, 0.1146)*CHOOSE(CONTROL!$C$42, 121.5, 121.5)*CHOOSE(CONTROL!$C$42, 30, 30))/1000000</f>
        <v>0.417717</v>
      </c>
      <c r="X983" s="38">
        <f>(30*0.1790888*100000/1000000)+(30*0.2374*100000/1000000)</f>
        <v>1.2494664</v>
      </c>
      <c r="Y983" s="38">
        <f>(1000*600*CHOOSE(CONTROL!$C$42, 1.0585, 1.0585)*CHOOSE(CONTROL!$C$42, 30, 30))/1000000</f>
        <v>19.053000000000001</v>
      </c>
      <c r="Z983" s="38"/>
      <c r="AA983" s="10"/>
      <c r="AB983" s="39"/>
      <c r="AC983" s="33">
        <f>(B983*122.58+C983*297.941+D983*89.177+E983*40.302+F983*40+G983*160+H983*0+I983*100+J983*300)/(122.58+297.941+89.177+40.302+0+40+160+100+300)</f>
        <v>33.762878418173912</v>
      </c>
      <c r="AD983" s="27">
        <f>(M983*'RAP TEMPLATE-GAS AVAILABILITY'!O982+N983*'RAP TEMPLATE-GAS AVAILABILITY'!P982+O983*'RAP TEMPLATE-GAS AVAILABILITY'!Q982+P983*'RAP TEMPLATE-GAS AVAILABILITY'!R982)/('RAP TEMPLATE-GAS AVAILABILITY'!O982+'RAP TEMPLATE-GAS AVAILABILITY'!P982+'RAP TEMPLATE-GAS AVAILABILITY'!Q982+'RAP TEMPLATE-GAS AVAILABILITY'!R982)</f>
        <v>33.342054676258989</v>
      </c>
    </row>
    <row r="984" spans="1:30" ht="15.75">
      <c r="A984" s="13">
        <v>71224</v>
      </c>
      <c r="B984" s="10">
        <f>CHOOSE(CONTROL!$C$42, 36.0727, 36.0727) * CHOOSE(CONTROL!$C$21, $C$9, 100%, $E$9)</f>
        <v>36.072699999999998</v>
      </c>
      <c r="C984" s="10">
        <f>CHOOSE(CONTROL!$C$42, 36.0778, 36.0778) * CHOOSE(CONTROL!$C$21, $C$9, 100%, $E$9)</f>
        <v>36.077800000000003</v>
      </c>
      <c r="D984" s="10">
        <f>CHOOSE(CONTROL!$C$42, 36.1024, 36.1024) * CHOOSE(CONTROL!$C$21, $C$9, 100%, $E$9)</f>
        <v>36.102400000000003</v>
      </c>
      <c r="E984" s="10">
        <f>CHOOSE(CONTROL!$C$42, 36.1362, 36.1362) * CHOOSE(CONTROL!$C$21, $C$9, 100%, $E$9)</f>
        <v>36.136200000000002</v>
      </c>
      <c r="F984" s="10">
        <f>CHOOSE(CONTROL!$C$42, 36.0429, 36.0429)*CHOOSE(CONTROL!$C$21, $C$9, 100%, $E$9)</f>
        <v>36.042900000000003</v>
      </c>
      <c r="G984" s="10">
        <f>CHOOSE(CONTROL!$C$42, 36.0594, 36.0594)*CHOOSE(CONTROL!$C$21, $C$9, 100%, $E$9)</f>
        <v>36.059399999999997</v>
      </c>
      <c r="H984" s="10">
        <f>CHOOSE(CONTROL!$C$42, 36.1251, 36.1251) * CHOOSE(CONTROL!$C$21, $C$9, 100%, $E$9)</f>
        <v>36.125100000000003</v>
      </c>
      <c r="I984" s="10">
        <f>CHOOSE(CONTROL!$C$42, 36.0876, 36.0876)* CHOOSE(CONTROL!$C$21, $C$9, 100%, $E$9)</f>
        <v>36.087600000000002</v>
      </c>
      <c r="J984" s="10">
        <f>CHOOSE(CONTROL!$C$42, 36.0355, 36.0355)* CHOOSE(CONTROL!$C$21, $C$9, 100%, $E$9)</f>
        <v>36.035499999999999</v>
      </c>
      <c r="K984" s="10">
        <f>CHOOSE(CONTROL!$C$42, 35.1278, 35.1278) * CHOOSE(CONTROL!$C$21, $C$9, 100%, $E$9)</f>
        <v>35.127800000000001</v>
      </c>
      <c r="L984" s="10">
        <f>CHOOSE(CONTROL!$C$42, 36.7121, 36.7121) * CHOOSE(CONTROL!$C$21, $C$9, 100%, $E$9)</f>
        <v>36.7121</v>
      </c>
      <c r="M984" s="10">
        <f>CHOOSE(CONTROL!$C$42, 35.5658, 35.5658) * CHOOSE(CONTROL!$C$21, $C$9, 100%, $E$9)</f>
        <v>35.565800000000003</v>
      </c>
      <c r="N984" s="10">
        <f>CHOOSE(CONTROL!$C$42, 35.5821, 35.5821) * CHOOSE(CONTROL!$C$21, $C$9, 100%, $E$9)</f>
        <v>35.582099999999997</v>
      </c>
      <c r="O984" s="10">
        <f>CHOOSE(CONTROL!$C$42, 35.6542, 35.6542) * CHOOSE(CONTROL!$C$21, $C$9, 100%, $E$9)</f>
        <v>35.654200000000003</v>
      </c>
      <c r="P984" s="10">
        <f>CHOOSE(CONTROL!$C$42, 35.6173, 35.6173) * CHOOSE(CONTROL!$C$21, $C$9, 100%, $E$9)</f>
        <v>35.6173</v>
      </c>
      <c r="Q984" s="10">
        <f>CHOOSE(CONTROL!$C$42, 36.2495, 36.2495) * CHOOSE(CONTROL!$C$21, $C$9, 100%, $E$9)</f>
        <v>36.249499999999998</v>
      </c>
      <c r="R984" s="10">
        <f>CHOOSE(CONTROL!$C$42, 36.9271, 36.9271) * CHOOSE(CONTROL!$C$21, $C$9, 100%, $E$9)</f>
        <v>36.927100000000003</v>
      </c>
      <c r="S984" s="10">
        <f>CHOOSE(CONTROL!$C$42, 34.9458, 34.9458) * CHOOSE(CONTROL!$C$21, $C$9, 100%, $E$9)</f>
        <v>34.945799999999998</v>
      </c>
      <c r="T98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84" s="38">
        <f>(1000*CHOOSE(CONTROL!$C$42, 695, 695)*CHOOSE(CONTROL!$C$42, 0.5599, 0.5599)*CHOOSE(CONTROL!$C$42, 31, 31))/1000000</f>
        <v>12.063045499999998</v>
      </c>
      <c r="V984" s="38">
        <f>(1000*CHOOSE(CONTROL!$C$42, 500, 500)*CHOOSE(CONTROL!$C$42, 0.275, 0.275)*CHOOSE(CONTROL!$C$42, 31, 31))/1000000</f>
        <v>4.2625000000000002</v>
      </c>
      <c r="W984" s="38">
        <f>(1000*CHOOSE(CONTROL!$C$42, 0.1146, 0.1146)*CHOOSE(CONTROL!$C$42, 121.5, 121.5)*CHOOSE(CONTROL!$C$42, 31, 31))/1000000</f>
        <v>0.43164089999999994</v>
      </c>
      <c r="X984" s="38">
        <f>(31*0.1790888*100000/1000000)+(31*0.2374*100000/1000000)</f>
        <v>1.2911152800000001</v>
      </c>
      <c r="Y984" s="38">
        <f>(1000*600*CHOOSE(CONTROL!$C$42, 1.0585, 1.0585)*CHOOSE(CONTROL!$C$42, 31, 31))/1000000</f>
        <v>19.688099999999999</v>
      </c>
      <c r="Z984" s="38"/>
      <c r="AA984" s="10"/>
      <c r="AB984" s="39"/>
      <c r="AC984" s="33">
        <f>(B984*122.58+C984*297.941+D984*89.177+E984*40.302+F984*40+G984*160+H984*0+I984*100+J984*300)/(122.58+297.941+89.177+40.302+0+40+160+100+300)</f>
        <v>36.067254115652176</v>
      </c>
      <c r="AD984" s="27">
        <f>(M984*'RAP TEMPLATE-GAS AVAILABILITY'!O983+N984*'RAP TEMPLATE-GAS AVAILABILITY'!P983+O984*'RAP TEMPLATE-GAS AVAILABILITY'!Q983+P984*'RAP TEMPLATE-GAS AVAILABILITY'!R983)/('RAP TEMPLATE-GAS AVAILABILITY'!O983+'RAP TEMPLATE-GAS AVAILABILITY'!P983+'RAP TEMPLATE-GAS AVAILABILITY'!Q983+'RAP TEMPLATE-GAS AVAILABILITY'!R983)</f>
        <v>35.614214388489209</v>
      </c>
    </row>
    <row r="985" spans="1:30" ht="15.75">
      <c r="A985" s="13">
        <v>71255</v>
      </c>
      <c r="B985" s="10">
        <f>CHOOSE(CONTROL!$C$42, 38.5085, 38.5085) * CHOOSE(CONTROL!$C$21, $C$9, 100%, $E$9)</f>
        <v>38.508499999999998</v>
      </c>
      <c r="C985" s="10">
        <f>CHOOSE(CONTROL!$C$42, 38.5136, 38.5136) * CHOOSE(CONTROL!$C$21, $C$9, 100%, $E$9)</f>
        <v>38.513599999999997</v>
      </c>
      <c r="D985" s="10">
        <f>CHOOSE(CONTROL!$C$42, 38.546, 38.546) * CHOOSE(CONTROL!$C$21, $C$9, 100%, $E$9)</f>
        <v>38.545999999999999</v>
      </c>
      <c r="E985" s="10">
        <f>CHOOSE(CONTROL!$C$42, 38.5798, 38.5798) * CHOOSE(CONTROL!$C$21, $C$9, 100%, $E$9)</f>
        <v>38.579799999999999</v>
      </c>
      <c r="F985" s="10">
        <f>CHOOSE(CONTROL!$C$42, 38.4926, 38.4926)*CHOOSE(CONTROL!$C$21, $C$9, 100%, $E$9)</f>
        <v>38.492600000000003</v>
      </c>
      <c r="G985" s="10">
        <f>CHOOSE(CONTROL!$C$42, 38.5107, 38.5107)*CHOOSE(CONTROL!$C$21, $C$9, 100%, $E$9)</f>
        <v>38.5107</v>
      </c>
      <c r="H985" s="10">
        <f>CHOOSE(CONTROL!$C$42, 38.5687, 38.5687) * CHOOSE(CONTROL!$C$21, $C$9, 100%, $E$9)</f>
        <v>38.5687</v>
      </c>
      <c r="I985" s="10">
        <f>CHOOSE(CONTROL!$C$42, 38.5219, 38.5219)* CHOOSE(CONTROL!$C$21, $C$9, 100%, $E$9)</f>
        <v>38.521900000000002</v>
      </c>
      <c r="J985" s="10">
        <f>CHOOSE(CONTROL!$C$42, 38.4852, 38.4852)* CHOOSE(CONTROL!$C$21, $C$9, 100%, $E$9)</f>
        <v>38.485199999999999</v>
      </c>
      <c r="K985" s="10">
        <f>CHOOSE(CONTROL!$C$42, 37.5, 37.5) * CHOOSE(CONTROL!$C$21, $C$9, 100%, $E$9)</f>
        <v>37.5</v>
      </c>
      <c r="L985" s="10">
        <f>CHOOSE(CONTROL!$C$42, 39.1557, 39.1557) * CHOOSE(CONTROL!$C$21, $C$9, 100%, $E$9)</f>
        <v>39.155700000000003</v>
      </c>
      <c r="M985" s="10">
        <f>CHOOSE(CONTROL!$C$42, 37.9814, 37.9814) * CHOOSE(CONTROL!$C$21, $C$9, 100%, $E$9)</f>
        <v>37.981400000000001</v>
      </c>
      <c r="N985" s="10">
        <f>CHOOSE(CONTROL!$C$42, 37.9991, 37.9991) * CHOOSE(CONTROL!$C$21, $C$9, 100%, $E$9)</f>
        <v>37.999099999999999</v>
      </c>
      <c r="O985" s="10">
        <f>CHOOSE(CONTROL!$C$42, 38.0636, 38.0636) * CHOOSE(CONTROL!$C$21, $C$9, 100%, $E$9)</f>
        <v>38.063600000000001</v>
      </c>
      <c r="P985" s="10">
        <f>CHOOSE(CONTROL!$C$42, 38.0175, 38.0175) * CHOOSE(CONTROL!$C$21, $C$9, 100%, $E$9)</f>
        <v>38.017499999999998</v>
      </c>
      <c r="Q985" s="10">
        <f>CHOOSE(CONTROL!$C$42, 38.6589, 38.6589) * CHOOSE(CONTROL!$C$21, $C$9, 100%, $E$9)</f>
        <v>38.658900000000003</v>
      </c>
      <c r="R985" s="10">
        <f>CHOOSE(CONTROL!$C$42, 39.3426, 39.3426) * CHOOSE(CONTROL!$C$21, $C$9, 100%, $E$9)</f>
        <v>39.342599999999997</v>
      </c>
      <c r="S985" s="10">
        <f>CHOOSE(CONTROL!$C$42, 37.3044, 37.3044) * CHOOSE(CONTROL!$C$21, $C$9, 100%, $E$9)</f>
        <v>37.304400000000001</v>
      </c>
      <c r="T98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85" s="38">
        <f>(1000*CHOOSE(CONTROL!$C$42, 695, 695)*CHOOSE(CONTROL!$C$42, 0.5599, 0.5599)*CHOOSE(CONTROL!$C$42, 31, 31))/1000000</f>
        <v>12.063045499999998</v>
      </c>
      <c r="V985" s="38">
        <f>(1000*CHOOSE(CONTROL!$C$42, 500, 500)*CHOOSE(CONTROL!$C$42, 0.275, 0.275)*CHOOSE(CONTROL!$C$42, 31, 31))/1000000</f>
        <v>4.2625000000000002</v>
      </c>
      <c r="W985" s="38">
        <f>(1000*CHOOSE(CONTROL!$C$42, 0.1146, 0.1146)*CHOOSE(CONTROL!$C$42, 121.5, 121.5)*CHOOSE(CONTROL!$C$42, 31, 31))/1000000</f>
        <v>0.43164089999999994</v>
      </c>
      <c r="X985" s="38">
        <f>(31*0.1790888*100000/1000000)+(31*0.2374*100000/1000000)</f>
        <v>1.2911152800000001</v>
      </c>
      <c r="Y985" s="38">
        <f>(1000*600*CHOOSE(CONTROL!$C$42, 1.0585, 1.0585)*CHOOSE(CONTROL!$C$42, 31, 31))/1000000</f>
        <v>19.688099999999999</v>
      </c>
      <c r="Z985" s="38"/>
      <c r="AA985" s="10"/>
      <c r="AB985" s="39"/>
      <c r="AC985" s="33">
        <f>(B985*122.58+C985*297.941+D985*89.177+E985*40.302+F985*40+G985*160+H985*0+I985*100+J985*300)/(122.58+297.941+89.177+40.302+0+40+160+100+300)</f>
        <v>38.510067973217389</v>
      </c>
      <c r="AD985" s="27">
        <f>(M985*'RAP TEMPLATE-GAS AVAILABILITY'!O984+N985*'RAP TEMPLATE-GAS AVAILABILITY'!P984+O985*'RAP TEMPLATE-GAS AVAILABILITY'!Q984+P985*'RAP TEMPLATE-GAS AVAILABILITY'!R984)/('RAP TEMPLATE-GAS AVAILABILITY'!O984+'RAP TEMPLATE-GAS AVAILABILITY'!P984+'RAP TEMPLATE-GAS AVAILABILITY'!Q984+'RAP TEMPLATE-GAS AVAILABILITY'!R984)</f>
        <v>38.024869064748202</v>
      </c>
    </row>
    <row r="986" spans="1:30" ht="15.75">
      <c r="A986" s="13">
        <v>71283</v>
      </c>
      <c r="B986" s="10">
        <f>CHOOSE(CONTROL!$C$42, 39.1942, 39.1942) * CHOOSE(CONTROL!$C$21, $C$9, 100%, $E$9)</f>
        <v>39.194200000000002</v>
      </c>
      <c r="C986" s="10">
        <f>CHOOSE(CONTROL!$C$42, 39.1993, 39.1993) * CHOOSE(CONTROL!$C$21, $C$9, 100%, $E$9)</f>
        <v>39.199300000000001</v>
      </c>
      <c r="D986" s="10">
        <f>CHOOSE(CONTROL!$C$42, 39.2318, 39.2318) * CHOOSE(CONTROL!$C$21, $C$9, 100%, $E$9)</f>
        <v>39.2318</v>
      </c>
      <c r="E986" s="10">
        <f>CHOOSE(CONTROL!$C$42, 39.2656, 39.2656) * CHOOSE(CONTROL!$C$21, $C$9, 100%, $E$9)</f>
        <v>39.265599999999999</v>
      </c>
      <c r="F986" s="10">
        <f>CHOOSE(CONTROL!$C$42, 39.178, 39.178)*CHOOSE(CONTROL!$C$21, $C$9, 100%, $E$9)</f>
        <v>39.177999999999997</v>
      </c>
      <c r="G986" s="10">
        <f>CHOOSE(CONTROL!$C$42, 39.1959, 39.1959)*CHOOSE(CONTROL!$C$21, $C$9, 100%, $E$9)</f>
        <v>39.195900000000002</v>
      </c>
      <c r="H986" s="10">
        <f>CHOOSE(CONTROL!$C$42, 39.2545, 39.2545) * CHOOSE(CONTROL!$C$21, $C$9, 100%, $E$9)</f>
        <v>39.2545</v>
      </c>
      <c r="I986" s="10">
        <f>CHOOSE(CONTROL!$C$42, 39.2077, 39.2077)* CHOOSE(CONTROL!$C$21, $C$9, 100%, $E$9)</f>
        <v>39.207700000000003</v>
      </c>
      <c r="J986" s="10">
        <f>CHOOSE(CONTROL!$C$42, 39.1706, 39.1706)* CHOOSE(CONTROL!$C$21, $C$9, 100%, $E$9)</f>
        <v>39.1706</v>
      </c>
      <c r="K986" s="10">
        <f>CHOOSE(CONTROL!$C$42, 38.1634, 38.1634) * CHOOSE(CONTROL!$C$21, $C$9, 100%, $E$9)</f>
        <v>38.163400000000003</v>
      </c>
      <c r="L986" s="10">
        <f>CHOOSE(CONTROL!$C$42, 39.8415, 39.8415) * CHOOSE(CONTROL!$C$21, $C$9, 100%, $E$9)</f>
        <v>39.841500000000003</v>
      </c>
      <c r="M986" s="10">
        <f>CHOOSE(CONTROL!$C$42, 38.6571, 38.6571) * CHOOSE(CONTROL!$C$21, $C$9, 100%, $E$9)</f>
        <v>38.6571</v>
      </c>
      <c r="N986" s="10">
        <f>CHOOSE(CONTROL!$C$42, 38.6748, 38.6748) * CHOOSE(CONTROL!$C$21, $C$9, 100%, $E$9)</f>
        <v>38.674799999999998</v>
      </c>
      <c r="O986" s="10">
        <f>CHOOSE(CONTROL!$C$42, 38.7398, 38.7398) * CHOOSE(CONTROL!$C$21, $C$9, 100%, $E$9)</f>
        <v>38.739800000000002</v>
      </c>
      <c r="P986" s="10">
        <f>CHOOSE(CONTROL!$C$42, 38.6938, 38.6938) * CHOOSE(CONTROL!$C$21, $C$9, 100%, $E$9)</f>
        <v>38.693800000000003</v>
      </c>
      <c r="Q986" s="10">
        <f>CHOOSE(CONTROL!$C$42, 39.3351, 39.3351) * CHOOSE(CONTROL!$C$21, $C$9, 100%, $E$9)</f>
        <v>39.335099999999997</v>
      </c>
      <c r="R986" s="10">
        <f>CHOOSE(CONTROL!$C$42, 40.0205, 40.0205) * CHOOSE(CONTROL!$C$21, $C$9, 100%, $E$9)</f>
        <v>40.020499999999998</v>
      </c>
      <c r="S986" s="10">
        <f>CHOOSE(CONTROL!$C$42, 37.9684, 37.9684) * CHOOSE(CONTROL!$C$21, $C$9, 100%, $E$9)</f>
        <v>37.968400000000003</v>
      </c>
      <c r="T986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986" s="38">
        <f>(1000*CHOOSE(CONTROL!$C$42, 695, 695)*CHOOSE(CONTROL!$C$42, 0.5599, 0.5599)*CHOOSE(CONTROL!$C$42, 28, 28))/1000000</f>
        <v>10.895653999999999</v>
      </c>
      <c r="V986" s="38">
        <f>(1000*CHOOSE(CONTROL!$C$42, 500, 500)*CHOOSE(CONTROL!$C$42, 0.275, 0.275)*CHOOSE(CONTROL!$C$42, 28, 28))/1000000</f>
        <v>3.85</v>
      </c>
      <c r="W986" s="38">
        <f>(1000*CHOOSE(CONTROL!$C$42, 0.1146, 0.1146)*CHOOSE(CONTROL!$C$42, 121.5, 121.5)*CHOOSE(CONTROL!$C$42, 28, 28))/1000000</f>
        <v>0.38986920000000003</v>
      </c>
      <c r="X986" s="38">
        <f>(28*0.1790888*100000/1000000)+(28*0.2374*100000/1000000)</f>
        <v>1.16616864</v>
      </c>
      <c r="Y986" s="38">
        <f>(1000*600*CHOOSE(CONTROL!$C$42, 1.0585, 1.0585)*CHOOSE(CONTROL!$C$42, 28, 28))/1000000</f>
        <v>17.782800000000002</v>
      </c>
      <c r="Z986" s="38"/>
      <c r="AA986" s="10"/>
      <c r="AB986" s="39"/>
      <c r="AC986" s="33">
        <f>(B986*122.58+C986*297.941+D986*89.177+E986*40.302+F986*40+G986*160+H986*0+I986*100+J986*300)/(122.58+297.941+89.177+40.302+0+40+160+100+300)</f>
        <v>39.195629667043477</v>
      </c>
      <c r="AD986" s="27">
        <f>(M986*'RAP TEMPLATE-GAS AVAILABILITY'!O985+N986*'RAP TEMPLATE-GAS AVAILABILITY'!P985+O986*'RAP TEMPLATE-GAS AVAILABILITY'!Q985+P986*'RAP TEMPLATE-GAS AVAILABILITY'!R985)/('RAP TEMPLATE-GAS AVAILABILITY'!O985+'RAP TEMPLATE-GAS AVAILABILITY'!P985+'RAP TEMPLATE-GAS AVAILABILITY'!Q985+'RAP TEMPLATE-GAS AVAILABILITY'!R985)</f>
        <v>38.70088201438849</v>
      </c>
    </row>
    <row r="987" spans="1:30" ht="15.75">
      <c r="A987" s="13">
        <v>71314</v>
      </c>
      <c r="B987" s="10">
        <f>CHOOSE(CONTROL!$C$42, 38.081, 38.081) * CHOOSE(CONTROL!$C$21, $C$9, 100%, $E$9)</f>
        <v>38.081000000000003</v>
      </c>
      <c r="C987" s="10">
        <f>CHOOSE(CONTROL!$C$42, 38.0861, 38.0861) * CHOOSE(CONTROL!$C$21, $C$9, 100%, $E$9)</f>
        <v>38.086100000000002</v>
      </c>
      <c r="D987" s="10">
        <f>CHOOSE(CONTROL!$C$42, 38.1186, 38.1186) * CHOOSE(CONTROL!$C$21, $C$9, 100%, $E$9)</f>
        <v>38.118600000000001</v>
      </c>
      <c r="E987" s="10">
        <f>CHOOSE(CONTROL!$C$42, 38.1524, 38.1524) * CHOOSE(CONTROL!$C$21, $C$9, 100%, $E$9)</f>
        <v>38.1524</v>
      </c>
      <c r="F987" s="10">
        <f>CHOOSE(CONTROL!$C$42, 38.0633, 38.0633)*CHOOSE(CONTROL!$C$21, $C$9, 100%, $E$9)</f>
        <v>38.063299999999998</v>
      </c>
      <c r="G987" s="10">
        <f>CHOOSE(CONTROL!$C$42, 38.0809, 38.0809)*CHOOSE(CONTROL!$C$21, $C$9, 100%, $E$9)</f>
        <v>38.0809</v>
      </c>
      <c r="H987" s="10">
        <f>CHOOSE(CONTROL!$C$42, 38.1412, 38.1412) * CHOOSE(CONTROL!$C$21, $C$9, 100%, $E$9)</f>
        <v>38.141199999999998</v>
      </c>
      <c r="I987" s="10">
        <f>CHOOSE(CONTROL!$C$42, 38.0945, 38.0945)* CHOOSE(CONTROL!$C$21, $C$9, 100%, $E$9)</f>
        <v>38.094499999999996</v>
      </c>
      <c r="J987" s="10">
        <f>CHOOSE(CONTROL!$C$42, 38.0559, 38.0559)* CHOOSE(CONTROL!$C$21, $C$9, 100%, $E$9)</f>
        <v>38.055900000000001</v>
      </c>
      <c r="K987" s="10">
        <f>CHOOSE(CONTROL!$C$42, 37.0818, 37.0818) * CHOOSE(CONTROL!$C$21, $C$9, 100%, $E$9)</f>
        <v>37.081800000000001</v>
      </c>
      <c r="L987" s="10">
        <f>CHOOSE(CONTROL!$C$42, 38.7282, 38.7282) * CHOOSE(CONTROL!$C$21, $C$9, 100%, $E$9)</f>
        <v>38.728200000000001</v>
      </c>
      <c r="M987" s="10">
        <f>CHOOSE(CONTROL!$C$42, 37.558, 37.558) * CHOOSE(CONTROL!$C$21, $C$9, 100%, $E$9)</f>
        <v>37.558</v>
      </c>
      <c r="N987" s="10">
        <f>CHOOSE(CONTROL!$C$42, 37.5753, 37.5753) * CHOOSE(CONTROL!$C$21, $C$9, 100%, $E$9)</f>
        <v>37.575299999999999</v>
      </c>
      <c r="O987" s="10">
        <f>CHOOSE(CONTROL!$C$42, 37.6422, 37.6422) * CHOOSE(CONTROL!$C$21, $C$9, 100%, $E$9)</f>
        <v>37.642200000000003</v>
      </c>
      <c r="P987" s="10">
        <f>CHOOSE(CONTROL!$C$42, 37.5961, 37.5961) * CHOOSE(CONTROL!$C$21, $C$9, 100%, $E$9)</f>
        <v>37.5961</v>
      </c>
      <c r="Q987" s="10">
        <f>CHOOSE(CONTROL!$C$42, 38.2375, 38.2375) * CHOOSE(CONTROL!$C$21, $C$9, 100%, $E$9)</f>
        <v>38.237499999999997</v>
      </c>
      <c r="R987" s="10">
        <f>CHOOSE(CONTROL!$C$42, 38.9201, 38.9201) * CHOOSE(CONTROL!$C$21, $C$9, 100%, $E$9)</f>
        <v>38.920099999999998</v>
      </c>
      <c r="S987" s="10">
        <f>CHOOSE(CONTROL!$C$42, 36.8905, 36.8905) * CHOOSE(CONTROL!$C$21, $C$9, 100%, $E$9)</f>
        <v>36.890500000000003</v>
      </c>
      <c r="T98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87" s="38">
        <f>(1000*CHOOSE(CONTROL!$C$42, 695, 695)*CHOOSE(CONTROL!$C$42, 0.5599, 0.5599)*CHOOSE(CONTROL!$C$42, 31, 31))/1000000</f>
        <v>12.063045499999998</v>
      </c>
      <c r="V987" s="38">
        <f>(1000*CHOOSE(CONTROL!$C$42, 500, 500)*CHOOSE(CONTROL!$C$42, 0.275, 0.275)*CHOOSE(CONTROL!$C$42, 31, 31))/1000000</f>
        <v>4.2625000000000002</v>
      </c>
      <c r="W987" s="38">
        <f>(1000*CHOOSE(CONTROL!$C$42, 0.1146, 0.1146)*CHOOSE(CONTROL!$C$42, 121.5, 121.5)*CHOOSE(CONTROL!$C$42, 31, 31))/1000000</f>
        <v>0.43164089999999994</v>
      </c>
      <c r="X987" s="38">
        <f>(31*0.1790888*100000/1000000)+(31*0.2374*100000/1000000)</f>
        <v>1.2911152800000001</v>
      </c>
      <c r="Y987" s="38">
        <f>(1000*600*CHOOSE(CONTROL!$C$42, 1.0585, 1.0585)*CHOOSE(CONTROL!$C$42, 31, 31))/1000000</f>
        <v>19.688099999999999</v>
      </c>
      <c r="Z987" s="38"/>
      <c r="AA987" s="10"/>
      <c r="AB987" s="39"/>
      <c r="AC987" s="33">
        <f>(B987*122.58+C987*297.941+D987*89.177+E987*40.302+F987*40+G987*160+H987*0+I987*100+J987*300)/(122.58+297.941+89.177+40.302+0+40+160+100+300)</f>
        <v>38.081735754</v>
      </c>
      <c r="AD987" s="27">
        <f>(M987*'RAP TEMPLATE-GAS AVAILABILITY'!O986+N987*'RAP TEMPLATE-GAS AVAILABILITY'!P986+O987*'RAP TEMPLATE-GAS AVAILABILITY'!Q986+P987*'RAP TEMPLATE-GAS AVAILABILITY'!R986)/('RAP TEMPLATE-GAS AVAILABILITY'!O986+'RAP TEMPLATE-GAS AVAILABILITY'!P986+'RAP TEMPLATE-GAS AVAILABILITY'!Q986+'RAP TEMPLATE-GAS AVAILABILITY'!R986)</f>
        <v>37.602640287769788</v>
      </c>
    </row>
    <row r="988" spans="1:30" ht="15.75">
      <c r="A988" s="13">
        <v>71344</v>
      </c>
      <c r="B988" s="10">
        <f>CHOOSE(CONTROL!$C$42, 37.9677, 37.9677) * CHOOSE(CONTROL!$C$21, $C$9, 100%, $E$9)</f>
        <v>37.967700000000001</v>
      </c>
      <c r="C988" s="10">
        <f>CHOOSE(CONTROL!$C$42, 37.9723, 37.9723) * CHOOSE(CONTROL!$C$21, $C$9, 100%, $E$9)</f>
        <v>37.972299999999997</v>
      </c>
      <c r="D988" s="10">
        <f>CHOOSE(CONTROL!$C$42, 38.1324, 38.1324) * CHOOSE(CONTROL!$C$21, $C$9, 100%, $E$9)</f>
        <v>38.132399999999997</v>
      </c>
      <c r="E988" s="10">
        <f>CHOOSE(CONTROL!$C$42, 38.1642, 38.1642) * CHOOSE(CONTROL!$C$21, $C$9, 100%, $E$9)</f>
        <v>38.164200000000001</v>
      </c>
      <c r="F988" s="10">
        <f>CHOOSE(CONTROL!$C$42, 37.9138, 37.9138)*CHOOSE(CONTROL!$C$21, $C$9, 100%, $E$9)</f>
        <v>37.913800000000002</v>
      </c>
      <c r="G988" s="10">
        <f>CHOOSE(CONTROL!$C$42, 37.9297, 37.9297)*CHOOSE(CONTROL!$C$21, $C$9, 100%, $E$9)</f>
        <v>37.929699999999997</v>
      </c>
      <c r="H988" s="10">
        <f>CHOOSE(CONTROL!$C$42, 38.1537, 38.1537) * CHOOSE(CONTROL!$C$21, $C$9, 100%, $E$9)</f>
        <v>38.153700000000001</v>
      </c>
      <c r="I988" s="10">
        <f>CHOOSE(CONTROL!$C$42, 37.9479, 37.9479)* CHOOSE(CONTROL!$C$21, $C$9, 100%, $E$9)</f>
        <v>37.947899999999997</v>
      </c>
      <c r="J988" s="10">
        <f>CHOOSE(CONTROL!$C$42, 37.9064, 37.9064)* CHOOSE(CONTROL!$C$21, $C$9, 100%, $E$9)</f>
        <v>37.906399999999998</v>
      </c>
      <c r="K988" s="10">
        <f>CHOOSE(CONTROL!$C$42, 36.9238, 36.9238) * CHOOSE(CONTROL!$C$21, $C$9, 100%, $E$9)</f>
        <v>36.9238</v>
      </c>
      <c r="L988" s="10">
        <f>CHOOSE(CONTROL!$C$42, 38.7407, 38.7407) * CHOOSE(CONTROL!$C$21, $C$9, 100%, $E$9)</f>
        <v>38.740699999999997</v>
      </c>
      <c r="M988" s="10">
        <f>CHOOSE(CONTROL!$C$42, 37.4106, 37.4106) * CHOOSE(CONTROL!$C$21, $C$9, 100%, $E$9)</f>
        <v>37.410600000000002</v>
      </c>
      <c r="N988" s="10">
        <f>CHOOSE(CONTROL!$C$42, 37.4262, 37.4262) * CHOOSE(CONTROL!$C$21, $C$9, 100%, $E$9)</f>
        <v>37.426200000000001</v>
      </c>
      <c r="O988" s="10">
        <f>CHOOSE(CONTROL!$C$42, 37.6544, 37.6544) * CHOOSE(CONTROL!$C$21, $C$9, 100%, $E$9)</f>
        <v>37.654400000000003</v>
      </c>
      <c r="P988" s="10">
        <f>CHOOSE(CONTROL!$C$42, 37.4515, 37.4515) * CHOOSE(CONTROL!$C$21, $C$9, 100%, $E$9)</f>
        <v>37.451500000000003</v>
      </c>
      <c r="Q988" s="10">
        <f>CHOOSE(CONTROL!$C$42, 38.2497, 38.2497) * CHOOSE(CONTROL!$C$21, $C$9, 100%, $E$9)</f>
        <v>38.249699999999997</v>
      </c>
      <c r="R988" s="10">
        <f>CHOOSE(CONTROL!$C$42, 38.9324, 38.9324) * CHOOSE(CONTROL!$C$21, $C$9, 100%, $E$9)</f>
        <v>38.932400000000001</v>
      </c>
      <c r="S988" s="10">
        <f>CHOOSE(CONTROL!$C$42, 36.7801, 36.7801) * CHOOSE(CONTROL!$C$21, $C$9, 100%, $E$9)</f>
        <v>36.780099999999997</v>
      </c>
      <c r="T98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988" s="38">
        <f>(1000*CHOOSE(CONTROL!$C$42, 695, 695)*CHOOSE(CONTROL!$C$42, 0.5599, 0.5599)*CHOOSE(CONTROL!$C$42, 30, 30))/1000000</f>
        <v>11.673914999999997</v>
      </c>
      <c r="V988" s="38">
        <f>(1000*CHOOSE(CONTROL!$C$42, 500, 500)*CHOOSE(CONTROL!$C$42, 0.275, 0.275)*CHOOSE(CONTROL!$C$42, 30, 30))/1000000</f>
        <v>4.125</v>
      </c>
      <c r="W988" s="38">
        <f>(1000*CHOOSE(CONTROL!$C$42, 0.1146, 0.1146)*CHOOSE(CONTROL!$C$42, 121.5, 121.5)*CHOOSE(CONTROL!$C$42, 30, 30))/1000000</f>
        <v>0.417717</v>
      </c>
      <c r="X988" s="38">
        <f>(30*0.1790888*245000/1000000)+(30*0.2374*100000/1000000)</f>
        <v>2.0285026799999999</v>
      </c>
      <c r="Y988" s="38">
        <f>(1000*600*CHOOSE(CONTROL!$C$42, 1.0585, 1.0585)*CHOOSE(CONTROL!$C$42, 30, 30))/1000000</f>
        <v>19.053000000000001</v>
      </c>
      <c r="Z988" s="38"/>
      <c r="AA988" s="10"/>
      <c r="AB988" s="39"/>
      <c r="AC988" s="33">
        <f>(B988*141.293+C988*267.993+D988*115.016+E988*89.698+F988*40+G988*185+H988*0+I988*100+J988*300)/(141.293+267.993+115.016+89.698+0+40+185+100+300)</f>
        <v>37.974355012106535</v>
      </c>
      <c r="AD988" s="27">
        <f>(M988*'RAP TEMPLATE-GAS AVAILABILITY'!O987+N988*'RAP TEMPLATE-GAS AVAILABILITY'!P987+O988*'RAP TEMPLATE-GAS AVAILABILITY'!Q987+P988*'RAP TEMPLATE-GAS AVAILABILITY'!R987)/('RAP TEMPLATE-GAS AVAILABILITY'!O987+'RAP TEMPLATE-GAS AVAILABILITY'!P987+'RAP TEMPLATE-GAS AVAILABILITY'!Q987+'RAP TEMPLATE-GAS AVAILABILITY'!R987)</f>
        <v>37.527882014388496</v>
      </c>
    </row>
    <row r="989" spans="1:30" ht="15.75">
      <c r="A989" s="13">
        <v>71375</v>
      </c>
      <c r="B989" s="10">
        <f>CHOOSE(CONTROL!$C$42, 38.3048, 38.3048) * CHOOSE(CONTROL!$C$21, $C$9, 100%, $E$9)</f>
        <v>38.3048</v>
      </c>
      <c r="C989" s="10">
        <f>CHOOSE(CONTROL!$C$42, 38.3128, 38.3128) * CHOOSE(CONTROL!$C$21, $C$9, 100%, $E$9)</f>
        <v>38.312800000000003</v>
      </c>
      <c r="D989" s="10">
        <f>CHOOSE(CONTROL!$C$42, 38.4698, 38.4698) * CHOOSE(CONTROL!$C$21, $C$9, 100%, $E$9)</f>
        <v>38.469799999999999</v>
      </c>
      <c r="E989" s="10">
        <f>CHOOSE(CONTROL!$C$42, 38.5011, 38.5011) * CHOOSE(CONTROL!$C$21, $C$9, 100%, $E$9)</f>
        <v>38.501100000000001</v>
      </c>
      <c r="F989" s="10">
        <f>CHOOSE(CONTROL!$C$42, 38.2489, 38.2489)*CHOOSE(CONTROL!$C$21, $C$9, 100%, $E$9)</f>
        <v>38.248899999999999</v>
      </c>
      <c r="G989" s="10">
        <f>CHOOSE(CONTROL!$C$42, 38.2651, 38.2651)*CHOOSE(CONTROL!$C$21, $C$9, 100%, $E$9)</f>
        <v>38.265099999999997</v>
      </c>
      <c r="H989" s="10">
        <f>CHOOSE(CONTROL!$C$42, 38.4894, 38.4894) * CHOOSE(CONTROL!$C$21, $C$9, 100%, $E$9)</f>
        <v>38.489400000000003</v>
      </c>
      <c r="I989" s="10">
        <f>CHOOSE(CONTROL!$C$42, 38.2836, 38.2836)* CHOOSE(CONTROL!$C$21, $C$9, 100%, $E$9)</f>
        <v>38.2836</v>
      </c>
      <c r="J989" s="10">
        <f>CHOOSE(CONTROL!$C$42, 38.2415, 38.2415)* CHOOSE(CONTROL!$C$21, $C$9, 100%, $E$9)</f>
        <v>38.241500000000002</v>
      </c>
      <c r="K989" s="10">
        <f>CHOOSE(CONTROL!$C$42, 37.2477, 37.2477) * CHOOSE(CONTROL!$C$21, $C$9, 100%, $E$9)</f>
        <v>37.247700000000002</v>
      </c>
      <c r="L989" s="10">
        <f>CHOOSE(CONTROL!$C$42, 39.0764, 39.0764) * CHOOSE(CONTROL!$C$21, $C$9, 100%, $E$9)</f>
        <v>39.0764</v>
      </c>
      <c r="M989" s="10">
        <f>CHOOSE(CONTROL!$C$42, 37.741, 37.741) * CHOOSE(CONTROL!$C$21, $C$9, 100%, $E$9)</f>
        <v>37.741</v>
      </c>
      <c r="N989" s="10">
        <f>CHOOSE(CONTROL!$C$42, 37.7569, 37.7569) * CHOOSE(CONTROL!$C$21, $C$9, 100%, $E$9)</f>
        <v>37.756900000000002</v>
      </c>
      <c r="O989" s="10">
        <f>CHOOSE(CONTROL!$C$42, 37.9854, 37.9854) * CHOOSE(CONTROL!$C$21, $C$9, 100%, $E$9)</f>
        <v>37.985399999999998</v>
      </c>
      <c r="P989" s="10">
        <f>CHOOSE(CONTROL!$C$42, 37.7826, 37.7826) * CHOOSE(CONTROL!$C$21, $C$9, 100%, $E$9)</f>
        <v>37.782600000000002</v>
      </c>
      <c r="Q989" s="10">
        <f>CHOOSE(CONTROL!$C$42, 38.5807, 38.5807) * CHOOSE(CONTROL!$C$21, $C$9, 100%, $E$9)</f>
        <v>38.5807</v>
      </c>
      <c r="R989" s="10">
        <f>CHOOSE(CONTROL!$C$42, 39.2642, 39.2642) * CHOOSE(CONTROL!$C$21, $C$9, 100%, $E$9)</f>
        <v>39.264200000000002</v>
      </c>
      <c r="S989" s="10">
        <f>CHOOSE(CONTROL!$C$42, 37.1051, 37.1051) * CHOOSE(CONTROL!$C$21, $C$9, 100%, $E$9)</f>
        <v>37.1051</v>
      </c>
      <c r="T98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989" s="38">
        <f>(1000*CHOOSE(CONTROL!$C$42, 695, 695)*CHOOSE(CONTROL!$C$42, 0.5599, 0.5599)*CHOOSE(CONTROL!$C$42, 31, 31))/1000000</f>
        <v>12.063045499999998</v>
      </c>
      <c r="V989" s="38">
        <f>(1000*CHOOSE(CONTROL!$C$42, 500, 500)*CHOOSE(CONTROL!$C$42, 0.275, 0.275)*CHOOSE(CONTROL!$C$42, 31, 31))/1000000</f>
        <v>4.2625000000000002</v>
      </c>
      <c r="W989" s="38">
        <f>(1000*CHOOSE(CONTROL!$C$42, 0.1146, 0.1146)*CHOOSE(CONTROL!$C$42, 121.5, 121.5)*CHOOSE(CONTROL!$C$42, 31, 31))/1000000</f>
        <v>0.43164089999999994</v>
      </c>
      <c r="X989" s="38">
        <f>(31*0.1790888*245000/1000000)+(31*0.2374*100000/1000000)</f>
        <v>2.0961194359999999</v>
      </c>
      <c r="Y989" s="38">
        <f>(1000*600*CHOOSE(CONTROL!$C$42, 1.0585, 1.0585)*CHOOSE(CONTROL!$C$42, 31, 31))/1000000</f>
        <v>19.688099999999999</v>
      </c>
      <c r="Z989" s="38"/>
      <c r="AA989" s="10"/>
      <c r="AB989" s="39"/>
      <c r="AC989" s="33">
        <f>(B989*194.205+C989*267.466+D989*133.845+E989*53.484+F989*40+G989*185+H989*0+I989*100+J989*300)/(194.205+267.466+133.845+53.484+0+40+185+100+300)</f>
        <v>38.307965276452123</v>
      </c>
      <c r="AD989" s="27">
        <f>(M989*'RAP TEMPLATE-GAS AVAILABILITY'!O988+N989*'RAP TEMPLATE-GAS AVAILABILITY'!P988+O989*'RAP TEMPLATE-GAS AVAILABILITY'!Q988+P989*'RAP TEMPLATE-GAS AVAILABILITY'!R988)/('RAP TEMPLATE-GAS AVAILABILITY'!O988+'RAP TEMPLATE-GAS AVAILABILITY'!P988+'RAP TEMPLATE-GAS AVAILABILITY'!Q988+'RAP TEMPLATE-GAS AVAILABILITY'!R988)</f>
        <v>37.858671942446044</v>
      </c>
    </row>
    <row r="990" spans="1:30" ht="15.75">
      <c r="A990" s="13">
        <v>71405</v>
      </c>
      <c r="B990" s="10">
        <f>CHOOSE(CONTROL!$C$42, 39.3918, 39.3918) * CHOOSE(CONTROL!$C$21, $C$9, 100%, $E$9)</f>
        <v>39.391800000000003</v>
      </c>
      <c r="C990" s="10">
        <f>CHOOSE(CONTROL!$C$42, 39.3998, 39.3998) * CHOOSE(CONTROL!$C$21, $C$9, 100%, $E$9)</f>
        <v>39.399799999999999</v>
      </c>
      <c r="D990" s="10">
        <f>CHOOSE(CONTROL!$C$42, 39.5568, 39.5568) * CHOOSE(CONTROL!$C$21, $C$9, 100%, $E$9)</f>
        <v>39.556800000000003</v>
      </c>
      <c r="E990" s="10">
        <f>CHOOSE(CONTROL!$C$42, 39.588, 39.588) * CHOOSE(CONTROL!$C$21, $C$9, 100%, $E$9)</f>
        <v>39.588000000000001</v>
      </c>
      <c r="F990" s="10">
        <f>CHOOSE(CONTROL!$C$42, 39.3361, 39.3361)*CHOOSE(CONTROL!$C$21, $C$9, 100%, $E$9)</f>
        <v>39.336100000000002</v>
      </c>
      <c r="G990" s="10">
        <f>CHOOSE(CONTROL!$C$42, 39.3522, 39.3522)*CHOOSE(CONTROL!$C$21, $C$9, 100%, $E$9)</f>
        <v>39.352200000000003</v>
      </c>
      <c r="H990" s="10">
        <f>CHOOSE(CONTROL!$C$42, 39.5763, 39.5763) * CHOOSE(CONTROL!$C$21, $C$9, 100%, $E$9)</f>
        <v>39.576300000000003</v>
      </c>
      <c r="I990" s="10">
        <f>CHOOSE(CONTROL!$C$42, 39.3705, 39.3705)* CHOOSE(CONTROL!$C$21, $C$9, 100%, $E$9)</f>
        <v>39.3705</v>
      </c>
      <c r="J990" s="10">
        <f>CHOOSE(CONTROL!$C$42, 39.3287, 39.3287)* CHOOSE(CONTROL!$C$21, $C$9, 100%, $E$9)</f>
        <v>39.328699999999998</v>
      </c>
      <c r="K990" s="10">
        <f>CHOOSE(CONTROL!$C$42, 38.3012, 38.3012) * CHOOSE(CONTROL!$C$21, $C$9, 100%, $E$9)</f>
        <v>38.301200000000001</v>
      </c>
      <c r="L990" s="10">
        <f>CHOOSE(CONTROL!$C$42, 40.1633, 40.1633) * CHOOSE(CONTROL!$C$21, $C$9, 100%, $E$9)</f>
        <v>40.1633</v>
      </c>
      <c r="M990" s="10">
        <f>CHOOSE(CONTROL!$C$42, 38.813, 38.813) * CHOOSE(CONTROL!$C$21, $C$9, 100%, $E$9)</f>
        <v>38.813000000000002</v>
      </c>
      <c r="N990" s="10">
        <f>CHOOSE(CONTROL!$C$42, 38.829, 38.829) * CHOOSE(CONTROL!$C$21, $C$9, 100%, $E$9)</f>
        <v>38.829000000000001</v>
      </c>
      <c r="O990" s="10">
        <f>CHOOSE(CONTROL!$C$42, 39.0572, 39.0572) * CHOOSE(CONTROL!$C$21, $C$9, 100%, $E$9)</f>
        <v>39.057200000000002</v>
      </c>
      <c r="P990" s="10">
        <f>CHOOSE(CONTROL!$C$42, 38.8543, 38.8543) * CHOOSE(CONTROL!$C$21, $C$9, 100%, $E$9)</f>
        <v>38.854300000000002</v>
      </c>
      <c r="Q990" s="10">
        <f>CHOOSE(CONTROL!$C$42, 39.6525, 39.6525) * CHOOSE(CONTROL!$C$21, $C$9, 100%, $E$9)</f>
        <v>39.652500000000003</v>
      </c>
      <c r="R990" s="10">
        <f>CHOOSE(CONTROL!$C$42, 40.3387, 40.3387) * CHOOSE(CONTROL!$C$21, $C$9, 100%, $E$9)</f>
        <v>40.338700000000003</v>
      </c>
      <c r="S990" s="10">
        <f>CHOOSE(CONTROL!$C$42, 38.1576, 38.1576) * CHOOSE(CONTROL!$C$21, $C$9, 100%, $E$9)</f>
        <v>38.157600000000002</v>
      </c>
      <c r="T99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990" s="38">
        <f>(1000*CHOOSE(CONTROL!$C$42, 695, 695)*CHOOSE(CONTROL!$C$42, 0.5599, 0.5599)*CHOOSE(CONTROL!$C$42, 30, 30))/1000000</f>
        <v>11.673914999999997</v>
      </c>
      <c r="V990" s="38">
        <f>(1000*CHOOSE(CONTROL!$C$42, 500, 500)*CHOOSE(CONTROL!$C$42, 0.275, 0.275)*CHOOSE(CONTROL!$C$42, 30, 30))/1000000</f>
        <v>4.125</v>
      </c>
      <c r="W990" s="38">
        <f>(1000*CHOOSE(CONTROL!$C$42, 0.1146, 0.1146)*CHOOSE(CONTROL!$C$42, 121.5, 121.5)*CHOOSE(CONTROL!$C$42, 30, 30))/1000000</f>
        <v>0.417717</v>
      </c>
      <c r="X990" s="38">
        <f>(30*0.1790888*245000/1000000)+(30*0.2374*100000/1000000)</f>
        <v>2.0285026799999999</v>
      </c>
      <c r="Y990" s="38">
        <f>(1000*600*CHOOSE(CONTROL!$C$42, 1.0585, 1.0585)*CHOOSE(CONTROL!$C$42, 30, 30))/1000000</f>
        <v>19.053000000000001</v>
      </c>
      <c r="Z990" s="38"/>
      <c r="AA990" s="10"/>
      <c r="AB990" s="39"/>
      <c r="AC990" s="33">
        <f>(B990*194.205+C990*267.466+D990*133.845+E990*53.484+F990*40+G990*185+H990*0+I990*100+J990*300)/(194.205+267.466+133.845+53.484+0+40+185+100+300)</f>
        <v>39.395021125431711</v>
      </c>
      <c r="AD990" s="27">
        <f>(M990*'RAP TEMPLATE-GAS AVAILABILITY'!O989+N990*'RAP TEMPLATE-GAS AVAILABILITY'!P989+O990*'RAP TEMPLATE-GAS AVAILABILITY'!Q989+P990*'RAP TEMPLATE-GAS AVAILABILITY'!R989)/('RAP TEMPLATE-GAS AVAILABILITY'!O989+'RAP TEMPLATE-GAS AVAILABILITY'!P989+'RAP TEMPLATE-GAS AVAILABILITY'!Q989+'RAP TEMPLATE-GAS AVAILABILITY'!R989)</f>
        <v>38.930543884892089</v>
      </c>
    </row>
    <row r="991" spans="1:30" ht="15.75">
      <c r="A991" s="13">
        <v>71436</v>
      </c>
      <c r="B991" s="10">
        <f>CHOOSE(CONTROL!$C$42, 38.6358, 38.6358) * CHOOSE(CONTROL!$C$21, $C$9, 100%, $E$9)</f>
        <v>38.635800000000003</v>
      </c>
      <c r="C991" s="10">
        <f>CHOOSE(CONTROL!$C$42, 38.6438, 38.6438) * CHOOSE(CONTROL!$C$21, $C$9, 100%, $E$9)</f>
        <v>38.643799999999999</v>
      </c>
      <c r="D991" s="10">
        <f>CHOOSE(CONTROL!$C$42, 38.8008, 38.8008) * CHOOSE(CONTROL!$C$21, $C$9, 100%, $E$9)</f>
        <v>38.800800000000002</v>
      </c>
      <c r="E991" s="10">
        <f>CHOOSE(CONTROL!$C$42, 38.832, 38.832) * CHOOSE(CONTROL!$C$21, $C$9, 100%, $E$9)</f>
        <v>38.832000000000001</v>
      </c>
      <c r="F991" s="10">
        <f>CHOOSE(CONTROL!$C$42, 38.5804, 38.5804)*CHOOSE(CONTROL!$C$21, $C$9, 100%, $E$9)</f>
        <v>38.580399999999997</v>
      </c>
      <c r="G991" s="10">
        <f>CHOOSE(CONTROL!$C$42, 38.5967, 38.5967)*CHOOSE(CONTROL!$C$21, $C$9, 100%, $E$9)</f>
        <v>38.596699999999998</v>
      </c>
      <c r="H991" s="10">
        <f>CHOOSE(CONTROL!$C$42, 38.8204, 38.8204) * CHOOSE(CONTROL!$C$21, $C$9, 100%, $E$9)</f>
        <v>38.820399999999999</v>
      </c>
      <c r="I991" s="10">
        <f>CHOOSE(CONTROL!$C$42, 38.6145, 38.6145)* CHOOSE(CONTROL!$C$21, $C$9, 100%, $E$9)</f>
        <v>38.6145</v>
      </c>
      <c r="J991" s="10">
        <f>CHOOSE(CONTROL!$C$42, 38.573, 38.573)* CHOOSE(CONTROL!$C$21, $C$9, 100%, $E$9)</f>
        <v>38.573</v>
      </c>
      <c r="K991" s="10">
        <f>CHOOSE(CONTROL!$C$42, 37.5695, 37.5695) * CHOOSE(CONTROL!$C$21, $C$9, 100%, $E$9)</f>
        <v>37.569499999999998</v>
      </c>
      <c r="L991" s="10">
        <f>CHOOSE(CONTROL!$C$42, 39.4074, 39.4074) * CHOOSE(CONTROL!$C$21, $C$9, 100%, $E$9)</f>
        <v>39.407400000000003</v>
      </c>
      <c r="M991" s="10">
        <f>CHOOSE(CONTROL!$C$42, 38.0679, 38.0679) * CHOOSE(CONTROL!$C$21, $C$9, 100%, $E$9)</f>
        <v>38.067900000000002</v>
      </c>
      <c r="N991" s="10">
        <f>CHOOSE(CONTROL!$C$42, 38.0839, 38.0839) * CHOOSE(CONTROL!$C$21, $C$9, 100%, $E$9)</f>
        <v>38.0839</v>
      </c>
      <c r="O991" s="10">
        <f>CHOOSE(CONTROL!$C$42, 38.3118, 38.3118) * CHOOSE(CONTROL!$C$21, $C$9, 100%, $E$9)</f>
        <v>38.311799999999998</v>
      </c>
      <c r="P991" s="10">
        <f>CHOOSE(CONTROL!$C$42, 38.1089, 38.1089) * CHOOSE(CONTROL!$C$21, $C$9, 100%, $E$9)</f>
        <v>38.108899999999998</v>
      </c>
      <c r="Q991" s="10">
        <f>CHOOSE(CONTROL!$C$42, 38.9071, 38.9071) * CHOOSE(CONTROL!$C$21, $C$9, 100%, $E$9)</f>
        <v>38.9071</v>
      </c>
      <c r="R991" s="10">
        <f>CHOOSE(CONTROL!$C$42, 39.5914, 39.5914) * CHOOSE(CONTROL!$C$21, $C$9, 100%, $E$9)</f>
        <v>39.5914</v>
      </c>
      <c r="S991" s="10">
        <f>CHOOSE(CONTROL!$C$42, 37.4256, 37.4256) * CHOOSE(CONTROL!$C$21, $C$9, 100%, $E$9)</f>
        <v>37.425600000000003</v>
      </c>
      <c r="T99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991" s="38">
        <f>(1000*CHOOSE(CONTROL!$C$42, 695, 695)*CHOOSE(CONTROL!$C$42, 0.5599, 0.5599)*CHOOSE(CONTROL!$C$42, 31, 31))/1000000</f>
        <v>12.063045499999998</v>
      </c>
      <c r="V991" s="38">
        <f>(1000*CHOOSE(CONTROL!$C$42, 500, 500)*CHOOSE(CONTROL!$C$42, 0.275, 0.275)*CHOOSE(CONTROL!$C$42, 31, 31))/1000000</f>
        <v>4.2625000000000002</v>
      </c>
      <c r="W991" s="38">
        <f>(1000*CHOOSE(CONTROL!$C$42, 0.1146, 0.1146)*CHOOSE(CONTROL!$C$42, 121.5, 121.5)*CHOOSE(CONTROL!$C$42, 31, 31))/1000000</f>
        <v>0.43164089999999994</v>
      </c>
      <c r="X991" s="38">
        <f>(31*0.1790888*245000/1000000)+(31*0.2374*100000/1000000)</f>
        <v>2.0961194359999999</v>
      </c>
      <c r="Y991" s="38">
        <f>(1000*600*CHOOSE(CONTROL!$C$42, 1.0585, 1.0585)*CHOOSE(CONTROL!$C$42, 31, 31))/1000000</f>
        <v>19.688099999999999</v>
      </c>
      <c r="Z991" s="38"/>
      <c r="AA991" s="10"/>
      <c r="AB991" s="39"/>
      <c r="AC991" s="33">
        <f>(B991*194.205+C991*267.466+D991*133.845+E991*53.484+F991*40+G991*185+H991*0+I991*100+J991*300)/(194.205+267.466+133.845+53.484+0+40+185+100+300)</f>
        <v>38.639173794191521</v>
      </c>
      <c r="AD991" s="27">
        <f>(M991*'RAP TEMPLATE-GAS AVAILABILITY'!O990+N991*'RAP TEMPLATE-GAS AVAILABILITY'!P990+O991*'RAP TEMPLATE-GAS AVAILABILITY'!Q990+P991*'RAP TEMPLATE-GAS AVAILABILITY'!R990)/('RAP TEMPLATE-GAS AVAILABILITY'!O990+'RAP TEMPLATE-GAS AVAILABILITY'!P990+'RAP TEMPLATE-GAS AVAILABILITY'!Q990+'RAP TEMPLATE-GAS AVAILABILITY'!R990)</f>
        <v>38.185264748201433</v>
      </c>
    </row>
    <row r="992" spans="1:30" ht="15.75">
      <c r="A992" s="13">
        <v>71467</v>
      </c>
      <c r="B992" s="10">
        <f>CHOOSE(CONTROL!$C$42, 36.7267, 36.7267) * CHOOSE(CONTROL!$C$21, $C$9, 100%, $E$9)</f>
        <v>36.726700000000001</v>
      </c>
      <c r="C992" s="10">
        <f>CHOOSE(CONTROL!$C$42, 36.7347, 36.7347) * CHOOSE(CONTROL!$C$21, $C$9, 100%, $E$9)</f>
        <v>36.734699999999997</v>
      </c>
      <c r="D992" s="10">
        <f>CHOOSE(CONTROL!$C$42, 36.8917, 36.8917) * CHOOSE(CONTROL!$C$21, $C$9, 100%, $E$9)</f>
        <v>36.8917</v>
      </c>
      <c r="E992" s="10">
        <f>CHOOSE(CONTROL!$C$42, 36.9229, 36.9229) * CHOOSE(CONTROL!$C$21, $C$9, 100%, $E$9)</f>
        <v>36.922899999999998</v>
      </c>
      <c r="F992" s="10">
        <f>CHOOSE(CONTROL!$C$42, 36.6712, 36.6712)*CHOOSE(CONTROL!$C$21, $C$9, 100%, $E$9)</f>
        <v>36.671199999999999</v>
      </c>
      <c r="G992" s="10">
        <f>CHOOSE(CONTROL!$C$42, 36.6875, 36.6875)*CHOOSE(CONTROL!$C$21, $C$9, 100%, $E$9)</f>
        <v>36.6875</v>
      </c>
      <c r="H992" s="10">
        <f>CHOOSE(CONTROL!$C$42, 36.9113, 36.9113) * CHOOSE(CONTROL!$C$21, $C$9, 100%, $E$9)</f>
        <v>36.911299999999997</v>
      </c>
      <c r="I992" s="10">
        <f>CHOOSE(CONTROL!$C$42, 36.7054, 36.7054)* CHOOSE(CONTROL!$C$21, $C$9, 100%, $E$9)</f>
        <v>36.705399999999997</v>
      </c>
      <c r="J992" s="10">
        <f>CHOOSE(CONTROL!$C$42, 36.6638, 36.6638)* CHOOSE(CONTROL!$C$21, $C$9, 100%, $E$9)</f>
        <v>36.663800000000002</v>
      </c>
      <c r="K992" s="10">
        <f>CHOOSE(CONTROL!$C$42, 35.7198, 35.7198) * CHOOSE(CONTROL!$C$21, $C$9, 100%, $E$9)</f>
        <v>35.719799999999999</v>
      </c>
      <c r="L992" s="10">
        <f>CHOOSE(CONTROL!$C$42, 37.4983, 37.4983) * CHOOSE(CONTROL!$C$21, $C$9, 100%, $E$9)</f>
        <v>37.4983</v>
      </c>
      <c r="M992" s="10">
        <f>CHOOSE(CONTROL!$C$42, 36.1854, 36.1854) * CHOOSE(CONTROL!$C$21, $C$9, 100%, $E$9)</f>
        <v>36.185400000000001</v>
      </c>
      <c r="N992" s="10">
        <f>CHOOSE(CONTROL!$C$42, 36.2014, 36.2014) * CHOOSE(CONTROL!$C$21, $C$9, 100%, $E$9)</f>
        <v>36.2014</v>
      </c>
      <c r="O992" s="10">
        <f>CHOOSE(CONTROL!$C$42, 36.4293, 36.4293) * CHOOSE(CONTROL!$C$21, $C$9, 100%, $E$9)</f>
        <v>36.429299999999998</v>
      </c>
      <c r="P992" s="10">
        <f>CHOOSE(CONTROL!$C$42, 36.2264, 36.2264) * CHOOSE(CONTROL!$C$21, $C$9, 100%, $E$9)</f>
        <v>36.226399999999998</v>
      </c>
      <c r="Q992" s="10">
        <f>CHOOSE(CONTROL!$C$42, 37.0246, 37.0246) * CHOOSE(CONTROL!$C$21, $C$9, 100%, $E$9)</f>
        <v>37.0246</v>
      </c>
      <c r="R992" s="10">
        <f>CHOOSE(CONTROL!$C$42, 37.7042, 37.7042) * CHOOSE(CONTROL!$C$21, $C$9, 100%, $E$9)</f>
        <v>37.7042</v>
      </c>
      <c r="S992" s="10">
        <f>CHOOSE(CONTROL!$C$42, 35.577, 35.577) * CHOOSE(CONTROL!$C$21, $C$9, 100%, $E$9)</f>
        <v>35.576999999999998</v>
      </c>
      <c r="T99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992" s="38">
        <f>(1000*CHOOSE(CONTROL!$C$42, 695, 695)*CHOOSE(CONTROL!$C$42, 0.5599, 0.5599)*CHOOSE(CONTROL!$C$42, 31, 31))/1000000</f>
        <v>12.063045499999998</v>
      </c>
      <c r="V992" s="38">
        <f>(1000*CHOOSE(CONTROL!$C$42, 500, 500)*CHOOSE(CONTROL!$C$42, 0.275, 0.275)*CHOOSE(CONTROL!$C$42, 31, 31))/1000000</f>
        <v>4.2625000000000002</v>
      </c>
      <c r="W992" s="38">
        <f>(1000*CHOOSE(CONTROL!$C$42, 0.1146, 0.1146)*CHOOSE(CONTROL!$C$42, 121.5, 121.5)*CHOOSE(CONTROL!$C$42, 31, 31))/1000000</f>
        <v>0.43164089999999994</v>
      </c>
      <c r="X992" s="38">
        <f>(31*0.1790888*245000/1000000)+(31*0.2374*100000/1000000)</f>
        <v>2.0961194359999999</v>
      </c>
      <c r="Y992" s="38">
        <f>(1000*600*CHOOSE(CONTROL!$C$42, 1.0585, 1.0585)*CHOOSE(CONTROL!$C$42, 31, 31))/1000000</f>
        <v>19.688099999999999</v>
      </c>
      <c r="Z992" s="38"/>
      <c r="AA992" s="10"/>
      <c r="AB992" s="39"/>
      <c r="AC992" s="33">
        <f>(B992*194.205+C992*267.466+D992*133.845+E992*53.484+F992*40+G992*185+H992*0+I992*100+J992*300)/(194.205+267.466+133.845+53.484+0+40+185+100+300)</f>
        <v>36.730032585400316</v>
      </c>
      <c r="AD992" s="27">
        <f>(M992*'RAP TEMPLATE-GAS AVAILABILITY'!O991+N992*'RAP TEMPLATE-GAS AVAILABILITY'!P991+O992*'RAP TEMPLATE-GAS AVAILABILITY'!Q991+P992*'RAP TEMPLATE-GAS AVAILABILITY'!R991)/('RAP TEMPLATE-GAS AVAILABILITY'!O991+'RAP TEMPLATE-GAS AVAILABILITY'!P991+'RAP TEMPLATE-GAS AVAILABILITY'!Q991+'RAP TEMPLATE-GAS AVAILABILITY'!R991)</f>
        <v>36.30276474820144</v>
      </c>
    </row>
    <row r="993" spans="1:30" ht="15.75">
      <c r="A993" s="13">
        <v>71497</v>
      </c>
      <c r="B993" s="10">
        <f>CHOOSE(CONTROL!$C$42, 34.3941, 34.3941) * CHOOSE(CONTROL!$C$21, $C$9, 100%, $E$9)</f>
        <v>34.394100000000002</v>
      </c>
      <c r="C993" s="10">
        <f>CHOOSE(CONTROL!$C$42, 34.4021, 34.4021) * CHOOSE(CONTROL!$C$21, $C$9, 100%, $E$9)</f>
        <v>34.402099999999997</v>
      </c>
      <c r="D993" s="10">
        <f>CHOOSE(CONTROL!$C$42, 34.5591, 34.5591) * CHOOSE(CONTROL!$C$21, $C$9, 100%, $E$9)</f>
        <v>34.559100000000001</v>
      </c>
      <c r="E993" s="10">
        <f>CHOOSE(CONTROL!$C$42, 34.5904, 34.5904) * CHOOSE(CONTROL!$C$21, $C$9, 100%, $E$9)</f>
        <v>34.590400000000002</v>
      </c>
      <c r="F993" s="10">
        <f>CHOOSE(CONTROL!$C$42, 34.3385, 34.3385)*CHOOSE(CONTROL!$C$21, $C$9, 100%, $E$9)</f>
        <v>34.338500000000003</v>
      </c>
      <c r="G993" s="10">
        <f>CHOOSE(CONTROL!$C$42, 34.3547, 34.3547)*CHOOSE(CONTROL!$C$21, $C$9, 100%, $E$9)</f>
        <v>34.354700000000001</v>
      </c>
      <c r="H993" s="10">
        <f>CHOOSE(CONTROL!$C$42, 34.5787, 34.5787) * CHOOSE(CONTROL!$C$21, $C$9, 100%, $E$9)</f>
        <v>34.578699999999998</v>
      </c>
      <c r="I993" s="10">
        <f>CHOOSE(CONTROL!$C$42, 34.3729, 34.3729)* CHOOSE(CONTROL!$C$21, $C$9, 100%, $E$9)</f>
        <v>34.372900000000001</v>
      </c>
      <c r="J993" s="10">
        <f>CHOOSE(CONTROL!$C$42, 34.3311, 34.3311)* CHOOSE(CONTROL!$C$21, $C$9, 100%, $E$9)</f>
        <v>34.331099999999999</v>
      </c>
      <c r="K993" s="10">
        <f>CHOOSE(CONTROL!$C$42, 33.4596, 33.4596) * CHOOSE(CONTROL!$C$21, $C$9, 100%, $E$9)</f>
        <v>33.459600000000002</v>
      </c>
      <c r="L993" s="10">
        <f>CHOOSE(CONTROL!$C$42, 35.1657, 35.1657) * CHOOSE(CONTROL!$C$21, $C$9, 100%, $E$9)</f>
        <v>35.165700000000001</v>
      </c>
      <c r="M993" s="10">
        <f>CHOOSE(CONTROL!$C$42, 33.8851, 33.8851) * CHOOSE(CONTROL!$C$21, $C$9, 100%, $E$9)</f>
        <v>33.885100000000001</v>
      </c>
      <c r="N993" s="10">
        <f>CHOOSE(CONTROL!$C$42, 33.9011, 33.9011) * CHOOSE(CONTROL!$C$21, $C$9, 100%, $E$9)</f>
        <v>33.9011</v>
      </c>
      <c r="O993" s="10">
        <f>CHOOSE(CONTROL!$C$42, 34.1293, 34.1293) * CHOOSE(CONTROL!$C$21, $C$9, 100%, $E$9)</f>
        <v>34.129300000000001</v>
      </c>
      <c r="P993" s="10">
        <f>CHOOSE(CONTROL!$C$42, 33.9264, 33.9264) * CHOOSE(CONTROL!$C$21, $C$9, 100%, $E$9)</f>
        <v>33.926400000000001</v>
      </c>
      <c r="Q993" s="10">
        <f>CHOOSE(CONTROL!$C$42, 34.7246, 34.7246) * CHOOSE(CONTROL!$C$21, $C$9, 100%, $E$9)</f>
        <v>34.724600000000002</v>
      </c>
      <c r="R993" s="10">
        <f>CHOOSE(CONTROL!$C$42, 35.3984, 35.3984) * CHOOSE(CONTROL!$C$21, $C$9, 100%, $E$9)</f>
        <v>35.398400000000002</v>
      </c>
      <c r="S993" s="10">
        <f>CHOOSE(CONTROL!$C$42, 33.3184, 33.3184) * CHOOSE(CONTROL!$C$21, $C$9, 100%, $E$9)</f>
        <v>33.318399999999997</v>
      </c>
      <c r="T99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993" s="38">
        <f>(1000*CHOOSE(CONTROL!$C$42, 695, 695)*CHOOSE(CONTROL!$C$42, 0.5599, 0.5599)*CHOOSE(CONTROL!$C$42, 30, 30))/1000000</f>
        <v>11.673914999999997</v>
      </c>
      <c r="V993" s="38">
        <f>(1000*CHOOSE(CONTROL!$C$42, 500, 500)*CHOOSE(CONTROL!$C$42, 0.275, 0.275)*CHOOSE(CONTROL!$C$42, 30, 30))/1000000</f>
        <v>4.125</v>
      </c>
      <c r="W993" s="38">
        <f>(1000*CHOOSE(CONTROL!$C$42, 0.1146, 0.1146)*CHOOSE(CONTROL!$C$42, 121.5, 121.5)*CHOOSE(CONTROL!$C$42, 30, 30))/1000000</f>
        <v>0.417717</v>
      </c>
      <c r="X993" s="38">
        <f>(30*0.1790888*245000/1000000)+(30*0.2374*100000/1000000)</f>
        <v>2.0285026799999999</v>
      </c>
      <c r="Y993" s="38">
        <f>(1000*600*CHOOSE(CONTROL!$C$42, 1.0585, 1.0585)*CHOOSE(CONTROL!$C$42, 30, 30))/1000000</f>
        <v>19.053000000000001</v>
      </c>
      <c r="Z993" s="38"/>
      <c r="AA993" s="10"/>
      <c r="AB993" s="39"/>
      <c r="AC993" s="33">
        <f>(B993*194.205+C993*267.466+D993*133.845+E993*53.484+F993*40+G993*185+H993*0+I993*100+J993*300)/(194.205+267.466+133.845+53.484+0+40+185+100+300)</f>
        <v>34.397388902825753</v>
      </c>
      <c r="AD993" s="27">
        <f>(M993*'RAP TEMPLATE-GAS AVAILABILITY'!O992+N993*'RAP TEMPLATE-GAS AVAILABILITY'!P992+O993*'RAP TEMPLATE-GAS AVAILABILITY'!Q992+P993*'RAP TEMPLATE-GAS AVAILABILITY'!R992)/('RAP TEMPLATE-GAS AVAILABILITY'!O992+'RAP TEMPLATE-GAS AVAILABILITY'!P992+'RAP TEMPLATE-GAS AVAILABILITY'!Q992+'RAP TEMPLATE-GAS AVAILABILITY'!R992)</f>
        <v>34.002643884892088</v>
      </c>
    </row>
    <row r="994" spans="1:30" ht="15.75">
      <c r="A994" s="13">
        <v>71528</v>
      </c>
      <c r="B994" s="10">
        <f>CHOOSE(CONTROL!$C$42, 33.6933, 33.6933) * CHOOSE(CONTROL!$C$21, $C$9, 100%, $E$9)</f>
        <v>33.693300000000001</v>
      </c>
      <c r="C994" s="10">
        <f>CHOOSE(CONTROL!$C$42, 33.6987, 33.6987) * CHOOSE(CONTROL!$C$21, $C$9, 100%, $E$9)</f>
        <v>33.698700000000002</v>
      </c>
      <c r="D994" s="10">
        <f>CHOOSE(CONTROL!$C$42, 33.8606, 33.8606) * CHOOSE(CONTROL!$C$21, $C$9, 100%, $E$9)</f>
        <v>33.860599999999998</v>
      </c>
      <c r="E994" s="10">
        <f>CHOOSE(CONTROL!$C$42, 33.8895, 33.8895) * CHOOSE(CONTROL!$C$21, $C$9, 100%, $E$9)</f>
        <v>33.889499999999998</v>
      </c>
      <c r="F994" s="10">
        <f>CHOOSE(CONTROL!$C$42, 33.6397, 33.6397)*CHOOSE(CONTROL!$C$21, $C$9, 100%, $E$9)</f>
        <v>33.639699999999998</v>
      </c>
      <c r="G994" s="10">
        <f>CHOOSE(CONTROL!$C$42, 33.6555, 33.6555)*CHOOSE(CONTROL!$C$21, $C$9, 100%, $E$9)</f>
        <v>33.655500000000004</v>
      </c>
      <c r="H994" s="10">
        <f>CHOOSE(CONTROL!$C$42, 33.8796, 33.8796) * CHOOSE(CONTROL!$C$21, $C$9, 100%, $E$9)</f>
        <v>33.879600000000003</v>
      </c>
      <c r="I994" s="10">
        <f>CHOOSE(CONTROL!$C$42, 33.6738, 33.6738)* CHOOSE(CONTROL!$C$21, $C$9, 100%, $E$9)</f>
        <v>33.6738</v>
      </c>
      <c r="J994" s="10">
        <f>CHOOSE(CONTROL!$C$42, 33.6323, 33.6323)* CHOOSE(CONTROL!$C$21, $C$9, 100%, $E$9)</f>
        <v>33.632300000000001</v>
      </c>
      <c r="K994" s="10">
        <f>CHOOSE(CONTROL!$C$42, 32.783, 32.783) * CHOOSE(CONTROL!$C$21, $C$9, 100%, $E$9)</f>
        <v>32.783000000000001</v>
      </c>
      <c r="L994" s="10">
        <f>CHOOSE(CONTROL!$C$42, 34.4666, 34.4666) * CHOOSE(CONTROL!$C$21, $C$9, 100%, $E$9)</f>
        <v>34.4666</v>
      </c>
      <c r="M994" s="10">
        <f>CHOOSE(CONTROL!$C$42, 33.1961, 33.1961) * CHOOSE(CONTROL!$C$21, $C$9, 100%, $E$9)</f>
        <v>33.196100000000001</v>
      </c>
      <c r="N994" s="10">
        <f>CHOOSE(CONTROL!$C$42, 33.2117, 33.2117) * CHOOSE(CONTROL!$C$21, $C$9, 100%, $E$9)</f>
        <v>33.2117</v>
      </c>
      <c r="O994" s="10">
        <f>CHOOSE(CONTROL!$C$42, 33.44, 33.44) * CHOOSE(CONTROL!$C$21, $C$9, 100%, $E$9)</f>
        <v>33.44</v>
      </c>
      <c r="P994" s="10">
        <f>CHOOSE(CONTROL!$C$42, 33.2371, 33.2371) * CHOOSE(CONTROL!$C$21, $C$9, 100%, $E$9)</f>
        <v>33.237099999999998</v>
      </c>
      <c r="Q994" s="10">
        <f>CHOOSE(CONTROL!$C$42, 34.0353, 34.0353) * CHOOSE(CONTROL!$C$21, $C$9, 100%, $E$9)</f>
        <v>34.035299999999999</v>
      </c>
      <c r="R994" s="10">
        <f>CHOOSE(CONTROL!$C$42, 34.7074, 34.7074) * CHOOSE(CONTROL!$C$21, $C$9, 100%, $E$9)</f>
        <v>34.7074</v>
      </c>
      <c r="S994" s="10">
        <f>CHOOSE(CONTROL!$C$42, 32.6415, 32.6415) * CHOOSE(CONTROL!$C$21, $C$9, 100%, $E$9)</f>
        <v>32.641500000000001</v>
      </c>
      <c r="T99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994" s="38">
        <f>(1000*CHOOSE(CONTROL!$C$42, 695, 695)*CHOOSE(CONTROL!$C$42, 0.5599, 0.5599)*CHOOSE(CONTROL!$C$42, 31, 31))/1000000</f>
        <v>12.063045499999998</v>
      </c>
      <c r="V994" s="38">
        <f>(1000*CHOOSE(CONTROL!$C$42, 500, 500)*CHOOSE(CONTROL!$C$42, 0.275, 0.275)*CHOOSE(CONTROL!$C$42, 31, 31))/1000000</f>
        <v>4.2625000000000002</v>
      </c>
      <c r="W994" s="38">
        <f>(1000*CHOOSE(CONTROL!$C$42, 0.1146, 0.1146)*CHOOSE(CONTROL!$C$42, 121.5, 121.5)*CHOOSE(CONTROL!$C$42, 31, 31))/1000000</f>
        <v>0.43164089999999994</v>
      </c>
      <c r="X994" s="38">
        <f>(31*0.1790888*245000/1000000)+(31*0.2374*100000/1000000)</f>
        <v>2.0961194359999999</v>
      </c>
      <c r="Y994" s="38">
        <f>(1000*600*CHOOSE(CONTROL!$C$42, 1.0585, 1.0585)*CHOOSE(CONTROL!$C$42, 31, 31))/1000000</f>
        <v>19.688099999999999</v>
      </c>
      <c r="Z994" s="38"/>
      <c r="AA994" s="10"/>
      <c r="AB994" s="39"/>
      <c r="AC994" s="33">
        <f>(B994*131.881+C994*277.167+D994*79.08+E994*125.872+F994*40+G994*185+H994*0+I994*100+J994*300)/(131.881+277.167+79.08+125.872+0+40+185+100+300)</f>
        <v>33.701399977562552</v>
      </c>
      <c r="AD994" s="27">
        <f>(M994*'RAP TEMPLATE-GAS AVAILABILITY'!O993+N994*'RAP TEMPLATE-GAS AVAILABILITY'!P993+O994*'RAP TEMPLATE-GAS AVAILABILITY'!Q993+P994*'RAP TEMPLATE-GAS AVAILABILITY'!R993)/('RAP TEMPLATE-GAS AVAILABILITY'!O993+'RAP TEMPLATE-GAS AVAILABILITY'!P993+'RAP TEMPLATE-GAS AVAILABILITY'!Q993+'RAP TEMPLATE-GAS AVAILABILITY'!R993)</f>
        <v>33.313441726618699</v>
      </c>
    </row>
    <row r="995" spans="1:30" ht="15.75">
      <c r="A995" s="13">
        <v>71558</v>
      </c>
      <c r="B995" s="10">
        <f>CHOOSE(CONTROL!$C$42, 34.581, 34.581) * CHOOSE(CONTROL!$C$21, $C$9, 100%, $E$9)</f>
        <v>34.581000000000003</v>
      </c>
      <c r="C995" s="10">
        <f>CHOOSE(CONTROL!$C$42, 34.5861, 34.5861) * CHOOSE(CONTROL!$C$21, $C$9, 100%, $E$9)</f>
        <v>34.586100000000002</v>
      </c>
      <c r="D995" s="10">
        <f>CHOOSE(CONTROL!$C$42, 34.6107, 34.6107) * CHOOSE(CONTROL!$C$21, $C$9, 100%, $E$9)</f>
        <v>34.610700000000001</v>
      </c>
      <c r="E995" s="10">
        <f>CHOOSE(CONTROL!$C$42, 34.6445, 34.6445) * CHOOSE(CONTROL!$C$21, $C$9, 100%, $E$9)</f>
        <v>34.644500000000001</v>
      </c>
      <c r="F995" s="10">
        <f>CHOOSE(CONTROL!$C$42, 34.5493, 34.5493)*CHOOSE(CONTROL!$C$21, $C$9, 100%, $E$9)</f>
        <v>34.549300000000002</v>
      </c>
      <c r="G995" s="10">
        <f>CHOOSE(CONTROL!$C$42, 34.5653, 34.5653)*CHOOSE(CONTROL!$C$21, $C$9, 100%, $E$9)</f>
        <v>34.565300000000001</v>
      </c>
      <c r="H995" s="10">
        <f>CHOOSE(CONTROL!$C$42, 34.6334, 34.6334) * CHOOSE(CONTROL!$C$21, $C$9, 100%, $E$9)</f>
        <v>34.633400000000002</v>
      </c>
      <c r="I995" s="10">
        <f>CHOOSE(CONTROL!$C$42, 34.5959, 34.5959)* CHOOSE(CONTROL!$C$21, $C$9, 100%, $E$9)</f>
        <v>34.5959</v>
      </c>
      <c r="J995" s="10">
        <f>CHOOSE(CONTROL!$C$42, 34.5419, 34.5419)* CHOOSE(CONTROL!$C$21, $C$9, 100%, $E$9)</f>
        <v>34.541899999999998</v>
      </c>
      <c r="K995" s="10">
        <f>CHOOSE(CONTROL!$C$42, 33.6786, 33.6786) * CHOOSE(CONTROL!$C$21, $C$9, 100%, $E$9)</f>
        <v>33.678600000000003</v>
      </c>
      <c r="L995" s="10">
        <f>CHOOSE(CONTROL!$C$42, 35.2204, 35.2204) * CHOOSE(CONTROL!$C$21, $C$9, 100%, $E$9)</f>
        <v>35.220399999999998</v>
      </c>
      <c r="M995" s="10">
        <f>CHOOSE(CONTROL!$C$42, 34.093, 34.093) * CHOOSE(CONTROL!$C$21, $C$9, 100%, $E$9)</f>
        <v>34.093000000000004</v>
      </c>
      <c r="N995" s="10">
        <f>CHOOSE(CONTROL!$C$42, 34.1088, 34.1088) * CHOOSE(CONTROL!$C$21, $C$9, 100%, $E$9)</f>
        <v>34.108800000000002</v>
      </c>
      <c r="O995" s="10">
        <f>CHOOSE(CONTROL!$C$42, 34.1833, 34.1833) * CHOOSE(CONTROL!$C$21, $C$9, 100%, $E$9)</f>
        <v>34.183300000000003</v>
      </c>
      <c r="P995" s="10">
        <f>CHOOSE(CONTROL!$C$42, 34.1464, 34.1464) * CHOOSE(CONTROL!$C$21, $C$9, 100%, $E$9)</f>
        <v>34.1464</v>
      </c>
      <c r="Q995" s="10">
        <f>CHOOSE(CONTROL!$C$42, 34.7786, 34.7786) * CHOOSE(CONTROL!$C$21, $C$9, 100%, $E$9)</f>
        <v>34.778599999999997</v>
      </c>
      <c r="R995" s="10">
        <f>CHOOSE(CONTROL!$C$42, 35.4525, 35.4525) * CHOOSE(CONTROL!$C$21, $C$9, 100%, $E$9)</f>
        <v>35.452500000000001</v>
      </c>
      <c r="S995" s="10">
        <f>CHOOSE(CONTROL!$C$42, 33.5014, 33.5014) * CHOOSE(CONTROL!$C$21, $C$9, 100%, $E$9)</f>
        <v>33.501399999999997</v>
      </c>
      <c r="T99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995" s="38">
        <f>(1000*CHOOSE(CONTROL!$C$42, 695, 695)*CHOOSE(CONTROL!$C$42, 0.5599, 0.5599)*CHOOSE(CONTROL!$C$42, 30, 30))/1000000</f>
        <v>11.673914999999997</v>
      </c>
      <c r="V995" s="38">
        <f>(1000*CHOOSE(CONTROL!$C$42, 500, 500)*CHOOSE(CONTROL!$C$42, 0.275, 0.275)*CHOOSE(CONTROL!$C$42, 30, 30))/1000000</f>
        <v>4.125</v>
      </c>
      <c r="W995" s="38">
        <f>(1000*CHOOSE(CONTROL!$C$42, 0.1146, 0.1146)*CHOOSE(CONTROL!$C$42, 121.5, 121.5)*CHOOSE(CONTROL!$C$42, 30, 30))/1000000</f>
        <v>0.417717</v>
      </c>
      <c r="X995" s="38">
        <f>(30*0.1790888*100000/1000000)+(30*0.2374*100000/1000000)</f>
        <v>1.2494664</v>
      </c>
      <c r="Y995" s="38">
        <f>(1000*600*CHOOSE(CONTROL!$C$42, 1.0585, 1.0585)*CHOOSE(CONTROL!$C$42, 30, 30))/1000000</f>
        <v>19.053000000000001</v>
      </c>
      <c r="Z995" s="38"/>
      <c r="AA995" s="10"/>
      <c r="AB995" s="39"/>
      <c r="AC995" s="33">
        <f>(B995*122.58+C995*297.941+D995*89.177+E995*40.302+F995*40+G995*160+H995*0+I995*100+J995*300)/(122.58+297.941+89.177+40.302+0+40+160+100+300)</f>
        <v>34.574658463478265</v>
      </c>
      <c r="AD995" s="27">
        <f>(M995*'RAP TEMPLATE-GAS AVAILABILITY'!O994+N995*'RAP TEMPLATE-GAS AVAILABILITY'!P994+O995*'RAP TEMPLATE-GAS AVAILABILITY'!Q994+P995*'RAP TEMPLATE-GAS AVAILABILITY'!R994)/('RAP TEMPLATE-GAS AVAILABILITY'!O994+'RAP TEMPLATE-GAS AVAILABILITY'!P994+'RAP TEMPLATE-GAS AVAILABILITY'!Q994+'RAP TEMPLATE-GAS AVAILABILITY'!R994)</f>
        <v>34.142520143884894</v>
      </c>
    </row>
    <row r="996" spans="1:30" ht="15.75">
      <c r="A996" s="13">
        <v>71589</v>
      </c>
      <c r="B996" s="10">
        <f>CHOOSE(CONTROL!$C$42, 36.9398, 36.9398) * CHOOSE(CONTROL!$C$21, $C$9, 100%, $E$9)</f>
        <v>36.939799999999998</v>
      </c>
      <c r="C996" s="10">
        <f>CHOOSE(CONTROL!$C$42, 36.9449, 36.9449) * CHOOSE(CONTROL!$C$21, $C$9, 100%, $E$9)</f>
        <v>36.944899999999997</v>
      </c>
      <c r="D996" s="10">
        <f>CHOOSE(CONTROL!$C$42, 36.9696, 36.9696) * CHOOSE(CONTROL!$C$21, $C$9, 100%, $E$9)</f>
        <v>36.9696</v>
      </c>
      <c r="E996" s="10">
        <f>CHOOSE(CONTROL!$C$42, 37.0034, 37.0034) * CHOOSE(CONTROL!$C$21, $C$9, 100%, $E$9)</f>
        <v>37.003399999999999</v>
      </c>
      <c r="F996" s="10">
        <f>CHOOSE(CONTROL!$C$42, 36.91, 36.91)*CHOOSE(CONTROL!$C$21, $C$9, 100%, $E$9)</f>
        <v>36.909999999999997</v>
      </c>
      <c r="G996" s="10">
        <f>CHOOSE(CONTROL!$C$42, 36.9265, 36.9265)*CHOOSE(CONTROL!$C$21, $C$9, 100%, $E$9)</f>
        <v>36.926499999999997</v>
      </c>
      <c r="H996" s="10">
        <f>CHOOSE(CONTROL!$C$42, 36.9922, 36.9922) * CHOOSE(CONTROL!$C$21, $C$9, 100%, $E$9)</f>
        <v>36.992199999999997</v>
      </c>
      <c r="I996" s="10">
        <f>CHOOSE(CONTROL!$C$42, 36.9548, 36.9548)* CHOOSE(CONTROL!$C$21, $C$9, 100%, $E$9)</f>
        <v>36.954799999999999</v>
      </c>
      <c r="J996" s="10">
        <f>CHOOSE(CONTROL!$C$42, 36.9026, 36.9026)* CHOOSE(CONTROL!$C$21, $C$9, 100%, $E$9)</f>
        <v>36.9026</v>
      </c>
      <c r="K996" s="10">
        <f>CHOOSE(CONTROL!$C$42, 35.9679, 35.9679) * CHOOSE(CONTROL!$C$21, $C$9, 100%, $E$9)</f>
        <v>35.9679</v>
      </c>
      <c r="L996" s="10">
        <f>CHOOSE(CONTROL!$C$42, 37.5792, 37.5792) * CHOOSE(CONTROL!$C$21, $C$9, 100%, $E$9)</f>
        <v>37.5792</v>
      </c>
      <c r="M996" s="10">
        <f>CHOOSE(CONTROL!$C$42, 36.4208, 36.4208) * CHOOSE(CONTROL!$C$21, $C$9, 100%, $E$9)</f>
        <v>36.4208</v>
      </c>
      <c r="N996" s="10">
        <f>CHOOSE(CONTROL!$C$42, 36.4371, 36.4371) * CHOOSE(CONTROL!$C$21, $C$9, 100%, $E$9)</f>
        <v>36.437100000000001</v>
      </c>
      <c r="O996" s="10">
        <f>CHOOSE(CONTROL!$C$42, 36.5092, 36.5092) * CHOOSE(CONTROL!$C$21, $C$9, 100%, $E$9)</f>
        <v>36.5092</v>
      </c>
      <c r="P996" s="10">
        <f>CHOOSE(CONTROL!$C$42, 36.4723, 36.4723) * CHOOSE(CONTROL!$C$21, $C$9, 100%, $E$9)</f>
        <v>36.472299999999997</v>
      </c>
      <c r="Q996" s="10">
        <f>CHOOSE(CONTROL!$C$42, 37.1045, 37.1045) * CHOOSE(CONTROL!$C$21, $C$9, 100%, $E$9)</f>
        <v>37.104500000000002</v>
      </c>
      <c r="R996" s="10">
        <f>CHOOSE(CONTROL!$C$42, 37.7843, 37.7843) * CHOOSE(CONTROL!$C$21, $C$9, 100%, $E$9)</f>
        <v>37.784300000000002</v>
      </c>
      <c r="S996" s="10">
        <f>CHOOSE(CONTROL!$C$42, 35.7854, 35.7854) * CHOOSE(CONTROL!$C$21, $C$9, 100%, $E$9)</f>
        <v>35.785400000000003</v>
      </c>
      <c r="T99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996" s="38">
        <f>(1000*CHOOSE(CONTROL!$C$42, 695, 695)*CHOOSE(CONTROL!$C$42, 0.5599, 0.5599)*CHOOSE(CONTROL!$C$42, 31, 31))/1000000</f>
        <v>12.063045499999998</v>
      </c>
      <c r="V996" s="38">
        <f>(1000*CHOOSE(CONTROL!$C$42, 500, 500)*CHOOSE(CONTROL!$C$42, 0.275, 0.275)*CHOOSE(CONTROL!$C$42, 31, 31))/1000000</f>
        <v>4.2625000000000002</v>
      </c>
      <c r="W996" s="38">
        <f>(1000*CHOOSE(CONTROL!$C$42, 0.1146, 0.1146)*CHOOSE(CONTROL!$C$42, 121.5, 121.5)*CHOOSE(CONTROL!$C$42, 31, 31))/1000000</f>
        <v>0.43164089999999994</v>
      </c>
      <c r="X996" s="38">
        <f>(31*0.1790888*100000/1000000)+(31*0.2374*100000/1000000)</f>
        <v>1.2911152800000001</v>
      </c>
      <c r="Y996" s="38">
        <f>(1000*600*CHOOSE(CONTROL!$C$42, 1.0585, 1.0585)*CHOOSE(CONTROL!$C$42, 31, 31))/1000000</f>
        <v>19.688099999999999</v>
      </c>
      <c r="Z996" s="38"/>
      <c r="AA996" s="10"/>
      <c r="AB996" s="39"/>
      <c r="AC996" s="33">
        <f>(B996*122.58+C996*297.941+D996*89.177+E996*40.302+F996*40+G996*160+H996*0+I996*100+J996*300)/(122.58+297.941+89.177+40.302+0+40+160+100+300)</f>
        <v>36.934374070347829</v>
      </c>
      <c r="AD996" s="27">
        <f>(M996*'RAP TEMPLATE-GAS AVAILABILITY'!O995+N996*'RAP TEMPLATE-GAS AVAILABILITY'!P995+O996*'RAP TEMPLATE-GAS AVAILABILITY'!Q995+P996*'RAP TEMPLATE-GAS AVAILABILITY'!R995)/('RAP TEMPLATE-GAS AVAILABILITY'!O995+'RAP TEMPLATE-GAS AVAILABILITY'!P995+'RAP TEMPLATE-GAS AVAILABILITY'!Q995+'RAP TEMPLATE-GAS AVAILABILITY'!R995)</f>
        <v>36.469214388489206</v>
      </c>
    </row>
    <row r="997" spans="1:30" ht="15.75">
      <c r="A997" s="13">
        <v>71620</v>
      </c>
      <c r="B997" s="10">
        <f>CHOOSE(CONTROL!$C$42, 39.4341, 39.4341) * CHOOSE(CONTROL!$C$21, $C$9, 100%, $E$9)</f>
        <v>39.434100000000001</v>
      </c>
      <c r="C997" s="10">
        <f>CHOOSE(CONTROL!$C$42, 39.4392, 39.4392) * CHOOSE(CONTROL!$C$21, $C$9, 100%, $E$9)</f>
        <v>39.4392</v>
      </c>
      <c r="D997" s="10">
        <f>CHOOSE(CONTROL!$C$42, 39.4716, 39.4716) * CHOOSE(CONTROL!$C$21, $C$9, 100%, $E$9)</f>
        <v>39.471600000000002</v>
      </c>
      <c r="E997" s="10">
        <f>CHOOSE(CONTROL!$C$42, 39.5054, 39.5054) * CHOOSE(CONTROL!$C$21, $C$9, 100%, $E$9)</f>
        <v>39.505400000000002</v>
      </c>
      <c r="F997" s="10">
        <f>CHOOSE(CONTROL!$C$42, 39.4183, 39.4183)*CHOOSE(CONTROL!$C$21, $C$9, 100%, $E$9)</f>
        <v>39.418300000000002</v>
      </c>
      <c r="G997" s="10">
        <f>CHOOSE(CONTROL!$C$42, 39.4363, 39.4363)*CHOOSE(CONTROL!$C$21, $C$9, 100%, $E$9)</f>
        <v>39.436300000000003</v>
      </c>
      <c r="H997" s="10">
        <f>CHOOSE(CONTROL!$C$42, 39.4943, 39.4943) * CHOOSE(CONTROL!$C$21, $C$9, 100%, $E$9)</f>
        <v>39.494300000000003</v>
      </c>
      <c r="I997" s="10">
        <f>CHOOSE(CONTROL!$C$42, 39.4475, 39.4475)* CHOOSE(CONTROL!$C$21, $C$9, 100%, $E$9)</f>
        <v>39.447499999999998</v>
      </c>
      <c r="J997" s="10">
        <f>CHOOSE(CONTROL!$C$42, 39.4109, 39.4109)* CHOOSE(CONTROL!$C$21, $C$9, 100%, $E$9)</f>
        <v>39.410899999999998</v>
      </c>
      <c r="K997" s="10">
        <f>CHOOSE(CONTROL!$C$42, 38.3968, 38.3968) * CHOOSE(CONTROL!$C$21, $C$9, 100%, $E$9)</f>
        <v>38.396799999999999</v>
      </c>
      <c r="L997" s="10">
        <f>CHOOSE(CONTROL!$C$42, 40.0813, 40.0813) * CHOOSE(CONTROL!$C$21, $C$9, 100%, $E$9)</f>
        <v>40.081299999999999</v>
      </c>
      <c r="M997" s="10">
        <f>CHOOSE(CONTROL!$C$42, 38.8941, 38.8941) * CHOOSE(CONTROL!$C$21, $C$9, 100%, $E$9)</f>
        <v>38.894100000000002</v>
      </c>
      <c r="N997" s="10">
        <f>CHOOSE(CONTROL!$C$42, 38.9119, 38.9119) * CHOOSE(CONTROL!$C$21, $C$9, 100%, $E$9)</f>
        <v>38.911900000000003</v>
      </c>
      <c r="O997" s="10">
        <f>CHOOSE(CONTROL!$C$42, 38.9764, 38.9764) * CHOOSE(CONTROL!$C$21, $C$9, 100%, $E$9)</f>
        <v>38.976399999999998</v>
      </c>
      <c r="P997" s="10">
        <f>CHOOSE(CONTROL!$C$42, 38.9303, 38.9303) * CHOOSE(CONTROL!$C$21, $C$9, 100%, $E$9)</f>
        <v>38.930300000000003</v>
      </c>
      <c r="Q997" s="10">
        <f>CHOOSE(CONTROL!$C$42, 39.5717, 39.5717) * CHOOSE(CONTROL!$C$21, $C$9, 100%, $E$9)</f>
        <v>39.5717</v>
      </c>
      <c r="R997" s="10">
        <f>CHOOSE(CONTROL!$C$42, 40.2576, 40.2576) * CHOOSE(CONTROL!$C$21, $C$9, 100%, $E$9)</f>
        <v>40.257599999999996</v>
      </c>
      <c r="S997" s="10">
        <f>CHOOSE(CONTROL!$C$42, 38.2007, 38.2007) * CHOOSE(CONTROL!$C$21, $C$9, 100%, $E$9)</f>
        <v>38.200699999999998</v>
      </c>
      <c r="T997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997" s="38">
        <f>(1000*CHOOSE(CONTROL!$C$42, 695, 695)*CHOOSE(CONTROL!$C$42, 0.5599, 0.5599)*CHOOSE(CONTROL!$C$42, 31, 31))/1000000</f>
        <v>12.063045499999998</v>
      </c>
      <c r="V997" s="38">
        <f>(1000*CHOOSE(CONTROL!$C$42, 500, 500)*CHOOSE(CONTROL!$C$42, 0.275, 0.275)*CHOOSE(CONTROL!$C$42, 31, 31))/1000000</f>
        <v>4.2625000000000002</v>
      </c>
      <c r="W997" s="38">
        <f>(1000*CHOOSE(CONTROL!$C$42, 0.1146, 0.1146)*CHOOSE(CONTROL!$C$42, 121.5, 121.5)*CHOOSE(CONTROL!$C$42, 31, 31))/1000000</f>
        <v>0.43164089999999994</v>
      </c>
      <c r="X997" s="38">
        <f>(31*0.1790888*100000/1000000)+(31*0.2374*100000/1000000)</f>
        <v>1.2911152800000001</v>
      </c>
      <c r="Y997" s="38">
        <f>(1000*600*CHOOSE(CONTROL!$C$42, 1.0585, 1.0585)*CHOOSE(CONTROL!$C$42, 31, 31))/1000000</f>
        <v>19.688099999999999</v>
      </c>
      <c r="Z997" s="38"/>
      <c r="AA997" s="10"/>
      <c r="AB997" s="39"/>
      <c r="AC997" s="33">
        <f>(B997*122.58+C997*297.941+D997*89.177+E997*40.302+F997*40+G997*160+H997*0+I997*100+J997*300)/(122.58+297.941+89.177+40.302+0+40+160+100+300)</f>
        <v>39.435697538434781</v>
      </c>
      <c r="AD997" s="27">
        <f>(M997*'RAP TEMPLATE-GAS AVAILABILITY'!O996+N997*'RAP TEMPLATE-GAS AVAILABILITY'!P996+O997*'RAP TEMPLATE-GAS AVAILABILITY'!Q996+P997*'RAP TEMPLATE-GAS AVAILABILITY'!R996)/('RAP TEMPLATE-GAS AVAILABILITY'!O996+'RAP TEMPLATE-GAS AVAILABILITY'!P996+'RAP TEMPLATE-GAS AVAILABILITY'!Q996+'RAP TEMPLATE-GAS AVAILABILITY'!R996)</f>
        <v>38.937634532374098</v>
      </c>
    </row>
    <row r="998" spans="1:30" ht="15.75">
      <c r="A998" s="13">
        <v>71649</v>
      </c>
      <c r="B998" s="10">
        <f>CHOOSE(CONTROL!$C$42, 40.1364, 40.1364) * CHOOSE(CONTROL!$C$21, $C$9, 100%, $E$9)</f>
        <v>40.136400000000002</v>
      </c>
      <c r="C998" s="10">
        <f>CHOOSE(CONTROL!$C$42, 40.1415, 40.1415) * CHOOSE(CONTROL!$C$21, $C$9, 100%, $E$9)</f>
        <v>40.141500000000001</v>
      </c>
      <c r="D998" s="10">
        <f>CHOOSE(CONTROL!$C$42, 40.1739, 40.1739) * CHOOSE(CONTROL!$C$21, $C$9, 100%, $E$9)</f>
        <v>40.173900000000003</v>
      </c>
      <c r="E998" s="10">
        <f>CHOOSE(CONTROL!$C$42, 40.2077, 40.2077) * CHOOSE(CONTROL!$C$21, $C$9, 100%, $E$9)</f>
        <v>40.207700000000003</v>
      </c>
      <c r="F998" s="10">
        <f>CHOOSE(CONTROL!$C$42, 40.1201, 40.1201)*CHOOSE(CONTROL!$C$21, $C$9, 100%, $E$9)</f>
        <v>40.120100000000001</v>
      </c>
      <c r="G998" s="10">
        <f>CHOOSE(CONTROL!$C$42, 40.138, 40.138)*CHOOSE(CONTROL!$C$21, $C$9, 100%, $E$9)</f>
        <v>40.137999999999998</v>
      </c>
      <c r="H998" s="10">
        <f>CHOOSE(CONTROL!$C$42, 40.1966, 40.1966) * CHOOSE(CONTROL!$C$21, $C$9, 100%, $E$9)</f>
        <v>40.196599999999997</v>
      </c>
      <c r="I998" s="10">
        <f>CHOOSE(CONTROL!$C$42, 40.1498, 40.1498)* CHOOSE(CONTROL!$C$21, $C$9, 100%, $E$9)</f>
        <v>40.149799999999999</v>
      </c>
      <c r="J998" s="10">
        <f>CHOOSE(CONTROL!$C$42, 40.1127, 40.1127)* CHOOSE(CONTROL!$C$21, $C$9, 100%, $E$9)</f>
        <v>40.112699999999997</v>
      </c>
      <c r="K998" s="10">
        <f>CHOOSE(CONTROL!$C$42, 39.0762, 39.0762) * CHOOSE(CONTROL!$C$21, $C$9, 100%, $E$9)</f>
        <v>39.0762</v>
      </c>
      <c r="L998" s="10">
        <f>CHOOSE(CONTROL!$C$42, 40.7836, 40.7836) * CHOOSE(CONTROL!$C$21, $C$9, 100%, $E$9)</f>
        <v>40.7836</v>
      </c>
      <c r="M998" s="10">
        <f>CHOOSE(CONTROL!$C$42, 39.5861, 39.5861) * CHOOSE(CONTROL!$C$21, $C$9, 100%, $E$9)</f>
        <v>39.586100000000002</v>
      </c>
      <c r="N998" s="10">
        <f>CHOOSE(CONTROL!$C$42, 39.6038, 39.6038) * CHOOSE(CONTROL!$C$21, $C$9, 100%, $E$9)</f>
        <v>39.6038</v>
      </c>
      <c r="O998" s="10">
        <f>CHOOSE(CONTROL!$C$42, 39.6688, 39.6688) * CHOOSE(CONTROL!$C$21, $C$9, 100%, $E$9)</f>
        <v>39.668799999999997</v>
      </c>
      <c r="P998" s="10">
        <f>CHOOSE(CONTROL!$C$42, 39.6228, 39.6228) * CHOOSE(CONTROL!$C$21, $C$9, 100%, $E$9)</f>
        <v>39.622799999999998</v>
      </c>
      <c r="Q998" s="10">
        <f>CHOOSE(CONTROL!$C$42, 40.2641, 40.2641) * CHOOSE(CONTROL!$C$21, $C$9, 100%, $E$9)</f>
        <v>40.264099999999999</v>
      </c>
      <c r="R998" s="10">
        <f>CHOOSE(CONTROL!$C$42, 40.9518, 40.9518) * CHOOSE(CONTROL!$C$21, $C$9, 100%, $E$9)</f>
        <v>40.951799999999999</v>
      </c>
      <c r="S998" s="10">
        <f>CHOOSE(CONTROL!$C$42, 38.8807, 38.8807) * CHOOSE(CONTROL!$C$21, $C$9, 100%, $E$9)</f>
        <v>38.880699999999997</v>
      </c>
      <c r="T998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998" s="38">
        <f>(1000*CHOOSE(CONTROL!$C$42, 695, 695)*CHOOSE(CONTROL!$C$42, 0.5599, 0.5599)*CHOOSE(CONTROL!$C$42, 29, 29))/1000000</f>
        <v>11.284784499999999</v>
      </c>
      <c r="V998" s="38">
        <f>(1000*CHOOSE(CONTROL!$C$42, 500, 500)*CHOOSE(CONTROL!$C$42, 0.275, 0.275)*CHOOSE(CONTROL!$C$42, 29, 29))/1000000</f>
        <v>3.9874999999999998</v>
      </c>
      <c r="W998" s="38">
        <f>(1000*CHOOSE(CONTROL!$C$42, 0.1146, 0.1146)*CHOOSE(CONTROL!$C$42, 121.5, 121.5)*CHOOSE(CONTROL!$C$42, 29, 29))/1000000</f>
        <v>0.40379309999999996</v>
      </c>
      <c r="X998" s="38">
        <f>(29*0.1790888*100000/1000000)+(29*0.2374*100000/1000000)</f>
        <v>1.2078175199999999</v>
      </c>
      <c r="Y998" s="38">
        <f>(1000*600*CHOOSE(CONTROL!$C$42, 1.0585, 1.0585)*CHOOSE(CONTROL!$C$42, 29, 29))/1000000</f>
        <v>18.417899999999999</v>
      </c>
      <c r="Z998" s="38"/>
      <c r="AA998" s="10"/>
      <c r="AB998" s="39"/>
      <c r="AC998" s="33">
        <f>(B998*122.58+C998*297.941+D998*89.177+E998*40.302+F998*40+G998*160+H998*0+I998*100+J998*300)/(122.58+297.941+89.177+40.302+0+40+160+100+300)</f>
        <v>40.137766234086953</v>
      </c>
      <c r="AD998" s="27">
        <f>(M998*'RAP TEMPLATE-GAS AVAILABILITY'!O997+N998*'RAP TEMPLATE-GAS AVAILABILITY'!P997+O998*'RAP TEMPLATE-GAS AVAILABILITY'!Q997+P998*'RAP TEMPLATE-GAS AVAILABILITY'!R997)/('RAP TEMPLATE-GAS AVAILABILITY'!O997+'RAP TEMPLATE-GAS AVAILABILITY'!P997+'RAP TEMPLATE-GAS AVAILABILITY'!Q997+'RAP TEMPLATE-GAS AVAILABILITY'!R997)</f>
        <v>39.629882014388485</v>
      </c>
    </row>
    <row r="999" spans="1:30" ht="15.75">
      <c r="A999" s="13">
        <v>71680</v>
      </c>
      <c r="B999" s="10">
        <f>CHOOSE(CONTROL!$C$42, 38.9964, 38.9964) * CHOOSE(CONTROL!$C$21, $C$9, 100%, $E$9)</f>
        <v>38.996400000000001</v>
      </c>
      <c r="C999" s="10">
        <f>CHOOSE(CONTROL!$C$42, 39.0015, 39.0015) * CHOOSE(CONTROL!$C$21, $C$9, 100%, $E$9)</f>
        <v>39.0015</v>
      </c>
      <c r="D999" s="10">
        <f>CHOOSE(CONTROL!$C$42, 39.0339, 39.0339) * CHOOSE(CONTROL!$C$21, $C$9, 100%, $E$9)</f>
        <v>39.033900000000003</v>
      </c>
      <c r="E999" s="10">
        <f>CHOOSE(CONTROL!$C$42, 39.0678, 39.0678) * CHOOSE(CONTROL!$C$21, $C$9, 100%, $E$9)</f>
        <v>39.067799999999998</v>
      </c>
      <c r="F999" s="10">
        <f>CHOOSE(CONTROL!$C$42, 38.9787, 38.9787)*CHOOSE(CONTROL!$C$21, $C$9, 100%, $E$9)</f>
        <v>38.978700000000003</v>
      </c>
      <c r="G999" s="10">
        <f>CHOOSE(CONTROL!$C$42, 38.9962, 38.9962)*CHOOSE(CONTROL!$C$21, $C$9, 100%, $E$9)</f>
        <v>38.996200000000002</v>
      </c>
      <c r="H999" s="10">
        <f>CHOOSE(CONTROL!$C$42, 39.0566, 39.0566) * CHOOSE(CONTROL!$C$21, $C$9, 100%, $E$9)</f>
        <v>39.056600000000003</v>
      </c>
      <c r="I999" s="10">
        <f>CHOOSE(CONTROL!$C$42, 39.0099, 39.0099)* CHOOSE(CONTROL!$C$21, $C$9, 100%, $E$9)</f>
        <v>39.009900000000002</v>
      </c>
      <c r="J999" s="10">
        <f>CHOOSE(CONTROL!$C$42, 38.9713, 38.9713)* CHOOSE(CONTROL!$C$21, $C$9, 100%, $E$9)</f>
        <v>38.971299999999999</v>
      </c>
      <c r="K999" s="10">
        <f>CHOOSE(CONTROL!$C$42, 37.9686, 37.9686) * CHOOSE(CONTROL!$C$21, $C$9, 100%, $E$9)</f>
        <v>37.968600000000002</v>
      </c>
      <c r="L999" s="10">
        <f>CHOOSE(CONTROL!$C$42, 39.6436, 39.6436) * CHOOSE(CONTROL!$C$21, $C$9, 100%, $E$9)</f>
        <v>39.643599999999999</v>
      </c>
      <c r="M999" s="10">
        <f>CHOOSE(CONTROL!$C$42, 38.4606, 38.4606) * CHOOSE(CONTROL!$C$21, $C$9, 100%, $E$9)</f>
        <v>38.460599999999999</v>
      </c>
      <c r="N999" s="10">
        <f>CHOOSE(CONTROL!$C$42, 38.4779, 38.4779) * CHOOSE(CONTROL!$C$21, $C$9, 100%, $E$9)</f>
        <v>38.477899999999998</v>
      </c>
      <c r="O999" s="10">
        <f>CHOOSE(CONTROL!$C$42, 38.5448, 38.5448) * CHOOSE(CONTROL!$C$21, $C$9, 100%, $E$9)</f>
        <v>38.544800000000002</v>
      </c>
      <c r="P999" s="10">
        <f>CHOOSE(CONTROL!$C$42, 38.4987, 38.4987) * CHOOSE(CONTROL!$C$21, $C$9, 100%, $E$9)</f>
        <v>38.498699999999999</v>
      </c>
      <c r="Q999" s="10">
        <f>CHOOSE(CONTROL!$C$42, 39.1401, 39.1401) * CHOOSE(CONTROL!$C$21, $C$9, 100%, $E$9)</f>
        <v>39.140099999999997</v>
      </c>
      <c r="R999" s="10">
        <f>CHOOSE(CONTROL!$C$42, 39.8249, 39.8249) * CHOOSE(CONTROL!$C$21, $C$9, 100%, $E$9)</f>
        <v>39.8249</v>
      </c>
      <c r="S999" s="10">
        <f>CHOOSE(CONTROL!$C$42, 37.7769, 37.7769) * CHOOSE(CONTROL!$C$21, $C$9, 100%, $E$9)</f>
        <v>37.776899999999998</v>
      </c>
      <c r="T999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999" s="38">
        <f>(1000*CHOOSE(CONTROL!$C$42, 695, 695)*CHOOSE(CONTROL!$C$42, 0.5599, 0.5599)*CHOOSE(CONTROL!$C$42, 31, 31))/1000000</f>
        <v>12.063045499999998</v>
      </c>
      <c r="V999" s="38">
        <f>(1000*CHOOSE(CONTROL!$C$42, 500, 500)*CHOOSE(CONTROL!$C$42, 0.275, 0.275)*CHOOSE(CONTROL!$C$42, 31, 31))/1000000</f>
        <v>4.2625000000000002</v>
      </c>
      <c r="W999" s="38">
        <f>(1000*CHOOSE(CONTROL!$C$42, 0.1146, 0.1146)*CHOOSE(CONTROL!$C$42, 121.5, 121.5)*CHOOSE(CONTROL!$C$42, 31, 31))/1000000</f>
        <v>0.43164089999999994</v>
      </c>
      <c r="X999" s="38">
        <f>(31*0.1790888*100000/1000000)+(31*0.2374*100000/1000000)</f>
        <v>1.2911152800000001</v>
      </c>
      <c r="Y999" s="38">
        <f>(1000*600*CHOOSE(CONTROL!$C$42, 1.0585, 1.0585)*CHOOSE(CONTROL!$C$42, 31, 31))/1000000</f>
        <v>19.688099999999999</v>
      </c>
      <c r="Z999" s="38"/>
      <c r="AA999" s="10"/>
      <c r="AB999" s="39"/>
      <c r="AC999" s="33">
        <f>(B999*122.58+C999*297.941+D999*89.177+E999*40.302+F999*40+G999*160+H999*0+I999*100+J999*300)/(122.58+297.941+89.177+40.302+0+40+160+100+300)</f>
        <v>38.997114086434784</v>
      </c>
      <c r="AD999" s="27">
        <f>(M999*'RAP TEMPLATE-GAS AVAILABILITY'!O998+N999*'RAP TEMPLATE-GAS AVAILABILITY'!P998+O999*'RAP TEMPLATE-GAS AVAILABILITY'!Q998+P999*'RAP TEMPLATE-GAS AVAILABILITY'!R998)/('RAP TEMPLATE-GAS AVAILABILITY'!O998+'RAP TEMPLATE-GAS AVAILABILITY'!P998+'RAP TEMPLATE-GAS AVAILABILITY'!Q998+'RAP TEMPLATE-GAS AVAILABILITY'!R998)</f>
        <v>38.505240287769787</v>
      </c>
    </row>
    <row r="1000" spans="1:30" ht="15.75">
      <c r="A1000" s="13">
        <v>71710</v>
      </c>
      <c r="B1000" s="10">
        <f>CHOOSE(CONTROL!$C$42, 38.8804, 38.8804) * CHOOSE(CONTROL!$C$21, $C$9, 100%, $E$9)</f>
        <v>38.880400000000002</v>
      </c>
      <c r="C1000" s="10">
        <f>CHOOSE(CONTROL!$C$42, 38.8849, 38.8849) * CHOOSE(CONTROL!$C$21, $C$9, 100%, $E$9)</f>
        <v>38.884900000000002</v>
      </c>
      <c r="D1000" s="10">
        <f>CHOOSE(CONTROL!$C$42, 39.045, 39.045) * CHOOSE(CONTROL!$C$21, $C$9, 100%, $E$9)</f>
        <v>39.045000000000002</v>
      </c>
      <c r="E1000" s="10">
        <f>CHOOSE(CONTROL!$C$42, 39.0769, 39.0769) * CHOOSE(CONTROL!$C$21, $C$9, 100%, $E$9)</f>
        <v>39.076900000000002</v>
      </c>
      <c r="F1000" s="10">
        <f>CHOOSE(CONTROL!$C$42, 38.8265, 38.8265)*CHOOSE(CONTROL!$C$21, $C$9, 100%, $E$9)</f>
        <v>38.826500000000003</v>
      </c>
      <c r="G1000" s="10">
        <f>CHOOSE(CONTROL!$C$42, 38.8423, 38.8423)*CHOOSE(CONTROL!$C$21, $C$9, 100%, $E$9)</f>
        <v>38.842300000000002</v>
      </c>
      <c r="H1000" s="10">
        <f>CHOOSE(CONTROL!$C$42, 39.0663, 39.0663) * CHOOSE(CONTROL!$C$21, $C$9, 100%, $E$9)</f>
        <v>39.066299999999998</v>
      </c>
      <c r="I1000" s="10">
        <f>CHOOSE(CONTROL!$C$42, 38.8605, 38.8605)* CHOOSE(CONTROL!$C$21, $C$9, 100%, $E$9)</f>
        <v>38.860500000000002</v>
      </c>
      <c r="J1000" s="10">
        <f>CHOOSE(CONTROL!$C$42, 38.8191, 38.8191)* CHOOSE(CONTROL!$C$21, $C$9, 100%, $E$9)</f>
        <v>38.819099999999999</v>
      </c>
      <c r="K1000" s="10">
        <f>CHOOSE(CONTROL!$C$42, 37.808, 37.808) * CHOOSE(CONTROL!$C$21, $C$9, 100%, $E$9)</f>
        <v>37.808</v>
      </c>
      <c r="L1000" s="10">
        <f>CHOOSE(CONTROL!$C$42, 39.6533, 39.6533) * CHOOSE(CONTROL!$C$21, $C$9, 100%, $E$9)</f>
        <v>39.653300000000002</v>
      </c>
      <c r="M1000" s="10">
        <f>CHOOSE(CONTROL!$C$42, 38.3105, 38.3105) * CHOOSE(CONTROL!$C$21, $C$9, 100%, $E$9)</f>
        <v>38.310499999999998</v>
      </c>
      <c r="N1000" s="10">
        <f>CHOOSE(CONTROL!$C$42, 38.3261, 38.3261) * CHOOSE(CONTROL!$C$21, $C$9, 100%, $E$9)</f>
        <v>38.326099999999997</v>
      </c>
      <c r="O1000" s="10">
        <f>CHOOSE(CONTROL!$C$42, 38.5543, 38.5543) * CHOOSE(CONTROL!$C$21, $C$9, 100%, $E$9)</f>
        <v>38.554299999999998</v>
      </c>
      <c r="P1000" s="10">
        <f>CHOOSE(CONTROL!$C$42, 38.3514, 38.3514) * CHOOSE(CONTROL!$C$21, $C$9, 100%, $E$9)</f>
        <v>38.351399999999998</v>
      </c>
      <c r="Q1000" s="10">
        <f>CHOOSE(CONTROL!$C$42, 39.1496, 39.1496) * CHOOSE(CONTROL!$C$21, $C$9, 100%, $E$9)</f>
        <v>39.1496</v>
      </c>
      <c r="R1000" s="10">
        <f>CHOOSE(CONTROL!$C$42, 39.8345, 39.8345) * CHOOSE(CONTROL!$C$21, $C$9, 100%, $E$9)</f>
        <v>39.834499999999998</v>
      </c>
      <c r="S1000" s="10">
        <f>CHOOSE(CONTROL!$C$42, 37.6638, 37.6638) * CHOOSE(CONTROL!$C$21, $C$9, 100%, $E$9)</f>
        <v>37.663800000000002</v>
      </c>
      <c r="T1000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00" s="38">
        <f>(1000*CHOOSE(CONTROL!$C$42, 695, 695)*CHOOSE(CONTROL!$C$42, 0.5599, 0.5599)*CHOOSE(CONTROL!$C$42, 30, 30))/1000000</f>
        <v>11.673914999999997</v>
      </c>
      <c r="V1000" s="38">
        <f>(1000*CHOOSE(CONTROL!$C$42, 500, 500)*CHOOSE(CONTROL!$C$42, 0.275, 0.275)*CHOOSE(CONTROL!$C$42, 30, 30))/1000000</f>
        <v>4.125</v>
      </c>
      <c r="W1000" s="38">
        <f>(1000*CHOOSE(CONTROL!$C$42, 0.1146, 0.1146)*CHOOSE(CONTROL!$C$42, 121.5, 121.5)*CHOOSE(CONTROL!$C$42, 30, 30))/1000000</f>
        <v>0.417717</v>
      </c>
      <c r="X1000" s="38">
        <f>(30*0.1790888*245000/1000000)+(30*0.2374*100000/1000000)</f>
        <v>2.0285026799999999</v>
      </c>
      <c r="Y1000" s="38">
        <f>(1000*600*CHOOSE(CONTROL!$C$42, 1.0585, 1.0585)*CHOOSE(CONTROL!$C$42, 30, 30))/1000000</f>
        <v>19.053000000000001</v>
      </c>
      <c r="Z1000" s="38"/>
      <c r="AA1000" s="10"/>
      <c r="AB1000" s="39"/>
      <c r="AC1000" s="33">
        <f>(B1000*141.293+C1000*267.993+D1000*115.016+E1000*89.698+F1000*40+G1000*185+H1000*0+I1000*100+J1000*300)/(141.293+267.993+115.016+89.698+0+40+185+100+300)</f>
        <v>38.887001096933012</v>
      </c>
      <c r="AD1000" s="27">
        <f>(M1000*'RAP TEMPLATE-GAS AVAILABILITY'!O999+N1000*'RAP TEMPLATE-GAS AVAILABILITY'!P999+O1000*'RAP TEMPLATE-GAS AVAILABILITY'!Q999+P1000*'RAP TEMPLATE-GAS AVAILABILITY'!R999)/('RAP TEMPLATE-GAS AVAILABILITY'!O999+'RAP TEMPLATE-GAS AVAILABILITY'!P999+'RAP TEMPLATE-GAS AVAILABILITY'!Q999+'RAP TEMPLATE-GAS AVAILABILITY'!R999)</f>
        <v>38.427782014388491</v>
      </c>
    </row>
    <row r="1001" spans="1:30" ht="15.75">
      <c r="A1001" s="13">
        <v>71741</v>
      </c>
      <c r="B1001" s="10">
        <f>CHOOSE(CONTROL!$C$42, 39.2255, 39.2255) * CHOOSE(CONTROL!$C$21, $C$9, 100%, $E$9)</f>
        <v>39.225499999999997</v>
      </c>
      <c r="C1001" s="10">
        <f>CHOOSE(CONTROL!$C$42, 39.2335, 39.2335) * CHOOSE(CONTROL!$C$21, $C$9, 100%, $E$9)</f>
        <v>39.233499999999999</v>
      </c>
      <c r="D1001" s="10">
        <f>CHOOSE(CONTROL!$C$42, 39.3905, 39.3905) * CHOOSE(CONTROL!$C$21, $C$9, 100%, $E$9)</f>
        <v>39.390500000000003</v>
      </c>
      <c r="E1001" s="10">
        <f>CHOOSE(CONTROL!$C$42, 39.4218, 39.4218) * CHOOSE(CONTROL!$C$21, $C$9, 100%, $E$9)</f>
        <v>39.421799999999998</v>
      </c>
      <c r="F1001" s="10">
        <f>CHOOSE(CONTROL!$C$42, 39.1696, 39.1696)*CHOOSE(CONTROL!$C$21, $C$9, 100%, $E$9)</f>
        <v>39.169600000000003</v>
      </c>
      <c r="G1001" s="10">
        <f>CHOOSE(CONTROL!$C$42, 39.1857, 39.1857)*CHOOSE(CONTROL!$C$21, $C$9, 100%, $E$9)</f>
        <v>39.185699999999997</v>
      </c>
      <c r="H1001" s="10">
        <f>CHOOSE(CONTROL!$C$42, 39.4101, 39.4101) * CHOOSE(CONTROL!$C$21, $C$9, 100%, $E$9)</f>
        <v>39.4101</v>
      </c>
      <c r="I1001" s="10">
        <f>CHOOSE(CONTROL!$C$42, 39.2043, 39.2043)* CHOOSE(CONTROL!$C$21, $C$9, 100%, $E$9)</f>
        <v>39.204300000000003</v>
      </c>
      <c r="J1001" s="10">
        <f>CHOOSE(CONTROL!$C$42, 39.1622, 39.1622)* CHOOSE(CONTROL!$C$21, $C$9, 100%, $E$9)</f>
        <v>39.162199999999999</v>
      </c>
      <c r="K1001" s="10">
        <f>CHOOSE(CONTROL!$C$42, 38.1397, 38.1397) * CHOOSE(CONTROL!$C$21, $C$9, 100%, $E$9)</f>
        <v>38.139699999999998</v>
      </c>
      <c r="L1001" s="10">
        <f>CHOOSE(CONTROL!$C$42, 39.9971, 39.9971) * CHOOSE(CONTROL!$C$21, $C$9, 100%, $E$9)</f>
        <v>39.997100000000003</v>
      </c>
      <c r="M1001" s="10">
        <f>CHOOSE(CONTROL!$C$42, 38.6489, 38.6489) * CHOOSE(CONTROL!$C$21, $C$9, 100%, $E$9)</f>
        <v>38.648899999999998</v>
      </c>
      <c r="N1001" s="10">
        <f>CHOOSE(CONTROL!$C$42, 38.6648, 38.6648) * CHOOSE(CONTROL!$C$21, $C$9, 100%, $E$9)</f>
        <v>38.6648</v>
      </c>
      <c r="O1001" s="10">
        <f>CHOOSE(CONTROL!$C$42, 38.8933, 38.8933) * CHOOSE(CONTROL!$C$21, $C$9, 100%, $E$9)</f>
        <v>38.893300000000004</v>
      </c>
      <c r="P1001" s="10">
        <f>CHOOSE(CONTROL!$C$42, 38.6904, 38.6904) * CHOOSE(CONTROL!$C$21, $C$9, 100%, $E$9)</f>
        <v>38.690399999999997</v>
      </c>
      <c r="Q1001" s="10">
        <f>CHOOSE(CONTROL!$C$42, 39.4886, 39.4886) * CHOOSE(CONTROL!$C$21, $C$9, 100%, $E$9)</f>
        <v>39.488599999999998</v>
      </c>
      <c r="R1001" s="10">
        <f>CHOOSE(CONTROL!$C$42, 40.1743, 40.1743) * CHOOSE(CONTROL!$C$21, $C$9, 100%, $E$9)</f>
        <v>40.174300000000002</v>
      </c>
      <c r="S1001" s="10">
        <f>CHOOSE(CONTROL!$C$42, 37.9966, 37.9966) * CHOOSE(CONTROL!$C$21, $C$9, 100%, $E$9)</f>
        <v>37.996600000000001</v>
      </c>
      <c r="T1001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01" s="38">
        <f>(1000*CHOOSE(CONTROL!$C$42, 695, 695)*CHOOSE(CONTROL!$C$42, 0.5599, 0.5599)*CHOOSE(CONTROL!$C$42, 31, 31))/1000000</f>
        <v>12.063045499999998</v>
      </c>
      <c r="V1001" s="38">
        <f>(1000*CHOOSE(CONTROL!$C$42, 500, 500)*CHOOSE(CONTROL!$C$42, 0.275, 0.275)*CHOOSE(CONTROL!$C$42, 31, 31))/1000000</f>
        <v>4.2625000000000002</v>
      </c>
      <c r="W1001" s="38">
        <f>(1000*CHOOSE(CONTROL!$C$42, 0.1146, 0.1146)*CHOOSE(CONTROL!$C$42, 121.5, 121.5)*CHOOSE(CONTROL!$C$42, 31, 31))/1000000</f>
        <v>0.43164089999999994</v>
      </c>
      <c r="X1001" s="38">
        <f>(31*0.1790888*245000/1000000)+(31*0.2374*100000/1000000)</f>
        <v>2.0961194359999999</v>
      </c>
      <c r="Y1001" s="38">
        <f>(1000*600*CHOOSE(CONTROL!$C$42, 1.0585, 1.0585)*CHOOSE(CONTROL!$C$42, 31, 31))/1000000</f>
        <v>19.688099999999999</v>
      </c>
      <c r="Z1001" s="38"/>
      <c r="AA1001" s="10"/>
      <c r="AB1001" s="39"/>
      <c r="AC1001" s="33">
        <f>(B1001*194.205+C1001*267.466+D1001*133.845+E1001*53.484+F1001*40+G1001*185+H1001*0+I1001*100+J1001*300)/(194.205+267.466+133.845+53.484+0+40+185+100+300)</f>
        <v>39.228650755259025</v>
      </c>
      <c r="AD1001" s="27">
        <f>(M1001*'RAP TEMPLATE-GAS AVAILABILITY'!O1000+N1001*'RAP TEMPLATE-GAS AVAILABILITY'!P1000+O1001*'RAP TEMPLATE-GAS AVAILABILITY'!Q1000+P1001*'RAP TEMPLATE-GAS AVAILABILITY'!R1000)/('RAP TEMPLATE-GAS AVAILABILITY'!O1000+'RAP TEMPLATE-GAS AVAILABILITY'!P1000+'RAP TEMPLATE-GAS AVAILABILITY'!Q1000+'RAP TEMPLATE-GAS AVAILABILITY'!R1000)</f>
        <v>38.766557553956837</v>
      </c>
    </row>
    <row r="1002" spans="1:30" ht="15.75">
      <c r="A1002" s="13">
        <v>71771</v>
      </c>
      <c r="B1002" s="10">
        <f>CHOOSE(CONTROL!$C$42, 40.3386, 40.3386) * CHOOSE(CONTROL!$C$21, $C$9, 100%, $E$9)</f>
        <v>40.3386</v>
      </c>
      <c r="C1002" s="10">
        <f>CHOOSE(CONTROL!$C$42, 40.3466, 40.3466) * CHOOSE(CONTROL!$C$21, $C$9, 100%, $E$9)</f>
        <v>40.346600000000002</v>
      </c>
      <c r="D1002" s="10">
        <f>CHOOSE(CONTROL!$C$42, 40.5036, 40.5036) * CHOOSE(CONTROL!$C$21, $C$9, 100%, $E$9)</f>
        <v>40.503599999999999</v>
      </c>
      <c r="E1002" s="10">
        <f>CHOOSE(CONTROL!$C$42, 40.5348, 40.5348) * CHOOSE(CONTROL!$C$21, $C$9, 100%, $E$9)</f>
        <v>40.534799999999997</v>
      </c>
      <c r="F1002" s="10">
        <f>CHOOSE(CONTROL!$C$42, 40.2829, 40.2829)*CHOOSE(CONTROL!$C$21, $C$9, 100%, $E$9)</f>
        <v>40.282899999999998</v>
      </c>
      <c r="G1002" s="10">
        <f>CHOOSE(CONTROL!$C$42, 40.2991, 40.2991)*CHOOSE(CONTROL!$C$21, $C$9, 100%, $E$9)</f>
        <v>40.299100000000003</v>
      </c>
      <c r="H1002" s="10">
        <f>CHOOSE(CONTROL!$C$42, 40.5232, 40.5232) * CHOOSE(CONTROL!$C$21, $C$9, 100%, $E$9)</f>
        <v>40.523200000000003</v>
      </c>
      <c r="I1002" s="10">
        <f>CHOOSE(CONTROL!$C$42, 40.3173, 40.3173)* CHOOSE(CONTROL!$C$21, $C$9, 100%, $E$9)</f>
        <v>40.317300000000003</v>
      </c>
      <c r="J1002" s="10">
        <f>CHOOSE(CONTROL!$C$42, 40.2755, 40.2755)* CHOOSE(CONTROL!$C$21, $C$9, 100%, $E$9)</f>
        <v>40.275500000000001</v>
      </c>
      <c r="K1002" s="10">
        <f>CHOOSE(CONTROL!$C$42, 39.2184, 39.2184) * CHOOSE(CONTROL!$C$21, $C$9, 100%, $E$9)</f>
        <v>39.218400000000003</v>
      </c>
      <c r="L1002" s="10">
        <f>CHOOSE(CONTROL!$C$42, 41.1102, 41.1102) * CHOOSE(CONTROL!$C$21, $C$9, 100%, $E$9)</f>
        <v>41.110199999999999</v>
      </c>
      <c r="M1002" s="10">
        <f>CHOOSE(CONTROL!$C$42, 39.7466, 39.7466) * CHOOSE(CONTROL!$C$21, $C$9, 100%, $E$9)</f>
        <v>39.746600000000001</v>
      </c>
      <c r="N1002" s="10">
        <f>CHOOSE(CONTROL!$C$42, 39.7626, 39.7626) * CHOOSE(CONTROL!$C$21, $C$9, 100%, $E$9)</f>
        <v>39.762599999999999</v>
      </c>
      <c r="O1002" s="10">
        <f>CHOOSE(CONTROL!$C$42, 39.9908, 39.9908) * CHOOSE(CONTROL!$C$21, $C$9, 100%, $E$9)</f>
        <v>39.9908</v>
      </c>
      <c r="P1002" s="10">
        <f>CHOOSE(CONTROL!$C$42, 39.788, 39.788) * CHOOSE(CONTROL!$C$21, $C$9, 100%, $E$9)</f>
        <v>39.787999999999997</v>
      </c>
      <c r="Q1002" s="10">
        <f>CHOOSE(CONTROL!$C$42, 40.5861, 40.5861) * CHOOSE(CONTROL!$C$21, $C$9, 100%, $E$9)</f>
        <v>40.586100000000002</v>
      </c>
      <c r="R1002" s="10">
        <f>CHOOSE(CONTROL!$C$42, 41.2746, 41.2746) * CHOOSE(CONTROL!$C$21, $C$9, 100%, $E$9)</f>
        <v>41.2746</v>
      </c>
      <c r="S1002" s="10">
        <f>CHOOSE(CONTROL!$C$42, 39.0744, 39.0744) * CHOOSE(CONTROL!$C$21, $C$9, 100%, $E$9)</f>
        <v>39.074399999999997</v>
      </c>
      <c r="T1002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02" s="38">
        <f>(1000*CHOOSE(CONTROL!$C$42, 695, 695)*CHOOSE(CONTROL!$C$42, 0.5599, 0.5599)*CHOOSE(CONTROL!$C$42, 30, 30))/1000000</f>
        <v>11.673914999999997</v>
      </c>
      <c r="V1002" s="38">
        <f>(1000*CHOOSE(CONTROL!$C$42, 500, 500)*CHOOSE(CONTROL!$C$42, 0.275, 0.275)*CHOOSE(CONTROL!$C$42, 30, 30))/1000000</f>
        <v>4.125</v>
      </c>
      <c r="W1002" s="38">
        <f>(1000*CHOOSE(CONTROL!$C$42, 0.1146, 0.1146)*CHOOSE(CONTROL!$C$42, 121.5, 121.5)*CHOOSE(CONTROL!$C$42, 30, 30))/1000000</f>
        <v>0.417717</v>
      </c>
      <c r="X1002" s="38">
        <f>(30*0.1790888*245000/1000000)+(30*0.2374*100000/1000000)</f>
        <v>2.0285026799999999</v>
      </c>
      <c r="Y1002" s="38">
        <f>(1000*600*CHOOSE(CONTROL!$C$42, 1.0585, 1.0585)*CHOOSE(CONTROL!$C$42, 30, 30))/1000000</f>
        <v>19.053000000000001</v>
      </c>
      <c r="Z1002" s="38"/>
      <c r="AA1002" s="10"/>
      <c r="AB1002" s="39"/>
      <c r="AC1002" s="33">
        <f>(B1002*194.205+C1002*267.466+D1002*133.845+E1002*53.484+F1002*40+G1002*185+H1002*0+I1002*100+J1002*300)/(194.205+267.466+133.845+53.484+0+40+185+100+300)</f>
        <v>40.341835646624808</v>
      </c>
      <c r="AD1002" s="27">
        <f>(M1002*'RAP TEMPLATE-GAS AVAILABILITY'!O1001+N1002*'RAP TEMPLATE-GAS AVAILABILITY'!P1001+O1002*'RAP TEMPLATE-GAS AVAILABILITY'!Q1001+P1002*'RAP TEMPLATE-GAS AVAILABILITY'!R1001)/('RAP TEMPLATE-GAS AVAILABILITY'!O1001+'RAP TEMPLATE-GAS AVAILABILITY'!P1001+'RAP TEMPLATE-GAS AVAILABILITY'!Q1001+'RAP TEMPLATE-GAS AVAILABILITY'!R1001)</f>
        <v>39.864158273381292</v>
      </c>
    </row>
    <row r="1003" spans="1:30" ht="15.75">
      <c r="A1003" s="13">
        <v>71802</v>
      </c>
      <c r="B1003" s="10">
        <f>CHOOSE(CONTROL!$C$42, 39.5644, 39.5644) * CHOOSE(CONTROL!$C$21, $C$9, 100%, $E$9)</f>
        <v>39.564399999999999</v>
      </c>
      <c r="C1003" s="10">
        <f>CHOOSE(CONTROL!$C$42, 39.5724, 39.5724) * CHOOSE(CONTROL!$C$21, $C$9, 100%, $E$9)</f>
        <v>39.572400000000002</v>
      </c>
      <c r="D1003" s="10">
        <f>CHOOSE(CONTROL!$C$42, 39.7295, 39.7295) * CHOOSE(CONTROL!$C$21, $C$9, 100%, $E$9)</f>
        <v>39.729500000000002</v>
      </c>
      <c r="E1003" s="10">
        <f>CHOOSE(CONTROL!$C$42, 39.7607, 39.7607) * CHOOSE(CONTROL!$C$21, $C$9, 100%, $E$9)</f>
        <v>39.7607</v>
      </c>
      <c r="F1003" s="10">
        <f>CHOOSE(CONTROL!$C$42, 39.5091, 39.5091)*CHOOSE(CONTROL!$C$21, $C$9, 100%, $E$9)</f>
        <v>39.509099999999997</v>
      </c>
      <c r="G1003" s="10">
        <f>CHOOSE(CONTROL!$C$42, 39.5253, 39.5253)*CHOOSE(CONTROL!$C$21, $C$9, 100%, $E$9)</f>
        <v>39.525300000000001</v>
      </c>
      <c r="H1003" s="10">
        <f>CHOOSE(CONTROL!$C$42, 39.749, 39.749) * CHOOSE(CONTROL!$C$21, $C$9, 100%, $E$9)</f>
        <v>39.749000000000002</v>
      </c>
      <c r="I1003" s="10">
        <f>CHOOSE(CONTROL!$C$42, 39.5432, 39.5432)* CHOOSE(CONTROL!$C$21, $C$9, 100%, $E$9)</f>
        <v>39.543199999999999</v>
      </c>
      <c r="J1003" s="10">
        <f>CHOOSE(CONTROL!$C$42, 39.5017, 39.5017)* CHOOSE(CONTROL!$C$21, $C$9, 100%, $E$9)</f>
        <v>39.5017</v>
      </c>
      <c r="K1003" s="10">
        <f>CHOOSE(CONTROL!$C$42, 38.4691, 38.4691) * CHOOSE(CONTROL!$C$21, $C$9, 100%, $E$9)</f>
        <v>38.469099999999997</v>
      </c>
      <c r="L1003" s="10">
        <f>CHOOSE(CONTROL!$C$42, 40.336, 40.336) * CHOOSE(CONTROL!$C$21, $C$9, 100%, $E$9)</f>
        <v>40.335999999999999</v>
      </c>
      <c r="M1003" s="10">
        <f>CHOOSE(CONTROL!$C$42, 38.9836, 38.9836) * CHOOSE(CONTROL!$C$21, $C$9, 100%, $E$9)</f>
        <v>38.983600000000003</v>
      </c>
      <c r="N1003" s="10">
        <f>CHOOSE(CONTROL!$C$42, 38.9996, 38.9996) * CHOOSE(CONTROL!$C$21, $C$9, 100%, $E$9)</f>
        <v>38.999600000000001</v>
      </c>
      <c r="O1003" s="10">
        <f>CHOOSE(CONTROL!$C$42, 39.2275, 39.2275) * CHOOSE(CONTROL!$C$21, $C$9, 100%, $E$9)</f>
        <v>39.227499999999999</v>
      </c>
      <c r="P1003" s="10">
        <f>CHOOSE(CONTROL!$C$42, 39.0246, 39.0246) * CHOOSE(CONTROL!$C$21, $C$9, 100%, $E$9)</f>
        <v>39.0246</v>
      </c>
      <c r="Q1003" s="10">
        <f>CHOOSE(CONTROL!$C$42, 39.8228, 39.8228) * CHOOSE(CONTROL!$C$21, $C$9, 100%, $E$9)</f>
        <v>39.822800000000001</v>
      </c>
      <c r="R1003" s="10">
        <f>CHOOSE(CONTROL!$C$42, 40.5093, 40.5093) * CHOOSE(CONTROL!$C$21, $C$9, 100%, $E$9)</f>
        <v>40.509300000000003</v>
      </c>
      <c r="S1003" s="10">
        <f>CHOOSE(CONTROL!$C$42, 38.3248, 38.3248) * CHOOSE(CONTROL!$C$21, $C$9, 100%, $E$9)</f>
        <v>38.324800000000003</v>
      </c>
      <c r="T1003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03" s="38">
        <f>(1000*CHOOSE(CONTROL!$C$42, 695, 695)*CHOOSE(CONTROL!$C$42, 0.5599, 0.5599)*CHOOSE(CONTROL!$C$42, 31, 31))/1000000</f>
        <v>12.063045499999998</v>
      </c>
      <c r="V1003" s="38">
        <f>(1000*CHOOSE(CONTROL!$C$42, 500, 500)*CHOOSE(CONTROL!$C$42, 0.275, 0.275)*CHOOSE(CONTROL!$C$42, 31, 31))/1000000</f>
        <v>4.2625000000000002</v>
      </c>
      <c r="W1003" s="38">
        <f>(1000*CHOOSE(CONTROL!$C$42, 0.1146, 0.1146)*CHOOSE(CONTROL!$C$42, 121.5, 121.5)*CHOOSE(CONTROL!$C$42, 31, 31))/1000000</f>
        <v>0.43164089999999994</v>
      </c>
      <c r="X1003" s="38">
        <f>(31*0.1790888*245000/1000000)+(31*0.2374*100000/1000000)</f>
        <v>2.0961194359999999</v>
      </c>
      <c r="Y1003" s="38">
        <f>(1000*600*CHOOSE(CONTROL!$C$42, 1.0585, 1.0585)*CHOOSE(CONTROL!$C$42, 31, 31))/1000000</f>
        <v>19.688099999999999</v>
      </c>
      <c r="Z1003" s="38"/>
      <c r="AA1003" s="10"/>
      <c r="AB1003" s="39"/>
      <c r="AC1003" s="33">
        <f>(B1003*194.205+C1003*267.466+D1003*133.845+E1003*53.484+F1003*40+G1003*185+H1003*0+I1003*100+J1003*300)/(194.205+267.466+133.845+53.484+0+40+185+100+300)</f>
        <v>39.567823035086342</v>
      </c>
      <c r="AD1003" s="27">
        <f>(M1003*'RAP TEMPLATE-GAS AVAILABILITY'!O1002+N1003*'RAP TEMPLATE-GAS AVAILABILITY'!P1002+O1003*'RAP TEMPLATE-GAS AVAILABILITY'!Q1002+P1003*'RAP TEMPLATE-GAS AVAILABILITY'!R1002)/('RAP TEMPLATE-GAS AVAILABILITY'!O1002+'RAP TEMPLATE-GAS AVAILABILITY'!P1002+'RAP TEMPLATE-GAS AVAILABILITY'!Q1002+'RAP TEMPLATE-GAS AVAILABILITY'!R1002)</f>
        <v>39.100964748201442</v>
      </c>
    </row>
    <row r="1004" spans="1:30" ht="15.75">
      <c r="A1004" s="13">
        <v>71833</v>
      </c>
      <c r="B1004" s="10">
        <f>CHOOSE(CONTROL!$C$42, 37.6094, 37.6094) * CHOOSE(CONTROL!$C$21, $C$9, 100%, $E$9)</f>
        <v>37.609400000000001</v>
      </c>
      <c r="C1004" s="10">
        <f>CHOOSE(CONTROL!$C$42, 37.6174, 37.6174) * CHOOSE(CONTROL!$C$21, $C$9, 100%, $E$9)</f>
        <v>37.617400000000004</v>
      </c>
      <c r="D1004" s="10">
        <f>CHOOSE(CONTROL!$C$42, 37.7745, 37.7745) * CHOOSE(CONTROL!$C$21, $C$9, 100%, $E$9)</f>
        <v>37.774500000000003</v>
      </c>
      <c r="E1004" s="10">
        <f>CHOOSE(CONTROL!$C$42, 37.8057, 37.8057) * CHOOSE(CONTROL!$C$21, $C$9, 100%, $E$9)</f>
        <v>37.805700000000002</v>
      </c>
      <c r="F1004" s="10">
        <f>CHOOSE(CONTROL!$C$42, 37.554, 37.554)*CHOOSE(CONTROL!$C$21, $C$9, 100%, $E$9)</f>
        <v>37.554000000000002</v>
      </c>
      <c r="G1004" s="10">
        <f>CHOOSE(CONTROL!$C$42, 37.5703, 37.5703)*CHOOSE(CONTROL!$C$21, $C$9, 100%, $E$9)</f>
        <v>37.570300000000003</v>
      </c>
      <c r="H1004" s="10">
        <f>CHOOSE(CONTROL!$C$42, 37.794, 37.794) * CHOOSE(CONTROL!$C$21, $C$9, 100%, $E$9)</f>
        <v>37.793999999999997</v>
      </c>
      <c r="I1004" s="10">
        <f>CHOOSE(CONTROL!$C$42, 37.5882, 37.5882)* CHOOSE(CONTROL!$C$21, $C$9, 100%, $E$9)</f>
        <v>37.588200000000001</v>
      </c>
      <c r="J1004" s="10">
        <f>CHOOSE(CONTROL!$C$42, 37.5466, 37.5466)* CHOOSE(CONTROL!$C$21, $C$9, 100%, $E$9)</f>
        <v>37.546599999999998</v>
      </c>
      <c r="K1004" s="10">
        <f>CHOOSE(CONTROL!$C$42, 36.575, 36.575) * CHOOSE(CONTROL!$C$21, $C$9, 100%, $E$9)</f>
        <v>36.575000000000003</v>
      </c>
      <c r="L1004" s="10">
        <f>CHOOSE(CONTROL!$C$42, 38.381, 38.381) * CHOOSE(CONTROL!$C$21, $C$9, 100%, $E$9)</f>
        <v>38.381</v>
      </c>
      <c r="M1004" s="10">
        <f>CHOOSE(CONTROL!$C$42, 37.0558, 37.0558) * CHOOSE(CONTROL!$C$21, $C$9, 100%, $E$9)</f>
        <v>37.055799999999998</v>
      </c>
      <c r="N1004" s="10">
        <f>CHOOSE(CONTROL!$C$42, 37.0718, 37.0718) * CHOOSE(CONTROL!$C$21, $C$9, 100%, $E$9)</f>
        <v>37.071800000000003</v>
      </c>
      <c r="O1004" s="10">
        <f>CHOOSE(CONTROL!$C$42, 37.2998, 37.2998) * CHOOSE(CONTROL!$C$21, $C$9, 100%, $E$9)</f>
        <v>37.299799999999998</v>
      </c>
      <c r="P1004" s="10">
        <f>CHOOSE(CONTROL!$C$42, 37.0969, 37.0969) * CHOOSE(CONTROL!$C$21, $C$9, 100%, $E$9)</f>
        <v>37.096899999999998</v>
      </c>
      <c r="Q1004" s="10">
        <f>CHOOSE(CONTROL!$C$42, 37.8951, 37.8951) * CHOOSE(CONTROL!$C$21, $C$9, 100%, $E$9)</f>
        <v>37.895099999999999</v>
      </c>
      <c r="R1004" s="10">
        <f>CHOOSE(CONTROL!$C$42, 38.5768, 38.5768) * CHOOSE(CONTROL!$C$21, $C$9, 100%, $E$9)</f>
        <v>38.576799999999999</v>
      </c>
      <c r="S1004" s="10">
        <f>CHOOSE(CONTROL!$C$42, 36.4318, 36.4318) * CHOOSE(CONTROL!$C$21, $C$9, 100%, $E$9)</f>
        <v>36.431800000000003</v>
      </c>
      <c r="T1004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04" s="38">
        <f>(1000*CHOOSE(CONTROL!$C$42, 695, 695)*CHOOSE(CONTROL!$C$42, 0.5599, 0.5599)*CHOOSE(CONTROL!$C$42, 31, 31))/1000000</f>
        <v>12.063045499999998</v>
      </c>
      <c r="V1004" s="38">
        <f>(1000*CHOOSE(CONTROL!$C$42, 500, 500)*CHOOSE(CONTROL!$C$42, 0.275, 0.275)*CHOOSE(CONTROL!$C$42, 31, 31))/1000000</f>
        <v>4.2625000000000002</v>
      </c>
      <c r="W1004" s="38">
        <f>(1000*CHOOSE(CONTROL!$C$42, 0.1146, 0.1146)*CHOOSE(CONTROL!$C$42, 121.5, 121.5)*CHOOSE(CONTROL!$C$42, 31, 31))/1000000</f>
        <v>0.43164089999999994</v>
      </c>
      <c r="X1004" s="38">
        <f>(31*0.1790888*245000/1000000)+(31*0.2374*100000/1000000)</f>
        <v>2.0961194359999999</v>
      </c>
      <c r="Y1004" s="38">
        <f>(1000*600*CHOOSE(CONTROL!$C$42, 1.0585, 1.0585)*CHOOSE(CONTROL!$C$42, 31, 31))/1000000</f>
        <v>19.688099999999999</v>
      </c>
      <c r="Z1004" s="38"/>
      <c r="AA1004" s="10"/>
      <c r="AB1004" s="39"/>
      <c r="AC1004" s="33">
        <f>(B1004*194.205+C1004*267.466+D1004*133.845+E1004*53.484+F1004*40+G1004*185+H1004*0+I1004*100+J1004*300)/(194.205+267.466+133.845+53.484+0+40+185+100+300)</f>
        <v>37.612796347488228</v>
      </c>
      <c r="AD1004" s="27">
        <f>(M1004*'RAP TEMPLATE-GAS AVAILABILITY'!O1003+N1004*'RAP TEMPLATE-GAS AVAILABILITY'!P1003+O1004*'RAP TEMPLATE-GAS AVAILABILITY'!Q1003+P1004*'RAP TEMPLATE-GAS AVAILABILITY'!R1003)/('RAP TEMPLATE-GAS AVAILABILITY'!O1003+'RAP TEMPLATE-GAS AVAILABILITY'!P1003+'RAP TEMPLATE-GAS AVAILABILITY'!Q1003+'RAP TEMPLATE-GAS AVAILABILITY'!R1003)</f>
        <v>37.173224460431655</v>
      </c>
    </row>
    <row r="1005" spans="1:30" ht="15.75">
      <c r="A1005" s="13">
        <v>71863</v>
      </c>
      <c r="B1005" s="10">
        <f>CHOOSE(CONTROL!$C$42, 35.2208, 35.2208) * CHOOSE(CONTROL!$C$21, $C$9, 100%, $E$9)</f>
        <v>35.220799999999997</v>
      </c>
      <c r="C1005" s="10">
        <f>CHOOSE(CONTROL!$C$42, 35.2288, 35.2288) * CHOOSE(CONTROL!$C$21, $C$9, 100%, $E$9)</f>
        <v>35.2288</v>
      </c>
      <c r="D1005" s="10">
        <f>CHOOSE(CONTROL!$C$42, 35.3859, 35.3859) * CHOOSE(CONTROL!$C$21, $C$9, 100%, $E$9)</f>
        <v>35.385899999999999</v>
      </c>
      <c r="E1005" s="10">
        <f>CHOOSE(CONTROL!$C$42, 35.4171, 35.4171) * CHOOSE(CONTROL!$C$21, $C$9, 100%, $E$9)</f>
        <v>35.417099999999998</v>
      </c>
      <c r="F1005" s="10">
        <f>CHOOSE(CONTROL!$C$42, 35.1652, 35.1652)*CHOOSE(CONTROL!$C$21, $C$9, 100%, $E$9)</f>
        <v>35.165199999999999</v>
      </c>
      <c r="G1005" s="10">
        <f>CHOOSE(CONTROL!$C$42, 35.1814, 35.1814)*CHOOSE(CONTROL!$C$21, $C$9, 100%, $E$9)</f>
        <v>35.181399999999996</v>
      </c>
      <c r="H1005" s="10">
        <f>CHOOSE(CONTROL!$C$42, 35.4054, 35.4054) * CHOOSE(CONTROL!$C$21, $C$9, 100%, $E$9)</f>
        <v>35.4054</v>
      </c>
      <c r="I1005" s="10">
        <f>CHOOSE(CONTROL!$C$42, 35.1996, 35.1996)* CHOOSE(CONTROL!$C$21, $C$9, 100%, $E$9)</f>
        <v>35.199599999999997</v>
      </c>
      <c r="J1005" s="10">
        <f>CHOOSE(CONTROL!$C$42, 35.1578, 35.1578)* CHOOSE(CONTROL!$C$21, $C$9, 100%, $E$9)</f>
        <v>35.157800000000002</v>
      </c>
      <c r="K1005" s="10">
        <f>CHOOSE(CONTROL!$C$42, 34.2606, 34.2606) * CHOOSE(CONTROL!$C$21, $C$9, 100%, $E$9)</f>
        <v>34.260599999999997</v>
      </c>
      <c r="L1005" s="10">
        <f>CHOOSE(CONTROL!$C$42, 35.9924, 35.9924) * CHOOSE(CONTROL!$C$21, $C$9, 100%, $E$9)</f>
        <v>35.992400000000004</v>
      </c>
      <c r="M1005" s="10">
        <f>CHOOSE(CONTROL!$C$42, 34.7003, 34.7003) * CHOOSE(CONTROL!$C$21, $C$9, 100%, $E$9)</f>
        <v>34.700299999999999</v>
      </c>
      <c r="N1005" s="10">
        <f>CHOOSE(CONTROL!$C$42, 34.7163, 34.7163) * CHOOSE(CONTROL!$C$21, $C$9, 100%, $E$9)</f>
        <v>34.716299999999997</v>
      </c>
      <c r="O1005" s="10">
        <f>CHOOSE(CONTROL!$C$42, 34.9445, 34.9445) * CHOOSE(CONTROL!$C$21, $C$9, 100%, $E$9)</f>
        <v>34.944499999999998</v>
      </c>
      <c r="P1005" s="10">
        <f>CHOOSE(CONTROL!$C$42, 34.7416, 34.7416) * CHOOSE(CONTROL!$C$21, $C$9, 100%, $E$9)</f>
        <v>34.741599999999998</v>
      </c>
      <c r="Q1005" s="10">
        <f>CHOOSE(CONTROL!$C$42, 35.5398, 35.5398) * CHOOSE(CONTROL!$C$21, $C$9, 100%, $E$9)</f>
        <v>35.5398</v>
      </c>
      <c r="R1005" s="10">
        <f>CHOOSE(CONTROL!$C$42, 36.2157, 36.2157) * CHOOSE(CONTROL!$C$21, $C$9, 100%, $E$9)</f>
        <v>36.215699999999998</v>
      </c>
      <c r="S1005" s="10">
        <f>CHOOSE(CONTROL!$C$42, 34.1189, 34.1189) * CHOOSE(CONTROL!$C$21, $C$9, 100%, $E$9)</f>
        <v>34.118899999999996</v>
      </c>
      <c r="T1005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05" s="38">
        <f>(1000*CHOOSE(CONTROL!$C$42, 695, 695)*CHOOSE(CONTROL!$C$42, 0.5599, 0.5599)*CHOOSE(CONTROL!$C$42, 30, 30))/1000000</f>
        <v>11.673914999999997</v>
      </c>
      <c r="V1005" s="38">
        <f>(1000*CHOOSE(CONTROL!$C$42, 500, 500)*CHOOSE(CONTROL!$C$42, 0.275, 0.275)*CHOOSE(CONTROL!$C$42, 30, 30))/1000000</f>
        <v>4.125</v>
      </c>
      <c r="W1005" s="38">
        <f>(1000*CHOOSE(CONTROL!$C$42, 0.1146, 0.1146)*CHOOSE(CONTROL!$C$42, 121.5, 121.5)*CHOOSE(CONTROL!$C$42, 30, 30))/1000000</f>
        <v>0.417717</v>
      </c>
      <c r="X1005" s="38">
        <f>(30*0.1790888*245000/1000000)+(30*0.2374*100000/1000000)</f>
        <v>2.0285026799999999</v>
      </c>
      <c r="Y1005" s="38">
        <f>(1000*600*CHOOSE(CONTROL!$C$42, 1.0585, 1.0585)*CHOOSE(CONTROL!$C$42, 30, 30))/1000000</f>
        <v>19.053000000000001</v>
      </c>
      <c r="Z1005" s="38"/>
      <c r="AA1005" s="10"/>
      <c r="AB1005" s="39"/>
      <c r="AC1005" s="33">
        <f>(B1005*194.205+C1005*267.466+D1005*133.845+E1005*53.484+F1005*40+G1005*185+H1005*0+I1005*100+J1005*300)/(194.205+267.466+133.845+53.484+0+40+185+100+300)</f>
        <v>35.224099408712718</v>
      </c>
      <c r="AD1005" s="27">
        <f>(M1005*'RAP TEMPLATE-GAS AVAILABILITY'!O1004+N1005*'RAP TEMPLATE-GAS AVAILABILITY'!P1004+O1005*'RAP TEMPLATE-GAS AVAILABILITY'!Q1004+P1005*'RAP TEMPLATE-GAS AVAILABILITY'!R1004)/('RAP TEMPLATE-GAS AVAILABILITY'!O1004+'RAP TEMPLATE-GAS AVAILABILITY'!P1004+'RAP TEMPLATE-GAS AVAILABILITY'!Q1004+'RAP TEMPLATE-GAS AVAILABILITY'!R1004)</f>
        <v>34.817843884892085</v>
      </c>
    </row>
    <row r="1006" spans="1:30" ht="15.75">
      <c r="A1006" s="13">
        <v>71894</v>
      </c>
      <c r="B1006" s="10">
        <f>CHOOSE(CONTROL!$C$42, 34.5032, 34.5032) * CHOOSE(CONTROL!$C$21, $C$9, 100%, $E$9)</f>
        <v>34.5032</v>
      </c>
      <c r="C1006" s="10">
        <f>CHOOSE(CONTROL!$C$42, 34.5086, 34.5086) * CHOOSE(CONTROL!$C$21, $C$9, 100%, $E$9)</f>
        <v>34.508600000000001</v>
      </c>
      <c r="D1006" s="10">
        <f>CHOOSE(CONTROL!$C$42, 34.6705, 34.6705) * CHOOSE(CONTROL!$C$21, $C$9, 100%, $E$9)</f>
        <v>34.670499999999997</v>
      </c>
      <c r="E1006" s="10">
        <f>CHOOSE(CONTROL!$C$42, 34.6994, 34.6994) * CHOOSE(CONTROL!$C$21, $C$9, 100%, $E$9)</f>
        <v>34.699399999999997</v>
      </c>
      <c r="F1006" s="10">
        <f>CHOOSE(CONTROL!$C$42, 34.4496, 34.4496)*CHOOSE(CONTROL!$C$21, $C$9, 100%, $E$9)</f>
        <v>34.449599999999997</v>
      </c>
      <c r="G1006" s="10">
        <f>CHOOSE(CONTROL!$C$42, 34.4654, 34.4654)*CHOOSE(CONTROL!$C$21, $C$9, 100%, $E$9)</f>
        <v>34.465400000000002</v>
      </c>
      <c r="H1006" s="10">
        <f>CHOOSE(CONTROL!$C$42, 34.6896, 34.6896) * CHOOSE(CONTROL!$C$21, $C$9, 100%, $E$9)</f>
        <v>34.689599999999999</v>
      </c>
      <c r="I1006" s="10">
        <f>CHOOSE(CONTROL!$C$42, 34.4837, 34.4837)* CHOOSE(CONTROL!$C$21, $C$9, 100%, $E$9)</f>
        <v>34.483699999999999</v>
      </c>
      <c r="J1006" s="10">
        <f>CHOOSE(CONTROL!$C$42, 34.4422, 34.4422)* CHOOSE(CONTROL!$C$21, $C$9, 100%, $E$9)</f>
        <v>34.4422</v>
      </c>
      <c r="K1006" s="10">
        <f>CHOOSE(CONTROL!$C$42, 33.5677, 33.5677) * CHOOSE(CONTROL!$C$21, $C$9, 100%, $E$9)</f>
        <v>33.567700000000002</v>
      </c>
      <c r="L1006" s="10">
        <f>CHOOSE(CONTROL!$C$42, 35.2766, 35.2766) * CHOOSE(CONTROL!$C$21, $C$9, 100%, $E$9)</f>
        <v>35.276600000000002</v>
      </c>
      <c r="M1006" s="10">
        <f>CHOOSE(CONTROL!$C$42, 33.9948, 33.9948) * CHOOSE(CONTROL!$C$21, $C$9, 100%, $E$9)</f>
        <v>33.994799999999998</v>
      </c>
      <c r="N1006" s="10">
        <f>CHOOSE(CONTROL!$C$42, 34.0103, 34.0103) * CHOOSE(CONTROL!$C$21, $C$9, 100%, $E$9)</f>
        <v>34.010300000000001</v>
      </c>
      <c r="O1006" s="10">
        <f>CHOOSE(CONTROL!$C$42, 34.2386, 34.2386) * CHOOSE(CONTROL!$C$21, $C$9, 100%, $E$9)</f>
        <v>34.238599999999998</v>
      </c>
      <c r="P1006" s="10">
        <f>CHOOSE(CONTROL!$C$42, 34.0357, 34.0357) * CHOOSE(CONTROL!$C$21, $C$9, 100%, $E$9)</f>
        <v>34.035699999999999</v>
      </c>
      <c r="Q1006" s="10">
        <f>CHOOSE(CONTROL!$C$42, 34.8339, 34.8339) * CHOOSE(CONTROL!$C$21, $C$9, 100%, $E$9)</f>
        <v>34.8339</v>
      </c>
      <c r="R1006" s="10">
        <f>CHOOSE(CONTROL!$C$42, 35.508, 35.508) * CHOOSE(CONTROL!$C$21, $C$9, 100%, $E$9)</f>
        <v>35.508000000000003</v>
      </c>
      <c r="S1006" s="10">
        <f>CHOOSE(CONTROL!$C$42, 33.4258, 33.4258) * CHOOSE(CONTROL!$C$21, $C$9, 100%, $E$9)</f>
        <v>33.425800000000002</v>
      </c>
      <c r="T1006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06" s="38">
        <f>(1000*CHOOSE(CONTROL!$C$42, 695, 695)*CHOOSE(CONTROL!$C$42, 0.5599, 0.5599)*CHOOSE(CONTROL!$C$42, 31, 31))/1000000</f>
        <v>12.063045499999998</v>
      </c>
      <c r="V1006" s="38">
        <f>(1000*CHOOSE(CONTROL!$C$42, 500, 500)*CHOOSE(CONTROL!$C$42, 0.275, 0.275)*CHOOSE(CONTROL!$C$42, 31, 31))/1000000</f>
        <v>4.2625000000000002</v>
      </c>
      <c r="W1006" s="38">
        <f>(1000*CHOOSE(CONTROL!$C$42, 0.1146, 0.1146)*CHOOSE(CONTROL!$C$42, 121.5, 121.5)*CHOOSE(CONTROL!$C$42, 31, 31))/1000000</f>
        <v>0.43164089999999994</v>
      </c>
      <c r="X1006" s="38">
        <f>(31*0.1790888*245000/1000000)+(31*0.2374*100000/1000000)</f>
        <v>2.0961194359999999</v>
      </c>
      <c r="Y1006" s="38">
        <f>(1000*600*CHOOSE(CONTROL!$C$42, 1.0585, 1.0585)*CHOOSE(CONTROL!$C$42, 31, 31))/1000000</f>
        <v>19.688099999999999</v>
      </c>
      <c r="Z1006" s="38"/>
      <c r="AA1006" s="10"/>
      <c r="AB1006" s="39"/>
      <c r="AC1006" s="33">
        <f>(B1006*131.881+C1006*277.167+D1006*79.08+E1006*125.872+F1006*40+G1006*185+H1006*0+I1006*100+J1006*300)/(131.881+277.167+79.08+125.872+0+40+185+100+300)</f>
        <v>34.511299977562544</v>
      </c>
      <c r="AD1006" s="27">
        <f>(M1006*'RAP TEMPLATE-GAS AVAILABILITY'!O1005+N1006*'RAP TEMPLATE-GAS AVAILABILITY'!P1005+O1006*'RAP TEMPLATE-GAS AVAILABILITY'!Q1005+P1006*'RAP TEMPLATE-GAS AVAILABILITY'!R1005)/('RAP TEMPLATE-GAS AVAILABILITY'!O1005+'RAP TEMPLATE-GAS AVAILABILITY'!P1005+'RAP TEMPLATE-GAS AVAILABILITY'!Q1005+'RAP TEMPLATE-GAS AVAILABILITY'!R1005)</f>
        <v>34.112076258992801</v>
      </c>
    </row>
    <row r="1007" spans="1:30" ht="15.75">
      <c r="A1007" s="13">
        <v>71924</v>
      </c>
      <c r="B1007" s="10">
        <f>CHOOSE(CONTROL!$C$42, 35.4122, 35.4122) * CHOOSE(CONTROL!$C$21, $C$9, 100%, $E$9)</f>
        <v>35.412199999999999</v>
      </c>
      <c r="C1007" s="10">
        <f>CHOOSE(CONTROL!$C$42, 35.4173, 35.4173) * CHOOSE(CONTROL!$C$21, $C$9, 100%, $E$9)</f>
        <v>35.417299999999997</v>
      </c>
      <c r="D1007" s="10">
        <f>CHOOSE(CONTROL!$C$42, 35.442, 35.442) * CHOOSE(CONTROL!$C$21, $C$9, 100%, $E$9)</f>
        <v>35.442</v>
      </c>
      <c r="E1007" s="10">
        <f>CHOOSE(CONTROL!$C$42, 35.4758, 35.4758) * CHOOSE(CONTROL!$C$21, $C$9, 100%, $E$9)</f>
        <v>35.4758</v>
      </c>
      <c r="F1007" s="10">
        <f>CHOOSE(CONTROL!$C$42, 35.3806, 35.3806)*CHOOSE(CONTROL!$C$21, $C$9, 100%, $E$9)</f>
        <v>35.380600000000001</v>
      </c>
      <c r="G1007" s="10">
        <f>CHOOSE(CONTROL!$C$42, 35.3966, 35.3966)*CHOOSE(CONTROL!$C$21, $C$9, 100%, $E$9)</f>
        <v>35.396599999999999</v>
      </c>
      <c r="H1007" s="10">
        <f>CHOOSE(CONTROL!$C$42, 35.4647, 35.4647) * CHOOSE(CONTROL!$C$21, $C$9, 100%, $E$9)</f>
        <v>35.464700000000001</v>
      </c>
      <c r="I1007" s="10">
        <f>CHOOSE(CONTROL!$C$42, 35.4272, 35.4272)* CHOOSE(CONTROL!$C$21, $C$9, 100%, $E$9)</f>
        <v>35.427199999999999</v>
      </c>
      <c r="J1007" s="10">
        <f>CHOOSE(CONTROL!$C$42, 35.3732, 35.3732)* CHOOSE(CONTROL!$C$21, $C$9, 100%, $E$9)</f>
        <v>35.373199999999997</v>
      </c>
      <c r="K1007" s="10">
        <f>CHOOSE(CONTROL!$C$42, 34.4839, 34.4839) * CHOOSE(CONTROL!$C$21, $C$9, 100%, $E$9)</f>
        <v>34.483899999999998</v>
      </c>
      <c r="L1007" s="10">
        <f>CHOOSE(CONTROL!$C$42, 36.0517, 36.0517) * CHOOSE(CONTROL!$C$21, $C$9, 100%, $E$9)</f>
        <v>36.051699999999997</v>
      </c>
      <c r="M1007" s="10">
        <f>CHOOSE(CONTROL!$C$42, 34.9127, 34.9127) * CHOOSE(CONTROL!$C$21, $C$9, 100%, $E$9)</f>
        <v>34.912700000000001</v>
      </c>
      <c r="N1007" s="10">
        <f>CHOOSE(CONTROL!$C$42, 34.9285, 34.9285) * CHOOSE(CONTROL!$C$21, $C$9, 100%, $E$9)</f>
        <v>34.9285</v>
      </c>
      <c r="O1007" s="10">
        <f>CHOOSE(CONTROL!$C$42, 35.003, 35.003) * CHOOSE(CONTROL!$C$21, $C$9, 100%, $E$9)</f>
        <v>35.003</v>
      </c>
      <c r="P1007" s="10">
        <f>CHOOSE(CONTROL!$C$42, 34.9661, 34.9661) * CHOOSE(CONTROL!$C$21, $C$9, 100%, $E$9)</f>
        <v>34.966099999999997</v>
      </c>
      <c r="Q1007" s="10">
        <f>CHOOSE(CONTROL!$C$42, 35.5983, 35.5983) * CHOOSE(CONTROL!$C$21, $C$9, 100%, $E$9)</f>
        <v>35.598300000000002</v>
      </c>
      <c r="R1007" s="10">
        <f>CHOOSE(CONTROL!$C$42, 36.2743, 36.2743) * CHOOSE(CONTROL!$C$21, $C$9, 100%, $E$9)</f>
        <v>36.274299999999997</v>
      </c>
      <c r="S1007" s="10">
        <f>CHOOSE(CONTROL!$C$42, 34.3063, 34.3063) * CHOOSE(CONTROL!$C$21, $C$9, 100%, $E$9)</f>
        <v>34.3063</v>
      </c>
      <c r="T1007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07" s="38">
        <f>(1000*CHOOSE(CONTROL!$C$42, 695, 695)*CHOOSE(CONTROL!$C$42, 0.5599, 0.5599)*CHOOSE(CONTROL!$C$42, 30, 30))/1000000</f>
        <v>11.673914999999997</v>
      </c>
      <c r="V1007" s="38">
        <f>(1000*CHOOSE(CONTROL!$C$42, 500, 500)*CHOOSE(CONTROL!$C$42, 0.275, 0.275)*CHOOSE(CONTROL!$C$42, 30, 30))/1000000</f>
        <v>4.125</v>
      </c>
      <c r="W1007" s="38">
        <f>(1000*CHOOSE(CONTROL!$C$42, 0.1146, 0.1146)*CHOOSE(CONTROL!$C$42, 121.5, 121.5)*CHOOSE(CONTROL!$C$42, 30, 30))/1000000</f>
        <v>0.417717</v>
      </c>
      <c r="X1007" s="38">
        <f>(30*0.1790888*100000/1000000)+(30*0.2374*100000/1000000)</f>
        <v>1.2494664</v>
      </c>
      <c r="Y1007" s="38">
        <f>(1000*600*CHOOSE(CONTROL!$C$42, 1.0585, 1.0585)*CHOOSE(CONTROL!$C$42, 30, 30))/1000000</f>
        <v>19.053000000000001</v>
      </c>
      <c r="Z1007" s="38"/>
      <c r="AA1007" s="10"/>
      <c r="AB1007" s="39"/>
      <c r="AC1007" s="33">
        <f>(B1007*122.58+C1007*297.941+D1007*89.177+E1007*40.302+F1007*40+G1007*160+H1007*0+I1007*100+J1007*300)/(122.58+297.941+89.177+40.302+0+40+160+100+300)</f>
        <v>35.405921896434783</v>
      </c>
      <c r="AD1007" s="27">
        <f>(M1007*'RAP TEMPLATE-GAS AVAILABILITY'!O1006+N1007*'RAP TEMPLATE-GAS AVAILABILITY'!P1006+O1007*'RAP TEMPLATE-GAS AVAILABILITY'!Q1006+P1007*'RAP TEMPLATE-GAS AVAILABILITY'!R1006)/('RAP TEMPLATE-GAS AVAILABILITY'!O1006+'RAP TEMPLATE-GAS AVAILABILITY'!P1006+'RAP TEMPLATE-GAS AVAILABILITY'!Q1006+'RAP TEMPLATE-GAS AVAILABILITY'!R1006)</f>
        <v>34.962220143884892</v>
      </c>
    </row>
    <row r="1008" spans="1:30" ht="15.75">
      <c r="A1008" s="13">
        <v>71955</v>
      </c>
      <c r="B1008" s="10">
        <f>CHOOSE(CONTROL!$C$42, 37.8277, 37.8277) * CHOOSE(CONTROL!$C$21, $C$9, 100%, $E$9)</f>
        <v>37.8277</v>
      </c>
      <c r="C1008" s="10">
        <f>CHOOSE(CONTROL!$C$42, 37.8328, 37.8328) * CHOOSE(CONTROL!$C$21, $C$9, 100%, $E$9)</f>
        <v>37.832799999999999</v>
      </c>
      <c r="D1008" s="10">
        <f>CHOOSE(CONTROL!$C$42, 37.8575, 37.8575) * CHOOSE(CONTROL!$C$21, $C$9, 100%, $E$9)</f>
        <v>37.857500000000002</v>
      </c>
      <c r="E1008" s="10">
        <f>CHOOSE(CONTROL!$C$42, 37.8913, 37.8913) * CHOOSE(CONTROL!$C$21, $C$9, 100%, $E$9)</f>
        <v>37.891300000000001</v>
      </c>
      <c r="F1008" s="10">
        <f>CHOOSE(CONTROL!$C$42, 37.798, 37.798)*CHOOSE(CONTROL!$C$21, $C$9, 100%, $E$9)</f>
        <v>37.798000000000002</v>
      </c>
      <c r="G1008" s="10">
        <f>CHOOSE(CONTROL!$C$42, 37.8145, 37.8145)*CHOOSE(CONTROL!$C$21, $C$9, 100%, $E$9)</f>
        <v>37.814500000000002</v>
      </c>
      <c r="H1008" s="10">
        <f>CHOOSE(CONTROL!$C$42, 37.8802, 37.8802) * CHOOSE(CONTROL!$C$21, $C$9, 100%, $E$9)</f>
        <v>37.880200000000002</v>
      </c>
      <c r="I1008" s="10">
        <f>CHOOSE(CONTROL!$C$42, 37.8427, 37.8427)* CHOOSE(CONTROL!$C$21, $C$9, 100%, $E$9)</f>
        <v>37.842700000000001</v>
      </c>
      <c r="J1008" s="10">
        <f>CHOOSE(CONTROL!$C$42, 37.7906, 37.7906)* CHOOSE(CONTROL!$C$21, $C$9, 100%, $E$9)</f>
        <v>37.790599999999998</v>
      </c>
      <c r="K1008" s="10">
        <f>CHOOSE(CONTROL!$C$42, 36.8281, 36.8281) * CHOOSE(CONTROL!$C$21, $C$9, 100%, $E$9)</f>
        <v>36.828099999999999</v>
      </c>
      <c r="L1008" s="10">
        <f>CHOOSE(CONTROL!$C$42, 38.4672, 38.4672) * CHOOSE(CONTROL!$C$21, $C$9, 100%, $E$9)</f>
        <v>38.467199999999998</v>
      </c>
      <c r="M1008" s="10">
        <f>CHOOSE(CONTROL!$C$42, 37.2964, 37.2964) * CHOOSE(CONTROL!$C$21, $C$9, 100%, $E$9)</f>
        <v>37.296399999999998</v>
      </c>
      <c r="N1008" s="10">
        <f>CHOOSE(CONTROL!$C$42, 37.3126, 37.3126) * CHOOSE(CONTROL!$C$21, $C$9, 100%, $E$9)</f>
        <v>37.312600000000003</v>
      </c>
      <c r="O1008" s="10">
        <f>CHOOSE(CONTROL!$C$42, 37.3848, 37.3848) * CHOOSE(CONTROL!$C$21, $C$9, 100%, $E$9)</f>
        <v>37.384799999999998</v>
      </c>
      <c r="P1008" s="10">
        <f>CHOOSE(CONTROL!$C$42, 37.3479, 37.3479) * CHOOSE(CONTROL!$C$21, $C$9, 100%, $E$9)</f>
        <v>37.347900000000003</v>
      </c>
      <c r="Q1008" s="10">
        <f>CHOOSE(CONTROL!$C$42, 37.9801, 37.9801) * CHOOSE(CONTROL!$C$21, $C$9, 100%, $E$9)</f>
        <v>37.9801</v>
      </c>
      <c r="R1008" s="10">
        <f>CHOOSE(CONTROL!$C$42, 38.662, 38.662) * CHOOSE(CONTROL!$C$21, $C$9, 100%, $E$9)</f>
        <v>38.661999999999999</v>
      </c>
      <c r="S1008" s="10">
        <f>CHOOSE(CONTROL!$C$42, 36.6453, 36.6453) * CHOOSE(CONTROL!$C$21, $C$9, 100%, $E$9)</f>
        <v>36.645299999999999</v>
      </c>
      <c r="T1008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08" s="38">
        <f>(1000*CHOOSE(CONTROL!$C$42, 695, 695)*CHOOSE(CONTROL!$C$42, 0.5599, 0.5599)*CHOOSE(CONTROL!$C$42, 31, 31))/1000000</f>
        <v>12.063045499999998</v>
      </c>
      <c r="V1008" s="38">
        <f>(1000*CHOOSE(CONTROL!$C$42, 500, 500)*CHOOSE(CONTROL!$C$42, 0.275, 0.275)*CHOOSE(CONTROL!$C$42, 31, 31))/1000000</f>
        <v>4.2625000000000002</v>
      </c>
      <c r="W1008" s="38">
        <f>(1000*CHOOSE(CONTROL!$C$42, 0.1146, 0.1146)*CHOOSE(CONTROL!$C$42, 121.5, 121.5)*CHOOSE(CONTROL!$C$42, 31, 31))/1000000</f>
        <v>0.43164089999999994</v>
      </c>
      <c r="X1008" s="38">
        <f>(31*0.1790888*100000/1000000)+(31*0.2374*100000/1000000)</f>
        <v>1.2911152800000001</v>
      </c>
      <c r="Y1008" s="38">
        <f>(1000*600*CHOOSE(CONTROL!$C$42, 1.0585, 1.0585)*CHOOSE(CONTROL!$C$42, 31, 31))/1000000</f>
        <v>19.688099999999999</v>
      </c>
      <c r="Z1008" s="38"/>
      <c r="AA1008" s="10"/>
      <c r="AB1008" s="39"/>
      <c r="AC1008" s="33">
        <f>(B1008*122.58+C1008*297.941+D1008*89.177+E1008*40.302+F1008*40+G1008*160+H1008*0+I1008*100+J1008*300)/(122.58+297.941+89.177+40.302+0+40+160+100+300)</f>
        <v>37.822317548608694</v>
      </c>
      <c r="AD1008" s="27">
        <f>(M1008*'RAP TEMPLATE-GAS AVAILABILITY'!O1007+N1008*'RAP TEMPLATE-GAS AVAILABILITY'!P1007+O1008*'RAP TEMPLATE-GAS AVAILABILITY'!Q1007+P1008*'RAP TEMPLATE-GAS AVAILABILITY'!R1007)/('RAP TEMPLATE-GAS AVAILABILITY'!O1007+'RAP TEMPLATE-GAS AVAILABILITY'!P1007+'RAP TEMPLATE-GAS AVAILABILITY'!Q1007+'RAP TEMPLATE-GAS AVAILABILITY'!R1007)</f>
        <v>37.344808633093528</v>
      </c>
    </row>
    <row r="1009" spans="1:30" ht="15.75">
      <c r="A1009" s="13">
        <v>71986</v>
      </c>
      <c r="B1009" s="10">
        <f>CHOOSE(CONTROL!$C$42, 40.382, 40.382) * CHOOSE(CONTROL!$C$21, $C$9, 100%, $E$9)</f>
        <v>40.381999999999998</v>
      </c>
      <c r="C1009" s="10">
        <f>CHOOSE(CONTROL!$C$42, 40.3871, 40.3871) * CHOOSE(CONTROL!$C$21, $C$9, 100%, $E$9)</f>
        <v>40.387099999999997</v>
      </c>
      <c r="D1009" s="10">
        <f>CHOOSE(CONTROL!$C$42, 40.4195, 40.4195) * CHOOSE(CONTROL!$C$21, $C$9, 100%, $E$9)</f>
        <v>40.419499999999999</v>
      </c>
      <c r="E1009" s="10">
        <f>CHOOSE(CONTROL!$C$42, 40.4533, 40.4533) * CHOOSE(CONTROL!$C$21, $C$9, 100%, $E$9)</f>
        <v>40.453299999999999</v>
      </c>
      <c r="F1009" s="10">
        <f>CHOOSE(CONTROL!$C$42, 40.3662, 40.3662)*CHOOSE(CONTROL!$C$21, $C$9, 100%, $E$9)</f>
        <v>40.366199999999999</v>
      </c>
      <c r="G1009" s="10">
        <f>CHOOSE(CONTROL!$C$42, 40.3842, 40.3842)*CHOOSE(CONTROL!$C$21, $C$9, 100%, $E$9)</f>
        <v>40.3842</v>
      </c>
      <c r="H1009" s="10">
        <f>CHOOSE(CONTROL!$C$42, 40.4422, 40.4422) * CHOOSE(CONTROL!$C$21, $C$9, 100%, $E$9)</f>
        <v>40.4422</v>
      </c>
      <c r="I1009" s="10">
        <f>CHOOSE(CONTROL!$C$42, 40.3954, 40.3954)* CHOOSE(CONTROL!$C$21, $C$9, 100%, $E$9)</f>
        <v>40.395400000000002</v>
      </c>
      <c r="J1009" s="10">
        <f>CHOOSE(CONTROL!$C$42, 40.3588, 40.3588)* CHOOSE(CONTROL!$C$21, $C$9, 100%, $E$9)</f>
        <v>40.358800000000002</v>
      </c>
      <c r="K1009" s="10">
        <f>CHOOSE(CONTROL!$C$42, 39.3151, 39.3151) * CHOOSE(CONTROL!$C$21, $C$9, 100%, $E$9)</f>
        <v>39.315100000000001</v>
      </c>
      <c r="L1009" s="10">
        <f>CHOOSE(CONTROL!$C$42, 41.0292, 41.0292) * CHOOSE(CONTROL!$C$21, $C$9, 100%, $E$9)</f>
        <v>41.029200000000003</v>
      </c>
      <c r="M1009" s="10">
        <f>CHOOSE(CONTROL!$C$42, 39.8288, 39.8288) * CHOOSE(CONTROL!$C$21, $C$9, 100%, $E$9)</f>
        <v>39.828800000000001</v>
      </c>
      <c r="N1009" s="10">
        <f>CHOOSE(CONTROL!$C$42, 39.8465, 39.8465) * CHOOSE(CONTROL!$C$21, $C$9, 100%, $E$9)</f>
        <v>39.846499999999999</v>
      </c>
      <c r="O1009" s="10">
        <f>CHOOSE(CONTROL!$C$42, 39.911, 39.911) * CHOOSE(CONTROL!$C$21, $C$9, 100%, $E$9)</f>
        <v>39.911000000000001</v>
      </c>
      <c r="P1009" s="10">
        <f>CHOOSE(CONTROL!$C$42, 39.865, 39.865) * CHOOSE(CONTROL!$C$21, $C$9, 100%, $E$9)</f>
        <v>39.865000000000002</v>
      </c>
      <c r="Q1009" s="10">
        <f>CHOOSE(CONTROL!$C$42, 40.5063, 40.5063) * CHOOSE(CONTROL!$C$21, $C$9, 100%, $E$9)</f>
        <v>40.506300000000003</v>
      </c>
      <c r="R1009" s="10">
        <f>CHOOSE(CONTROL!$C$42, 41.1946, 41.1946) * CHOOSE(CONTROL!$C$21, $C$9, 100%, $E$9)</f>
        <v>41.194600000000001</v>
      </c>
      <c r="S1009" s="10">
        <f>CHOOSE(CONTROL!$C$42, 39.1185, 39.1185) * CHOOSE(CONTROL!$C$21, $C$9, 100%, $E$9)</f>
        <v>39.118499999999997</v>
      </c>
      <c r="T1009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009" s="38">
        <f>(1000*CHOOSE(CONTROL!$C$42, 695, 695)*CHOOSE(CONTROL!$C$42, 0.5599, 0.5599)*CHOOSE(CONTROL!$C$42, 31, 31))/1000000</f>
        <v>12.063045499999998</v>
      </c>
      <c r="V1009" s="38">
        <f>(1000*CHOOSE(CONTROL!$C$42, 500, 500)*CHOOSE(CONTROL!$C$42, 0.275, 0.275)*CHOOSE(CONTROL!$C$42, 31, 31))/1000000</f>
        <v>4.2625000000000002</v>
      </c>
      <c r="W1009" s="38">
        <f>(1000*CHOOSE(CONTROL!$C$42, 0.1146, 0.1146)*CHOOSE(CONTROL!$C$42, 121.5, 121.5)*CHOOSE(CONTROL!$C$42, 31, 31))/1000000</f>
        <v>0.43164089999999994</v>
      </c>
      <c r="X1009" s="38">
        <f>(31*0.1790888*100000/1000000)+(31*0.2374*100000/1000000)</f>
        <v>1.2911152800000001</v>
      </c>
      <c r="Y1009" s="38">
        <f>(1000*600*CHOOSE(CONTROL!$C$42, 1.0585, 1.0585)*CHOOSE(CONTROL!$C$42, 31, 31))/1000000</f>
        <v>19.688099999999999</v>
      </c>
      <c r="Z1009" s="38"/>
      <c r="AA1009" s="10"/>
      <c r="AB1009" s="39"/>
      <c r="AC1009" s="33">
        <f>(B1009*122.58+C1009*297.941+D1009*89.177+E1009*40.302+F1009*40+G1009*160+H1009*0+I1009*100+J1009*300)/(122.58+297.941+89.177+40.302+0+40+160+100+300)</f>
        <v>40.383597538434785</v>
      </c>
      <c r="AD1009" s="27">
        <f>(M1009*'RAP TEMPLATE-GAS AVAILABILITY'!O1008+N1009*'RAP TEMPLATE-GAS AVAILABILITY'!P1008+O1009*'RAP TEMPLATE-GAS AVAILABILITY'!Q1008+P1009*'RAP TEMPLATE-GAS AVAILABILITY'!R1008)/('RAP TEMPLATE-GAS AVAILABILITY'!O1008+'RAP TEMPLATE-GAS AVAILABILITY'!P1008+'RAP TEMPLATE-GAS AVAILABILITY'!Q1008+'RAP TEMPLATE-GAS AVAILABILITY'!R1008)</f>
        <v>39.872283453237408</v>
      </c>
    </row>
    <row r="1010" spans="1:30" ht="15.75">
      <c r="A1010" s="13">
        <v>72014</v>
      </c>
      <c r="B1010" s="10">
        <f>CHOOSE(CONTROL!$C$42, 41.1011, 41.1011) * CHOOSE(CONTROL!$C$21, $C$9, 100%, $E$9)</f>
        <v>41.101100000000002</v>
      </c>
      <c r="C1010" s="10">
        <f>CHOOSE(CONTROL!$C$42, 41.1062, 41.1062) * CHOOSE(CONTROL!$C$21, $C$9, 100%, $E$9)</f>
        <v>41.106200000000001</v>
      </c>
      <c r="D1010" s="10">
        <f>CHOOSE(CONTROL!$C$42, 41.1387, 41.1387) * CHOOSE(CONTROL!$C$21, $C$9, 100%, $E$9)</f>
        <v>41.1387</v>
      </c>
      <c r="E1010" s="10">
        <f>CHOOSE(CONTROL!$C$42, 41.1725, 41.1725) * CHOOSE(CONTROL!$C$21, $C$9, 100%, $E$9)</f>
        <v>41.172499999999999</v>
      </c>
      <c r="F1010" s="10">
        <f>CHOOSE(CONTROL!$C$42, 41.0849, 41.0849)*CHOOSE(CONTROL!$C$21, $C$9, 100%, $E$9)</f>
        <v>41.084899999999998</v>
      </c>
      <c r="G1010" s="10">
        <f>CHOOSE(CONTROL!$C$42, 41.1028, 41.1028)*CHOOSE(CONTROL!$C$21, $C$9, 100%, $E$9)</f>
        <v>41.102800000000002</v>
      </c>
      <c r="H1010" s="10">
        <f>CHOOSE(CONTROL!$C$42, 41.1614, 41.1614) * CHOOSE(CONTROL!$C$21, $C$9, 100%, $E$9)</f>
        <v>41.1614</v>
      </c>
      <c r="I1010" s="10">
        <f>CHOOSE(CONTROL!$C$42, 41.1146, 41.1146)* CHOOSE(CONTROL!$C$21, $C$9, 100%, $E$9)</f>
        <v>41.114600000000003</v>
      </c>
      <c r="J1010" s="10">
        <f>CHOOSE(CONTROL!$C$42, 41.0775, 41.0775)* CHOOSE(CONTROL!$C$21, $C$9, 100%, $E$9)</f>
        <v>41.077500000000001</v>
      </c>
      <c r="K1010" s="10">
        <f>CHOOSE(CONTROL!$C$42, 40.0108, 40.0108) * CHOOSE(CONTROL!$C$21, $C$9, 100%, $E$9)</f>
        <v>40.010800000000003</v>
      </c>
      <c r="L1010" s="10">
        <f>CHOOSE(CONTROL!$C$42, 41.7484, 41.7484) * CHOOSE(CONTROL!$C$21, $C$9, 100%, $E$9)</f>
        <v>41.748399999999997</v>
      </c>
      <c r="M1010" s="10">
        <f>CHOOSE(CONTROL!$C$42, 40.5374, 40.5374) * CHOOSE(CONTROL!$C$21, $C$9, 100%, $E$9)</f>
        <v>40.537399999999998</v>
      </c>
      <c r="N1010" s="10">
        <f>CHOOSE(CONTROL!$C$42, 40.5551, 40.5551) * CHOOSE(CONTROL!$C$21, $C$9, 100%, $E$9)</f>
        <v>40.555100000000003</v>
      </c>
      <c r="O1010" s="10">
        <f>CHOOSE(CONTROL!$C$42, 40.6201, 40.6201) * CHOOSE(CONTROL!$C$21, $C$9, 100%, $E$9)</f>
        <v>40.620100000000001</v>
      </c>
      <c r="P1010" s="10">
        <f>CHOOSE(CONTROL!$C$42, 40.5741, 40.5741) * CHOOSE(CONTROL!$C$21, $C$9, 100%, $E$9)</f>
        <v>40.574100000000001</v>
      </c>
      <c r="Q1010" s="10">
        <f>CHOOSE(CONTROL!$C$42, 41.2154, 41.2154) * CHOOSE(CONTROL!$C$21, $C$9, 100%, $E$9)</f>
        <v>41.215400000000002</v>
      </c>
      <c r="R1010" s="10">
        <f>CHOOSE(CONTROL!$C$42, 41.9055, 41.9055) * CHOOSE(CONTROL!$C$21, $C$9, 100%, $E$9)</f>
        <v>41.905500000000004</v>
      </c>
      <c r="S1010" s="10">
        <f>CHOOSE(CONTROL!$C$42, 39.8149, 39.8149) * CHOOSE(CONTROL!$C$21, $C$9, 100%, $E$9)</f>
        <v>39.814900000000002</v>
      </c>
      <c r="T1010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010" s="38">
        <f>(1000*CHOOSE(CONTROL!$C$42, 695, 695)*CHOOSE(CONTROL!$C$42, 0.5599, 0.5599)*CHOOSE(CONTROL!$C$42, 28, 28))/1000000</f>
        <v>10.895653999999999</v>
      </c>
      <c r="V1010" s="38">
        <f>(1000*CHOOSE(CONTROL!$C$42, 500, 500)*CHOOSE(CONTROL!$C$42, 0.275, 0.275)*CHOOSE(CONTROL!$C$42, 28, 28))/1000000</f>
        <v>3.85</v>
      </c>
      <c r="W1010" s="38">
        <f>(1000*CHOOSE(CONTROL!$C$42, 0.1146, 0.1146)*CHOOSE(CONTROL!$C$42, 121.5, 121.5)*CHOOSE(CONTROL!$C$42, 28, 28))/1000000</f>
        <v>0.38986920000000003</v>
      </c>
      <c r="X1010" s="38">
        <f>(28*0.1790888*100000/1000000)+(28*0.2374*100000/1000000)</f>
        <v>1.16616864</v>
      </c>
      <c r="Y1010" s="38">
        <f>(1000*600*CHOOSE(CONTROL!$C$42, 1.0585, 1.0585)*CHOOSE(CONTROL!$C$42, 28, 28))/1000000</f>
        <v>17.782800000000002</v>
      </c>
      <c r="Z1010" s="38"/>
      <c r="AA1010" s="10"/>
      <c r="AB1010" s="39"/>
      <c r="AC1010" s="33">
        <f>(B1010*122.58+C1010*297.941+D1010*89.177+E1010*40.302+F1010*40+G1010*160+H1010*0+I1010*100+J1010*300)/(122.58+297.941+89.177+40.302+0+40+160+100+300)</f>
        <v>41.102529667043477</v>
      </c>
      <c r="AD1010" s="27">
        <f>(M1010*'RAP TEMPLATE-GAS AVAILABILITY'!O1009+N1010*'RAP TEMPLATE-GAS AVAILABILITY'!P1009+O1010*'RAP TEMPLATE-GAS AVAILABILITY'!Q1009+P1010*'RAP TEMPLATE-GAS AVAILABILITY'!R1009)/('RAP TEMPLATE-GAS AVAILABILITY'!O1009+'RAP TEMPLATE-GAS AVAILABILITY'!P1009+'RAP TEMPLATE-GAS AVAILABILITY'!Q1009+'RAP TEMPLATE-GAS AVAILABILITY'!R1009)</f>
        <v>40.581182014388489</v>
      </c>
    </row>
    <row r="1011" spans="1:30" ht="15.75">
      <c r="A1011" s="13">
        <v>72045</v>
      </c>
      <c r="B1011" s="10">
        <f>CHOOSE(CONTROL!$C$42, 39.9338, 39.9338) * CHOOSE(CONTROL!$C$21, $C$9, 100%, $E$9)</f>
        <v>39.933799999999998</v>
      </c>
      <c r="C1011" s="10">
        <f>CHOOSE(CONTROL!$C$42, 39.9389, 39.9389) * CHOOSE(CONTROL!$C$21, $C$9, 100%, $E$9)</f>
        <v>39.938899999999997</v>
      </c>
      <c r="D1011" s="10">
        <f>CHOOSE(CONTROL!$C$42, 39.9713, 39.9713) * CHOOSE(CONTROL!$C$21, $C$9, 100%, $E$9)</f>
        <v>39.971299999999999</v>
      </c>
      <c r="E1011" s="10">
        <f>CHOOSE(CONTROL!$C$42, 40.0051, 40.0051) * CHOOSE(CONTROL!$C$21, $C$9, 100%, $E$9)</f>
        <v>40.005099999999999</v>
      </c>
      <c r="F1011" s="10">
        <f>CHOOSE(CONTROL!$C$42, 39.916, 39.916)*CHOOSE(CONTROL!$C$21, $C$9, 100%, $E$9)</f>
        <v>39.915999999999997</v>
      </c>
      <c r="G1011" s="10">
        <f>CHOOSE(CONTROL!$C$42, 39.9336, 39.9336)*CHOOSE(CONTROL!$C$21, $C$9, 100%, $E$9)</f>
        <v>39.933599999999998</v>
      </c>
      <c r="H1011" s="10">
        <f>CHOOSE(CONTROL!$C$42, 39.994, 39.994) * CHOOSE(CONTROL!$C$21, $C$9, 100%, $E$9)</f>
        <v>39.994</v>
      </c>
      <c r="I1011" s="10">
        <f>CHOOSE(CONTROL!$C$42, 39.9472, 39.9472)* CHOOSE(CONTROL!$C$21, $C$9, 100%, $E$9)</f>
        <v>39.947200000000002</v>
      </c>
      <c r="J1011" s="10">
        <f>CHOOSE(CONTROL!$C$42, 39.9086, 39.9086)* CHOOSE(CONTROL!$C$21, $C$9, 100%, $E$9)</f>
        <v>39.9086</v>
      </c>
      <c r="K1011" s="10">
        <f>CHOOSE(CONTROL!$C$42, 38.8768, 38.8768) * CHOOSE(CONTROL!$C$21, $C$9, 100%, $E$9)</f>
        <v>38.876800000000003</v>
      </c>
      <c r="L1011" s="10">
        <f>CHOOSE(CONTROL!$C$42, 40.581, 40.581) * CHOOSE(CONTROL!$C$21, $C$9, 100%, $E$9)</f>
        <v>40.581000000000003</v>
      </c>
      <c r="M1011" s="10">
        <f>CHOOSE(CONTROL!$C$42, 39.3849, 39.3849) * CHOOSE(CONTROL!$C$21, $C$9, 100%, $E$9)</f>
        <v>39.384900000000002</v>
      </c>
      <c r="N1011" s="10">
        <f>CHOOSE(CONTROL!$C$42, 39.4022, 39.4022) * CHOOSE(CONTROL!$C$21, $C$9, 100%, $E$9)</f>
        <v>39.402200000000001</v>
      </c>
      <c r="O1011" s="10">
        <f>CHOOSE(CONTROL!$C$42, 39.4691, 39.4691) * CHOOSE(CONTROL!$C$21, $C$9, 100%, $E$9)</f>
        <v>39.469099999999997</v>
      </c>
      <c r="P1011" s="10">
        <f>CHOOSE(CONTROL!$C$42, 39.423, 39.423) * CHOOSE(CONTROL!$C$21, $C$9, 100%, $E$9)</f>
        <v>39.423000000000002</v>
      </c>
      <c r="Q1011" s="10">
        <f>CHOOSE(CONTROL!$C$42, 40.0644, 40.0644) * CHOOSE(CONTROL!$C$21, $C$9, 100%, $E$9)</f>
        <v>40.064399999999999</v>
      </c>
      <c r="R1011" s="10">
        <f>CHOOSE(CONTROL!$C$42, 40.7515, 40.7515) * CHOOSE(CONTROL!$C$21, $C$9, 100%, $E$9)</f>
        <v>40.7515</v>
      </c>
      <c r="S1011" s="10">
        <f>CHOOSE(CONTROL!$C$42, 38.6845, 38.6845) * CHOOSE(CONTROL!$C$21, $C$9, 100%, $E$9)</f>
        <v>38.6845</v>
      </c>
      <c r="T1011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011" s="38">
        <f>(1000*CHOOSE(CONTROL!$C$42, 695, 695)*CHOOSE(CONTROL!$C$42, 0.5599, 0.5599)*CHOOSE(CONTROL!$C$42, 31, 31))/1000000</f>
        <v>12.063045499999998</v>
      </c>
      <c r="V1011" s="38">
        <f>(1000*CHOOSE(CONTROL!$C$42, 500, 500)*CHOOSE(CONTROL!$C$42, 0.275, 0.275)*CHOOSE(CONTROL!$C$42, 31, 31))/1000000</f>
        <v>4.2625000000000002</v>
      </c>
      <c r="W1011" s="38">
        <f>(1000*CHOOSE(CONTROL!$C$42, 0.1146, 0.1146)*CHOOSE(CONTROL!$C$42, 121.5, 121.5)*CHOOSE(CONTROL!$C$42, 31, 31))/1000000</f>
        <v>0.43164089999999994</v>
      </c>
      <c r="X1011" s="38">
        <f>(31*0.1790888*100000/1000000)+(31*0.2374*100000/1000000)</f>
        <v>1.2911152800000001</v>
      </c>
      <c r="Y1011" s="38">
        <f>(1000*600*CHOOSE(CONTROL!$C$42, 1.0585, 1.0585)*CHOOSE(CONTROL!$C$42, 31, 31))/1000000</f>
        <v>19.688099999999999</v>
      </c>
      <c r="Z1011" s="38"/>
      <c r="AA1011" s="10"/>
      <c r="AB1011" s="39"/>
      <c r="AC1011" s="33">
        <f>(B1011*122.58+C1011*297.941+D1011*89.177+E1011*40.302+F1011*40+G1011*160+H1011*0+I1011*100+J1011*300)/(122.58+297.941+89.177+40.302+0+40+160+100+300)</f>
        <v>39.934472321043472</v>
      </c>
      <c r="AD1011" s="27">
        <f>(M1011*'RAP TEMPLATE-GAS AVAILABILITY'!O1010+N1011*'RAP TEMPLATE-GAS AVAILABILITY'!P1010+O1011*'RAP TEMPLATE-GAS AVAILABILITY'!Q1010+P1011*'RAP TEMPLATE-GAS AVAILABILITY'!R1010)/('RAP TEMPLATE-GAS AVAILABILITY'!O1010+'RAP TEMPLATE-GAS AVAILABILITY'!P1010+'RAP TEMPLATE-GAS AVAILABILITY'!Q1010+'RAP TEMPLATE-GAS AVAILABILITY'!R1010)</f>
        <v>39.429540287769782</v>
      </c>
    </row>
    <row r="1012" spans="1:30" ht="15.75">
      <c r="A1012" s="13">
        <v>72075</v>
      </c>
      <c r="B1012" s="10">
        <f>CHOOSE(CONTROL!$C$42, 39.8149, 39.8149) * CHOOSE(CONTROL!$C$21, $C$9, 100%, $E$9)</f>
        <v>39.814900000000002</v>
      </c>
      <c r="C1012" s="10">
        <f>CHOOSE(CONTROL!$C$42, 39.8195, 39.8195) * CHOOSE(CONTROL!$C$21, $C$9, 100%, $E$9)</f>
        <v>39.819499999999998</v>
      </c>
      <c r="D1012" s="10">
        <f>CHOOSE(CONTROL!$C$42, 39.9796, 39.9796) * CHOOSE(CONTROL!$C$21, $C$9, 100%, $E$9)</f>
        <v>39.979599999999998</v>
      </c>
      <c r="E1012" s="10">
        <f>CHOOSE(CONTROL!$C$42, 40.0114, 40.0114) * CHOOSE(CONTROL!$C$21, $C$9, 100%, $E$9)</f>
        <v>40.011400000000002</v>
      </c>
      <c r="F1012" s="10">
        <f>CHOOSE(CONTROL!$C$42, 39.761, 39.761)*CHOOSE(CONTROL!$C$21, $C$9, 100%, $E$9)</f>
        <v>39.761000000000003</v>
      </c>
      <c r="G1012" s="10">
        <f>CHOOSE(CONTROL!$C$42, 39.7769, 39.7769)*CHOOSE(CONTROL!$C$21, $C$9, 100%, $E$9)</f>
        <v>39.776899999999998</v>
      </c>
      <c r="H1012" s="10">
        <f>CHOOSE(CONTROL!$C$42, 40.0009, 40.0009) * CHOOSE(CONTROL!$C$21, $C$9, 100%, $E$9)</f>
        <v>40.000900000000001</v>
      </c>
      <c r="I1012" s="10">
        <f>CHOOSE(CONTROL!$C$42, 39.7951, 39.7951)* CHOOSE(CONTROL!$C$21, $C$9, 100%, $E$9)</f>
        <v>39.795099999999998</v>
      </c>
      <c r="J1012" s="10">
        <f>CHOOSE(CONTROL!$C$42, 39.7536, 39.7536)* CHOOSE(CONTROL!$C$21, $C$9, 100%, $E$9)</f>
        <v>39.753599999999999</v>
      </c>
      <c r="K1012" s="10">
        <f>CHOOSE(CONTROL!$C$42, 38.7134, 38.7134) * CHOOSE(CONTROL!$C$21, $C$9, 100%, $E$9)</f>
        <v>38.7134</v>
      </c>
      <c r="L1012" s="10">
        <f>CHOOSE(CONTROL!$C$42, 40.5879, 40.5879) * CHOOSE(CONTROL!$C$21, $C$9, 100%, $E$9)</f>
        <v>40.587899999999998</v>
      </c>
      <c r="M1012" s="10">
        <f>CHOOSE(CONTROL!$C$42, 39.2321, 39.2321) * CHOOSE(CONTROL!$C$21, $C$9, 100%, $E$9)</f>
        <v>39.232100000000003</v>
      </c>
      <c r="N1012" s="10">
        <f>CHOOSE(CONTROL!$C$42, 39.2477, 39.2477) * CHOOSE(CONTROL!$C$21, $C$9, 100%, $E$9)</f>
        <v>39.247700000000002</v>
      </c>
      <c r="O1012" s="10">
        <f>CHOOSE(CONTROL!$C$42, 39.4759, 39.4759) * CHOOSE(CONTROL!$C$21, $C$9, 100%, $E$9)</f>
        <v>39.475900000000003</v>
      </c>
      <c r="P1012" s="10">
        <f>CHOOSE(CONTROL!$C$42, 39.273, 39.273) * CHOOSE(CONTROL!$C$21, $C$9, 100%, $E$9)</f>
        <v>39.273000000000003</v>
      </c>
      <c r="Q1012" s="10">
        <f>CHOOSE(CONTROL!$C$42, 40.0712, 40.0712) * CHOOSE(CONTROL!$C$21, $C$9, 100%, $E$9)</f>
        <v>40.071199999999997</v>
      </c>
      <c r="R1012" s="10">
        <f>CHOOSE(CONTROL!$C$42, 40.7583, 40.7583) * CHOOSE(CONTROL!$C$21, $C$9, 100%, $E$9)</f>
        <v>40.758299999999998</v>
      </c>
      <c r="S1012" s="10">
        <f>CHOOSE(CONTROL!$C$42, 38.5687, 38.5687) * CHOOSE(CONTROL!$C$21, $C$9, 100%, $E$9)</f>
        <v>38.5687</v>
      </c>
      <c r="T1012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12" s="38">
        <f>(1000*CHOOSE(CONTROL!$C$42, 695, 695)*CHOOSE(CONTROL!$C$42, 0.5599, 0.5599)*CHOOSE(CONTROL!$C$42, 30, 30))/1000000</f>
        <v>11.673914999999997</v>
      </c>
      <c r="V1012" s="38">
        <f>(1000*CHOOSE(CONTROL!$C$42, 500, 500)*CHOOSE(CONTROL!$C$42, 0.275, 0.275)*CHOOSE(CONTROL!$C$42, 30, 30))/1000000</f>
        <v>4.125</v>
      </c>
      <c r="W1012" s="38">
        <f>(1000*CHOOSE(CONTROL!$C$42, 0.1146, 0.1146)*CHOOSE(CONTROL!$C$42, 121.5, 121.5)*CHOOSE(CONTROL!$C$42, 30, 30))/1000000</f>
        <v>0.417717</v>
      </c>
      <c r="X1012" s="38">
        <f>(30*0.1790888*245000/1000000)+(30*0.2374*100000/1000000)</f>
        <v>2.0285026799999999</v>
      </c>
      <c r="Y1012" s="38">
        <f>(1000*600*CHOOSE(CONTROL!$C$42, 1.0585, 1.0585)*CHOOSE(CONTROL!$C$42, 30, 30))/1000000</f>
        <v>19.053000000000001</v>
      </c>
      <c r="Z1012" s="38"/>
      <c r="AA1012" s="10"/>
      <c r="AB1012" s="39"/>
      <c r="AC1012" s="33">
        <f>(B1012*141.293+C1012*267.993+D1012*115.016+E1012*89.698+F1012*40+G1012*185+H1012*0+I1012*100+J1012*300)/(141.293+267.993+115.016+89.698+0+40+185+100+300)</f>
        <v>39.821555012106536</v>
      </c>
      <c r="AD1012" s="27">
        <f>(M1012*'RAP TEMPLATE-GAS AVAILABILITY'!O1011+N1012*'RAP TEMPLATE-GAS AVAILABILITY'!P1011+O1012*'RAP TEMPLATE-GAS AVAILABILITY'!Q1011+P1012*'RAP TEMPLATE-GAS AVAILABILITY'!R1011)/('RAP TEMPLATE-GAS AVAILABILITY'!O1011+'RAP TEMPLATE-GAS AVAILABILITY'!P1011+'RAP TEMPLATE-GAS AVAILABILITY'!Q1011+'RAP TEMPLATE-GAS AVAILABILITY'!R1011)</f>
        <v>39.349382014388489</v>
      </c>
    </row>
    <row r="1013" spans="1:30" ht="15.75">
      <c r="A1013" s="13">
        <v>72106</v>
      </c>
      <c r="B1013" s="10">
        <f>CHOOSE(CONTROL!$C$42, 40.1683, 40.1683) * CHOOSE(CONTROL!$C$21, $C$9, 100%, $E$9)</f>
        <v>40.168300000000002</v>
      </c>
      <c r="C1013" s="10">
        <f>CHOOSE(CONTROL!$C$42, 40.1763, 40.1763) * CHOOSE(CONTROL!$C$21, $C$9, 100%, $E$9)</f>
        <v>40.176299999999998</v>
      </c>
      <c r="D1013" s="10">
        <f>CHOOSE(CONTROL!$C$42, 40.3334, 40.3334) * CHOOSE(CONTROL!$C$21, $C$9, 100%, $E$9)</f>
        <v>40.333399999999997</v>
      </c>
      <c r="E1013" s="10">
        <f>CHOOSE(CONTROL!$C$42, 40.3646, 40.3646) * CHOOSE(CONTROL!$C$21, $C$9, 100%, $E$9)</f>
        <v>40.364600000000003</v>
      </c>
      <c r="F1013" s="10">
        <f>CHOOSE(CONTROL!$C$42, 40.1124, 40.1124)*CHOOSE(CONTROL!$C$21, $C$9, 100%, $E$9)</f>
        <v>40.112400000000001</v>
      </c>
      <c r="G1013" s="10">
        <f>CHOOSE(CONTROL!$C$42, 40.1286, 40.1286)*CHOOSE(CONTROL!$C$21, $C$9, 100%, $E$9)</f>
        <v>40.128599999999999</v>
      </c>
      <c r="H1013" s="10">
        <f>CHOOSE(CONTROL!$C$42, 40.3529, 40.3529) * CHOOSE(CONTROL!$C$21, $C$9, 100%, $E$9)</f>
        <v>40.352899999999998</v>
      </c>
      <c r="I1013" s="10">
        <f>CHOOSE(CONTROL!$C$42, 40.1471, 40.1471)* CHOOSE(CONTROL!$C$21, $C$9, 100%, $E$9)</f>
        <v>40.147100000000002</v>
      </c>
      <c r="J1013" s="10">
        <f>CHOOSE(CONTROL!$C$42, 40.105, 40.105)* CHOOSE(CONTROL!$C$21, $C$9, 100%, $E$9)</f>
        <v>40.104999999999997</v>
      </c>
      <c r="K1013" s="10">
        <f>CHOOSE(CONTROL!$C$42, 39.0531, 39.0531) * CHOOSE(CONTROL!$C$21, $C$9, 100%, $E$9)</f>
        <v>39.053100000000001</v>
      </c>
      <c r="L1013" s="10">
        <f>CHOOSE(CONTROL!$C$42, 40.9399, 40.9399) * CHOOSE(CONTROL!$C$21, $C$9, 100%, $E$9)</f>
        <v>40.939900000000002</v>
      </c>
      <c r="M1013" s="10">
        <f>CHOOSE(CONTROL!$C$42, 39.5786, 39.5786) * CHOOSE(CONTROL!$C$21, $C$9, 100%, $E$9)</f>
        <v>39.578600000000002</v>
      </c>
      <c r="N1013" s="10">
        <f>CHOOSE(CONTROL!$C$42, 39.5945, 39.5945) * CHOOSE(CONTROL!$C$21, $C$9, 100%, $E$9)</f>
        <v>39.594499999999996</v>
      </c>
      <c r="O1013" s="10">
        <f>CHOOSE(CONTROL!$C$42, 39.823, 39.823) * CHOOSE(CONTROL!$C$21, $C$9, 100%, $E$9)</f>
        <v>39.823</v>
      </c>
      <c r="P1013" s="10">
        <f>CHOOSE(CONTROL!$C$42, 39.6201, 39.6201) * CHOOSE(CONTROL!$C$21, $C$9, 100%, $E$9)</f>
        <v>39.620100000000001</v>
      </c>
      <c r="Q1013" s="10">
        <f>CHOOSE(CONTROL!$C$42, 40.4183, 40.4183) * CHOOSE(CONTROL!$C$21, $C$9, 100%, $E$9)</f>
        <v>40.418300000000002</v>
      </c>
      <c r="R1013" s="10">
        <f>CHOOSE(CONTROL!$C$42, 41.1063, 41.1063) * CHOOSE(CONTROL!$C$21, $C$9, 100%, $E$9)</f>
        <v>41.106299999999997</v>
      </c>
      <c r="S1013" s="10">
        <f>CHOOSE(CONTROL!$C$42, 38.9096, 38.9096) * CHOOSE(CONTROL!$C$21, $C$9, 100%, $E$9)</f>
        <v>38.909599999999998</v>
      </c>
      <c r="T1013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13" s="38">
        <f>(1000*CHOOSE(CONTROL!$C$42, 695, 695)*CHOOSE(CONTROL!$C$42, 0.5599, 0.5599)*CHOOSE(CONTROL!$C$42, 31, 31))/1000000</f>
        <v>12.063045499999998</v>
      </c>
      <c r="V1013" s="38">
        <f>(1000*CHOOSE(CONTROL!$C$42, 500, 500)*CHOOSE(CONTROL!$C$42, 0.275, 0.275)*CHOOSE(CONTROL!$C$42, 31, 31))/1000000</f>
        <v>4.2625000000000002</v>
      </c>
      <c r="W1013" s="38">
        <f>(1000*CHOOSE(CONTROL!$C$42, 0.1146, 0.1146)*CHOOSE(CONTROL!$C$42, 121.5, 121.5)*CHOOSE(CONTROL!$C$42, 31, 31))/1000000</f>
        <v>0.43164089999999994</v>
      </c>
      <c r="X1013" s="38">
        <f>(31*0.1790888*245000/1000000)+(31*0.2374*100000/1000000)</f>
        <v>2.0961194359999999</v>
      </c>
      <c r="Y1013" s="38">
        <f>(1000*600*CHOOSE(CONTROL!$C$42, 1.0585, 1.0585)*CHOOSE(CONTROL!$C$42, 31, 31))/1000000</f>
        <v>19.688099999999999</v>
      </c>
      <c r="Z1013" s="38"/>
      <c r="AA1013" s="10"/>
      <c r="AB1013" s="39"/>
      <c r="AC1013" s="33">
        <f>(B1013*194.205+C1013*267.466+D1013*133.845+E1013*53.484+F1013*40+G1013*185+H1013*0+I1013*100+J1013*300)/(194.205+267.466+133.845+53.484+0+40+185+100+300)</f>
        <v>40.171475782339087</v>
      </c>
      <c r="AD1013" s="27">
        <f>(M1013*'RAP TEMPLATE-GAS AVAILABILITY'!O1012+N1013*'RAP TEMPLATE-GAS AVAILABILITY'!P1012+O1013*'RAP TEMPLATE-GAS AVAILABILITY'!Q1012+P1013*'RAP TEMPLATE-GAS AVAILABILITY'!R1012)/('RAP TEMPLATE-GAS AVAILABILITY'!O1012+'RAP TEMPLATE-GAS AVAILABILITY'!P1012+'RAP TEMPLATE-GAS AVAILABILITY'!Q1012+'RAP TEMPLATE-GAS AVAILABILITY'!R1012)</f>
        <v>39.696257553956841</v>
      </c>
    </row>
    <row r="1014" spans="1:30" ht="15.75">
      <c r="A1014" s="13">
        <v>72136</v>
      </c>
      <c r="B1014" s="10">
        <f>CHOOSE(CONTROL!$C$42, 41.3081, 41.3081) * CHOOSE(CONTROL!$C$21, $C$9, 100%, $E$9)</f>
        <v>41.308100000000003</v>
      </c>
      <c r="C1014" s="10">
        <f>CHOOSE(CONTROL!$C$42, 41.3161, 41.3161) * CHOOSE(CONTROL!$C$21, $C$9, 100%, $E$9)</f>
        <v>41.316099999999999</v>
      </c>
      <c r="D1014" s="10">
        <f>CHOOSE(CONTROL!$C$42, 41.4732, 41.4732) * CHOOSE(CONTROL!$C$21, $C$9, 100%, $E$9)</f>
        <v>41.473199999999999</v>
      </c>
      <c r="E1014" s="10">
        <f>CHOOSE(CONTROL!$C$42, 41.5044, 41.5044) * CHOOSE(CONTROL!$C$21, $C$9, 100%, $E$9)</f>
        <v>41.504399999999997</v>
      </c>
      <c r="F1014" s="10">
        <f>CHOOSE(CONTROL!$C$42, 41.2524, 41.2524)*CHOOSE(CONTROL!$C$21, $C$9, 100%, $E$9)</f>
        <v>41.252400000000002</v>
      </c>
      <c r="G1014" s="10">
        <f>CHOOSE(CONTROL!$C$42, 41.2686, 41.2686)*CHOOSE(CONTROL!$C$21, $C$9, 100%, $E$9)</f>
        <v>41.268599999999999</v>
      </c>
      <c r="H1014" s="10">
        <f>CHOOSE(CONTROL!$C$42, 41.4927, 41.4927) * CHOOSE(CONTROL!$C$21, $C$9, 100%, $E$9)</f>
        <v>41.492699999999999</v>
      </c>
      <c r="I1014" s="10">
        <f>CHOOSE(CONTROL!$C$42, 41.2869, 41.2869)* CHOOSE(CONTROL!$C$21, $C$9, 100%, $E$9)</f>
        <v>41.286900000000003</v>
      </c>
      <c r="J1014" s="10">
        <f>CHOOSE(CONTROL!$C$42, 41.245, 41.245)* CHOOSE(CONTROL!$C$21, $C$9, 100%, $E$9)</f>
        <v>41.244999999999997</v>
      </c>
      <c r="K1014" s="10">
        <f>CHOOSE(CONTROL!$C$42, 40.1577, 40.1577) * CHOOSE(CONTROL!$C$21, $C$9, 100%, $E$9)</f>
        <v>40.157699999999998</v>
      </c>
      <c r="L1014" s="10">
        <f>CHOOSE(CONTROL!$C$42, 42.0797, 42.0797) * CHOOSE(CONTROL!$C$21, $C$9, 100%, $E$9)</f>
        <v>42.079700000000003</v>
      </c>
      <c r="M1014" s="10">
        <f>CHOOSE(CONTROL!$C$42, 40.7027, 40.7027) * CHOOSE(CONTROL!$C$21, $C$9, 100%, $E$9)</f>
        <v>40.7027</v>
      </c>
      <c r="N1014" s="10">
        <f>CHOOSE(CONTROL!$C$42, 40.7186, 40.7186) * CHOOSE(CONTROL!$C$21, $C$9, 100%, $E$9)</f>
        <v>40.718600000000002</v>
      </c>
      <c r="O1014" s="10">
        <f>CHOOSE(CONTROL!$C$42, 40.9469, 40.9469) * CHOOSE(CONTROL!$C$21, $C$9, 100%, $E$9)</f>
        <v>40.946899999999999</v>
      </c>
      <c r="P1014" s="10">
        <f>CHOOSE(CONTROL!$C$42, 40.744, 40.744) * CHOOSE(CONTROL!$C$21, $C$9, 100%, $E$9)</f>
        <v>40.744</v>
      </c>
      <c r="Q1014" s="10">
        <f>CHOOSE(CONTROL!$C$42, 41.5422, 41.5422) * CHOOSE(CONTROL!$C$21, $C$9, 100%, $E$9)</f>
        <v>41.542200000000001</v>
      </c>
      <c r="R1014" s="10">
        <f>CHOOSE(CONTROL!$C$42, 42.233, 42.233) * CHOOSE(CONTROL!$C$21, $C$9, 100%, $E$9)</f>
        <v>42.232999999999997</v>
      </c>
      <c r="S1014" s="10">
        <f>CHOOSE(CONTROL!$C$42, 40.0133, 40.0133) * CHOOSE(CONTROL!$C$21, $C$9, 100%, $E$9)</f>
        <v>40.013300000000001</v>
      </c>
      <c r="T1014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14" s="38">
        <f>(1000*CHOOSE(CONTROL!$C$42, 695, 695)*CHOOSE(CONTROL!$C$42, 0.5599, 0.5599)*CHOOSE(CONTROL!$C$42, 30, 30))/1000000</f>
        <v>11.673914999999997</v>
      </c>
      <c r="V1014" s="38">
        <f>(1000*CHOOSE(CONTROL!$C$42, 500, 500)*CHOOSE(CONTROL!$C$42, 0.275, 0.275)*CHOOSE(CONTROL!$C$42, 30, 30))/1000000</f>
        <v>4.125</v>
      </c>
      <c r="W1014" s="38">
        <f>(1000*CHOOSE(CONTROL!$C$42, 0.1146, 0.1146)*CHOOSE(CONTROL!$C$42, 121.5, 121.5)*CHOOSE(CONTROL!$C$42, 30, 30))/1000000</f>
        <v>0.417717</v>
      </c>
      <c r="X1014" s="38">
        <f>(30*0.1790888*245000/1000000)+(30*0.2374*100000/1000000)</f>
        <v>2.0285026799999999</v>
      </c>
      <c r="Y1014" s="38">
        <f>(1000*600*CHOOSE(CONTROL!$C$42, 1.0585, 1.0585)*CHOOSE(CONTROL!$C$42, 30, 30))/1000000</f>
        <v>19.053000000000001</v>
      </c>
      <c r="Z1014" s="38"/>
      <c r="AA1014" s="10"/>
      <c r="AB1014" s="39"/>
      <c r="AC1014" s="33">
        <f>(B1014*194.205+C1014*267.466+D1014*133.845+E1014*53.484+F1014*40+G1014*185+H1014*0+I1014*100+J1014*300)/(194.205+267.466+133.845+53.484+0+40+185+100+300)</f>
        <v>41.311358199921507</v>
      </c>
      <c r="AD1014" s="27">
        <f>(M1014*'RAP TEMPLATE-GAS AVAILABILITY'!O1013+N1014*'RAP TEMPLATE-GAS AVAILABILITY'!P1013+O1014*'RAP TEMPLATE-GAS AVAILABILITY'!Q1013+P1014*'RAP TEMPLATE-GAS AVAILABILITY'!R1013)/('RAP TEMPLATE-GAS AVAILABILITY'!O1013+'RAP TEMPLATE-GAS AVAILABILITY'!P1013+'RAP TEMPLATE-GAS AVAILABILITY'!Q1013+'RAP TEMPLATE-GAS AVAILABILITY'!R1013)</f>
        <v>40.820238129496403</v>
      </c>
    </row>
    <row r="1015" spans="1:30" ht="15.75">
      <c r="A1015" s="13">
        <v>72167</v>
      </c>
      <c r="B1015" s="10">
        <f>CHOOSE(CONTROL!$C$42, 40.5154, 40.5154) * CHOOSE(CONTROL!$C$21, $C$9, 100%, $E$9)</f>
        <v>40.5154</v>
      </c>
      <c r="C1015" s="10">
        <f>CHOOSE(CONTROL!$C$42, 40.5234, 40.5234) * CHOOSE(CONTROL!$C$21, $C$9, 100%, $E$9)</f>
        <v>40.523400000000002</v>
      </c>
      <c r="D1015" s="10">
        <f>CHOOSE(CONTROL!$C$42, 40.6804, 40.6804) * CHOOSE(CONTROL!$C$21, $C$9, 100%, $E$9)</f>
        <v>40.680399999999999</v>
      </c>
      <c r="E1015" s="10">
        <f>CHOOSE(CONTROL!$C$42, 40.7116, 40.7116) * CHOOSE(CONTROL!$C$21, $C$9, 100%, $E$9)</f>
        <v>40.711599999999997</v>
      </c>
      <c r="F1015" s="10">
        <f>CHOOSE(CONTROL!$C$42, 40.46, 40.46)*CHOOSE(CONTROL!$C$21, $C$9, 100%, $E$9)</f>
        <v>40.46</v>
      </c>
      <c r="G1015" s="10">
        <f>CHOOSE(CONTROL!$C$42, 40.4763, 40.4763)*CHOOSE(CONTROL!$C$21, $C$9, 100%, $E$9)</f>
        <v>40.476300000000002</v>
      </c>
      <c r="H1015" s="10">
        <f>CHOOSE(CONTROL!$C$42, 40.7, 40.7) * CHOOSE(CONTROL!$C$21, $C$9, 100%, $E$9)</f>
        <v>40.700000000000003</v>
      </c>
      <c r="I1015" s="10">
        <f>CHOOSE(CONTROL!$C$42, 40.4942, 40.4942)* CHOOSE(CONTROL!$C$21, $C$9, 100%, $E$9)</f>
        <v>40.494199999999999</v>
      </c>
      <c r="J1015" s="10">
        <f>CHOOSE(CONTROL!$C$42, 40.4526, 40.4526)* CHOOSE(CONTROL!$C$21, $C$9, 100%, $E$9)</f>
        <v>40.452599999999997</v>
      </c>
      <c r="K1015" s="10">
        <f>CHOOSE(CONTROL!$C$42, 39.3904, 39.3904) * CHOOSE(CONTROL!$C$21, $C$9, 100%, $E$9)</f>
        <v>39.3904</v>
      </c>
      <c r="L1015" s="10">
        <f>CHOOSE(CONTROL!$C$42, 41.287, 41.287) * CHOOSE(CONTROL!$C$21, $C$9, 100%, $E$9)</f>
        <v>41.286999999999999</v>
      </c>
      <c r="M1015" s="10">
        <f>CHOOSE(CONTROL!$C$42, 39.9213, 39.9213) * CHOOSE(CONTROL!$C$21, $C$9, 100%, $E$9)</f>
        <v>39.921300000000002</v>
      </c>
      <c r="N1015" s="10">
        <f>CHOOSE(CONTROL!$C$42, 39.9373, 39.9373) * CHOOSE(CONTROL!$C$21, $C$9, 100%, $E$9)</f>
        <v>39.9373</v>
      </c>
      <c r="O1015" s="10">
        <f>CHOOSE(CONTROL!$C$42, 40.1652, 40.1652) * CHOOSE(CONTROL!$C$21, $C$9, 100%, $E$9)</f>
        <v>40.165199999999999</v>
      </c>
      <c r="P1015" s="10">
        <f>CHOOSE(CONTROL!$C$42, 39.9623, 39.9623) * CHOOSE(CONTROL!$C$21, $C$9, 100%, $E$9)</f>
        <v>39.962299999999999</v>
      </c>
      <c r="Q1015" s="10">
        <f>CHOOSE(CONTROL!$C$42, 40.7605, 40.7605) * CHOOSE(CONTROL!$C$21, $C$9, 100%, $E$9)</f>
        <v>40.7605</v>
      </c>
      <c r="R1015" s="10">
        <f>CHOOSE(CONTROL!$C$42, 41.4494, 41.4494) * CHOOSE(CONTROL!$C$21, $C$9, 100%, $E$9)</f>
        <v>41.449399999999997</v>
      </c>
      <c r="S1015" s="10">
        <f>CHOOSE(CONTROL!$C$42, 39.2456, 39.2456) * CHOOSE(CONTROL!$C$21, $C$9, 100%, $E$9)</f>
        <v>39.245600000000003</v>
      </c>
      <c r="T1015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15" s="38">
        <f>(1000*CHOOSE(CONTROL!$C$42, 695, 695)*CHOOSE(CONTROL!$C$42, 0.5599, 0.5599)*CHOOSE(CONTROL!$C$42, 31, 31))/1000000</f>
        <v>12.063045499999998</v>
      </c>
      <c r="V1015" s="38">
        <f>(1000*CHOOSE(CONTROL!$C$42, 500, 500)*CHOOSE(CONTROL!$C$42, 0.275, 0.275)*CHOOSE(CONTROL!$C$42, 31, 31))/1000000</f>
        <v>4.2625000000000002</v>
      </c>
      <c r="W1015" s="38">
        <f>(1000*CHOOSE(CONTROL!$C$42, 0.1146, 0.1146)*CHOOSE(CONTROL!$C$42, 121.5, 121.5)*CHOOSE(CONTROL!$C$42, 31, 31))/1000000</f>
        <v>0.43164089999999994</v>
      </c>
      <c r="X1015" s="38">
        <f>(31*0.1790888*245000/1000000)+(31*0.2374*100000/1000000)</f>
        <v>2.0961194359999999</v>
      </c>
      <c r="Y1015" s="38">
        <f>(1000*600*CHOOSE(CONTROL!$C$42, 1.0585, 1.0585)*CHOOSE(CONTROL!$C$42, 31, 31))/1000000</f>
        <v>19.688099999999999</v>
      </c>
      <c r="Z1015" s="38"/>
      <c r="AA1015" s="10"/>
      <c r="AB1015" s="39"/>
      <c r="AC1015" s="33">
        <f>(B1015*194.205+C1015*267.466+D1015*133.845+E1015*53.484+F1015*40+G1015*185+H1015*0+I1015*100+J1015*300)/(194.205+267.466+133.845+53.484+0+40+185+100+300)</f>
        <v>40.518781643485084</v>
      </c>
      <c r="AD1015" s="27">
        <f>(M1015*'RAP TEMPLATE-GAS AVAILABILITY'!O1014+N1015*'RAP TEMPLATE-GAS AVAILABILITY'!P1014+O1015*'RAP TEMPLATE-GAS AVAILABILITY'!Q1014+P1015*'RAP TEMPLATE-GAS AVAILABILITY'!R1014)/('RAP TEMPLATE-GAS AVAILABILITY'!O1014+'RAP TEMPLATE-GAS AVAILABILITY'!P1014+'RAP TEMPLATE-GAS AVAILABILITY'!Q1014+'RAP TEMPLATE-GAS AVAILABILITY'!R1014)</f>
        <v>40.038664748201441</v>
      </c>
    </row>
    <row r="1016" spans="1:30" ht="15.75">
      <c r="A1016" s="13">
        <v>72198</v>
      </c>
      <c r="B1016" s="10">
        <f>CHOOSE(CONTROL!$C$42, 38.5134, 38.5134) * CHOOSE(CONTROL!$C$21, $C$9, 100%, $E$9)</f>
        <v>38.513399999999997</v>
      </c>
      <c r="C1016" s="10">
        <f>CHOOSE(CONTROL!$C$42, 38.5214, 38.5214) * CHOOSE(CONTROL!$C$21, $C$9, 100%, $E$9)</f>
        <v>38.5214</v>
      </c>
      <c r="D1016" s="10">
        <f>CHOOSE(CONTROL!$C$42, 38.6785, 38.6785) * CHOOSE(CONTROL!$C$21, $C$9, 100%, $E$9)</f>
        <v>38.6785</v>
      </c>
      <c r="E1016" s="10">
        <f>CHOOSE(CONTROL!$C$42, 38.7097, 38.7097) * CHOOSE(CONTROL!$C$21, $C$9, 100%, $E$9)</f>
        <v>38.709699999999998</v>
      </c>
      <c r="F1016" s="10">
        <f>CHOOSE(CONTROL!$C$42, 38.458, 38.458)*CHOOSE(CONTROL!$C$21, $C$9, 100%, $E$9)</f>
        <v>38.457999999999998</v>
      </c>
      <c r="G1016" s="10">
        <f>CHOOSE(CONTROL!$C$42, 38.4742, 38.4742)*CHOOSE(CONTROL!$C$21, $C$9, 100%, $E$9)</f>
        <v>38.474200000000003</v>
      </c>
      <c r="H1016" s="10">
        <f>CHOOSE(CONTROL!$C$42, 38.698, 38.698) * CHOOSE(CONTROL!$C$21, $C$9, 100%, $E$9)</f>
        <v>38.698</v>
      </c>
      <c r="I1016" s="10">
        <f>CHOOSE(CONTROL!$C$42, 38.4922, 38.4922)* CHOOSE(CONTROL!$C$21, $C$9, 100%, $E$9)</f>
        <v>38.492199999999997</v>
      </c>
      <c r="J1016" s="10">
        <f>CHOOSE(CONTROL!$C$42, 38.4506, 38.4506)* CHOOSE(CONTROL!$C$21, $C$9, 100%, $E$9)</f>
        <v>38.450600000000001</v>
      </c>
      <c r="K1016" s="10">
        <f>CHOOSE(CONTROL!$C$42, 37.4508, 37.4508) * CHOOSE(CONTROL!$C$21, $C$9, 100%, $E$9)</f>
        <v>37.450800000000001</v>
      </c>
      <c r="L1016" s="10">
        <f>CHOOSE(CONTROL!$C$42, 39.285, 39.285) * CHOOSE(CONTROL!$C$21, $C$9, 100%, $E$9)</f>
        <v>39.284999999999997</v>
      </c>
      <c r="M1016" s="10">
        <f>CHOOSE(CONTROL!$C$42, 37.9472, 37.9472) * CHOOSE(CONTROL!$C$21, $C$9, 100%, $E$9)</f>
        <v>37.947200000000002</v>
      </c>
      <c r="N1016" s="10">
        <f>CHOOSE(CONTROL!$C$42, 37.9632, 37.9632) * CHOOSE(CONTROL!$C$21, $C$9, 100%, $E$9)</f>
        <v>37.963200000000001</v>
      </c>
      <c r="O1016" s="10">
        <f>CHOOSE(CONTROL!$C$42, 38.1912, 38.1912) * CHOOSE(CONTROL!$C$21, $C$9, 100%, $E$9)</f>
        <v>38.191200000000002</v>
      </c>
      <c r="P1016" s="10">
        <f>CHOOSE(CONTROL!$C$42, 37.9883, 37.9883) * CHOOSE(CONTROL!$C$21, $C$9, 100%, $E$9)</f>
        <v>37.988300000000002</v>
      </c>
      <c r="Q1016" s="10">
        <f>CHOOSE(CONTROL!$C$42, 38.7865, 38.7865) * CHOOSE(CONTROL!$C$21, $C$9, 100%, $E$9)</f>
        <v>38.786499999999997</v>
      </c>
      <c r="R1016" s="10">
        <f>CHOOSE(CONTROL!$C$42, 39.4704, 39.4704) * CHOOSE(CONTROL!$C$21, $C$9, 100%, $E$9)</f>
        <v>39.470399999999998</v>
      </c>
      <c r="S1016" s="10">
        <f>CHOOSE(CONTROL!$C$42, 37.3071, 37.3071) * CHOOSE(CONTROL!$C$21, $C$9, 100%, $E$9)</f>
        <v>37.307099999999998</v>
      </c>
      <c r="T1016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16" s="38">
        <f>(1000*CHOOSE(CONTROL!$C$42, 695, 695)*CHOOSE(CONTROL!$C$42, 0.5599, 0.5599)*CHOOSE(CONTROL!$C$42, 31, 31))/1000000</f>
        <v>12.063045499999998</v>
      </c>
      <c r="V1016" s="38">
        <f>(1000*CHOOSE(CONTROL!$C$42, 500, 500)*CHOOSE(CONTROL!$C$42, 0.275, 0.275)*CHOOSE(CONTROL!$C$42, 31, 31))/1000000</f>
        <v>4.2625000000000002</v>
      </c>
      <c r="W1016" s="38">
        <f>(1000*CHOOSE(CONTROL!$C$42, 0.1146, 0.1146)*CHOOSE(CONTROL!$C$42, 121.5, 121.5)*CHOOSE(CONTROL!$C$42, 31, 31))/1000000</f>
        <v>0.43164089999999994</v>
      </c>
      <c r="X1016" s="38">
        <f>(31*0.1790888*245000/1000000)+(31*0.2374*100000/1000000)</f>
        <v>2.0961194359999999</v>
      </c>
      <c r="Y1016" s="38">
        <f>(1000*600*CHOOSE(CONTROL!$C$42, 1.0585, 1.0585)*CHOOSE(CONTROL!$C$42, 31, 31))/1000000</f>
        <v>19.688099999999999</v>
      </c>
      <c r="Z1016" s="38"/>
      <c r="AA1016" s="10"/>
      <c r="AB1016" s="39"/>
      <c r="AC1016" s="33">
        <f>(B1016*194.205+C1016*267.466+D1016*133.845+E1016*53.484+F1016*40+G1016*185+H1016*0+I1016*100+J1016*300)/(194.205+267.466+133.845+53.484+0+40+185+100+300)</f>
        <v>38.516781826295137</v>
      </c>
      <c r="AD1016" s="27">
        <f>(M1016*'RAP TEMPLATE-GAS AVAILABILITY'!O1015+N1016*'RAP TEMPLATE-GAS AVAILABILITY'!P1015+O1016*'RAP TEMPLATE-GAS AVAILABILITY'!Q1015+P1016*'RAP TEMPLATE-GAS AVAILABILITY'!R1015)/('RAP TEMPLATE-GAS AVAILABILITY'!O1015+'RAP TEMPLATE-GAS AVAILABILITY'!P1015+'RAP TEMPLATE-GAS AVAILABILITY'!Q1015+'RAP TEMPLATE-GAS AVAILABILITY'!R1015)</f>
        <v>38.064624460431659</v>
      </c>
    </row>
    <row r="1017" spans="1:30" ht="15.75">
      <c r="A1017" s="13">
        <v>72228</v>
      </c>
      <c r="B1017" s="10">
        <f>CHOOSE(CONTROL!$C$42, 36.0674, 36.0674) * CHOOSE(CONTROL!$C$21, $C$9, 100%, $E$9)</f>
        <v>36.067399999999999</v>
      </c>
      <c r="C1017" s="10">
        <f>CHOOSE(CONTROL!$C$42, 36.0754, 36.0754) * CHOOSE(CONTROL!$C$21, $C$9, 100%, $E$9)</f>
        <v>36.075400000000002</v>
      </c>
      <c r="D1017" s="10">
        <f>CHOOSE(CONTROL!$C$42, 36.2325, 36.2325) * CHOOSE(CONTROL!$C$21, $C$9, 100%, $E$9)</f>
        <v>36.232500000000002</v>
      </c>
      <c r="E1017" s="10">
        <f>CHOOSE(CONTROL!$C$42, 36.2637, 36.2637) * CHOOSE(CONTROL!$C$21, $C$9, 100%, $E$9)</f>
        <v>36.2637</v>
      </c>
      <c r="F1017" s="10">
        <f>CHOOSE(CONTROL!$C$42, 36.0118, 36.0118)*CHOOSE(CONTROL!$C$21, $C$9, 100%, $E$9)</f>
        <v>36.011800000000001</v>
      </c>
      <c r="G1017" s="10">
        <f>CHOOSE(CONTROL!$C$42, 36.028, 36.028)*CHOOSE(CONTROL!$C$21, $C$9, 100%, $E$9)</f>
        <v>36.027999999999999</v>
      </c>
      <c r="H1017" s="10">
        <f>CHOOSE(CONTROL!$C$42, 36.252, 36.252) * CHOOSE(CONTROL!$C$21, $C$9, 100%, $E$9)</f>
        <v>36.252000000000002</v>
      </c>
      <c r="I1017" s="10">
        <f>CHOOSE(CONTROL!$C$42, 36.0462, 36.0462)* CHOOSE(CONTROL!$C$21, $C$9, 100%, $E$9)</f>
        <v>36.046199999999999</v>
      </c>
      <c r="J1017" s="10">
        <f>CHOOSE(CONTROL!$C$42, 36.0044, 36.0044)* CHOOSE(CONTROL!$C$21, $C$9, 100%, $E$9)</f>
        <v>36.004399999999997</v>
      </c>
      <c r="K1017" s="10">
        <f>CHOOSE(CONTROL!$C$42, 35.0807, 35.0807) * CHOOSE(CONTROL!$C$21, $C$9, 100%, $E$9)</f>
        <v>35.0807</v>
      </c>
      <c r="L1017" s="10">
        <f>CHOOSE(CONTROL!$C$42, 36.839, 36.839) * CHOOSE(CONTROL!$C$21, $C$9, 100%, $E$9)</f>
        <v>36.838999999999999</v>
      </c>
      <c r="M1017" s="10">
        <f>CHOOSE(CONTROL!$C$42, 35.5351, 35.5351) * CHOOSE(CONTROL!$C$21, $C$9, 100%, $E$9)</f>
        <v>35.5351</v>
      </c>
      <c r="N1017" s="10">
        <f>CHOOSE(CONTROL!$C$42, 35.5511, 35.5511) * CHOOSE(CONTROL!$C$21, $C$9, 100%, $E$9)</f>
        <v>35.551099999999998</v>
      </c>
      <c r="O1017" s="10">
        <f>CHOOSE(CONTROL!$C$42, 35.7793, 35.7793) * CHOOSE(CONTROL!$C$21, $C$9, 100%, $E$9)</f>
        <v>35.779299999999999</v>
      </c>
      <c r="P1017" s="10">
        <f>CHOOSE(CONTROL!$C$42, 35.5764, 35.5764) * CHOOSE(CONTROL!$C$21, $C$9, 100%, $E$9)</f>
        <v>35.5764</v>
      </c>
      <c r="Q1017" s="10">
        <f>CHOOSE(CONTROL!$C$42, 36.3746, 36.3746) * CHOOSE(CONTROL!$C$21, $C$9, 100%, $E$9)</f>
        <v>36.374600000000001</v>
      </c>
      <c r="R1017" s="10">
        <f>CHOOSE(CONTROL!$C$42, 37.0525, 37.0525) * CHOOSE(CONTROL!$C$21, $C$9, 100%, $E$9)</f>
        <v>37.052500000000002</v>
      </c>
      <c r="S1017" s="10">
        <f>CHOOSE(CONTROL!$C$42, 34.9387, 34.9387) * CHOOSE(CONTROL!$C$21, $C$9, 100%, $E$9)</f>
        <v>34.938699999999997</v>
      </c>
      <c r="T1017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17" s="38">
        <f>(1000*CHOOSE(CONTROL!$C$42, 695, 695)*CHOOSE(CONTROL!$C$42, 0.5599, 0.5599)*CHOOSE(CONTROL!$C$42, 30, 30))/1000000</f>
        <v>11.673914999999997</v>
      </c>
      <c r="V1017" s="38">
        <f>(1000*CHOOSE(CONTROL!$C$42, 500, 500)*CHOOSE(CONTROL!$C$42, 0.275, 0.275)*CHOOSE(CONTROL!$C$42, 30, 30))/1000000</f>
        <v>4.125</v>
      </c>
      <c r="W1017" s="38">
        <f>(1000*CHOOSE(CONTROL!$C$42, 0.1146, 0.1146)*CHOOSE(CONTROL!$C$42, 121.5, 121.5)*CHOOSE(CONTROL!$C$42, 30, 30))/1000000</f>
        <v>0.417717</v>
      </c>
      <c r="X1017" s="38">
        <f>(30*0.1790888*245000/1000000)+(30*0.2374*100000/1000000)</f>
        <v>2.0285026799999999</v>
      </c>
      <c r="Y1017" s="38">
        <f>(1000*600*CHOOSE(CONTROL!$C$42, 1.0585, 1.0585)*CHOOSE(CONTROL!$C$42, 30, 30))/1000000</f>
        <v>19.053000000000001</v>
      </c>
      <c r="Z1017" s="38"/>
      <c r="AA1017" s="10"/>
      <c r="AB1017" s="39"/>
      <c r="AC1017" s="33">
        <f>(B1017*194.205+C1017*267.466+D1017*133.845+E1017*53.484+F1017*40+G1017*185+H1017*0+I1017*100+J1017*300)/(194.205+267.466+133.845+53.484+0+40+185+100+300)</f>
        <v>36.07069940871272</v>
      </c>
      <c r="AD1017" s="27">
        <f>(M1017*'RAP TEMPLATE-GAS AVAILABILITY'!O1016+N1017*'RAP TEMPLATE-GAS AVAILABILITY'!P1016+O1017*'RAP TEMPLATE-GAS AVAILABILITY'!Q1016+P1017*'RAP TEMPLATE-GAS AVAILABILITY'!R1016)/('RAP TEMPLATE-GAS AVAILABILITY'!O1016+'RAP TEMPLATE-GAS AVAILABILITY'!P1016+'RAP TEMPLATE-GAS AVAILABILITY'!Q1016+'RAP TEMPLATE-GAS AVAILABILITY'!R1016)</f>
        <v>35.652643884892086</v>
      </c>
    </row>
    <row r="1018" spans="1:30" ht="15.75">
      <c r="A1018" s="13">
        <v>72259</v>
      </c>
      <c r="B1018" s="10">
        <f>CHOOSE(CONTROL!$C$42, 35.3327, 35.3327) * CHOOSE(CONTROL!$C$21, $C$9, 100%, $E$9)</f>
        <v>35.332700000000003</v>
      </c>
      <c r="C1018" s="10">
        <f>CHOOSE(CONTROL!$C$42, 35.338, 35.338) * CHOOSE(CONTROL!$C$21, $C$9, 100%, $E$9)</f>
        <v>35.338000000000001</v>
      </c>
      <c r="D1018" s="10">
        <f>CHOOSE(CONTROL!$C$42, 35.4999, 35.4999) * CHOOSE(CONTROL!$C$21, $C$9, 100%, $E$9)</f>
        <v>35.499899999999997</v>
      </c>
      <c r="E1018" s="10">
        <f>CHOOSE(CONTROL!$C$42, 35.5288, 35.5288) * CHOOSE(CONTROL!$C$21, $C$9, 100%, $E$9)</f>
        <v>35.528799999999997</v>
      </c>
      <c r="F1018" s="10">
        <f>CHOOSE(CONTROL!$C$42, 35.279, 35.279)*CHOOSE(CONTROL!$C$21, $C$9, 100%, $E$9)</f>
        <v>35.279000000000003</v>
      </c>
      <c r="G1018" s="10">
        <f>CHOOSE(CONTROL!$C$42, 35.2949, 35.2949)*CHOOSE(CONTROL!$C$21, $C$9, 100%, $E$9)</f>
        <v>35.294899999999998</v>
      </c>
      <c r="H1018" s="10">
        <f>CHOOSE(CONTROL!$C$42, 35.519, 35.519) * CHOOSE(CONTROL!$C$21, $C$9, 100%, $E$9)</f>
        <v>35.518999999999998</v>
      </c>
      <c r="I1018" s="10">
        <f>CHOOSE(CONTROL!$C$42, 35.3132, 35.3132)* CHOOSE(CONTROL!$C$21, $C$9, 100%, $E$9)</f>
        <v>35.313200000000002</v>
      </c>
      <c r="J1018" s="10">
        <f>CHOOSE(CONTROL!$C$42, 35.2716, 35.2716)* CHOOSE(CONTROL!$C$21, $C$9, 100%, $E$9)</f>
        <v>35.271599999999999</v>
      </c>
      <c r="K1018" s="10">
        <f>CHOOSE(CONTROL!$C$42, 34.3712, 34.3712) * CHOOSE(CONTROL!$C$21, $C$9, 100%, $E$9)</f>
        <v>34.371200000000002</v>
      </c>
      <c r="L1018" s="10">
        <f>CHOOSE(CONTROL!$C$42, 36.106, 36.106) * CHOOSE(CONTROL!$C$21, $C$9, 100%, $E$9)</f>
        <v>36.106000000000002</v>
      </c>
      <c r="M1018" s="10">
        <f>CHOOSE(CONTROL!$C$42, 34.8126, 34.8126) * CHOOSE(CONTROL!$C$21, $C$9, 100%, $E$9)</f>
        <v>34.812600000000003</v>
      </c>
      <c r="N1018" s="10">
        <f>CHOOSE(CONTROL!$C$42, 34.8282, 34.8282) * CHOOSE(CONTROL!$C$21, $C$9, 100%, $E$9)</f>
        <v>34.828200000000002</v>
      </c>
      <c r="O1018" s="10">
        <f>CHOOSE(CONTROL!$C$42, 35.0565, 35.0565) * CHOOSE(CONTROL!$C$21, $C$9, 100%, $E$9)</f>
        <v>35.0565</v>
      </c>
      <c r="P1018" s="10">
        <f>CHOOSE(CONTROL!$C$42, 34.8536, 34.8536) * CHOOSE(CONTROL!$C$21, $C$9, 100%, $E$9)</f>
        <v>34.8536</v>
      </c>
      <c r="Q1018" s="10">
        <f>CHOOSE(CONTROL!$C$42, 35.6518, 35.6518) * CHOOSE(CONTROL!$C$21, $C$9, 100%, $E$9)</f>
        <v>35.651800000000001</v>
      </c>
      <c r="R1018" s="10">
        <f>CHOOSE(CONTROL!$C$42, 36.3279, 36.3279) * CHOOSE(CONTROL!$C$21, $C$9, 100%, $E$9)</f>
        <v>36.3279</v>
      </c>
      <c r="S1018" s="10">
        <f>CHOOSE(CONTROL!$C$42, 34.2289, 34.2289) * CHOOSE(CONTROL!$C$21, $C$9, 100%, $E$9)</f>
        <v>34.228900000000003</v>
      </c>
      <c r="T1018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18" s="38">
        <f>(1000*CHOOSE(CONTROL!$C$42, 695, 695)*CHOOSE(CONTROL!$C$42, 0.5599, 0.5599)*CHOOSE(CONTROL!$C$42, 31, 31))/1000000</f>
        <v>12.063045499999998</v>
      </c>
      <c r="V1018" s="38">
        <f>(1000*CHOOSE(CONTROL!$C$42, 500, 500)*CHOOSE(CONTROL!$C$42, 0.275, 0.275)*CHOOSE(CONTROL!$C$42, 31, 31))/1000000</f>
        <v>4.2625000000000002</v>
      </c>
      <c r="W1018" s="38">
        <f>(1000*CHOOSE(CONTROL!$C$42, 0.1146, 0.1146)*CHOOSE(CONTROL!$C$42, 121.5, 121.5)*CHOOSE(CONTROL!$C$42, 31, 31))/1000000</f>
        <v>0.43164089999999994</v>
      </c>
      <c r="X1018" s="38">
        <f>(31*0.1790888*245000/1000000)+(31*0.2374*100000/1000000)</f>
        <v>2.0961194359999999</v>
      </c>
      <c r="Y1018" s="38">
        <f>(1000*600*CHOOSE(CONTROL!$C$42, 1.0585, 1.0585)*CHOOSE(CONTROL!$C$42, 31, 31))/1000000</f>
        <v>19.688099999999999</v>
      </c>
      <c r="Z1018" s="38"/>
      <c r="AA1018" s="10"/>
      <c r="AB1018" s="39"/>
      <c r="AC1018" s="33">
        <f>(B1018*131.881+C1018*277.167+D1018*79.08+E1018*125.872+F1018*40+G1018*185+H1018*0+I1018*100+J1018*300)/(131.881+277.167+79.08+125.872+0+40+185+100+300)</f>
        <v>35.340733624132362</v>
      </c>
      <c r="AD1018" s="27">
        <f>(M1018*'RAP TEMPLATE-GAS AVAILABILITY'!O1017+N1018*'RAP TEMPLATE-GAS AVAILABILITY'!P1017+O1018*'RAP TEMPLATE-GAS AVAILABILITY'!Q1017+P1018*'RAP TEMPLATE-GAS AVAILABILITY'!R1017)/('RAP TEMPLATE-GAS AVAILABILITY'!O1017+'RAP TEMPLATE-GAS AVAILABILITY'!P1017+'RAP TEMPLATE-GAS AVAILABILITY'!Q1017+'RAP TEMPLATE-GAS AVAILABILITY'!R1017)</f>
        <v>34.929941726618708</v>
      </c>
    </row>
    <row r="1019" spans="1:30" ht="15.75">
      <c r="A1019" s="13">
        <v>72289</v>
      </c>
      <c r="B1019" s="10">
        <f>CHOOSE(CONTROL!$C$42, 36.2635, 36.2635) * CHOOSE(CONTROL!$C$21, $C$9, 100%, $E$9)</f>
        <v>36.263500000000001</v>
      </c>
      <c r="C1019" s="10">
        <f>CHOOSE(CONTROL!$C$42, 36.2686, 36.2686) * CHOOSE(CONTROL!$C$21, $C$9, 100%, $E$9)</f>
        <v>36.268599999999999</v>
      </c>
      <c r="D1019" s="10">
        <f>CHOOSE(CONTROL!$C$42, 36.2933, 36.2933) * CHOOSE(CONTROL!$C$21, $C$9, 100%, $E$9)</f>
        <v>36.293300000000002</v>
      </c>
      <c r="E1019" s="10">
        <f>CHOOSE(CONTROL!$C$42, 36.3271, 36.3271) * CHOOSE(CONTROL!$C$21, $C$9, 100%, $E$9)</f>
        <v>36.327100000000002</v>
      </c>
      <c r="F1019" s="10">
        <f>CHOOSE(CONTROL!$C$42, 36.2318, 36.2318)*CHOOSE(CONTROL!$C$21, $C$9, 100%, $E$9)</f>
        <v>36.2318</v>
      </c>
      <c r="G1019" s="10">
        <f>CHOOSE(CONTROL!$C$42, 36.2478, 36.2478)*CHOOSE(CONTROL!$C$21, $C$9, 100%, $E$9)</f>
        <v>36.247799999999998</v>
      </c>
      <c r="H1019" s="10">
        <f>CHOOSE(CONTROL!$C$42, 36.316, 36.316) * CHOOSE(CONTROL!$C$21, $C$9, 100%, $E$9)</f>
        <v>36.316000000000003</v>
      </c>
      <c r="I1019" s="10">
        <f>CHOOSE(CONTROL!$C$42, 36.2785, 36.2785)* CHOOSE(CONTROL!$C$21, $C$9, 100%, $E$9)</f>
        <v>36.278500000000001</v>
      </c>
      <c r="J1019" s="10">
        <f>CHOOSE(CONTROL!$C$42, 36.2244, 36.2244)* CHOOSE(CONTROL!$C$21, $C$9, 100%, $E$9)</f>
        <v>36.224400000000003</v>
      </c>
      <c r="K1019" s="10">
        <f>CHOOSE(CONTROL!$C$42, 35.3086, 35.3086) * CHOOSE(CONTROL!$C$21, $C$9, 100%, $E$9)</f>
        <v>35.308599999999998</v>
      </c>
      <c r="L1019" s="10">
        <f>CHOOSE(CONTROL!$C$42, 36.903, 36.903) * CHOOSE(CONTROL!$C$21, $C$9, 100%, $E$9)</f>
        <v>36.902999999999999</v>
      </c>
      <c r="M1019" s="10">
        <f>CHOOSE(CONTROL!$C$42, 35.7521, 35.7521) * CHOOSE(CONTROL!$C$21, $C$9, 100%, $E$9)</f>
        <v>35.752099999999999</v>
      </c>
      <c r="N1019" s="10">
        <f>CHOOSE(CONTROL!$C$42, 35.7679, 35.7679) * CHOOSE(CONTROL!$C$21, $C$9, 100%, $E$9)</f>
        <v>35.767899999999997</v>
      </c>
      <c r="O1019" s="10">
        <f>CHOOSE(CONTROL!$C$42, 35.8423, 35.8423) * CHOOSE(CONTROL!$C$21, $C$9, 100%, $E$9)</f>
        <v>35.842300000000002</v>
      </c>
      <c r="P1019" s="10">
        <f>CHOOSE(CONTROL!$C$42, 35.8054, 35.8054) * CHOOSE(CONTROL!$C$21, $C$9, 100%, $E$9)</f>
        <v>35.805399999999999</v>
      </c>
      <c r="Q1019" s="10">
        <f>CHOOSE(CONTROL!$C$42, 36.4376, 36.4376) * CHOOSE(CONTROL!$C$21, $C$9, 100%, $E$9)</f>
        <v>36.437600000000003</v>
      </c>
      <c r="R1019" s="10">
        <f>CHOOSE(CONTROL!$C$42, 37.1157, 37.1157) * CHOOSE(CONTROL!$C$21, $C$9, 100%, $E$9)</f>
        <v>37.115699999999997</v>
      </c>
      <c r="S1019" s="10">
        <f>CHOOSE(CONTROL!$C$42, 35.1306, 35.1306) * CHOOSE(CONTROL!$C$21, $C$9, 100%, $E$9)</f>
        <v>35.130600000000001</v>
      </c>
      <c r="T1019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19" s="38">
        <f>(1000*CHOOSE(CONTROL!$C$42, 695, 695)*CHOOSE(CONTROL!$C$42, 0.5599, 0.5599)*CHOOSE(CONTROL!$C$42, 30, 30))/1000000</f>
        <v>11.673914999999997</v>
      </c>
      <c r="V1019" s="38">
        <f>(1000*CHOOSE(CONTROL!$C$42, 500, 500)*CHOOSE(CONTROL!$C$42, 0.275, 0.275)*CHOOSE(CONTROL!$C$42, 30, 30))/1000000</f>
        <v>4.125</v>
      </c>
      <c r="W1019" s="38">
        <f>(1000*CHOOSE(CONTROL!$C$42, 0.1146, 0.1146)*CHOOSE(CONTROL!$C$42, 121.5, 121.5)*CHOOSE(CONTROL!$C$42, 30, 30))/1000000</f>
        <v>0.417717</v>
      </c>
      <c r="X1019" s="38">
        <f>(30*0.1790888*100000/1000000)+(30*0.2374*100000/1000000)</f>
        <v>1.2494664</v>
      </c>
      <c r="Y1019" s="38">
        <f>(1000*600*CHOOSE(CONTROL!$C$42, 1.0585, 1.0585)*CHOOSE(CONTROL!$C$42, 30, 30))/1000000</f>
        <v>19.053000000000001</v>
      </c>
      <c r="Z1019" s="38"/>
      <c r="AA1019" s="10"/>
      <c r="AB1019" s="39"/>
      <c r="AC1019" s="33">
        <f>(B1019*122.58+C1019*297.941+D1019*89.177+E1019*40.302+F1019*40+G1019*160+H1019*0+I1019*100+J1019*300)/(122.58+297.941+89.177+40.302+0+40+160+100+300)</f>
        <v>36.257178418173915</v>
      </c>
      <c r="AD1019" s="27">
        <f>(M1019*'RAP TEMPLATE-GAS AVAILABILITY'!O1018+N1019*'RAP TEMPLATE-GAS AVAILABILITY'!P1018+O1019*'RAP TEMPLATE-GAS AVAILABILITY'!Q1018+P1019*'RAP TEMPLATE-GAS AVAILABILITY'!R1018)/('RAP TEMPLATE-GAS AVAILABILITY'!O1018+'RAP TEMPLATE-GAS AVAILABILITY'!P1018+'RAP TEMPLATE-GAS AVAILABILITY'!Q1018+'RAP TEMPLATE-GAS AVAILABILITY'!R1018)</f>
        <v>35.801560431654678</v>
      </c>
    </row>
    <row r="1020" spans="1:30" ht="15.75">
      <c r="A1020" s="13">
        <v>72320</v>
      </c>
      <c r="B1020" s="10">
        <f>CHOOSE(CONTROL!$C$42, 38.737, 38.737) * CHOOSE(CONTROL!$C$21, $C$9, 100%, $E$9)</f>
        <v>38.737000000000002</v>
      </c>
      <c r="C1020" s="10">
        <f>CHOOSE(CONTROL!$C$42, 38.7421, 38.7421) * CHOOSE(CONTROL!$C$21, $C$9, 100%, $E$9)</f>
        <v>38.742100000000001</v>
      </c>
      <c r="D1020" s="10">
        <f>CHOOSE(CONTROL!$C$42, 38.7668, 38.7668) * CHOOSE(CONTROL!$C$21, $C$9, 100%, $E$9)</f>
        <v>38.766800000000003</v>
      </c>
      <c r="E1020" s="10">
        <f>CHOOSE(CONTROL!$C$42, 38.8006, 38.8006) * CHOOSE(CONTROL!$C$21, $C$9, 100%, $E$9)</f>
        <v>38.800600000000003</v>
      </c>
      <c r="F1020" s="10">
        <f>CHOOSE(CONTROL!$C$42, 38.7073, 38.7073)*CHOOSE(CONTROL!$C$21, $C$9, 100%, $E$9)</f>
        <v>38.707299999999996</v>
      </c>
      <c r="G1020" s="10">
        <f>CHOOSE(CONTROL!$C$42, 38.7238, 38.7238)*CHOOSE(CONTROL!$C$21, $C$9, 100%, $E$9)</f>
        <v>38.723799999999997</v>
      </c>
      <c r="H1020" s="10">
        <f>CHOOSE(CONTROL!$C$42, 38.7895, 38.7895) * CHOOSE(CONTROL!$C$21, $C$9, 100%, $E$9)</f>
        <v>38.789499999999997</v>
      </c>
      <c r="I1020" s="10">
        <f>CHOOSE(CONTROL!$C$42, 38.752, 38.752)* CHOOSE(CONTROL!$C$21, $C$9, 100%, $E$9)</f>
        <v>38.752000000000002</v>
      </c>
      <c r="J1020" s="10">
        <f>CHOOSE(CONTROL!$C$42, 38.6999, 38.6999)* CHOOSE(CONTROL!$C$21, $C$9, 100%, $E$9)</f>
        <v>38.6999</v>
      </c>
      <c r="K1020" s="10">
        <f>CHOOSE(CONTROL!$C$42, 37.709, 37.709) * CHOOSE(CONTROL!$C$21, $C$9, 100%, $E$9)</f>
        <v>37.709000000000003</v>
      </c>
      <c r="L1020" s="10">
        <f>CHOOSE(CONTROL!$C$42, 39.3765, 39.3765) * CHOOSE(CONTROL!$C$21, $C$9, 100%, $E$9)</f>
        <v>39.3765</v>
      </c>
      <c r="M1020" s="10">
        <f>CHOOSE(CONTROL!$C$42, 38.193, 38.193) * CHOOSE(CONTROL!$C$21, $C$9, 100%, $E$9)</f>
        <v>38.192999999999998</v>
      </c>
      <c r="N1020" s="10">
        <f>CHOOSE(CONTROL!$C$42, 38.2093, 38.2093) * CHOOSE(CONTROL!$C$21, $C$9, 100%, $E$9)</f>
        <v>38.209299999999999</v>
      </c>
      <c r="O1020" s="10">
        <f>CHOOSE(CONTROL!$C$42, 38.2814, 38.2814) * CHOOSE(CONTROL!$C$21, $C$9, 100%, $E$9)</f>
        <v>38.281399999999998</v>
      </c>
      <c r="P1020" s="10">
        <f>CHOOSE(CONTROL!$C$42, 38.2445, 38.2445) * CHOOSE(CONTROL!$C$21, $C$9, 100%, $E$9)</f>
        <v>38.244500000000002</v>
      </c>
      <c r="Q1020" s="10">
        <f>CHOOSE(CONTROL!$C$42, 38.8767, 38.8767) * CHOOSE(CONTROL!$C$21, $C$9, 100%, $E$9)</f>
        <v>38.8767</v>
      </c>
      <c r="R1020" s="10">
        <f>CHOOSE(CONTROL!$C$42, 39.5609, 39.5609) * CHOOSE(CONTROL!$C$21, $C$9, 100%, $E$9)</f>
        <v>39.560899999999997</v>
      </c>
      <c r="S1020" s="10">
        <f>CHOOSE(CONTROL!$C$42, 37.5257, 37.5257) * CHOOSE(CONTROL!$C$21, $C$9, 100%, $E$9)</f>
        <v>37.525700000000001</v>
      </c>
      <c r="T1020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20" s="38">
        <f>(1000*CHOOSE(CONTROL!$C$42, 695, 695)*CHOOSE(CONTROL!$C$42, 0.5599, 0.5599)*CHOOSE(CONTROL!$C$42, 31, 31))/1000000</f>
        <v>12.063045499999998</v>
      </c>
      <c r="V1020" s="38">
        <f>(1000*CHOOSE(CONTROL!$C$42, 500, 500)*CHOOSE(CONTROL!$C$42, 0.275, 0.275)*CHOOSE(CONTROL!$C$42, 31, 31))/1000000</f>
        <v>4.2625000000000002</v>
      </c>
      <c r="W1020" s="38">
        <f>(1000*CHOOSE(CONTROL!$C$42, 0.1146, 0.1146)*CHOOSE(CONTROL!$C$42, 121.5, 121.5)*CHOOSE(CONTROL!$C$42, 31, 31))/1000000</f>
        <v>0.43164089999999994</v>
      </c>
      <c r="X1020" s="38">
        <f>(31*0.1790888*100000/1000000)+(31*0.2374*100000/1000000)</f>
        <v>1.2911152800000001</v>
      </c>
      <c r="Y1020" s="38">
        <f>(1000*600*CHOOSE(CONTROL!$C$42, 1.0585, 1.0585)*CHOOSE(CONTROL!$C$42, 31, 31))/1000000</f>
        <v>19.688099999999999</v>
      </c>
      <c r="Z1020" s="38"/>
      <c r="AA1020" s="10"/>
      <c r="AB1020" s="39"/>
      <c r="AC1020" s="33">
        <f>(B1020*122.58+C1020*297.941+D1020*89.177+E1020*40.302+F1020*40+G1020*160+H1020*0+I1020*100+J1020*300)/(122.58+297.941+89.177+40.302+0+40+160+100+300)</f>
        <v>38.731617548608689</v>
      </c>
      <c r="AD1020" s="27">
        <f>(M1020*'RAP TEMPLATE-GAS AVAILABILITY'!O1019+N1020*'RAP TEMPLATE-GAS AVAILABILITY'!P1019+O1020*'RAP TEMPLATE-GAS AVAILABILITY'!Q1019+P1020*'RAP TEMPLATE-GAS AVAILABILITY'!R1019)/('RAP TEMPLATE-GAS AVAILABILITY'!O1019+'RAP TEMPLATE-GAS AVAILABILITY'!P1019+'RAP TEMPLATE-GAS AVAILABILITY'!Q1019+'RAP TEMPLATE-GAS AVAILABILITY'!R1019)</f>
        <v>38.241414388489211</v>
      </c>
    </row>
    <row r="1021" spans="1:30" ht="15.75">
      <c r="A1021" s="13">
        <v>72351</v>
      </c>
      <c r="B1021" s="10">
        <f>CHOOSE(CONTROL!$C$42, 41.3527, 41.3527) * CHOOSE(CONTROL!$C$21, $C$9, 100%, $E$9)</f>
        <v>41.352699999999999</v>
      </c>
      <c r="C1021" s="10">
        <f>CHOOSE(CONTROL!$C$42, 41.3578, 41.3578) * CHOOSE(CONTROL!$C$21, $C$9, 100%, $E$9)</f>
        <v>41.357799999999997</v>
      </c>
      <c r="D1021" s="10">
        <f>CHOOSE(CONTROL!$C$42, 41.3902, 41.3902) * CHOOSE(CONTROL!$C$21, $C$9, 100%, $E$9)</f>
        <v>41.3902</v>
      </c>
      <c r="E1021" s="10">
        <f>CHOOSE(CONTROL!$C$42, 41.424, 41.424) * CHOOSE(CONTROL!$C$21, $C$9, 100%, $E$9)</f>
        <v>41.423999999999999</v>
      </c>
      <c r="F1021" s="10">
        <f>CHOOSE(CONTROL!$C$42, 41.3369, 41.3369)*CHOOSE(CONTROL!$C$21, $C$9, 100%, $E$9)</f>
        <v>41.3369</v>
      </c>
      <c r="G1021" s="10">
        <f>CHOOSE(CONTROL!$C$42, 41.3549, 41.3549)*CHOOSE(CONTROL!$C$21, $C$9, 100%, $E$9)</f>
        <v>41.354900000000001</v>
      </c>
      <c r="H1021" s="10">
        <f>CHOOSE(CONTROL!$C$42, 41.4129, 41.4129) * CHOOSE(CONTROL!$C$21, $C$9, 100%, $E$9)</f>
        <v>41.4129</v>
      </c>
      <c r="I1021" s="10">
        <f>CHOOSE(CONTROL!$C$42, 41.3661, 41.3661)* CHOOSE(CONTROL!$C$21, $C$9, 100%, $E$9)</f>
        <v>41.366100000000003</v>
      </c>
      <c r="J1021" s="10">
        <f>CHOOSE(CONTROL!$C$42, 41.3295, 41.3295)* CHOOSE(CONTROL!$C$21, $C$9, 100%, $E$9)</f>
        <v>41.329500000000003</v>
      </c>
      <c r="K1021" s="10">
        <f>CHOOSE(CONTROL!$C$42, 40.2555, 40.2555) * CHOOSE(CONTROL!$C$21, $C$9, 100%, $E$9)</f>
        <v>40.255499999999998</v>
      </c>
      <c r="L1021" s="10">
        <f>CHOOSE(CONTROL!$C$42, 41.9999, 41.9999) * CHOOSE(CONTROL!$C$21, $C$9, 100%, $E$9)</f>
        <v>41.999899999999997</v>
      </c>
      <c r="M1021" s="10">
        <f>CHOOSE(CONTROL!$C$42, 40.7859, 40.7859) * CHOOSE(CONTROL!$C$21, $C$9, 100%, $E$9)</f>
        <v>40.785899999999998</v>
      </c>
      <c r="N1021" s="10">
        <f>CHOOSE(CONTROL!$C$42, 40.8037, 40.8037) * CHOOSE(CONTROL!$C$21, $C$9, 100%, $E$9)</f>
        <v>40.803699999999999</v>
      </c>
      <c r="O1021" s="10">
        <f>CHOOSE(CONTROL!$C$42, 40.8681, 40.8681) * CHOOSE(CONTROL!$C$21, $C$9, 100%, $E$9)</f>
        <v>40.868099999999998</v>
      </c>
      <c r="P1021" s="10">
        <f>CHOOSE(CONTROL!$C$42, 40.8221, 40.8221) * CHOOSE(CONTROL!$C$21, $C$9, 100%, $E$9)</f>
        <v>40.822099999999999</v>
      </c>
      <c r="Q1021" s="10">
        <f>CHOOSE(CONTROL!$C$42, 41.4634, 41.4634) * CHOOSE(CONTROL!$C$21, $C$9, 100%, $E$9)</f>
        <v>41.4634</v>
      </c>
      <c r="R1021" s="10">
        <f>CHOOSE(CONTROL!$C$42, 42.1541, 42.1541) * CHOOSE(CONTROL!$C$21, $C$9, 100%, $E$9)</f>
        <v>42.1541</v>
      </c>
      <c r="S1021" s="10">
        <f>CHOOSE(CONTROL!$C$42, 40.0584, 40.0584) * CHOOSE(CONTROL!$C$21, $C$9, 100%, $E$9)</f>
        <v>40.058399999999999</v>
      </c>
      <c r="T1021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021" s="38">
        <f>(1000*CHOOSE(CONTROL!$C$42, 695, 695)*CHOOSE(CONTROL!$C$42, 0.5599, 0.5599)*CHOOSE(CONTROL!$C$42, 31, 31))/1000000</f>
        <v>12.063045499999998</v>
      </c>
      <c r="V1021" s="38">
        <f>(1000*CHOOSE(CONTROL!$C$42, 500, 500)*CHOOSE(CONTROL!$C$42, 0.275, 0.275)*CHOOSE(CONTROL!$C$42, 31, 31))/1000000</f>
        <v>4.2625000000000002</v>
      </c>
      <c r="W1021" s="38">
        <f>(1000*CHOOSE(CONTROL!$C$42, 0.1146, 0.1146)*CHOOSE(CONTROL!$C$42, 121.5, 121.5)*CHOOSE(CONTROL!$C$42, 31, 31))/1000000</f>
        <v>0.43164089999999994</v>
      </c>
      <c r="X1021" s="38">
        <f>(31*0.1790888*100000/1000000)+(31*0.2374*100000/1000000)</f>
        <v>1.2911152800000001</v>
      </c>
      <c r="Y1021" s="38">
        <f>(1000*600*CHOOSE(CONTROL!$C$42, 1.0585, 1.0585)*CHOOSE(CONTROL!$C$42, 31, 31))/1000000</f>
        <v>19.688099999999999</v>
      </c>
      <c r="Z1021" s="38"/>
      <c r="AA1021" s="10"/>
      <c r="AB1021" s="39"/>
      <c r="AC1021" s="33">
        <f>(B1021*122.58+C1021*297.941+D1021*89.177+E1021*40.302+F1021*40+G1021*160+H1021*0+I1021*100+J1021*300)/(122.58+297.941+89.177+40.302+0+40+160+100+300)</f>
        <v>41.354297538434778</v>
      </c>
      <c r="AD1021" s="27">
        <f>(M1021*'RAP TEMPLATE-GAS AVAILABILITY'!O1020+N1021*'RAP TEMPLATE-GAS AVAILABILITY'!P1020+O1021*'RAP TEMPLATE-GAS AVAILABILITY'!Q1020+P1021*'RAP TEMPLATE-GAS AVAILABILITY'!R1020)/('RAP TEMPLATE-GAS AVAILABILITY'!O1020+'RAP TEMPLATE-GAS AVAILABILITY'!P1020+'RAP TEMPLATE-GAS AVAILABILITY'!Q1020+'RAP TEMPLATE-GAS AVAILABILITY'!R1020)</f>
        <v>40.829389208633089</v>
      </c>
    </row>
    <row r="1022" spans="1:30" ht="15.75">
      <c r="A1022" s="13">
        <v>72379</v>
      </c>
      <c r="B1022" s="10">
        <f>CHOOSE(CONTROL!$C$42, 42.0891, 42.0891) * CHOOSE(CONTROL!$C$21, $C$9, 100%, $E$9)</f>
        <v>42.089100000000002</v>
      </c>
      <c r="C1022" s="10">
        <f>CHOOSE(CONTROL!$C$42, 42.0942, 42.0942) * CHOOSE(CONTROL!$C$21, $C$9, 100%, $E$9)</f>
        <v>42.094200000000001</v>
      </c>
      <c r="D1022" s="10">
        <f>CHOOSE(CONTROL!$C$42, 42.1266, 42.1266) * CHOOSE(CONTROL!$C$21, $C$9, 100%, $E$9)</f>
        <v>42.126600000000003</v>
      </c>
      <c r="E1022" s="10">
        <f>CHOOSE(CONTROL!$C$42, 42.1604, 42.1604) * CHOOSE(CONTROL!$C$21, $C$9, 100%, $E$9)</f>
        <v>42.160400000000003</v>
      </c>
      <c r="F1022" s="10">
        <f>CHOOSE(CONTROL!$C$42, 42.0728, 42.0728)*CHOOSE(CONTROL!$C$21, $C$9, 100%, $E$9)</f>
        <v>42.072800000000001</v>
      </c>
      <c r="G1022" s="10">
        <f>CHOOSE(CONTROL!$C$42, 42.0907, 42.0907)*CHOOSE(CONTROL!$C$21, $C$9, 100%, $E$9)</f>
        <v>42.090699999999998</v>
      </c>
      <c r="H1022" s="10">
        <f>CHOOSE(CONTROL!$C$42, 42.1493, 42.1493) * CHOOSE(CONTROL!$C$21, $C$9, 100%, $E$9)</f>
        <v>42.149299999999997</v>
      </c>
      <c r="I1022" s="10">
        <f>CHOOSE(CONTROL!$C$42, 42.1025, 42.1025)* CHOOSE(CONTROL!$C$21, $C$9, 100%, $E$9)</f>
        <v>42.102499999999999</v>
      </c>
      <c r="J1022" s="10">
        <f>CHOOSE(CONTROL!$C$42, 42.0654, 42.0654)* CHOOSE(CONTROL!$C$21, $C$9, 100%, $E$9)</f>
        <v>42.065399999999997</v>
      </c>
      <c r="K1022" s="10">
        <f>CHOOSE(CONTROL!$C$42, 40.9679, 40.9679) * CHOOSE(CONTROL!$C$21, $C$9, 100%, $E$9)</f>
        <v>40.9679</v>
      </c>
      <c r="L1022" s="10">
        <f>CHOOSE(CONTROL!$C$42, 42.7363, 42.7363) * CHOOSE(CONTROL!$C$21, $C$9, 100%, $E$9)</f>
        <v>42.7363</v>
      </c>
      <c r="M1022" s="10">
        <f>CHOOSE(CONTROL!$C$42, 41.5116, 41.5116) * CHOOSE(CONTROL!$C$21, $C$9, 100%, $E$9)</f>
        <v>41.511600000000001</v>
      </c>
      <c r="N1022" s="10">
        <f>CHOOSE(CONTROL!$C$42, 41.5293, 41.5293) * CHOOSE(CONTROL!$C$21, $C$9, 100%, $E$9)</f>
        <v>41.529299999999999</v>
      </c>
      <c r="O1022" s="10">
        <f>CHOOSE(CONTROL!$C$42, 41.5943, 41.5943) * CHOOSE(CONTROL!$C$21, $C$9, 100%, $E$9)</f>
        <v>41.594299999999997</v>
      </c>
      <c r="P1022" s="10">
        <f>CHOOSE(CONTROL!$C$42, 41.5482, 41.5482) * CHOOSE(CONTROL!$C$21, $C$9, 100%, $E$9)</f>
        <v>41.548200000000001</v>
      </c>
      <c r="Q1022" s="10">
        <f>CHOOSE(CONTROL!$C$42, 42.1896, 42.1896) * CHOOSE(CONTROL!$C$21, $C$9, 100%, $E$9)</f>
        <v>42.189599999999999</v>
      </c>
      <c r="R1022" s="10">
        <f>CHOOSE(CONTROL!$C$42, 42.8821, 42.8821) * CHOOSE(CONTROL!$C$21, $C$9, 100%, $E$9)</f>
        <v>42.882100000000001</v>
      </c>
      <c r="S1022" s="10">
        <f>CHOOSE(CONTROL!$C$42, 40.7715, 40.7715) * CHOOSE(CONTROL!$C$21, $C$9, 100%, $E$9)</f>
        <v>40.771500000000003</v>
      </c>
      <c r="T1022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022" s="38">
        <f>(1000*CHOOSE(CONTROL!$C$42, 695, 695)*CHOOSE(CONTROL!$C$42, 0.5599, 0.5599)*CHOOSE(CONTROL!$C$42, 28, 28))/1000000</f>
        <v>10.895653999999999</v>
      </c>
      <c r="V1022" s="38">
        <f>(1000*CHOOSE(CONTROL!$C$42, 500, 500)*CHOOSE(CONTROL!$C$42, 0.275, 0.275)*CHOOSE(CONTROL!$C$42, 28, 28))/1000000</f>
        <v>3.85</v>
      </c>
      <c r="W1022" s="38">
        <f>(1000*CHOOSE(CONTROL!$C$42, 0.1146, 0.1146)*CHOOSE(CONTROL!$C$42, 121.5, 121.5)*CHOOSE(CONTROL!$C$42, 28, 28))/1000000</f>
        <v>0.38986920000000003</v>
      </c>
      <c r="X1022" s="38">
        <f>(28*0.1790888*100000/1000000)+(28*0.2374*100000/1000000)</f>
        <v>1.16616864</v>
      </c>
      <c r="Y1022" s="38">
        <f>(1000*600*CHOOSE(CONTROL!$C$42, 1.0585, 1.0585)*CHOOSE(CONTROL!$C$42, 28, 28))/1000000</f>
        <v>17.782800000000002</v>
      </c>
      <c r="Z1022" s="38"/>
      <c r="AA1022" s="10"/>
      <c r="AB1022" s="39"/>
      <c r="AC1022" s="33">
        <f>(B1022*122.58+C1022*297.941+D1022*89.177+E1022*40.302+F1022*40+G1022*160+H1022*0+I1022*100+J1022*300)/(122.58+297.941+89.177+40.302+0+40+160+100+300)</f>
        <v>42.090466234086954</v>
      </c>
      <c r="AD1022" s="27">
        <f>(M1022*'RAP TEMPLATE-GAS AVAILABILITY'!O1021+N1022*'RAP TEMPLATE-GAS AVAILABILITY'!P1021+O1022*'RAP TEMPLATE-GAS AVAILABILITY'!Q1021+P1022*'RAP TEMPLATE-GAS AVAILABILITY'!R1021)/('RAP TEMPLATE-GAS AVAILABILITY'!O1021+'RAP TEMPLATE-GAS AVAILABILITY'!P1021+'RAP TEMPLATE-GAS AVAILABILITY'!Q1021+'RAP TEMPLATE-GAS AVAILABILITY'!R1021)</f>
        <v>41.555367625899279</v>
      </c>
    </row>
    <row r="1023" spans="1:30" ht="15.75">
      <c r="A1023" s="13">
        <v>72410</v>
      </c>
      <c r="B1023" s="10">
        <f>CHOOSE(CONTROL!$C$42, 40.8937, 40.8937) * CHOOSE(CONTROL!$C$21, $C$9, 100%, $E$9)</f>
        <v>40.893700000000003</v>
      </c>
      <c r="C1023" s="10">
        <f>CHOOSE(CONTROL!$C$42, 40.8988, 40.8988) * CHOOSE(CONTROL!$C$21, $C$9, 100%, $E$9)</f>
        <v>40.898800000000001</v>
      </c>
      <c r="D1023" s="10">
        <f>CHOOSE(CONTROL!$C$42, 40.9312, 40.9312) * CHOOSE(CONTROL!$C$21, $C$9, 100%, $E$9)</f>
        <v>40.931199999999997</v>
      </c>
      <c r="E1023" s="10">
        <f>CHOOSE(CONTROL!$C$42, 40.965, 40.965) * CHOOSE(CONTROL!$C$21, $C$9, 100%, $E$9)</f>
        <v>40.965000000000003</v>
      </c>
      <c r="F1023" s="10">
        <f>CHOOSE(CONTROL!$C$42, 40.8759, 40.8759)*CHOOSE(CONTROL!$C$21, $C$9, 100%, $E$9)</f>
        <v>40.875900000000001</v>
      </c>
      <c r="G1023" s="10">
        <f>CHOOSE(CONTROL!$C$42, 40.8935, 40.8935)*CHOOSE(CONTROL!$C$21, $C$9, 100%, $E$9)</f>
        <v>40.893500000000003</v>
      </c>
      <c r="H1023" s="10">
        <f>CHOOSE(CONTROL!$C$42, 40.9539, 40.9539) * CHOOSE(CONTROL!$C$21, $C$9, 100%, $E$9)</f>
        <v>40.953899999999997</v>
      </c>
      <c r="I1023" s="10">
        <f>CHOOSE(CONTROL!$C$42, 40.9071, 40.9071)* CHOOSE(CONTROL!$C$21, $C$9, 100%, $E$9)</f>
        <v>40.9071</v>
      </c>
      <c r="J1023" s="10">
        <f>CHOOSE(CONTROL!$C$42, 40.8685, 40.8685)* CHOOSE(CONTROL!$C$21, $C$9, 100%, $E$9)</f>
        <v>40.868499999999997</v>
      </c>
      <c r="K1023" s="10">
        <f>CHOOSE(CONTROL!$C$42, 39.8067, 39.8067) * CHOOSE(CONTROL!$C$21, $C$9, 100%, $E$9)</f>
        <v>39.806699999999999</v>
      </c>
      <c r="L1023" s="10">
        <f>CHOOSE(CONTROL!$C$42, 41.5409, 41.5409) * CHOOSE(CONTROL!$C$21, $C$9, 100%, $E$9)</f>
        <v>41.540900000000001</v>
      </c>
      <c r="M1023" s="10">
        <f>CHOOSE(CONTROL!$C$42, 40.3314, 40.3314) * CHOOSE(CONTROL!$C$21, $C$9, 100%, $E$9)</f>
        <v>40.331400000000002</v>
      </c>
      <c r="N1023" s="10">
        <f>CHOOSE(CONTROL!$C$42, 40.3487, 40.3487) * CHOOSE(CONTROL!$C$21, $C$9, 100%, $E$9)</f>
        <v>40.348700000000001</v>
      </c>
      <c r="O1023" s="10">
        <f>CHOOSE(CONTROL!$C$42, 40.4156, 40.4156) * CHOOSE(CONTROL!$C$21, $C$9, 100%, $E$9)</f>
        <v>40.415599999999998</v>
      </c>
      <c r="P1023" s="10">
        <f>CHOOSE(CONTROL!$C$42, 40.3695, 40.3695) * CHOOSE(CONTROL!$C$21, $C$9, 100%, $E$9)</f>
        <v>40.369500000000002</v>
      </c>
      <c r="Q1023" s="10">
        <f>CHOOSE(CONTROL!$C$42, 41.0109, 41.0109) * CHOOSE(CONTROL!$C$21, $C$9, 100%, $E$9)</f>
        <v>41.010899999999999</v>
      </c>
      <c r="R1023" s="10">
        <f>CHOOSE(CONTROL!$C$42, 41.7004, 41.7004) * CHOOSE(CONTROL!$C$21, $C$9, 100%, $E$9)</f>
        <v>41.700400000000002</v>
      </c>
      <c r="S1023" s="10">
        <f>CHOOSE(CONTROL!$C$42, 39.614, 39.614) * CHOOSE(CONTROL!$C$21, $C$9, 100%, $E$9)</f>
        <v>39.613999999999997</v>
      </c>
      <c r="T1023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023" s="38">
        <f>(1000*CHOOSE(CONTROL!$C$42, 695, 695)*CHOOSE(CONTROL!$C$42, 0.5599, 0.5599)*CHOOSE(CONTROL!$C$42, 31, 31))/1000000</f>
        <v>12.063045499999998</v>
      </c>
      <c r="V1023" s="38">
        <f>(1000*CHOOSE(CONTROL!$C$42, 500, 500)*CHOOSE(CONTROL!$C$42, 0.275, 0.275)*CHOOSE(CONTROL!$C$42, 31, 31))/1000000</f>
        <v>4.2625000000000002</v>
      </c>
      <c r="W1023" s="38">
        <f>(1000*CHOOSE(CONTROL!$C$42, 0.1146, 0.1146)*CHOOSE(CONTROL!$C$42, 121.5, 121.5)*CHOOSE(CONTROL!$C$42, 31, 31))/1000000</f>
        <v>0.43164089999999994</v>
      </c>
      <c r="X1023" s="38">
        <f>(31*0.1790888*100000/1000000)+(31*0.2374*100000/1000000)</f>
        <v>1.2911152800000001</v>
      </c>
      <c r="Y1023" s="38">
        <f>(1000*600*CHOOSE(CONTROL!$C$42, 1.0585, 1.0585)*CHOOSE(CONTROL!$C$42, 31, 31))/1000000</f>
        <v>19.688099999999999</v>
      </c>
      <c r="Z1023" s="38"/>
      <c r="AA1023" s="10"/>
      <c r="AB1023" s="39"/>
      <c r="AC1023" s="33">
        <f>(B1023*122.58+C1023*297.941+D1023*89.177+E1023*40.302+F1023*40+G1023*160+H1023*0+I1023*100+J1023*300)/(122.58+297.941+89.177+40.302+0+40+160+100+300)</f>
        <v>40.894372321043477</v>
      </c>
      <c r="AD1023" s="27">
        <f>(M1023*'RAP TEMPLATE-GAS AVAILABILITY'!O1022+N1023*'RAP TEMPLATE-GAS AVAILABILITY'!P1022+O1023*'RAP TEMPLATE-GAS AVAILABILITY'!Q1022+P1023*'RAP TEMPLATE-GAS AVAILABILITY'!R1022)/('RAP TEMPLATE-GAS AVAILABILITY'!O1022+'RAP TEMPLATE-GAS AVAILABILITY'!P1022+'RAP TEMPLATE-GAS AVAILABILITY'!Q1022+'RAP TEMPLATE-GAS AVAILABILITY'!R1022)</f>
        <v>40.37604028776979</v>
      </c>
    </row>
    <row r="1024" spans="1:30" ht="15.75">
      <c r="A1024" s="13">
        <v>72440</v>
      </c>
      <c r="B1024" s="10">
        <f>CHOOSE(CONTROL!$C$42, 40.772, 40.772) * CHOOSE(CONTROL!$C$21, $C$9, 100%, $E$9)</f>
        <v>40.771999999999998</v>
      </c>
      <c r="C1024" s="10">
        <f>CHOOSE(CONTROL!$C$42, 40.7765, 40.7765) * CHOOSE(CONTROL!$C$21, $C$9, 100%, $E$9)</f>
        <v>40.776499999999999</v>
      </c>
      <c r="D1024" s="10">
        <f>CHOOSE(CONTROL!$C$42, 40.9366, 40.9366) * CHOOSE(CONTROL!$C$21, $C$9, 100%, $E$9)</f>
        <v>40.936599999999999</v>
      </c>
      <c r="E1024" s="10">
        <f>CHOOSE(CONTROL!$C$42, 40.9685, 40.9685) * CHOOSE(CONTROL!$C$21, $C$9, 100%, $E$9)</f>
        <v>40.968499999999999</v>
      </c>
      <c r="F1024" s="10">
        <f>CHOOSE(CONTROL!$C$42, 40.7181, 40.7181)*CHOOSE(CONTROL!$C$21, $C$9, 100%, $E$9)</f>
        <v>40.7181</v>
      </c>
      <c r="G1024" s="10">
        <f>CHOOSE(CONTROL!$C$42, 40.7339, 40.7339)*CHOOSE(CONTROL!$C$21, $C$9, 100%, $E$9)</f>
        <v>40.733899999999998</v>
      </c>
      <c r="H1024" s="10">
        <f>CHOOSE(CONTROL!$C$42, 40.9579, 40.9579) * CHOOSE(CONTROL!$C$21, $C$9, 100%, $E$9)</f>
        <v>40.957900000000002</v>
      </c>
      <c r="I1024" s="10">
        <f>CHOOSE(CONTROL!$C$42, 40.7521, 40.7521)* CHOOSE(CONTROL!$C$21, $C$9, 100%, $E$9)</f>
        <v>40.752099999999999</v>
      </c>
      <c r="J1024" s="10">
        <f>CHOOSE(CONTROL!$C$42, 40.7107, 40.7107)* CHOOSE(CONTROL!$C$21, $C$9, 100%, $E$9)</f>
        <v>40.710700000000003</v>
      </c>
      <c r="K1024" s="10">
        <f>CHOOSE(CONTROL!$C$42, 39.6405, 39.6405) * CHOOSE(CONTROL!$C$21, $C$9, 100%, $E$9)</f>
        <v>39.640500000000003</v>
      </c>
      <c r="L1024" s="10">
        <f>CHOOSE(CONTROL!$C$42, 41.5449, 41.5449) * CHOOSE(CONTROL!$C$21, $C$9, 100%, $E$9)</f>
        <v>41.544899999999998</v>
      </c>
      <c r="M1024" s="10">
        <f>CHOOSE(CONTROL!$C$42, 40.1757, 40.1757) * CHOOSE(CONTROL!$C$21, $C$9, 100%, $E$9)</f>
        <v>40.175699999999999</v>
      </c>
      <c r="N1024" s="10">
        <f>CHOOSE(CONTROL!$C$42, 40.1913, 40.1913) * CHOOSE(CONTROL!$C$21, $C$9, 100%, $E$9)</f>
        <v>40.191299999999998</v>
      </c>
      <c r="O1024" s="10">
        <f>CHOOSE(CONTROL!$C$42, 40.4195, 40.4195) * CHOOSE(CONTROL!$C$21, $C$9, 100%, $E$9)</f>
        <v>40.419499999999999</v>
      </c>
      <c r="P1024" s="10">
        <f>CHOOSE(CONTROL!$C$42, 40.2166, 40.2166) * CHOOSE(CONTROL!$C$21, $C$9, 100%, $E$9)</f>
        <v>40.2166</v>
      </c>
      <c r="Q1024" s="10">
        <f>CHOOSE(CONTROL!$C$42, 41.0148, 41.0148) * CHOOSE(CONTROL!$C$21, $C$9, 100%, $E$9)</f>
        <v>41.014800000000001</v>
      </c>
      <c r="R1024" s="10">
        <f>CHOOSE(CONTROL!$C$42, 41.7044, 41.7044) * CHOOSE(CONTROL!$C$21, $C$9, 100%, $E$9)</f>
        <v>41.7044</v>
      </c>
      <c r="S1024" s="10">
        <f>CHOOSE(CONTROL!$C$42, 39.4954, 39.4954) * CHOOSE(CONTROL!$C$21, $C$9, 100%, $E$9)</f>
        <v>39.495399999999997</v>
      </c>
      <c r="T1024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24" s="38">
        <f>(1000*CHOOSE(CONTROL!$C$42, 695, 695)*CHOOSE(CONTROL!$C$42, 0.5599, 0.5599)*CHOOSE(CONTROL!$C$42, 30, 30))/1000000</f>
        <v>11.673914999999997</v>
      </c>
      <c r="V1024" s="38">
        <f>(1000*CHOOSE(CONTROL!$C$42, 500, 500)*CHOOSE(CONTROL!$C$42, 0.275, 0.275)*CHOOSE(CONTROL!$C$42, 30, 30))/1000000</f>
        <v>4.125</v>
      </c>
      <c r="W1024" s="38">
        <f>(1000*CHOOSE(CONTROL!$C$42, 0.1146, 0.1146)*CHOOSE(CONTROL!$C$42, 121.5, 121.5)*CHOOSE(CONTROL!$C$42, 30, 30))/1000000</f>
        <v>0.417717</v>
      </c>
      <c r="X1024" s="38">
        <f>(30*0.1790888*245000/1000000)+(30*0.2374*100000/1000000)</f>
        <v>2.0285026799999999</v>
      </c>
      <c r="Y1024" s="38">
        <f>(1000*600*CHOOSE(CONTROL!$C$42, 1.0585, 1.0585)*CHOOSE(CONTROL!$C$42, 30, 30))/1000000</f>
        <v>19.053000000000001</v>
      </c>
      <c r="Z1024" s="38"/>
      <c r="AA1024" s="10"/>
      <c r="AB1024" s="39"/>
      <c r="AC1024" s="33">
        <f>(B1024*141.293+C1024*267.993+D1024*115.016+E1024*89.698+F1024*40+G1024*185+H1024*0+I1024*100+J1024*300)/(141.293+267.993+115.016+89.698+0+40+185+100+300)</f>
        <v>40.778601096933009</v>
      </c>
      <c r="AD1024" s="27">
        <f>(M1024*'RAP TEMPLATE-GAS AVAILABILITY'!O1023+N1024*'RAP TEMPLATE-GAS AVAILABILITY'!P1023+O1024*'RAP TEMPLATE-GAS AVAILABILITY'!Q1023+P1024*'RAP TEMPLATE-GAS AVAILABILITY'!R1023)/('RAP TEMPLATE-GAS AVAILABILITY'!O1023+'RAP TEMPLATE-GAS AVAILABILITY'!P1023+'RAP TEMPLATE-GAS AVAILABILITY'!Q1023+'RAP TEMPLATE-GAS AVAILABILITY'!R1023)</f>
        <v>40.292982014388492</v>
      </c>
    </row>
    <row r="1025" spans="1:30" ht="15.75">
      <c r="A1025" s="13">
        <v>72471</v>
      </c>
      <c r="B1025" s="10">
        <f>CHOOSE(CONTROL!$C$42, 41.1338, 41.1338) * CHOOSE(CONTROL!$C$21, $C$9, 100%, $E$9)</f>
        <v>41.133800000000001</v>
      </c>
      <c r="C1025" s="10">
        <f>CHOOSE(CONTROL!$C$42, 41.1418, 41.1418) * CHOOSE(CONTROL!$C$21, $C$9, 100%, $E$9)</f>
        <v>41.141800000000003</v>
      </c>
      <c r="D1025" s="10">
        <f>CHOOSE(CONTROL!$C$42, 41.2988, 41.2988) * CHOOSE(CONTROL!$C$21, $C$9, 100%, $E$9)</f>
        <v>41.2988</v>
      </c>
      <c r="E1025" s="10">
        <f>CHOOSE(CONTROL!$C$42, 41.33, 41.33) * CHOOSE(CONTROL!$C$21, $C$9, 100%, $E$9)</f>
        <v>41.33</v>
      </c>
      <c r="F1025" s="10">
        <f>CHOOSE(CONTROL!$C$42, 41.0779, 41.0779)*CHOOSE(CONTROL!$C$21, $C$9, 100%, $E$9)</f>
        <v>41.0779</v>
      </c>
      <c r="G1025" s="10">
        <f>CHOOSE(CONTROL!$C$42, 41.094, 41.094)*CHOOSE(CONTROL!$C$21, $C$9, 100%, $E$9)</f>
        <v>41.094000000000001</v>
      </c>
      <c r="H1025" s="10">
        <f>CHOOSE(CONTROL!$C$42, 41.3184, 41.3184) * CHOOSE(CONTROL!$C$21, $C$9, 100%, $E$9)</f>
        <v>41.318399999999997</v>
      </c>
      <c r="I1025" s="10">
        <f>CHOOSE(CONTROL!$C$42, 41.1126, 41.1126)* CHOOSE(CONTROL!$C$21, $C$9, 100%, $E$9)</f>
        <v>41.1126</v>
      </c>
      <c r="J1025" s="10">
        <f>CHOOSE(CONTROL!$C$42, 41.0705, 41.0705)* CHOOSE(CONTROL!$C$21, $C$9, 100%, $E$9)</f>
        <v>41.070500000000003</v>
      </c>
      <c r="K1025" s="10">
        <f>CHOOSE(CONTROL!$C$42, 39.9884, 39.9884) * CHOOSE(CONTROL!$C$21, $C$9, 100%, $E$9)</f>
        <v>39.988399999999999</v>
      </c>
      <c r="L1025" s="10">
        <f>CHOOSE(CONTROL!$C$42, 41.9054, 41.9054) * CHOOSE(CONTROL!$C$21, $C$9, 100%, $E$9)</f>
        <v>41.9054</v>
      </c>
      <c r="M1025" s="10">
        <f>CHOOSE(CONTROL!$C$42, 40.5306, 40.5306) * CHOOSE(CONTROL!$C$21, $C$9, 100%, $E$9)</f>
        <v>40.5306</v>
      </c>
      <c r="N1025" s="10">
        <f>CHOOSE(CONTROL!$C$42, 40.5465, 40.5465) * CHOOSE(CONTROL!$C$21, $C$9, 100%, $E$9)</f>
        <v>40.546500000000002</v>
      </c>
      <c r="O1025" s="10">
        <f>CHOOSE(CONTROL!$C$42, 40.775, 40.775) * CHOOSE(CONTROL!$C$21, $C$9, 100%, $E$9)</f>
        <v>40.774999999999999</v>
      </c>
      <c r="P1025" s="10">
        <f>CHOOSE(CONTROL!$C$42, 40.5721, 40.5721) * CHOOSE(CONTROL!$C$21, $C$9, 100%, $E$9)</f>
        <v>40.572099999999999</v>
      </c>
      <c r="Q1025" s="10">
        <f>CHOOSE(CONTROL!$C$42, 41.3703, 41.3703) * CHOOSE(CONTROL!$C$21, $C$9, 100%, $E$9)</f>
        <v>41.3703</v>
      </c>
      <c r="R1025" s="10">
        <f>CHOOSE(CONTROL!$C$42, 42.0607, 42.0607) * CHOOSE(CONTROL!$C$21, $C$9, 100%, $E$9)</f>
        <v>42.060699999999997</v>
      </c>
      <c r="S1025" s="10">
        <f>CHOOSE(CONTROL!$C$42, 39.8444, 39.8444) * CHOOSE(CONTROL!$C$21, $C$9, 100%, $E$9)</f>
        <v>39.8444</v>
      </c>
      <c r="T1025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25" s="38">
        <f>(1000*CHOOSE(CONTROL!$C$42, 695, 695)*CHOOSE(CONTROL!$C$42, 0.5599, 0.5599)*CHOOSE(CONTROL!$C$42, 31, 31))/1000000</f>
        <v>12.063045499999998</v>
      </c>
      <c r="V1025" s="38">
        <f>(1000*CHOOSE(CONTROL!$C$42, 500, 500)*CHOOSE(CONTROL!$C$42, 0.275, 0.275)*CHOOSE(CONTROL!$C$42, 31, 31))/1000000</f>
        <v>4.2625000000000002</v>
      </c>
      <c r="W1025" s="38">
        <f>(1000*CHOOSE(CONTROL!$C$42, 0.1146, 0.1146)*CHOOSE(CONTROL!$C$42, 121.5, 121.5)*CHOOSE(CONTROL!$C$42, 31, 31))/1000000</f>
        <v>0.43164089999999994</v>
      </c>
      <c r="X1025" s="38">
        <f>(31*0.1790888*245000/1000000)+(31*0.2374*100000/1000000)</f>
        <v>2.0961194359999999</v>
      </c>
      <c r="Y1025" s="38">
        <f>(1000*600*CHOOSE(CONTROL!$C$42, 1.0585, 1.0585)*CHOOSE(CONTROL!$C$42, 31, 31))/1000000</f>
        <v>19.688099999999999</v>
      </c>
      <c r="Z1025" s="38"/>
      <c r="AA1025" s="10"/>
      <c r="AB1025" s="39"/>
      <c r="AC1025" s="33">
        <f>(B1025*194.205+C1025*267.466+D1025*133.845+E1025*53.484+F1025*40+G1025*185+H1025*0+I1025*100+J1025*300)/(194.205+267.466+133.845+53.484+0+40+185+100+300)</f>
        <v>41.136946557142863</v>
      </c>
      <c r="AD1025" s="27">
        <f>(M1025*'RAP TEMPLATE-GAS AVAILABILITY'!O1024+N1025*'RAP TEMPLATE-GAS AVAILABILITY'!P1024+O1025*'RAP TEMPLATE-GAS AVAILABILITY'!Q1024+P1025*'RAP TEMPLATE-GAS AVAILABILITY'!R1024)/('RAP TEMPLATE-GAS AVAILABILITY'!O1024+'RAP TEMPLATE-GAS AVAILABILITY'!P1024+'RAP TEMPLATE-GAS AVAILABILITY'!Q1024+'RAP TEMPLATE-GAS AVAILABILITY'!R1024)</f>
        <v>40.648257553956832</v>
      </c>
    </row>
    <row r="1026" spans="1:30" ht="15.75">
      <c r="A1026" s="13">
        <v>72501</v>
      </c>
      <c r="B1026" s="10">
        <f>CHOOSE(CONTROL!$C$42, 42.301, 42.301) * CHOOSE(CONTROL!$C$21, $C$9, 100%, $E$9)</f>
        <v>42.301000000000002</v>
      </c>
      <c r="C1026" s="10">
        <f>CHOOSE(CONTROL!$C$42, 42.309, 42.309) * CHOOSE(CONTROL!$C$21, $C$9, 100%, $E$9)</f>
        <v>42.308999999999997</v>
      </c>
      <c r="D1026" s="10">
        <f>CHOOSE(CONTROL!$C$42, 42.466, 42.466) * CHOOSE(CONTROL!$C$21, $C$9, 100%, $E$9)</f>
        <v>42.466000000000001</v>
      </c>
      <c r="E1026" s="10">
        <f>CHOOSE(CONTROL!$C$42, 42.4972, 42.4972) * CHOOSE(CONTROL!$C$21, $C$9, 100%, $E$9)</f>
        <v>42.497199999999999</v>
      </c>
      <c r="F1026" s="10">
        <f>CHOOSE(CONTROL!$C$42, 42.2453, 42.2453)*CHOOSE(CONTROL!$C$21, $C$9, 100%, $E$9)</f>
        <v>42.2453</v>
      </c>
      <c r="G1026" s="10">
        <f>CHOOSE(CONTROL!$C$42, 42.2615, 42.2615)*CHOOSE(CONTROL!$C$21, $C$9, 100%, $E$9)</f>
        <v>42.261499999999998</v>
      </c>
      <c r="H1026" s="10">
        <f>CHOOSE(CONTROL!$C$42, 42.4856, 42.4856) * CHOOSE(CONTROL!$C$21, $C$9, 100%, $E$9)</f>
        <v>42.485599999999998</v>
      </c>
      <c r="I1026" s="10">
        <f>CHOOSE(CONTROL!$C$42, 42.2798, 42.2798)* CHOOSE(CONTROL!$C$21, $C$9, 100%, $E$9)</f>
        <v>42.279800000000002</v>
      </c>
      <c r="J1026" s="10">
        <f>CHOOSE(CONTROL!$C$42, 42.2379, 42.2379)* CHOOSE(CONTROL!$C$21, $C$9, 100%, $E$9)</f>
        <v>42.237900000000003</v>
      </c>
      <c r="K1026" s="10">
        <f>CHOOSE(CONTROL!$C$42, 41.1196, 41.1196) * CHOOSE(CONTROL!$C$21, $C$9, 100%, $E$9)</f>
        <v>41.119599999999998</v>
      </c>
      <c r="L1026" s="10">
        <f>CHOOSE(CONTROL!$C$42, 43.0726, 43.0726) * CHOOSE(CONTROL!$C$21, $C$9, 100%, $E$9)</f>
        <v>43.072600000000001</v>
      </c>
      <c r="M1026" s="10">
        <f>CHOOSE(CONTROL!$C$42, 41.6817, 41.6817) * CHOOSE(CONTROL!$C$21, $C$9, 100%, $E$9)</f>
        <v>41.681699999999999</v>
      </c>
      <c r="N1026" s="10">
        <f>CHOOSE(CONTROL!$C$42, 41.6976, 41.6976) * CHOOSE(CONTROL!$C$21, $C$9, 100%, $E$9)</f>
        <v>41.697600000000001</v>
      </c>
      <c r="O1026" s="10">
        <f>CHOOSE(CONTROL!$C$42, 41.9259, 41.9259) * CHOOSE(CONTROL!$C$21, $C$9, 100%, $E$9)</f>
        <v>41.925899999999999</v>
      </c>
      <c r="P1026" s="10">
        <f>CHOOSE(CONTROL!$C$42, 41.723, 41.723) * CHOOSE(CONTROL!$C$21, $C$9, 100%, $E$9)</f>
        <v>41.722999999999999</v>
      </c>
      <c r="Q1026" s="10">
        <f>CHOOSE(CONTROL!$C$42, 42.5212, 42.5212) * CHOOSE(CONTROL!$C$21, $C$9, 100%, $E$9)</f>
        <v>42.5212</v>
      </c>
      <c r="R1026" s="10">
        <f>CHOOSE(CONTROL!$C$42, 43.2145, 43.2145) * CHOOSE(CONTROL!$C$21, $C$9, 100%, $E$9)</f>
        <v>43.214500000000001</v>
      </c>
      <c r="S1026" s="10">
        <f>CHOOSE(CONTROL!$C$42, 40.9746, 40.9746) * CHOOSE(CONTROL!$C$21, $C$9, 100%, $E$9)</f>
        <v>40.974600000000002</v>
      </c>
      <c r="T1026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26" s="38">
        <f>(1000*CHOOSE(CONTROL!$C$42, 695, 695)*CHOOSE(CONTROL!$C$42, 0.5599, 0.5599)*CHOOSE(CONTROL!$C$42, 30, 30))/1000000</f>
        <v>11.673914999999997</v>
      </c>
      <c r="V1026" s="38">
        <f>(1000*CHOOSE(CONTROL!$C$42, 500, 500)*CHOOSE(CONTROL!$C$42, 0.275, 0.275)*CHOOSE(CONTROL!$C$42, 30, 30))/1000000</f>
        <v>4.125</v>
      </c>
      <c r="W1026" s="38">
        <f>(1000*CHOOSE(CONTROL!$C$42, 0.1146, 0.1146)*CHOOSE(CONTROL!$C$42, 121.5, 121.5)*CHOOSE(CONTROL!$C$42, 30, 30))/1000000</f>
        <v>0.417717</v>
      </c>
      <c r="X1026" s="38">
        <f>(30*0.1790888*245000/1000000)+(30*0.2374*100000/1000000)</f>
        <v>2.0285026799999999</v>
      </c>
      <c r="Y1026" s="38">
        <f>(1000*600*CHOOSE(CONTROL!$C$42, 1.0585, 1.0585)*CHOOSE(CONTROL!$C$42, 30, 30))/1000000</f>
        <v>19.053000000000001</v>
      </c>
      <c r="Z1026" s="38"/>
      <c r="AA1026" s="10"/>
      <c r="AB1026" s="39"/>
      <c r="AC1026" s="33">
        <f>(B1026*194.205+C1026*267.466+D1026*133.845+E1026*53.484+F1026*40+G1026*185+H1026*0+I1026*100+J1026*300)/(194.205+267.466+133.845+53.484+0+40+185+100+300)</f>
        <v>42.304243495918371</v>
      </c>
      <c r="AD1026" s="27">
        <f>(M1026*'RAP TEMPLATE-GAS AVAILABILITY'!O1025+N1026*'RAP TEMPLATE-GAS AVAILABILITY'!P1025+O1026*'RAP TEMPLATE-GAS AVAILABILITY'!Q1025+P1026*'RAP TEMPLATE-GAS AVAILABILITY'!R1025)/('RAP TEMPLATE-GAS AVAILABILITY'!O1025+'RAP TEMPLATE-GAS AVAILABILITY'!P1025+'RAP TEMPLATE-GAS AVAILABILITY'!Q1025+'RAP TEMPLATE-GAS AVAILABILITY'!R1025)</f>
        <v>41.799238129496402</v>
      </c>
    </row>
    <row r="1027" spans="1:30" ht="15.75">
      <c r="A1027" s="13">
        <v>72532</v>
      </c>
      <c r="B1027" s="10">
        <f>CHOOSE(CONTROL!$C$42, 41.4892, 41.4892) * CHOOSE(CONTROL!$C$21, $C$9, 100%, $E$9)</f>
        <v>41.489199999999997</v>
      </c>
      <c r="C1027" s="10">
        <f>CHOOSE(CONTROL!$C$42, 41.4972, 41.4972) * CHOOSE(CONTROL!$C$21, $C$9, 100%, $E$9)</f>
        <v>41.497199999999999</v>
      </c>
      <c r="D1027" s="10">
        <f>CHOOSE(CONTROL!$C$42, 41.6542, 41.6542) * CHOOSE(CONTROL!$C$21, $C$9, 100%, $E$9)</f>
        <v>41.654200000000003</v>
      </c>
      <c r="E1027" s="10">
        <f>CHOOSE(CONTROL!$C$42, 41.6854, 41.6854) * CHOOSE(CONTROL!$C$21, $C$9, 100%, $E$9)</f>
        <v>41.685400000000001</v>
      </c>
      <c r="F1027" s="10">
        <f>CHOOSE(CONTROL!$C$42, 41.4338, 41.4338)*CHOOSE(CONTROL!$C$21, $C$9, 100%, $E$9)</f>
        <v>41.433799999999998</v>
      </c>
      <c r="G1027" s="10">
        <f>CHOOSE(CONTROL!$C$42, 41.4501, 41.4501)*CHOOSE(CONTROL!$C$21, $C$9, 100%, $E$9)</f>
        <v>41.450099999999999</v>
      </c>
      <c r="H1027" s="10">
        <f>CHOOSE(CONTROL!$C$42, 41.6738, 41.6738) * CHOOSE(CONTROL!$C$21, $C$9, 100%, $E$9)</f>
        <v>41.6738</v>
      </c>
      <c r="I1027" s="10">
        <f>CHOOSE(CONTROL!$C$42, 41.468, 41.468)* CHOOSE(CONTROL!$C$21, $C$9, 100%, $E$9)</f>
        <v>41.468000000000004</v>
      </c>
      <c r="J1027" s="10">
        <f>CHOOSE(CONTROL!$C$42, 41.4264, 41.4264)* CHOOSE(CONTROL!$C$21, $C$9, 100%, $E$9)</f>
        <v>41.426400000000001</v>
      </c>
      <c r="K1027" s="10">
        <f>CHOOSE(CONTROL!$C$42, 40.3338, 40.3338) * CHOOSE(CONTROL!$C$21, $C$9, 100%, $E$9)</f>
        <v>40.333799999999997</v>
      </c>
      <c r="L1027" s="10">
        <f>CHOOSE(CONTROL!$C$42, 42.2608, 42.2608) * CHOOSE(CONTROL!$C$21, $C$9, 100%, $E$9)</f>
        <v>42.260800000000003</v>
      </c>
      <c r="M1027" s="10">
        <f>CHOOSE(CONTROL!$C$42, 40.8815, 40.8815) * CHOOSE(CONTROL!$C$21, $C$9, 100%, $E$9)</f>
        <v>40.881500000000003</v>
      </c>
      <c r="N1027" s="10">
        <f>CHOOSE(CONTROL!$C$42, 40.8975, 40.8975) * CHOOSE(CONTROL!$C$21, $C$9, 100%, $E$9)</f>
        <v>40.897500000000001</v>
      </c>
      <c r="O1027" s="10">
        <f>CHOOSE(CONTROL!$C$42, 41.1254, 41.1254) * CHOOSE(CONTROL!$C$21, $C$9, 100%, $E$9)</f>
        <v>41.125399999999999</v>
      </c>
      <c r="P1027" s="10">
        <f>CHOOSE(CONTROL!$C$42, 40.9225, 40.9225) * CHOOSE(CONTROL!$C$21, $C$9, 100%, $E$9)</f>
        <v>40.922499999999999</v>
      </c>
      <c r="Q1027" s="10">
        <f>CHOOSE(CONTROL!$C$42, 41.7207, 41.7207) * CHOOSE(CONTROL!$C$21, $C$9, 100%, $E$9)</f>
        <v>41.720700000000001</v>
      </c>
      <c r="R1027" s="10">
        <f>CHOOSE(CONTROL!$C$42, 42.412, 42.412) * CHOOSE(CONTROL!$C$21, $C$9, 100%, $E$9)</f>
        <v>42.411999999999999</v>
      </c>
      <c r="S1027" s="10">
        <f>CHOOSE(CONTROL!$C$42, 40.1886, 40.1886) * CHOOSE(CONTROL!$C$21, $C$9, 100%, $E$9)</f>
        <v>40.188600000000001</v>
      </c>
      <c r="T1027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27" s="38">
        <f>(1000*CHOOSE(CONTROL!$C$42, 695, 695)*CHOOSE(CONTROL!$C$42, 0.5599, 0.5599)*CHOOSE(CONTROL!$C$42, 31, 31))/1000000</f>
        <v>12.063045499999998</v>
      </c>
      <c r="V1027" s="38">
        <f>(1000*CHOOSE(CONTROL!$C$42, 500, 500)*CHOOSE(CONTROL!$C$42, 0.275, 0.275)*CHOOSE(CONTROL!$C$42, 31, 31))/1000000</f>
        <v>4.2625000000000002</v>
      </c>
      <c r="W1027" s="38">
        <f>(1000*CHOOSE(CONTROL!$C$42, 0.1146, 0.1146)*CHOOSE(CONTROL!$C$42, 121.5, 121.5)*CHOOSE(CONTROL!$C$42, 31, 31))/1000000</f>
        <v>0.43164089999999994</v>
      </c>
      <c r="X1027" s="38">
        <f>(31*0.1790888*245000/1000000)+(31*0.2374*100000/1000000)</f>
        <v>2.0961194359999999</v>
      </c>
      <c r="Y1027" s="38">
        <f>(1000*600*CHOOSE(CONTROL!$C$42, 1.0585, 1.0585)*CHOOSE(CONTROL!$C$42, 31, 31))/1000000</f>
        <v>19.688099999999999</v>
      </c>
      <c r="Z1027" s="38"/>
      <c r="AA1027" s="10"/>
      <c r="AB1027" s="39"/>
      <c r="AC1027" s="33">
        <f>(B1027*194.205+C1027*267.466+D1027*133.845+E1027*53.484+F1027*40+G1027*185+H1027*0+I1027*100+J1027*300)/(194.205+267.466+133.845+53.484+0+40+185+100+300)</f>
        <v>41.492581643485089</v>
      </c>
      <c r="AD1027" s="27">
        <f>(M1027*'RAP TEMPLATE-GAS AVAILABILITY'!O1026+N1027*'RAP TEMPLATE-GAS AVAILABILITY'!P1026+O1027*'RAP TEMPLATE-GAS AVAILABILITY'!Q1026+P1027*'RAP TEMPLATE-GAS AVAILABILITY'!R1026)/('RAP TEMPLATE-GAS AVAILABILITY'!O1026+'RAP TEMPLATE-GAS AVAILABILITY'!P1026+'RAP TEMPLATE-GAS AVAILABILITY'!Q1026+'RAP TEMPLATE-GAS AVAILABILITY'!R1026)</f>
        <v>40.998864748201441</v>
      </c>
    </row>
    <row r="1028" spans="1:30" ht="15.75">
      <c r="A1028" s="13">
        <v>72563</v>
      </c>
      <c r="B1028" s="10">
        <f>CHOOSE(CONTROL!$C$42, 39.4391, 39.4391) * CHOOSE(CONTROL!$C$21, $C$9, 100%, $E$9)</f>
        <v>39.439100000000003</v>
      </c>
      <c r="C1028" s="10">
        <f>CHOOSE(CONTROL!$C$42, 39.4471, 39.4471) * CHOOSE(CONTROL!$C$21, $C$9, 100%, $E$9)</f>
        <v>39.447099999999999</v>
      </c>
      <c r="D1028" s="10">
        <f>CHOOSE(CONTROL!$C$42, 39.6042, 39.6042) * CHOOSE(CONTROL!$C$21, $C$9, 100%, $E$9)</f>
        <v>39.604199999999999</v>
      </c>
      <c r="E1028" s="10">
        <f>CHOOSE(CONTROL!$C$42, 39.6354, 39.6354) * CHOOSE(CONTROL!$C$21, $C$9, 100%, $E$9)</f>
        <v>39.635399999999997</v>
      </c>
      <c r="F1028" s="10">
        <f>CHOOSE(CONTROL!$C$42, 39.3837, 39.3837)*CHOOSE(CONTROL!$C$21, $C$9, 100%, $E$9)</f>
        <v>39.383699999999997</v>
      </c>
      <c r="G1028" s="10">
        <f>CHOOSE(CONTROL!$C$42, 39.3999, 39.3999)*CHOOSE(CONTROL!$C$21, $C$9, 100%, $E$9)</f>
        <v>39.399900000000002</v>
      </c>
      <c r="H1028" s="10">
        <f>CHOOSE(CONTROL!$C$42, 39.6237, 39.6237) * CHOOSE(CONTROL!$C$21, $C$9, 100%, $E$9)</f>
        <v>39.623699999999999</v>
      </c>
      <c r="I1028" s="10">
        <f>CHOOSE(CONTROL!$C$42, 39.4179, 39.4179)* CHOOSE(CONTROL!$C$21, $C$9, 100%, $E$9)</f>
        <v>39.417900000000003</v>
      </c>
      <c r="J1028" s="10">
        <f>CHOOSE(CONTROL!$C$42, 39.3763, 39.3763)* CHOOSE(CONTROL!$C$21, $C$9, 100%, $E$9)</f>
        <v>39.376300000000001</v>
      </c>
      <c r="K1028" s="10">
        <f>CHOOSE(CONTROL!$C$42, 38.3476, 38.3476) * CHOOSE(CONTROL!$C$21, $C$9, 100%, $E$9)</f>
        <v>38.3476</v>
      </c>
      <c r="L1028" s="10">
        <f>CHOOSE(CONTROL!$C$42, 40.2107, 40.2107) * CHOOSE(CONTROL!$C$21, $C$9, 100%, $E$9)</f>
        <v>40.210700000000003</v>
      </c>
      <c r="M1028" s="10">
        <f>CHOOSE(CONTROL!$C$42, 38.86, 38.86) * CHOOSE(CONTROL!$C$21, $C$9, 100%, $E$9)</f>
        <v>38.86</v>
      </c>
      <c r="N1028" s="10">
        <f>CHOOSE(CONTROL!$C$42, 38.876, 38.876) * CHOOSE(CONTROL!$C$21, $C$9, 100%, $E$9)</f>
        <v>38.875999999999998</v>
      </c>
      <c r="O1028" s="10">
        <f>CHOOSE(CONTROL!$C$42, 39.104, 39.104) * CHOOSE(CONTROL!$C$21, $C$9, 100%, $E$9)</f>
        <v>39.103999999999999</v>
      </c>
      <c r="P1028" s="10">
        <f>CHOOSE(CONTROL!$C$42, 38.9011, 38.9011) * CHOOSE(CONTROL!$C$21, $C$9, 100%, $E$9)</f>
        <v>38.9011</v>
      </c>
      <c r="Q1028" s="10">
        <f>CHOOSE(CONTROL!$C$42, 39.6993, 39.6993) * CHOOSE(CONTROL!$C$21, $C$9, 100%, $E$9)</f>
        <v>39.699300000000001</v>
      </c>
      <c r="R1028" s="10">
        <f>CHOOSE(CONTROL!$C$42, 40.3855, 40.3855) * CHOOSE(CONTROL!$C$21, $C$9, 100%, $E$9)</f>
        <v>40.3855</v>
      </c>
      <c r="S1028" s="10">
        <f>CHOOSE(CONTROL!$C$42, 38.2035, 38.2035) * CHOOSE(CONTROL!$C$21, $C$9, 100%, $E$9)</f>
        <v>38.203499999999998</v>
      </c>
      <c r="T1028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28" s="38">
        <f>(1000*CHOOSE(CONTROL!$C$42, 695, 695)*CHOOSE(CONTROL!$C$42, 0.5599, 0.5599)*CHOOSE(CONTROL!$C$42, 31, 31))/1000000</f>
        <v>12.063045499999998</v>
      </c>
      <c r="V1028" s="38">
        <f>(1000*CHOOSE(CONTROL!$C$42, 500, 500)*CHOOSE(CONTROL!$C$42, 0.275, 0.275)*CHOOSE(CONTROL!$C$42, 31, 31))/1000000</f>
        <v>4.2625000000000002</v>
      </c>
      <c r="W1028" s="38">
        <f>(1000*CHOOSE(CONTROL!$C$42, 0.1146, 0.1146)*CHOOSE(CONTROL!$C$42, 121.5, 121.5)*CHOOSE(CONTROL!$C$42, 31, 31))/1000000</f>
        <v>0.43164089999999994</v>
      </c>
      <c r="X1028" s="38">
        <f>(31*0.1790888*245000/1000000)+(31*0.2374*100000/1000000)</f>
        <v>2.0961194359999999</v>
      </c>
      <c r="Y1028" s="38">
        <f>(1000*600*CHOOSE(CONTROL!$C$42, 1.0585, 1.0585)*CHOOSE(CONTROL!$C$42, 31, 31))/1000000</f>
        <v>19.688099999999999</v>
      </c>
      <c r="Z1028" s="38"/>
      <c r="AA1028" s="10"/>
      <c r="AB1028" s="39"/>
      <c r="AC1028" s="33">
        <f>(B1028*194.205+C1028*267.466+D1028*133.845+E1028*53.484+F1028*40+G1028*185+H1028*0+I1028*100+J1028*300)/(194.205+267.466+133.845+53.484+0+40+185+100+300)</f>
        <v>39.442481826295136</v>
      </c>
      <c r="AD1028" s="27">
        <f>(M1028*'RAP TEMPLATE-GAS AVAILABILITY'!O1027+N1028*'RAP TEMPLATE-GAS AVAILABILITY'!P1027+O1028*'RAP TEMPLATE-GAS AVAILABILITY'!Q1027+P1028*'RAP TEMPLATE-GAS AVAILABILITY'!R1027)/('RAP TEMPLATE-GAS AVAILABILITY'!O1027+'RAP TEMPLATE-GAS AVAILABILITY'!P1027+'RAP TEMPLATE-GAS AVAILABILITY'!Q1027+'RAP TEMPLATE-GAS AVAILABILITY'!R1027)</f>
        <v>38.977424460431649</v>
      </c>
    </row>
    <row r="1029" spans="1:30" ht="15.75">
      <c r="A1029" s="13">
        <v>72593</v>
      </c>
      <c r="B1029" s="10">
        <f>CHOOSE(CONTROL!$C$42, 36.9344, 36.9344) * CHOOSE(CONTROL!$C$21, $C$9, 100%, $E$9)</f>
        <v>36.934399999999997</v>
      </c>
      <c r="C1029" s="10">
        <f>CHOOSE(CONTROL!$C$42, 36.9424, 36.9424) * CHOOSE(CONTROL!$C$21, $C$9, 100%, $E$9)</f>
        <v>36.942399999999999</v>
      </c>
      <c r="D1029" s="10">
        <f>CHOOSE(CONTROL!$C$42, 37.0994, 37.0994) * CHOOSE(CONTROL!$C$21, $C$9, 100%, $E$9)</f>
        <v>37.099400000000003</v>
      </c>
      <c r="E1029" s="10">
        <f>CHOOSE(CONTROL!$C$42, 37.1306, 37.1306) * CHOOSE(CONTROL!$C$21, $C$9, 100%, $E$9)</f>
        <v>37.130600000000001</v>
      </c>
      <c r="F1029" s="10">
        <f>CHOOSE(CONTROL!$C$42, 36.8787, 36.8787)*CHOOSE(CONTROL!$C$21, $C$9, 100%, $E$9)</f>
        <v>36.878700000000002</v>
      </c>
      <c r="G1029" s="10">
        <f>CHOOSE(CONTROL!$C$42, 36.8949, 36.8949)*CHOOSE(CONTROL!$C$21, $C$9, 100%, $E$9)</f>
        <v>36.8949</v>
      </c>
      <c r="H1029" s="10">
        <f>CHOOSE(CONTROL!$C$42, 37.119, 37.119) * CHOOSE(CONTROL!$C$21, $C$9, 100%, $E$9)</f>
        <v>37.119</v>
      </c>
      <c r="I1029" s="10">
        <f>CHOOSE(CONTROL!$C$42, 36.9131, 36.9131)* CHOOSE(CONTROL!$C$21, $C$9, 100%, $E$9)</f>
        <v>36.9131</v>
      </c>
      <c r="J1029" s="10">
        <f>CHOOSE(CONTROL!$C$42, 36.8713, 36.8713)* CHOOSE(CONTROL!$C$21, $C$9, 100%, $E$9)</f>
        <v>36.871299999999998</v>
      </c>
      <c r="K1029" s="10">
        <f>CHOOSE(CONTROL!$C$42, 35.9206, 35.9206) * CHOOSE(CONTROL!$C$21, $C$9, 100%, $E$9)</f>
        <v>35.9206</v>
      </c>
      <c r="L1029" s="10">
        <f>CHOOSE(CONTROL!$C$42, 37.706, 37.706) * CHOOSE(CONTROL!$C$21, $C$9, 100%, $E$9)</f>
        <v>37.706000000000003</v>
      </c>
      <c r="M1029" s="10">
        <f>CHOOSE(CONTROL!$C$42, 36.39, 36.39) * CHOOSE(CONTROL!$C$21, $C$9, 100%, $E$9)</f>
        <v>36.39</v>
      </c>
      <c r="N1029" s="10">
        <f>CHOOSE(CONTROL!$C$42, 36.4059, 36.4059) * CHOOSE(CONTROL!$C$21, $C$9, 100%, $E$9)</f>
        <v>36.405900000000003</v>
      </c>
      <c r="O1029" s="10">
        <f>CHOOSE(CONTROL!$C$42, 36.6341, 36.6341) * CHOOSE(CONTROL!$C$21, $C$9, 100%, $E$9)</f>
        <v>36.634099999999997</v>
      </c>
      <c r="P1029" s="10">
        <f>CHOOSE(CONTROL!$C$42, 36.4312, 36.4312) * CHOOSE(CONTROL!$C$21, $C$9, 100%, $E$9)</f>
        <v>36.431199999999997</v>
      </c>
      <c r="Q1029" s="10">
        <f>CHOOSE(CONTROL!$C$42, 37.2294, 37.2294) * CHOOSE(CONTROL!$C$21, $C$9, 100%, $E$9)</f>
        <v>37.229399999999998</v>
      </c>
      <c r="R1029" s="10">
        <f>CHOOSE(CONTROL!$C$42, 37.9095, 37.9095) * CHOOSE(CONTROL!$C$21, $C$9, 100%, $E$9)</f>
        <v>37.909500000000001</v>
      </c>
      <c r="S1029" s="10">
        <f>CHOOSE(CONTROL!$C$42, 35.7781, 35.7781) * CHOOSE(CONTROL!$C$21, $C$9, 100%, $E$9)</f>
        <v>35.778100000000002</v>
      </c>
      <c r="T1029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29" s="38">
        <f>(1000*CHOOSE(CONTROL!$C$42, 695, 695)*CHOOSE(CONTROL!$C$42, 0.5599, 0.5599)*CHOOSE(CONTROL!$C$42, 30, 30))/1000000</f>
        <v>11.673914999999997</v>
      </c>
      <c r="V1029" s="38">
        <f>(1000*CHOOSE(CONTROL!$C$42, 500, 500)*CHOOSE(CONTROL!$C$42, 0.275, 0.275)*CHOOSE(CONTROL!$C$42, 30, 30))/1000000</f>
        <v>4.125</v>
      </c>
      <c r="W1029" s="38">
        <f>(1000*CHOOSE(CONTROL!$C$42, 0.1146, 0.1146)*CHOOSE(CONTROL!$C$42, 121.5, 121.5)*CHOOSE(CONTROL!$C$42, 30, 30))/1000000</f>
        <v>0.417717</v>
      </c>
      <c r="X1029" s="38">
        <f>(30*0.1790888*245000/1000000)+(30*0.2374*100000/1000000)</f>
        <v>2.0285026799999999</v>
      </c>
      <c r="Y1029" s="38">
        <f>(1000*600*CHOOSE(CONTROL!$C$42, 1.0585, 1.0585)*CHOOSE(CONTROL!$C$42, 30, 30))/1000000</f>
        <v>19.053000000000001</v>
      </c>
      <c r="Z1029" s="38"/>
      <c r="AA1029" s="10"/>
      <c r="AB1029" s="39"/>
      <c r="AC1029" s="33">
        <f>(B1029*194.205+C1029*267.466+D1029*133.845+E1029*53.484+F1029*40+G1029*185+H1029*0+I1029*100+J1029*300)/(194.205+267.466+133.845+53.484+0+40+185+100+300)</f>
        <v>36.937635646624798</v>
      </c>
      <c r="AD1029" s="27">
        <f>(M1029*'RAP TEMPLATE-GAS AVAILABILITY'!O1028+N1029*'RAP TEMPLATE-GAS AVAILABILITY'!P1028+O1029*'RAP TEMPLATE-GAS AVAILABILITY'!Q1028+P1029*'RAP TEMPLATE-GAS AVAILABILITY'!R1028)/('RAP TEMPLATE-GAS AVAILABILITY'!O1028+'RAP TEMPLATE-GAS AVAILABILITY'!P1028+'RAP TEMPLATE-GAS AVAILABILITY'!Q1028+'RAP TEMPLATE-GAS AVAILABILITY'!R1028)</f>
        <v>36.507478417266185</v>
      </c>
    </row>
    <row r="1030" spans="1:30" ht="15.75">
      <c r="A1030" s="13">
        <v>72624</v>
      </c>
      <c r="B1030" s="10">
        <f>CHOOSE(CONTROL!$C$42, 36.182, 36.182) * CHOOSE(CONTROL!$C$21, $C$9, 100%, $E$9)</f>
        <v>36.182000000000002</v>
      </c>
      <c r="C1030" s="10">
        <f>CHOOSE(CONTROL!$C$42, 36.1873, 36.1873) * CHOOSE(CONTROL!$C$21, $C$9, 100%, $E$9)</f>
        <v>36.1873</v>
      </c>
      <c r="D1030" s="10">
        <f>CHOOSE(CONTROL!$C$42, 36.3492, 36.3492) * CHOOSE(CONTROL!$C$21, $C$9, 100%, $E$9)</f>
        <v>36.349200000000003</v>
      </c>
      <c r="E1030" s="10">
        <f>CHOOSE(CONTROL!$C$42, 36.3782, 36.3782) * CHOOSE(CONTROL!$C$21, $C$9, 100%, $E$9)</f>
        <v>36.3782</v>
      </c>
      <c r="F1030" s="10">
        <f>CHOOSE(CONTROL!$C$42, 36.1284, 36.1284)*CHOOSE(CONTROL!$C$21, $C$9, 100%, $E$9)</f>
        <v>36.128399999999999</v>
      </c>
      <c r="G1030" s="10">
        <f>CHOOSE(CONTROL!$C$42, 36.1442, 36.1442)*CHOOSE(CONTROL!$C$21, $C$9, 100%, $E$9)</f>
        <v>36.144199999999998</v>
      </c>
      <c r="H1030" s="10">
        <f>CHOOSE(CONTROL!$C$42, 36.3683, 36.3683) * CHOOSE(CONTROL!$C$21, $C$9, 100%, $E$9)</f>
        <v>36.368299999999998</v>
      </c>
      <c r="I1030" s="10">
        <f>CHOOSE(CONTROL!$C$42, 36.1625, 36.1625)* CHOOSE(CONTROL!$C$21, $C$9, 100%, $E$9)</f>
        <v>36.162500000000001</v>
      </c>
      <c r="J1030" s="10">
        <f>CHOOSE(CONTROL!$C$42, 36.121, 36.121)* CHOOSE(CONTROL!$C$21, $C$9, 100%, $E$9)</f>
        <v>36.121000000000002</v>
      </c>
      <c r="K1030" s="10">
        <f>CHOOSE(CONTROL!$C$42, 35.194, 35.194) * CHOOSE(CONTROL!$C$21, $C$9, 100%, $E$9)</f>
        <v>35.194000000000003</v>
      </c>
      <c r="L1030" s="10">
        <f>CHOOSE(CONTROL!$C$42, 36.9553, 36.9553) * CHOOSE(CONTROL!$C$21, $C$9, 100%, $E$9)</f>
        <v>36.955300000000001</v>
      </c>
      <c r="M1030" s="10">
        <f>CHOOSE(CONTROL!$C$42, 35.6501, 35.6501) * CHOOSE(CONTROL!$C$21, $C$9, 100%, $E$9)</f>
        <v>35.650100000000002</v>
      </c>
      <c r="N1030" s="10">
        <f>CHOOSE(CONTROL!$C$42, 35.6657, 35.6657) * CHOOSE(CONTROL!$C$21, $C$9, 100%, $E$9)</f>
        <v>35.665700000000001</v>
      </c>
      <c r="O1030" s="10">
        <f>CHOOSE(CONTROL!$C$42, 35.894, 35.894) * CHOOSE(CONTROL!$C$21, $C$9, 100%, $E$9)</f>
        <v>35.893999999999998</v>
      </c>
      <c r="P1030" s="10">
        <f>CHOOSE(CONTROL!$C$42, 35.6911, 35.6911) * CHOOSE(CONTROL!$C$21, $C$9, 100%, $E$9)</f>
        <v>35.691099999999999</v>
      </c>
      <c r="Q1030" s="10">
        <f>CHOOSE(CONTROL!$C$42, 36.4893, 36.4893) * CHOOSE(CONTROL!$C$21, $C$9, 100%, $E$9)</f>
        <v>36.4893</v>
      </c>
      <c r="R1030" s="10">
        <f>CHOOSE(CONTROL!$C$42, 37.1675, 37.1675) * CHOOSE(CONTROL!$C$21, $C$9, 100%, $E$9)</f>
        <v>37.167499999999997</v>
      </c>
      <c r="S1030" s="10">
        <f>CHOOSE(CONTROL!$C$42, 35.0513, 35.0513) * CHOOSE(CONTROL!$C$21, $C$9, 100%, $E$9)</f>
        <v>35.051299999999998</v>
      </c>
      <c r="T1030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30" s="38">
        <f>(1000*CHOOSE(CONTROL!$C$42, 695, 695)*CHOOSE(CONTROL!$C$42, 0.5599, 0.5599)*CHOOSE(CONTROL!$C$42, 31, 31))/1000000</f>
        <v>12.063045499999998</v>
      </c>
      <c r="V1030" s="38">
        <f>(1000*CHOOSE(CONTROL!$C$42, 500, 500)*CHOOSE(CONTROL!$C$42, 0.275, 0.275)*CHOOSE(CONTROL!$C$42, 31, 31))/1000000</f>
        <v>4.2625000000000002</v>
      </c>
      <c r="W1030" s="38">
        <f>(1000*CHOOSE(CONTROL!$C$42, 0.1146, 0.1146)*CHOOSE(CONTROL!$C$42, 121.5, 121.5)*CHOOSE(CONTROL!$C$42, 31, 31))/1000000</f>
        <v>0.43164089999999994</v>
      </c>
      <c r="X1030" s="38">
        <f>(31*0.1790888*245000/1000000)+(31*0.2374*100000/1000000)</f>
        <v>2.0961194359999999</v>
      </c>
      <c r="Y1030" s="38">
        <f>(1000*600*CHOOSE(CONTROL!$C$42, 1.0585, 1.0585)*CHOOSE(CONTROL!$C$42, 31, 31))/1000000</f>
        <v>19.688099999999999</v>
      </c>
      <c r="Z1030" s="38"/>
      <c r="AA1030" s="10"/>
      <c r="AB1030" s="39"/>
      <c r="AC1030" s="33">
        <f>(B1030*131.881+C1030*277.167+D1030*79.08+E1030*125.872+F1030*40+G1030*185+H1030*0+I1030*100+J1030*300)/(131.881+277.167+79.08+125.872+0+40+185+100+300)</f>
        <v>36.190071224778045</v>
      </c>
      <c r="AD1030" s="27">
        <f>(M1030*'RAP TEMPLATE-GAS AVAILABILITY'!O1029+N1030*'RAP TEMPLATE-GAS AVAILABILITY'!P1029+O1030*'RAP TEMPLATE-GAS AVAILABILITY'!Q1029+P1030*'RAP TEMPLATE-GAS AVAILABILITY'!R1029)/('RAP TEMPLATE-GAS AVAILABILITY'!O1029+'RAP TEMPLATE-GAS AVAILABILITY'!P1029+'RAP TEMPLATE-GAS AVAILABILITY'!Q1029+'RAP TEMPLATE-GAS AVAILABILITY'!R1029)</f>
        <v>35.767441726618706</v>
      </c>
    </row>
    <row r="1031" spans="1:30" ht="15.75">
      <c r="A1031" s="13">
        <v>72654</v>
      </c>
      <c r="B1031" s="10">
        <f>CHOOSE(CONTROL!$C$42, 37.1352, 37.1352) * CHOOSE(CONTROL!$C$21, $C$9, 100%, $E$9)</f>
        <v>37.135199999999998</v>
      </c>
      <c r="C1031" s="10">
        <f>CHOOSE(CONTROL!$C$42, 37.1403, 37.1403) * CHOOSE(CONTROL!$C$21, $C$9, 100%, $E$9)</f>
        <v>37.140300000000003</v>
      </c>
      <c r="D1031" s="10">
        <f>CHOOSE(CONTROL!$C$42, 37.165, 37.165) * CHOOSE(CONTROL!$C$21, $C$9, 100%, $E$9)</f>
        <v>37.164999999999999</v>
      </c>
      <c r="E1031" s="10">
        <f>CHOOSE(CONTROL!$C$42, 37.1988, 37.1988) * CHOOSE(CONTROL!$C$21, $C$9, 100%, $E$9)</f>
        <v>37.198799999999999</v>
      </c>
      <c r="F1031" s="10">
        <f>CHOOSE(CONTROL!$C$42, 37.1035, 37.1035)*CHOOSE(CONTROL!$C$21, $C$9, 100%, $E$9)</f>
        <v>37.103499999999997</v>
      </c>
      <c r="G1031" s="10">
        <f>CHOOSE(CONTROL!$C$42, 37.1195, 37.1195)*CHOOSE(CONTROL!$C$21, $C$9, 100%, $E$9)</f>
        <v>37.119500000000002</v>
      </c>
      <c r="H1031" s="10">
        <f>CHOOSE(CONTROL!$C$42, 37.1877, 37.1877) * CHOOSE(CONTROL!$C$21, $C$9, 100%, $E$9)</f>
        <v>37.1877</v>
      </c>
      <c r="I1031" s="10">
        <f>CHOOSE(CONTROL!$C$42, 37.1502, 37.1502)* CHOOSE(CONTROL!$C$21, $C$9, 100%, $E$9)</f>
        <v>37.150199999999998</v>
      </c>
      <c r="J1031" s="10">
        <f>CHOOSE(CONTROL!$C$42, 37.0961, 37.0961)* CHOOSE(CONTROL!$C$21, $C$9, 100%, $E$9)</f>
        <v>37.0961</v>
      </c>
      <c r="K1031" s="10">
        <f>CHOOSE(CONTROL!$C$42, 36.1531, 36.1531) * CHOOSE(CONTROL!$C$21, $C$9, 100%, $E$9)</f>
        <v>36.153100000000002</v>
      </c>
      <c r="L1031" s="10">
        <f>CHOOSE(CONTROL!$C$42, 37.7747, 37.7747) * CHOOSE(CONTROL!$C$21, $C$9, 100%, $E$9)</f>
        <v>37.774700000000003</v>
      </c>
      <c r="M1031" s="10">
        <f>CHOOSE(CONTROL!$C$42, 36.6116, 36.6116) * CHOOSE(CONTROL!$C$21, $C$9, 100%, $E$9)</f>
        <v>36.611600000000003</v>
      </c>
      <c r="N1031" s="10">
        <f>CHOOSE(CONTROL!$C$42, 36.6274, 36.6274) * CHOOSE(CONTROL!$C$21, $C$9, 100%, $E$9)</f>
        <v>36.627400000000002</v>
      </c>
      <c r="O1031" s="10">
        <f>CHOOSE(CONTROL!$C$42, 36.7019, 36.7019) * CHOOSE(CONTROL!$C$21, $C$9, 100%, $E$9)</f>
        <v>36.701900000000002</v>
      </c>
      <c r="P1031" s="10">
        <f>CHOOSE(CONTROL!$C$42, 36.665, 36.665) * CHOOSE(CONTROL!$C$21, $C$9, 100%, $E$9)</f>
        <v>36.664999999999999</v>
      </c>
      <c r="Q1031" s="10">
        <f>CHOOSE(CONTROL!$C$42, 37.2972, 37.2972) * CHOOSE(CONTROL!$C$21, $C$9, 100%, $E$9)</f>
        <v>37.297199999999997</v>
      </c>
      <c r="R1031" s="10">
        <f>CHOOSE(CONTROL!$C$42, 37.9774, 37.9774) * CHOOSE(CONTROL!$C$21, $C$9, 100%, $E$9)</f>
        <v>37.977400000000003</v>
      </c>
      <c r="S1031" s="10">
        <f>CHOOSE(CONTROL!$C$42, 35.9747, 35.9747) * CHOOSE(CONTROL!$C$21, $C$9, 100%, $E$9)</f>
        <v>35.974699999999999</v>
      </c>
      <c r="T1031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31" s="38">
        <f>(1000*CHOOSE(CONTROL!$C$42, 695, 695)*CHOOSE(CONTROL!$C$42, 0.5599, 0.5599)*CHOOSE(CONTROL!$C$42, 30, 30))/1000000</f>
        <v>11.673914999999997</v>
      </c>
      <c r="V1031" s="38">
        <f>(1000*CHOOSE(CONTROL!$C$42, 500, 500)*CHOOSE(CONTROL!$C$42, 0.275, 0.275)*CHOOSE(CONTROL!$C$42, 30, 30))/1000000</f>
        <v>4.125</v>
      </c>
      <c r="W1031" s="38">
        <f>(1000*CHOOSE(CONTROL!$C$42, 0.1146, 0.1146)*CHOOSE(CONTROL!$C$42, 121.5, 121.5)*CHOOSE(CONTROL!$C$42, 30, 30))/1000000</f>
        <v>0.417717</v>
      </c>
      <c r="X1031" s="38">
        <f>(30*0.1790888*100000/1000000)+(30*0.2374*100000/1000000)</f>
        <v>1.2494664</v>
      </c>
      <c r="Y1031" s="38">
        <f>(1000*600*CHOOSE(CONTROL!$C$42, 1.0585, 1.0585)*CHOOSE(CONTROL!$C$42, 30, 30))/1000000</f>
        <v>19.053000000000001</v>
      </c>
      <c r="Z1031" s="38"/>
      <c r="AA1031" s="10"/>
      <c r="AB1031" s="39"/>
      <c r="AC1031" s="33">
        <f>(B1031*122.58+C1031*297.941+D1031*89.177+E1031*40.302+F1031*40+G1031*160+H1031*0+I1031*100+J1031*300)/(122.58+297.941+89.177+40.302+0+40+160+100+300)</f>
        <v>37.128878418173912</v>
      </c>
      <c r="AD1031" s="27">
        <f>(M1031*'RAP TEMPLATE-GAS AVAILABILITY'!O1030+N1031*'RAP TEMPLATE-GAS AVAILABILITY'!P1030+O1031*'RAP TEMPLATE-GAS AVAILABILITY'!Q1030+P1031*'RAP TEMPLATE-GAS AVAILABILITY'!R1030)/('RAP TEMPLATE-GAS AVAILABILITY'!O1030+'RAP TEMPLATE-GAS AVAILABILITY'!P1030+'RAP TEMPLATE-GAS AVAILABILITY'!Q1030+'RAP TEMPLATE-GAS AVAILABILITY'!R1030)</f>
        <v>36.661120143884894</v>
      </c>
    </row>
    <row r="1032" spans="1:30" ht="15.75">
      <c r="A1032" s="13">
        <v>72685</v>
      </c>
      <c r="B1032" s="10">
        <f>CHOOSE(CONTROL!$C$42, 39.6682, 39.6682) * CHOOSE(CONTROL!$C$21, $C$9, 100%, $E$9)</f>
        <v>39.668199999999999</v>
      </c>
      <c r="C1032" s="10">
        <f>CHOOSE(CONTROL!$C$42, 39.6733, 39.6733) * CHOOSE(CONTROL!$C$21, $C$9, 100%, $E$9)</f>
        <v>39.673299999999998</v>
      </c>
      <c r="D1032" s="10">
        <f>CHOOSE(CONTROL!$C$42, 39.698, 39.698) * CHOOSE(CONTROL!$C$21, $C$9, 100%, $E$9)</f>
        <v>39.698</v>
      </c>
      <c r="E1032" s="10">
        <f>CHOOSE(CONTROL!$C$42, 39.7318, 39.7318) * CHOOSE(CONTROL!$C$21, $C$9, 100%, $E$9)</f>
        <v>39.7318</v>
      </c>
      <c r="F1032" s="10">
        <f>CHOOSE(CONTROL!$C$42, 39.6384, 39.6384)*CHOOSE(CONTROL!$C$21, $C$9, 100%, $E$9)</f>
        <v>39.638399999999997</v>
      </c>
      <c r="G1032" s="10">
        <f>CHOOSE(CONTROL!$C$42, 39.6549, 39.6549)*CHOOSE(CONTROL!$C$21, $C$9, 100%, $E$9)</f>
        <v>39.654899999999998</v>
      </c>
      <c r="H1032" s="10">
        <f>CHOOSE(CONTROL!$C$42, 39.7206, 39.7206) * CHOOSE(CONTROL!$C$21, $C$9, 100%, $E$9)</f>
        <v>39.720599999999997</v>
      </c>
      <c r="I1032" s="10">
        <f>CHOOSE(CONTROL!$C$42, 39.6832, 39.6832)* CHOOSE(CONTROL!$C$21, $C$9, 100%, $E$9)</f>
        <v>39.683199999999999</v>
      </c>
      <c r="J1032" s="10">
        <f>CHOOSE(CONTROL!$C$42, 39.631, 39.631)* CHOOSE(CONTROL!$C$21, $C$9, 100%, $E$9)</f>
        <v>39.631</v>
      </c>
      <c r="K1032" s="10">
        <f>CHOOSE(CONTROL!$C$42, 38.6111, 38.6111) * CHOOSE(CONTROL!$C$21, $C$9, 100%, $E$9)</f>
        <v>38.6111</v>
      </c>
      <c r="L1032" s="10">
        <f>CHOOSE(CONTROL!$C$42, 40.3076, 40.3076) * CHOOSE(CONTROL!$C$21, $C$9, 100%, $E$9)</f>
        <v>40.307600000000001</v>
      </c>
      <c r="M1032" s="10">
        <f>CHOOSE(CONTROL!$C$42, 39.1112, 39.1112) * CHOOSE(CONTROL!$C$21, $C$9, 100%, $E$9)</f>
        <v>39.111199999999997</v>
      </c>
      <c r="N1032" s="10">
        <f>CHOOSE(CONTROL!$C$42, 39.1274, 39.1274) * CHOOSE(CONTROL!$C$21, $C$9, 100%, $E$9)</f>
        <v>39.127400000000002</v>
      </c>
      <c r="O1032" s="10">
        <f>CHOOSE(CONTROL!$C$42, 39.1995, 39.1995) * CHOOSE(CONTROL!$C$21, $C$9, 100%, $E$9)</f>
        <v>39.1995</v>
      </c>
      <c r="P1032" s="10">
        <f>CHOOSE(CONTROL!$C$42, 39.1626, 39.1626) * CHOOSE(CONTROL!$C$21, $C$9, 100%, $E$9)</f>
        <v>39.162599999999998</v>
      </c>
      <c r="Q1032" s="10">
        <f>CHOOSE(CONTROL!$C$42, 39.7948, 39.7948) * CHOOSE(CONTROL!$C$21, $C$9, 100%, $E$9)</f>
        <v>39.794800000000002</v>
      </c>
      <c r="R1032" s="10">
        <f>CHOOSE(CONTROL!$C$42, 40.4813, 40.4813) * CHOOSE(CONTROL!$C$21, $C$9, 100%, $E$9)</f>
        <v>40.481299999999997</v>
      </c>
      <c r="S1032" s="10">
        <f>CHOOSE(CONTROL!$C$42, 38.4273, 38.4273) * CHOOSE(CONTROL!$C$21, $C$9, 100%, $E$9)</f>
        <v>38.427300000000002</v>
      </c>
      <c r="T1032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32" s="38">
        <f>(1000*CHOOSE(CONTROL!$C$42, 695, 695)*CHOOSE(CONTROL!$C$42, 0.5599, 0.5599)*CHOOSE(CONTROL!$C$42, 31, 31))/1000000</f>
        <v>12.063045499999998</v>
      </c>
      <c r="V1032" s="38">
        <f>(1000*CHOOSE(CONTROL!$C$42, 500, 500)*CHOOSE(CONTROL!$C$42, 0.275, 0.275)*CHOOSE(CONTROL!$C$42, 31, 31))/1000000</f>
        <v>4.2625000000000002</v>
      </c>
      <c r="W1032" s="38">
        <f>(1000*CHOOSE(CONTROL!$C$42, 0.1146, 0.1146)*CHOOSE(CONTROL!$C$42, 121.5, 121.5)*CHOOSE(CONTROL!$C$42, 31, 31))/1000000</f>
        <v>0.43164089999999994</v>
      </c>
      <c r="X1032" s="38">
        <f>(31*0.1790888*100000/1000000)+(31*0.2374*100000/1000000)</f>
        <v>1.2911152800000001</v>
      </c>
      <c r="Y1032" s="38">
        <f>(1000*600*CHOOSE(CONTROL!$C$42, 1.0585, 1.0585)*CHOOSE(CONTROL!$C$42, 31, 31))/1000000</f>
        <v>19.688099999999999</v>
      </c>
      <c r="Z1032" s="38"/>
      <c r="AA1032" s="10"/>
      <c r="AB1032" s="39"/>
      <c r="AC1032" s="33">
        <f>(B1032*122.58+C1032*297.941+D1032*89.177+E1032*40.302+F1032*40+G1032*160+H1032*0+I1032*100+J1032*300)/(122.58+297.941+89.177+40.302+0+40+160+100+300)</f>
        <v>39.662774070347822</v>
      </c>
      <c r="AD1032" s="27">
        <f>(M1032*'RAP TEMPLATE-GAS AVAILABILITY'!O1031+N1032*'RAP TEMPLATE-GAS AVAILABILITY'!P1031+O1032*'RAP TEMPLATE-GAS AVAILABILITY'!Q1031+P1032*'RAP TEMPLATE-GAS AVAILABILITY'!R1031)/('RAP TEMPLATE-GAS AVAILABILITY'!O1031+'RAP TEMPLATE-GAS AVAILABILITY'!P1031+'RAP TEMPLATE-GAS AVAILABILITY'!Q1031+'RAP TEMPLATE-GAS AVAILABILITY'!R1031)</f>
        <v>39.159548920863308</v>
      </c>
    </row>
    <row r="1033" spans="1:30" ht="15.75">
      <c r="A1033" s="13">
        <v>72716</v>
      </c>
      <c r="B1033" s="10">
        <f>CHOOSE(CONTROL!$C$42, 42.3466, 42.3466) * CHOOSE(CONTROL!$C$21, $C$9, 100%, $E$9)</f>
        <v>42.346600000000002</v>
      </c>
      <c r="C1033" s="10">
        <f>CHOOSE(CONTROL!$C$42, 42.3517, 42.3517) * CHOOSE(CONTROL!$C$21, $C$9, 100%, $E$9)</f>
        <v>42.351700000000001</v>
      </c>
      <c r="D1033" s="10">
        <f>CHOOSE(CONTROL!$C$42, 42.3842, 42.3842) * CHOOSE(CONTROL!$C$21, $C$9, 100%, $E$9)</f>
        <v>42.3842</v>
      </c>
      <c r="E1033" s="10">
        <f>CHOOSE(CONTROL!$C$42, 42.418, 42.418) * CHOOSE(CONTROL!$C$21, $C$9, 100%, $E$9)</f>
        <v>42.417999999999999</v>
      </c>
      <c r="F1033" s="10">
        <f>CHOOSE(CONTROL!$C$42, 42.3308, 42.3308)*CHOOSE(CONTROL!$C$21, $C$9, 100%, $E$9)</f>
        <v>42.330800000000004</v>
      </c>
      <c r="G1033" s="10">
        <f>CHOOSE(CONTROL!$C$42, 42.3489, 42.3489)*CHOOSE(CONTROL!$C$21, $C$9, 100%, $E$9)</f>
        <v>42.3489</v>
      </c>
      <c r="H1033" s="10">
        <f>CHOOSE(CONTROL!$C$42, 42.4069, 42.4069) * CHOOSE(CONTROL!$C$21, $C$9, 100%, $E$9)</f>
        <v>42.4069</v>
      </c>
      <c r="I1033" s="10">
        <f>CHOOSE(CONTROL!$C$42, 42.3601, 42.3601)* CHOOSE(CONTROL!$C$21, $C$9, 100%, $E$9)</f>
        <v>42.360100000000003</v>
      </c>
      <c r="J1033" s="10">
        <f>CHOOSE(CONTROL!$C$42, 42.3234, 42.3234)* CHOOSE(CONTROL!$C$21, $C$9, 100%, $E$9)</f>
        <v>42.323399999999999</v>
      </c>
      <c r="K1033" s="10">
        <f>CHOOSE(CONTROL!$C$42, 41.2184, 41.2184) * CHOOSE(CONTROL!$C$21, $C$9, 100%, $E$9)</f>
        <v>41.218400000000003</v>
      </c>
      <c r="L1033" s="10">
        <f>CHOOSE(CONTROL!$C$42, 42.9939, 42.9939) * CHOOSE(CONTROL!$C$21, $C$9, 100%, $E$9)</f>
        <v>42.993899999999996</v>
      </c>
      <c r="M1033" s="10">
        <f>CHOOSE(CONTROL!$C$42, 41.766, 41.766) * CHOOSE(CONTROL!$C$21, $C$9, 100%, $E$9)</f>
        <v>41.765999999999998</v>
      </c>
      <c r="N1033" s="10">
        <f>CHOOSE(CONTROL!$C$42, 41.7838, 41.7838) * CHOOSE(CONTROL!$C$21, $C$9, 100%, $E$9)</f>
        <v>41.783799999999999</v>
      </c>
      <c r="O1033" s="10">
        <f>CHOOSE(CONTROL!$C$42, 41.8483, 41.8483) * CHOOSE(CONTROL!$C$21, $C$9, 100%, $E$9)</f>
        <v>41.848300000000002</v>
      </c>
      <c r="P1033" s="10">
        <f>CHOOSE(CONTROL!$C$42, 41.8022, 41.8022) * CHOOSE(CONTROL!$C$21, $C$9, 100%, $E$9)</f>
        <v>41.802199999999999</v>
      </c>
      <c r="Q1033" s="10">
        <f>CHOOSE(CONTROL!$C$42, 42.4436, 42.4436) * CHOOSE(CONTROL!$C$21, $C$9, 100%, $E$9)</f>
        <v>42.443600000000004</v>
      </c>
      <c r="R1033" s="10">
        <f>CHOOSE(CONTROL!$C$42, 43.1367, 43.1367) * CHOOSE(CONTROL!$C$21, $C$9, 100%, $E$9)</f>
        <v>43.136699999999998</v>
      </c>
      <c r="S1033" s="10">
        <f>CHOOSE(CONTROL!$C$42, 41.0209, 41.0209) * CHOOSE(CONTROL!$C$21, $C$9, 100%, $E$9)</f>
        <v>41.020899999999997</v>
      </c>
      <c r="T1033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033" s="38">
        <f>(1000*CHOOSE(CONTROL!$C$42, 695, 695)*CHOOSE(CONTROL!$C$42, 0.5599, 0.5599)*CHOOSE(CONTROL!$C$42, 31, 31))/1000000</f>
        <v>12.063045499999998</v>
      </c>
      <c r="V1033" s="38">
        <f>(1000*CHOOSE(CONTROL!$C$42, 500, 500)*CHOOSE(CONTROL!$C$42, 0.275, 0.275)*CHOOSE(CONTROL!$C$42, 31, 31))/1000000</f>
        <v>4.2625000000000002</v>
      </c>
      <c r="W1033" s="38">
        <f>(1000*CHOOSE(CONTROL!$C$42, 0.1146, 0.1146)*CHOOSE(CONTROL!$C$42, 121.5, 121.5)*CHOOSE(CONTROL!$C$42, 31, 31))/1000000</f>
        <v>0.43164089999999994</v>
      </c>
      <c r="X1033" s="38">
        <f>(31*0.1790888*100000/1000000)+(31*0.2374*100000/1000000)</f>
        <v>1.2911152800000001</v>
      </c>
      <c r="Y1033" s="38">
        <f>(1000*600*CHOOSE(CONTROL!$C$42, 1.0585, 1.0585)*CHOOSE(CONTROL!$C$42, 31, 31))/1000000</f>
        <v>19.688099999999999</v>
      </c>
      <c r="Z1033" s="38"/>
      <c r="AA1033" s="10"/>
      <c r="AB1033" s="39"/>
      <c r="AC1033" s="33">
        <f>(B1033*122.58+C1033*297.941+D1033*89.177+E1033*40.302+F1033*40+G1033*160+H1033*0+I1033*100+J1033*300)/(122.58+297.941+89.177+40.302+0+40+160+100+300)</f>
        <v>42.348231406173916</v>
      </c>
      <c r="AD1033" s="27">
        <f>(M1033*'RAP TEMPLATE-GAS AVAILABILITY'!O1032+N1033*'RAP TEMPLATE-GAS AVAILABILITY'!P1032+O1033*'RAP TEMPLATE-GAS AVAILABILITY'!Q1032+P1033*'RAP TEMPLATE-GAS AVAILABILITY'!R1032)/('RAP TEMPLATE-GAS AVAILABILITY'!O1032+'RAP TEMPLATE-GAS AVAILABILITY'!P1032+'RAP TEMPLATE-GAS AVAILABILITY'!Q1032+'RAP TEMPLATE-GAS AVAILABILITY'!R1032)</f>
        <v>41.809534532374101</v>
      </c>
    </row>
    <row r="1034" spans="1:30" ht="15.75">
      <c r="A1034" s="13">
        <v>72744</v>
      </c>
      <c r="B1034" s="10">
        <f>CHOOSE(CONTROL!$C$42, 43.1008, 43.1008) * CHOOSE(CONTROL!$C$21, $C$9, 100%, $E$9)</f>
        <v>43.1008</v>
      </c>
      <c r="C1034" s="10">
        <f>CHOOSE(CONTROL!$C$42, 43.1059, 43.1059) * CHOOSE(CONTROL!$C$21, $C$9, 100%, $E$9)</f>
        <v>43.105899999999998</v>
      </c>
      <c r="D1034" s="10">
        <f>CHOOSE(CONTROL!$C$42, 43.1383, 43.1383) * CHOOSE(CONTROL!$C$21, $C$9, 100%, $E$9)</f>
        <v>43.138300000000001</v>
      </c>
      <c r="E1034" s="10">
        <f>CHOOSE(CONTROL!$C$42, 43.1721, 43.1721) * CHOOSE(CONTROL!$C$21, $C$9, 100%, $E$9)</f>
        <v>43.1721</v>
      </c>
      <c r="F1034" s="10">
        <f>CHOOSE(CONTROL!$C$42, 43.0845, 43.0845)*CHOOSE(CONTROL!$C$21, $C$9, 100%, $E$9)</f>
        <v>43.084499999999998</v>
      </c>
      <c r="G1034" s="10">
        <f>CHOOSE(CONTROL!$C$42, 43.1024, 43.1024)*CHOOSE(CONTROL!$C$21, $C$9, 100%, $E$9)</f>
        <v>43.102400000000003</v>
      </c>
      <c r="H1034" s="10">
        <f>CHOOSE(CONTROL!$C$42, 43.161, 43.161) * CHOOSE(CONTROL!$C$21, $C$9, 100%, $E$9)</f>
        <v>43.161000000000001</v>
      </c>
      <c r="I1034" s="10">
        <f>CHOOSE(CONTROL!$C$42, 43.1142, 43.1142)* CHOOSE(CONTROL!$C$21, $C$9, 100%, $E$9)</f>
        <v>43.114199999999997</v>
      </c>
      <c r="J1034" s="10">
        <f>CHOOSE(CONTROL!$C$42, 43.0771, 43.0771)* CHOOSE(CONTROL!$C$21, $C$9, 100%, $E$9)</f>
        <v>43.077100000000002</v>
      </c>
      <c r="K1034" s="10">
        <f>CHOOSE(CONTROL!$C$42, 41.948, 41.948) * CHOOSE(CONTROL!$C$21, $C$9, 100%, $E$9)</f>
        <v>41.948</v>
      </c>
      <c r="L1034" s="10">
        <f>CHOOSE(CONTROL!$C$42, 43.748, 43.748) * CHOOSE(CONTROL!$C$21, $C$9, 100%, $E$9)</f>
        <v>43.747999999999998</v>
      </c>
      <c r="M1034" s="10">
        <f>CHOOSE(CONTROL!$C$42, 42.5092, 42.5092) * CHOOSE(CONTROL!$C$21, $C$9, 100%, $E$9)</f>
        <v>42.5092</v>
      </c>
      <c r="N1034" s="10">
        <f>CHOOSE(CONTROL!$C$42, 42.5268, 42.5268) * CHOOSE(CONTROL!$C$21, $C$9, 100%, $E$9)</f>
        <v>42.526800000000001</v>
      </c>
      <c r="O1034" s="10">
        <f>CHOOSE(CONTROL!$C$42, 42.5919, 42.5919) * CHOOSE(CONTROL!$C$21, $C$9, 100%, $E$9)</f>
        <v>42.591900000000003</v>
      </c>
      <c r="P1034" s="10">
        <f>CHOOSE(CONTROL!$C$42, 42.5458, 42.5458) * CHOOSE(CONTROL!$C$21, $C$9, 100%, $E$9)</f>
        <v>42.5458</v>
      </c>
      <c r="Q1034" s="10">
        <f>CHOOSE(CONTROL!$C$42, 43.1872, 43.1872) * CHOOSE(CONTROL!$C$21, $C$9, 100%, $E$9)</f>
        <v>43.187199999999997</v>
      </c>
      <c r="R1034" s="10">
        <f>CHOOSE(CONTROL!$C$42, 43.8821, 43.8821) * CHOOSE(CONTROL!$C$21, $C$9, 100%, $E$9)</f>
        <v>43.882100000000001</v>
      </c>
      <c r="S1034" s="10">
        <f>CHOOSE(CONTROL!$C$42, 41.7511, 41.7511) * CHOOSE(CONTROL!$C$21, $C$9, 100%, $E$9)</f>
        <v>41.751100000000001</v>
      </c>
      <c r="T1034" s="38">
        <f>(((255000*CHOOSE(CONTROL!$C$42, 0.4694, 0.4694)+(750000-255000)*CHOOSE(CONTROL!$C$42, 0.7185, 0.7185)+400000*CHOOSE(CONTROL!$C$42, 1.14, 1.14))*CHOOSE(CONTROL!$C$42, 28, 28))/1000000)+CHOOSE(CONTROL!$C$42, 0.1755, 0.1755)+CHOOSE(CONTROL!$C$42, 0.2587, 0.2587)</f>
        <v>26.512126000000002</v>
      </c>
      <c r="U1034" s="38">
        <f>(1000*CHOOSE(CONTROL!$C$42, 695, 695)*CHOOSE(CONTROL!$C$42, 0.5599, 0.5599)*CHOOSE(CONTROL!$C$42, 28, 28))/1000000</f>
        <v>10.895653999999999</v>
      </c>
      <c r="V1034" s="38">
        <f>(1000*CHOOSE(CONTROL!$C$42, 500, 500)*CHOOSE(CONTROL!$C$42, 0.275, 0.275)*CHOOSE(CONTROL!$C$42, 28, 28))/1000000</f>
        <v>3.85</v>
      </c>
      <c r="W1034" s="38">
        <f>(1000*CHOOSE(CONTROL!$C$42, 0.1146, 0.1146)*CHOOSE(CONTROL!$C$42, 121.5, 121.5)*CHOOSE(CONTROL!$C$42, 28, 28))/1000000</f>
        <v>0.38986920000000003</v>
      </c>
      <c r="X1034" s="38">
        <f>(28*0.1790888*100000/1000000)+(28*0.2374*100000/1000000)</f>
        <v>1.16616864</v>
      </c>
      <c r="Y1034" s="38">
        <f>(1000*600*CHOOSE(CONTROL!$C$42, 1.0585, 1.0585)*CHOOSE(CONTROL!$C$42, 28, 28))/1000000</f>
        <v>17.782800000000002</v>
      </c>
      <c r="Z1034" s="38"/>
      <c r="AA1034" s="10"/>
      <c r="AB1034" s="39"/>
      <c r="AC1034" s="33">
        <f>(B1034*122.58+C1034*297.941+D1034*89.177+E1034*40.302+F1034*40+G1034*160+H1034*0+I1034*100+J1034*300)/(122.58+297.941+89.177+40.302+0+40+160+100+300)</f>
        <v>43.102166234086958</v>
      </c>
      <c r="AD1034" s="27">
        <f>(M1034*'RAP TEMPLATE-GAS AVAILABILITY'!O1033+N1034*'RAP TEMPLATE-GAS AVAILABILITY'!P1033+O1034*'RAP TEMPLATE-GAS AVAILABILITY'!Q1033+P1034*'RAP TEMPLATE-GAS AVAILABILITY'!R1033)/('RAP TEMPLATE-GAS AVAILABILITY'!O1033+'RAP TEMPLATE-GAS AVAILABILITY'!P1033+'RAP TEMPLATE-GAS AVAILABILITY'!Q1033+'RAP TEMPLATE-GAS AVAILABILITY'!R1033)</f>
        <v>42.552961870503594</v>
      </c>
    </row>
    <row r="1035" spans="1:30" ht="15.75">
      <c r="A1035" s="13">
        <v>72775</v>
      </c>
      <c r="B1035" s="10">
        <f>CHOOSE(CONTROL!$C$42, 41.8766, 41.8766) * CHOOSE(CONTROL!$C$21, $C$9, 100%, $E$9)</f>
        <v>41.876600000000003</v>
      </c>
      <c r="C1035" s="10">
        <f>CHOOSE(CONTROL!$C$42, 41.8817, 41.8817) * CHOOSE(CONTROL!$C$21, $C$9, 100%, $E$9)</f>
        <v>41.881700000000002</v>
      </c>
      <c r="D1035" s="10">
        <f>CHOOSE(CONTROL!$C$42, 41.9142, 41.9142) * CHOOSE(CONTROL!$C$21, $C$9, 100%, $E$9)</f>
        <v>41.914200000000001</v>
      </c>
      <c r="E1035" s="10">
        <f>CHOOSE(CONTROL!$C$42, 41.948, 41.948) * CHOOSE(CONTROL!$C$21, $C$9, 100%, $E$9)</f>
        <v>41.948</v>
      </c>
      <c r="F1035" s="10">
        <f>CHOOSE(CONTROL!$C$42, 41.8589, 41.8589)*CHOOSE(CONTROL!$C$21, $C$9, 100%, $E$9)</f>
        <v>41.858899999999998</v>
      </c>
      <c r="G1035" s="10">
        <f>CHOOSE(CONTROL!$C$42, 41.8765, 41.8765)*CHOOSE(CONTROL!$C$21, $C$9, 100%, $E$9)</f>
        <v>41.8765</v>
      </c>
      <c r="H1035" s="10">
        <f>CHOOSE(CONTROL!$C$42, 41.9369, 41.9369) * CHOOSE(CONTROL!$C$21, $C$9, 100%, $E$9)</f>
        <v>41.936900000000001</v>
      </c>
      <c r="I1035" s="10">
        <f>CHOOSE(CONTROL!$C$42, 41.8901, 41.8901)* CHOOSE(CONTROL!$C$21, $C$9, 100%, $E$9)</f>
        <v>41.890099999999997</v>
      </c>
      <c r="J1035" s="10">
        <f>CHOOSE(CONTROL!$C$42, 41.8515, 41.8515)* CHOOSE(CONTROL!$C$21, $C$9, 100%, $E$9)</f>
        <v>41.851500000000001</v>
      </c>
      <c r="K1035" s="10">
        <f>CHOOSE(CONTROL!$C$42, 40.759, 40.759) * CHOOSE(CONTROL!$C$21, $C$9, 100%, $E$9)</f>
        <v>40.759</v>
      </c>
      <c r="L1035" s="10">
        <f>CHOOSE(CONTROL!$C$42, 42.5239, 42.5239) * CHOOSE(CONTROL!$C$21, $C$9, 100%, $E$9)</f>
        <v>42.523899999999998</v>
      </c>
      <c r="M1035" s="10">
        <f>CHOOSE(CONTROL!$C$42, 41.3006, 41.3006) * CHOOSE(CONTROL!$C$21, $C$9, 100%, $E$9)</f>
        <v>41.300600000000003</v>
      </c>
      <c r="N1035" s="10">
        <f>CHOOSE(CONTROL!$C$42, 41.318, 41.318) * CHOOSE(CONTROL!$C$21, $C$9, 100%, $E$9)</f>
        <v>41.317999999999998</v>
      </c>
      <c r="O1035" s="10">
        <f>CHOOSE(CONTROL!$C$42, 41.3848, 41.3848) * CHOOSE(CONTROL!$C$21, $C$9, 100%, $E$9)</f>
        <v>41.384799999999998</v>
      </c>
      <c r="P1035" s="10">
        <f>CHOOSE(CONTROL!$C$42, 41.3388, 41.3388) * CHOOSE(CONTROL!$C$21, $C$9, 100%, $E$9)</f>
        <v>41.338799999999999</v>
      </c>
      <c r="Q1035" s="10">
        <f>CHOOSE(CONTROL!$C$42, 41.9801, 41.9801) * CHOOSE(CONTROL!$C$21, $C$9, 100%, $E$9)</f>
        <v>41.9801</v>
      </c>
      <c r="R1035" s="10">
        <f>CHOOSE(CONTROL!$C$42, 42.6721, 42.6721) * CHOOSE(CONTROL!$C$21, $C$9, 100%, $E$9)</f>
        <v>42.6721</v>
      </c>
      <c r="S1035" s="10">
        <f>CHOOSE(CONTROL!$C$42, 40.5658, 40.5658) * CHOOSE(CONTROL!$C$21, $C$9, 100%, $E$9)</f>
        <v>40.565800000000003</v>
      </c>
      <c r="T1035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035" s="38">
        <f>(1000*CHOOSE(CONTROL!$C$42, 695, 695)*CHOOSE(CONTROL!$C$42, 0.5599, 0.5599)*CHOOSE(CONTROL!$C$42, 31, 31))/1000000</f>
        <v>12.063045499999998</v>
      </c>
      <c r="V1035" s="38">
        <f>(1000*CHOOSE(CONTROL!$C$42, 500, 500)*CHOOSE(CONTROL!$C$42, 0.275, 0.275)*CHOOSE(CONTROL!$C$42, 31, 31))/1000000</f>
        <v>4.2625000000000002</v>
      </c>
      <c r="W1035" s="38">
        <f>(1000*CHOOSE(CONTROL!$C$42, 0.1146, 0.1146)*CHOOSE(CONTROL!$C$42, 121.5, 121.5)*CHOOSE(CONTROL!$C$42, 31, 31))/1000000</f>
        <v>0.43164089999999994</v>
      </c>
      <c r="X1035" s="38">
        <f>(31*0.1790888*100000/1000000)+(31*0.2374*100000/1000000)</f>
        <v>1.2911152800000001</v>
      </c>
      <c r="Y1035" s="38">
        <f>(1000*600*CHOOSE(CONTROL!$C$42, 1.0585, 1.0585)*CHOOSE(CONTROL!$C$42, 31, 31))/1000000</f>
        <v>19.688099999999999</v>
      </c>
      <c r="Z1035" s="38"/>
      <c r="AA1035" s="10"/>
      <c r="AB1035" s="39"/>
      <c r="AC1035" s="33">
        <f>(B1035*122.58+C1035*297.941+D1035*89.177+E1035*40.302+F1035*40+G1035*160+H1035*0+I1035*100+J1035*300)/(122.58+297.941+89.177+40.302+0+40+160+100+300)</f>
        <v>41.877335754000008</v>
      </c>
      <c r="AD1035" s="27">
        <f>(M1035*'RAP TEMPLATE-GAS AVAILABILITY'!O1034+N1035*'RAP TEMPLATE-GAS AVAILABILITY'!P1034+O1035*'RAP TEMPLATE-GAS AVAILABILITY'!Q1034+P1035*'RAP TEMPLATE-GAS AVAILABILITY'!R1034)/('RAP TEMPLATE-GAS AVAILABILITY'!O1034+'RAP TEMPLATE-GAS AVAILABILITY'!P1034+'RAP TEMPLATE-GAS AVAILABILITY'!Q1034+'RAP TEMPLATE-GAS AVAILABILITY'!R1034)</f>
        <v>41.34526043165468</v>
      </c>
    </row>
    <row r="1036" spans="1:30" ht="15.75">
      <c r="A1036" s="13">
        <v>72805</v>
      </c>
      <c r="B1036" s="10">
        <f>CHOOSE(CONTROL!$C$42, 41.752, 41.752) * CHOOSE(CONTROL!$C$21, $C$9, 100%, $E$9)</f>
        <v>41.752000000000002</v>
      </c>
      <c r="C1036" s="10">
        <f>CHOOSE(CONTROL!$C$42, 41.7565, 41.7565) * CHOOSE(CONTROL!$C$21, $C$9, 100%, $E$9)</f>
        <v>41.756500000000003</v>
      </c>
      <c r="D1036" s="10">
        <f>CHOOSE(CONTROL!$C$42, 41.9166, 41.9166) * CHOOSE(CONTROL!$C$21, $C$9, 100%, $E$9)</f>
        <v>41.916600000000003</v>
      </c>
      <c r="E1036" s="10">
        <f>CHOOSE(CONTROL!$C$42, 41.9485, 41.9485) * CHOOSE(CONTROL!$C$21, $C$9, 100%, $E$9)</f>
        <v>41.948500000000003</v>
      </c>
      <c r="F1036" s="10">
        <f>CHOOSE(CONTROL!$C$42, 41.6981, 41.6981)*CHOOSE(CONTROL!$C$21, $C$9, 100%, $E$9)</f>
        <v>41.698099999999997</v>
      </c>
      <c r="G1036" s="10">
        <f>CHOOSE(CONTROL!$C$42, 41.7139, 41.7139)*CHOOSE(CONTROL!$C$21, $C$9, 100%, $E$9)</f>
        <v>41.713900000000002</v>
      </c>
      <c r="H1036" s="10">
        <f>CHOOSE(CONTROL!$C$42, 41.9379, 41.9379) * CHOOSE(CONTROL!$C$21, $C$9, 100%, $E$9)</f>
        <v>41.937899999999999</v>
      </c>
      <c r="I1036" s="10">
        <f>CHOOSE(CONTROL!$C$42, 41.7321, 41.7321)* CHOOSE(CONTROL!$C$21, $C$9, 100%, $E$9)</f>
        <v>41.732100000000003</v>
      </c>
      <c r="J1036" s="10">
        <f>CHOOSE(CONTROL!$C$42, 41.6907, 41.6907)* CHOOSE(CONTROL!$C$21, $C$9, 100%, $E$9)</f>
        <v>41.6907</v>
      </c>
      <c r="K1036" s="10">
        <f>CHOOSE(CONTROL!$C$42, 40.5899, 40.5899) * CHOOSE(CONTROL!$C$21, $C$9, 100%, $E$9)</f>
        <v>40.5899</v>
      </c>
      <c r="L1036" s="10">
        <f>CHOOSE(CONTROL!$C$42, 42.5249, 42.5249) * CHOOSE(CONTROL!$C$21, $C$9, 100%, $E$9)</f>
        <v>42.524900000000002</v>
      </c>
      <c r="M1036" s="10">
        <f>CHOOSE(CONTROL!$C$42, 41.1421, 41.1421) * CHOOSE(CONTROL!$C$21, $C$9, 100%, $E$9)</f>
        <v>41.142099999999999</v>
      </c>
      <c r="N1036" s="10">
        <f>CHOOSE(CONTROL!$C$42, 41.1577, 41.1577) * CHOOSE(CONTROL!$C$21, $C$9, 100%, $E$9)</f>
        <v>41.157699999999998</v>
      </c>
      <c r="O1036" s="10">
        <f>CHOOSE(CONTROL!$C$42, 41.3859, 41.3859) * CHOOSE(CONTROL!$C$21, $C$9, 100%, $E$9)</f>
        <v>41.385899999999999</v>
      </c>
      <c r="P1036" s="10">
        <f>CHOOSE(CONTROL!$C$42, 41.183, 41.183) * CHOOSE(CONTROL!$C$21, $C$9, 100%, $E$9)</f>
        <v>41.183</v>
      </c>
      <c r="Q1036" s="10">
        <f>CHOOSE(CONTROL!$C$42, 41.9812, 41.9812) * CHOOSE(CONTROL!$C$21, $C$9, 100%, $E$9)</f>
        <v>41.981200000000001</v>
      </c>
      <c r="R1036" s="10">
        <f>CHOOSE(CONTROL!$C$42, 42.6731, 42.6731) * CHOOSE(CONTROL!$C$21, $C$9, 100%, $E$9)</f>
        <v>42.673099999999998</v>
      </c>
      <c r="S1036" s="10">
        <f>CHOOSE(CONTROL!$C$42, 40.4444, 40.4444) * CHOOSE(CONTROL!$C$21, $C$9, 100%, $E$9)</f>
        <v>40.444400000000002</v>
      </c>
      <c r="T1036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36" s="38">
        <f>(1000*CHOOSE(CONTROL!$C$42, 695, 695)*CHOOSE(CONTROL!$C$42, 0.5599, 0.5599)*CHOOSE(CONTROL!$C$42, 30, 30))/1000000</f>
        <v>11.673914999999997</v>
      </c>
      <c r="V1036" s="38">
        <f>(1000*CHOOSE(CONTROL!$C$42, 500, 500)*CHOOSE(CONTROL!$C$42, 0.275, 0.275)*CHOOSE(CONTROL!$C$42, 30, 30))/1000000</f>
        <v>4.125</v>
      </c>
      <c r="W1036" s="38">
        <f>(1000*CHOOSE(CONTROL!$C$42, 0.1146, 0.1146)*CHOOSE(CONTROL!$C$42, 121.5, 121.5)*CHOOSE(CONTROL!$C$42, 30, 30))/1000000</f>
        <v>0.417717</v>
      </c>
      <c r="X1036" s="38">
        <f>(30*0.1790888*245000/1000000)+(30*0.2374*100000/1000000)</f>
        <v>2.0285026799999999</v>
      </c>
      <c r="Y1036" s="38">
        <f>(1000*600*CHOOSE(CONTROL!$C$42, 1.0585, 1.0585)*CHOOSE(CONTROL!$C$42, 30, 30))/1000000</f>
        <v>19.053000000000001</v>
      </c>
      <c r="Z1036" s="38"/>
      <c r="AA1036" s="10"/>
      <c r="AB1036" s="39"/>
      <c r="AC1036" s="33">
        <f>(B1036*141.293+C1036*267.993+D1036*115.016+E1036*89.698+F1036*40+G1036*185+H1036*0+I1036*100+J1036*300)/(141.293+267.993+115.016+89.698+0+40+185+100+300)</f>
        <v>41.758601096933006</v>
      </c>
      <c r="AD1036" s="27">
        <f>(M1036*'RAP TEMPLATE-GAS AVAILABILITY'!O1035+N1036*'RAP TEMPLATE-GAS AVAILABILITY'!P1035+O1036*'RAP TEMPLATE-GAS AVAILABILITY'!Q1035+P1036*'RAP TEMPLATE-GAS AVAILABILITY'!R1035)/('RAP TEMPLATE-GAS AVAILABILITY'!O1035+'RAP TEMPLATE-GAS AVAILABILITY'!P1035+'RAP TEMPLATE-GAS AVAILABILITY'!Q1035+'RAP TEMPLATE-GAS AVAILABILITY'!R1035)</f>
        <v>41.259382014388486</v>
      </c>
    </row>
    <row r="1037" spans="1:30" ht="15.75">
      <c r="A1037" s="13">
        <v>72836</v>
      </c>
      <c r="B1037" s="10">
        <f>CHOOSE(CONTROL!$C$42, 42.1224, 42.1224) * CHOOSE(CONTROL!$C$21, $C$9, 100%, $E$9)</f>
        <v>42.122399999999999</v>
      </c>
      <c r="C1037" s="10">
        <f>CHOOSE(CONTROL!$C$42, 42.1304, 42.1304) * CHOOSE(CONTROL!$C$21, $C$9, 100%, $E$9)</f>
        <v>42.130400000000002</v>
      </c>
      <c r="D1037" s="10">
        <f>CHOOSE(CONTROL!$C$42, 42.2875, 42.2875) * CHOOSE(CONTROL!$C$21, $C$9, 100%, $E$9)</f>
        <v>42.287500000000001</v>
      </c>
      <c r="E1037" s="10">
        <f>CHOOSE(CONTROL!$C$42, 42.3187, 42.3187) * CHOOSE(CONTROL!$C$21, $C$9, 100%, $E$9)</f>
        <v>42.3187</v>
      </c>
      <c r="F1037" s="10">
        <f>CHOOSE(CONTROL!$C$42, 42.0666, 42.0666)*CHOOSE(CONTROL!$C$21, $C$9, 100%, $E$9)</f>
        <v>42.066600000000001</v>
      </c>
      <c r="G1037" s="10">
        <f>CHOOSE(CONTROL!$C$42, 42.0827, 42.0827)*CHOOSE(CONTROL!$C$21, $C$9, 100%, $E$9)</f>
        <v>42.082700000000003</v>
      </c>
      <c r="H1037" s="10">
        <f>CHOOSE(CONTROL!$C$42, 42.307, 42.307) * CHOOSE(CONTROL!$C$21, $C$9, 100%, $E$9)</f>
        <v>42.307000000000002</v>
      </c>
      <c r="I1037" s="10">
        <f>CHOOSE(CONTROL!$C$42, 42.1012, 42.1012)* CHOOSE(CONTROL!$C$21, $C$9, 100%, $E$9)</f>
        <v>42.101199999999999</v>
      </c>
      <c r="J1037" s="10">
        <f>CHOOSE(CONTROL!$C$42, 42.0592, 42.0592)* CHOOSE(CONTROL!$C$21, $C$9, 100%, $E$9)</f>
        <v>42.059199999999997</v>
      </c>
      <c r="K1037" s="10">
        <f>CHOOSE(CONTROL!$C$42, 40.9462, 40.9462) * CHOOSE(CONTROL!$C$21, $C$9, 100%, $E$9)</f>
        <v>40.946199999999997</v>
      </c>
      <c r="L1037" s="10">
        <f>CHOOSE(CONTROL!$C$42, 42.894, 42.894) * CHOOSE(CONTROL!$C$21, $C$9, 100%, $E$9)</f>
        <v>42.893999999999998</v>
      </c>
      <c r="M1037" s="10">
        <f>CHOOSE(CONTROL!$C$42, 41.5054, 41.5054) * CHOOSE(CONTROL!$C$21, $C$9, 100%, $E$9)</f>
        <v>41.505400000000002</v>
      </c>
      <c r="N1037" s="10">
        <f>CHOOSE(CONTROL!$C$42, 41.5213, 41.5213) * CHOOSE(CONTROL!$C$21, $C$9, 100%, $E$9)</f>
        <v>41.521299999999997</v>
      </c>
      <c r="O1037" s="10">
        <f>CHOOSE(CONTROL!$C$42, 41.7498, 41.7498) * CHOOSE(CONTROL!$C$21, $C$9, 100%, $E$9)</f>
        <v>41.7498</v>
      </c>
      <c r="P1037" s="10">
        <f>CHOOSE(CONTROL!$C$42, 41.5469, 41.5469) * CHOOSE(CONTROL!$C$21, $C$9, 100%, $E$9)</f>
        <v>41.546900000000001</v>
      </c>
      <c r="Q1037" s="10">
        <f>CHOOSE(CONTROL!$C$42, 42.3451, 42.3451) * CHOOSE(CONTROL!$C$21, $C$9, 100%, $E$9)</f>
        <v>42.345100000000002</v>
      </c>
      <c r="R1037" s="10">
        <f>CHOOSE(CONTROL!$C$42, 43.038, 43.038) * CHOOSE(CONTROL!$C$21, $C$9, 100%, $E$9)</f>
        <v>43.037999999999997</v>
      </c>
      <c r="S1037" s="10">
        <f>CHOOSE(CONTROL!$C$42, 40.8018, 40.8018) * CHOOSE(CONTROL!$C$21, $C$9, 100%, $E$9)</f>
        <v>40.8018</v>
      </c>
      <c r="T1037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37" s="38">
        <f>(1000*CHOOSE(CONTROL!$C$42, 695, 695)*CHOOSE(CONTROL!$C$42, 0.5599, 0.5599)*CHOOSE(CONTROL!$C$42, 31, 31))/1000000</f>
        <v>12.063045499999998</v>
      </c>
      <c r="V1037" s="38">
        <f>(1000*CHOOSE(CONTROL!$C$42, 500, 500)*CHOOSE(CONTROL!$C$42, 0.275, 0.275)*CHOOSE(CONTROL!$C$42, 31, 31))/1000000</f>
        <v>4.2625000000000002</v>
      </c>
      <c r="W1037" s="38">
        <f>(1000*CHOOSE(CONTROL!$C$42, 0.1146, 0.1146)*CHOOSE(CONTROL!$C$42, 121.5, 121.5)*CHOOSE(CONTROL!$C$42, 31, 31))/1000000</f>
        <v>0.43164089999999994</v>
      </c>
      <c r="X1037" s="38">
        <f>(31*0.1790888*245000/1000000)+(31*0.2374*100000/1000000)</f>
        <v>2.0961194359999999</v>
      </c>
      <c r="Y1037" s="38">
        <f>(1000*600*CHOOSE(CONTROL!$C$42, 1.0585, 1.0585)*CHOOSE(CONTROL!$C$42, 31, 31))/1000000</f>
        <v>19.688099999999999</v>
      </c>
      <c r="Z1037" s="38"/>
      <c r="AA1037" s="10"/>
      <c r="AB1037" s="39"/>
      <c r="AC1037" s="33">
        <f>(B1037*194.205+C1037*267.466+D1037*133.845+E1037*53.484+F1037*40+G1037*185+H1037*0+I1037*100+J1037*300)/(194.205+267.466+133.845+53.484+0+40+185+100+300)</f>
        <v>42.125602469937213</v>
      </c>
      <c r="AD1037" s="27">
        <f>(M1037*'RAP TEMPLATE-GAS AVAILABILITY'!O1036+N1037*'RAP TEMPLATE-GAS AVAILABILITY'!P1036+O1037*'RAP TEMPLATE-GAS AVAILABILITY'!Q1036+P1037*'RAP TEMPLATE-GAS AVAILABILITY'!R1036)/('RAP TEMPLATE-GAS AVAILABILITY'!O1036+'RAP TEMPLATE-GAS AVAILABILITY'!P1036+'RAP TEMPLATE-GAS AVAILABILITY'!Q1036+'RAP TEMPLATE-GAS AVAILABILITY'!R1036)</f>
        <v>41.623057553956833</v>
      </c>
    </row>
    <row r="1038" spans="1:30" ht="15.75">
      <c r="A1038" s="13">
        <v>72866</v>
      </c>
      <c r="B1038" s="10">
        <f>CHOOSE(CONTROL!$C$42, 43.3177, 43.3177) * CHOOSE(CONTROL!$C$21, $C$9, 100%, $E$9)</f>
        <v>43.317700000000002</v>
      </c>
      <c r="C1038" s="10">
        <f>CHOOSE(CONTROL!$C$42, 43.3257, 43.3257) * CHOOSE(CONTROL!$C$21, $C$9, 100%, $E$9)</f>
        <v>43.325699999999998</v>
      </c>
      <c r="D1038" s="10">
        <f>CHOOSE(CONTROL!$C$42, 43.4827, 43.4827) * CHOOSE(CONTROL!$C$21, $C$9, 100%, $E$9)</f>
        <v>43.482700000000001</v>
      </c>
      <c r="E1038" s="10">
        <f>CHOOSE(CONTROL!$C$42, 43.514, 43.514) * CHOOSE(CONTROL!$C$21, $C$9, 100%, $E$9)</f>
        <v>43.514000000000003</v>
      </c>
      <c r="F1038" s="10">
        <f>CHOOSE(CONTROL!$C$42, 43.262, 43.262)*CHOOSE(CONTROL!$C$21, $C$9, 100%, $E$9)</f>
        <v>43.262</v>
      </c>
      <c r="G1038" s="10">
        <f>CHOOSE(CONTROL!$C$42, 43.2782, 43.2782)*CHOOSE(CONTROL!$C$21, $C$9, 100%, $E$9)</f>
        <v>43.278199999999998</v>
      </c>
      <c r="H1038" s="10">
        <f>CHOOSE(CONTROL!$C$42, 43.5023, 43.5023) * CHOOSE(CONTROL!$C$21, $C$9, 100%, $E$9)</f>
        <v>43.502299999999998</v>
      </c>
      <c r="I1038" s="10">
        <f>CHOOSE(CONTROL!$C$42, 43.2965, 43.2965)* CHOOSE(CONTROL!$C$21, $C$9, 100%, $E$9)</f>
        <v>43.296500000000002</v>
      </c>
      <c r="J1038" s="10">
        <f>CHOOSE(CONTROL!$C$42, 43.2546, 43.2546)* CHOOSE(CONTROL!$C$21, $C$9, 100%, $E$9)</f>
        <v>43.254600000000003</v>
      </c>
      <c r="K1038" s="10">
        <f>CHOOSE(CONTROL!$C$42, 42.1046, 42.1046) * CHOOSE(CONTROL!$C$21, $C$9, 100%, $E$9)</f>
        <v>42.104599999999998</v>
      </c>
      <c r="L1038" s="10">
        <f>CHOOSE(CONTROL!$C$42, 44.0893, 44.0893) * CHOOSE(CONTROL!$C$21, $C$9, 100%, $E$9)</f>
        <v>44.089300000000001</v>
      </c>
      <c r="M1038" s="10">
        <f>CHOOSE(CONTROL!$C$42, 42.6842, 42.6842) * CHOOSE(CONTROL!$C$21, $C$9, 100%, $E$9)</f>
        <v>42.684199999999997</v>
      </c>
      <c r="N1038" s="10">
        <f>CHOOSE(CONTROL!$C$42, 42.7001, 42.7001) * CHOOSE(CONTROL!$C$21, $C$9, 100%, $E$9)</f>
        <v>42.700099999999999</v>
      </c>
      <c r="O1038" s="10">
        <f>CHOOSE(CONTROL!$C$42, 42.9284, 42.9284) * CHOOSE(CONTROL!$C$21, $C$9, 100%, $E$9)</f>
        <v>42.928400000000003</v>
      </c>
      <c r="P1038" s="10">
        <f>CHOOSE(CONTROL!$C$42, 42.7255, 42.7255) * CHOOSE(CONTROL!$C$21, $C$9, 100%, $E$9)</f>
        <v>42.725499999999997</v>
      </c>
      <c r="Q1038" s="10">
        <f>CHOOSE(CONTROL!$C$42, 43.5237, 43.5237) * CHOOSE(CONTROL!$C$21, $C$9, 100%, $E$9)</f>
        <v>43.523699999999998</v>
      </c>
      <c r="R1038" s="10">
        <f>CHOOSE(CONTROL!$C$42, 44.2195, 44.2195) * CHOOSE(CONTROL!$C$21, $C$9, 100%, $E$9)</f>
        <v>44.219499999999996</v>
      </c>
      <c r="S1038" s="10">
        <f>CHOOSE(CONTROL!$C$42, 41.9591, 41.9591) * CHOOSE(CONTROL!$C$21, $C$9, 100%, $E$9)</f>
        <v>41.959099999999999</v>
      </c>
      <c r="T1038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38" s="38">
        <f>(1000*CHOOSE(CONTROL!$C$42, 695, 695)*CHOOSE(CONTROL!$C$42, 0.5599, 0.5599)*CHOOSE(CONTROL!$C$42, 30, 30))/1000000</f>
        <v>11.673914999999997</v>
      </c>
      <c r="V1038" s="38">
        <f>(1000*CHOOSE(CONTROL!$C$42, 500, 500)*CHOOSE(CONTROL!$C$42, 0.275, 0.275)*CHOOSE(CONTROL!$C$42, 30, 30))/1000000</f>
        <v>4.125</v>
      </c>
      <c r="W1038" s="38">
        <f>(1000*CHOOSE(CONTROL!$C$42, 0.1146, 0.1146)*CHOOSE(CONTROL!$C$42, 121.5, 121.5)*CHOOSE(CONTROL!$C$42, 30, 30))/1000000</f>
        <v>0.417717</v>
      </c>
      <c r="X1038" s="38">
        <f>(30*0.1790888*245000/1000000)+(30*0.2374*100000/1000000)</f>
        <v>2.0285026799999999</v>
      </c>
      <c r="Y1038" s="38">
        <f>(1000*600*CHOOSE(CONTROL!$C$42, 1.0585, 1.0585)*CHOOSE(CONTROL!$C$42, 30, 30))/1000000</f>
        <v>19.053000000000001</v>
      </c>
      <c r="Z1038" s="38"/>
      <c r="AA1038" s="10"/>
      <c r="AB1038" s="39"/>
      <c r="AC1038" s="33">
        <f>(B1038*194.205+C1038*267.466+D1038*133.845+E1038*53.484+F1038*40+G1038*185+H1038*0+I1038*100+J1038*300)/(194.205+267.466+133.845+53.484+0+40+185+100+300)</f>
        <v>43.320947694034537</v>
      </c>
      <c r="AD1038" s="27">
        <f>(M1038*'RAP TEMPLATE-GAS AVAILABILITY'!O1037+N1038*'RAP TEMPLATE-GAS AVAILABILITY'!P1037+O1038*'RAP TEMPLATE-GAS AVAILABILITY'!Q1037+P1038*'RAP TEMPLATE-GAS AVAILABILITY'!R1037)/('RAP TEMPLATE-GAS AVAILABILITY'!O1037+'RAP TEMPLATE-GAS AVAILABILITY'!P1037+'RAP TEMPLATE-GAS AVAILABILITY'!Q1037+'RAP TEMPLATE-GAS AVAILABILITY'!R1037)</f>
        <v>42.801738129496407</v>
      </c>
    </row>
    <row r="1039" spans="1:30" ht="15.75">
      <c r="A1039" s="13">
        <v>72897</v>
      </c>
      <c r="B1039" s="10">
        <f>CHOOSE(CONTROL!$C$42, 42.4864, 42.4864) * CHOOSE(CONTROL!$C$21, $C$9, 100%, $E$9)</f>
        <v>42.486400000000003</v>
      </c>
      <c r="C1039" s="10">
        <f>CHOOSE(CONTROL!$C$42, 42.4944, 42.4944) * CHOOSE(CONTROL!$C$21, $C$9, 100%, $E$9)</f>
        <v>42.494399999999999</v>
      </c>
      <c r="D1039" s="10">
        <f>CHOOSE(CONTROL!$C$42, 42.6514, 42.6514) * CHOOSE(CONTROL!$C$21, $C$9, 100%, $E$9)</f>
        <v>42.651400000000002</v>
      </c>
      <c r="E1039" s="10">
        <f>CHOOSE(CONTROL!$C$42, 42.6827, 42.6827) * CHOOSE(CONTROL!$C$21, $C$9, 100%, $E$9)</f>
        <v>42.682699999999997</v>
      </c>
      <c r="F1039" s="10">
        <f>CHOOSE(CONTROL!$C$42, 42.431, 42.431)*CHOOSE(CONTROL!$C$21, $C$9, 100%, $E$9)</f>
        <v>42.430999999999997</v>
      </c>
      <c r="G1039" s="10">
        <f>CHOOSE(CONTROL!$C$42, 42.4473, 42.4473)*CHOOSE(CONTROL!$C$21, $C$9, 100%, $E$9)</f>
        <v>42.447299999999998</v>
      </c>
      <c r="H1039" s="10">
        <f>CHOOSE(CONTROL!$C$42, 42.671, 42.671) * CHOOSE(CONTROL!$C$21, $C$9, 100%, $E$9)</f>
        <v>42.670999999999999</v>
      </c>
      <c r="I1039" s="10">
        <f>CHOOSE(CONTROL!$C$42, 42.4652, 42.4652)* CHOOSE(CONTROL!$C$21, $C$9, 100%, $E$9)</f>
        <v>42.465200000000003</v>
      </c>
      <c r="J1039" s="10">
        <f>CHOOSE(CONTROL!$C$42, 42.4236, 42.4236)* CHOOSE(CONTROL!$C$21, $C$9, 100%, $E$9)</f>
        <v>42.4236</v>
      </c>
      <c r="K1039" s="10">
        <f>CHOOSE(CONTROL!$C$42, 41.2999, 41.2999) * CHOOSE(CONTROL!$C$21, $C$9, 100%, $E$9)</f>
        <v>41.299900000000001</v>
      </c>
      <c r="L1039" s="10">
        <f>CHOOSE(CONTROL!$C$42, 43.258, 43.258) * CHOOSE(CONTROL!$C$21, $C$9, 100%, $E$9)</f>
        <v>43.258000000000003</v>
      </c>
      <c r="M1039" s="10">
        <f>CHOOSE(CONTROL!$C$42, 41.8648, 41.8648) * CHOOSE(CONTROL!$C$21, $C$9, 100%, $E$9)</f>
        <v>41.864800000000002</v>
      </c>
      <c r="N1039" s="10">
        <f>CHOOSE(CONTROL!$C$42, 41.8808, 41.8808) * CHOOSE(CONTROL!$C$21, $C$9, 100%, $E$9)</f>
        <v>41.880800000000001</v>
      </c>
      <c r="O1039" s="10">
        <f>CHOOSE(CONTROL!$C$42, 42.1087, 42.1087) * CHOOSE(CONTROL!$C$21, $C$9, 100%, $E$9)</f>
        <v>42.108699999999999</v>
      </c>
      <c r="P1039" s="10">
        <f>CHOOSE(CONTROL!$C$42, 41.9058, 41.9058) * CHOOSE(CONTROL!$C$21, $C$9, 100%, $E$9)</f>
        <v>41.905799999999999</v>
      </c>
      <c r="Q1039" s="10">
        <f>CHOOSE(CONTROL!$C$42, 42.704, 42.704) * CHOOSE(CONTROL!$C$21, $C$9, 100%, $E$9)</f>
        <v>42.704000000000001</v>
      </c>
      <c r="R1039" s="10">
        <f>CHOOSE(CONTROL!$C$42, 43.3978, 43.3978) * CHOOSE(CONTROL!$C$21, $C$9, 100%, $E$9)</f>
        <v>43.397799999999997</v>
      </c>
      <c r="S1039" s="10">
        <f>CHOOSE(CONTROL!$C$42, 41.1542, 41.1542) * CHOOSE(CONTROL!$C$21, $C$9, 100%, $E$9)</f>
        <v>41.154200000000003</v>
      </c>
      <c r="T1039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39" s="38">
        <f>(1000*CHOOSE(CONTROL!$C$42, 695, 695)*CHOOSE(CONTROL!$C$42, 0.5599, 0.5599)*CHOOSE(CONTROL!$C$42, 31, 31))/1000000</f>
        <v>12.063045499999998</v>
      </c>
      <c r="V1039" s="38">
        <f>(1000*CHOOSE(CONTROL!$C$42, 500, 500)*CHOOSE(CONTROL!$C$42, 0.275, 0.275)*CHOOSE(CONTROL!$C$42, 31, 31))/1000000</f>
        <v>4.2625000000000002</v>
      </c>
      <c r="W1039" s="38">
        <f>(1000*CHOOSE(CONTROL!$C$42, 0.1146, 0.1146)*CHOOSE(CONTROL!$C$42, 121.5, 121.5)*CHOOSE(CONTROL!$C$42, 31, 31))/1000000</f>
        <v>0.43164089999999994</v>
      </c>
      <c r="X1039" s="38">
        <f>(31*0.1790888*245000/1000000)+(31*0.2374*100000/1000000)</f>
        <v>2.0961194359999999</v>
      </c>
      <c r="Y1039" s="38">
        <f>(1000*600*CHOOSE(CONTROL!$C$42, 1.0585, 1.0585)*CHOOSE(CONTROL!$C$42, 31, 31))/1000000</f>
        <v>19.688099999999999</v>
      </c>
      <c r="Z1039" s="38"/>
      <c r="AA1039" s="10"/>
      <c r="AB1039" s="39"/>
      <c r="AC1039" s="33">
        <f>(B1039*194.205+C1039*267.466+D1039*133.845+E1039*53.484+F1039*40+G1039*185+H1039*0+I1039*100+J1039*300)/(194.205+267.466+133.845+53.484+0+40+185+100+300)</f>
        <v>42.489785841601261</v>
      </c>
      <c r="AD1039" s="27">
        <f>(M1039*'RAP TEMPLATE-GAS AVAILABILITY'!O1038+N1039*'RAP TEMPLATE-GAS AVAILABILITY'!P1038+O1039*'RAP TEMPLATE-GAS AVAILABILITY'!Q1038+P1039*'RAP TEMPLATE-GAS AVAILABILITY'!R1038)/('RAP TEMPLATE-GAS AVAILABILITY'!O1038+'RAP TEMPLATE-GAS AVAILABILITY'!P1038+'RAP TEMPLATE-GAS AVAILABILITY'!Q1038+'RAP TEMPLATE-GAS AVAILABILITY'!R1038)</f>
        <v>41.982164748201441</v>
      </c>
    </row>
    <row r="1040" spans="1:30" ht="15.75">
      <c r="A1040" s="13">
        <v>72928</v>
      </c>
      <c r="B1040" s="10">
        <f>CHOOSE(CONTROL!$C$42, 40.3871, 40.3871) * CHOOSE(CONTROL!$C$21, $C$9, 100%, $E$9)</f>
        <v>40.387099999999997</v>
      </c>
      <c r="C1040" s="10">
        <f>CHOOSE(CONTROL!$C$42, 40.3951, 40.3951) * CHOOSE(CONTROL!$C$21, $C$9, 100%, $E$9)</f>
        <v>40.395099999999999</v>
      </c>
      <c r="D1040" s="10">
        <f>CHOOSE(CONTROL!$C$42, 40.5521, 40.5521) * CHOOSE(CONTROL!$C$21, $C$9, 100%, $E$9)</f>
        <v>40.552100000000003</v>
      </c>
      <c r="E1040" s="10">
        <f>CHOOSE(CONTROL!$C$42, 40.5834, 40.5834) * CHOOSE(CONTROL!$C$21, $C$9, 100%, $E$9)</f>
        <v>40.583399999999997</v>
      </c>
      <c r="F1040" s="10">
        <f>CHOOSE(CONTROL!$C$42, 40.3317, 40.3317)*CHOOSE(CONTROL!$C$21, $C$9, 100%, $E$9)</f>
        <v>40.331699999999998</v>
      </c>
      <c r="G1040" s="10">
        <f>CHOOSE(CONTROL!$C$42, 40.3479, 40.3479)*CHOOSE(CONTROL!$C$21, $C$9, 100%, $E$9)</f>
        <v>40.347900000000003</v>
      </c>
      <c r="H1040" s="10">
        <f>CHOOSE(CONTROL!$C$42, 40.5717, 40.5717) * CHOOSE(CONTROL!$C$21, $C$9, 100%, $E$9)</f>
        <v>40.5717</v>
      </c>
      <c r="I1040" s="10">
        <f>CHOOSE(CONTROL!$C$42, 40.3659, 40.3659)* CHOOSE(CONTROL!$C$21, $C$9, 100%, $E$9)</f>
        <v>40.365900000000003</v>
      </c>
      <c r="J1040" s="10">
        <f>CHOOSE(CONTROL!$C$42, 40.3243, 40.3243)* CHOOSE(CONTROL!$C$21, $C$9, 100%, $E$9)</f>
        <v>40.324300000000001</v>
      </c>
      <c r="K1040" s="10">
        <f>CHOOSE(CONTROL!$C$42, 39.266, 39.266) * CHOOSE(CONTROL!$C$21, $C$9, 100%, $E$9)</f>
        <v>39.265999999999998</v>
      </c>
      <c r="L1040" s="10">
        <f>CHOOSE(CONTROL!$C$42, 41.1587, 41.1587) * CHOOSE(CONTROL!$C$21, $C$9, 100%, $E$9)</f>
        <v>41.158700000000003</v>
      </c>
      <c r="M1040" s="10">
        <f>CHOOSE(CONTROL!$C$42, 39.7947, 39.7947) * CHOOSE(CONTROL!$C$21, $C$9, 100%, $E$9)</f>
        <v>39.794699999999999</v>
      </c>
      <c r="N1040" s="10">
        <f>CHOOSE(CONTROL!$C$42, 39.8107, 39.8107) * CHOOSE(CONTROL!$C$21, $C$9, 100%, $E$9)</f>
        <v>39.810699999999997</v>
      </c>
      <c r="O1040" s="10">
        <f>CHOOSE(CONTROL!$C$42, 40.0387, 40.0387) * CHOOSE(CONTROL!$C$21, $C$9, 100%, $E$9)</f>
        <v>40.038699999999999</v>
      </c>
      <c r="P1040" s="10">
        <f>CHOOSE(CONTROL!$C$42, 39.8358, 39.8358) * CHOOSE(CONTROL!$C$21, $C$9, 100%, $E$9)</f>
        <v>39.835799999999999</v>
      </c>
      <c r="Q1040" s="10">
        <f>CHOOSE(CONTROL!$C$42, 40.634, 40.634) * CHOOSE(CONTROL!$C$21, $C$9, 100%, $E$9)</f>
        <v>40.634</v>
      </c>
      <c r="R1040" s="10">
        <f>CHOOSE(CONTROL!$C$42, 41.3226, 41.3226) * CHOOSE(CONTROL!$C$21, $C$9, 100%, $E$9)</f>
        <v>41.322600000000001</v>
      </c>
      <c r="S1040" s="10">
        <f>CHOOSE(CONTROL!$C$42, 39.1214, 39.1214) * CHOOSE(CONTROL!$C$21, $C$9, 100%, $E$9)</f>
        <v>39.121400000000001</v>
      </c>
      <c r="T1040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40" s="38">
        <f>(1000*CHOOSE(CONTROL!$C$42, 695, 695)*CHOOSE(CONTROL!$C$42, 0.5599, 0.5599)*CHOOSE(CONTROL!$C$42, 31, 31))/1000000</f>
        <v>12.063045499999998</v>
      </c>
      <c r="V1040" s="38">
        <f>(1000*CHOOSE(CONTROL!$C$42, 500, 500)*CHOOSE(CONTROL!$C$42, 0.275, 0.275)*CHOOSE(CONTROL!$C$42, 31, 31))/1000000</f>
        <v>4.2625000000000002</v>
      </c>
      <c r="W1040" s="38">
        <f>(1000*CHOOSE(CONTROL!$C$42, 0.1146, 0.1146)*CHOOSE(CONTROL!$C$42, 121.5, 121.5)*CHOOSE(CONTROL!$C$42, 31, 31))/1000000</f>
        <v>0.43164089999999994</v>
      </c>
      <c r="X1040" s="38">
        <f>(31*0.1790888*245000/1000000)+(31*0.2374*100000/1000000)</f>
        <v>2.0961194359999999</v>
      </c>
      <c r="Y1040" s="38">
        <f>(1000*600*CHOOSE(CONTROL!$C$42, 1.0585, 1.0585)*CHOOSE(CONTROL!$C$42, 31, 31))/1000000</f>
        <v>19.688099999999999</v>
      </c>
      <c r="Z1040" s="38"/>
      <c r="AA1040" s="10"/>
      <c r="AB1040" s="39"/>
      <c r="AC1040" s="33">
        <f>(B1040*194.205+C1040*267.466+D1040*133.845+E1040*53.484+F1040*40+G1040*185+H1040*0+I1040*100+J1040*300)/(194.205+267.466+133.845+53.484+0+40+185+100+300)</f>
        <v>40.39047132040816</v>
      </c>
      <c r="AD1040" s="27">
        <f>(M1040*'RAP TEMPLATE-GAS AVAILABILITY'!O1039+N1040*'RAP TEMPLATE-GAS AVAILABILITY'!P1039+O1040*'RAP TEMPLATE-GAS AVAILABILITY'!Q1039+P1040*'RAP TEMPLATE-GAS AVAILABILITY'!R1039)/('RAP TEMPLATE-GAS AVAILABILITY'!O1039+'RAP TEMPLATE-GAS AVAILABILITY'!P1039+'RAP TEMPLATE-GAS AVAILABILITY'!Q1039+'RAP TEMPLATE-GAS AVAILABILITY'!R1039)</f>
        <v>39.912124460431656</v>
      </c>
    </row>
    <row r="1041" spans="1:30" ht="15.75">
      <c r="A1041" s="13">
        <v>72958</v>
      </c>
      <c r="B1041" s="10">
        <f>CHOOSE(CONTROL!$C$42, 37.8221, 37.8221) * CHOOSE(CONTROL!$C$21, $C$9, 100%, $E$9)</f>
        <v>37.822099999999999</v>
      </c>
      <c r="C1041" s="10">
        <f>CHOOSE(CONTROL!$C$42, 37.8301, 37.8301) * CHOOSE(CONTROL!$C$21, $C$9, 100%, $E$9)</f>
        <v>37.830100000000002</v>
      </c>
      <c r="D1041" s="10">
        <f>CHOOSE(CONTROL!$C$42, 37.9872, 37.9872) * CHOOSE(CONTROL!$C$21, $C$9, 100%, $E$9)</f>
        <v>37.987200000000001</v>
      </c>
      <c r="E1041" s="10">
        <f>CHOOSE(CONTROL!$C$42, 38.0184, 38.0184) * CHOOSE(CONTROL!$C$21, $C$9, 100%, $E$9)</f>
        <v>38.0184</v>
      </c>
      <c r="F1041" s="10">
        <f>CHOOSE(CONTROL!$C$42, 37.7665, 37.7665)*CHOOSE(CONTROL!$C$21, $C$9, 100%, $E$9)</f>
        <v>37.766500000000001</v>
      </c>
      <c r="G1041" s="10">
        <f>CHOOSE(CONTROL!$C$42, 37.7827, 37.7827)*CHOOSE(CONTROL!$C$21, $C$9, 100%, $E$9)</f>
        <v>37.782699999999998</v>
      </c>
      <c r="H1041" s="10">
        <f>CHOOSE(CONTROL!$C$42, 38.0067, 38.0067) * CHOOSE(CONTROL!$C$21, $C$9, 100%, $E$9)</f>
        <v>38.006700000000002</v>
      </c>
      <c r="I1041" s="10">
        <f>CHOOSE(CONTROL!$C$42, 37.8009, 37.8009)* CHOOSE(CONTROL!$C$21, $C$9, 100%, $E$9)</f>
        <v>37.800899999999999</v>
      </c>
      <c r="J1041" s="10">
        <f>CHOOSE(CONTROL!$C$42, 37.7591, 37.7591)* CHOOSE(CONTROL!$C$21, $C$9, 100%, $E$9)</f>
        <v>37.759099999999997</v>
      </c>
      <c r="K1041" s="10">
        <f>CHOOSE(CONTROL!$C$42, 36.7806, 36.7806) * CHOOSE(CONTROL!$C$21, $C$9, 100%, $E$9)</f>
        <v>36.7806</v>
      </c>
      <c r="L1041" s="10">
        <f>CHOOSE(CONTROL!$C$42, 38.5937, 38.5937) * CHOOSE(CONTROL!$C$21, $C$9, 100%, $E$9)</f>
        <v>38.593699999999998</v>
      </c>
      <c r="M1041" s="10">
        <f>CHOOSE(CONTROL!$C$42, 37.2653, 37.2653) * CHOOSE(CONTROL!$C$21, $C$9, 100%, $E$9)</f>
        <v>37.265300000000003</v>
      </c>
      <c r="N1041" s="10">
        <f>CHOOSE(CONTROL!$C$42, 37.2813, 37.2813) * CHOOSE(CONTROL!$C$21, $C$9, 100%, $E$9)</f>
        <v>37.281300000000002</v>
      </c>
      <c r="O1041" s="10">
        <f>CHOOSE(CONTROL!$C$42, 37.5095, 37.5095) * CHOOSE(CONTROL!$C$21, $C$9, 100%, $E$9)</f>
        <v>37.509500000000003</v>
      </c>
      <c r="P1041" s="10">
        <f>CHOOSE(CONTROL!$C$42, 37.3066, 37.3066) * CHOOSE(CONTROL!$C$21, $C$9, 100%, $E$9)</f>
        <v>37.306600000000003</v>
      </c>
      <c r="Q1041" s="10">
        <f>CHOOSE(CONTROL!$C$42, 38.1048, 38.1048) * CHOOSE(CONTROL!$C$21, $C$9, 100%, $E$9)</f>
        <v>38.104799999999997</v>
      </c>
      <c r="R1041" s="10">
        <f>CHOOSE(CONTROL!$C$42, 38.7871, 38.7871) * CHOOSE(CONTROL!$C$21, $C$9, 100%, $E$9)</f>
        <v>38.787100000000002</v>
      </c>
      <c r="S1041" s="10">
        <f>CHOOSE(CONTROL!$C$42, 36.6378, 36.6378) * CHOOSE(CONTROL!$C$21, $C$9, 100%, $E$9)</f>
        <v>36.637799999999999</v>
      </c>
      <c r="T1041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41" s="38">
        <f>(1000*CHOOSE(CONTROL!$C$42, 695, 695)*CHOOSE(CONTROL!$C$42, 0.5599, 0.5599)*CHOOSE(CONTROL!$C$42, 30, 30))/1000000</f>
        <v>11.673914999999997</v>
      </c>
      <c r="V1041" s="38">
        <f>(1000*CHOOSE(CONTROL!$C$42, 500, 500)*CHOOSE(CONTROL!$C$42, 0.275, 0.275)*CHOOSE(CONTROL!$C$42, 30, 30))/1000000</f>
        <v>4.125</v>
      </c>
      <c r="W1041" s="38">
        <f>(1000*CHOOSE(CONTROL!$C$42, 0.1146, 0.1146)*CHOOSE(CONTROL!$C$42, 121.5, 121.5)*CHOOSE(CONTROL!$C$42, 30, 30))/1000000</f>
        <v>0.417717</v>
      </c>
      <c r="X1041" s="38">
        <f>(30*0.1790888*245000/1000000)+(30*0.2374*100000/1000000)</f>
        <v>2.0285026799999999</v>
      </c>
      <c r="Y1041" s="38">
        <f>(1000*600*CHOOSE(CONTROL!$C$42, 1.0585, 1.0585)*CHOOSE(CONTROL!$C$42, 30, 30))/1000000</f>
        <v>19.053000000000001</v>
      </c>
      <c r="Z1041" s="38"/>
      <c r="AA1041" s="10"/>
      <c r="AB1041" s="39"/>
      <c r="AC1041" s="33">
        <f>(B1041*194.205+C1041*267.466+D1041*133.845+E1041*53.484+F1041*40+G1041*185+H1041*0+I1041*100+J1041*300)/(194.205+267.466+133.845+53.484+0+40+185+100+300)</f>
        <v>37.825399408712705</v>
      </c>
      <c r="AD1041" s="27">
        <f>(M1041*'RAP TEMPLATE-GAS AVAILABILITY'!O1040+N1041*'RAP TEMPLATE-GAS AVAILABILITY'!P1040+O1041*'RAP TEMPLATE-GAS AVAILABILITY'!Q1040+P1041*'RAP TEMPLATE-GAS AVAILABILITY'!R1040)/('RAP TEMPLATE-GAS AVAILABILITY'!O1040+'RAP TEMPLATE-GAS AVAILABILITY'!P1040+'RAP TEMPLATE-GAS AVAILABILITY'!Q1040+'RAP TEMPLATE-GAS AVAILABILITY'!R1040)</f>
        <v>37.382843884892083</v>
      </c>
    </row>
    <row r="1042" spans="1:30" ht="15.75">
      <c r="A1042" s="13">
        <v>72989</v>
      </c>
      <c r="B1042" s="10">
        <f>CHOOSE(CONTROL!$C$42, 37.0517, 37.0517) * CHOOSE(CONTROL!$C$21, $C$9, 100%, $E$9)</f>
        <v>37.051699999999997</v>
      </c>
      <c r="C1042" s="10">
        <f>CHOOSE(CONTROL!$C$42, 37.0571, 37.0571) * CHOOSE(CONTROL!$C$21, $C$9, 100%, $E$9)</f>
        <v>37.057099999999998</v>
      </c>
      <c r="D1042" s="10">
        <f>CHOOSE(CONTROL!$C$42, 37.219, 37.219) * CHOOSE(CONTROL!$C$21, $C$9, 100%, $E$9)</f>
        <v>37.219000000000001</v>
      </c>
      <c r="E1042" s="10">
        <f>CHOOSE(CONTROL!$C$42, 37.2479, 37.2479) * CHOOSE(CONTROL!$C$21, $C$9, 100%, $E$9)</f>
        <v>37.247900000000001</v>
      </c>
      <c r="F1042" s="10">
        <f>CHOOSE(CONTROL!$C$42, 36.9981, 36.9981)*CHOOSE(CONTROL!$C$21, $C$9, 100%, $E$9)</f>
        <v>36.998100000000001</v>
      </c>
      <c r="G1042" s="10">
        <f>CHOOSE(CONTROL!$C$42, 37.0139, 37.0139)*CHOOSE(CONTROL!$C$21, $C$9, 100%, $E$9)</f>
        <v>37.0139</v>
      </c>
      <c r="H1042" s="10">
        <f>CHOOSE(CONTROL!$C$42, 37.238, 37.238) * CHOOSE(CONTROL!$C$21, $C$9, 100%, $E$9)</f>
        <v>37.238</v>
      </c>
      <c r="I1042" s="10">
        <f>CHOOSE(CONTROL!$C$42, 37.0322, 37.0322)* CHOOSE(CONTROL!$C$21, $C$9, 100%, $E$9)</f>
        <v>37.032200000000003</v>
      </c>
      <c r="J1042" s="10">
        <f>CHOOSE(CONTROL!$C$42, 36.9907, 36.9907)* CHOOSE(CONTROL!$C$21, $C$9, 100%, $E$9)</f>
        <v>36.990699999999997</v>
      </c>
      <c r="K1042" s="10">
        <f>CHOOSE(CONTROL!$C$42, 36.0366, 36.0366) * CHOOSE(CONTROL!$C$21, $C$9, 100%, $E$9)</f>
        <v>36.0366</v>
      </c>
      <c r="L1042" s="10">
        <f>CHOOSE(CONTROL!$C$42, 37.825, 37.825) * CHOOSE(CONTROL!$C$21, $C$9, 100%, $E$9)</f>
        <v>37.825000000000003</v>
      </c>
      <c r="M1042" s="10">
        <f>CHOOSE(CONTROL!$C$42, 36.5077, 36.5077) * CHOOSE(CONTROL!$C$21, $C$9, 100%, $E$9)</f>
        <v>36.5077</v>
      </c>
      <c r="N1042" s="10">
        <f>CHOOSE(CONTROL!$C$42, 36.5233, 36.5233) * CHOOSE(CONTROL!$C$21, $C$9, 100%, $E$9)</f>
        <v>36.523299999999999</v>
      </c>
      <c r="O1042" s="10">
        <f>CHOOSE(CONTROL!$C$42, 36.7516, 36.7516) * CHOOSE(CONTROL!$C$21, $C$9, 100%, $E$9)</f>
        <v>36.751600000000003</v>
      </c>
      <c r="P1042" s="10">
        <f>CHOOSE(CONTROL!$C$42, 36.5487, 36.5487) * CHOOSE(CONTROL!$C$21, $C$9, 100%, $E$9)</f>
        <v>36.548699999999997</v>
      </c>
      <c r="Q1042" s="10">
        <f>CHOOSE(CONTROL!$C$42, 37.3469, 37.3469) * CHOOSE(CONTROL!$C$21, $C$9, 100%, $E$9)</f>
        <v>37.346899999999998</v>
      </c>
      <c r="R1042" s="10">
        <f>CHOOSE(CONTROL!$C$42, 38.0272, 38.0272) * CHOOSE(CONTROL!$C$21, $C$9, 100%, $E$9)</f>
        <v>38.027200000000001</v>
      </c>
      <c r="S1042" s="10">
        <f>CHOOSE(CONTROL!$C$42, 35.8935, 35.8935) * CHOOSE(CONTROL!$C$21, $C$9, 100%, $E$9)</f>
        <v>35.893500000000003</v>
      </c>
      <c r="T1042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42" s="38">
        <f>(1000*CHOOSE(CONTROL!$C$42, 695, 695)*CHOOSE(CONTROL!$C$42, 0.5599, 0.5599)*CHOOSE(CONTROL!$C$42, 31, 31))/1000000</f>
        <v>12.063045499999998</v>
      </c>
      <c r="V1042" s="38">
        <f>(1000*CHOOSE(CONTROL!$C$42, 500, 500)*CHOOSE(CONTROL!$C$42, 0.275, 0.275)*CHOOSE(CONTROL!$C$42, 31, 31))/1000000</f>
        <v>4.2625000000000002</v>
      </c>
      <c r="W1042" s="38">
        <f>(1000*CHOOSE(CONTROL!$C$42, 0.1146, 0.1146)*CHOOSE(CONTROL!$C$42, 121.5, 121.5)*CHOOSE(CONTROL!$C$42, 31, 31))/1000000</f>
        <v>0.43164089999999994</v>
      </c>
      <c r="X1042" s="38">
        <f>(31*0.1790888*245000/1000000)+(31*0.2374*100000/1000000)</f>
        <v>2.0961194359999999</v>
      </c>
      <c r="Y1042" s="38">
        <f>(1000*600*CHOOSE(CONTROL!$C$42, 1.0585, 1.0585)*CHOOSE(CONTROL!$C$42, 31, 31))/1000000</f>
        <v>19.688099999999999</v>
      </c>
      <c r="Z1042" s="38"/>
      <c r="AA1042" s="10"/>
      <c r="AB1042" s="39"/>
      <c r="AC1042" s="33">
        <f>(B1042*131.881+C1042*277.167+D1042*79.08+E1042*125.872+F1042*40+G1042*185+H1042*0+I1042*100+J1042*300)/(131.881+277.167+79.08+125.872+0+40+185+100+300)</f>
        <v>37.059799977562548</v>
      </c>
      <c r="AD1042" s="27">
        <f>(M1042*'RAP TEMPLATE-GAS AVAILABILITY'!O1041+N1042*'RAP TEMPLATE-GAS AVAILABILITY'!P1041+O1042*'RAP TEMPLATE-GAS AVAILABILITY'!Q1041+P1042*'RAP TEMPLATE-GAS AVAILABILITY'!R1041)/('RAP TEMPLATE-GAS AVAILABILITY'!O1041+'RAP TEMPLATE-GAS AVAILABILITY'!P1041+'RAP TEMPLATE-GAS AVAILABILITY'!Q1041+'RAP TEMPLATE-GAS AVAILABILITY'!R1041)</f>
        <v>36.625041726618704</v>
      </c>
    </row>
    <row r="1043" spans="1:30" ht="15.75">
      <c r="A1043" s="13">
        <v>73019</v>
      </c>
      <c r="B1043" s="10">
        <f>CHOOSE(CONTROL!$C$42, 38.0279, 38.0279) * CHOOSE(CONTROL!$C$21, $C$9, 100%, $E$9)</f>
        <v>38.027900000000002</v>
      </c>
      <c r="C1043" s="10">
        <f>CHOOSE(CONTROL!$C$42, 38.033, 38.033) * CHOOSE(CONTROL!$C$21, $C$9, 100%, $E$9)</f>
        <v>38.033000000000001</v>
      </c>
      <c r="D1043" s="10">
        <f>CHOOSE(CONTROL!$C$42, 38.0576, 38.0576) * CHOOSE(CONTROL!$C$21, $C$9, 100%, $E$9)</f>
        <v>38.057600000000001</v>
      </c>
      <c r="E1043" s="10">
        <f>CHOOSE(CONTROL!$C$42, 38.0914, 38.0914) * CHOOSE(CONTROL!$C$21, $C$9, 100%, $E$9)</f>
        <v>38.0914</v>
      </c>
      <c r="F1043" s="10">
        <f>CHOOSE(CONTROL!$C$42, 37.9962, 37.9962)*CHOOSE(CONTROL!$C$21, $C$9, 100%, $E$9)</f>
        <v>37.996200000000002</v>
      </c>
      <c r="G1043" s="10">
        <f>CHOOSE(CONTROL!$C$42, 38.0122, 38.0122)*CHOOSE(CONTROL!$C$21, $C$9, 100%, $E$9)</f>
        <v>38.0122</v>
      </c>
      <c r="H1043" s="10">
        <f>CHOOSE(CONTROL!$C$42, 38.0803, 38.0803) * CHOOSE(CONTROL!$C$21, $C$9, 100%, $E$9)</f>
        <v>38.080300000000001</v>
      </c>
      <c r="I1043" s="10">
        <f>CHOOSE(CONTROL!$C$42, 38.0428, 38.0428)* CHOOSE(CONTROL!$C$21, $C$9, 100%, $E$9)</f>
        <v>38.0428</v>
      </c>
      <c r="J1043" s="10">
        <f>CHOOSE(CONTROL!$C$42, 37.9888, 37.9888)* CHOOSE(CONTROL!$C$21, $C$9, 100%, $E$9)</f>
        <v>37.988799999999998</v>
      </c>
      <c r="K1043" s="10">
        <f>CHOOSE(CONTROL!$C$42, 37.0179, 37.0179) * CHOOSE(CONTROL!$C$21, $C$9, 100%, $E$9)</f>
        <v>37.017899999999997</v>
      </c>
      <c r="L1043" s="10">
        <f>CHOOSE(CONTROL!$C$42, 38.6673, 38.6673) * CHOOSE(CONTROL!$C$21, $C$9, 100%, $E$9)</f>
        <v>38.667299999999997</v>
      </c>
      <c r="M1043" s="10">
        <f>CHOOSE(CONTROL!$C$42, 37.4918, 37.4918) * CHOOSE(CONTROL!$C$21, $C$9, 100%, $E$9)</f>
        <v>37.491799999999998</v>
      </c>
      <c r="N1043" s="10">
        <f>CHOOSE(CONTROL!$C$42, 37.5076, 37.5076) * CHOOSE(CONTROL!$C$21, $C$9, 100%, $E$9)</f>
        <v>37.507599999999996</v>
      </c>
      <c r="O1043" s="10">
        <f>CHOOSE(CONTROL!$C$42, 37.5821, 37.5821) * CHOOSE(CONTROL!$C$21, $C$9, 100%, $E$9)</f>
        <v>37.582099999999997</v>
      </c>
      <c r="P1043" s="10">
        <f>CHOOSE(CONTROL!$C$42, 37.5452, 37.5452) * CHOOSE(CONTROL!$C$21, $C$9, 100%, $E$9)</f>
        <v>37.545200000000001</v>
      </c>
      <c r="Q1043" s="10">
        <f>CHOOSE(CONTROL!$C$42, 38.1774, 38.1774) * CHOOSE(CONTROL!$C$21, $C$9, 100%, $E$9)</f>
        <v>38.177399999999999</v>
      </c>
      <c r="R1043" s="10">
        <f>CHOOSE(CONTROL!$C$42, 38.8598, 38.8598) * CHOOSE(CONTROL!$C$21, $C$9, 100%, $E$9)</f>
        <v>38.8598</v>
      </c>
      <c r="S1043" s="10">
        <f>CHOOSE(CONTROL!$C$42, 36.839, 36.839) * CHOOSE(CONTROL!$C$21, $C$9, 100%, $E$9)</f>
        <v>36.838999999999999</v>
      </c>
      <c r="T1043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43" s="38">
        <f>(1000*CHOOSE(CONTROL!$C$42, 695, 695)*CHOOSE(CONTROL!$C$42, 0.5599, 0.5599)*CHOOSE(CONTROL!$C$42, 30, 30))/1000000</f>
        <v>11.673914999999997</v>
      </c>
      <c r="V1043" s="38">
        <f>(1000*CHOOSE(CONTROL!$C$42, 500, 500)*CHOOSE(CONTROL!$C$42, 0.275, 0.275)*CHOOSE(CONTROL!$C$42, 30, 30))/1000000</f>
        <v>4.125</v>
      </c>
      <c r="W1043" s="38">
        <f>(1000*CHOOSE(CONTROL!$C$42, 0.1146, 0.1146)*CHOOSE(CONTROL!$C$42, 121.5, 121.5)*CHOOSE(CONTROL!$C$42, 30, 30))/1000000</f>
        <v>0.417717</v>
      </c>
      <c r="X1043" s="38">
        <f>(30*0.1790888*100000/1000000)+(30*0.2374*100000/1000000)</f>
        <v>1.2494664</v>
      </c>
      <c r="Y1043" s="38">
        <f>(1000*600*CHOOSE(CONTROL!$C$42, 1.0585, 1.0585)*CHOOSE(CONTROL!$C$42, 30, 30))/1000000</f>
        <v>19.053000000000001</v>
      </c>
      <c r="Z1043" s="38"/>
      <c r="AA1043" s="10"/>
      <c r="AB1043" s="39"/>
      <c r="AC1043" s="33">
        <f>(B1043*122.58+C1043*297.941+D1043*89.177+E1043*40.302+F1043*40+G1043*160+H1043*0+I1043*100+J1043*300)/(122.58+297.941+89.177+40.302+0+40+160+100+300)</f>
        <v>38.021558463478264</v>
      </c>
      <c r="AD1043" s="27">
        <f>(M1043*'RAP TEMPLATE-GAS AVAILABILITY'!O1042+N1043*'RAP TEMPLATE-GAS AVAILABILITY'!P1042+O1043*'RAP TEMPLATE-GAS AVAILABILITY'!Q1042+P1043*'RAP TEMPLATE-GAS AVAILABILITY'!R1042)/('RAP TEMPLATE-GAS AVAILABILITY'!O1042+'RAP TEMPLATE-GAS AVAILABILITY'!P1042+'RAP TEMPLATE-GAS AVAILABILITY'!Q1042+'RAP TEMPLATE-GAS AVAILABILITY'!R1042)</f>
        <v>37.541320143884889</v>
      </c>
    </row>
    <row r="1044" spans="1:30" ht="15.75">
      <c r="A1044" s="13">
        <v>73050</v>
      </c>
      <c r="B1044" s="10">
        <f>CHOOSE(CONTROL!$C$42, 40.6217, 40.6217) * CHOOSE(CONTROL!$C$21, $C$9, 100%, $E$9)</f>
        <v>40.621699999999997</v>
      </c>
      <c r="C1044" s="10">
        <f>CHOOSE(CONTROL!$C$42, 40.6268, 40.6268) * CHOOSE(CONTROL!$C$21, $C$9, 100%, $E$9)</f>
        <v>40.626800000000003</v>
      </c>
      <c r="D1044" s="10">
        <f>CHOOSE(CONTROL!$C$42, 40.6515, 40.6515) * CHOOSE(CONTROL!$C$21, $C$9, 100%, $E$9)</f>
        <v>40.651499999999999</v>
      </c>
      <c r="E1044" s="10">
        <f>CHOOSE(CONTROL!$C$42, 40.6853, 40.6853) * CHOOSE(CONTROL!$C$21, $C$9, 100%, $E$9)</f>
        <v>40.685299999999998</v>
      </c>
      <c r="F1044" s="10">
        <f>CHOOSE(CONTROL!$C$42, 40.592, 40.592)*CHOOSE(CONTROL!$C$21, $C$9, 100%, $E$9)</f>
        <v>40.591999999999999</v>
      </c>
      <c r="G1044" s="10">
        <f>CHOOSE(CONTROL!$C$42, 40.6084, 40.6084)*CHOOSE(CONTROL!$C$21, $C$9, 100%, $E$9)</f>
        <v>40.608400000000003</v>
      </c>
      <c r="H1044" s="10">
        <f>CHOOSE(CONTROL!$C$42, 40.6742, 40.6742) * CHOOSE(CONTROL!$C$21, $C$9, 100%, $E$9)</f>
        <v>40.674199999999999</v>
      </c>
      <c r="I1044" s="10">
        <f>CHOOSE(CONTROL!$C$42, 40.6367, 40.6367)* CHOOSE(CONTROL!$C$21, $C$9, 100%, $E$9)</f>
        <v>40.636699999999998</v>
      </c>
      <c r="J1044" s="10">
        <f>CHOOSE(CONTROL!$C$42, 40.5846, 40.5846)* CHOOSE(CONTROL!$C$21, $C$9, 100%, $E$9)</f>
        <v>40.584600000000002</v>
      </c>
      <c r="K1044" s="10">
        <f>CHOOSE(CONTROL!$C$42, 39.5349, 39.5349) * CHOOSE(CONTROL!$C$21, $C$9, 100%, $E$9)</f>
        <v>39.5349</v>
      </c>
      <c r="L1044" s="10">
        <f>CHOOSE(CONTROL!$C$42, 41.2612, 41.2612) * CHOOSE(CONTROL!$C$21, $C$9, 100%, $E$9)</f>
        <v>41.261200000000002</v>
      </c>
      <c r="M1044" s="10">
        <f>CHOOSE(CONTROL!$C$42, 40.0514, 40.0514) * CHOOSE(CONTROL!$C$21, $C$9, 100%, $E$9)</f>
        <v>40.051400000000001</v>
      </c>
      <c r="N1044" s="10">
        <f>CHOOSE(CONTROL!$C$42, 40.0676, 40.0676) * CHOOSE(CONTROL!$C$21, $C$9, 100%, $E$9)</f>
        <v>40.067599999999999</v>
      </c>
      <c r="O1044" s="10">
        <f>CHOOSE(CONTROL!$C$42, 40.1397, 40.1397) * CHOOSE(CONTROL!$C$21, $C$9, 100%, $E$9)</f>
        <v>40.139699999999998</v>
      </c>
      <c r="P1044" s="10">
        <f>CHOOSE(CONTROL!$C$42, 40.1028, 40.1028) * CHOOSE(CONTROL!$C$21, $C$9, 100%, $E$9)</f>
        <v>40.102800000000002</v>
      </c>
      <c r="Q1044" s="10">
        <f>CHOOSE(CONTROL!$C$42, 40.735, 40.735) * CHOOSE(CONTROL!$C$21, $C$9, 100%, $E$9)</f>
        <v>40.734999999999999</v>
      </c>
      <c r="R1044" s="10">
        <f>CHOOSE(CONTROL!$C$42, 41.4239, 41.4239) * CHOOSE(CONTROL!$C$21, $C$9, 100%, $E$9)</f>
        <v>41.423900000000003</v>
      </c>
      <c r="S1044" s="10">
        <f>CHOOSE(CONTROL!$C$42, 39.3506, 39.3506) * CHOOSE(CONTROL!$C$21, $C$9, 100%, $E$9)</f>
        <v>39.3506</v>
      </c>
      <c r="T1044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44" s="38">
        <f>(1000*CHOOSE(CONTROL!$C$42, 695, 695)*CHOOSE(CONTROL!$C$42, 0.5599, 0.5599)*CHOOSE(CONTROL!$C$42, 31, 31))/1000000</f>
        <v>12.063045499999998</v>
      </c>
      <c r="V1044" s="38">
        <f>(1000*CHOOSE(CONTROL!$C$42, 500, 500)*CHOOSE(CONTROL!$C$42, 0.275, 0.275)*CHOOSE(CONTROL!$C$42, 31, 31))/1000000</f>
        <v>4.2625000000000002</v>
      </c>
      <c r="W1044" s="38">
        <f>(1000*CHOOSE(CONTROL!$C$42, 0.1146, 0.1146)*CHOOSE(CONTROL!$C$42, 121.5, 121.5)*CHOOSE(CONTROL!$C$42, 31, 31))/1000000</f>
        <v>0.43164089999999994</v>
      </c>
      <c r="X1044" s="38">
        <f>(31*0.1790888*100000/1000000)+(31*0.2374*100000/1000000)</f>
        <v>1.2911152800000001</v>
      </c>
      <c r="Y1044" s="38">
        <f>(1000*600*CHOOSE(CONTROL!$C$42, 1.0585, 1.0585)*CHOOSE(CONTROL!$C$42, 31, 31))/1000000</f>
        <v>19.688099999999999</v>
      </c>
      <c r="Z1044" s="38"/>
      <c r="AA1044" s="10"/>
      <c r="AB1044" s="39"/>
      <c r="AC1044" s="33">
        <f>(B1044*122.58+C1044*297.941+D1044*89.177+E1044*40.302+F1044*40+G1044*160+H1044*0+I1044*100+J1044*300)/(122.58+297.941+89.177+40.302+0+40+160+100+300)</f>
        <v>40.616303635565224</v>
      </c>
      <c r="AD1044" s="27">
        <f>(M1044*'RAP TEMPLATE-GAS AVAILABILITY'!O1043+N1044*'RAP TEMPLATE-GAS AVAILABILITY'!P1043+O1044*'RAP TEMPLATE-GAS AVAILABILITY'!Q1043+P1044*'RAP TEMPLATE-GAS AVAILABILITY'!R1043)/('RAP TEMPLATE-GAS AVAILABILITY'!O1043+'RAP TEMPLATE-GAS AVAILABILITY'!P1043+'RAP TEMPLATE-GAS AVAILABILITY'!Q1043+'RAP TEMPLATE-GAS AVAILABILITY'!R1043)</f>
        <v>40.099748920863306</v>
      </c>
    </row>
    <row r="1045" spans="1:30" ht="15.75">
      <c r="A1045" s="13">
        <v>73081</v>
      </c>
      <c r="B1045" s="10">
        <f>CHOOSE(CONTROL!$C$42, 43.3645, 43.3645) * CHOOSE(CONTROL!$C$21, $C$9, 100%, $E$9)</f>
        <v>43.3645</v>
      </c>
      <c r="C1045" s="10">
        <f>CHOOSE(CONTROL!$C$42, 43.3696, 43.3696) * CHOOSE(CONTROL!$C$21, $C$9, 100%, $E$9)</f>
        <v>43.369599999999998</v>
      </c>
      <c r="D1045" s="10">
        <f>CHOOSE(CONTROL!$C$42, 43.402, 43.402) * CHOOSE(CONTROL!$C$21, $C$9, 100%, $E$9)</f>
        <v>43.402000000000001</v>
      </c>
      <c r="E1045" s="10">
        <f>CHOOSE(CONTROL!$C$42, 43.4359, 43.4359) * CHOOSE(CONTROL!$C$21, $C$9, 100%, $E$9)</f>
        <v>43.435899999999997</v>
      </c>
      <c r="F1045" s="10">
        <f>CHOOSE(CONTROL!$C$42, 43.3487, 43.3487)*CHOOSE(CONTROL!$C$21, $C$9, 100%, $E$9)</f>
        <v>43.348700000000001</v>
      </c>
      <c r="G1045" s="10">
        <f>CHOOSE(CONTROL!$C$42, 43.3667, 43.3667)*CHOOSE(CONTROL!$C$21, $C$9, 100%, $E$9)</f>
        <v>43.366700000000002</v>
      </c>
      <c r="H1045" s="10">
        <f>CHOOSE(CONTROL!$C$42, 43.4247, 43.4247) * CHOOSE(CONTROL!$C$21, $C$9, 100%, $E$9)</f>
        <v>43.424700000000001</v>
      </c>
      <c r="I1045" s="10">
        <f>CHOOSE(CONTROL!$C$42, 43.378, 43.378)* CHOOSE(CONTROL!$C$21, $C$9, 100%, $E$9)</f>
        <v>43.378</v>
      </c>
      <c r="J1045" s="10">
        <f>CHOOSE(CONTROL!$C$42, 43.3413, 43.3413)* CHOOSE(CONTROL!$C$21, $C$9, 100%, $E$9)</f>
        <v>43.341299999999997</v>
      </c>
      <c r="K1045" s="10">
        <f>CHOOSE(CONTROL!$C$42, 42.2045, 42.2045) * CHOOSE(CONTROL!$C$21, $C$9, 100%, $E$9)</f>
        <v>42.204500000000003</v>
      </c>
      <c r="L1045" s="10">
        <f>CHOOSE(CONTROL!$C$42, 44.0117, 44.0117) * CHOOSE(CONTROL!$C$21, $C$9, 100%, $E$9)</f>
        <v>44.011699999999998</v>
      </c>
      <c r="M1045" s="10">
        <f>CHOOSE(CONTROL!$C$42, 42.7697, 42.7697) * CHOOSE(CONTROL!$C$21, $C$9, 100%, $E$9)</f>
        <v>42.7697</v>
      </c>
      <c r="N1045" s="10">
        <f>CHOOSE(CONTROL!$C$42, 42.7875, 42.7875) * CHOOSE(CONTROL!$C$21, $C$9, 100%, $E$9)</f>
        <v>42.787500000000001</v>
      </c>
      <c r="O1045" s="10">
        <f>CHOOSE(CONTROL!$C$42, 42.8519, 42.8519) * CHOOSE(CONTROL!$C$21, $C$9, 100%, $E$9)</f>
        <v>42.851900000000001</v>
      </c>
      <c r="P1045" s="10">
        <f>CHOOSE(CONTROL!$C$42, 42.8059, 42.8059) * CHOOSE(CONTROL!$C$21, $C$9, 100%, $E$9)</f>
        <v>42.805900000000001</v>
      </c>
      <c r="Q1045" s="10">
        <f>CHOOSE(CONTROL!$C$42, 43.4472, 43.4472) * CHOOSE(CONTROL!$C$21, $C$9, 100%, $E$9)</f>
        <v>43.447200000000002</v>
      </c>
      <c r="R1045" s="10">
        <f>CHOOSE(CONTROL!$C$42, 44.1429, 44.1429) * CHOOSE(CONTROL!$C$21, $C$9, 100%, $E$9)</f>
        <v>44.142899999999997</v>
      </c>
      <c r="S1045" s="10">
        <f>CHOOSE(CONTROL!$C$42, 42.0065, 42.0065) * CHOOSE(CONTROL!$C$21, $C$9, 100%, $E$9)</f>
        <v>42.006500000000003</v>
      </c>
      <c r="T1045" s="38">
        <f>(((255000*CHOOSE(CONTROL!$C$42, 0.4694, 0.4694)+(750000-255000)*CHOOSE(CONTROL!$C$42, 0.7185, 0.7185)+400000*CHOOSE(CONTROL!$C$42, 1.14, 1.14))*CHOOSE(CONTROL!$C$42, 31, 31))/1000000)+CHOOSE(CONTROL!$C$42, 0.1442, 0.1442)+CHOOSE(CONTROL!$C$42, 0.2377, 0.2377)</f>
        <v>29.253889500000003</v>
      </c>
      <c r="U1045" s="38">
        <f>(1000*CHOOSE(CONTROL!$C$42, 695, 695)*CHOOSE(CONTROL!$C$42, 0.5599, 0.5599)*CHOOSE(CONTROL!$C$42, 31, 31))/1000000</f>
        <v>12.063045499999998</v>
      </c>
      <c r="V1045" s="38">
        <f>(1000*CHOOSE(CONTROL!$C$42, 500, 500)*CHOOSE(CONTROL!$C$42, 0.275, 0.275)*CHOOSE(CONTROL!$C$42, 31, 31))/1000000</f>
        <v>4.2625000000000002</v>
      </c>
      <c r="W1045" s="38">
        <f>(1000*CHOOSE(CONTROL!$C$42, 0.1146, 0.1146)*CHOOSE(CONTROL!$C$42, 121.5, 121.5)*CHOOSE(CONTROL!$C$42, 31, 31))/1000000</f>
        <v>0.43164089999999994</v>
      </c>
      <c r="X1045" s="38">
        <f>(31*0.1790888*100000/1000000)+(31*0.2374*100000/1000000)</f>
        <v>1.2911152800000001</v>
      </c>
      <c r="Y1045" s="38">
        <f>(1000*600*CHOOSE(CONTROL!$C$42, 1.0585, 1.0585)*CHOOSE(CONTROL!$C$42, 31, 31))/1000000</f>
        <v>19.688099999999999</v>
      </c>
      <c r="Z1045" s="38"/>
      <c r="AA1045" s="10"/>
      <c r="AB1045" s="39"/>
      <c r="AC1045" s="33">
        <f>(B1045*122.58+C1045*297.941+D1045*89.177+E1045*40.302+F1045*40+G1045*160+H1045*0+I1045*100+J1045*300)/(122.58+297.941+89.177+40.302+0+40+160+100+300)</f>
        <v>43.366109738608699</v>
      </c>
      <c r="AD1045" s="27">
        <f>(M1045*'RAP TEMPLATE-GAS AVAILABILITY'!O1044+N1045*'RAP TEMPLATE-GAS AVAILABILITY'!P1044+O1045*'RAP TEMPLATE-GAS AVAILABILITY'!Q1044+P1045*'RAP TEMPLATE-GAS AVAILABILITY'!R1044)/('RAP TEMPLATE-GAS AVAILABILITY'!O1044+'RAP TEMPLATE-GAS AVAILABILITY'!P1044+'RAP TEMPLATE-GAS AVAILABILITY'!Q1044+'RAP TEMPLATE-GAS AVAILABILITY'!R1044)</f>
        <v>42.813189208633091</v>
      </c>
    </row>
    <row r="1046" spans="1:30" ht="15.75">
      <c r="A1046" s="13">
        <v>73109</v>
      </c>
      <c r="B1046" s="10">
        <f>CHOOSE(CONTROL!$C$42, 44.1368, 44.1368) * CHOOSE(CONTROL!$C$21, $C$9, 100%, $E$9)</f>
        <v>44.136800000000001</v>
      </c>
      <c r="C1046" s="10">
        <f>CHOOSE(CONTROL!$C$42, 44.1419, 44.1419) * CHOOSE(CONTROL!$C$21, $C$9, 100%, $E$9)</f>
        <v>44.1419</v>
      </c>
      <c r="D1046" s="10">
        <f>CHOOSE(CONTROL!$C$42, 44.1743, 44.1743) * CHOOSE(CONTROL!$C$21, $C$9, 100%, $E$9)</f>
        <v>44.174300000000002</v>
      </c>
      <c r="E1046" s="10">
        <f>CHOOSE(CONTROL!$C$42, 44.2081, 44.2081) * CHOOSE(CONTROL!$C$21, $C$9, 100%, $E$9)</f>
        <v>44.208100000000002</v>
      </c>
      <c r="F1046" s="10">
        <f>CHOOSE(CONTROL!$C$42, 44.1205, 44.1205)*CHOOSE(CONTROL!$C$21, $C$9, 100%, $E$9)</f>
        <v>44.1205</v>
      </c>
      <c r="G1046" s="10">
        <f>CHOOSE(CONTROL!$C$42, 44.1384, 44.1384)*CHOOSE(CONTROL!$C$21, $C$9, 100%, $E$9)</f>
        <v>44.138399999999997</v>
      </c>
      <c r="H1046" s="10">
        <f>CHOOSE(CONTROL!$C$42, 44.197, 44.197) * CHOOSE(CONTROL!$C$21, $C$9, 100%, $E$9)</f>
        <v>44.197000000000003</v>
      </c>
      <c r="I1046" s="10">
        <f>CHOOSE(CONTROL!$C$42, 44.1502, 44.1502)* CHOOSE(CONTROL!$C$21, $C$9, 100%, $E$9)</f>
        <v>44.150199999999998</v>
      </c>
      <c r="J1046" s="10">
        <f>CHOOSE(CONTROL!$C$42, 44.1131, 44.1131)* CHOOSE(CONTROL!$C$21, $C$9, 100%, $E$9)</f>
        <v>44.113100000000003</v>
      </c>
      <c r="K1046" s="10">
        <f>CHOOSE(CONTROL!$C$42, 42.9517, 42.9517) * CHOOSE(CONTROL!$C$21, $C$9, 100%, $E$9)</f>
        <v>42.951700000000002</v>
      </c>
      <c r="L1046" s="10">
        <f>CHOOSE(CONTROL!$C$42, 44.784, 44.784) * CHOOSE(CONTROL!$C$21, $C$9, 100%, $E$9)</f>
        <v>44.783999999999999</v>
      </c>
      <c r="M1046" s="10">
        <f>CHOOSE(CONTROL!$C$42, 43.5307, 43.5307) * CHOOSE(CONTROL!$C$21, $C$9, 100%, $E$9)</f>
        <v>43.530700000000003</v>
      </c>
      <c r="N1046" s="10">
        <f>CHOOSE(CONTROL!$C$42, 43.5484, 43.5484) * CHOOSE(CONTROL!$C$21, $C$9, 100%, $E$9)</f>
        <v>43.548400000000001</v>
      </c>
      <c r="O1046" s="10">
        <f>CHOOSE(CONTROL!$C$42, 43.6134, 43.6134) * CHOOSE(CONTROL!$C$21, $C$9, 100%, $E$9)</f>
        <v>43.613399999999999</v>
      </c>
      <c r="P1046" s="10">
        <f>CHOOSE(CONTROL!$C$42, 43.5673, 43.5673) * CHOOSE(CONTROL!$C$21, $C$9, 100%, $E$9)</f>
        <v>43.567300000000003</v>
      </c>
      <c r="Q1046" s="10">
        <f>CHOOSE(CONTROL!$C$42, 44.2087, 44.2087) * CHOOSE(CONTROL!$C$21, $C$9, 100%, $E$9)</f>
        <v>44.2087</v>
      </c>
      <c r="R1046" s="10">
        <f>CHOOSE(CONTROL!$C$42, 44.9062, 44.9062) * CHOOSE(CONTROL!$C$21, $C$9, 100%, $E$9)</f>
        <v>44.906199999999998</v>
      </c>
      <c r="S1046" s="10">
        <f>CHOOSE(CONTROL!$C$42, 42.7543, 42.7543) * CHOOSE(CONTROL!$C$21, $C$9, 100%, $E$9)</f>
        <v>42.754300000000001</v>
      </c>
      <c r="T1046" s="38">
        <f>(((255000*CHOOSE(CONTROL!$C$42, 0.4694, 0.4694)+(750000-255000)*CHOOSE(CONTROL!$C$42, 0.7185, 0.7185)+400000*CHOOSE(CONTROL!$C$42, 1.14, 1.14))*CHOOSE(CONTROL!$C$42, 29, 29))/1000000)+CHOOSE(CONTROL!$C$42, 0.1755, 0.1755)+CHOOSE(CONTROL!$C$42, 0.2587, 0.2587)</f>
        <v>27.4434805</v>
      </c>
      <c r="U1046" s="38">
        <f>(1000*CHOOSE(CONTROL!$C$42, 695, 695)*CHOOSE(CONTROL!$C$42, 0.5599, 0.5599)*CHOOSE(CONTROL!$C$42, 29, 29))/1000000</f>
        <v>11.284784499999999</v>
      </c>
      <c r="V1046" s="38">
        <f>(1000*CHOOSE(CONTROL!$C$42, 500, 500)*CHOOSE(CONTROL!$C$42, 0.275, 0.275)*CHOOSE(CONTROL!$C$42, 29, 29))/1000000</f>
        <v>3.9874999999999998</v>
      </c>
      <c r="W1046" s="38">
        <f>(1000*CHOOSE(CONTROL!$C$42, 0.1146, 0.1146)*CHOOSE(CONTROL!$C$42, 121.5, 121.5)*CHOOSE(CONTROL!$C$42, 29, 29))/1000000</f>
        <v>0.40379309999999996</v>
      </c>
      <c r="X1046" s="38">
        <f>(28*0.1790888*100000/1000000)+(28*0.2374*100000/1000000)</f>
        <v>1.16616864</v>
      </c>
      <c r="Y1046" s="38">
        <f>(1000*600*CHOOSE(CONTROL!$C$42, 1.0585, 1.0585)*CHOOSE(CONTROL!$C$42, 29, 29))/1000000</f>
        <v>18.417899999999999</v>
      </c>
      <c r="Z1046" s="38"/>
      <c r="AA1046" s="10"/>
      <c r="AB1046" s="39"/>
      <c r="AC1046" s="33">
        <f>(B1046*122.58+C1046*297.941+D1046*89.177+E1046*40.302+F1046*40+G1046*160+H1046*0+I1046*100+J1046*300)/(122.58+297.941+89.177+40.302+0+40+160+100+300)</f>
        <v>44.138166234086952</v>
      </c>
      <c r="AD1046" s="27">
        <f>(M1046*'RAP TEMPLATE-GAS AVAILABILITY'!O1045+N1046*'RAP TEMPLATE-GAS AVAILABILITY'!P1045+O1046*'RAP TEMPLATE-GAS AVAILABILITY'!Q1045+P1046*'RAP TEMPLATE-GAS AVAILABILITY'!R1045)/('RAP TEMPLATE-GAS AVAILABILITY'!O1045+'RAP TEMPLATE-GAS AVAILABILITY'!P1045+'RAP TEMPLATE-GAS AVAILABILITY'!Q1045+'RAP TEMPLATE-GAS AVAILABILITY'!R1045)</f>
        <v>43.574467625899281</v>
      </c>
    </row>
    <row r="1047" spans="1:30" ht="15.75">
      <c r="A1047" s="13">
        <v>73140</v>
      </c>
      <c r="B1047" s="10">
        <f>CHOOSE(CONTROL!$C$42, 42.8832, 42.8832) * CHOOSE(CONTROL!$C$21, $C$9, 100%, $E$9)</f>
        <v>42.883200000000002</v>
      </c>
      <c r="C1047" s="10">
        <f>CHOOSE(CONTROL!$C$42, 42.8883, 42.8883) * CHOOSE(CONTROL!$C$21, $C$9, 100%, $E$9)</f>
        <v>42.888300000000001</v>
      </c>
      <c r="D1047" s="10">
        <f>CHOOSE(CONTROL!$C$42, 42.9208, 42.9208) * CHOOSE(CONTROL!$C$21, $C$9, 100%, $E$9)</f>
        <v>42.9208</v>
      </c>
      <c r="E1047" s="10">
        <f>CHOOSE(CONTROL!$C$42, 42.9546, 42.9546) * CHOOSE(CONTROL!$C$21, $C$9, 100%, $E$9)</f>
        <v>42.954599999999999</v>
      </c>
      <c r="F1047" s="10">
        <f>CHOOSE(CONTROL!$C$42, 42.8655, 42.8655)*CHOOSE(CONTROL!$C$21, $C$9, 100%, $E$9)</f>
        <v>42.865499999999997</v>
      </c>
      <c r="G1047" s="10">
        <f>CHOOSE(CONTROL!$C$42, 42.8831, 42.8831)*CHOOSE(CONTROL!$C$21, $C$9, 100%, $E$9)</f>
        <v>42.883099999999999</v>
      </c>
      <c r="H1047" s="10">
        <f>CHOOSE(CONTROL!$C$42, 42.9434, 42.9434) * CHOOSE(CONTROL!$C$21, $C$9, 100%, $E$9)</f>
        <v>42.943399999999997</v>
      </c>
      <c r="I1047" s="10">
        <f>CHOOSE(CONTROL!$C$42, 42.8967, 42.8967)* CHOOSE(CONTROL!$C$21, $C$9, 100%, $E$9)</f>
        <v>42.896700000000003</v>
      </c>
      <c r="J1047" s="10">
        <f>CHOOSE(CONTROL!$C$42, 42.8581, 42.8581)* CHOOSE(CONTROL!$C$21, $C$9, 100%, $E$9)</f>
        <v>42.8581</v>
      </c>
      <c r="K1047" s="10">
        <f>CHOOSE(CONTROL!$C$42, 41.7341, 41.7341) * CHOOSE(CONTROL!$C$21, $C$9, 100%, $E$9)</f>
        <v>41.734099999999998</v>
      </c>
      <c r="L1047" s="10">
        <f>CHOOSE(CONTROL!$C$42, 43.5304, 43.5304) * CHOOSE(CONTROL!$C$21, $C$9, 100%, $E$9)</f>
        <v>43.5304</v>
      </c>
      <c r="M1047" s="10">
        <f>CHOOSE(CONTROL!$C$42, 42.2932, 42.2932) * CHOOSE(CONTROL!$C$21, $C$9, 100%, $E$9)</f>
        <v>42.293199999999999</v>
      </c>
      <c r="N1047" s="10">
        <f>CHOOSE(CONTROL!$C$42, 42.3105, 42.3105) * CHOOSE(CONTROL!$C$21, $C$9, 100%, $E$9)</f>
        <v>42.310499999999998</v>
      </c>
      <c r="O1047" s="10">
        <f>CHOOSE(CONTROL!$C$42, 42.3774, 42.3774) * CHOOSE(CONTROL!$C$21, $C$9, 100%, $E$9)</f>
        <v>42.377400000000002</v>
      </c>
      <c r="P1047" s="10">
        <f>CHOOSE(CONTROL!$C$42, 42.3313, 42.3313) * CHOOSE(CONTROL!$C$21, $C$9, 100%, $E$9)</f>
        <v>42.331299999999999</v>
      </c>
      <c r="Q1047" s="10">
        <f>CHOOSE(CONTROL!$C$42, 42.9727, 42.9727) * CHOOSE(CONTROL!$C$21, $C$9, 100%, $E$9)</f>
        <v>42.972700000000003</v>
      </c>
      <c r="R1047" s="10">
        <f>CHOOSE(CONTROL!$C$42, 43.6671, 43.6671) * CHOOSE(CONTROL!$C$21, $C$9, 100%, $E$9)</f>
        <v>43.667099999999998</v>
      </c>
      <c r="S1047" s="10">
        <f>CHOOSE(CONTROL!$C$42, 41.5405, 41.5405) * CHOOSE(CONTROL!$C$21, $C$9, 100%, $E$9)</f>
        <v>41.540500000000002</v>
      </c>
      <c r="T1047" s="38">
        <f>(((255000*CHOOSE(CONTROL!$C$42, 0.4694, 0.4694)+(750000-255000)*CHOOSE(CONTROL!$C$42, 0.7185, 0.7185)+400000*CHOOSE(CONTROL!$C$42, 1.14, 1.14))*CHOOSE(CONTROL!$C$42, 31, 31))/1000000)+CHOOSE(CONTROL!$C$42, 0.2445, 0.2445)+CHOOSE(CONTROL!$C$42, 0.2781, 0.2781)</f>
        <v>29.394589499999999</v>
      </c>
      <c r="U1047" s="38">
        <f>(1000*CHOOSE(CONTROL!$C$42, 695, 695)*CHOOSE(CONTROL!$C$42, 0.5599, 0.5599)*CHOOSE(CONTROL!$C$42, 31, 31))/1000000</f>
        <v>12.063045499999998</v>
      </c>
      <c r="V1047" s="38">
        <f>(1000*CHOOSE(CONTROL!$C$42, 500, 500)*CHOOSE(CONTROL!$C$42, 0.275, 0.275)*CHOOSE(CONTROL!$C$42, 31, 31))/1000000</f>
        <v>4.2625000000000002</v>
      </c>
      <c r="W1047" s="38">
        <f>(1000*CHOOSE(CONTROL!$C$42, 0.1146, 0.1146)*CHOOSE(CONTROL!$C$42, 121.5, 121.5)*CHOOSE(CONTROL!$C$42, 31, 31))/1000000</f>
        <v>0.43164089999999994</v>
      </c>
      <c r="X1047" s="38">
        <f>(31*0.1790888*100000/1000000)+(31*0.2374*100000/1000000)</f>
        <v>1.2911152800000001</v>
      </c>
      <c r="Y1047" s="38">
        <f>(1000*600*CHOOSE(CONTROL!$C$42, 1.0585, 1.0585)*CHOOSE(CONTROL!$C$42, 31, 31))/1000000</f>
        <v>19.688099999999999</v>
      </c>
      <c r="Z1047" s="38"/>
      <c r="AA1047" s="10"/>
      <c r="AB1047" s="39"/>
      <c r="AC1047" s="33">
        <f>(B1047*122.58+C1047*297.941+D1047*89.177+E1047*40.302+F1047*40+G1047*160+H1047*0+I1047*100+J1047*300)/(122.58+297.941+89.177+40.302+0+40+160+100+300)</f>
        <v>42.883935753999992</v>
      </c>
      <c r="AD1047" s="27">
        <f>(M1047*'RAP TEMPLATE-GAS AVAILABILITY'!O1046+N1047*'RAP TEMPLATE-GAS AVAILABILITY'!P1046+O1047*'RAP TEMPLATE-GAS AVAILABILITY'!Q1046+P1047*'RAP TEMPLATE-GAS AVAILABILITY'!R1046)/('RAP TEMPLATE-GAS AVAILABILITY'!O1046+'RAP TEMPLATE-GAS AVAILABILITY'!P1046+'RAP TEMPLATE-GAS AVAILABILITY'!Q1046+'RAP TEMPLATE-GAS AVAILABILITY'!R1046)</f>
        <v>42.337840287769787</v>
      </c>
    </row>
    <row r="1048" spans="1:30" ht="15.75">
      <c r="A1048" s="13">
        <v>73170</v>
      </c>
      <c r="B1048" s="10">
        <f>CHOOSE(CONTROL!$C$42, 42.7555, 42.7555) * CHOOSE(CONTROL!$C$21, $C$9, 100%, $E$9)</f>
        <v>42.755499999999998</v>
      </c>
      <c r="C1048" s="10">
        <f>CHOOSE(CONTROL!$C$42, 42.7601, 42.7601) * CHOOSE(CONTROL!$C$21, $C$9, 100%, $E$9)</f>
        <v>42.760100000000001</v>
      </c>
      <c r="D1048" s="10">
        <f>CHOOSE(CONTROL!$C$42, 42.9202, 42.9202) * CHOOSE(CONTROL!$C$21, $C$9, 100%, $E$9)</f>
        <v>42.920200000000001</v>
      </c>
      <c r="E1048" s="10">
        <f>CHOOSE(CONTROL!$C$42, 42.952, 42.952) * CHOOSE(CONTROL!$C$21, $C$9, 100%, $E$9)</f>
        <v>42.951999999999998</v>
      </c>
      <c r="F1048" s="10">
        <f>CHOOSE(CONTROL!$C$42, 42.7016, 42.7016)*CHOOSE(CONTROL!$C$21, $C$9, 100%, $E$9)</f>
        <v>42.701599999999999</v>
      </c>
      <c r="G1048" s="10">
        <f>CHOOSE(CONTROL!$C$42, 42.7175, 42.7175)*CHOOSE(CONTROL!$C$21, $C$9, 100%, $E$9)</f>
        <v>42.717500000000001</v>
      </c>
      <c r="H1048" s="10">
        <f>CHOOSE(CONTROL!$C$42, 42.9415, 42.9415) * CHOOSE(CONTROL!$C$21, $C$9, 100%, $E$9)</f>
        <v>42.941499999999998</v>
      </c>
      <c r="I1048" s="10">
        <f>CHOOSE(CONTROL!$C$42, 42.7357, 42.7357)* CHOOSE(CONTROL!$C$21, $C$9, 100%, $E$9)</f>
        <v>42.735700000000001</v>
      </c>
      <c r="J1048" s="10">
        <f>CHOOSE(CONTROL!$C$42, 42.6942, 42.6942)* CHOOSE(CONTROL!$C$21, $C$9, 100%, $E$9)</f>
        <v>42.694200000000002</v>
      </c>
      <c r="K1048" s="10">
        <f>CHOOSE(CONTROL!$C$42, 41.5622, 41.5622) * CHOOSE(CONTROL!$C$21, $C$9, 100%, $E$9)</f>
        <v>41.562199999999997</v>
      </c>
      <c r="L1048" s="10">
        <f>CHOOSE(CONTROL!$C$42, 43.5285, 43.5285) * CHOOSE(CONTROL!$C$21, $C$9, 100%, $E$9)</f>
        <v>43.528500000000001</v>
      </c>
      <c r="M1048" s="10">
        <f>CHOOSE(CONTROL!$C$42, 42.1316, 42.1316) * CHOOSE(CONTROL!$C$21, $C$9, 100%, $E$9)</f>
        <v>42.131599999999999</v>
      </c>
      <c r="N1048" s="10">
        <f>CHOOSE(CONTROL!$C$42, 42.1472, 42.1472) * CHOOSE(CONTROL!$C$21, $C$9, 100%, $E$9)</f>
        <v>42.147199999999998</v>
      </c>
      <c r="O1048" s="10">
        <f>CHOOSE(CONTROL!$C$42, 42.3754, 42.3754) * CHOOSE(CONTROL!$C$21, $C$9, 100%, $E$9)</f>
        <v>42.375399999999999</v>
      </c>
      <c r="P1048" s="10">
        <f>CHOOSE(CONTROL!$C$42, 42.1726, 42.1726) * CHOOSE(CONTROL!$C$21, $C$9, 100%, $E$9)</f>
        <v>42.172600000000003</v>
      </c>
      <c r="Q1048" s="10">
        <f>CHOOSE(CONTROL!$C$42, 42.9707, 42.9707) * CHOOSE(CONTROL!$C$21, $C$9, 100%, $E$9)</f>
        <v>42.970700000000001</v>
      </c>
      <c r="R1048" s="10">
        <f>CHOOSE(CONTROL!$C$42, 43.6652, 43.6652) * CHOOSE(CONTROL!$C$21, $C$9, 100%, $E$9)</f>
        <v>43.665199999999999</v>
      </c>
      <c r="S1048" s="10">
        <f>CHOOSE(CONTROL!$C$42, 41.4161, 41.4161) * CHOOSE(CONTROL!$C$21, $C$9, 100%, $E$9)</f>
        <v>41.4161</v>
      </c>
      <c r="T1048" s="38">
        <f>(((280000*CHOOSE(CONTROL!$C$42, 0.4694, 0.4694)+(839000-280000)*CHOOSE(CONTROL!$C$42, 0.7185, 0.7185)+400000*CHOOSE(CONTROL!$C$42, 1.14, 1.14))*CHOOSE(CONTROL!$C$42, 30, 30))/1000000)+CHOOSE(CONTROL!$C$42, 0.1952, 0.1952)+CHOOSE(CONTROL!$C$42, 0.3265, 0.3265)</f>
        <v>30.193905000000001</v>
      </c>
      <c r="U1048" s="38">
        <f>(1000*CHOOSE(CONTROL!$C$42, 695, 695)*CHOOSE(CONTROL!$C$42, 0.5599, 0.5599)*CHOOSE(CONTROL!$C$42, 30, 30))/1000000</f>
        <v>11.673914999999997</v>
      </c>
      <c r="V1048" s="38">
        <f>(1000*CHOOSE(CONTROL!$C$42, 500, 500)*CHOOSE(CONTROL!$C$42, 0.275, 0.275)*CHOOSE(CONTROL!$C$42, 30, 30))/1000000</f>
        <v>4.125</v>
      </c>
      <c r="W1048" s="38">
        <f>(1000*CHOOSE(CONTROL!$C$42, 0.1146, 0.1146)*CHOOSE(CONTROL!$C$42, 121.5, 121.5)*CHOOSE(CONTROL!$C$42, 30, 30))/1000000</f>
        <v>0.417717</v>
      </c>
      <c r="X1048" s="38">
        <f>(30*0.1790888*245000/1000000)+(30*0.2374*100000/1000000)</f>
        <v>2.0285026799999999</v>
      </c>
      <c r="Y1048" s="38">
        <f>(1000*600*CHOOSE(CONTROL!$C$42, 1.0585, 1.0585)*CHOOSE(CONTROL!$C$42, 30, 30))/1000000</f>
        <v>19.053000000000001</v>
      </c>
      <c r="Z1048" s="38"/>
      <c r="AA1048" s="10"/>
      <c r="AB1048" s="39"/>
      <c r="AC1048" s="33">
        <f>(B1048*141.293+C1048*267.993+D1048*115.016+E1048*89.698+F1048*40+G1048*185+H1048*0+I1048*100+J1048*300)/(141.293+267.993+115.016+89.698+0+40+185+100+300)</f>
        <v>42.76215501210654</v>
      </c>
      <c r="AD1048" s="27">
        <f>(M1048*'RAP TEMPLATE-GAS AVAILABILITY'!O1047+N1048*'RAP TEMPLATE-GAS AVAILABILITY'!P1047+O1048*'RAP TEMPLATE-GAS AVAILABILITY'!Q1047+P1048*'RAP TEMPLATE-GAS AVAILABILITY'!R1047)/('RAP TEMPLATE-GAS AVAILABILITY'!O1047+'RAP TEMPLATE-GAS AVAILABILITY'!P1047+'RAP TEMPLATE-GAS AVAILABILITY'!Q1047+'RAP TEMPLATE-GAS AVAILABILITY'!R1047)</f>
        <v>42.248896402877698</v>
      </c>
    </row>
    <row r="1049" spans="1:30" ht="15.75">
      <c r="A1049" s="13">
        <v>73201</v>
      </c>
      <c r="B1049" s="10">
        <f>CHOOSE(CONTROL!$C$42, 43.1349, 43.1349) * CHOOSE(CONTROL!$C$21, $C$9, 100%, $E$9)</f>
        <v>43.134900000000002</v>
      </c>
      <c r="C1049" s="10">
        <f>CHOOSE(CONTROL!$C$42, 43.1429, 43.1429) * CHOOSE(CONTROL!$C$21, $C$9, 100%, $E$9)</f>
        <v>43.142899999999997</v>
      </c>
      <c r="D1049" s="10">
        <f>CHOOSE(CONTROL!$C$42, 43.2999, 43.2999) * CHOOSE(CONTROL!$C$21, $C$9, 100%, $E$9)</f>
        <v>43.299900000000001</v>
      </c>
      <c r="E1049" s="10">
        <f>CHOOSE(CONTROL!$C$42, 43.3311, 43.3311) * CHOOSE(CONTROL!$C$21, $C$9, 100%, $E$9)</f>
        <v>43.331099999999999</v>
      </c>
      <c r="F1049" s="10">
        <f>CHOOSE(CONTROL!$C$42, 43.079, 43.079)*CHOOSE(CONTROL!$C$21, $C$9, 100%, $E$9)</f>
        <v>43.079000000000001</v>
      </c>
      <c r="G1049" s="10">
        <f>CHOOSE(CONTROL!$C$42, 43.0951, 43.0951)*CHOOSE(CONTROL!$C$21, $C$9, 100%, $E$9)</f>
        <v>43.095100000000002</v>
      </c>
      <c r="H1049" s="10">
        <f>CHOOSE(CONTROL!$C$42, 43.3195, 43.3195) * CHOOSE(CONTROL!$C$21, $C$9, 100%, $E$9)</f>
        <v>43.319499999999998</v>
      </c>
      <c r="I1049" s="10">
        <f>CHOOSE(CONTROL!$C$42, 43.1136, 43.1136)* CHOOSE(CONTROL!$C$21, $C$9, 100%, $E$9)</f>
        <v>43.113599999999998</v>
      </c>
      <c r="J1049" s="10">
        <f>CHOOSE(CONTROL!$C$42, 43.0716, 43.0716)* CHOOSE(CONTROL!$C$21, $C$9, 100%, $E$9)</f>
        <v>43.071599999999997</v>
      </c>
      <c r="K1049" s="10">
        <f>CHOOSE(CONTROL!$C$42, 41.927, 41.927) * CHOOSE(CONTROL!$C$21, $C$9, 100%, $E$9)</f>
        <v>41.927</v>
      </c>
      <c r="L1049" s="10">
        <f>CHOOSE(CONTROL!$C$42, 43.9065, 43.9065) * CHOOSE(CONTROL!$C$21, $C$9, 100%, $E$9)</f>
        <v>43.906500000000001</v>
      </c>
      <c r="M1049" s="10">
        <f>CHOOSE(CONTROL!$C$42, 42.5037, 42.5037) * CHOOSE(CONTROL!$C$21, $C$9, 100%, $E$9)</f>
        <v>42.503700000000002</v>
      </c>
      <c r="N1049" s="10">
        <f>CHOOSE(CONTROL!$C$42, 42.5196, 42.5196) * CHOOSE(CONTROL!$C$21, $C$9, 100%, $E$9)</f>
        <v>42.519599999999997</v>
      </c>
      <c r="O1049" s="10">
        <f>CHOOSE(CONTROL!$C$42, 42.7481, 42.7481) * CHOOSE(CONTROL!$C$21, $C$9, 100%, $E$9)</f>
        <v>42.748100000000001</v>
      </c>
      <c r="P1049" s="10">
        <f>CHOOSE(CONTROL!$C$42, 42.5452, 42.5452) * CHOOSE(CONTROL!$C$21, $C$9, 100%, $E$9)</f>
        <v>42.545200000000001</v>
      </c>
      <c r="Q1049" s="10">
        <f>CHOOSE(CONTROL!$C$42, 43.3434, 43.3434) * CHOOSE(CONTROL!$C$21, $C$9, 100%, $E$9)</f>
        <v>43.343400000000003</v>
      </c>
      <c r="R1049" s="10">
        <f>CHOOSE(CONTROL!$C$42, 44.0388, 44.0388) * CHOOSE(CONTROL!$C$21, $C$9, 100%, $E$9)</f>
        <v>44.038800000000002</v>
      </c>
      <c r="S1049" s="10">
        <f>CHOOSE(CONTROL!$C$42, 41.7821, 41.7821) * CHOOSE(CONTROL!$C$21, $C$9, 100%, $E$9)</f>
        <v>41.7821</v>
      </c>
      <c r="T1049" s="38">
        <f>((((430000*CHOOSE(CONTROL!$C$42, 0.4694, 0.4694)+(874000-430000)*CHOOSE(CONTROL!$C$42, 0.7185, 0.7185)+400000*CHOOSE(CONTROL!$C$42, 1.14, 1.14))*CHOOSE(CONTROL!$C$42, 31, 31))/1000000))+CHOOSE(CONTROL!$C$42, 0.1662, 0.1662)+CHOOSE(CONTROL!$C$42, 0.6286, 0.6286)</f>
        <v>31.077335999999999</v>
      </c>
      <c r="U1049" s="38">
        <f>(1000*CHOOSE(CONTROL!$C$42, 695, 695)*CHOOSE(CONTROL!$C$42, 0.5599, 0.5599)*CHOOSE(CONTROL!$C$42, 31, 31))/1000000</f>
        <v>12.063045499999998</v>
      </c>
      <c r="V1049" s="38">
        <f>(1000*CHOOSE(CONTROL!$C$42, 500, 500)*CHOOSE(CONTROL!$C$42, 0.275, 0.275)*CHOOSE(CONTROL!$C$42, 31, 31))/1000000</f>
        <v>4.2625000000000002</v>
      </c>
      <c r="W1049" s="38">
        <f>(1000*CHOOSE(CONTROL!$C$42, 0.1146, 0.1146)*CHOOSE(CONTROL!$C$42, 121.5, 121.5)*CHOOSE(CONTROL!$C$42, 31, 31))/1000000</f>
        <v>0.43164089999999994</v>
      </c>
      <c r="X1049" s="38">
        <f>(31*0.1790888*245000/1000000)+(31*0.2374*100000/1000000)</f>
        <v>2.0961194359999999</v>
      </c>
      <c r="Y1049" s="38">
        <f>(1000*600*CHOOSE(CONTROL!$C$42, 1.0585, 1.0585)*CHOOSE(CONTROL!$C$42, 31, 31))/1000000</f>
        <v>19.688099999999999</v>
      </c>
      <c r="Z1049" s="38"/>
      <c r="AA1049" s="10"/>
      <c r="AB1049" s="39"/>
      <c r="AC1049" s="33">
        <f>(B1049*194.205+C1049*267.466+D1049*133.845+E1049*53.484+F1049*40+G1049*185+H1049*0+I1049*100+J1049*300)/(194.205+267.466+133.845+53.484+0+40+185+100+300)</f>
        <v>43.138038707849297</v>
      </c>
      <c r="AD1049" s="27">
        <f>(M1049*'RAP TEMPLATE-GAS AVAILABILITY'!O1048+N1049*'RAP TEMPLATE-GAS AVAILABILITY'!P1048+O1049*'RAP TEMPLATE-GAS AVAILABILITY'!Q1048+P1049*'RAP TEMPLATE-GAS AVAILABILITY'!R1048)/('RAP TEMPLATE-GAS AVAILABILITY'!O1048+'RAP TEMPLATE-GAS AVAILABILITY'!P1048+'RAP TEMPLATE-GAS AVAILABILITY'!Q1048+'RAP TEMPLATE-GAS AVAILABILITY'!R1048)</f>
        <v>42.621357553956834</v>
      </c>
    </row>
    <row r="1050" spans="1:30" ht="15.75">
      <c r="A1050" s="13">
        <v>73231</v>
      </c>
      <c r="B1050" s="10">
        <f>CHOOSE(CONTROL!$C$42, 44.3588, 44.3588) * CHOOSE(CONTROL!$C$21, $C$9, 100%, $E$9)</f>
        <v>44.358800000000002</v>
      </c>
      <c r="C1050" s="10">
        <f>CHOOSE(CONTROL!$C$42, 44.3668, 44.3668) * CHOOSE(CONTROL!$C$21, $C$9, 100%, $E$9)</f>
        <v>44.366799999999998</v>
      </c>
      <c r="D1050" s="10">
        <f>CHOOSE(CONTROL!$C$42, 44.5239, 44.5239) * CHOOSE(CONTROL!$C$21, $C$9, 100%, $E$9)</f>
        <v>44.523899999999998</v>
      </c>
      <c r="E1050" s="10">
        <f>CHOOSE(CONTROL!$C$42, 44.5551, 44.5551) * CHOOSE(CONTROL!$C$21, $C$9, 100%, $E$9)</f>
        <v>44.555100000000003</v>
      </c>
      <c r="F1050" s="10">
        <f>CHOOSE(CONTROL!$C$42, 44.3032, 44.3032)*CHOOSE(CONTROL!$C$21, $C$9, 100%, $E$9)</f>
        <v>44.303199999999997</v>
      </c>
      <c r="G1050" s="10">
        <f>CHOOSE(CONTROL!$C$42, 44.3193, 44.3193)*CHOOSE(CONTROL!$C$21, $C$9, 100%, $E$9)</f>
        <v>44.319299999999998</v>
      </c>
      <c r="H1050" s="10">
        <f>CHOOSE(CONTROL!$C$42, 44.5434, 44.5434) * CHOOSE(CONTROL!$C$21, $C$9, 100%, $E$9)</f>
        <v>44.543399999999998</v>
      </c>
      <c r="I1050" s="10">
        <f>CHOOSE(CONTROL!$C$42, 44.3376, 44.3376)* CHOOSE(CONTROL!$C$21, $C$9, 100%, $E$9)</f>
        <v>44.337600000000002</v>
      </c>
      <c r="J1050" s="10">
        <f>CHOOSE(CONTROL!$C$42, 44.2958, 44.2958)* CHOOSE(CONTROL!$C$21, $C$9, 100%, $E$9)</f>
        <v>44.2958</v>
      </c>
      <c r="K1050" s="10">
        <f>CHOOSE(CONTROL!$C$42, 43.1132, 43.1132) * CHOOSE(CONTROL!$C$21, $C$9, 100%, $E$9)</f>
        <v>43.113199999999999</v>
      </c>
      <c r="L1050" s="10">
        <f>CHOOSE(CONTROL!$C$42, 45.1304, 45.1304) * CHOOSE(CONTROL!$C$21, $C$9, 100%, $E$9)</f>
        <v>45.130400000000002</v>
      </c>
      <c r="M1050" s="10">
        <f>CHOOSE(CONTROL!$C$42, 43.7108, 43.7108) * CHOOSE(CONTROL!$C$21, $C$9, 100%, $E$9)</f>
        <v>43.710799999999999</v>
      </c>
      <c r="N1050" s="10">
        <f>CHOOSE(CONTROL!$C$42, 43.7268, 43.7268) * CHOOSE(CONTROL!$C$21, $C$9, 100%, $E$9)</f>
        <v>43.726799999999997</v>
      </c>
      <c r="O1050" s="10">
        <f>CHOOSE(CONTROL!$C$42, 43.955, 43.955) * CHOOSE(CONTROL!$C$21, $C$9, 100%, $E$9)</f>
        <v>43.954999999999998</v>
      </c>
      <c r="P1050" s="10">
        <f>CHOOSE(CONTROL!$C$42, 43.7521, 43.7521) * CHOOSE(CONTROL!$C$21, $C$9, 100%, $E$9)</f>
        <v>43.752099999999999</v>
      </c>
      <c r="Q1050" s="10">
        <f>CHOOSE(CONTROL!$C$42, 44.5503, 44.5503) * CHOOSE(CONTROL!$C$21, $C$9, 100%, $E$9)</f>
        <v>44.5503</v>
      </c>
      <c r="R1050" s="10">
        <f>CHOOSE(CONTROL!$C$42, 45.2487, 45.2487) * CHOOSE(CONTROL!$C$21, $C$9, 100%, $E$9)</f>
        <v>45.248699999999999</v>
      </c>
      <c r="S1050" s="10">
        <f>CHOOSE(CONTROL!$C$42, 42.9673, 42.9673) * CHOOSE(CONTROL!$C$21, $C$9, 100%, $E$9)</f>
        <v>42.967300000000002</v>
      </c>
      <c r="T1050" s="38">
        <f>((((430000*CHOOSE(CONTROL!$C$42, 0.4694, 0.4694)+(874000-430000)*CHOOSE(CONTROL!$C$42, 0.7185, 0.7185)+400000*CHOOSE(CONTROL!$C$42, 1.14, 1.14))*CHOOSE(CONTROL!$C$42, 30, 30))/1000000))+CHOOSE(CONTROL!$C$42, 0.1573, 0.1573)+CHOOSE(CONTROL!$C$42, 0.6376, 0.6376)</f>
        <v>30.100579999999997</v>
      </c>
      <c r="U1050" s="38">
        <f>(1000*CHOOSE(CONTROL!$C$42, 695, 695)*CHOOSE(CONTROL!$C$42, 0.5599, 0.5599)*CHOOSE(CONTROL!$C$42, 30, 30))/1000000</f>
        <v>11.673914999999997</v>
      </c>
      <c r="V1050" s="38">
        <f>(1000*CHOOSE(CONTROL!$C$42, 500, 500)*CHOOSE(CONTROL!$C$42, 0.275, 0.275)*CHOOSE(CONTROL!$C$42, 30, 30))/1000000</f>
        <v>4.125</v>
      </c>
      <c r="W1050" s="38">
        <f>(1000*CHOOSE(CONTROL!$C$42, 0.1146, 0.1146)*CHOOSE(CONTROL!$C$42, 121.5, 121.5)*CHOOSE(CONTROL!$C$42, 30, 30))/1000000</f>
        <v>0.417717</v>
      </c>
      <c r="X1050" s="38">
        <f>(30*0.1790888*245000/1000000)+(30*0.2374*100000/1000000)</f>
        <v>2.0285026799999999</v>
      </c>
      <c r="Y1050" s="38">
        <f>(1000*600*CHOOSE(CONTROL!$C$42, 1.0585, 1.0585)*CHOOSE(CONTROL!$C$42, 30, 30))/1000000</f>
        <v>19.053000000000001</v>
      </c>
      <c r="Z1050" s="38"/>
      <c r="AA1050" s="10"/>
      <c r="AB1050" s="39"/>
      <c r="AC1050" s="33">
        <f>(B1050*194.205+C1050*267.466+D1050*133.845+E1050*53.484+F1050*40+G1050*185+H1050*0+I1050*100+J1050*300)/(194.205+267.466+133.845+53.484+0+40+185+100+300)</f>
        <v>44.362084887519622</v>
      </c>
      <c r="AD1050" s="27">
        <f>(M1050*'RAP TEMPLATE-GAS AVAILABILITY'!O1049+N1050*'RAP TEMPLATE-GAS AVAILABILITY'!P1049+O1050*'RAP TEMPLATE-GAS AVAILABILITY'!Q1049+P1050*'RAP TEMPLATE-GAS AVAILABILITY'!R1049)/('RAP TEMPLATE-GAS AVAILABILITY'!O1049+'RAP TEMPLATE-GAS AVAILABILITY'!P1049+'RAP TEMPLATE-GAS AVAILABILITY'!Q1049+'RAP TEMPLATE-GAS AVAILABILITY'!R1049)</f>
        <v>43.828343884892085</v>
      </c>
    </row>
    <row r="1051" spans="1:30" ht="15.75">
      <c r="A1051" s="13">
        <v>73262</v>
      </c>
      <c r="B1051" s="10">
        <f>CHOOSE(CONTROL!$C$42, 43.5076, 43.5076) * CHOOSE(CONTROL!$C$21, $C$9, 100%, $E$9)</f>
        <v>43.507599999999996</v>
      </c>
      <c r="C1051" s="10">
        <f>CHOOSE(CONTROL!$C$42, 43.5156, 43.5156) * CHOOSE(CONTROL!$C$21, $C$9, 100%, $E$9)</f>
        <v>43.515599999999999</v>
      </c>
      <c r="D1051" s="10">
        <f>CHOOSE(CONTROL!$C$42, 43.6726, 43.6726) * CHOOSE(CONTROL!$C$21, $C$9, 100%, $E$9)</f>
        <v>43.672600000000003</v>
      </c>
      <c r="E1051" s="10">
        <f>CHOOSE(CONTROL!$C$42, 43.7038, 43.7038) * CHOOSE(CONTROL!$C$21, $C$9, 100%, $E$9)</f>
        <v>43.703800000000001</v>
      </c>
      <c r="F1051" s="10">
        <f>CHOOSE(CONTROL!$C$42, 43.4522, 43.4522)*CHOOSE(CONTROL!$C$21, $C$9, 100%, $E$9)</f>
        <v>43.452199999999998</v>
      </c>
      <c r="G1051" s="10">
        <f>CHOOSE(CONTROL!$C$42, 43.4685, 43.4685)*CHOOSE(CONTROL!$C$21, $C$9, 100%, $E$9)</f>
        <v>43.468499999999999</v>
      </c>
      <c r="H1051" s="10">
        <f>CHOOSE(CONTROL!$C$42, 43.6922, 43.6922) * CHOOSE(CONTROL!$C$21, $C$9, 100%, $E$9)</f>
        <v>43.6922</v>
      </c>
      <c r="I1051" s="10">
        <f>CHOOSE(CONTROL!$C$42, 43.4863, 43.4863)* CHOOSE(CONTROL!$C$21, $C$9, 100%, $E$9)</f>
        <v>43.4863</v>
      </c>
      <c r="J1051" s="10">
        <f>CHOOSE(CONTROL!$C$42, 43.4448, 43.4448)* CHOOSE(CONTROL!$C$21, $C$9, 100%, $E$9)</f>
        <v>43.444800000000001</v>
      </c>
      <c r="K1051" s="10">
        <f>CHOOSE(CONTROL!$C$42, 42.2892, 42.2892) * CHOOSE(CONTROL!$C$21, $C$9, 100%, $E$9)</f>
        <v>42.289200000000001</v>
      </c>
      <c r="L1051" s="10">
        <f>CHOOSE(CONTROL!$C$42, 44.2792, 44.2792) * CHOOSE(CONTROL!$C$21, $C$9, 100%, $E$9)</f>
        <v>44.279200000000003</v>
      </c>
      <c r="M1051" s="10">
        <f>CHOOSE(CONTROL!$C$42, 42.8717, 42.8717) * CHOOSE(CONTROL!$C$21, $C$9, 100%, $E$9)</f>
        <v>42.871699999999997</v>
      </c>
      <c r="N1051" s="10">
        <f>CHOOSE(CONTROL!$C$42, 42.8878, 42.8878) * CHOOSE(CONTROL!$C$21, $C$9, 100%, $E$9)</f>
        <v>42.887799999999999</v>
      </c>
      <c r="O1051" s="10">
        <f>CHOOSE(CONTROL!$C$42, 43.1156, 43.1156) * CHOOSE(CONTROL!$C$21, $C$9, 100%, $E$9)</f>
        <v>43.115600000000001</v>
      </c>
      <c r="P1051" s="10">
        <f>CHOOSE(CONTROL!$C$42, 42.9127, 42.9127) * CHOOSE(CONTROL!$C$21, $C$9, 100%, $E$9)</f>
        <v>42.912700000000001</v>
      </c>
      <c r="Q1051" s="10">
        <f>CHOOSE(CONTROL!$C$42, 43.7109, 43.7109) * CHOOSE(CONTROL!$C$21, $C$9, 100%, $E$9)</f>
        <v>43.710900000000002</v>
      </c>
      <c r="R1051" s="10">
        <f>CHOOSE(CONTROL!$C$42, 44.4072, 44.4072) * CHOOSE(CONTROL!$C$21, $C$9, 100%, $E$9)</f>
        <v>44.407200000000003</v>
      </c>
      <c r="S1051" s="10">
        <f>CHOOSE(CONTROL!$C$42, 42.143, 42.143) * CHOOSE(CONTROL!$C$21, $C$9, 100%, $E$9)</f>
        <v>42.143000000000001</v>
      </c>
      <c r="T1051" s="38">
        <f>((((430000*CHOOSE(CONTROL!$C$42, 0.4694, 0.4694)+(874000-430000)*CHOOSE(CONTROL!$C$42, 0.7185, 0.7185)+400000*CHOOSE(CONTROL!$C$42, 1.14, 1.14))*CHOOSE(CONTROL!$C$42, 31, 31))/1000000))+CHOOSE(CONTROL!$C$42, 0.1519, 0.1519)+CHOOSE(CONTROL!$C$42, 0.626, 0.626)</f>
        <v>31.060436000000003</v>
      </c>
      <c r="U1051" s="38">
        <f>(1000*CHOOSE(CONTROL!$C$42, 695, 695)*CHOOSE(CONTROL!$C$42, 0.5599, 0.5599)*CHOOSE(CONTROL!$C$42, 31, 31))/1000000</f>
        <v>12.063045499999998</v>
      </c>
      <c r="V1051" s="38">
        <f>(1000*CHOOSE(CONTROL!$C$42, 500, 500)*CHOOSE(CONTROL!$C$42, 0.275, 0.275)*CHOOSE(CONTROL!$C$42, 31, 31))/1000000</f>
        <v>4.2625000000000002</v>
      </c>
      <c r="W1051" s="38">
        <f>(1000*CHOOSE(CONTROL!$C$42, 0.1146, 0.1146)*CHOOSE(CONTROL!$C$42, 121.5, 121.5)*CHOOSE(CONTROL!$C$42, 31, 31))/1000000</f>
        <v>0.43164089999999994</v>
      </c>
      <c r="X1051" s="38">
        <f>(31*0.1790888*245000/1000000)+(31*0.2374*100000/1000000)</f>
        <v>2.0961194359999999</v>
      </c>
      <c r="Y1051" s="38">
        <f>(1000*600*CHOOSE(CONTROL!$C$42, 1.0585, 1.0585)*CHOOSE(CONTROL!$C$42, 31, 31))/1000000</f>
        <v>19.688099999999999</v>
      </c>
      <c r="Z1051" s="38"/>
      <c r="AA1051" s="10"/>
      <c r="AB1051" s="39"/>
      <c r="AC1051" s="33">
        <f>(B1051*194.205+C1051*267.466+D1051*133.845+E1051*53.484+F1051*40+G1051*185+H1051*0+I1051*100+J1051*300)/(194.205+267.466+133.845+53.484+0+40+185+100+300)</f>
        <v>43.510973794191521</v>
      </c>
      <c r="AD1051" s="27">
        <f>(M1051*'RAP TEMPLATE-GAS AVAILABILITY'!O1050+N1051*'RAP TEMPLATE-GAS AVAILABILITY'!P1050+O1051*'RAP TEMPLATE-GAS AVAILABILITY'!Q1050+P1051*'RAP TEMPLATE-GAS AVAILABILITY'!R1050)/('RAP TEMPLATE-GAS AVAILABILITY'!O1050+'RAP TEMPLATE-GAS AVAILABILITY'!P1050+'RAP TEMPLATE-GAS AVAILABILITY'!Q1050+'RAP TEMPLATE-GAS AVAILABILITY'!R1050)</f>
        <v>42.989070503597119</v>
      </c>
    </row>
    <row r="1052" spans="1:30" ht="15.75">
      <c r="A1052" s="13">
        <v>73293</v>
      </c>
      <c r="B1052" s="10">
        <f>CHOOSE(CONTROL!$C$42, 41.3578, 41.3578) * CHOOSE(CONTROL!$C$21, $C$9, 100%, $E$9)</f>
        <v>41.357799999999997</v>
      </c>
      <c r="C1052" s="10">
        <f>CHOOSE(CONTROL!$C$42, 41.3658, 41.3658) * CHOOSE(CONTROL!$C$21, $C$9, 100%, $E$9)</f>
        <v>41.3658</v>
      </c>
      <c r="D1052" s="10">
        <f>CHOOSE(CONTROL!$C$42, 41.5229, 41.5229) * CHOOSE(CONTROL!$C$21, $C$9, 100%, $E$9)</f>
        <v>41.5229</v>
      </c>
      <c r="E1052" s="10">
        <f>CHOOSE(CONTROL!$C$42, 41.5541, 41.5541) * CHOOSE(CONTROL!$C$21, $C$9, 100%, $E$9)</f>
        <v>41.554099999999998</v>
      </c>
      <c r="F1052" s="10">
        <f>CHOOSE(CONTROL!$C$42, 41.3024, 41.3024)*CHOOSE(CONTROL!$C$21, $C$9, 100%, $E$9)</f>
        <v>41.302399999999999</v>
      </c>
      <c r="G1052" s="10">
        <f>CHOOSE(CONTROL!$C$42, 41.3186, 41.3186)*CHOOSE(CONTROL!$C$21, $C$9, 100%, $E$9)</f>
        <v>41.318600000000004</v>
      </c>
      <c r="H1052" s="10">
        <f>CHOOSE(CONTROL!$C$42, 41.5424, 41.5424) * CHOOSE(CONTROL!$C$21, $C$9, 100%, $E$9)</f>
        <v>41.542400000000001</v>
      </c>
      <c r="I1052" s="10">
        <f>CHOOSE(CONTROL!$C$42, 41.3366, 41.3366)* CHOOSE(CONTROL!$C$21, $C$9, 100%, $E$9)</f>
        <v>41.336599999999997</v>
      </c>
      <c r="J1052" s="10">
        <f>CHOOSE(CONTROL!$C$42, 41.295, 41.295)* CHOOSE(CONTROL!$C$21, $C$9, 100%, $E$9)</f>
        <v>41.295000000000002</v>
      </c>
      <c r="K1052" s="10">
        <f>CHOOSE(CONTROL!$C$42, 40.2064, 40.2064) * CHOOSE(CONTROL!$C$21, $C$9, 100%, $E$9)</f>
        <v>40.206400000000002</v>
      </c>
      <c r="L1052" s="10">
        <f>CHOOSE(CONTROL!$C$42, 42.1294, 42.1294) * CHOOSE(CONTROL!$C$21, $C$9, 100%, $E$9)</f>
        <v>42.129399999999997</v>
      </c>
      <c r="M1052" s="10">
        <f>CHOOSE(CONTROL!$C$42, 40.7519, 40.7519) * CHOOSE(CONTROL!$C$21, $C$9, 100%, $E$9)</f>
        <v>40.751899999999999</v>
      </c>
      <c r="N1052" s="10">
        <f>CHOOSE(CONTROL!$C$42, 40.7679, 40.7679) * CHOOSE(CONTROL!$C$21, $C$9, 100%, $E$9)</f>
        <v>40.767899999999997</v>
      </c>
      <c r="O1052" s="10">
        <f>CHOOSE(CONTROL!$C$42, 40.9959, 40.9959) * CHOOSE(CONTROL!$C$21, $C$9, 100%, $E$9)</f>
        <v>40.995899999999999</v>
      </c>
      <c r="P1052" s="10">
        <f>CHOOSE(CONTROL!$C$42, 40.793, 40.793) * CHOOSE(CONTROL!$C$21, $C$9, 100%, $E$9)</f>
        <v>40.792999999999999</v>
      </c>
      <c r="Q1052" s="10">
        <f>CHOOSE(CONTROL!$C$42, 41.5912, 41.5912) * CHOOSE(CONTROL!$C$21, $C$9, 100%, $E$9)</f>
        <v>41.591200000000001</v>
      </c>
      <c r="R1052" s="10">
        <f>CHOOSE(CONTROL!$C$42, 42.2821, 42.2821) * CHOOSE(CONTROL!$C$21, $C$9, 100%, $E$9)</f>
        <v>42.2821</v>
      </c>
      <c r="S1052" s="10">
        <f>CHOOSE(CONTROL!$C$42, 40.0614, 40.0614) * CHOOSE(CONTROL!$C$21, $C$9, 100%, $E$9)</f>
        <v>40.061399999999999</v>
      </c>
      <c r="T1052" s="38">
        <f>((((430000*CHOOSE(CONTROL!$C$42, 0.4694, 0.4694)+(874000-430000)*CHOOSE(CONTROL!$C$42, 0.7185, 0.7185)+400000*CHOOSE(CONTROL!$C$42, 1.14, 1.14))*CHOOSE(CONTROL!$C$42, 31, 31))/1000000))+CHOOSE(CONTROL!$C$42, 0.1868, 0.1868)+CHOOSE(CONTROL!$C$42, 0.6257, 0.6257)</f>
        <v>31.095036</v>
      </c>
      <c r="U1052" s="38">
        <f>(1000*CHOOSE(CONTROL!$C$42, 695, 695)*CHOOSE(CONTROL!$C$42, 0.5599, 0.5599)*CHOOSE(CONTROL!$C$42, 31, 31))/1000000</f>
        <v>12.063045499999998</v>
      </c>
      <c r="V1052" s="38">
        <f>(1000*CHOOSE(CONTROL!$C$42, 500, 500)*CHOOSE(CONTROL!$C$42, 0.275, 0.275)*CHOOSE(CONTROL!$C$42, 31, 31))/1000000</f>
        <v>4.2625000000000002</v>
      </c>
      <c r="W1052" s="38">
        <f>(1000*CHOOSE(CONTROL!$C$42, 0.1146, 0.1146)*CHOOSE(CONTROL!$C$42, 121.5, 121.5)*CHOOSE(CONTROL!$C$42, 31, 31))/1000000</f>
        <v>0.43164089999999994</v>
      </c>
      <c r="X1052" s="38">
        <f>(31*0.1790888*245000/1000000)+(31*0.2374*100000/1000000)</f>
        <v>2.0961194359999999</v>
      </c>
      <c r="Y1052" s="38">
        <f>(1000*600*CHOOSE(CONTROL!$C$42, 1.0585, 1.0585)*CHOOSE(CONTROL!$C$42, 31, 31))/1000000</f>
        <v>19.688099999999999</v>
      </c>
      <c r="Z1052" s="38"/>
      <c r="AA1052" s="10"/>
      <c r="AB1052" s="39"/>
      <c r="AC1052" s="33">
        <f>(B1052*194.205+C1052*267.466+D1052*133.845+E1052*53.484+F1052*40+G1052*185+H1052*0+I1052*100+J1052*300)/(194.205+267.466+133.845+53.484+0+40+185+100+300)</f>
        <v>41.36118182629513</v>
      </c>
      <c r="AD1052" s="27">
        <f>(M1052*'RAP TEMPLATE-GAS AVAILABILITY'!O1051+N1052*'RAP TEMPLATE-GAS AVAILABILITY'!P1051+O1052*'RAP TEMPLATE-GAS AVAILABILITY'!Q1051+P1052*'RAP TEMPLATE-GAS AVAILABILITY'!R1051)/('RAP TEMPLATE-GAS AVAILABILITY'!O1051+'RAP TEMPLATE-GAS AVAILABILITY'!P1051+'RAP TEMPLATE-GAS AVAILABILITY'!Q1051+'RAP TEMPLATE-GAS AVAILABILITY'!R1051)</f>
        <v>40.869324460431656</v>
      </c>
    </row>
    <row r="1053" spans="1:30" ht="15.75">
      <c r="A1053" s="13">
        <v>73323</v>
      </c>
      <c r="B1053" s="10">
        <f>CHOOSE(CONTROL!$C$42, 38.7312, 38.7312) * CHOOSE(CONTROL!$C$21, $C$9, 100%, $E$9)</f>
        <v>38.731200000000001</v>
      </c>
      <c r="C1053" s="10">
        <f>CHOOSE(CONTROL!$C$42, 38.7392, 38.7392) * CHOOSE(CONTROL!$C$21, $C$9, 100%, $E$9)</f>
        <v>38.739199999999997</v>
      </c>
      <c r="D1053" s="10">
        <f>CHOOSE(CONTROL!$C$42, 38.8963, 38.8963) * CHOOSE(CONTROL!$C$21, $C$9, 100%, $E$9)</f>
        <v>38.896299999999997</v>
      </c>
      <c r="E1053" s="10">
        <f>CHOOSE(CONTROL!$C$42, 38.9275, 38.9275) * CHOOSE(CONTROL!$C$21, $C$9, 100%, $E$9)</f>
        <v>38.927500000000002</v>
      </c>
      <c r="F1053" s="10">
        <f>CHOOSE(CONTROL!$C$42, 38.6756, 38.6756)*CHOOSE(CONTROL!$C$21, $C$9, 100%, $E$9)</f>
        <v>38.675600000000003</v>
      </c>
      <c r="G1053" s="10">
        <f>CHOOSE(CONTROL!$C$42, 38.6918, 38.6918)*CHOOSE(CONTROL!$C$21, $C$9, 100%, $E$9)</f>
        <v>38.691800000000001</v>
      </c>
      <c r="H1053" s="10">
        <f>CHOOSE(CONTROL!$C$42, 38.9158, 38.9158) * CHOOSE(CONTROL!$C$21, $C$9, 100%, $E$9)</f>
        <v>38.915799999999997</v>
      </c>
      <c r="I1053" s="10">
        <f>CHOOSE(CONTROL!$C$42, 38.71, 38.71)* CHOOSE(CONTROL!$C$21, $C$9, 100%, $E$9)</f>
        <v>38.71</v>
      </c>
      <c r="J1053" s="10">
        <f>CHOOSE(CONTROL!$C$42, 38.6682, 38.6682)* CHOOSE(CONTROL!$C$21, $C$9, 100%, $E$9)</f>
        <v>38.668199999999999</v>
      </c>
      <c r="K1053" s="10">
        <f>CHOOSE(CONTROL!$C$42, 37.6614, 37.6614) * CHOOSE(CONTROL!$C$21, $C$9, 100%, $E$9)</f>
        <v>37.6614</v>
      </c>
      <c r="L1053" s="10">
        <f>CHOOSE(CONTROL!$C$42, 39.5028, 39.5028) * CHOOSE(CONTROL!$C$21, $C$9, 100%, $E$9)</f>
        <v>39.502800000000001</v>
      </c>
      <c r="M1053" s="10">
        <f>CHOOSE(CONTROL!$C$42, 38.1618, 38.1618) * CHOOSE(CONTROL!$C$21, $C$9, 100%, $E$9)</f>
        <v>38.161799999999999</v>
      </c>
      <c r="N1053" s="10">
        <f>CHOOSE(CONTROL!$C$42, 38.1777, 38.1777) * CHOOSE(CONTROL!$C$21, $C$9, 100%, $E$9)</f>
        <v>38.177700000000002</v>
      </c>
      <c r="O1053" s="10">
        <f>CHOOSE(CONTROL!$C$42, 38.4059, 38.4059) * CHOOSE(CONTROL!$C$21, $C$9, 100%, $E$9)</f>
        <v>38.405900000000003</v>
      </c>
      <c r="P1053" s="10">
        <f>CHOOSE(CONTROL!$C$42, 38.203, 38.203) * CHOOSE(CONTROL!$C$21, $C$9, 100%, $E$9)</f>
        <v>38.203000000000003</v>
      </c>
      <c r="Q1053" s="10">
        <f>CHOOSE(CONTROL!$C$42, 39.0012, 39.0012) * CHOOSE(CONTROL!$C$21, $C$9, 100%, $E$9)</f>
        <v>39.001199999999997</v>
      </c>
      <c r="R1053" s="10">
        <f>CHOOSE(CONTROL!$C$42, 39.6857, 39.6857) * CHOOSE(CONTROL!$C$21, $C$9, 100%, $E$9)</f>
        <v>39.685699999999997</v>
      </c>
      <c r="S1053" s="10">
        <f>CHOOSE(CONTROL!$C$42, 37.518, 37.518) * CHOOSE(CONTROL!$C$21, $C$9, 100%, $E$9)</f>
        <v>37.518000000000001</v>
      </c>
      <c r="T1053" s="38">
        <f>((((430000*CHOOSE(CONTROL!$C$42, 0.4694, 0.4694)+(874000-430000)*CHOOSE(CONTROL!$C$42, 0.7185, 0.7185)+400000*CHOOSE(CONTROL!$C$42, 1.14, 1.14))*CHOOSE(CONTROL!$C$42, 30, 30))/1000000))+CHOOSE(CONTROL!$C$42, 0.1677, 0.1677)+CHOOSE(CONTROL!$C$42, 0.1997, 0.1997)</f>
        <v>29.673079999999999</v>
      </c>
      <c r="U1053" s="38">
        <f>(1000*CHOOSE(CONTROL!$C$42, 695, 695)*CHOOSE(CONTROL!$C$42, 0.5599, 0.5599)*CHOOSE(CONTROL!$C$42, 30, 30))/1000000</f>
        <v>11.673914999999997</v>
      </c>
      <c r="V1053" s="38">
        <f>(1000*CHOOSE(CONTROL!$C$42, 500, 500)*CHOOSE(CONTROL!$C$42, 0.275, 0.275)*CHOOSE(CONTROL!$C$42, 30, 30))/1000000</f>
        <v>4.125</v>
      </c>
      <c r="W1053" s="38">
        <f>(1000*CHOOSE(CONTROL!$C$42, 0.1146, 0.1146)*CHOOSE(CONTROL!$C$42, 121.5, 121.5)*CHOOSE(CONTROL!$C$42, 30, 30))/1000000</f>
        <v>0.417717</v>
      </c>
      <c r="X1053" s="38">
        <f>(30*0.1790888*245000/1000000)+(30*0.2374*100000/1000000)</f>
        <v>2.0285026799999999</v>
      </c>
      <c r="Y1053" s="38">
        <f>(1000*600*CHOOSE(CONTROL!$C$42, 1.0585, 1.0585)*CHOOSE(CONTROL!$C$42, 30, 30))/1000000</f>
        <v>19.053000000000001</v>
      </c>
      <c r="Z1053" s="38"/>
      <c r="AA1053" s="10"/>
      <c r="AB1053" s="39"/>
      <c r="AC1053" s="33">
        <f>(B1053*194.205+C1053*267.466+D1053*133.845+E1053*53.484+F1053*40+G1053*185+H1053*0+I1053*100+J1053*300)/(194.205+267.466+133.845+53.484+0+40+185+100+300)</f>
        <v>38.734499408712715</v>
      </c>
      <c r="AD1053" s="27">
        <f>(M1053*'RAP TEMPLATE-GAS AVAILABILITY'!O1052+N1053*'RAP TEMPLATE-GAS AVAILABILITY'!P1052+O1053*'RAP TEMPLATE-GAS AVAILABILITY'!Q1052+P1053*'RAP TEMPLATE-GAS AVAILABILITY'!R1052)/('RAP TEMPLATE-GAS AVAILABILITY'!O1052+'RAP TEMPLATE-GAS AVAILABILITY'!P1052+'RAP TEMPLATE-GAS AVAILABILITY'!Q1052+'RAP TEMPLATE-GAS AVAILABILITY'!R1052)</f>
        <v>38.279278417266184</v>
      </c>
    </row>
    <row r="1054" spans="1:30" ht="15.75">
      <c r="A1054" s="13">
        <v>73354</v>
      </c>
      <c r="B1054" s="10">
        <f>CHOOSE(CONTROL!$C$42, 37.9424, 37.9424) * CHOOSE(CONTROL!$C$21, $C$9, 100%, $E$9)</f>
        <v>37.942399999999999</v>
      </c>
      <c r="C1054" s="10">
        <f>CHOOSE(CONTROL!$C$42, 37.9477, 37.9477) * CHOOSE(CONTROL!$C$21, $C$9, 100%, $E$9)</f>
        <v>37.947699999999998</v>
      </c>
      <c r="D1054" s="10">
        <f>CHOOSE(CONTROL!$C$42, 38.1096, 38.1096) * CHOOSE(CONTROL!$C$21, $C$9, 100%, $E$9)</f>
        <v>38.1096</v>
      </c>
      <c r="E1054" s="10">
        <f>CHOOSE(CONTROL!$C$42, 38.1386, 38.1386) * CHOOSE(CONTROL!$C$21, $C$9, 100%, $E$9)</f>
        <v>38.138599999999997</v>
      </c>
      <c r="F1054" s="10">
        <f>CHOOSE(CONTROL!$C$42, 37.8888, 37.8888)*CHOOSE(CONTROL!$C$21, $C$9, 100%, $E$9)</f>
        <v>37.888800000000003</v>
      </c>
      <c r="G1054" s="10">
        <f>CHOOSE(CONTROL!$C$42, 37.9046, 37.9046)*CHOOSE(CONTROL!$C$21, $C$9, 100%, $E$9)</f>
        <v>37.904600000000002</v>
      </c>
      <c r="H1054" s="10">
        <f>CHOOSE(CONTROL!$C$42, 38.1287, 38.1287) * CHOOSE(CONTROL!$C$21, $C$9, 100%, $E$9)</f>
        <v>38.128700000000002</v>
      </c>
      <c r="I1054" s="10">
        <f>CHOOSE(CONTROL!$C$42, 37.9229, 37.9229)* CHOOSE(CONTROL!$C$21, $C$9, 100%, $E$9)</f>
        <v>37.922899999999998</v>
      </c>
      <c r="J1054" s="10">
        <f>CHOOSE(CONTROL!$C$42, 37.8814, 37.8814)* CHOOSE(CONTROL!$C$21, $C$9, 100%, $E$9)</f>
        <v>37.881399999999999</v>
      </c>
      <c r="K1054" s="10">
        <f>CHOOSE(CONTROL!$C$42, 36.8994, 36.8994) * CHOOSE(CONTROL!$C$21, $C$9, 100%, $E$9)</f>
        <v>36.8994</v>
      </c>
      <c r="L1054" s="10">
        <f>CHOOSE(CONTROL!$C$42, 38.7157, 38.7157) * CHOOSE(CONTROL!$C$21, $C$9, 100%, $E$9)</f>
        <v>38.715699999999998</v>
      </c>
      <c r="M1054" s="10">
        <f>CHOOSE(CONTROL!$C$42, 37.3859, 37.3859) * CHOOSE(CONTROL!$C$21, $C$9, 100%, $E$9)</f>
        <v>37.385899999999999</v>
      </c>
      <c r="N1054" s="10">
        <f>CHOOSE(CONTROL!$C$42, 37.4015, 37.4015) * CHOOSE(CONTROL!$C$21, $C$9, 100%, $E$9)</f>
        <v>37.401499999999999</v>
      </c>
      <c r="O1054" s="10">
        <f>CHOOSE(CONTROL!$C$42, 37.6298, 37.6298) * CHOOSE(CONTROL!$C$21, $C$9, 100%, $E$9)</f>
        <v>37.629800000000003</v>
      </c>
      <c r="P1054" s="10">
        <f>CHOOSE(CONTROL!$C$42, 37.4269, 37.4269) * CHOOSE(CONTROL!$C$21, $C$9, 100%, $E$9)</f>
        <v>37.426900000000003</v>
      </c>
      <c r="Q1054" s="10">
        <f>CHOOSE(CONTROL!$C$42, 38.2251, 38.2251) * CHOOSE(CONTROL!$C$21, $C$9, 100%, $E$9)</f>
        <v>38.225099999999998</v>
      </c>
      <c r="R1054" s="10">
        <f>CHOOSE(CONTROL!$C$42, 38.9076, 38.9076) * CHOOSE(CONTROL!$C$21, $C$9, 100%, $E$9)</f>
        <v>38.907600000000002</v>
      </c>
      <c r="S1054" s="10">
        <f>CHOOSE(CONTROL!$C$42, 36.7559, 36.7559) * CHOOSE(CONTROL!$C$21, $C$9, 100%, $E$9)</f>
        <v>36.755899999999997</v>
      </c>
      <c r="T1054" s="38">
        <f>(((280000*CHOOSE(CONTROL!$C$42, 0.4694, 0.4694)+(839000-280000)*CHOOSE(CONTROL!$C$42, 0.7185, 0.7185)+400000*CHOOSE(CONTROL!$C$42, 1.14, 1.14))*CHOOSE(CONTROL!$C$42, 31, 31))/1000000)+CHOOSE(CONTROL!$C$42, 0.1676, 0.1676)+CHOOSE(CONTROL!$C$42, 0.42, 0.42)</f>
        <v>31.248878500000004</v>
      </c>
      <c r="U1054" s="38">
        <f>(1000*CHOOSE(CONTROL!$C$42, 695, 695)*CHOOSE(CONTROL!$C$42, 0.5599, 0.5599)*CHOOSE(CONTROL!$C$42, 31, 31))/1000000</f>
        <v>12.063045499999998</v>
      </c>
      <c r="V1054" s="38">
        <f>(1000*CHOOSE(CONTROL!$C$42, 500, 500)*CHOOSE(CONTROL!$C$42, 0.275, 0.275)*CHOOSE(CONTROL!$C$42, 31, 31))/1000000</f>
        <v>4.2625000000000002</v>
      </c>
      <c r="W1054" s="38">
        <f>(1000*CHOOSE(CONTROL!$C$42, 0.1146, 0.1146)*CHOOSE(CONTROL!$C$42, 121.5, 121.5)*CHOOSE(CONTROL!$C$42, 31, 31))/1000000</f>
        <v>0.43164089999999994</v>
      </c>
      <c r="X1054" s="38">
        <f>(31*0.1790888*245000/1000000)+(31*0.2374*100000/1000000)</f>
        <v>2.0961194359999999</v>
      </c>
      <c r="Y1054" s="38">
        <f>(1000*600*CHOOSE(CONTROL!$C$42, 1.0585, 1.0585)*CHOOSE(CONTROL!$C$42, 31, 31))/1000000</f>
        <v>19.688099999999999</v>
      </c>
      <c r="Z1054" s="38"/>
      <c r="AA1054" s="10"/>
      <c r="AB1054" s="39"/>
      <c r="AC1054" s="33">
        <f>(B1054*131.881+C1054*277.167+D1054*79.08+E1054*125.872+F1054*40+G1054*185+H1054*0+I1054*100+J1054*300)/(131.881+277.167+79.08+125.872+0+40+185+100+300)</f>
        <v>37.950471224778042</v>
      </c>
      <c r="AD1054" s="27">
        <f>(M1054*'RAP TEMPLATE-GAS AVAILABILITY'!O1053+N1054*'RAP TEMPLATE-GAS AVAILABILITY'!P1053+O1054*'RAP TEMPLATE-GAS AVAILABILITY'!Q1053+P1054*'RAP TEMPLATE-GAS AVAILABILITY'!R1053)/('RAP TEMPLATE-GAS AVAILABILITY'!O1053+'RAP TEMPLATE-GAS AVAILABILITY'!P1053+'RAP TEMPLATE-GAS AVAILABILITY'!Q1053+'RAP TEMPLATE-GAS AVAILABILITY'!R1053)</f>
        <v>37.503241726618711</v>
      </c>
    </row>
    <row r="1055" spans="1:30" ht="15.75">
      <c r="A1055" s="13">
        <v>73384</v>
      </c>
      <c r="B1055" s="10">
        <f>CHOOSE(CONTROL!$C$42, 38.942, 38.942) * CHOOSE(CONTROL!$C$21, $C$9, 100%, $E$9)</f>
        <v>38.942</v>
      </c>
      <c r="C1055" s="10">
        <f>CHOOSE(CONTROL!$C$42, 38.9471, 38.9471) * CHOOSE(CONTROL!$C$21, $C$9, 100%, $E$9)</f>
        <v>38.947099999999999</v>
      </c>
      <c r="D1055" s="10">
        <f>CHOOSE(CONTROL!$C$42, 38.9717, 38.9717) * CHOOSE(CONTROL!$C$21, $C$9, 100%, $E$9)</f>
        <v>38.971699999999998</v>
      </c>
      <c r="E1055" s="10">
        <f>CHOOSE(CONTROL!$C$42, 39.0055, 39.0055) * CHOOSE(CONTROL!$C$21, $C$9, 100%, $E$9)</f>
        <v>39.005499999999998</v>
      </c>
      <c r="F1055" s="10">
        <f>CHOOSE(CONTROL!$C$42, 38.9103, 38.9103)*CHOOSE(CONTROL!$C$21, $C$9, 100%, $E$9)</f>
        <v>38.910299999999999</v>
      </c>
      <c r="G1055" s="10">
        <f>CHOOSE(CONTROL!$C$42, 38.9263, 38.9263)*CHOOSE(CONTROL!$C$21, $C$9, 100%, $E$9)</f>
        <v>38.926299999999998</v>
      </c>
      <c r="H1055" s="10">
        <f>CHOOSE(CONTROL!$C$42, 38.9944, 38.9944) * CHOOSE(CONTROL!$C$21, $C$9, 100%, $E$9)</f>
        <v>38.994399999999999</v>
      </c>
      <c r="I1055" s="10">
        <f>CHOOSE(CONTROL!$C$42, 38.9569, 38.9569)* CHOOSE(CONTROL!$C$21, $C$9, 100%, $E$9)</f>
        <v>38.956899999999997</v>
      </c>
      <c r="J1055" s="10">
        <f>CHOOSE(CONTROL!$C$42, 38.9029, 38.9029)* CHOOSE(CONTROL!$C$21, $C$9, 100%, $E$9)</f>
        <v>38.902900000000002</v>
      </c>
      <c r="K1055" s="10">
        <f>CHOOSE(CONTROL!$C$42, 37.9035, 37.9035) * CHOOSE(CONTROL!$C$21, $C$9, 100%, $E$9)</f>
        <v>37.903500000000001</v>
      </c>
      <c r="L1055" s="10">
        <f>CHOOSE(CONTROL!$C$42, 39.5814, 39.5814) * CHOOSE(CONTROL!$C$21, $C$9, 100%, $E$9)</f>
        <v>39.581400000000002</v>
      </c>
      <c r="M1055" s="10">
        <f>CHOOSE(CONTROL!$C$42, 38.3932, 38.3932) * CHOOSE(CONTROL!$C$21, $C$9, 100%, $E$9)</f>
        <v>38.3932</v>
      </c>
      <c r="N1055" s="10">
        <f>CHOOSE(CONTROL!$C$42, 38.409, 38.409) * CHOOSE(CONTROL!$C$21, $C$9, 100%, $E$9)</f>
        <v>38.408999999999999</v>
      </c>
      <c r="O1055" s="10">
        <f>CHOOSE(CONTROL!$C$42, 38.4834, 38.4834) * CHOOSE(CONTROL!$C$21, $C$9, 100%, $E$9)</f>
        <v>38.483400000000003</v>
      </c>
      <c r="P1055" s="10">
        <f>CHOOSE(CONTROL!$C$42, 38.4465, 38.4465) * CHOOSE(CONTROL!$C$21, $C$9, 100%, $E$9)</f>
        <v>38.4465</v>
      </c>
      <c r="Q1055" s="10">
        <f>CHOOSE(CONTROL!$C$42, 39.0787, 39.0787) * CHOOSE(CONTROL!$C$21, $C$9, 100%, $E$9)</f>
        <v>39.078699999999998</v>
      </c>
      <c r="R1055" s="10">
        <f>CHOOSE(CONTROL!$C$42, 39.7634, 39.7634) * CHOOSE(CONTROL!$C$21, $C$9, 100%, $E$9)</f>
        <v>39.763399999999997</v>
      </c>
      <c r="S1055" s="10">
        <f>CHOOSE(CONTROL!$C$42, 37.7242, 37.7242) * CHOOSE(CONTROL!$C$21, $C$9, 100%, $E$9)</f>
        <v>37.724200000000003</v>
      </c>
      <c r="T1055" s="38">
        <f>(((255000*CHOOSE(CONTROL!$C$42, 0.4694, 0.4694)+(750000-255000)*CHOOSE(CONTROL!$C$42, 0.7185, 0.7185)+400000*CHOOSE(CONTROL!$C$42, 1.14, 1.14))*CHOOSE(CONTROL!$C$42, 30, 30))/1000000)+CHOOSE(CONTROL!$C$42, 0.1398, 0.1398)+CHOOSE(CONTROL!$C$42, 0.2974, 0.2974)</f>
        <v>28.377835000000001</v>
      </c>
      <c r="U1055" s="38">
        <f>(1000*CHOOSE(CONTROL!$C$42, 695, 695)*CHOOSE(CONTROL!$C$42, 0.5599, 0.5599)*CHOOSE(CONTROL!$C$42, 30, 30))/1000000</f>
        <v>11.673914999999997</v>
      </c>
      <c r="V1055" s="38">
        <f>(1000*CHOOSE(CONTROL!$C$42, 500, 500)*CHOOSE(CONTROL!$C$42, 0.275, 0.275)*CHOOSE(CONTROL!$C$42, 30, 30))/1000000</f>
        <v>4.125</v>
      </c>
      <c r="W1055" s="38">
        <f>(1000*CHOOSE(CONTROL!$C$42, 0.1146, 0.1146)*CHOOSE(CONTROL!$C$42, 121.5, 121.5)*CHOOSE(CONTROL!$C$42, 30, 30))/1000000</f>
        <v>0.417717</v>
      </c>
      <c r="X1055" s="38">
        <f>(30*0.1790888*100000/1000000)+(30*0.2374*100000/1000000)</f>
        <v>1.2494664</v>
      </c>
      <c r="Y1055" s="38">
        <f>(1000*600*CHOOSE(CONTROL!$C$42, 1.0585, 1.0585)*CHOOSE(CONTROL!$C$42, 30, 30))/1000000</f>
        <v>19.053000000000001</v>
      </c>
      <c r="Z1055" s="38"/>
      <c r="AA1055" s="10"/>
      <c r="AB1055" s="39"/>
      <c r="AC1055" s="33">
        <f>(B1055*122.58+C1055*297.941+D1055*89.177+E1055*40.302+F1055*40+G1055*160+H1055*0+I1055*100+J1055*300)/(122.58+297.941+89.177+40.302+0+40+160+100+300)</f>
        <v>38.935658463478255</v>
      </c>
      <c r="AD1055" s="27">
        <f>(M1055*'RAP TEMPLATE-GAS AVAILABILITY'!O1054+N1055*'RAP TEMPLATE-GAS AVAILABILITY'!P1054+O1055*'RAP TEMPLATE-GAS AVAILABILITY'!Q1054+P1055*'RAP TEMPLATE-GAS AVAILABILITY'!R1054)/('RAP TEMPLATE-GAS AVAILABILITY'!O1054+'RAP TEMPLATE-GAS AVAILABILITY'!P1054+'RAP TEMPLATE-GAS AVAILABILITY'!Q1054+'RAP TEMPLATE-GAS AVAILABILITY'!R1054)</f>
        <v>38.44266043165468</v>
      </c>
    </row>
    <row r="1056" spans="1:30" ht="15.75">
      <c r="A1056" s="13">
        <v>73415</v>
      </c>
      <c r="B1056" s="10">
        <f>CHOOSE(CONTROL!$C$42, 41.5981, 41.5981) * CHOOSE(CONTROL!$C$21, $C$9, 100%, $E$9)</f>
        <v>41.598100000000002</v>
      </c>
      <c r="C1056" s="10">
        <f>CHOOSE(CONTROL!$C$42, 41.6032, 41.6032) * CHOOSE(CONTROL!$C$21, $C$9, 100%, $E$9)</f>
        <v>41.603200000000001</v>
      </c>
      <c r="D1056" s="10">
        <f>CHOOSE(CONTROL!$C$42, 41.6279, 41.6279) * CHOOSE(CONTROL!$C$21, $C$9, 100%, $E$9)</f>
        <v>41.627899999999997</v>
      </c>
      <c r="E1056" s="10">
        <f>CHOOSE(CONTROL!$C$42, 41.6617, 41.6617) * CHOOSE(CONTROL!$C$21, $C$9, 100%, $E$9)</f>
        <v>41.661700000000003</v>
      </c>
      <c r="F1056" s="10">
        <f>CHOOSE(CONTROL!$C$42, 41.5684, 41.5684)*CHOOSE(CONTROL!$C$21, $C$9, 100%, $E$9)</f>
        <v>41.568399999999997</v>
      </c>
      <c r="G1056" s="10">
        <f>CHOOSE(CONTROL!$C$42, 41.5848, 41.5848)*CHOOSE(CONTROL!$C$21, $C$9, 100%, $E$9)</f>
        <v>41.584800000000001</v>
      </c>
      <c r="H1056" s="10">
        <f>CHOOSE(CONTROL!$C$42, 41.6506, 41.6506) * CHOOSE(CONTROL!$C$21, $C$9, 100%, $E$9)</f>
        <v>41.650599999999997</v>
      </c>
      <c r="I1056" s="10">
        <f>CHOOSE(CONTROL!$C$42, 41.6131, 41.6131)* CHOOSE(CONTROL!$C$21, $C$9, 100%, $E$9)</f>
        <v>41.613100000000003</v>
      </c>
      <c r="J1056" s="10">
        <f>CHOOSE(CONTROL!$C$42, 41.561, 41.561)* CHOOSE(CONTROL!$C$21, $C$9, 100%, $E$9)</f>
        <v>41.561</v>
      </c>
      <c r="K1056" s="10">
        <f>CHOOSE(CONTROL!$C$42, 40.4808, 40.4808) * CHOOSE(CONTROL!$C$21, $C$9, 100%, $E$9)</f>
        <v>40.480800000000002</v>
      </c>
      <c r="L1056" s="10">
        <f>CHOOSE(CONTROL!$C$42, 42.2376, 42.2376) * CHOOSE(CONTROL!$C$21, $C$9, 100%, $E$9)</f>
        <v>42.2376</v>
      </c>
      <c r="M1056" s="10">
        <f>CHOOSE(CONTROL!$C$42, 41.0142, 41.0142) * CHOOSE(CONTROL!$C$21, $C$9, 100%, $E$9)</f>
        <v>41.014200000000002</v>
      </c>
      <c r="N1056" s="10">
        <f>CHOOSE(CONTROL!$C$42, 41.0304, 41.0304) * CHOOSE(CONTROL!$C$21, $C$9, 100%, $E$9)</f>
        <v>41.0304</v>
      </c>
      <c r="O1056" s="10">
        <f>CHOOSE(CONTROL!$C$42, 41.1025, 41.1025) * CHOOSE(CONTROL!$C$21, $C$9, 100%, $E$9)</f>
        <v>41.102499999999999</v>
      </c>
      <c r="P1056" s="10">
        <f>CHOOSE(CONTROL!$C$42, 41.0656, 41.0656) * CHOOSE(CONTROL!$C$21, $C$9, 100%, $E$9)</f>
        <v>41.065600000000003</v>
      </c>
      <c r="Q1056" s="10">
        <f>CHOOSE(CONTROL!$C$42, 41.6978, 41.6978) * CHOOSE(CONTROL!$C$21, $C$9, 100%, $E$9)</f>
        <v>41.697800000000001</v>
      </c>
      <c r="R1056" s="10">
        <f>CHOOSE(CONTROL!$C$42, 42.3891, 42.3891) * CHOOSE(CONTROL!$C$21, $C$9, 100%, $E$9)</f>
        <v>42.389099999999999</v>
      </c>
      <c r="S1056" s="10">
        <f>CHOOSE(CONTROL!$C$42, 40.2961, 40.2961) * CHOOSE(CONTROL!$C$21, $C$9, 100%, $E$9)</f>
        <v>40.296100000000003</v>
      </c>
      <c r="T1056" s="38">
        <f>(((255000*CHOOSE(CONTROL!$C$42, 0.4694, 0.4694)+(750000-255000)*CHOOSE(CONTROL!$C$42, 0.7185, 0.7185)+400000*CHOOSE(CONTROL!$C$42, 1.14, 1.14))*CHOOSE(CONTROL!$C$42, 31, 31))/1000000)+CHOOSE(CONTROL!$C$42, 0.1298, 0.1298)+CHOOSE(CONTROL!$C$42, 0.2562, 0.2562)</f>
        <v>29.257989500000001</v>
      </c>
      <c r="U1056" s="38">
        <f>(1000*CHOOSE(CONTROL!$C$42, 695, 695)*CHOOSE(CONTROL!$C$42, 0.5599, 0.5599)*CHOOSE(CONTROL!$C$42, 31, 31))/1000000</f>
        <v>12.063045499999998</v>
      </c>
      <c r="V1056" s="38">
        <f>(1000*CHOOSE(CONTROL!$C$42, 500, 500)*CHOOSE(CONTROL!$C$42, 0.275, 0.275)*CHOOSE(CONTROL!$C$42, 31, 31))/1000000</f>
        <v>4.2625000000000002</v>
      </c>
      <c r="W1056" s="38">
        <f>(1000*CHOOSE(CONTROL!$C$42, 0.1146, 0.1146)*CHOOSE(CONTROL!$C$42, 121.5, 121.5)*CHOOSE(CONTROL!$C$42, 31, 31))/1000000</f>
        <v>0.43164089999999994</v>
      </c>
      <c r="X1056" s="38">
        <f>(31*0.1790888*100000/1000000)+(31*0.2374*100000/1000000)</f>
        <v>1.2911152800000001</v>
      </c>
      <c r="Y1056" s="38">
        <f>(1000*600*CHOOSE(CONTROL!$C$42, 1.0585, 1.0585)*CHOOSE(CONTROL!$C$42, 31, 31))/1000000</f>
        <v>19.688099999999999</v>
      </c>
      <c r="Z1056" s="38"/>
      <c r="AA1056" s="10"/>
      <c r="AB1056" s="39"/>
      <c r="AC1056" s="33">
        <f>(B1056*122.58+C1056*297.941+D1056*89.177+E1056*40.302+F1056*40+G1056*160+H1056*0+I1056*100+J1056*300)/(122.58+297.941+89.177+40.302+0+40+160+100+300)</f>
        <v>41.592703635565208</v>
      </c>
      <c r="AD1056" s="27">
        <f>(M1056*'RAP TEMPLATE-GAS AVAILABILITY'!O1055+N1056*'RAP TEMPLATE-GAS AVAILABILITY'!P1055+O1056*'RAP TEMPLATE-GAS AVAILABILITY'!Q1055+P1056*'RAP TEMPLATE-GAS AVAILABILITY'!R1055)/('RAP TEMPLATE-GAS AVAILABILITY'!O1055+'RAP TEMPLATE-GAS AVAILABILITY'!P1055+'RAP TEMPLATE-GAS AVAILABILITY'!Q1055+'RAP TEMPLATE-GAS AVAILABILITY'!R1055)</f>
        <v>41.062548920863314</v>
      </c>
    </row>
    <row r="1057" spans="1:30" ht="15">
      <c r="A1057" s="12"/>
      <c r="Y1057" s="38"/>
    </row>
    <row r="1058" spans="1:30" ht="15">
      <c r="A1058" s="11">
        <v>2014</v>
      </c>
      <c r="B1058" s="10">
        <f t="shared" ref="B1058:J1058" si="2">AVERAGE(B13:B24)</f>
        <v>4.9149472235004144</v>
      </c>
      <c r="C1058" s="10">
        <f t="shared" si="2"/>
        <v>4.9211751968915323</v>
      </c>
      <c r="D1058" s="10">
        <f t="shared" si="2"/>
        <v>5.0416868502780101</v>
      </c>
      <c r="E1058" s="10">
        <f t="shared" si="2"/>
        <v>5.0738209454394525</v>
      </c>
      <c r="F1058" s="10">
        <f t="shared" si="2"/>
        <v>4.9027660824900794</v>
      </c>
      <c r="G1058" s="10">
        <f t="shared" si="2"/>
        <v>4.920639708571886</v>
      </c>
      <c r="H1058" s="10">
        <f t="shared" si="2"/>
        <v>5.0627437679988896</v>
      </c>
      <c r="I1058" s="10">
        <f t="shared" si="2"/>
        <v>4.9070184321254802</v>
      </c>
      <c r="J1058" s="10">
        <f t="shared" si="2"/>
        <v>4.895499415823414</v>
      </c>
      <c r="K1058" s="10"/>
      <c r="L1058" s="10">
        <f t="shared" ref="L1058:S1058" si="3">AVERAGE(L13:L24)</f>
        <v>5.6497437679988884</v>
      </c>
      <c r="M1058" s="10">
        <f t="shared" si="3"/>
        <v>4.8614823016947737</v>
      </c>
      <c r="N1058" s="10">
        <f t="shared" si="3"/>
        <v>4.8791300440723528</v>
      </c>
      <c r="O1058" s="10">
        <f t="shared" si="3"/>
        <v>5.0248977957581697</v>
      </c>
      <c r="P1058" s="10">
        <f t="shared" si="3"/>
        <v>4.8722895295332282</v>
      </c>
      <c r="Q1058" s="10">
        <f t="shared" si="3"/>
        <v>5.6201977957581697</v>
      </c>
      <c r="R1058" s="10">
        <f t="shared" si="3"/>
        <v>6.2212484777475643</v>
      </c>
      <c r="S1058" s="10">
        <f t="shared" si="3"/>
        <v>4.7732634459720975</v>
      </c>
      <c r="T1058" s="32">
        <f>SUM(T13:T24)</f>
        <v>364.74280920000001</v>
      </c>
      <c r="U1058" s="32">
        <f>SUM(U13:U24)</f>
        <v>142.03557699999999</v>
      </c>
      <c r="V1058" s="32">
        <f>SUM(V13:V24)</f>
        <v>58.217499999999994</v>
      </c>
      <c r="W1058" s="32">
        <f>SUM(W13:W24)</f>
        <v>8.3648939999999996</v>
      </c>
      <c r="X1058" s="32">
        <f>SUM(X13:X24)</f>
        <v>5.5571254639999994</v>
      </c>
      <c r="Y1058" s="32"/>
      <c r="Z1058" s="32">
        <f>SUM(Z13:Z24)</f>
        <v>3.899999999999999</v>
      </c>
      <c r="AA1058" s="10">
        <f>AVERAGE(AA13:AA24)</f>
        <v>4.8759965328953578</v>
      </c>
      <c r="AB1058" s="32">
        <f>SUM(AB13:AB24)</f>
        <v>12.630990000000001</v>
      </c>
      <c r="AC1058" s="33">
        <f>AVERAGE(AC13:AC24)</f>
        <v>4.9533713721390349</v>
      </c>
      <c r="AD1058" s="27">
        <f>AVERAGE(AD13:AD24)</f>
        <v>4.9270164774902367</v>
      </c>
    </row>
    <row r="1059" spans="1:30" ht="15">
      <c r="A1059" s="11">
        <v>2015</v>
      </c>
      <c r="B1059" s="10">
        <f t="shared" ref="B1059:J1059" si="4">AVERAGE(B25:B36)</f>
        <v>4.5278</v>
      </c>
      <c r="C1059" s="10">
        <f t="shared" si="4"/>
        <v>4.5340916666666669</v>
      </c>
      <c r="D1059" s="10">
        <f t="shared" si="4"/>
        <v>4.6385833333333331</v>
      </c>
      <c r="E1059" s="10">
        <f t="shared" si="4"/>
        <v>4.670725</v>
      </c>
      <c r="F1059" s="10">
        <f t="shared" si="4"/>
        <v>4.4864166666666669</v>
      </c>
      <c r="G1059" s="10">
        <f t="shared" si="4"/>
        <v>4.502958333333333</v>
      </c>
      <c r="H1059" s="10">
        <f t="shared" si="4"/>
        <v>4.6595416666666667</v>
      </c>
      <c r="I1059" s="10">
        <f t="shared" si="4"/>
        <v>4.5215333333333332</v>
      </c>
      <c r="J1059" s="10">
        <f t="shared" si="4"/>
        <v>4.4790166666666673</v>
      </c>
      <c r="K1059" s="10"/>
      <c r="L1059" s="10">
        <f t="shared" ref="L1059:S1059" si="5">AVERAGE(L25:L36)</f>
        <v>5.2465416666666664</v>
      </c>
      <c r="M1059" s="10">
        <f t="shared" si="5"/>
        <v>4.4495583333333331</v>
      </c>
      <c r="N1059" s="10">
        <f t="shared" si="5"/>
        <v>4.4658833333333332</v>
      </c>
      <c r="O1059" s="10">
        <f t="shared" si="5"/>
        <v>4.6275583333333321</v>
      </c>
      <c r="P1059" s="10">
        <f t="shared" si="5"/>
        <v>4.4915583333333347</v>
      </c>
      <c r="Q1059" s="10">
        <f t="shared" si="5"/>
        <v>5.2228583333333329</v>
      </c>
      <c r="R1059" s="10">
        <f t="shared" si="5"/>
        <v>5.8229083333333342</v>
      </c>
      <c r="S1059" s="10">
        <f t="shared" si="5"/>
        <v>4.3999999999999995</v>
      </c>
      <c r="T1059" s="32">
        <f>SUM(T25:T36)</f>
        <v>364.742681</v>
      </c>
      <c r="U1059" s="32">
        <f>SUM(U25:U36)</f>
        <v>142.03263249999998</v>
      </c>
      <c r="V1059" s="32">
        <f>SUM(V25:V36)</f>
        <v>58.217499999999994</v>
      </c>
      <c r="W1059" s="32">
        <f>SUM(W25:W36)</f>
        <v>8.3657999999999983</v>
      </c>
      <c r="X1059" s="32">
        <f>SUM(X25:X36)</f>
        <v>17.010567464000001</v>
      </c>
      <c r="Y1059" s="32"/>
      <c r="Z1059" s="32">
        <f>SUM(Z25:Z36)</f>
        <v>3.5999999999999992</v>
      </c>
      <c r="AA1059" s="10">
        <f>AVERAGE(AA25:AA36)</f>
        <v>4.490875</v>
      </c>
      <c r="AB1059" s="32">
        <f>SUM(AB25:AB36)</f>
        <v>12.811459999999997</v>
      </c>
      <c r="AC1059" s="33">
        <f>AVERAGE(AC25:AC36)</f>
        <v>4.5350260088223742</v>
      </c>
      <c r="AD1059" s="27">
        <f>AVERAGE(AD25:AD36)</f>
        <v>4.5151755995203837</v>
      </c>
    </row>
    <row r="1060" spans="1:30" ht="15">
      <c r="A1060" s="11">
        <v>2016</v>
      </c>
      <c r="B1060" s="10">
        <f t="shared" ref="B1060:J1060" si="6">AVERAGE(B37:B48)</f>
        <v>4.4687833333333336</v>
      </c>
      <c r="C1060" s="10">
        <f t="shared" si="6"/>
        <v>4.4750583333333331</v>
      </c>
      <c r="D1060" s="10">
        <f t="shared" si="6"/>
        <v>4.5795416666666666</v>
      </c>
      <c r="E1060" s="10">
        <f t="shared" si="6"/>
        <v>4.6116999999999999</v>
      </c>
      <c r="F1060" s="10">
        <f t="shared" si="6"/>
        <v>4.4273833333333323</v>
      </c>
      <c r="G1060" s="10">
        <f t="shared" si="6"/>
        <v>4.4439249999999992</v>
      </c>
      <c r="H1060" s="10">
        <f t="shared" si="6"/>
        <v>4.6005166666666666</v>
      </c>
      <c r="I1060" s="10">
        <f t="shared" si="6"/>
        <v>4.4625083333333331</v>
      </c>
      <c r="J1060" s="10">
        <f t="shared" si="6"/>
        <v>4.4199833333333336</v>
      </c>
      <c r="K1060" s="10"/>
      <c r="L1060" s="10">
        <f t="shared" ref="L1060:S1060" si="7">AVERAGE(L37:L48)</f>
        <v>5.1875166666666663</v>
      </c>
      <c r="M1060" s="10">
        <f t="shared" si="7"/>
        <v>4.3913333333333329</v>
      </c>
      <c r="N1060" s="10">
        <f t="shared" si="7"/>
        <v>4.407658333333333</v>
      </c>
      <c r="O1060" s="10">
        <f t="shared" si="7"/>
        <v>4.56935</v>
      </c>
      <c r="P1060" s="10">
        <f t="shared" si="7"/>
        <v>4.4333333333333345</v>
      </c>
      <c r="Q1060" s="10">
        <f t="shared" si="7"/>
        <v>5.1646499999999991</v>
      </c>
      <c r="R1060" s="10">
        <f t="shared" si="7"/>
        <v>5.7645500000000007</v>
      </c>
      <c r="S1060" s="10">
        <f t="shared" si="7"/>
        <v>4.3428333333333331</v>
      </c>
      <c r="T1060" s="32">
        <f>SUM(T37:T48)</f>
        <v>358.17703550000004</v>
      </c>
      <c r="U1060" s="32">
        <f>SUM(U37:U48)</f>
        <v>142.42176299999997</v>
      </c>
      <c r="V1060" s="32">
        <f>SUM(V37:V48)</f>
        <v>58.377000000000002</v>
      </c>
      <c r="W1060" s="32">
        <f>SUM(W37:W48)</f>
        <v>6.1846754999999982</v>
      </c>
      <c r="X1060" s="32">
        <f>SUM(X37:X48)</f>
        <v>20.800615543999996</v>
      </c>
      <c r="Y1060" s="32"/>
      <c r="Z1060" s="32">
        <f>SUM(Z37:Z48)</f>
        <v>3.5999999999999992</v>
      </c>
      <c r="AA1060" s="32"/>
      <c r="AB1060" s="32"/>
      <c r="AC1060" s="33">
        <f>AVERAGE(AC37:AC48)</f>
        <v>4.4707029626063326</v>
      </c>
      <c r="AD1060" s="27">
        <f>AVERAGE(AD37:AD48)</f>
        <v>4.4560171462829743</v>
      </c>
    </row>
    <row r="1061" spans="1:30" ht="15">
      <c r="A1061" s="11">
        <v>2017</v>
      </c>
      <c r="B1061" s="10">
        <f t="shared" ref="B1061:S1061" si="8">AVERAGE(B49:B60)</f>
        <v>4.7486500000000005</v>
      </c>
      <c r="C1061" s="10">
        <f t="shared" si="8"/>
        <v>4.7549333333333328</v>
      </c>
      <c r="D1061" s="10">
        <f t="shared" si="8"/>
        <v>4.8594333333333326</v>
      </c>
      <c r="E1061" s="10">
        <f t="shared" si="8"/>
        <v>4.8915916666666659</v>
      </c>
      <c r="F1061" s="10">
        <f t="shared" si="8"/>
        <v>4.7072666666666656</v>
      </c>
      <c r="G1061" s="10">
        <f t="shared" si="8"/>
        <v>4.723816666666667</v>
      </c>
      <c r="H1061" s="10">
        <f t="shared" si="8"/>
        <v>4.8803916666666671</v>
      </c>
      <c r="I1061" s="10">
        <f t="shared" si="8"/>
        <v>4.7423833333333345</v>
      </c>
      <c r="J1061" s="10">
        <f t="shared" si="8"/>
        <v>4.699866666666666</v>
      </c>
      <c r="K1061" s="10">
        <f t="shared" si="8"/>
        <v>4.7598499999999992</v>
      </c>
      <c r="L1061" s="10">
        <f t="shared" si="8"/>
        <v>5.4673916666666678</v>
      </c>
      <c r="M1061" s="10">
        <f t="shared" si="8"/>
        <v>4.6673250000000008</v>
      </c>
      <c r="N1061" s="10">
        <f t="shared" si="8"/>
        <v>4.6836416666666665</v>
      </c>
      <c r="O1061" s="10">
        <f t="shared" si="8"/>
        <v>4.8453249999999999</v>
      </c>
      <c r="P1061" s="10">
        <f t="shared" si="8"/>
        <v>4.7092999999999998</v>
      </c>
      <c r="Q1061" s="10">
        <f t="shared" si="8"/>
        <v>5.4406249999999998</v>
      </c>
      <c r="R1061" s="10">
        <f t="shared" si="8"/>
        <v>6.0412333333333335</v>
      </c>
      <c r="S1061" s="10">
        <f t="shared" si="8"/>
        <v>4.6138500000000002</v>
      </c>
      <c r="T1061" s="32">
        <f>SUM(T49:T60)</f>
        <v>357.24568100000005</v>
      </c>
      <c r="U1061" s="32">
        <f>SUM(U49:U60)</f>
        <v>142.03263249999998</v>
      </c>
      <c r="V1061" s="32">
        <f>SUM(V49:V60)</f>
        <v>58.217499999999994</v>
      </c>
      <c r="W1061" s="32">
        <f>SUM(W49:W60)</f>
        <v>5.0822234999999996</v>
      </c>
      <c r="X1061" s="32">
        <f>SUM(X49:X60)</f>
        <v>20.758966663999999</v>
      </c>
      <c r="Y1061" s="32">
        <f>SUM(Y53:Y60)</f>
        <v>198.18539999999999</v>
      </c>
      <c r="Z1061" s="32"/>
      <c r="AA1061" s="10"/>
      <c r="AB1061" s="10"/>
      <c r="AC1061" s="33">
        <f>AVERAGE(AC49:AC60)</f>
        <v>4.7505837093613543</v>
      </c>
      <c r="AD1061" s="27">
        <f>AVERAGE(AD49:AD60)</f>
        <v>4.7319957434052755</v>
      </c>
    </row>
    <row r="1062" spans="1:30" ht="15">
      <c r="A1062" s="11">
        <v>2018</v>
      </c>
      <c r="B1062" s="10">
        <f t="shared" ref="B1062:S1062" si="9">AVERAGE(B61:B72)</f>
        <v>4.9699166666666663</v>
      </c>
      <c r="C1062" s="10">
        <f t="shared" si="9"/>
        <v>4.9761916666666659</v>
      </c>
      <c r="D1062" s="10">
        <f t="shared" si="9"/>
        <v>5.0807083333333329</v>
      </c>
      <c r="E1062" s="10">
        <f t="shared" si="9"/>
        <v>5.1128583333333335</v>
      </c>
      <c r="F1062" s="10">
        <f t="shared" si="9"/>
        <v>4.9285249999999996</v>
      </c>
      <c r="G1062" s="10">
        <f t="shared" si="9"/>
        <v>4.9450833333333337</v>
      </c>
      <c r="H1062" s="10">
        <f t="shared" si="9"/>
        <v>5.101658333333333</v>
      </c>
      <c r="I1062" s="10">
        <f t="shared" si="9"/>
        <v>4.9636500000000003</v>
      </c>
      <c r="J1062" s="10">
        <f t="shared" si="9"/>
        <v>4.9211250000000009</v>
      </c>
      <c r="K1062" s="10">
        <f t="shared" si="9"/>
        <v>4.9741999999999997</v>
      </c>
      <c r="L1062" s="10">
        <f t="shared" si="9"/>
        <v>5.6886583333333327</v>
      </c>
      <c r="M1062" s="10">
        <f t="shared" si="9"/>
        <v>4.8855166666666667</v>
      </c>
      <c r="N1062" s="10">
        <f t="shared" si="9"/>
        <v>4.9018249999999997</v>
      </c>
      <c r="O1062" s="10">
        <f t="shared" si="9"/>
        <v>5.0635083333333339</v>
      </c>
      <c r="P1062" s="10">
        <f t="shared" si="9"/>
        <v>4.9274916666666666</v>
      </c>
      <c r="Q1062" s="10">
        <f t="shared" si="9"/>
        <v>5.658808333333333</v>
      </c>
      <c r="R1062" s="10">
        <f t="shared" si="9"/>
        <v>6.2599499999999999</v>
      </c>
      <c r="S1062" s="10">
        <f t="shared" si="9"/>
        <v>4.8280833333333328</v>
      </c>
      <c r="T1062" s="32">
        <f t="shared" ref="T1062:Y1062" si="10">SUM(T61:T72)</f>
        <v>357.24568100000005</v>
      </c>
      <c r="U1062" s="32">
        <f t="shared" si="10"/>
        <v>142.03263249999998</v>
      </c>
      <c r="V1062" s="32">
        <f t="shared" si="10"/>
        <v>50.187500000000007</v>
      </c>
      <c r="W1062" s="32">
        <f t="shared" si="10"/>
        <v>5.0822234999999996</v>
      </c>
      <c r="X1062" s="32">
        <f t="shared" si="10"/>
        <v>20.758966663999999</v>
      </c>
      <c r="Y1062" s="32">
        <f t="shared" si="10"/>
        <v>293.19720000000001</v>
      </c>
      <c r="Z1062" s="32"/>
      <c r="AA1062" s="10"/>
      <c r="AB1062" s="10"/>
      <c r="AC1062" s="33">
        <f>AVERAGE(AC61:AC72)</f>
        <v>4.9718471761263956</v>
      </c>
      <c r="AD1062" s="27">
        <f>AVERAGE(AD61:AD72)</f>
        <v>4.9501845923261385</v>
      </c>
    </row>
    <row r="1063" spans="1:30" ht="15">
      <c r="A1063" s="11">
        <v>2019</v>
      </c>
      <c r="B1063" s="10">
        <f t="shared" ref="B1063:S1063" si="11">AVERAGE(B73:B84)</f>
        <v>5.4584999999999999</v>
      </c>
      <c r="C1063" s="10">
        <f t="shared" si="11"/>
        <v>5.4647833333333331</v>
      </c>
      <c r="D1063" s="10">
        <f t="shared" si="11"/>
        <v>5.5692750000000002</v>
      </c>
      <c r="E1063" s="10">
        <f t="shared" si="11"/>
        <v>5.6014333333333335</v>
      </c>
      <c r="F1063" s="10">
        <f t="shared" si="11"/>
        <v>5.4171083333333341</v>
      </c>
      <c r="G1063" s="10">
        <f t="shared" si="11"/>
        <v>5.4336583333333337</v>
      </c>
      <c r="H1063" s="10">
        <f t="shared" si="11"/>
        <v>5.5902416666666666</v>
      </c>
      <c r="I1063" s="10">
        <f t="shared" si="11"/>
        <v>5.452233333333333</v>
      </c>
      <c r="J1063" s="10">
        <f t="shared" si="11"/>
        <v>5.4097083333333336</v>
      </c>
      <c r="K1063" s="10">
        <f t="shared" si="11"/>
        <v>5.4475333333333333</v>
      </c>
      <c r="L1063" s="10">
        <f t="shared" si="11"/>
        <v>6.1772416666666663</v>
      </c>
      <c r="M1063" s="10">
        <f t="shared" si="11"/>
        <v>5.367258333333333</v>
      </c>
      <c r="N1063" s="10">
        <f t="shared" si="11"/>
        <v>5.3835833333333332</v>
      </c>
      <c r="O1063" s="10">
        <f t="shared" si="11"/>
        <v>5.5452750000000002</v>
      </c>
      <c r="P1063" s="10">
        <f t="shared" si="11"/>
        <v>5.4092500000000001</v>
      </c>
      <c r="Q1063" s="10">
        <f t="shared" si="11"/>
        <v>6.1405749999999992</v>
      </c>
      <c r="R1063" s="10">
        <f t="shared" si="11"/>
        <v>6.7429249999999996</v>
      </c>
      <c r="S1063" s="10">
        <f t="shared" si="11"/>
        <v>5.3011749999999997</v>
      </c>
      <c r="T1063" s="32">
        <f t="shared" ref="T1063:Y1063" si="12">SUM(T73:T84)</f>
        <v>357.24568100000005</v>
      </c>
      <c r="U1063" s="32">
        <f t="shared" si="12"/>
        <v>142.03263249999998</v>
      </c>
      <c r="V1063" s="32">
        <f t="shared" si="12"/>
        <v>50.187500000000007</v>
      </c>
      <c r="W1063" s="32">
        <f t="shared" si="12"/>
        <v>5.0822234999999996</v>
      </c>
      <c r="X1063" s="32">
        <f t="shared" si="12"/>
        <v>20.758966663999999</v>
      </c>
      <c r="Y1063" s="32">
        <f t="shared" si="12"/>
        <v>290.24799999999999</v>
      </c>
      <c r="Z1063" s="32"/>
      <c r="AA1063" s="10"/>
      <c r="AB1063" s="10"/>
      <c r="AC1063" s="33">
        <f>AVERAGE(AC73:AC84)</f>
        <v>5.4604291040190551</v>
      </c>
      <c r="AD1063" s="27">
        <f>AVERAGE(AD73:AD84)</f>
        <v>5.4319409472422064</v>
      </c>
    </row>
    <row r="1064" spans="1:30" ht="15">
      <c r="A1064" s="11">
        <v>2020</v>
      </c>
      <c r="B1064" s="10">
        <f t="shared" ref="B1064:S1064" si="13">AVERAGE(B85:B96)</f>
        <v>5.6134083333333322</v>
      </c>
      <c r="C1064" s="10">
        <f t="shared" si="13"/>
        <v>5.6196916666666672</v>
      </c>
      <c r="D1064" s="10">
        <f t="shared" si="13"/>
        <v>5.7241999999999997</v>
      </c>
      <c r="E1064" s="10">
        <f t="shared" si="13"/>
        <v>5.7563499999999985</v>
      </c>
      <c r="F1064" s="10">
        <f t="shared" si="13"/>
        <v>5.5720333333333336</v>
      </c>
      <c r="G1064" s="10">
        <f t="shared" si="13"/>
        <v>5.588566666666666</v>
      </c>
      <c r="H1064" s="10">
        <f t="shared" si="13"/>
        <v>5.7451416666666679</v>
      </c>
      <c r="I1064" s="10">
        <f t="shared" si="13"/>
        <v>5.6071499999999999</v>
      </c>
      <c r="J1064" s="10">
        <f t="shared" si="13"/>
        <v>5.5646333333333331</v>
      </c>
      <c r="K1064" s="10">
        <f t="shared" si="13"/>
        <v>5.5976083333333335</v>
      </c>
      <c r="L1064" s="10">
        <f t="shared" si="13"/>
        <v>6.332141666666665</v>
      </c>
      <c r="M1064" s="10">
        <f t="shared" si="13"/>
        <v>5.5200083333333332</v>
      </c>
      <c r="N1064" s="10">
        <f t="shared" si="13"/>
        <v>5.5363250000000006</v>
      </c>
      <c r="O1064" s="10">
        <f t="shared" si="13"/>
        <v>5.6980166666666676</v>
      </c>
      <c r="P1064" s="10">
        <f t="shared" si="13"/>
        <v>5.5619916666666676</v>
      </c>
      <c r="Q1064" s="10">
        <f t="shared" si="13"/>
        <v>6.2933166666666667</v>
      </c>
      <c r="R1064" s="10">
        <f t="shared" si="13"/>
        <v>6.8960499999999998</v>
      </c>
      <c r="S1064" s="10">
        <f t="shared" si="13"/>
        <v>5.4511583333333347</v>
      </c>
      <c r="T1064" s="32">
        <f>SUM(T85:T96)</f>
        <v>358.17703550000004</v>
      </c>
      <c r="U1064" s="32">
        <f>SUM(U85:U96)</f>
        <v>142.42176299999997</v>
      </c>
      <c r="V1064" s="32">
        <f>SUM(V85:V96)</f>
        <v>50.325000000000003</v>
      </c>
      <c r="W1064" s="32">
        <f>SUM(W85:W96)</f>
        <v>5.0961473999999995</v>
      </c>
      <c r="X1064" s="32">
        <f>SUM(X85:X96)</f>
        <v>20.800615543999996</v>
      </c>
      <c r="Y1064" s="32"/>
      <c r="Z1064" s="32"/>
      <c r="AA1064" s="10"/>
      <c r="AB1064" s="10"/>
      <c r="AC1064" s="33">
        <f>AVERAGE(AC85:AC96)</f>
        <v>5.6153442966073479</v>
      </c>
      <c r="AD1064" s="27">
        <f>AVERAGE(AD85:AD96)</f>
        <v>5.5846869304556357</v>
      </c>
    </row>
    <row r="1065" spans="1:30" ht="15">
      <c r="A1065" s="11">
        <v>2021</v>
      </c>
      <c r="B1065" s="10">
        <f t="shared" ref="B1065:S1065" si="14">AVERAGE(B97:B108)</f>
        <v>5.8199583333333331</v>
      </c>
      <c r="C1065" s="10">
        <f t="shared" si="14"/>
        <v>5.8262416666666672</v>
      </c>
      <c r="D1065" s="10">
        <f t="shared" si="14"/>
        <v>5.9307333333333325</v>
      </c>
      <c r="E1065" s="10">
        <f t="shared" si="14"/>
        <v>5.9628916666666667</v>
      </c>
      <c r="F1065" s="10">
        <f t="shared" si="14"/>
        <v>5.778575</v>
      </c>
      <c r="G1065" s="10">
        <f t="shared" si="14"/>
        <v>5.795116666666666</v>
      </c>
      <c r="H1065" s="10">
        <f t="shared" si="14"/>
        <v>5.9516999999999998</v>
      </c>
      <c r="I1065" s="10">
        <f t="shared" si="14"/>
        <v>5.8136999999999999</v>
      </c>
      <c r="J1065" s="10">
        <f t="shared" si="14"/>
        <v>5.7711749999999995</v>
      </c>
      <c r="K1065" s="10">
        <f t="shared" si="14"/>
        <v>5.7977250000000007</v>
      </c>
      <c r="L1065" s="10">
        <f t="shared" si="14"/>
        <v>6.5386999999999995</v>
      </c>
      <c r="M1065" s="10">
        <f t="shared" si="14"/>
        <v>5.7236750000000001</v>
      </c>
      <c r="N1065" s="10">
        <f t="shared" si="14"/>
        <v>5.7399999999999993</v>
      </c>
      <c r="O1065" s="10">
        <f t="shared" si="14"/>
        <v>5.9017000000000008</v>
      </c>
      <c r="P1065" s="10">
        <f t="shared" si="14"/>
        <v>5.765674999999999</v>
      </c>
      <c r="Q1065" s="10">
        <f t="shared" si="14"/>
        <v>6.496999999999999</v>
      </c>
      <c r="R1065" s="10">
        <f t="shared" si="14"/>
        <v>7.1002166666666682</v>
      </c>
      <c r="S1065" s="10">
        <f t="shared" si="14"/>
        <v>5.6511666666666676</v>
      </c>
      <c r="T1065" s="32">
        <f>SUM(T97:T108)</f>
        <v>357.24568100000005</v>
      </c>
      <c r="U1065" s="32">
        <f>SUM(U97:U108)</f>
        <v>142.03263249999998</v>
      </c>
      <c r="V1065" s="32">
        <f>SUM(V97:V108)</f>
        <v>50.187500000000007</v>
      </c>
      <c r="W1065" s="32">
        <f>SUM(W97:W108)</f>
        <v>5.0822234999999996</v>
      </c>
      <c r="X1065" s="32">
        <f>SUM(X97:X108)</f>
        <v>20.758966663999999</v>
      </c>
      <c r="Y1065" s="32"/>
      <c r="Z1065" s="32"/>
      <c r="AA1065" s="10"/>
      <c r="AB1065" s="10"/>
      <c r="AC1065" s="33">
        <f>AVERAGE(AC97:AC108)</f>
        <v>5.8218902921751754</v>
      </c>
      <c r="AD1065" s="27">
        <f>AVERAGE(AD97:AD108)</f>
        <v>5.7883611510791368</v>
      </c>
    </row>
    <row r="1066" spans="1:30" ht="15">
      <c r="A1066" s="11">
        <v>2022</v>
      </c>
      <c r="B1066" s="10">
        <f t="shared" ref="B1066:S1066" si="15">AVERAGE(B109:B120)</f>
        <v>6.0265000000000013</v>
      </c>
      <c r="C1066" s="10">
        <f t="shared" si="15"/>
        <v>6.0327833333333336</v>
      </c>
      <c r="D1066" s="10">
        <f t="shared" si="15"/>
        <v>6.1372750000000016</v>
      </c>
      <c r="E1066" s="10">
        <f t="shared" si="15"/>
        <v>6.1694250000000004</v>
      </c>
      <c r="F1066" s="10">
        <f t="shared" si="15"/>
        <v>5.9851083333333337</v>
      </c>
      <c r="G1066" s="10">
        <f t="shared" si="15"/>
        <v>6.0016583333333342</v>
      </c>
      <c r="H1066" s="10">
        <f t="shared" si="15"/>
        <v>6.1582416666666662</v>
      </c>
      <c r="I1066" s="10">
        <f t="shared" si="15"/>
        <v>6.0202416666666672</v>
      </c>
      <c r="J1066" s="10">
        <f t="shared" si="15"/>
        <v>5.9777083333333323</v>
      </c>
      <c r="K1066" s="10">
        <f t="shared" si="15"/>
        <v>5.9978083333333343</v>
      </c>
      <c r="L1066" s="10">
        <f t="shared" si="15"/>
        <v>6.7452416666666659</v>
      </c>
      <c r="M1066" s="10">
        <f t="shared" si="15"/>
        <v>5.9273500000000006</v>
      </c>
      <c r="N1066" s="10">
        <f t="shared" si="15"/>
        <v>5.9436666666666662</v>
      </c>
      <c r="O1066" s="10">
        <f t="shared" si="15"/>
        <v>6.1053416666666669</v>
      </c>
      <c r="P1066" s="10">
        <f t="shared" si="15"/>
        <v>5.9693250000000004</v>
      </c>
      <c r="Q1066" s="10">
        <f t="shared" si="15"/>
        <v>6.7006416666666668</v>
      </c>
      <c r="R1066" s="10">
        <f t="shared" si="15"/>
        <v>7.3044166666666657</v>
      </c>
      <c r="S1066" s="10">
        <f t="shared" si="15"/>
        <v>5.8511583333333332</v>
      </c>
      <c r="T1066" s="32">
        <f>SUM(T109:T120)</f>
        <v>357.24568100000005</v>
      </c>
      <c r="U1066" s="32">
        <f>SUM(U109:U120)</f>
        <v>142.03263249999998</v>
      </c>
      <c r="V1066" s="32">
        <f>SUM(V109:V120)</f>
        <v>50.187500000000007</v>
      </c>
      <c r="W1066" s="32">
        <f>SUM(W109:W120)</f>
        <v>5.0822234999999996</v>
      </c>
      <c r="X1066" s="32">
        <f>SUM(X109:X120)</f>
        <v>20.758966663999999</v>
      </c>
      <c r="Y1066" s="32"/>
      <c r="Z1066" s="32"/>
      <c r="AA1066" s="10"/>
      <c r="AB1066" s="10"/>
      <c r="AC1066" s="33">
        <f>AVERAGE(AC109:AC120)</f>
        <v>6.0284287405919672</v>
      </c>
      <c r="AD1066" s="27">
        <f>AVERAGE(AD109:AD120)</f>
        <v>5.992018405275779</v>
      </c>
    </row>
    <row r="1067" spans="1:30" ht="15">
      <c r="A1067" s="11">
        <v>2023</v>
      </c>
      <c r="B1067" s="10">
        <f t="shared" ref="B1067:S1067" si="16">AVERAGE(B121:B132)</f>
        <v>6.2330333333333341</v>
      </c>
      <c r="C1067" s="10">
        <f t="shared" si="16"/>
        <v>6.239325</v>
      </c>
      <c r="D1067" s="10">
        <f t="shared" si="16"/>
        <v>6.3438333333333334</v>
      </c>
      <c r="E1067" s="10">
        <f t="shared" si="16"/>
        <v>6.3759916666666667</v>
      </c>
      <c r="F1067" s="10">
        <f t="shared" si="16"/>
        <v>6.1916666666666664</v>
      </c>
      <c r="G1067" s="10">
        <f t="shared" si="16"/>
        <v>6.2082249999999997</v>
      </c>
      <c r="H1067" s="10">
        <f t="shared" si="16"/>
        <v>6.3647833333333326</v>
      </c>
      <c r="I1067" s="10">
        <f t="shared" si="16"/>
        <v>6.2267916666666672</v>
      </c>
      <c r="J1067" s="10">
        <f t="shared" si="16"/>
        <v>6.1842666666666668</v>
      </c>
      <c r="K1067" s="10">
        <f t="shared" si="16"/>
        <v>6.1978999999999997</v>
      </c>
      <c r="L1067" s="10">
        <f t="shared" si="16"/>
        <v>6.9517833333333341</v>
      </c>
      <c r="M1067" s="10">
        <f t="shared" si="16"/>
        <v>6.1310166666666674</v>
      </c>
      <c r="N1067" s="10">
        <f t="shared" si="16"/>
        <v>6.1473333333333331</v>
      </c>
      <c r="O1067" s="10">
        <f t="shared" si="16"/>
        <v>6.3090166666666656</v>
      </c>
      <c r="P1067" s="10">
        <f t="shared" si="16"/>
        <v>6.1730083333333328</v>
      </c>
      <c r="Q1067" s="10">
        <f t="shared" si="16"/>
        <v>6.9043166666666664</v>
      </c>
      <c r="R1067" s="10">
        <f t="shared" si="16"/>
        <v>7.5085916666666668</v>
      </c>
      <c r="S1067" s="10">
        <f t="shared" si="16"/>
        <v>6.0511499999999998</v>
      </c>
      <c r="T1067" s="32">
        <f>SUM(T121:T132)</f>
        <v>357.24568100000005</v>
      </c>
      <c r="U1067" s="32">
        <f>SUM(U121:U132)</f>
        <v>142.03263249999998</v>
      </c>
      <c r="V1067" s="32">
        <f>SUM(V121:V132)</f>
        <v>50.187500000000007</v>
      </c>
      <c r="W1067" s="32">
        <f>SUM(W121:W132)</f>
        <v>5.0822234999999996</v>
      </c>
      <c r="X1067" s="32">
        <f>SUM(X121:X132)</f>
        <v>20.758966663999999</v>
      </c>
      <c r="Y1067" s="32"/>
      <c r="Z1067" s="32"/>
      <c r="AA1067" s="10"/>
      <c r="AB1067" s="10"/>
      <c r="AC1067" s="33">
        <f>AVERAGE(AC121:AC132)</f>
        <v>6.2349809797626996</v>
      </c>
      <c r="AD1067" s="27">
        <f>AVERAGE(AD121:AD132)</f>
        <v>6.1956926858513173</v>
      </c>
    </row>
    <row r="1068" spans="1:30" ht="15">
      <c r="A1068" s="11">
        <v>2024</v>
      </c>
      <c r="B1068" s="10">
        <f t="shared" ref="B1068:S1068" si="17">AVERAGE(B133:B144)</f>
        <v>6.439591666666665</v>
      </c>
      <c r="C1068" s="10">
        <f t="shared" si="17"/>
        <v>6.4458833333333336</v>
      </c>
      <c r="D1068" s="10">
        <f t="shared" si="17"/>
        <v>6.5503916666666671</v>
      </c>
      <c r="E1068" s="10">
        <f t="shared" si="17"/>
        <v>6.582533333333334</v>
      </c>
      <c r="F1068" s="10">
        <f t="shared" si="17"/>
        <v>6.3982083333333337</v>
      </c>
      <c r="G1068" s="10">
        <f t="shared" si="17"/>
        <v>6.4147666666666661</v>
      </c>
      <c r="H1068" s="10">
        <f t="shared" si="17"/>
        <v>6.5713333333333344</v>
      </c>
      <c r="I1068" s="10">
        <f t="shared" si="17"/>
        <v>6.4333333333333327</v>
      </c>
      <c r="J1068" s="10">
        <f t="shared" si="17"/>
        <v>6.3908083333333323</v>
      </c>
      <c r="K1068" s="10">
        <f t="shared" si="17"/>
        <v>6.3980083333333333</v>
      </c>
      <c r="L1068" s="10">
        <f t="shared" si="17"/>
        <v>7.158333333333335</v>
      </c>
      <c r="M1068" s="10">
        <f t="shared" si="17"/>
        <v>6.3346666666666671</v>
      </c>
      <c r="N1068" s="10">
        <f t="shared" si="17"/>
        <v>6.3509833333333328</v>
      </c>
      <c r="O1068" s="10">
        <f t="shared" si="17"/>
        <v>6.512666666666667</v>
      </c>
      <c r="P1068" s="10">
        <f t="shared" si="17"/>
        <v>6.3766583333333342</v>
      </c>
      <c r="Q1068" s="10">
        <f t="shared" si="17"/>
        <v>7.1079666666666661</v>
      </c>
      <c r="R1068" s="10">
        <f t="shared" si="17"/>
        <v>7.7127583333333343</v>
      </c>
      <c r="S1068" s="10">
        <f t="shared" si="17"/>
        <v>6.2511666666666663</v>
      </c>
      <c r="T1068" s="32">
        <f>SUM(T133:T144)</f>
        <v>358.17703550000004</v>
      </c>
      <c r="U1068" s="32">
        <f>SUM(U133:U144)</f>
        <v>142.42176299999997</v>
      </c>
      <c r="V1068" s="32">
        <f>SUM(V133:V144)</f>
        <v>50.325000000000003</v>
      </c>
      <c r="W1068" s="32">
        <f>SUM(W133:W144)</f>
        <v>5.0961473999999995</v>
      </c>
      <c r="X1068" s="32">
        <f>SUM(X133:X144)</f>
        <v>20.800615543999996</v>
      </c>
      <c r="Y1068" s="32"/>
      <c r="Z1068" s="32"/>
      <c r="AA1068" s="10"/>
      <c r="AB1068" s="10"/>
      <c r="AC1068" s="33">
        <f>AVERAGE(AC133:AC144)</f>
        <v>6.4415307042917647</v>
      </c>
      <c r="AD1068" s="27">
        <f>AVERAGE(AD133:AD144)</f>
        <v>6.3993426858513187</v>
      </c>
    </row>
    <row r="1069" spans="1:30" ht="15">
      <c r="A1069" s="11">
        <v>2025</v>
      </c>
      <c r="B1069" s="10">
        <f t="shared" ref="B1069:S1069" si="18">AVERAGE(B145:B156)</f>
        <v>6.5944916666666664</v>
      </c>
      <c r="C1069" s="10">
        <f t="shared" si="18"/>
        <v>6.6007833333333332</v>
      </c>
      <c r="D1069" s="10">
        <f t="shared" si="18"/>
        <v>6.7052916666666667</v>
      </c>
      <c r="E1069" s="10">
        <f t="shared" si="18"/>
        <v>6.7374499999999999</v>
      </c>
      <c r="F1069" s="10">
        <f t="shared" si="18"/>
        <v>6.5531250000000014</v>
      </c>
      <c r="G1069" s="10">
        <f t="shared" si="18"/>
        <v>6.5696750000000002</v>
      </c>
      <c r="H1069" s="10">
        <f t="shared" si="18"/>
        <v>6.7262500000000003</v>
      </c>
      <c r="I1069" s="10">
        <f t="shared" si="18"/>
        <v>6.5882499999999995</v>
      </c>
      <c r="J1069" s="10">
        <f t="shared" si="18"/>
        <v>6.545725</v>
      </c>
      <c r="K1069" s="10">
        <f t="shared" si="18"/>
        <v>6.5480749999999999</v>
      </c>
      <c r="L1069" s="10">
        <f t="shared" si="18"/>
        <v>7.31325</v>
      </c>
      <c r="M1069" s="10">
        <f t="shared" si="18"/>
        <v>6.4874249999999991</v>
      </c>
      <c r="N1069" s="10">
        <f t="shared" si="18"/>
        <v>6.5037500000000001</v>
      </c>
      <c r="O1069" s="10">
        <f t="shared" si="18"/>
        <v>6.6654333333333327</v>
      </c>
      <c r="P1069" s="10">
        <f t="shared" si="18"/>
        <v>6.529441666666667</v>
      </c>
      <c r="Q1069" s="10">
        <f t="shared" si="18"/>
        <v>7.2607333333333335</v>
      </c>
      <c r="R1069" s="10">
        <f t="shared" si="18"/>
        <v>7.8658916666666663</v>
      </c>
      <c r="S1069" s="10">
        <f t="shared" si="18"/>
        <v>6.4011583333333322</v>
      </c>
      <c r="T1069" s="32">
        <f>SUM(T145:T156)</f>
        <v>357.24568100000005</v>
      </c>
      <c r="U1069" s="32">
        <f>SUM(U145:U156)</f>
        <v>142.03263249999998</v>
      </c>
      <c r="V1069" s="32">
        <f>SUM(V145:V156)</f>
        <v>50.187500000000007</v>
      </c>
      <c r="W1069" s="32">
        <f>SUM(W145:W156)</f>
        <v>5.0822234999999996</v>
      </c>
      <c r="X1069" s="32">
        <f>SUM(X145:X156)</f>
        <v>20.758966663999999</v>
      </c>
      <c r="Y1069" s="32"/>
      <c r="Z1069" s="32"/>
      <c r="AA1069" s="10"/>
      <c r="AB1069" s="10"/>
      <c r="AC1069" s="33">
        <f>AVERAGE(AC145:AC156)</f>
        <v>6.5964384192731762</v>
      </c>
      <c r="AD1069" s="27">
        <f>AVERAGE(AD145:AD156)</f>
        <v>6.5521088729016776</v>
      </c>
    </row>
    <row r="1070" spans="1:30" ht="15">
      <c r="A1070" s="11">
        <v>2026</v>
      </c>
      <c r="B1070" s="10">
        <f t="shared" ref="B1070:S1070" si="19">AVERAGE(B157:B168)</f>
        <v>6.8010583333333328</v>
      </c>
      <c r="C1070" s="10">
        <f t="shared" si="19"/>
        <v>6.8073499999999987</v>
      </c>
      <c r="D1070" s="10">
        <f t="shared" si="19"/>
        <v>6.9118333333333339</v>
      </c>
      <c r="E1070" s="10">
        <f t="shared" si="19"/>
        <v>6.9439916666666663</v>
      </c>
      <c r="F1070" s="10">
        <f t="shared" si="19"/>
        <v>6.7596749999999988</v>
      </c>
      <c r="G1070" s="10">
        <f t="shared" si="19"/>
        <v>6.7762250000000002</v>
      </c>
      <c r="H1070" s="10">
        <f t="shared" si="19"/>
        <v>6.9327916666666667</v>
      </c>
      <c r="I1070" s="10">
        <f t="shared" si="19"/>
        <v>6.7947833333333341</v>
      </c>
      <c r="J1070" s="10">
        <f t="shared" si="19"/>
        <v>6.752275</v>
      </c>
      <c r="K1070" s="10">
        <f t="shared" si="19"/>
        <v>6.748191666666667</v>
      </c>
      <c r="L1070" s="10">
        <f t="shared" si="19"/>
        <v>7.5197916666666664</v>
      </c>
      <c r="M1070" s="10">
        <f t="shared" si="19"/>
        <v>6.6911083333333332</v>
      </c>
      <c r="N1070" s="10">
        <f t="shared" si="19"/>
        <v>6.7074250000000006</v>
      </c>
      <c r="O1070" s="10">
        <f t="shared" si="19"/>
        <v>6.8690999999999995</v>
      </c>
      <c r="P1070" s="10">
        <f t="shared" si="19"/>
        <v>6.7330833333333322</v>
      </c>
      <c r="Q1070" s="10">
        <f t="shared" si="19"/>
        <v>7.4643999999999986</v>
      </c>
      <c r="R1070" s="10">
        <f t="shared" si="19"/>
        <v>8.0700666666666656</v>
      </c>
      <c r="S1070" s="10">
        <f t="shared" si="19"/>
        <v>6.6011833333333341</v>
      </c>
      <c r="T1070" s="32">
        <f>SUM(T157:T168)</f>
        <v>357.24568100000005</v>
      </c>
      <c r="U1070" s="32">
        <f>SUM(U157:U168)</f>
        <v>142.03263249999998</v>
      </c>
      <c r="V1070" s="32">
        <f>SUM(V157:V168)</f>
        <v>50.187500000000007</v>
      </c>
      <c r="W1070" s="32">
        <f>SUM(W157:W168)</f>
        <v>5.0822234999999996</v>
      </c>
      <c r="X1070" s="32">
        <f>SUM(X157:X168)</f>
        <v>20.758966663999999</v>
      </c>
      <c r="Y1070" s="32"/>
      <c r="Z1070" s="32"/>
      <c r="AA1070" s="10"/>
      <c r="AB1070" s="10"/>
      <c r="AC1070" s="33">
        <f>AVERAGE(AC157:AC168)</f>
        <v>6.8029922474604563</v>
      </c>
      <c r="AD1070" s="27">
        <f>AVERAGE(AD157:AD168)</f>
        <v>6.7557767386091143</v>
      </c>
    </row>
    <row r="1071" spans="1:30" ht="15">
      <c r="A1071" s="11">
        <v>2027</v>
      </c>
      <c r="B1071" s="10">
        <f t="shared" ref="B1071:S1071" si="20">AVERAGE(B169:B180)</f>
        <v>7.0592499999999996</v>
      </c>
      <c r="C1071" s="10">
        <f t="shared" si="20"/>
        <v>7.0655249999999983</v>
      </c>
      <c r="D1071" s="10">
        <f t="shared" si="20"/>
        <v>7.1700166666666663</v>
      </c>
      <c r="E1071" s="10">
        <f t="shared" si="20"/>
        <v>7.2022000000000004</v>
      </c>
      <c r="F1071" s="10">
        <f t="shared" si="20"/>
        <v>7.017858333333332</v>
      </c>
      <c r="G1071" s="10">
        <f t="shared" si="20"/>
        <v>7.0344083333333325</v>
      </c>
      <c r="H1071" s="10">
        <f t="shared" si="20"/>
        <v>7.190974999999999</v>
      </c>
      <c r="I1071" s="10">
        <f t="shared" si="20"/>
        <v>7.0529916666666663</v>
      </c>
      <c r="J1071" s="10">
        <f t="shared" si="20"/>
        <v>7.0104583333333332</v>
      </c>
      <c r="K1071" s="10">
        <f t="shared" si="20"/>
        <v>6.9983166666666676</v>
      </c>
      <c r="L1071" s="10">
        <f t="shared" si="20"/>
        <v>7.7779749999999988</v>
      </c>
      <c r="M1071" s="10">
        <f t="shared" si="20"/>
        <v>6.9456833333333341</v>
      </c>
      <c r="N1071" s="10">
        <f t="shared" si="20"/>
        <v>6.9619916666666661</v>
      </c>
      <c r="O1071" s="10">
        <f t="shared" si="20"/>
        <v>7.1236833333333323</v>
      </c>
      <c r="P1071" s="10">
        <f t="shared" si="20"/>
        <v>6.9876583333333322</v>
      </c>
      <c r="Q1071" s="10">
        <f t="shared" si="20"/>
        <v>7.718983333333334</v>
      </c>
      <c r="R1071" s="10">
        <f t="shared" si="20"/>
        <v>8.3252833333333331</v>
      </c>
      <c r="S1071" s="10">
        <f t="shared" si="20"/>
        <v>6.8511833333333323</v>
      </c>
      <c r="T1071" s="32">
        <f>SUM(T169:T180)</f>
        <v>357.24568100000005</v>
      </c>
      <c r="U1071" s="32">
        <f>SUM(U169:U180)</f>
        <v>142.03263249999998</v>
      </c>
      <c r="V1071" s="32">
        <f>SUM(V169:V180)</f>
        <v>50.187500000000007</v>
      </c>
      <c r="W1071" s="32">
        <f>SUM(W169:W180)</f>
        <v>5.0822234999999996</v>
      </c>
      <c r="X1071" s="32">
        <f>SUM(X169:X180)</f>
        <v>20.758966663999999</v>
      </c>
      <c r="Y1071" s="32"/>
      <c r="Z1071" s="32"/>
      <c r="AA1071" s="10"/>
      <c r="AB1071" s="10"/>
      <c r="AC1071" s="33">
        <f>AVERAGE(AC169:AC180)</f>
        <v>7.06117804784824</v>
      </c>
      <c r="AD1071" s="27">
        <f>AVERAGE(AD169:AD180)</f>
        <v>7.010355035971223</v>
      </c>
    </row>
    <row r="1072" spans="1:30" ht="15">
      <c r="A1072" s="11">
        <v>2028</v>
      </c>
      <c r="B1072" s="10">
        <f t="shared" ref="B1072:S1072" si="21">AVERAGE(B181:B192)</f>
        <v>7.3174333333333346</v>
      </c>
      <c r="C1072" s="10">
        <f t="shared" si="21"/>
        <v>7.323716666666666</v>
      </c>
      <c r="D1072" s="10">
        <f t="shared" si="21"/>
        <v>7.428208333333334</v>
      </c>
      <c r="E1072" s="10">
        <f t="shared" si="21"/>
        <v>7.460375</v>
      </c>
      <c r="F1072" s="10">
        <f t="shared" si="21"/>
        <v>7.2760500000000015</v>
      </c>
      <c r="G1072" s="10">
        <f t="shared" si="21"/>
        <v>7.292583333333333</v>
      </c>
      <c r="H1072" s="10">
        <f t="shared" si="21"/>
        <v>7.4491583333333331</v>
      </c>
      <c r="I1072" s="10">
        <f t="shared" si="21"/>
        <v>7.3111666666666677</v>
      </c>
      <c r="J1072" s="10">
        <f t="shared" si="21"/>
        <v>7.2686500000000001</v>
      </c>
      <c r="K1072" s="10">
        <f t="shared" si="21"/>
        <v>7.2484416666666673</v>
      </c>
      <c r="L1072" s="10">
        <f t="shared" si="21"/>
        <v>8.0361583333333328</v>
      </c>
      <c r="M1072" s="10">
        <f t="shared" si="21"/>
        <v>7.2002666666666668</v>
      </c>
      <c r="N1072" s="10">
        <f t="shared" si="21"/>
        <v>7.2165749999999997</v>
      </c>
      <c r="O1072" s="10">
        <f t="shared" si="21"/>
        <v>7.3782666666666659</v>
      </c>
      <c r="P1072" s="10">
        <f t="shared" si="21"/>
        <v>7.2422416666666676</v>
      </c>
      <c r="Q1072" s="10">
        <f t="shared" si="21"/>
        <v>7.9735666666666667</v>
      </c>
      <c r="R1072" s="10">
        <f t="shared" si="21"/>
        <v>8.5804999999999989</v>
      </c>
      <c r="S1072" s="10">
        <f t="shared" si="21"/>
        <v>7.1011749999999987</v>
      </c>
      <c r="T1072" s="32">
        <f>SUM(T181:T192)</f>
        <v>358.17703550000004</v>
      </c>
      <c r="U1072" s="32">
        <f>SUM(U181:U192)</f>
        <v>142.42176299999997</v>
      </c>
      <c r="V1072" s="32">
        <f>SUM(V181:V192)</f>
        <v>50.325000000000003</v>
      </c>
      <c r="W1072" s="32">
        <f>SUM(W181:W192)</f>
        <v>5.0961473999999995</v>
      </c>
      <c r="X1072" s="32">
        <f>SUM(X181:X192)</f>
        <v>20.800615543999996</v>
      </c>
      <c r="Y1072" s="32"/>
      <c r="Z1072" s="32"/>
      <c r="AA1072" s="10"/>
      <c r="AB1072" s="10"/>
      <c r="AC1072" s="33">
        <f>AVERAGE(AC181:AC192)</f>
        <v>7.3193635958315744</v>
      </c>
      <c r="AD1072" s="27">
        <f>AVERAGE(AD181:AD192)</f>
        <v>7.2649383693045566</v>
      </c>
    </row>
    <row r="1073" spans="1:30" ht="15">
      <c r="A1073" s="11">
        <v>2029</v>
      </c>
      <c r="B1073" s="10">
        <f t="shared" ref="B1073:S1073" si="22">AVERAGE(B193:B204)</f>
        <v>7.6272583333333328</v>
      </c>
      <c r="C1073" s="10">
        <f t="shared" si="22"/>
        <v>7.633541666666666</v>
      </c>
      <c r="D1073" s="10">
        <f t="shared" si="22"/>
        <v>7.7380333333333331</v>
      </c>
      <c r="E1073" s="10">
        <f t="shared" si="22"/>
        <v>7.7702</v>
      </c>
      <c r="F1073" s="10">
        <f t="shared" si="22"/>
        <v>7.5858499999999998</v>
      </c>
      <c r="G1073" s="10">
        <f t="shared" si="22"/>
        <v>7.6024083333333339</v>
      </c>
      <c r="H1073" s="10">
        <f t="shared" si="22"/>
        <v>7.7589916666666676</v>
      </c>
      <c r="I1073" s="10">
        <f t="shared" si="22"/>
        <v>7.6209999999999996</v>
      </c>
      <c r="J1073" s="10">
        <f t="shared" si="22"/>
        <v>7.5784500000000001</v>
      </c>
      <c r="K1073" s="10">
        <f t="shared" si="22"/>
        <v>7.5485916666666668</v>
      </c>
      <c r="L1073" s="10">
        <f t="shared" si="22"/>
        <v>8.3459916666666647</v>
      </c>
      <c r="M1073" s="10">
        <f t="shared" si="22"/>
        <v>7.5057666666666671</v>
      </c>
      <c r="N1073" s="10">
        <f t="shared" si="22"/>
        <v>7.5220833333333337</v>
      </c>
      <c r="O1073" s="10">
        <f t="shared" si="22"/>
        <v>7.6837749999999998</v>
      </c>
      <c r="P1073" s="10">
        <f t="shared" si="22"/>
        <v>7.5477583333333333</v>
      </c>
      <c r="Q1073" s="10">
        <f t="shared" si="22"/>
        <v>8.2790750000000006</v>
      </c>
      <c r="R1073" s="10">
        <f t="shared" si="22"/>
        <v>8.8867749999999983</v>
      </c>
      <c r="S1073" s="10">
        <f t="shared" si="22"/>
        <v>7.4011666666666658</v>
      </c>
      <c r="T1073" s="32">
        <f>SUM(T193:T204)</f>
        <v>357.24568100000005</v>
      </c>
      <c r="U1073" s="32">
        <f>SUM(U193:U204)</f>
        <v>142.03263249999998</v>
      </c>
      <c r="V1073" s="32">
        <f>SUM(V193:V204)</f>
        <v>50.187500000000007</v>
      </c>
      <c r="W1073" s="32">
        <f>SUM(W193:W204)</f>
        <v>5.0822234999999996</v>
      </c>
      <c r="X1073" s="32">
        <f>SUM(X193:X204)</f>
        <v>20.758966663999999</v>
      </c>
      <c r="Y1073" s="32"/>
      <c r="Z1073" s="32"/>
      <c r="AA1073" s="10"/>
      <c r="AB1073" s="10"/>
      <c r="AC1073" s="33">
        <f>AVERAGE(AC193:AC204)</f>
        <v>7.6291823235409693</v>
      </c>
      <c r="AD1073" s="27">
        <f>AVERAGE(AD193:AD204)</f>
        <v>7.570443585131895</v>
      </c>
    </row>
    <row r="1074" spans="1:30" ht="15">
      <c r="A1074" s="11">
        <v>2030</v>
      </c>
      <c r="B1074" s="10">
        <f t="shared" ref="B1074:S1074" si="23">AVERAGE(B205:B216)</f>
        <v>7.9370750000000001</v>
      </c>
      <c r="C1074" s="10">
        <f t="shared" si="23"/>
        <v>7.9433499999999997</v>
      </c>
      <c r="D1074" s="10">
        <f t="shared" si="23"/>
        <v>8.0478583333333322</v>
      </c>
      <c r="E1074" s="10">
        <f t="shared" si="23"/>
        <v>8.0800166666666673</v>
      </c>
      <c r="F1074" s="10">
        <f t="shared" si="23"/>
        <v>7.8956916666666679</v>
      </c>
      <c r="G1074" s="10">
        <f t="shared" si="23"/>
        <v>7.9122416666666675</v>
      </c>
      <c r="H1074" s="10">
        <f t="shared" si="23"/>
        <v>8.0688083333333349</v>
      </c>
      <c r="I1074" s="10">
        <f t="shared" si="23"/>
        <v>7.9308083333333323</v>
      </c>
      <c r="J1074" s="10">
        <f t="shared" si="23"/>
        <v>7.8882916666666674</v>
      </c>
      <c r="K1074" s="10">
        <f t="shared" si="23"/>
        <v>7.8487499999999999</v>
      </c>
      <c r="L1074" s="10">
        <f t="shared" si="23"/>
        <v>8.6558083333333311</v>
      </c>
      <c r="M1074" s="10">
        <f t="shared" si="23"/>
        <v>7.8112666666666657</v>
      </c>
      <c r="N1074" s="10">
        <f t="shared" si="23"/>
        <v>7.8275833333333331</v>
      </c>
      <c r="O1074" s="10">
        <f t="shared" si="23"/>
        <v>7.9892583333333356</v>
      </c>
      <c r="P1074" s="10">
        <f t="shared" si="23"/>
        <v>7.8532583333333319</v>
      </c>
      <c r="Q1074" s="10">
        <f t="shared" si="23"/>
        <v>8.584558333333332</v>
      </c>
      <c r="R1074" s="10">
        <f t="shared" si="23"/>
        <v>9.1930333333333323</v>
      </c>
      <c r="S1074" s="10">
        <f t="shared" si="23"/>
        <v>7.7011750000000001</v>
      </c>
      <c r="T1074" s="32">
        <f>SUM(T205:T216)</f>
        <v>357.24568100000005</v>
      </c>
      <c r="U1074" s="32">
        <f>SUM(U205:U216)</f>
        <v>142.03263249999998</v>
      </c>
      <c r="V1074" s="32">
        <f>SUM(V205:V216)</f>
        <v>50.187500000000007</v>
      </c>
      <c r="W1074" s="32">
        <f>SUM(W205:W216)</f>
        <v>5.0822234999999996</v>
      </c>
      <c r="X1074" s="32">
        <f>SUM(X205:X216)</f>
        <v>20.758966663999999</v>
      </c>
      <c r="Y1074" s="32"/>
      <c r="Z1074" s="32"/>
      <c r="AA1074" s="10"/>
      <c r="AB1074" s="10"/>
      <c r="AC1074" s="33">
        <f>AVERAGE(AC205:AC216)</f>
        <v>7.9390069595061235</v>
      </c>
      <c r="AD1074" s="27">
        <f>AVERAGE(AD205:AD216)</f>
        <v>7.8759403477218228</v>
      </c>
    </row>
    <row r="1075" spans="1:30" ht="15">
      <c r="A1075" s="11">
        <v>2031</v>
      </c>
      <c r="B1075" s="10">
        <f t="shared" ref="B1075:S1075" si="24">AVERAGE(B217:B228)</f>
        <v>8.128149999999998</v>
      </c>
      <c r="C1075" s="10">
        <f t="shared" si="24"/>
        <v>8.1344250000000002</v>
      </c>
      <c r="D1075" s="10">
        <f t="shared" si="24"/>
        <v>8.2389166666666664</v>
      </c>
      <c r="E1075" s="10">
        <f t="shared" si="24"/>
        <v>8.2710666666666679</v>
      </c>
      <c r="F1075" s="10">
        <f t="shared" si="24"/>
        <v>8.0867583333333339</v>
      </c>
      <c r="G1075" s="10">
        <f t="shared" si="24"/>
        <v>8.1033166666666663</v>
      </c>
      <c r="H1075" s="10">
        <f t="shared" si="24"/>
        <v>8.2598833333333346</v>
      </c>
      <c r="I1075" s="10">
        <f t="shared" si="24"/>
        <v>8.1218666666666675</v>
      </c>
      <c r="J1075" s="10">
        <f t="shared" si="24"/>
        <v>8.0793583333333334</v>
      </c>
      <c r="K1075" s="10">
        <f t="shared" si="24"/>
        <v>8.033833333333332</v>
      </c>
      <c r="L1075" s="10">
        <f t="shared" si="24"/>
        <v>8.8468833333333343</v>
      </c>
      <c r="M1075" s="10">
        <f t="shared" si="24"/>
        <v>7.9996666666666663</v>
      </c>
      <c r="N1075" s="10">
        <f t="shared" si="24"/>
        <v>8.0159833333333328</v>
      </c>
      <c r="O1075" s="10">
        <f t="shared" si="24"/>
        <v>8.1776666666666689</v>
      </c>
      <c r="P1075" s="10">
        <f t="shared" si="24"/>
        <v>8.0416333333333352</v>
      </c>
      <c r="Q1075" s="10">
        <f t="shared" si="24"/>
        <v>8.772966666666667</v>
      </c>
      <c r="R1075" s="10">
        <f t="shared" si="24"/>
        <v>9.3819083333333335</v>
      </c>
      <c r="S1075" s="10">
        <f t="shared" si="24"/>
        <v>7.8861749999999988</v>
      </c>
      <c r="T1075" s="32">
        <f>SUM(T217:T228)</f>
        <v>357.24568100000005</v>
      </c>
      <c r="U1075" s="32">
        <f>SUM(U217:U228)</f>
        <v>142.03263249999998</v>
      </c>
      <c r="V1075" s="32">
        <f>SUM(V217:V228)</f>
        <v>50.187500000000007</v>
      </c>
      <c r="W1075" s="32">
        <f>SUM(W217:W228)</f>
        <v>5.0822234999999996</v>
      </c>
      <c r="X1075" s="32">
        <f>SUM(X217:X228)</f>
        <v>20.758966663999999</v>
      </c>
      <c r="Y1075" s="32"/>
      <c r="Z1075" s="32"/>
      <c r="AA1075" s="10"/>
      <c r="AB1075" s="10"/>
      <c r="AC1075" s="33">
        <f>AVERAGE(AC217:AC228)</f>
        <v>8.1300752049459444</v>
      </c>
      <c r="AD1075" s="27">
        <f>AVERAGE(AD217:AD228)</f>
        <v>8.0643390887290174</v>
      </c>
    </row>
    <row r="1076" spans="1:30" ht="15">
      <c r="A1076" s="11">
        <v>2032</v>
      </c>
      <c r="B1076" s="10">
        <f t="shared" ref="B1076:S1076" si="25">AVERAGE(B229:B240)</f>
        <v>8.3238083333333321</v>
      </c>
      <c r="C1076" s="10">
        <f t="shared" si="25"/>
        <v>8.3300916666666662</v>
      </c>
      <c r="D1076" s="10">
        <f t="shared" si="25"/>
        <v>8.4345749999999988</v>
      </c>
      <c r="E1076" s="10">
        <f t="shared" si="25"/>
        <v>8.4667416666666657</v>
      </c>
      <c r="F1076" s="10">
        <f t="shared" si="25"/>
        <v>8.2824083333333309</v>
      </c>
      <c r="G1076" s="10">
        <f t="shared" si="25"/>
        <v>8.2989666666666686</v>
      </c>
      <c r="H1076" s="10">
        <f t="shared" si="25"/>
        <v>8.455541666666667</v>
      </c>
      <c r="I1076" s="10">
        <f t="shared" si="25"/>
        <v>8.3175333333333317</v>
      </c>
      <c r="J1076" s="10">
        <f t="shared" si="25"/>
        <v>8.275008333333334</v>
      </c>
      <c r="K1076" s="10">
        <f t="shared" si="25"/>
        <v>8.2233833333333326</v>
      </c>
      <c r="L1076" s="10">
        <f t="shared" si="25"/>
        <v>9.0425416666666667</v>
      </c>
      <c r="M1076" s="10">
        <f t="shared" si="25"/>
        <v>8.1925999999999988</v>
      </c>
      <c r="N1076" s="10">
        <f t="shared" si="25"/>
        <v>8.2088999999999999</v>
      </c>
      <c r="O1076" s="10">
        <f t="shared" si="25"/>
        <v>8.3705999999999996</v>
      </c>
      <c r="P1076" s="10">
        <f t="shared" si="25"/>
        <v>8.2345833333333349</v>
      </c>
      <c r="Q1076" s="10">
        <f t="shared" si="25"/>
        <v>8.9658999999999995</v>
      </c>
      <c r="R1076" s="10">
        <f t="shared" si="25"/>
        <v>9.5753166666666676</v>
      </c>
      <c r="S1076" s="10">
        <f t="shared" si="25"/>
        <v>8.075666666666665</v>
      </c>
      <c r="T1076" s="32">
        <f>SUM(T229:T240)</f>
        <v>358.17703550000004</v>
      </c>
      <c r="U1076" s="32">
        <f>SUM(U229:U240)</f>
        <v>142.42176299999997</v>
      </c>
      <c r="V1076" s="32">
        <f>SUM(V229:V240)</f>
        <v>50.325000000000003</v>
      </c>
      <c r="W1076" s="32">
        <f>SUM(W229:W240)</f>
        <v>5.0961473999999995</v>
      </c>
      <c r="X1076" s="32">
        <f>SUM(X229:X240)</f>
        <v>20.800615543999996</v>
      </c>
      <c r="Y1076" s="32"/>
      <c r="Z1076" s="32"/>
      <c r="AA1076" s="10"/>
      <c r="AB1076" s="10"/>
      <c r="AC1076" s="33">
        <f>AVERAGE(AC229:AC240)</f>
        <v>8.3257331606482285</v>
      </c>
      <c r="AD1076" s="27">
        <f>AVERAGE(AD229:AD240)</f>
        <v>8.257270983213429</v>
      </c>
    </row>
    <row r="1077" spans="1:30" ht="15">
      <c r="A1077" s="11">
        <v>2033</v>
      </c>
      <c r="B1077" s="10">
        <f t="shared" ref="B1077:S1077" si="26">AVERAGE(B241:B252)</f>
        <v>8.5241666666666678</v>
      </c>
      <c r="C1077" s="10">
        <f t="shared" si="26"/>
        <v>8.5304583333333337</v>
      </c>
      <c r="D1077" s="10">
        <f t="shared" si="26"/>
        <v>8.6349416666666663</v>
      </c>
      <c r="E1077" s="10">
        <f t="shared" si="26"/>
        <v>8.6671250000000004</v>
      </c>
      <c r="F1077" s="10">
        <f t="shared" si="26"/>
        <v>8.482783333333332</v>
      </c>
      <c r="G1077" s="10">
        <f t="shared" si="26"/>
        <v>8.4993250000000007</v>
      </c>
      <c r="H1077" s="10">
        <f t="shared" si="26"/>
        <v>8.655899999999999</v>
      </c>
      <c r="I1077" s="10">
        <f t="shared" si="26"/>
        <v>8.5179166666666664</v>
      </c>
      <c r="J1077" s="10">
        <f t="shared" si="26"/>
        <v>8.475383333333335</v>
      </c>
      <c r="K1077" s="10">
        <f t="shared" si="26"/>
        <v>8.4174916666666686</v>
      </c>
      <c r="L1077" s="10">
        <f t="shared" si="26"/>
        <v>9.2428999999999988</v>
      </c>
      <c r="M1077" s="10">
        <f t="shared" si="26"/>
        <v>8.3901833333333329</v>
      </c>
      <c r="N1077" s="10">
        <f t="shared" si="26"/>
        <v>8.4064999999999994</v>
      </c>
      <c r="O1077" s="10">
        <f t="shared" si="26"/>
        <v>8.5681666666666647</v>
      </c>
      <c r="P1077" s="10">
        <f t="shared" si="26"/>
        <v>8.4321583333333319</v>
      </c>
      <c r="Q1077" s="10">
        <f t="shared" si="26"/>
        <v>9.1634666666666664</v>
      </c>
      <c r="R1077" s="10">
        <f t="shared" si="26"/>
        <v>9.7733666666666661</v>
      </c>
      <c r="S1077" s="10">
        <f t="shared" si="26"/>
        <v>8.269658333333334</v>
      </c>
      <c r="T1077" s="32">
        <f>SUM(T241:T252)</f>
        <v>357.24568100000005</v>
      </c>
      <c r="U1077" s="32">
        <f>SUM(U241:U252)</f>
        <v>142.03263249999998</v>
      </c>
      <c r="V1077" s="32">
        <f>SUM(V241:V252)</f>
        <v>50.187500000000007</v>
      </c>
      <c r="W1077" s="32">
        <f>SUM(W241:W252)</f>
        <v>5.0822234999999996</v>
      </c>
      <c r="X1077" s="32">
        <f>SUM(X241:X252)</f>
        <v>20.758966663999999</v>
      </c>
      <c r="Y1077" s="32"/>
      <c r="Z1077" s="32"/>
      <c r="AA1077" s="10"/>
      <c r="AB1077" s="10"/>
      <c r="AC1077" s="33">
        <f>AVERAGE(AC241:AC252)</f>
        <v>8.5261019494466215</v>
      </c>
      <c r="AD1077" s="27">
        <f>AVERAGE(AD241:AD252)</f>
        <v>8.4548494004796151</v>
      </c>
    </row>
    <row r="1078" spans="1:30" ht="15">
      <c r="A1078" s="11">
        <v>2034</v>
      </c>
      <c r="B1078" s="10">
        <f t="shared" ref="B1078:S1078" si="27">AVERAGE(B253:B264)</f>
        <v>8.7293249999999993</v>
      </c>
      <c r="C1078" s="10">
        <f t="shared" si="27"/>
        <v>8.7356083333333334</v>
      </c>
      <c r="D1078" s="10">
        <f t="shared" si="27"/>
        <v>8.8401166666666668</v>
      </c>
      <c r="E1078" s="10">
        <f t="shared" si="27"/>
        <v>8.8722833333333337</v>
      </c>
      <c r="F1078" s="10">
        <f t="shared" si="27"/>
        <v>8.687949999999999</v>
      </c>
      <c r="G1078" s="10">
        <f t="shared" si="27"/>
        <v>8.7044999999999995</v>
      </c>
      <c r="H1078" s="10">
        <f t="shared" si="27"/>
        <v>8.8610749999999996</v>
      </c>
      <c r="I1078" s="10">
        <f t="shared" si="27"/>
        <v>8.7230833333333333</v>
      </c>
      <c r="J1078" s="10">
        <f t="shared" si="27"/>
        <v>8.6805500000000002</v>
      </c>
      <c r="K1078" s="10">
        <f t="shared" si="27"/>
        <v>8.6162749999999999</v>
      </c>
      <c r="L1078" s="10">
        <f t="shared" si="27"/>
        <v>9.4480750000000011</v>
      </c>
      <c r="M1078" s="10">
        <f t="shared" si="27"/>
        <v>8.5924833333333339</v>
      </c>
      <c r="N1078" s="10">
        <f t="shared" si="27"/>
        <v>8.6087916666666668</v>
      </c>
      <c r="O1078" s="10">
        <f t="shared" si="27"/>
        <v>8.770483333333333</v>
      </c>
      <c r="P1078" s="10">
        <f t="shared" si="27"/>
        <v>8.6344750000000001</v>
      </c>
      <c r="Q1078" s="10">
        <f t="shared" si="27"/>
        <v>9.3657833333333329</v>
      </c>
      <c r="R1078" s="10">
        <f t="shared" si="27"/>
        <v>9.9762000000000004</v>
      </c>
      <c r="S1078" s="10">
        <f t="shared" si="27"/>
        <v>8.4683416666666673</v>
      </c>
      <c r="T1078" s="32">
        <f>SUM(T253:T264)</f>
        <v>357.24568100000005</v>
      </c>
      <c r="U1078" s="32">
        <f>SUM(U253:U264)</f>
        <v>142.03263249999998</v>
      </c>
      <c r="V1078" s="32">
        <f>SUM(V253:V264)</f>
        <v>50.187500000000007</v>
      </c>
      <c r="W1078" s="32">
        <f>SUM(W253:W264)</f>
        <v>5.0822234999999996</v>
      </c>
      <c r="X1078" s="32">
        <f>SUM(X253:X264)</f>
        <v>20.758966663999999</v>
      </c>
      <c r="Y1078" s="32"/>
      <c r="Z1078" s="32"/>
      <c r="AA1078" s="10"/>
      <c r="AB1078" s="10"/>
      <c r="AC1078" s="33">
        <f>AVERAGE(AC253:AC264)</f>
        <v>8.7312660711118362</v>
      </c>
      <c r="AD1078" s="27">
        <f>AVERAGE(AD253:AD264)</f>
        <v>8.6571559952038353</v>
      </c>
    </row>
    <row r="1079" spans="1:30" ht="15">
      <c r="A1079" s="11">
        <v>2035</v>
      </c>
      <c r="B1079" s="10">
        <f t="shared" ref="B1079:S1079" si="28">AVERAGE(B265:B276)</f>
        <v>8.9394583333333326</v>
      </c>
      <c r="C1079" s="10">
        <f t="shared" si="28"/>
        <v>8.9457333333333331</v>
      </c>
      <c r="D1079" s="10">
        <f t="shared" si="28"/>
        <v>9.0502083333333321</v>
      </c>
      <c r="E1079" s="10">
        <f t="shared" si="28"/>
        <v>9.0823833333333326</v>
      </c>
      <c r="F1079" s="10">
        <f t="shared" si="28"/>
        <v>8.8980499999999996</v>
      </c>
      <c r="G1079" s="10">
        <f t="shared" si="28"/>
        <v>8.9146166666666655</v>
      </c>
      <c r="H1079" s="10">
        <f t="shared" si="28"/>
        <v>9.0711833333333338</v>
      </c>
      <c r="I1079" s="10">
        <f t="shared" si="28"/>
        <v>8.9331750000000003</v>
      </c>
      <c r="J1079" s="10">
        <f t="shared" si="28"/>
        <v>8.8906500000000008</v>
      </c>
      <c r="K1079" s="10">
        <f t="shared" si="28"/>
        <v>8.8198166666666697</v>
      </c>
      <c r="L1079" s="10">
        <f t="shared" si="28"/>
        <v>9.6581833333333336</v>
      </c>
      <c r="M1079" s="10">
        <f t="shared" si="28"/>
        <v>8.7996499999999997</v>
      </c>
      <c r="N1079" s="10">
        <f t="shared" si="28"/>
        <v>8.8159749999999999</v>
      </c>
      <c r="O1079" s="10">
        <f t="shared" si="28"/>
        <v>8.977666666666666</v>
      </c>
      <c r="P1079" s="10">
        <f t="shared" si="28"/>
        <v>8.8416333333333323</v>
      </c>
      <c r="Q1079" s="10">
        <f t="shared" si="28"/>
        <v>9.5729666666666642</v>
      </c>
      <c r="R1079" s="10">
        <f t="shared" si="28"/>
        <v>10.1839</v>
      </c>
      <c r="S1079" s="10">
        <f t="shared" si="28"/>
        <v>8.6717666666666666</v>
      </c>
      <c r="T1079" s="32">
        <f>SUM(T265:T276)</f>
        <v>357.24568100000005</v>
      </c>
      <c r="U1079" s="32">
        <f>SUM(U265:U276)</f>
        <v>142.03263249999998</v>
      </c>
      <c r="V1079" s="32">
        <f>SUM(V265:V276)</f>
        <v>50.187500000000007</v>
      </c>
      <c r="W1079" s="32">
        <f>SUM(W265:W276)</f>
        <v>5.0822234999999996</v>
      </c>
      <c r="X1079" s="32">
        <f>SUM(X265:X276)</f>
        <v>20.758966663999999</v>
      </c>
      <c r="Y1079" s="32"/>
      <c r="Z1079" s="32"/>
      <c r="AA1079" s="10"/>
      <c r="AB1079" s="10"/>
      <c r="AC1079" s="33">
        <f>AVERAGE(AC265:AC276)</f>
        <v>8.9413768777250411</v>
      </c>
      <c r="AD1079" s="27">
        <f>AVERAGE(AD265:AD276)</f>
        <v>8.8643299760191852</v>
      </c>
    </row>
    <row r="1080" spans="1:30" ht="15">
      <c r="A1080" s="11">
        <v>2036</v>
      </c>
      <c r="B1080" s="10">
        <f t="shared" ref="B1080:S1080" si="29">AVERAGE(B277:B288)</f>
        <v>9.1545916666666667</v>
      </c>
      <c r="C1080" s="10">
        <f t="shared" si="29"/>
        <v>9.1608750000000008</v>
      </c>
      <c r="D1080" s="10">
        <f t="shared" si="29"/>
        <v>9.2653583333333334</v>
      </c>
      <c r="E1080" s="10">
        <f t="shared" si="29"/>
        <v>9.2975333333333321</v>
      </c>
      <c r="F1080" s="10">
        <f t="shared" si="29"/>
        <v>9.1132083333333327</v>
      </c>
      <c r="G1080" s="10">
        <f t="shared" si="29"/>
        <v>9.1297500000000014</v>
      </c>
      <c r="H1080" s="10">
        <f t="shared" si="29"/>
        <v>9.2863333333333333</v>
      </c>
      <c r="I1080" s="10">
        <f t="shared" si="29"/>
        <v>9.1483250000000016</v>
      </c>
      <c r="J1080" s="10">
        <f t="shared" si="29"/>
        <v>9.1058083333333339</v>
      </c>
      <c r="K1080" s="10">
        <f t="shared" si="29"/>
        <v>9.0282500000000017</v>
      </c>
      <c r="L1080" s="10">
        <f t="shared" si="29"/>
        <v>9.8733333333333348</v>
      </c>
      <c r="M1080" s="10">
        <f t="shared" si="29"/>
        <v>9.0117916666666673</v>
      </c>
      <c r="N1080" s="10">
        <f t="shared" si="29"/>
        <v>9.0281083333333338</v>
      </c>
      <c r="O1080" s="10">
        <f t="shared" si="29"/>
        <v>9.1898</v>
      </c>
      <c r="P1080" s="10">
        <f t="shared" si="29"/>
        <v>9.0537833333333335</v>
      </c>
      <c r="Q1080" s="10">
        <f t="shared" si="29"/>
        <v>9.7850999999999999</v>
      </c>
      <c r="R1080" s="10">
        <f t="shared" si="29"/>
        <v>10.396575</v>
      </c>
      <c r="S1080" s="10">
        <f t="shared" si="29"/>
        <v>8.8800916666666669</v>
      </c>
      <c r="T1080" s="32">
        <f>SUM(T277:T288)</f>
        <v>358.17703550000004</v>
      </c>
      <c r="U1080" s="32">
        <f>SUM(U277:U288)</f>
        <v>142.42176299999997</v>
      </c>
      <c r="V1080" s="32">
        <f>SUM(V277:V288)</f>
        <v>50.325000000000003</v>
      </c>
      <c r="W1080" s="32">
        <f>SUM(W277:W288)</f>
        <v>5.0961473999999995</v>
      </c>
      <c r="X1080" s="32">
        <f>SUM(X277:X288)</f>
        <v>20.800615543999996</v>
      </c>
      <c r="Y1080" s="32"/>
      <c r="Z1080" s="32"/>
      <c r="AA1080" s="10"/>
      <c r="AB1080" s="10"/>
      <c r="AC1080" s="33">
        <f>AVERAGE(AC277:AC288)</f>
        <v>9.1565226547490415</v>
      </c>
      <c r="AD1080" s="27">
        <f>AVERAGE(AD277:AD288)</f>
        <v>9.076470023980816</v>
      </c>
    </row>
    <row r="1081" spans="1:30" ht="15">
      <c r="A1081" s="11">
        <v>2037</v>
      </c>
      <c r="B1081" s="10">
        <f t="shared" ref="B1081:S1081" si="30">AVERAGE(B289:B300)</f>
        <v>9.3749166666666657</v>
      </c>
      <c r="C1081" s="10">
        <f t="shared" si="30"/>
        <v>9.3812000000000015</v>
      </c>
      <c r="D1081" s="10">
        <f t="shared" si="30"/>
        <v>9.4856999999999996</v>
      </c>
      <c r="E1081" s="10">
        <f t="shared" si="30"/>
        <v>9.517850000000001</v>
      </c>
      <c r="F1081" s="10">
        <f t="shared" si="30"/>
        <v>9.3335333333333335</v>
      </c>
      <c r="G1081" s="10">
        <f t="shared" si="30"/>
        <v>9.3500916666666676</v>
      </c>
      <c r="H1081" s="10">
        <f t="shared" si="30"/>
        <v>9.5066583333333323</v>
      </c>
      <c r="I1081" s="10">
        <f t="shared" si="30"/>
        <v>9.3686583333333342</v>
      </c>
      <c r="J1081" s="10">
        <f t="shared" si="30"/>
        <v>9.3261333333333347</v>
      </c>
      <c r="K1081" s="10">
        <f t="shared" si="30"/>
        <v>9.2416999999999998</v>
      </c>
      <c r="L1081" s="10">
        <f t="shared" si="30"/>
        <v>10.093658333333334</v>
      </c>
      <c r="M1081" s="10">
        <f t="shared" si="30"/>
        <v>9.2290499999999991</v>
      </c>
      <c r="N1081" s="10">
        <f t="shared" si="30"/>
        <v>9.2453666666666674</v>
      </c>
      <c r="O1081" s="10">
        <f t="shared" si="30"/>
        <v>9.4070583333333335</v>
      </c>
      <c r="P1081" s="10">
        <f t="shared" si="30"/>
        <v>9.2710333333333335</v>
      </c>
      <c r="Q1081" s="10">
        <f t="shared" si="30"/>
        <v>10.002358333333332</v>
      </c>
      <c r="R1081" s="10">
        <f t="shared" si="30"/>
        <v>10.614366666666667</v>
      </c>
      <c r="S1081" s="10">
        <f t="shared" si="30"/>
        <v>9.0934333333333335</v>
      </c>
      <c r="T1081" s="32">
        <f>SUM(T289:T300)</f>
        <v>357.24568100000005</v>
      </c>
      <c r="U1081" s="32">
        <f>SUM(U289:U300)</f>
        <v>142.03263249999998</v>
      </c>
      <c r="V1081" s="32">
        <f>SUM(V289:V300)</f>
        <v>50.187500000000007</v>
      </c>
      <c r="W1081" s="32">
        <f>SUM(W289:W300)</f>
        <v>5.0822234999999996</v>
      </c>
      <c r="X1081" s="32">
        <f>SUM(X289:X300)</f>
        <v>20.758966663999999</v>
      </c>
      <c r="Y1081" s="32"/>
      <c r="Z1081" s="32"/>
      <c r="AA1081" s="10"/>
      <c r="AB1081" s="10"/>
      <c r="AC1081" s="33">
        <f>AVERAGE(AC289:AC300)</f>
        <v>9.3768517794407256</v>
      </c>
      <c r="AD1081" s="27">
        <f>AVERAGE(AD289:AD300)</f>
        <v>9.2937271582733825</v>
      </c>
    </row>
    <row r="1082" spans="1:30" ht="15">
      <c r="A1082" s="11">
        <f t="shared" ref="A1082:A1113" si="31">A1081+1</f>
        <v>2038</v>
      </c>
      <c r="B1082" s="10">
        <f t="shared" ref="B1082:S1082" si="32">AVERAGE(B301:B312)</f>
        <v>9.6005333333333329</v>
      </c>
      <c r="C1082" s="10">
        <f t="shared" si="32"/>
        <v>9.6068083333333352</v>
      </c>
      <c r="D1082" s="10">
        <f t="shared" si="32"/>
        <v>9.7113083333333332</v>
      </c>
      <c r="E1082" s="10">
        <f t="shared" si="32"/>
        <v>9.7434750000000019</v>
      </c>
      <c r="F1082" s="10">
        <f t="shared" si="32"/>
        <v>9.5591500000000007</v>
      </c>
      <c r="G1082" s="10">
        <f t="shared" si="32"/>
        <v>9.575708333333333</v>
      </c>
      <c r="H1082" s="10">
        <f t="shared" si="32"/>
        <v>9.7322749999999996</v>
      </c>
      <c r="I1082" s="10">
        <f t="shared" si="32"/>
        <v>9.5942750000000014</v>
      </c>
      <c r="J1082" s="10">
        <f t="shared" si="32"/>
        <v>9.5517499999999984</v>
      </c>
      <c r="K1082" s="10">
        <f t="shared" si="32"/>
        <v>9.4602833333333312</v>
      </c>
      <c r="L1082" s="10">
        <f t="shared" si="32"/>
        <v>10.319274999999999</v>
      </c>
      <c r="M1082" s="10">
        <f t="shared" si="32"/>
        <v>9.4515083333333347</v>
      </c>
      <c r="N1082" s="10">
        <f t="shared" si="32"/>
        <v>9.4678333333333331</v>
      </c>
      <c r="O1082" s="10">
        <f t="shared" si="32"/>
        <v>9.629525000000001</v>
      </c>
      <c r="P1082" s="10">
        <f t="shared" si="32"/>
        <v>9.4935083333333345</v>
      </c>
      <c r="Q1082" s="10">
        <f t="shared" si="32"/>
        <v>10.224824999999997</v>
      </c>
      <c r="R1082" s="10">
        <f t="shared" si="32"/>
        <v>10.837400000000001</v>
      </c>
      <c r="S1082" s="10">
        <f t="shared" si="32"/>
        <v>9.3118999999999996</v>
      </c>
      <c r="T1082" s="32">
        <f>SUM(T301:T312)</f>
        <v>357.24568100000005</v>
      </c>
      <c r="U1082" s="32">
        <f>SUM(U301:U312)</f>
        <v>142.03263249999998</v>
      </c>
      <c r="V1082" s="32">
        <f>SUM(V301:V312)</f>
        <v>50.187500000000007</v>
      </c>
      <c r="W1082" s="32">
        <f>SUM(W301:W312)</f>
        <v>5.0822234999999996</v>
      </c>
      <c r="X1082" s="32">
        <f>SUM(X301:X312)</f>
        <v>20.758966663999999</v>
      </c>
      <c r="Y1082" s="32"/>
      <c r="Z1082" s="32"/>
      <c r="AA1082" s="10"/>
      <c r="AB1082" s="10"/>
      <c r="AC1082" s="33">
        <f>AVERAGE(AC301:AC312)</f>
        <v>9.6024656840296956</v>
      </c>
      <c r="AD1082" s="27">
        <f>AVERAGE(AD301:AD312)</f>
        <v>9.5161907074340508</v>
      </c>
    </row>
    <row r="1083" spans="1:30" ht="15">
      <c r="A1083" s="11">
        <f t="shared" si="31"/>
        <v>2039</v>
      </c>
      <c r="B1083" s="10">
        <f t="shared" ref="B1083:S1083" si="33">AVERAGE(B313:B324)</f>
        <v>9.8315833333333327</v>
      </c>
      <c r="C1083" s="10">
        <f t="shared" si="33"/>
        <v>9.837866666666665</v>
      </c>
      <c r="D1083" s="10">
        <f t="shared" si="33"/>
        <v>9.9423499999999994</v>
      </c>
      <c r="E1083" s="10">
        <f t="shared" si="33"/>
        <v>9.9745083333333344</v>
      </c>
      <c r="F1083" s="10">
        <f t="shared" si="33"/>
        <v>9.7901916666666668</v>
      </c>
      <c r="G1083" s="10">
        <f t="shared" si="33"/>
        <v>9.8067416666666656</v>
      </c>
      <c r="H1083" s="10">
        <f t="shared" si="33"/>
        <v>9.9633000000000003</v>
      </c>
      <c r="I1083" s="10">
        <f t="shared" si="33"/>
        <v>9.8253166666666676</v>
      </c>
      <c r="J1083" s="10">
        <f t="shared" si="33"/>
        <v>9.7827916666666663</v>
      </c>
      <c r="K1083" s="10">
        <f t="shared" si="33"/>
        <v>9.6841083333333344</v>
      </c>
      <c r="L1083" s="10">
        <f t="shared" si="33"/>
        <v>10.5503</v>
      </c>
      <c r="M1083" s="10">
        <f t="shared" si="33"/>
        <v>9.6793416666666676</v>
      </c>
      <c r="N1083" s="10">
        <f t="shared" si="33"/>
        <v>9.6956583333333324</v>
      </c>
      <c r="O1083" s="10">
        <f t="shared" si="33"/>
        <v>9.8573500000000021</v>
      </c>
      <c r="P1083" s="10">
        <f t="shared" si="33"/>
        <v>9.7213250000000002</v>
      </c>
      <c r="Q1083" s="10">
        <f t="shared" si="33"/>
        <v>10.45265</v>
      </c>
      <c r="R1083" s="10">
        <f t="shared" si="33"/>
        <v>11.065783333333334</v>
      </c>
      <c r="S1083" s="10">
        <f t="shared" si="33"/>
        <v>9.5356333333333332</v>
      </c>
      <c r="T1083" s="32">
        <f>SUM(T313:T324)</f>
        <v>357.24568100000005</v>
      </c>
      <c r="U1083" s="32">
        <f>SUM(U313:U324)</f>
        <v>142.03263249999998</v>
      </c>
      <c r="V1083" s="32">
        <f>SUM(V313:V324)</f>
        <v>50.187500000000007</v>
      </c>
      <c r="W1083" s="32">
        <f>SUM(W313:W324)</f>
        <v>5.0822234999999996</v>
      </c>
      <c r="X1083" s="32">
        <f>SUM(X313:X324)</f>
        <v>20.758966663999999</v>
      </c>
      <c r="Y1083" s="32"/>
      <c r="Z1083" s="32"/>
      <c r="AA1083" s="37"/>
      <c r="AB1083" s="36"/>
      <c r="AC1083" s="33">
        <f>AVERAGE(AC313:AC324)</f>
        <v>9.8335111959103507</v>
      </c>
      <c r="AD1083" s="27">
        <f>AVERAGE(AD313:AD324)</f>
        <v>9.7440173860911283</v>
      </c>
    </row>
    <row r="1084" spans="1:30" ht="15">
      <c r="A1084" s="11">
        <f t="shared" si="31"/>
        <v>2040</v>
      </c>
      <c r="B1084" s="10">
        <f t="shared" ref="B1084:S1084" si="34">AVERAGE(B325:B336)</f>
        <v>10.068175</v>
      </c>
      <c r="C1084" s="10">
        <f t="shared" si="34"/>
        <v>10.074458333333332</v>
      </c>
      <c r="D1084" s="10">
        <f t="shared" si="34"/>
        <v>10.178933333333335</v>
      </c>
      <c r="E1084" s="10">
        <f t="shared" si="34"/>
        <v>10.2111</v>
      </c>
      <c r="F1084" s="10">
        <f t="shared" si="34"/>
        <v>10.026766666666665</v>
      </c>
      <c r="G1084" s="10">
        <f t="shared" si="34"/>
        <v>10.043325000000001</v>
      </c>
      <c r="H1084" s="10">
        <f t="shared" si="34"/>
        <v>10.199908333333335</v>
      </c>
      <c r="I1084" s="10">
        <f t="shared" si="34"/>
        <v>10.0619</v>
      </c>
      <c r="J1084" s="10">
        <f t="shared" si="34"/>
        <v>10.019366666666667</v>
      </c>
      <c r="K1084" s="10">
        <f t="shared" si="34"/>
        <v>9.9133166666666686</v>
      </c>
      <c r="L1084" s="10">
        <f t="shared" si="34"/>
        <v>10.786908333333331</v>
      </c>
      <c r="M1084" s="10">
        <f t="shared" si="34"/>
        <v>9.9126166666666666</v>
      </c>
      <c r="N1084" s="10">
        <f t="shared" si="34"/>
        <v>9.9289333333333314</v>
      </c>
      <c r="O1084" s="10">
        <f t="shared" si="34"/>
        <v>10.090624999999999</v>
      </c>
      <c r="P1084" s="10">
        <f t="shared" si="34"/>
        <v>9.9546083333333328</v>
      </c>
      <c r="Q1084" s="10">
        <f t="shared" si="34"/>
        <v>10.685924999999999</v>
      </c>
      <c r="R1084" s="10">
        <f t="shared" si="34"/>
        <v>11.299633333333333</v>
      </c>
      <c r="S1084" s="10">
        <f t="shared" si="34"/>
        <v>9.7647166666666667</v>
      </c>
      <c r="T1084" s="32">
        <f>SUM(T325:T336)</f>
        <v>358.17703550000004</v>
      </c>
      <c r="U1084" s="32">
        <f>SUM(U325:U336)</f>
        <v>142.42176299999997</v>
      </c>
      <c r="V1084" s="32">
        <f>SUM(V325:V336)</f>
        <v>50.325000000000003</v>
      </c>
      <c r="W1084" s="32">
        <f>SUM(W325:W336)</f>
        <v>5.0961473999999995</v>
      </c>
      <c r="X1084" s="32">
        <f>SUM(X325:X336)</f>
        <v>20.800615543999996</v>
      </c>
      <c r="Y1084" s="32"/>
      <c r="Z1084" s="32"/>
      <c r="AA1084" s="37"/>
      <c r="AB1084" s="36"/>
      <c r="AC1084" s="33">
        <f>AVERAGE(AC325:AC336)</f>
        <v>10.070095435144589</v>
      </c>
      <c r="AD1084" s="27">
        <f>AVERAGE(AD325:AD336)</f>
        <v>9.9772935851318945</v>
      </c>
    </row>
    <row r="1085" spans="1:30" ht="15">
      <c r="A1085" s="11">
        <f t="shared" si="31"/>
        <v>2041</v>
      </c>
      <c r="B1085" s="10">
        <f t="shared" ref="B1085:S1085" si="35">AVERAGE(B337:B348)</f>
        <v>10.310441666666668</v>
      </c>
      <c r="C1085" s="10">
        <f t="shared" si="35"/>
        <v>10.316725</v>
      </c>
      <c r="D1085" s="10">
        <f t="shared" si="35"/>
        <v>10.421225</v>
      </c>
      <c r="E1085" s="10">
        <f t="shared" si="35"/>
        <v>10.453366666666669</v>
      </c>
      <c r="F1085" s="10">
        <f t="shared" si="35"/>
        <v>10.269041666666668</v>
      </c>
      <c r="G1085" s="10">
        <f t="shared" si="35"/>
        <v>10.285591666666665</v>
      </c>
      <c r="H1085" s="10">
        <f t="shared" si="35"/>
        <v>10.442175000000002</v>
      </c>
      <c r="I1085" s="10">
        <f t="shared" si="35"/>
        <v>10.304174999999999</v>
      </c>
      <c r="J1085" s="10">
        <f t="shared" si="35"/>
        <v>10.261641666666664</v>
      </c>
      <c r="K1085" s="10">
        <f t="shared" si="35"/>
        <v>10.148016666666665</v>
      </c>
      <c r="L1085" s="10">
        <f t="shared" si="35"/>
        <v>11.029174999999997</v>
      </c>
      <c r="M1085" s="10">
        <f t="shared" si="35"/>
        <v>10.151516666666666</v>
      </c>
      <c r="N1085" s="10">
        <f t="shared" si="35"/>
        <v>10.167833333333332</v>
      </c>
      <c r="O1085" s="10">
        <f t="shared" si="35"/>
        <v>10.329516666666668</v>
      </c>
      <c r="P1085" s="10">
        <f t="shared" si="35"/>
        <v>10.193483333333335</v>
      </c>
      <c r="Q1085" s="10">
        <f t="shared" si="35"/>
        <v>10.924816666666667</v>
      </c>
      <c r="R1085" s="10">
        <f t="shared" si="35"/>
        <v>11.539133333333332</v>
      </c>
      <c r="S1085" s="10">
        <f t="shared" si="35"/>
        <v>9.9993083333333335</v>
      </c>
      <c r="T1085" s="32">
        <f>SUM(T337:T348)</f>
        <v>357.24568100000005</v>
      </c>
      <c r="U1085" s="32">
        <f>SUM(U337:U348)</f>
        <v>142.03263249999998</v>
      </c>
      <c r="V1085" s="32">
        <f>SUM(V337:V348)</f>
        <v>50.187500000000007</v>
      </c>
      <c r="W1085" s="32">
        <f>SUM(W337:W348)</f>
        <v>5.0822234999999996</v>
      </c>
      <c r="X1085" s="32">
        <f>SUM(X337:X348)</f>
        <v>20.758966663999999</v>
      </c>
      <c r="Y1085" s="32"/>
      <c r="Z1085" s="32"/>
      <c r="AA1085" s="37"/>
      <c r="AB1085" s="36"/>
      <c r="AC1085" s="33">
        <f>AVERAGE(AC337:AC348)</f>
        <v>10.312367522925191</v>
      </c>
      <c r="AD1085" s="27">
        <f>AVERAGE(AD337:AD348)</f>
        <v>10.216189088729019</v>
      </c>
    </row>
    <row r="1086" spans="1:30" ht="15">
      <c r="A1086" s="11">
        <f t="shared" si="31"/>
        <v>2042</v>
      </c>
      <c r="B1086" s="10">
        <f t="shared" ref="B1086:S1086" si="36">AVERAGE(B349:B360)</f>
        <v>10.558533333333331</v>
      </c>
      <c r="C1086" s="10">
        <f t="shared" si="36"/>
        <v>10.564808333333334</v>
      </c>
      <c r="D1086" s="10">
        <f t="shared" si="36"/>
        <v>10.669316666666665</v>
      </c>
      <c r="E1086" s="10">
        <f t="shared" si="36"/>
        <v>10.701483333333334</v>
      </c>
      <c r="F1086" s="10">
        <f t="shared" si="36"/>
        <v>10.517149999999999</v>
      </c>
      <c r="G1086" s="10">
        <f t="shared" si="36"/>
        <v>10.533691666666666</v>
      </c>
      <c r="H1086" s="10">
        <f t="shared" si="36"/>
        <v>10.690275000000002</v>
      </c>
      <c r="I1086" s="10">
        <f t="shared" si="36"/>
        <v>10.552275000000002</v>
      </c>
      <c r="J1086" s="10">
        <f t="shared" si="36"/>
        <v>10.50975</v>
      </c>
      <c r="K1086" s="10">
        <f t="shared" si="36"/>
        <v>10.388366666666665</v>
      </c>
      <c r="L1086" s="10">
        <f t="shared" si="36"/>
        <v>11.277275000000001</v>
      </c>
      <c r="M1086" s="10">
        <f t="shared" si="36"/>
        <v>10.39615</v>
      </c>
      <c r="N1086" s="10">
        <f t="shared" si="36"/>
        <v>10.412466666666665</v>
      </c>
      <c r="O1086" s="10">
        <f t="shared" si="36"/>
        <v>10.574149999999999</v>
      </c>
      <c r="P1086" s="10">
        <f t="shared" si="36"/>
        <v>10.438141666666665</v>
      </c>
      <c r="Q1086" s="10">
        <f t="shared" si="36"/>
        <v>11.169449999999999</v>
      </c>
      <c r="R1086" s="10">
        <f t="shared" si="36"/>
        <v>11.784383333333333</v>
      </c>
      <c r="S1086" s="10">
        <f t="shared" si="36"/>
        <v>10.239533333333334</v>
      </c>
      <c r="T1086" s="32">
        <f>SUM(T349:T360)</f>
        <v>357.24568100000005</v>
      </c>
      <c r="U1086" s="32">
        <f>SUM(U349:U360)</f>
        <v>142.03263249999998</v>
      </c>
      <c r="V1086" s="32">
        <f>SUM(V349:V360)</f>
        <v>50.187500000000007</v>
      </c>
      <c r="W1086" s="32">
        <f>SUM(W349:W360)</f>
        <v>5.0822234999999996</v>
      </c>
      <c r="X1086" s="32">
        <f>SUM(X349:X360)</f>
        <v>20.758966663999999</v>
      </c>
      <c r="Y1086" s="32"/>
      <c r="Z1086" s="32"/>
      <c r="AA1086" s="37"/>
      <c r="AB1086" s="36"/>
      <c r="AC1086" s="33">
        <f>AVERAGE(AC349:AC360)</f>
        <v>10.560465162009281</v>
      </c>
      <c r="AD1086" s="27">
        <f>AVERAGE(AD349:AD360)</f>
        <v>10.46082458033573</v>
      </c>
    </row>
    <row r="1087" spans="1:30" ht="15">
      <c r="A1087" s="11">
        <f t="shared" si="31"/>
        <v>2043</v>
      </c>
      <c r="B1087" s="10">
        <f t="shared" ref="B1087:S1087" si="37">AVERAGE(B361:B372)</f>
        <v>10.812591666666668</v>
      </c>
      <c r="C1087" s="10">
        <f t="shared" si="37"/>
        <v>10.818866666666667</v>
      </c>
      <c r="D1087" s="10">
        <f t="shared" si="37"/>
        <v>10.923366666666666</v>
      </c>
      <c r="E1087" s="10">
        <f t="shared" si="37"/>
        <v>10.955525</v>
      </c>
      <c r="F1087" s="10">
        <f t="shared" si="37"/>
        <v>10.771208333333334</v>
      </c>
      <c r="G1087" s="10">
        <f t="shared" si="37"/>
        <v>10.787758333333334</v>
      </c>
      <c r="H1087" s="10">
        <f t="shared" si="37"/>
        <v>10.944333333333333</v>
      </c>
      <c r="I1087" s="10">
        <f t="shared" si="37"/>
        <v>10.806325000000001</v>
      </c>
      <c r="J1087" s="10">
        <f t="shared" si="37"/>
        <v>10.763808333333335</v>
      </c>
      <c r="K1087" s="10">
        <f t="shared" si="37"/>
        <v>10.634491666666666</v>
      </c>
      <c r="L1087" s="10">
        <f t="shared" si="37"/>
        <v>11.531333333333334</v>
      </c>
      <c r="M1087" s="10">
        <f t="shared" si="37"/>
        <v>10.646658333333333</v>
      </c>
      <c r="N1087" s="10">
        <f t="shared" si="37"/>
        <v>10.662975000000001</v>
      </c>
      <c r="O1087" s="10">
        <f t="shared" si="37"/>
        <v>10.824658333333332</v>
      </c>
      <c r="P1087" s="10">
        <f t="shared" si="37"/>
        <v>10.688658333333334</v>
      </c>
      <c r="Q1087" s="10">
        <f t="shared" si="37"/>
        <v>11.419958333333332</v>
      </c>
      <c r="R1087" s="10">
        <f t="shared" si="37"/>
        <v>12.035525000000002</v>
      </c>
      <c r="S1087" s="10">
        <f t="shared" si="37"/>
        <v>10.485533333333334</v>
      </c>
      <c r="T1087" s="32">
        <f>SUM(T361:T372)</f>
        <v>357.24568100000005</v>
      </c>
      <c r="U1087" s="32">
        <f>SUM(U361:U372)</f>
        <v>142.03263249999998</v>
      </c>
      <c r="V1087" s="32">
        <f>SUM(V361:V372)</f>
        <v>50.187500000000007</v>
      </c>
      <c r="W1087" s="32">
        <f>SUM(W361:W372)</f>
        <v>5.0822234999999996</v>
      </c>
      <c r="X1087" s="32">
        <f>SUM(X361:X372)</f>
        <v>20.758966663999999</v>
      </c>
      <c r="Y1087" s="32"/>
      <c r="Z1087" s="32"/>
      <c r="AA1087" s="37"/>
      <c r="AB1087" s="36"/>
      <c r="AC1087" s="33">
        <f>AVERAGE(AC361:AC372)</f>
        <v>10.814522506529551</v>
      </c>
      <c r="AD1087" s="27">
        <f>AVERAGE(AD361:AD372)</f>
        <v>10.711334112709833</v>
      </c>
    </row>
    <row r="1088" spans="1:30" ht="15">
      <c r="A1088" s="11">
        <f t="shared" si="31"/>
        <v>2044</v>
      </c>
      <c r="B1088" s="10">
        <f t="shared" ref="B1088:S1088" si="38">AVERAGE(B373:B384)</f>
        <v>11.072741666666667</v>
      </c>
      <c r="C1088" s="10">
        <f t="shared" si="38"/>
        <v>11.079033333333335</v>
      </c>
      <c r="D1088" s="10">
        <f t="shared" si="38"/>
        <v>11.183533333333335</v>
      </c>
      <c r="E1088" s="10">
        <f t="shared" si="38"/>
        <v>11.215674999999999</v>
      </c>
      <c r="F1088" s="10">
        <f t="shared" si="38"/>
        <v>11.031358333333335</v>
      </c>
      <c r="G1088" s="10">
        <f t="shared" si="38"/>
        <v>11.047925000000001</v>
      </c>
      <c r="H1088" s="10">
        <f t="shared" si="38"/>
        <v>11.204491666666668</v>
      </c>
      <c r="I1088" s="10">
        <f t="shared" si="38"/>
        <v>11.066474999999999</v>
      </c>
      <c r="J1088" s="10">
        <f t="shared" si="38"/>
        <v>11.023958333333331</v>
      </c>
      <c r="K1088" s="10">
        <f t="shared" si="38"/>
        <v>10.886533333333334</v>
      </c>
      <c r="L1088" s="10">
        <f t="shared" si="38"/>
        <v>11.791491666666666</v>
      </c>
      <c r="M1088" s="10">
        <f t="shared" si="38"/>
        <v>10.903191666666666</v>
      </c>
      <c r="N1088" s="10">
        <f t="shared" si="38"/>
        <v>10.919516666666667</v>
      </c>
      <c r="O1088" s="10">
        <f t="shared" si="38"/>
        <v>11.081208333333331</v>
      </c>
      <c r="P1088" s="10">
        <f t="shared" si="38"/>
        <v>10.945183333333333</v>
      </c>
      <c r="Q1088" s="10">
        <f t="shared" si="38"/>
        <v>11.676508333333336</v>
      </c>
      <c r="R1088" s="10">
        <f t="shared" si="38"/>
        <v>12.292683333333335</v>
      </c>
      <c r="S1088" s="10">
        <f t="shared" si="38"/>
        <v>10.737441666666667</v>
      </c>
      <c r="T1088" s="32">
        <f>SUM(T373:T384)</f>
        <v>358.17703550000004</v>
      </c>
      <c r="U1088" s="32">
        <f>SUM(U373:U384)</f>
        <v>142.42176299999997</v>
      </c>
      <c r="V1088" s="32">
        <f>SUM(V373:V384)</f>
        <v>50.325000000000003</v>
      </c>
      <c r="W1088" s="32">
        <f>SUM(W373:W384)</f>
        <v>5.0961473999999995</v>
      </c>
      <c r="X1088" s="32">
        <f>SUM(X373:X384)</f>
        <v>20.800615543999996</v>
      </c>
      <c r="Y1088" s="32"/>
      <c r="Z1088" s="32"/>
      <c r="AA1088" s="37"/>
      <c r="AB1088" s="36"/>
      <c r="AC1088" s="33">
        <f>AVERAGE(AC373:AC384)</f>
        <v>11.074679795148192</v>
      </c>
      <c r="AD1088" s="27">
        <f>AVERAGE(AD373:AD384)</f>
        <v>10.967874280575542</v>
      </c>
    </row>
    <row r="1089" spans="1:30" ht="15">
      <c r="A1089" s="11">
        <f t="shared" si="31"/>
        <v>2045</v>
      </c>
      <c r="B1089" s="10">
        <f t="shared" ref="B1089:S1089" si="39">AVERAGE(B385:B396)</f>
        <v>11.339158333333332</v>
      </c>
      <c r="C1089" s="10">
        <f t="shared" si="39"/>
        <v>11.34545</v>
      </c>
      <c r="D1089" s="10">
        <f t="shared" si="39"/>
        <v>11.449941666666668</v>
      </c>
      <c r="E1089" s="10">
        <f t="shared" si="39"/>
        <v>11.482091666666669</v>
      </c>
      <c r="F1089" s="10">
        <f t="shared" si="39"/>
        <v>11.297775</v>
      </c>
      <c r="G1089" s="10">
        <f t="shared" si="39"/>
        <v>11.314325000000002</v>
      </c>
      <c r="H1089" s="10">
        <f t="shared" si="39"/>
        <v>11.4709</v>
      </c>
      <c r="I1089" s="10">
        <f t="shared" si="39"/>
        <v>11.332891666666667</v>
      </c>
      <c r="J1089" s="10">
        <f t="shared" si="39"/>
        <v>11.290374999999999</v>
      </c>
      <c r="K1089" s="10">
        <f t="shared" si="39"/>
        <v>11.144633333333333</v>
      </c>
      <c r="L1089" s="10">
        <f t="shared" si="39"/>
        <v>12.057899999999998</v>
      </c>
      <c r="M1089" s="10">
        <f t="shared" si="39"/>
        <v>11.165891666666667</v>
      </c>
      <c r="N1089" s="10">
        <f t="shared" si="39"/>
        <v>11.182216666666669</v>
      </c>
      <c r="O1089" s="10">
        <f t="shared" si="39"/>
        <v>11.343891666666666</v>
      </c>
      <c r="P1089" s="10">
        <f t="shared" si="39"/>
        <v>11.207883333333333</v>
      </c>
      <c r="Q1089" s="10">
        <f t="shared" si="39"/>
        <v>11.939191666666664</v>
      </c>
      <c r="R1089" s="10">
        <f t="shared" si="39"/>
        <v>12.556049999999999</v>
      </c>
      <c r="S1089" s="10">
        <f t="shared" si="39"/>
        <v>10.995416666666669</v>
      </c>
      <c r="T1089" s="32">
        <f>SUM(T385:T396)</f>
        <v>357.24568100000005</v>
      </c>
      <c r="U1089" s="32">
        <f>SUM(U385:U396)</f>
        <v>142.03263249999998</v>
      </c>
      <c r="V1089" s="32">
        <f>SUM(V385:V396)</f>
        <v>50.187500000000007</v>
      </c>
      <c r="W1089" s="32">
        <f>SUM(W385:W396)</f>
        <v>5.0822234999999996</v>
      </c>
      <c r="X1089" s="32">
        <f>SUM(X385:X396)</f>
        <v>20.758966663999999</v>
      </c>
      <c r="Y1089" s="32"/>
      <c r="Z1089" s="32"/>
      <c r="AA1089" s="37"/>
      <c r="AB1089" s="36"/>
      <c r="AC1089" s="33">
        <f>AVERAGE(AC385:AC396)</f>
        <v>11.341093484033784</v>
      </c>
      <c r="AD1089" s="27">
        <f>AVERAGE(AD385:AD396)</f>
        <v>11.230568165467625</v>
      </c>
    </row>
    <row r="1090" spans="1:30" ht="15">
      <c r="A1090" s="11">
        <f t="shared" si="31"/>
        <v>2046</v>
      </c>
      <c r="B1090" s="10">
        <f t="shared" ref="B1090:S1090" si="40">AVERAGE(B397:B408)</f>
        <v>11.611983333333335</v>
      </c>
      <c r="C1090" s="10">
        <f t="shared" si="40"/>
        <v>11.618266666666665</v>
      </c>
      <c r="D1090" s="10">
        <f t="shared" si="40"/>
        <v>11.72275</v>
      </c>
      <c r="E1090" s="10">
        <f t="shared" si="40"/>
        <v>11.754925</v>
      </c>
      <c r="F1090" s="10">
        <f t="shared" si="40"/>
        <v>11.570591666666665</v>
      </c>
      <c r="G1090" s="10">
        <f t="shared" si="40"/>
        <v>11.587141666666666</v>
      </c>
      <c r="H1090" s="10">
        <f t="shared" si="40"/>
        <v>11.743708333333336</v>
      </c>
      <c r="I1090" s="10">
        <f t="shared" si="40"/>
        <v>11.605716666666668</v>
      </c>
      <c r="J1090" s="10">
        <f t="shared" si="40"/>
        <v>11.563191666666667</v>
      </c>
      <c r="K1090" s="10">
        <f t="shared" si="40"/>
        <v>11.408924999999998</v>
      </c>
      <c r="L1090" s="10">
        <f t="shared" si="40"/>
        <v>12.330708333333336</v>
      </c>
      <c r="M1090" s="10">
        <f t="shared" si="40"/>
        <v>11.434891666666667</v>
      </c>
      <c r="N1090" s="10">
        <f t="shared" si="40"/>
        <v>11.451208333333335</v>
      </c>
      <c r="O1090" s="10">
        <f t="shared" si="40"/>
        <v>11.612900000000002</v>
      </c>
      <c r="P1090" s="10">
        <f t="shared" si="40"/>
        <v>11.476866666666666</v>
      </c>
      <c r="Q1090" s="10">
        <f t="shared" si="40"/>
        <v>12.208199999999998</v>
      </c>
      <c r="R1090" s="10">
        <f t="shared" si="40"/>
        <v>12.825716666666665</v>
      </c>
      <c r="S1090" s="10">
        <f t="shared" si="40"/>
        <v>11.259591666666667</v>
      </c>
      <c r="T1090" s="32">
        <f>SUM(T397:T408)</f>
        <v>357.24568100000005</v>
      </c>
      <c r="U1090" s="32">
        <f>SUM(U397:U408)</f>
        <v>142.03263249999998</v>
      </c>
      <c r="V1090" s="32">
        <f>SUM(V397:V408)</f>
        <v>50.187500000000007</v>
      </c>
      <c r="W1090" s="32">
        <f>SUM(W397:W408)</f>
        <v>5.0822234999999996</v>
      </c>
      <c r="X1090" s="32">
        <f>SUM(X397:X408)</f>
        <v>20.758966663999999</v>
      </c>
      <c r="Y1090" s="32"/>
      <c r="Z1090" s="32"/>
      <c r="AA1090" s="37"/>
      <c r="AB1090" s="36"/>
      <c r="AC1090" s="33">
        <f>AVERAGE(AC397:AC408)</f>
        <v>11.613911857647592</v>
      </c>
      <c r="AD1090" s="27">
        <f>AVERAGE(AD397:AD408)</f>
        <v>11.499566187050361</v>
      </c>
    </row>
    <row r="1091" spans="1:30" ht="15">
      <c r="A1091" s="11">
        <f t="shared" si="31"/>
        <v>2047</v>
      </c>
      <c r="B1091" s="10">
        <f t="shared" ref="B1091:S1091" si="41">AVERAGE(B409:B420)</f>
        <v>11.891350000000003</v>
      </c>
      <c r="C1091" s="10">
        <f t="shared" si="41"/>
        <v>11.897616666666666</v>
      </c>
      <c r="D1091" s="10">
        <f t="shared" si="41"/>
        <v>12.002108333333332</v>
      </c>
      <c r="E1091" s="10">
        <f t="shared" si="41"/>
        <v>12.034283333333333</v>
      </c>
      <c r="F1091" s="10">
        <f t="shared" si="41"/>
        <v>11.849966666666667</v>
      </c>
      <c r="G1091" s="10">
        <f t="shared" si="41"/>
        <v>11.8665</v>
      </c>
      <c r="H1091" s="10">
        <f t="shared" si="41"/>
        <v>12.023075</v>
      </c>
      <c r="I1091" s="10">
        <f t="shared" si="41"/>
        <v>11.885083333333332</v>
      </c>
      <c r="J1091" s="10">
        <f t="shared" si="41"/>
        <v>11.842566666666665</v>
      </c>
      <c r="K1091" s="10">
        <f t="shared" si="41"/>
        <v>11.679583333333332</v>
      </c>
      <c r="L1091" s="10">
        <f t="shared" si="41"/>
        <v>12.610075</v>
      </c>
      <c r="M1091" s="10">
        <f t="shared" si="41"/>
        <v>11.710375000000001</v>
      </c>
      <c r="N1091" s="10">
        <f t="shared" si="41"/>
        <v>11.726700000000001</v>
      </c>
      <c r="O1091" s="10">
        <f t="shared" si="41"/>
        <v>11.888375000000002</v>
      </c>
      <c r="P1091" s="10">
        <f t="shared" si="41"/>
        <v>11.75235</v>
      </c>
      <c r="Q1091" s="10">
        <f t="shared" si="41"/>
        <v>12.483675</v>
      </c>
      <c r="R1091" s="10">
        <f t="shared" si="41"/>
        <v>13.101866666666666</v>
      </c>
      <c r="S1091" s="10">
        <f t="shared" si="41"/>
        <v>11.530099999999999</v>
      </c>
      <c r="T1091" s="32">
        <f>SUM(T409:T420)</f>
        <v>357.24568100000005</v>
      </c>
      <c r="U1091" s="32">
        <f>SUM(U409:U420)</f>
        <v>142.03263249999998</v>
      </c>
      <c r="V1091" s="32">
        <f>SUM(V409:V420)</f>
        <v>50.187500000000007</v>
      </c>
      <c r="W1091" s="32">
        <f>SUM(W409:W420)</f>
        <v>5.0822234999999996</v>
      </c>
      <c r="X1091" s="32">
        <f>SUM(X409:X420)</f>
        <v>20.758966663999999</v>
      </c>
      <c r="Y1091" s="32"/>
      <c r="Z1091" s="32"/>
      <c r="AA1091" s="37"/>
      <c r="AB1091" s="36"/>
      <c r="AC1091" s="33">
        <f>AVERAGE(AC409:AC420)</f>
        <v>11.893274683959335</v>
      </c>
      <c r="AD1091" s="27">
        <f>AVERAGE(AD409:AD420)</f>
        <v>11.7750476618705</v>
      </c>
    </row>
    <row r="1092" spans="1:30" ht="15">
      <c r="A1092" s="11">
        <f t="shared" si="31"/>
        <v>2048</v>
      </c>
      <c r="B1092" s="10">
        <f t="shared" ref="B1092:S1092" si="42">AVERAGE(B421:B432)</f>
        <v>12.177433333333333</v>
      </c>
      <c r="C1092" s="10">
        <f t="shared" si="42"/>
        <v>12.183708333333334</v>
      </c>
      <c r="D1092" s="10">
        <f t="shared" si="42"/>
        <v>12.288199999999998</v>
      </c>
      <c r="E1092" s="10">
        <f t="shared" si="42"/>
        <v>12.320375</v>
      </c>
      <c r="F1092" s="10">
        <f t="shared" si="42"/>
        <v>12.136033333333335</v>
      </c>
      <c r="G1092" s="10">
        <f t="shared" si="42"/>
        <v>12.152583333333332</v>
      </c>
      <c r="H1092" s="10">
        <f t="shared" si="42"/>
        <v>12.309158333333336</v>
      </c>
      <c r="I1092" s="10">
        <f t="shared" si="42"/>
        <v>12.171166666666664</v>
      </c>
      <c r="J1092" s="10">
        <f t="shared" si="42"/>
        <v>12.128633333333333</v>
      </c>
      <c r="K1092" s="10">
        <f t="shared" si="42"/>
        <v>11.956733333333332</v>
      </c>
      <c r="L1092" s="10">
        <f t="shared" si="42"/>
        <v>12.896158333333332</v>
      </c>
      <c r="M1092" s="10">
        <f t="shared" si="42"/>
        <v>11.992449999999998</v>
      </c>
      <c r="N1092" s="10">
        <f t="shared" si="42"/>
        <v>12.008783333333334</v>
      </c>
      <c r="O1092" s="10">
        <f t="shared" si="42"/>
        <v>12.170466666666668</v>
      </c>
      <c r="P1092" s="10">
        <f t="shared" si="42"/>
        <v>12.034441666666666</v>
      </c>
      <c r="Q1092" s="10">
        <f t="shared" si="42"/>
        <v>12.76576666666667</v>
      </c>
      <c r="R1092" s="10">
        <f t="shared" si="42"/>
        <v>13.384675</v>
      </c>
      <c r="S1092" s="10">
        <f t="shared" si="42"/>
        <v>11.807116666666666</v>
      </c>
      <c r="T1092" s="32">
        <f>SUM(T421:T432)</f>
        <v>358.17703550000004</v>
      </c>
      <c r="U1092" s="32">
        <f>SUM(U421:U432)</f>
        <v>142.42176299999997</v>
      </c>
      <c r="V1092" s="32">
        <f>SUM(V421:V432)</f>
        <v>50.325000000000003</v>
      </c>
      <c r="W1092" s="32">
        <f>SUM(W421:W432)</f>
        <v>5.0961473999999995</v>
      </c>
      <c r="X1092" s="32">
        <f>SUM(X421:X432)</f>
        <v>20.800615543999996</v>
      </c>
      <c r="Y1092" s="32"/>
      <c r="Z1092" s="32"/>
      <c r="AA1092" s="37"/>
      <c r="AB1092" s="36"/>
      <c r="AC1092" s="33">
        <f>AVERAGE(AC421:AC432)</f>
        <v>12.179356512031573</v>
      </c>
      <c r="AD1092" s="27">
        <f>AVERAGE(AD421:AD432)</f>
        <v>12.057135971223019</v>
      </c>
    </row>
    <row r="1093" spans="1:30" ht="15">
      <c r="A1093" s="11">
        <f t="shared" si="31"/>
        <v>2049</v>
      </c>
      <c r="B1093" s="10">
        <f t="shared" ref="B1093:S1093" si="43">AVERAGE(B433:B444)</f>
        <v>12.470366666666665</v>
      </c>
      <c r="C1093" s="10">
        <f t="shared" si="43"/>
        <v>12.476658333333333</v>
      </c>
      <c r="D1093" s="10">
        <f t="shared" si="43"/>
        <v>12.581150000000001</v>
      </c>
      <c r="E1093" s="10">
        <f t="shared" si="43"/>
        <v>12.613308333333334</v>
      </c>
      <c r="F1093" s="10">
        <f t="shared" si="43"/>
        <v>12.428975000000001</v>
      </c>
      <c r="G1093" s="10">
        <f t="shared" si="43"/>
        <v>12.445549999999999</v>
      </c>
      <c r="H1093" s="10">
        <f t="shared" si="43"/>
        <v>12.602108333333334</v>
      </c>
      <c r="I1093" s="10">
        <f t="shared" si="43"/>
        <v>12.464116666666669</v>
      </c>
      <c r="J1093" s="10">
        <f t="shared" si="43"/>
        <v>12.421574999999999</v>
      </c>
      <c r="K1093" s="10">
        <f t="shared" si="43"/>
        <v>12.240533333333333</v>
      </c>
      <c r="L1093" s="10">
        <f t="shared" si="43"/>
        <v>13.189108333333335</v>
      </c>
      <c r="M1093" s="10">
        <f t="shared" si="43"/>
        <v>12.281316666666667</v>
      </c>
      <c r="N1093" s="10">
        <f t="shared" si="43"/>
        <v>12.297633333333335</v>
      </c>
      <c r="O1093" s="10">
        <f t="shared" si="43"/>
        <v>12.459333333333333</v>
      </c>
      <c r="P1093" s="10">
        <f t="shared" si="43"/>
        <v>12.323300000000001</v>
      </c>
      <c r="Q1093" s="10">
        <f t="shared" si="43"/>
        <v>13.054633333333333</v>
      </c>
      <c r="R1093" s="10">
        <f t="shared" si="43"/>
        <v>13.674275</v>
      </c>
      <c r="S1093" s="10">
        <f t="shared" si="43"/>
        <v>12.090775000000001</v>
      </c>
      <c r="T1093" s="32">
        <f>SUM(T433:T444)</f>
        <v>357.24568100000005</v>
      </c>
      <c r="U1093" s="32">
        <f>SUM(U433:U444)</f>
        <v>142.03263249999998</v>
      </c>
      <c r="V1093" s="32">
        <f>SUM(V433:V444)</f>
        <v>50.187500000000007</v>
      </c>
      <c r="W1093" s="32">
        <f>SUM(W433:W444)</f>
        <v>5.0822234999999996</v>
      </c>
      <c r="X1093" s="32">
        <f>SUM(X433:X444)</f>
        <v>20.758966663999999</v>
      </c>
      <c r="Y1093" s="32"/>
      <c r="Z1093" s="32"/>
      <c r="AA1093" s="37"/>
      <c r="AB1093" s="36"/>
      <c r="AC1093" s="33">
        <f>AVERAGE(AC433:AC444)</f>
        <v>12.472303086520489</v>
      </c>
      <c r="AD1093" s="27">
        <f>AVERAGE(AD433:AD444)</f>
        <v>12.345996163069543</v>
      </c>
    </row>
    <row r="1094" spans="1:30" ht="15">
      <c r="A1094" s="11">
        <f t="shared" si="31"/>
        <v>2050</v>
      </c>
      <c r="B1094" s="10">
        <f t="shared" ref="B1094:S1094" si="44">AVERAGE(B445:B456)</f>
        <v>12.770366666666668</v>
      </c>
      <c r="C1094" s="10">
        <f t="shared" si="44"/>
        <v>12.776650000000002</v>
      </c>
      <c r="D1094" s="10">
        <f t="shared" si="44"/>
        <v>12.881166666666667</v>
      </c>
      <c r="E1094" s="10">
        <f t="shared" si="44"/>
        <v>12.913308333333333</v>
      </c>
      <c r="F1094" s="10">
        <f t="shared" si="44"/>
        <v>12.728966666666667</v>
      </c>
      <c r="G1094" s="10">
        <f t="shared" si="44"/>
        <v>12.745533333333334</v>
      </c>
      <c r="H1094" s="10">
        <f t="shared" si="44"/>
        <v>12.902108333333331</v>
      </c>
      <c r="I1094" s="10">
        <f t="shared" si="44"/>
        <v>12.764108333333333</v>
      </c>
      <c r="J1094" s="10">
        <f t="shared" si="44"/>
        <v>12.721566666666668</v>
      </c>
      <c r="K1094" s="10">
        <f t="shared" si="44"/>
        <v>12.531158333333336</v>
      </c>
      <c r="L1094" s="10">
        <f t="shared" si="44"/>
        <v>13.489108333333334</v>
      </c>
      <c r="M1094" s="10">
        <f t="shared" si="44"/>
        <v>12.577133333333334</v>
      </c>
      <c r="N1094" s="10">
        <f t="shared" si="44"/>
        <v>12.593433333333332</v>
      </c>
      <c r="O1094" s="10">
        <f t="shared" si="44"/>
        <v>12.755141666666667</v>
      </c>
      <c r="P1094" s="10">
        <f t="shared" si="44"/>
        <v>12.619116666666669</v>
      </c>
      <c r="Q1094" s="10">
        <f t="shared" si="44"/>
        <v>13.350441666666669</v>
      </c>
      <c r="R1094" s="10">
        <f t="shared" si="44"/>
        <v>13.970816666666666</v>
      </c>
      <c r="S1094" s="10">
        <f t="shared" si="44"/>
        <v>12.381241666666668</v>
      </c>
      <c r="T1094" s="32">
        <f>SUM(T445:T456)</f>
        <v>357.24568100000005</v>
      </c>
      <c r="U1094" s="32">
        <f>SUM(U445:U456)</f>
        <v>142.03263249999998</v>
      </c>
      <c r="V1094" s="32">
        <f>SUM(V445:V456)</f>
        <v>50.187500000000007</v>
      </c>
      <c r="W1094" s="32">
        <f>SUM(W445:W456)</f>
        <v>5.0822234999999996</v>
      </c>
      <c r="X1094" s="32">
        <f>SUM(X445:X456)</f>
        <v>20.758966663999999</v>
      </c>
      <c r="Y1094" s="32"/>
      <c r="Z1094" s="32"/>
      <c r="AA1094" s="37"/>
      <c r="AB1094" s="36"/>
      <c r="AC1094" s="33">
        <f>AVERAGE(AC445:AC456)</f>
        <v>12.772297780669803</v>
      </c>
      <c r="AD1094" s="27">
        <f>AVERAGE(AD445:AD456)</f>
        <v>12.64180809352518</v>
      </c>
    </row>
    <row r="1095" spans="1:30" ht="15">
      <c r="A1095" s="11">
        <f t="shared" si="31"/>
        <v>2051</v>
      </c>
      <c r="B1095" s="10">
        <f t="shared" ref="B1095:S1095" si="45">AVERAGE(B457:B468)</f>
        <v>13.077558333333336</v>
      </c>
      <c r="C1095" s="10">
        <f t="shared" si="45"/>
        <v>13.083841666666665</v>
      </c>
      <c r="D1095" s="10">
        <f t="shared" si="45"/>
        <v>13.18835</v>
      </c>
      <c r="E1095" s="10">
        <f t="shared" si="45"/>
        <v>13.220508333333335</v>
      </c>
      <c r="F1095" s="10">
        <f t="shared" si="45"/>
        <v>13.036183333333334</v>
      </c>
      <c r="G1095" s="10">
        <f t="shared" si="45"/>
        <v>13.052733333333331</v>
      </c>
      <c r="H1095" s="10">
        <f t="shared" si="45"/>
        <v>13.209300000000004</v>
      </c>
      <c r="I1095" s="10">
        <f t="shared" si="45"/>
        <v>13.071308333333333</v>
      </c>
      <c r="J1095" s="10">
        <f t="shared" si="45"/>
        <v>13.028783333333335</v>
      </c>
      <c r="K1095" s="10">
        <f t="shared" si="45"/>
        <v>12.828783333333332</v>
      </c>
      <c r="L1095" s="10">
        <f t="shared" si="45"/>
        <v>13.7963</v>
      </c>
      <c r="M1095" s="10">
        <f t="shared" si="45"/>
        <v>12.880041666666669</v>
      </c>
      <c r="N1095" s="10">
        <f t="shared" si="45"/>
        <v>12.896358333333334</v>
      </c>
      <c r="O1095" s="10">
        <f t="shared" si="45"/>
        <v>13.058041666666666</v>
      </c>
      <c r="P1095" s="10">
        <f t="shared" si="45"/>
        <v>12.922024999999998</v>
      </c>
      <c r="Q1095" s="10">
        <f t="shared" si="45"/>
        <v>13.653341666666668</v>
      </c>
      <c r="R1095" s="10">
        <f t="shared" si="45"/>
        <v>14.274483333333331</v>
      </c>
      <c r="S1095" s="10">
        <f t="shared" si="45"/>
        <v>12.678708333333333</v>
      </c>
      <c r="T1095" s="32">
        <f>SUM(T457:T468)</f>
        <v>357.24568100000005</v>
      </c>
      <c r="U1095" s="32">
        <f>SUM(U457:U468)</f>
        <v>142.03263249999998</v>
      </c>
      <c r="V1095" s="32">
        <f>SUM(V457:V468)</f>
        <v>50.187500000000007</v>
      </c>
      <c r="W1095" s="32">
        <f>SUM(W457:W468)</f>
        <v>5.0822234999999996</v>
      </c>
      <c r="X1095" s="32">
        <f>SUM(X457:X468)</f>
        <v>20.758966663999999</v>
      </c>
      <c r="Y1095" s="32"/>
      <c r="Z1095" s="32"/>
      <c r="AA1095" s="37"/>
      <c r="AB1095" s="36"/>
      <c r="AC1095" s="33">
        <f>AVERAGE(AC457:AC468)</f>
        <v>13.079497909879478</v>
      </c>
      <c r="AD1095" s="27">
        <f>AVERAGE(AD457:AD468)</f>
        <v>12.944716486810551</v>
      </c>
    </row>
    <row r="1096" spans="1:30" ht="15">
      <c r="A1096" s="11">
        <f t="shared" si="31"/>
        <v>2052</v>
      </c>
      <c r="B1096" s="10">
        <f t="shared" ref="B1096:S1096" si="46">AVERAGE(B469:B480)</f>
        <v>13.392150000000001</v>
      </c>
      <c r="C1096" s="10">
        <f t="shared" si="46"/>
        <v>13.398433333333335</v>
      </c>
      <c r="D1096" s="10">
        <f t="shared" si="46"/>
        <v>13.502924999999999</v>
      </c>
      <c r="E1096" s="10">
        <f t="shared" si="46"/>
        <v>13.535074999999999</v>
      </c>
      <c r="F1096" s="10">
        <f t="shared" si="46"/>
        <v>13.350774999999999</v>
      </c>
      <c r="G1096" s="10">
        <f t="shared" si="46"/>
        <v>13.367308333333332</v>
      </c>
      <c r="H1096" s="10">
        <f t="shared" si="46"/>
        <v>13.523891666666666</v>
      </c>
      <c r="I1096" s="10">
        <f t="shared" si="46"/>
        <v>13.385883333333332</v>
      </c>
      <c r="J1096" s="10">
        <f t="shared" si="46"/>
        <v>13.343374999999996</v>
      </c>
      <c r="K1096" s="10">
        <f t="shared" si="46"/>
        <v>13.133525000000001</v>
      </c>
      <c r="L1096" s="10">
        <f t="shared" si="46"/>
        <v>14.110891666666667</v>
      </c>
      <c r="M1096" s="10">
        <f t="shared" si="46"/>
        <v>13.190225</v>
      </c>
      <c r="N1096" s="10">
        <f t="shared" si="46"/>
        <v>13.206541666666666</v>
      </c>
      <c r="O1096" s="10">
        <f t="shared" si="46"/>
        <v>13.368249999999998</v>
      </c>
      <c r="P1096" s="10">
        <f t="shared" si="46"/>
        <v>13.232216666666668</v>
      </c>
      <c r="Q1096" s="10">
        <f t="shared" si="46"/>
        <v>13.963549999999998</v>
      </c>
      <c r="R1096" s="10">
        <f t="shared" si="46"/>
        <v>14.585433333333333</v>
      </c>
      <c r="S1096" s="10">
        <f t="shared" si="46"/>
        <v>12.983308333333333</v>
      </c>
      <c r="T1096" s="32">
        <f>SUM(T469:T480)</f>
        <v>358.17703550000004</v>
      </c>
      <c r="U1096" s="32">
        <f>SUM(U469:U480)</f>
        <v>142.42176299999997</v>
      </c>
      <c r="V1096" s="32">
        <f>SUM(V469:V480)</f>
        <v>50.325000000000003</v>
      </c>
      <c r="W1096" s="32">
        <f>SUM(W469:W480)</f>
        <v>5.0961473999999995</v>
      </c>
      <c r="X1096" s="32">
        <f>SUM(X469:X480)</f>
        <v>20.800615543999996</v>
      </c>
      <c r="Y1096" s="32"/>
      <c r="Z1096" s="32"/>
      <c r="AA1096" s="37"/>
      <c r="AB1096" s="36"/>
      <c r="AC1096" s="33">
        <f>AVERAGE(AC469:AC480)</f>
        <v>13.394083056663268</v>
      </c>
      <c r="AD1096" s="27">
        <f>AVERAGE(AD469:AD480)</f>
        <v>13.254908033573139</v>
      </c>
    </row>
    <row r="1097" spans="1:30" ht="15">
      <c r="A1097" s="11">
        <f t="shared" si="31"/>
        <v>2053</v>
      </c>
      <c r="B1097" s="10">
        <f t="shared" ref="B1097:S1097" si="47">AVERAGE(B481:B492)</f>
        <v>13.714308333333333</v>
      </c>
      <c r="C1097" s="10">
        <f t="shared" si="47"/>
        <v>13.720591666666666</v>
      </c>
      <c r="D1097" s="10">
        <f t="shared" si="47"/>
        <v>13.825066666666666</v>
      </c>
      <c r="E1097" s="10">
        <f t="shared" si="47"/>
        <v>13.857224999999998</v>
      </c>
      <c r="F1097" s="10">
        <f t="shared" si="47"/>
        <v>13.672908333333334</v>
      </c>
      <c r="G1097" s="10">
        <f t="shared" si="47"/>
        <v>13.689450000000001</v>
      </c>
      <c r="H1097" s="10">
        <f t="shared" si="47"/>
        <v>13.846041666666665</v>
      </c>
      <c r="I1097" s="10">
        <f t="shared" si="47"/>
        <v>13.708033333333333</v>
      </c>
      <c r="J1097" s="10">
        <f t="shared" si="47"/>
        <v>13.665508333333333</v>
      </c>
      <c r="K1097" s="10">
        <f t="shared" si="47"/>
        <v>13.445616666666668</v>
      </c>
      <c r="L1097" s="10">
        <f t="shared" si="47"/>
        <v>14.433041666666668</v>
      </c>
      <c r="M1097" s="10">
        <f t="shared" si="47"/>
        <v>13.507891666666666</v>
      </c>
      <c r="N1097" s="10">
        <f t="shared" si="47"/>
        <v>13.524216666666666</v>
      </c>
      <c r="O1097" s="10">
        <f t="shared" si="47"/>
        <v>13.685891666666668</v>
      </c>
      <c r="P1097" s="10">
        <f t="shared" si="47"/>
        <v>13.549875</v>
      </c>
      <c r="Q1097" s="10">
        <f t="shared" si="47"/>
        <v>14.281191666666667</v>
      </c>
      <c r="R1097" s="10">
        <f t="shared" si="47"/>
        <v>14.903866666666667</v>
      </c>
      <c r="S1097" s="10">
        <f t="shared" si="47"/>
        <v>13.295266666666665</v>
      </c>
      <c r="T1097" s="32">
        <f>SUM(T481:T492)</f>
        <v>357.24568100000005</v>
      </c>
      <c r="U1097" s="32">
        <f>SUM(U481:U492)</f>
        <v>142.03263249999998</v>
      </c>
      <c r="V1097" s="32">
        <f>SUM(V481:V492)</f>
        <v>50.187500000000007</v>
      </c>
      <c r="W1097" s="32">
        <f>SUM(W481:W492)</f>
        <v>5.0822234999999996</v>
      </c>
      <c r="X1097" s="32">
        <f>SUM(X481:X492)</f>
        <v>20.758966663999999</v>
      </c>
      <c r="Y1097" s="32"/>
      <c r="Z1097" s="32"/>
      <c r="AA1097" s="37"/>
      <c r="AB1097" s="36"/>
      <c r="AC1097" s="33">
        <f>AVERAGE(AC481:AC492)</f>
        <v>13.716229483181129</v>
      </c>
      <c r="AD1097" s="27">
        <f>AVERAGE(AD481:AD492)</f>
        <v>13.572565527577936</v>
      </c>
    </row>
    <row r="1098" spans="1:30" ht="15">
      <c r="A1098" s="11">
        <f t="shared" si="31"/>
        <v>2054</v>
      </c>
      <c r="B1098" s="10">
        <f t="shared" ref="B1098:S1098" si="48">AVERAGE(B493:B504)</f>
        <v>14.044183333333335</v>
      </c>
      <c r="C1098" s="10">
        <f t="shared" si="48"/>
        <v>14.050458333333333</v>
      </c>
      <c r="D1098" s="10">
        <f t="shared" si="48"/>
        <v>14.154958333333333</v>
      </c>
      <c r="E1098" s="10">
        <f t="shared" si="48"/>
        <v>14.187116666666668</v>
      </c>
      <c r="F1098" s="10">
        <f t="shared" si="48"/>
        <v>14.002791666666667</v>
      </c>
      <c r="G1098" s="10">
        <f t="shared" si="48"/>
        <v>14.019349999999998</v>
      </c>
      <c r="H1098" s="10">
        <f t="shared" si="48"/>
        <v>14.175899999999999</v>
      </c>
      <c r="I1098" s="10">
        <f t="shared" si="48"/>
        <v>14.037908333333334</v>
      </c>
      <c r="J1098" s="10">
        <f t="shared" si="48"/>
        <v>13.995391666666665</v>
      </c>
      <c r="K1098" s="10">
        <f t="shared" si="48"/>
        <v>13.765191666666666</v>
      </c>
      <c r="L1098" s="10">
        <f t="shared" si="48"/>
        <v>14.762900000000002</v>
      </c>
      <c r="M1098" s="10">
        <f t="shared" si="48"/>
        <v>13.833166666666669</v>
      </c>
      <c r="N1098" s="10">
        <f t="shared" si="48"/>
        <v>13.849483333333334</v>
      </c>
      <c r="O1098" s="10">
        <f t="shared" si="48"/>
        <v>14.011166666666666</v>
      </c>
      <c r="P1098" s="10">
        <f t="shared" si="48"/>
        <v>13.875149999999998</v>
      </c>
      <c r="Q1098" s="10">
        <f t="shared" si="48"/>
        <v>14.60646666666667</v>
      </c>
      <c r="R1098" s="10">
        <f t="shared" si="48"/>
        <v>15.229991666666665</v>
      </c>
      <c r="S1098" s="10">
        <f t="shared" si="48"/>
        <v>13.614675</v>
      </c>
      <c r="T1098" s="32">
        <f>SUM(T493:T504)</f>
        <v>357.24568100000005</v>
      </c>
      <c r="U1098" s="32">
        <f>SUM(U493:U504)</f>
        <v>142.03263249999998</v>
      </c>
      <c r="V1098" s="32">
        <f>SUM(V493:V504)</f>
        <v>50.187500000000007</v>
      </c>
      <c r="W1098" s="32">
        <f>SUM(W493:W504)</f>
        <v>5.0822234999999996</v>
      </c>
      <c r="X1098" s="32">
        <f>SUM(X493:X504)</f>
        <v>20.758966663999999</v>
      </c>
      <c r="Y1098" s="32"/>
      <c r="Z1098" s="32"/>
      <c r="AA1098" s="35"/>
      <c r="AB1098" s="34"/>
      <c r="AC1098" s="33">
        <f>AVERAGE(AC493:AC504)</f>
        <v>14.046110606019917</v>
      </c>
      <c r="AD1098" s="27">
        <f>AVERAGE(AD493:AD504)</f>
        <v>13.897838609112711</v>
      </c>
    </row>
    <row r="1099" spans="1:30" ht="15">
      <c r="A1099" s="11">
        <f t="shared" si="31"/>
        <v>2055</v>
      </c>
      <c r="B1099" s="10">
        <f t="shared" ref="B1099:S1099" si="49">AVERAGE(B505:B516)</f>
        <v>14.381974999999999</v>
      </c>
      <c r="C1099" s="10">
        <f t="shared" si="49"/>
        <v>14.388258333333333</v>
      </c>
      <c r="D1099" s="10">
        <f t="shared" si="49"/>
        <v>14.492766666666666</v>
      </c>
      <c r="E1099" s="10">
        <f t="shared" si="49"/>
        <v>14.524924999999998</v>
      </c>
      <c r="F1099" s="10">
        <f t="shared" si="49"/>
        <v>14.340591666666668</v>
      </c>
      <c r="G1099" s="10">
        <f t="shared" si="49"/>
        <v>14.357149999999999</v>
      </c>
      <c r="H1099" s="10">
        <f t="shared" si="49"/>
        <v>14.513716666666667</v>
      </c>
      <c r="I1099" s="10">
        <f t="shared" si="49"/>
        <v>14.375724999999996</v>
      </c>
      <c r="J1099" s="10">
        <f t="shared" si="49"/>
        <v>14.333191666666664</v>
      </c>
      <c r="K1099" s="10">
        <f t="shared" si="49"/>
        <v>14.092466666666667</v>
      </c>
      <c r="L1099" s="10">
        <f t="shared" si="49"/>
        <v>15.100716666666665</v>
      </c>
      <c r="M1099" s="10">
        <f t="shared" si="49"/>
        <v>14.16625</v>
      </c>
      <c r="N1099" s="10">
        <f t="shared" si="49"/>
        <v>14.182566666666666</v>
      </c>
      <c r="O1099" s="10">
        <f t="shared" si="49"/>
        <v>14.344250000000002</v>
      </c>
      <c r="P1099" s="10">
        <f t="shared" si="49"/>
        <v>14.208241666666668</v>
      </c>
      <c r="Q1099" s="10">
        <f t="shared" si="49"/>
        <v>14.939549999999997</v>
      </c>
      <c r="R1099" s="10">
        <f t="shared" si="49"/>
        <v>15.563899999999999</v>
      </c>
      <c r="S1099" s="10">
        <f t="shared" si="49"/>
        <v>13.941783333333332</v>
      </c>
      <c r="T1099" s="32">
        <f>SUM(T505:T516)</f>
        <v>357.24568100000005</v>
      </c>
      <c r="U1099" s="32">
        <f>SUM(U505:U516)</f>
        <v>142.03263249999998</v>
      </c>
      <c r="V1099" s="32">
        <f>SUM(V505:V516)</f>
        <v>50.187500000000007</v>
      </c>
      <c r="W1099" s="32">
        <f>SUM(W505:W516)</f>
        <v>5.0822234999999996</v>
      </c>
      <c r="X1099" s="32">
        <f>SUM(X505:X516)</f>
        <v>20.758966663999999</v>
      </c>
      <c r="Y1099" s="32"/>
      <c r="Z1099" s="32"/>
      <c r="AA1099" s="35"/>
      <c r="AB1099" s="34"/>
      <c r="AC1099" s="33">
        <f>AVERAGE(AC505:AC516)</f>
        <v>14.383912205654376</v>
      </c>
      <c r="AD1099" s="27">
        <f>AVERAGE(AD505:AD516)</f>
        <v>14.230923141486807</v>
      </c>
    </row>
    <row r="1100" spans="1:30" ht="15">
      <c r="A1100" s="11">
        <f t="shared" si="31"/>
        <v>2056</v>
      </c>
      <c r="B1100" s="10">
        <f t="shared" ref="B1100:S1100" si="50">AVERAGE(B517:B528)</f>
        <v>14.727908333333334</v>
      </c>
      <c r="C1100" s="10">
        <f t="shared" si="50"/>
        <v>14.734183333333332</v>
      </c>
      <c r="D1100" s="10">
        <f t="shared" si="50"/>
        <v>14.838683333333334</v>
      </c>
      <c r="E1100" s="10">
        <f t="shared" si="50"/>
        <v>14.870841666666665</v>
      </c>
      <c r="F1100" s="10">
        <f t="shared" si="50"/>
        <v>14.686516666666664</v>
      </c>
      <c r="G1100" s="10">
        <f t="shared" si="50"/>
        <v>14.703066666666665</v>
      </c>
      <c r="H1100" s="10">
        <f t="shared" si="50"/>
        <v>14.859633333333335</v>
      </c>
      <c r="I1100" s="10">
        <f t="shared" si="50"/>
        <v>14.721641666666665</v>
      </c>
      <c r="J1100" s="10">
        <f t="shared" si="50"/>
        <v>14.679116666666667</v>
      </c>
      <c r="K1100" s="10">
        <f t="shared" si="50"/>
        <v>14.427574999999997</v>
      </c>
      <c r="L1100" s="10">
        <f t="shared" si="50"/>
        <v>15.446633333333331</v>
      </c>
      <c r="M1100" s="10">
        <f t="shared" si="50"/>
        <v>14.507358333333334</v>
      </c>
      <c r="N1100" s="10">
        <f t="shared" si="50"/>
        <v>14.523691666666664</v>
      </c>
      <c r="O1100" s="10">
        <f t="shared" si="50"/>
        <v>14.685358333333333</v>
      </c>
      <c r="P1100" s="10">
        <f t="shared" si="50"/>
        <v>14.549350000000002</v>
      </c>
      <c r="Q1100" s="10">
        <f t="shared" si="50"/>
        <v>15.280658333333333</v>
      </c>
      <c r="R1100" s="10">
        <f t="shared" si="50"/>
        <v>15.905866666666666</v>
      </c>
      <c r="S1100" s="10">
        <f t="shared" si="50"/>
        <v>14.276741666666668</v>
      </c>
      <c r="T1100" s="32">
        <f>SUM(T517:T528)</f>
        <v>358.17703550000004</v>
      </c>
      <c r="U1100" s="32">
        <f>SUM(U517:U528)</f>
        <v>142.42176299999997</v>
      </c>
      <c r="V1100" s="32">
        <f>SUM(V517:V528)</f>
        <v>50.325000000000003</v>
      </c>
      <c r="W1100" s="32">
        <f>SUM(W517:W528)</f>
        <v>5.0961473999999995</v>
      </c>
      <c r="X1100" s="32">
        <f>SUM(X517:X528)</f>
        <v>20.800615543999996</v>
      </c>
      <c r="Y1100" s="32"/>
      <c r="Z1100" s="32"/>
      <c r="AA1100" s="35"/>
      <c r="AB1100" s="34"/>
      <c r="AC1100" s="33">
        <f>AVERAGE(AC517:AC528)</f>
        <v>14.72983536793665</v>
      </c>
      <c r="AD1100" s="27">
        <f>AVERAGE(AD517:AD528)</f>
        <v>14.572036750599517</v>
      </c>
    </row>
    <row r="1101" spans="1:30" ht="15">
      <c r="A1101" s="11">
        <f t="shared" si="31"/>
        <v>2057</v>
      </c>
      <c r="B1101" s="10">
        <f t="shared" ref="B1101:S1101" si="51">AVERAGE(B529:B540)</f>
        <v>15.082141666666667</v>
      </c>
      <c r="C1101" s="10">
        <f t="shared" si="51"/>
        <v>15.088416666666669</v>
      </c>
      <c r="D1101" s="10">
        <f t="shared" si="51"/>
        <v>15.192916666666667</v>
      </c>
      <c r="E1101" s="10">
        <f t="shared" si="51"/>
        <v>15.225058333333335</v>
      </c>
      <c r="F1101" s="10">
        <f t="shared" si="51"/>
        <v>15.040741666666667</v>
      </c>
      <c r="G1101" s="10">
        <f t="shared" si="51"/>
        <v>15.0573</v>
      </c>
      <c r="H1101" s="10">
        <f t="shared" si="51"/>
        <v>15.213866666666666</v>
      </c>
      <c r="I1101" s="10">
        <f t="shared" si="51"/>
        <v>15.075866666666665</v>
      </c>
      <c r="J1101" s="10">
        <f t="shared" si="51"/>
        <v>15.033341666666665</v>
      </c>
      <c r="K1101" s="10">
        <f t="shared" si="51"/>
        <v>14.770758333333335</v>
      </c>
      <c r="L1101" s="10">
        <f t="shared" si="51"/>
        <v>15.800866666666666</v>
      </c>
      <c r="M1101" s="10">
        <f t="shared" si="51"/>
        <v>14.856649999999997</v>
      </c>
      <c r="N1101" s="10">
        <f t="shared" si="51"/>
        <v>14.872958333333335</v>
      </c>
      <c r="O1101" s="10">
        <f t="shared" si="51"/>
        <v>15.034641666666666</v>
      </c>
      <c r="P1101" s="10">
        <f t="shared" si="51"/>
        <v>14.898633333333331</v>
      </c>
      <c r="Q1101" s="10">
        <f t="shared" si="51"/>
        <v>15.629941666666667</v>
      </c>
      <c r="R1101" s="10">
        <f t="shared" si="51"/>
        <v>16.256016666666664</v>
      </c>
      <c r="S1101" s="10">
        <f t="shared" si="51"/>
        <v>14.619750000000002</v>
      </c>
      <c r="T1101" s="32">
        <f>SUM(T529:T540)</f>
        <v>357.24568100000005</v>
      </c>
      <c r="U1101" s="32">
        <f>SUM(U529:U540)</f>
        <v>142.03263249999998</v>
      </c>
      <c r="V1101" s="32">
        <f>SUM(V529:V540)</f>
        <v>50.187500000000007</v>
      </c>
      <c r="W1101" s="32">
        <f>SUM(W529:W540)</f>
        <v>5.0822234999999996</v>
      </c>
      <c r="X1101" s="32">
        <f>SUM(X529:X540)</f>
        <v>20.758966663999999</v>
      </c>
      <c r="Y1101" s="32"/>
      <c r="Z1101" s="32"/>
      <c r="AA1101" s="35"/>
      <c r="AB1101" s="34"/>
      <c r="AC1101" s="33">
        <f>AVERAGE(AC529:AC540)</f>
        <v>15.084065372669615</v>
      </c>
      <c r="AD1101" s="27">
        <f>AVERAGE(AD529:AD540)</f>
        <v>14.921319124700242</v>
      </c>
    </row>
    <row r="1102" spans="1:30" ht="15">
      <c r="A1102" s="11">
        <f t="shared" si="31"/>
        <v>2058</v>
      </c>
      <c r="B1102" s="10">
        <f t="shared" ref="B1102:S1102" si="52">AVERAGE(B541:B552)</f>
        <v>15.444883333333335</v>
      </c>
      <c r="C1102" s="10">
        <f t="shared" si="52"/>
        <v>15.451158333333334</v>
      </c>
      <c r="D1102" s="10">
        <f t="shared" si="52"/>
        <v>15.555666666666667</v>
      </c>
      <c r="E1102" s="10">
        <f t="shared" si="52"/>
        <v>15.587825</v>
      </c>
      <c r="F1102" s="10">
        <f t="shared" si="52"/>
        <v>15.403483333333336</v>
      </c>
      <c r="G1102" s="10">
        <f t="shared" si="52"/>
        <v>15.420041666666668</v>
      </c>
      <c r="H1102" s="10">
        <f t="shared" si="52"/>
        <v>15.576624999999998</v>
      </c>
      <c r="I1102" s="10">
        <f t="shared" si="52"/>
        <v>15.438625</v>
      </c>
      <c r="J1102" s="10">
        <f t="shared" si="52"/>
        <v>15.396083333333332</v>
      </c>
      <c r="K1102" s="10">
        <f t="shared" si="52"/>
        <v>15.122183333333334</v>
      </c>
      <c r="L1102" s="10">
        <f t="shared" si="52"/>
        <v>16.163625</v>
      </c>
      <c r="M1102" s="10">
        <f t="shared" si="52"/>
        <v>15.214333333333334</v>
      </c>
      <c r="N1102" s="10">
        <f t="shared" si="52"/>
        <v>15.230650000000002</v>
      </c>
      <c r="O1102" s="10">
        <f t="shared" si="52"/>
        <v>15.39235</v>
      </c>
      <c r="P1102" s="10">
        <f t="shared" si="52"/>
        <v>15.256325000000002</v>
      </c>
      <c r="Q1102" s="10">
        <f t="shared" si="52"/>
        <v>15.987650000000002</v>
      </c>
      <c r="R1102" s="10">
        <f t="shared" si="52"/>
        <v>16.614608333333333</v>
      </c>
      <c r="S1102" s="10">
        <f t="shared" si="52"/>
        <v>14.970999999999998</v>
      </c>
      <c r="T1102" s="32">
        <f>SUM(T541:T552)</f>
        <v>357.24568100000005</v>
      </c>
      <c r="U1102" s="32">
        <f>SUM(U541:U552)</f>
        <v>142.03263249999998</v>
      </c>
      <c r="V1102" s="32">
        <f>SUM(V541:V552)</f>
        <v>50.187500000000007</v>
      </c>
      <c r="W1102" s="32">
        <f>SUM(W541:W552)</f>
        <v>5.0822234999999996</v>
      </c>
      <c r="X1102" s="32">
        <f>SUM(X541:X552)</f>
        <v>20.758966663999999</v>
      </c>
      <c r="Y1102" s="32"/>
      <c r="Z1102" s="32"/>
      <c r="AA1102" s="35"/>
      <c r="AB1102" s="34"/>
      <c r="AC1102" s="33">
        <f>AVERAGE(AC541:AC552)</f>
        <v>15.446809889300278</v>
      </c>
      <c r="AD1102" s="27">
        <f>AVERAGE(AD541:AD552)</f>
        <v>15.279015467625902</v>
      </c>
    </row>
    <row r="1103" spans="1:30" ht="15">
      <c r="A1103" s="11">
        <f t="shared" si="31"/>
        <v>2059</v>
      </c>
      <c r="B1103" s="10">
        <f t="shared" ref="B1103:S1103" si="53">AVERAGE(B553:B564)</f>
        <v>15.816349999999998</v>
      </c>
      <c r="C1103" s="10">
        <f t="shared" si="53"/>
        <v>15.822624999999997</v>
      </c>
      <c r="D1103" s="10">
        <f t="shared" si="53"/>
        <v>15.927125000000004</v>
      </c>
      <c r="E1103" s="10">
        <f t="shared" si="53"/>
        <v>15.959266666666664</v>
      </c>
      <c r="F1103" s="10">
        <f t="shared" si="53"/>
        <v>15.774949999999997</v>
      </c>
      <c r="G1103" s="10">
        <f t="shared" si="53"/>
        <v>15.791516666666666</v>
      </c>
      <c r="H1103" s="10">
        <f t="shared" si="53"/>
        <v>15.948083333333331</v>
      </c>
      <c r="I1103" s="10">
        <f t="shared" si="53"/>
        <v>15.810083333333333</v>
      </c>
      <c r="J1103" s="10">
        <f t="shared" si="53"/>
        <v>15.76755</v>
      </c>
      <c r="K1103" s="10">
        <f t="shared" si="53"/>
        <v>15.482058333333335</v>
      </c>
      <c r="L1103" s="10">
        <f t="shared" si="53"/>
        <v>16.535083333333333</v>
      </c>
      <c r="M1103" s="10">
        <f t="shared" si="53"/>
        <v>15.580616666666666</v>
      </c>
      <c r="N1103" s="10">
        <f t="shared" si="53"/>
        <v>15.596933333333332</v>
      </c>
      <c r="O1103" s="10">
        <f t="shared" si="53"/>
        <v>15.758616666666667</v>
      </c>
      <c r="P1103" s="10">
        <f t="shared" si="53"/>
        <v>15.622599999999998</v>
      </c>
      <c r="Q1103" s="10">
        <f t="shared" si="53"/>
        <v>16.353916666666667</v>
      </c>
      <c r="R1103" s="10">
        <f t="shared" si="53"/>
        <v>16.9818</v>
      </c>
      <c r="S1103" s="10">
        <f t="shared" si="53"/>
        <v>15.330683333333331</v>
      </c>
      <c r="T1103" s="32">
        <f>SUM(T553:T564)</f>
        <v>357.24568100000005</v>
      </c>
      <c r="U1103" s="32">
        <f>SUM(U553:U564)</f>
        <v>142.03263249999998</v>
      </c>
      <c r="V1103" s="32">
        <f>SUM(V553:V564)</f>
        <v>50.187500000000007</v>
      </c>
      <c r="W1103" s="32">
        <f>SUM(W553:W564)</f>
        <v>5.0822234999999996</v>
      </c>
      <c r="X1103" s="32">
        <f>SUM(X553:X564)</f>
        <v>20.758966663999999</v>
      </c>
      <c r="Y1103" s="32"/>
      <c r="Z1103" s="32"/>
      <c r="AA1103" s="10"/>
      <c r="AB1103" s="10"/>
      <c r="AC1103" s="33">
        <f>AVERAGE(AC553:AC564)</f>
        <v>15.818275101223115</v>
      </c>
      <c r="AD1103" s="27">
        <f>AVERAGE(AD553:AD564)</f>
        <v>15.645291486810551</v>
      </c>
    </row>
    <row r="1104" spans="1:30" ht="15">
      <c r="A1104" s="11">
        <f t="shared" si="31"/>
        <v>2060</v>
      </c>
      <c r="B1104" s="10">
        <f t="shared" ref="B1104:S1104" si="54">AVERAGE(B565:B576)</f>
        <v>16.196741666666664</v>
      </c>
      <c r="C1104" s="10">
        <f t="shared" si="54"/>
        <v>16.203016666666663</v>
      </c>
      <c r="D1104" s="10">
        <f t="shared" si="54"/>
        <v>16.307500000000001</v>
      </c>
      <c r="E1104" s="10">
        <f t="shared" si="54"/>
        <v>16.339675000000003</v>
      </c>
      <c r="F1104" s="10">
        <f t="shared" si="54"/>
        <v>16.155341666666668</v>
      </c>
      <c r="G1104" s="10">
        <f t="shared" si="54"/>
        <v>16.171916666666672</v>
      </c>
      <c r="H1104" s="10">
        <f t="shared" si="54"/>
        <v>16.328475000000001</v>
      </c>
      <c r="I1104" s="10">
        <f t="shared" si="54"/>
        <v>16.190466666666669</v>
      </c>
      <c r="J1104" s="10">
        <f t="shared" si="54"/>
        <v>16.147941666666668</v>
      </c>
      <c r="K1104" s="10">
        <f t="shared" si="54"/>
        <v>15.850574999999999</v>
      </c>
      <c r="L1104" s="10">
        <f t="shared" si="54"/>
        <v>16.915474999999997</v>
      </c>
      <c r="M1104" s="10">
        <f t="shared" si="54"/>
        <v>15.955683333333333</v>
      </c>
      <c r="N1104" s="10">
        <f t="shared" si="54"/>
        <v>15.972008333333335</v>
      </c>
      <c r="O1104" s="10">
        <f t="shared" si="54"/>
        <v>16.133691666666667</v>
      </c>
      <c r="P1104" s="10">
        <f t="shared" si="54"/>
        <v>15.997674999999999</v>
      </c>
      <c r="Q1104" s="10">
        <f t="shared" si="54"/>
        <v>16.728991666666666</v>
      </c>
      <c r="R1104" s="10">
        <f t="shared" si="54"/>
        <v>17.357824999999998</v>
      </c>
      <c r="S1104" s="10">
        <f t="shared" si="54"/>
        <v>15.699016666666665</v>
      </c>
      <c r="T1104" s="32">
        <f>SUM(T565:T576)</f>
        <v>358.17703550000004</v>
      </c>
      <c r="U1104" s="32">
        <f>SUM(U565:U576)</f>
        <v>142.42176299999997</v>
      </c>
      <c r="V1104" s="32">
        <f>SUM(V565:V576)</f>
        <v>50.325000000000003</v>
      </c>
      <c r="W1104" s="32">
        <f>SUM(W565:W576)</f>
        <v>5.0961473999999995</v>
      </c>
      <c r="X1104" s="32">
        <f>SUM(X565:X576)</f>
        <v>20.800615543999996</v>
      </c>
      <c r="Y1104" s="32"/>
      <c r="Z1104" s="32"/>
      <c r="AA1104" s="35"/>
      <c r="AB1104" s="34"/>
      <c r="AC1104" s="33">
        <f>AVERAGE(AC565:AC576)</f>
        <v>16.198666580177562</v>
      </c>
      <c r="AD1104" s="27">
        <f>AVERAGE(AD565:AD576)</f>
        <v>16.020363609112714</v>
      </c>
    </row>
    <row r="1105" spans="1:30" ht="15">
      <c r="A1105" s="11">
        <f t="shared" si="31"/>
        <v>2061</v>
      </c>
      <c r="B1105" s="10">
        <f t="shared" ref="B1105:S1105" si="55">AVERAGE(B577:B588)</f>
        <v>16.586250000000003</v>
      </c>
      <c r="C1105" s="10">
        <f t="shared" si="55"/>
        <v>16.592533333333332</v>
      </c>
      <c r="D1105" s="10">
        <f t="shared" si="55"/>
        <v>16.697050000000001</v>
      </c>
      <c r="E1105" s="10">
        <f t="shared" si="55"/>
        <v>16.729191666666665</v>
      </c>
      <c r="F1105" s="10">
        <f t="shared" si="55"/>
        <v>16.544883333333331</v>
      </c>
      <c r="G1105" s="10">
        <f t="shared" si="55"/>
        <v>16.561425000000003</v>
      </c>
      <c r="H1105" s="10">
        <f t="shared" si="55"/>
        <v>16.717991666666666</v>
      </c>
      <c r="I1105" s="10">
        <f t="shared" si="55"/>
        <v>16.579999999999998</v>
      </c>
      <c r="J1105" s="10">
        <f t="shared" si="55"/>
        <v>16.537483333333338</v>
      </c>
      <c r="K1105" s="10">
        <f t="shared" si="55"/>
        <v>16.22794166666667</v>
      </c>
      <c r="L1105" s="10">
        <f t="shared" si="55"/>
        <v>17.304991666666666</v>
      </c>
      <c r="M1105" s="10">
        <f t="shared" si="55"/>
        <v>16.339774999999999</v>
      </c>
      <c r="N1105" s="10">
        <f t="shared" si="55"/>
        <v>16.356100000000001</v>
      </c>
      <c r="O1105" s="10">
        <f t="shared" si="55"/>
        <v>16.517775</v>
      </c>
      <c r="P1105" s="10">
        <f t="shared" si="55"/>
        <v>16.381758333333334</v>
      </c>
      <c r="Q1105" s="10">
        <f t="shared" si="55"/>
        <v>17.113074999999998</v>
      </c>
      <c r="R1105" s="10">
        <f t="shared" si="55"/>
        <v>17.742874999999998</v>
      </c>
      <c r="S1105" s="10">
        <f t="shared" si="55"/>
        <v>16.076183333333336</v>
      </c>
      <c r="T1105" s="32">
        <f>SUM(T577:T588)</f>
        <v>357.24568100000005</v>
      </c>
      <c r="U1105" s="32">
        <f>SUM(U577:U588)</f>
        <v>142.03263249999998</v>
      </c>
      <c r="V1105" s="32">
        <f>SUM(V577:V588)</f>
        <v>50.187500000000007</v>
      </c>
      <c r="W1105" s="32">
        <f>SUM(W577:W588)</f>
        <v>5.0822234999999996</v>
      </c>
      <c r="X1105" s="32">
        <f>SUM(X577:X588)</f>
        <v>20.758966663999999</v>
      </c>
      <c r="Y1105" s="32"/>
      <c r="Z1105" s="32"/>
      <c r="AA1105" s="35"/>
      <c r="AB1105" s="34"/>
      <c r="AC1105" s="33">
        <f>AVERAGE(AC577:AC588)</f>
        <v>16.588192252321338</v>
      </c>
      <c r="AD1105" s="27">
        <f>AVERAGE(AD577:AD588)</f>
        <v>16.404451738609115</v>
      </c>
    </row>
    <row r="1106" spans="1:30" ht="15">
      <c r="A1106" s="11">
        <f t="shared" si="31"/>
        <v>2062</v>
      </c>
      <c r="B1106" s="10">
        <f t="shared" ref="B1106:K1115" ca="1" si="56">AVERAGE(OFFSET(B$589,($A1106-$A$1106)*12,0,12,1))</f>
        <v>16.985166666666668</v>
      </c>
      <c r="C1106" s="10">
        <f t="shared" ca="1" si="56"/>
        <v>16.991441666666663</v>
      </c>
      <c r="D1106" s="10">
        <f t="shared" ca="1" si="56"/>
        <v>17.095916666666668</v>
      </c>
      <c r="E1106" s="10">
        <f t="shared" ca="1" si="56"/>
        <v>17.128083333333333</v>
      </c>
      <c r="F1106" s="10">
        <f t="shared" ca="1" si="56"/>
        <v>16.943766666666665</v>
      </c>
      <c r="G1106" s="10">
        <f t="shared" ca="1" si="56"/>
        <v>16.960316666666667</v>
      </c>
      <c r="H1106" s="10">
        <f t="shared" ca="1" si="56"/>
        <v>17.116891666666664</v>
      </c>
      <c r="I1106" s="10">
        <f t="shared" ca="1" si="56"/>
        <v>16.978883333333332</v>
      </c>
      <c r="J1106" s="10">
        <f t="shared" ca="1" si="56"/>
        <v>16.936366666666668</v>
      </c>
      <c r="K1106" s="10">
        <f t="shared" ca="1" si="56"/>
        <v>16.614374999999999</v>
      </c>
      <c r="L1106" s="10">
        <f t="shared" ref="L1106:S1115" ca="1" si="57">AVERAGE(OFFSET(L$589,($A1106-$A$1106)*12,0,12,1))</f>
        <v>17.703891666666667</v>
      </c>
      <c r="M1106" s="10">
        <f t="shared" ca="1" si="57"/>
        <v>16.733116666666664</v>
      </c>
      <c r="N1106" s="10">
        <f t="shared" ca="1" si="57"/>
        <v>16.749433333333336</v>
      </c>
      <c r="O1106" s="10">
        <f t="shared" ca="1" si="57"/>
        <v>16.911116666666668</v>
      </c>
      <c r="P1106" s="10">
        <f t="shared" ca="1" si="57"/>
        <v>16.775091666666668</v>
      </c>
      <c r="Q1106" s="10">
        <f t="shared" ca="1" si="57"/>
        <v>17.50641666666667</v>
      </c>
      <c r="R1106" s="10">
        <f t="shared" ca="1" si="57"/>
        <v>18.13719166666667</v>
      </c>
      <c r="S1106" s="10">
        <f t="shared" ca="1" si="57"/>
        <v>16.462416666666666</v>
      </c>
      <c r="T1106" s="32">
        <f t="shared" ref="T1106:X1115" ca="1" si="58">SUM(OFFSET(T$589,($A1106-$A$1106)*12,0,12,1))</f>
        <v>357.24568100000005</v>
      </c>
      <c r="U1106" s="32">
        <f t="shared" ca="1" si="58"/>
        <v>142.03263249999998</v>
      </c>
      <c r="V1106" s="32">
        <f t="shared" ca="1" si="58"/>
        <v>50.187500000000007</v>
      </c>
      <c r="W1106" s="32">
        <f t="shared" ca="1" si="58"/>
        <v>5.0822234999999996</v>
      </c>
      <c r="X1106" s="32">
        <f t="shared" ca="1" si="58"/>
        <v>20.758966663999999</v>
      </c>
      <c r="Y1106" s="32"/>
      <c r="Z1106" s="10"/>
      <c r="AA1106" s="10"/>
      <c r="AB1106" s="10"/>
      <c r="AC1106" s="10">
        <f t="shared" ref="AC1106:AD1125" ca="1" si="59">AVERAGE(OFFSET(AC$589,($A1106-$A$1106)*12,0,12,1))</f>
        <v>16.987085420461593</v>
      </c>
      <c r="AD1106" s="10">
        <f t="shared" ca="1" si="59"/>
        <v>16.820771582733812</v>
      </c>
    </row>
    <row r="1107" spans="1:30" ht="15">
      <c r="A1107" s="11">
        <f t="shared" si="31"/>
        <v>2063</v>
      </c>
      <c r="B1107" s="10">
        <f t="shared" ca="1" si="56"/>
        <v>17.393616666666667</v>
      </c>
      <c r="C1107" s="10">
        <f t="shared" ca="1" si="56"/>
        <v>17.399891666666669</v>
      </c>
      <c r="D1107" s="10">
        <f t="shared" ca="1" si="56"/>
        <v>17.5044</v>
      </c>
      <c r="E1107" s="10">
        <f t="shared" ca="1" si="56"/>
        <v>17.536558333333332</v>
      </c>
      <c r="F1107" s="10">
        <f t="shared" ca="1" si="56"/>
        <v>17.352225000000001</v>
      </c>
      <c r="G1107" s="10">
        <f t="shared" ca="1" si="56"/>
        <v>17.368791666666667</v>
      </c>
      <c r="H1107" s="10">
        <f t="shared" ca="1" si="56"/>
        <v>17.525341666666666</v>
      </c>
      <c r="I1107" s="10">
        <f t="shared" ca="1" si="56"/>
        <v>17.387358333333335</v>
      </c>
      <c r="J1107" s="10">
        <f t="shared" ca="1" si="56"/>
        <v>17.344825</v>
      </c>
      <c r="K1107" s="10">
        <f t="shared" ca="1" si="56"/>
        <v>17.010100000000001</v>
      </c>
      <c r="L1107" s="10">
        <f t="shared" ca="1" si="57"/>
        <v>18.112341666666669</v>
      </c>
      <c r="M1107" s="10">
        <f t="shared" ca="1" si="57"/>
        <v>17.135866666666669</v>
      </c>
      <c r="N1107" s="10">
        <f t="shared" ca="1" si="57"/>
        <v>17.152208333333334</v>
      </c>
      <c r="O1107" s="10">
        <f t="shared" ca="1" si="57"/>
        <v>17.313891666666667</v>
      </c>
      <c r="P1107" s="10">
        <f t="shared" ca="1" si="57"/>
        <v>17.177866666666663</v>
      </c>
      <c r="Q1107" s="10">
        <f t="shared" ca="1" si="57"/>
        <v>17.909191666666668</v>
      </c>
      <c r="R1107" s="10">
        <f t="shared" ca="1" si="57"/>
        <v>18.540949999999999</v>
      </c>
      <c r="S1107" s="10">
        <f t="shared" ca="1" si="57"/>
        <v>16.857958333333332</v>
      </c>
      <c r="T1107" s="32">
        <f t="shared" ca="1" si="58"/>
        <v>357.24568100000005</v>
      </c>
      <c r="U1107" s="32">
        <f t="shared" ca="1" si="58"/>
        <v>142.03263249999998</v>
      </c>
      <c r="V1107" s="32">
        <f t="shared" ca="1" si="58"/>
        <v>50.187500000000007</v>
      </c>
      <c r="W1107" s="32">
        <f t="shared" ca="1" si="58"/>
        <v>5.0822234999999996</v>
      </c>
      <c r="X1107" s="32">
        <f t="shared" ca="1" si="58"/>
        <v>20.758966663999999</v>
      </c>
      <c r="Y1107" s="32"/>
      <c r="Z1107" s="10"/>
      <c r="AA1107" s="10"/>
      <c r="AB1107" s="10"/>
      <c r="AC1107" s="10">
        <f t="shared" ca="1" si="59"/>
        <v>17.395547937432511</v>
      </c>
      <c r="AD1107" s="10">
        <f t="shared" ca="1" si="59"/>
        <v>17.223537949640285</v>
      </c>
    </row>
    <row r="1108" spans="1:30" ht="15">
      <c r="A1108" s="11">
        <f t="shared" si="31"/>
        <v>2064</v>
      </c>
      <c r="B1108" s="10">
        <f t="shared" ca="1" si="56"/>
        <v>17.811908333333331</v>
      </c>
      <c r="C1108" s="10">
        <f t="shared" ca="1" si="56"/>
        <v>17.818191666666667</v>
      </c>
      <c r="D1108" s="10">
        <f t="shared" ca="1" si="56"/>
        <v>17.922683333333335</v>
      </c>
      <c r="E1108" s="10">
        <f t="shared" ca="1" si="56"/>
        <v>17.954825</v>
      </c>
      <c r="F1108" s="10">
        <f t="shared" ca="1" si="56"/>
        <v>17.770499999999998</v>
      </c>
      <c r="G1108" s="10">
        <f t="shared" ca="1" si="56"/>
        <v>17.787066666666664</v>
      </c>
      <c r="H1108" s="10">
        <f t="shared" ca="1" si="56"/>
        <v>17.943658333333332</v>
      </c>
      <c r="I1108" s="10">
        <f t="shared" ca="1" si="56"/>
        <v>17.805624999999996</v>
      </c>
      <c r="J1108" s="10">
        <f t="shared" ca="1" si="56"/>
        <v>17.763099999999998</v>
      </c>
      <c r="K1108" s="10">
        <f t="shared" ca="1" si="56"/>
        <v>17.415316666666666</v>
      </c>
      <c r="L1108" s="10">
        <f t="shared" ca="1" si="57"/>
        <v>18.530658333333335</v>
      </c>
      <c r="M1108" s="10">
        <f t="shared" ca="1" si="57"/>
        <v>17.548324999999998</v>
      </c>
      <c r="N1108" s="10">
        <f t="shared" ca="1" si="57"/>
        <v>17.564649999999997</v>
      </c>
      <c r="O1108" s="10">
        <f t="shared" ca="1" si="57"/>
        <v>17.726341666666666</v>
      </c>
      <c r="P1108" s="10">
        <f t="shared" ca="1" si="57"/>
        <v>17.590308333333333</v>
      </c>
      <c r="Q1108" s="10">
        <f t="shared" ca="1" si="57"/>
        <v>18.321641666666665</v>
      </c>
      <c r="R1108" s="10">
        <f t="shared" ca="1" si="57"/>
        <v>18.954441666666664</v>
      </c>
      <c r="S1108" s="10">
        <f t="shared" ca="1" si="57"/>
        <v>17.262983333333334</v>
      </c>
      <c r="T1108" s="32">
        <f t="shared" ca="1" si="58"/>
        <v>358.17703550000004</v>
      </c>
      <c r="U1108" s="32">
        <f t="shared" ca="1" si="58"/>
        <v>142.42176299999997</v>
      </c>
      <c r="V1108" s="32">
        <f t="shared" ca="1" si="58"/>
        <v>50.325000000000003</v>
      </c>
      <c r="W1108" s="32">
        <f t="shared" ca="1" si="58"/>
        <v>5.0961473999999995</v>
      </c>
      <c r="X1108" s="32">
        <f t="shared" ca="1" si="58"/>
        <v>20.800615543999996</v>
      </c>
      <c r="Y1108" s="32"/>
      <c r="Z1108" s="10"/>
      <c r="AA1108" s="10"/>
      <c r="AB1108" s="10"/>
      <c r="AC1108" s="10">
        <f t="shared" ca="1" si="59"/>
        <v>17.813830573018823</v>
      </c>
      <c r="AD1108" s="10">
        <f t="shared" ca="1" si="59"/>
        <v>17.635989148681055</v>
      </c>
    </row>
    <row r="1109" spans="1:30" ht="15">
      <c r="A1109" s="11">
        <f t="shared" si="31"/>
        <v>2065</v>
      </c>
      <c r="B1109" s="10">
        <f t="shared" ca="1" si="56"/>
        <v>18.240241666666666</v>
      </c>
      <c r="C1109" s="10">
        <f t="shared" ca="1" si="56"/>
        <v>18.246524999999998</v>
      </c>
      <c r="D1109" s="10">
        <f t="shared" ca="1" si="56"/>
        <v>18.351016666666666</v>
      </c>
      <c r="E1109" s="10">
        <f t="shared" ca="1" si="56"/>
        <v>18.383174999999998</v>
      </c>
      <c r="F1109" s="10">
        <f t="shared" ca="1" si="56"/>
        <v>18.198841666666667</v>
      </c>
      <c r="G1109" s="10">
        <f t="shared" ca="1" si="56"/>
        <v>18.215408333333333</v>
      </c>
      <c r="H1109" s="10">
        <f t="shared" ca="1" si="56"/>
        <v>18.371983333333333</v>
      </c>
      <c r="I1109" s="10">
        <f t="shared" ca="1" si="56"/>
        <v>18.233966666666667</v>
      </c>
      <c r="J1109" s="10">
        <f t="shared" ca="1" si="56"/>
        <v>18.191441666666666</v>
      </c>
      <c r="K1109" s="10">
        <f t="shared" ca="1" si="56"/>
        <v>17.830283333333334</v>
      </c>
      <c r="L1109" s="10">
        <f t="shared" ca="1" si="57"/>
        <v>18.958983333333332</v>
      </c>
      <c r="M1109" s="10">
        <f t="shared" ca="1" si="57"/>
        <v>17.970683333333334</v>
      </c>
      <c r="N1109" s="10">
        <f t="shared" ca="1" si="57"/>
        <v>17.986999999999998</v>
      </c>
      <c r="O1109" s="10">
        <f t="shared" ca="1" si="57"/>
        <v>18.148683333333334</v>
      </c>
      <c r="P1109" s="10">
        <f t="shared" ca="1" si="57"/>
        <v>18.012658333333331</v>
      </c>
      <c r="Q1109" s="10">
        <f t="shared" ca="1" si="57"/>
        <v>18.743983333333329</v>
      </c>
      <c r="R1109" s="10">
        <f t="shared" ca="1" si="57"/>
        <v>19.377858333333336</v>
      </c>
      <c r="S1109" s="10">
        <f t="shared" ca="1" si="57"/>
        <v>17.677733333333332</v>
      </c>
      <c r="T1109" s="32">
        <f t="shared" ca="1" si="58"/>
        <v>357.24568100000005</v>
      </c>
      <c r="U1109" s="32">
        <f t="shared" ca="1" si="58"/>
        <v>142.03263249999998</v>
      </c>
      <c r="V1109" s="32">
        <f t="shared" ca="1" si="58"/>
        <v>50.187500000000007</v>
      </c>
      <c r="W1109" s="32">
        <f t="shared" ca="1" si="58"/>
        <v>5.0822234999999996</v>
      </c>
      <c r="X1109" s="32">
        <f t="shared" ca="1" si="58"/>
        <v>20.758966663999999</v>
      </c>
      <c r="Y1109" s="32"/>
      <c r="Z1109" s="10"/>
      <c r="AA1109" s="10"/>
      <c r="AB1109" s="10"/>
      <c r="AC1109" s="10">
        <f t="shared" ca="1" si="59"/>
        <v>18.242168768694039</v>
      </c>
      <c r="AD1109" s="10">
        <f t="shared" ca="1" si="59"/>
        <v>18.058338249400482</v>
      </c>
    </row>
    <row r="1110" spans="1:30" ht="15">
      <c r="A1110" s="11">
        <f t="shared" si="31"/>
        <v>2066</v>
      </c>
      <c r="B1110" s="10">
        <f t="shared" ca="1" si="56"/>
        <v>18.678866666666668</v>
      </c>
      <c r="C1110" s="10">
        <f t="shared" ca="1" si="56"/>
        <v>18.685141666666667</v>
      </c>
      <c r="D1110" s="10">
        <f t="shared" ca="1" si="56"/>
        <v>18.789658333333335</v>
      </c>
      <c r="E1110" s="10">
        <f t="shared" ca="1" si="56"/>
        <v>18.821825000000004</v>
      </c>
      <c r="F1110" s="10">
        <f t="shared" ca="1" si="56"/>
        <v>18.637483333333332</v>
      </c>
      <c r="G1110" s="10">
        <f t="shared" ca="1" si="56"/>
        <v>18.654041666666668</v>
      </c>
      <c r="H1110" s="10">
        <f t="shared" ca="1" si="56"/>
        <v>18.810608333333331</v>
      </c>
      <c r="I1110" s="10">
        <f t="shared" ca="1" si="56"/>
        <v>18.672625</v>
      </c>
      <c r="J1110" s="10">
        <f t="shared" ca="1" si="56"/>
        <v>18.630083333333335</v>
      </c>
      <c r="K1110" s="10">
        <f t="shared" ca="1" si="56"/>
        <v>18.255224999999999</v>
      </c>
      <c r="L1110" s="10">
        <f t="shared" ca="1" si="57"/>
        <v>19.397608333333331</v>
      </c>
      <c r="M1110" s="10">
        <f t="shared" ca="1" si="57"/>
        <v>18.403191666666668</v>
      </c>
      <c r="N1110" s="10">
        <f t="shared" ca="1" si="57"/>
        <v>18.419508333333333</v>
      </c>
      <c r="O1110" s="10">
        <f t="shared" ca="1" si="57"/>
        <v>18.581199999999999</v>
      </c>
      <c r="P1110" s="10">
        <f t="shared" ca="1" si="57"/>
        <v>18.445174999999999</v>
      </c>
      <c r="Q1110" s="10">
        <f t="shared" ca="1" si="57"/>
        <v>19.176500000000001</v>
      </c>
      <c r="R1110" s="10">
        <f t="shared" ca="1" si="57"/>
        <v>19.811450000000001</v>
      </c>
      <c r="S1110" s="10">
        <f t="shared" ca="1" si="57"/>
        <v>18.102441666666667</v>
      </c>
      <c r="T1110" s="32">
        <f t="shared" ca="1" si="58"/>
        <v>357.24568100000005</v>
      </c>
      <c r="U1110" s="32">
        <f t="shared" ca="1" si="58"/>
        <v>142.03263249999998</v>
      </c>
      <c r="V1110" s="32">
        <f t="shared" ca="1" si="58"/>
        <v>50.187500000000007</v>
      </c>
      <c r="W1110" s="32">
        <f t="shared" ca="1" si="58"/>
        <v>5.0822234999999996</v>
      </c>
      <c r="X1110" s="32">
        <f t="shared" ca="1" si="58"/>
        <v>20.758966663999999</v>
      </c>
      <c r="Y1110" s="32"/>
      <c r="Z1110" s="10"/>
      <c r="AA1110" s="10"/>
      <c r="AB1110" s="10"/>
      <c r="AC1110" s="10">
        <f t="shared" ca="1" si="59"/>
        <v>18.680802959460419</v>
      </c>
      <c r="AD1110" s="10">
        <f t="shared" ca="1" si="59"/>
        <v>18.490851558752997</v>
      </c>
    </row>
    <row r="1111" spans="1:30" ht="15">
      <c r="A1111" s="11">
        <f t="shared" si="31"/>
        <v>2067</v>
      </c>
      <c r="B1111" s="10">
        <f t="shared" ca="1" si="56"/>
        <v>19.128033333333335</v>
      </c>
      <c r="C1111" s="10">
        <f t="shared" ca="1" si="56"/>
        <v>19.134325</v>
      </c>
      <c r="D1111" s="10">
        <f t="shared" ca="1" si="56"/>
        <v>19.238808333333331</v>
      </c>
      <c r="E1111" s="10">
        <f t="shared" ca="1" si="56"/>
        <v>19.270966666666666</v>
      </c>
      <c r="F1111" s="10">
        <f t="shared" ca="1" si="56"/>
        <v>19.086633333333335</v>
      </c>
      <c r="G1111" s="10">
        <f t="shared" ca="1" si="56"/>
        <v>19.103208333333335</v>
      </c>
      <c r="H1111" s="10">
        <f t="shared" ca="1" si="56"/>
        <v>19.259783333333331</v>
      </c>
      <c r="I1111" s="10">
        <f t="shared" ca="1" si="56"/>
        <v>19.121766666666666</v>
      </c>
      <c r="J1111" s="10">
        <f t="shared" ca="1" si="56"/>
        <v>19.079233333333331</v>
      </c>
      <c r="K1111" s="10">
        <f t="shared" ca="1" si="56"/>
        <v>18.690375</v>
      </c>
      <c r="L1111" s="10">
        <f t="shared" ca="1" si="57"/>
        <v>19.846783333333335</v>
      </c>
      <c r="M1111" s="10">
        <f t="shared" ca="1" si="57"/>
        <v>18.8461</v>
      </c>
      <c r="N1111" s="10">
        <f t="shared" ca="1" si="57"/>
        <v>18.862433333333335</v>
      </c>
      <c r="O1111" s="10">
        <f t="shared" ca="1" si="57"/>
        <v>19.024108333333334</v>
      </c>
      <c r="P1111" s="10">
        <f t="shared" ca="1" si="57"/>
        <v>18.888083333333331</v>
      </c>
      <c r="Q1111" s="10">
        <f t="shared" ca="1" si="57"/>
        <v>19.619408333333336</v>
      </c>
      <c r="R1111" s="10">
        <f t="shared" ca="1" si="57"/>
        <v>20.255441666666666</v>
      </c>
      <c r="S1111" s="10">
        <f t="shared" ca="1" si="57"/>
        <v>18.537391666666664</v>
      </c>
      <c r="T1111" s="32">
        <f t="shared" ca="1" si="58"/>
        <v>357.24568100000005</v>
      </c>
      <c r="U1111" s="32">
        <f t="shared" ca="1" si="58"/>
        <v>142.03263249999998</v>
      </c>
      <c r="V1111" s="32">
        <f t="shared" ca="1" si="58"/>
        <v>50.187500000000007</v>
      </c>
      <c r="W1111" s="32">
        <f t="shared" ca="1" si="58"/>
        <v>5.0822234999999996</v>
      </c>
      <c r="X1111" s="32">
        <f t="shared" ca="1" si="58"/>
        <v>20.758966663999999</v>
      </c>
      <c r="Y1111" s="32"/>
      <c r="Z1111" s="10"/>
      <c r="AA1111" s="10"/>
      <c r="AB1111" s="10"/>
      <c r="AC1111" s="10">
        <f t="shared" ca="1" si="59"/>
        <v>19.129964052801252</v>
      </c>
      <c r="AD1111" s="10">
        <f t="shared" ca="1" si="59"/>
        <v>18.933760851318944</v>
      </c>
    </row>
    <row r="1112" spans="1:30" ht="15">
      <c r="A1112" s="11">
        <f t="shared" si="31"/>
        <v>2068</v>
      </c>
      <c r="B1112" s="10">
        <f t="shared" ca="1" si="56"/>
        <v>19.588000000000001</v>
      </c>
      <c r="C1112" s="10">
        <f t="shared" ca="1" si="56"/>
        <v>19.594283333333333</v>
      </c>
      <c r="D1112" s="10">
        <f t="shared" ca="1" si="56"/>
        <v>19.698775000000001</v>
      </c>
      <c r="E1112" s="10">
        <f t="shared" ca="1" si="56"/>
        <v>19.730941666666666</v>
      </c>
      <c r="F1112" s="10">
        <f t="shared" ca="1" si="56"/>
        <v>19.546600000000002</v>
      </c>
      <c r="G1112" s="10">
        <f t="shared" ca="1" si="56"/>
        <v>19.563149999999997</v>
      </c>
      <c r="H1112" s="10">
        <f t="shared" ca="1" si="56"/>
        <v>19.719733333333334</v>
      </c>
      <c r="I1112" s="10">
        <f t="shared" ca="1" si="56"/>
        <v>19.581733333333332</v>
      </c>
      <c r="J1112" s="10">
        <f t="shared" ca="1" si="56"/>
        <v>19.539199999999997</v>
      </c>
      <c r="K1112" s="10">
        <f t="shared" ca="1" si="56"/>
        <v>19.135983333333332</v>
      </c>
      <c r="L1112" s="10">
        <f t="shared" ca="1" si="57"/>
        <v>20.30673333333333</v>
      </c>
      <c r="M1112" s="10">
        <f t="shared" ca="1" si="57"/>
        <v>19.299633333333336</v>
      </c>
      <c r="N1112" s="10">
        <f t="shared" ca="1" si="57"/>
        <v>19.315966666666672</v>
      </c>
      <c r="O1112" s="10">
        <f t="shared" ca="1" si="57"/>
        <v>19.477658333333334</v>
      </c>
      <c r="P1112" s="10">
        <f t="shared" ca="1" si="57"/>
        <v>19.341633333333334</v>
      </c>
      <c r="Q1112" s="10">
        <f t="shared" ca="1" si="57"/>
        <v>20.072958333333332</v>
      </c>
      <c r="R1112" s="10">
        <f t="shared" ca="1" si="57"/>
        <v>20.710133333333339</v>
      </c>
      <c r="S1112" s="10">
        <f t="shared" ca="1" si="57"/>
        <v>18.982766666666667</v>
      </c>
      <c r="T1112" s="32">
        <f t="shared" ca="1" si="58"/>
        <v>358.17703550000004</v>
      </c>
      <c r="U1112" s="32">
        <f t="shared" ca="1" si="58"/>
        <v>142.42176299999997</v>
      </c>
      <c r="V1112" s="32">
        <f t="shared" ca="1" si="58"/>
        <v>50.325000000000003</v>
      </c>
      <c r="W1112" s="32">
        <f t="shared" ca="1" si="58"/>
        <v>5.0961473999999995</v>
      </c>
      <c r="X1112" s="32">
        <f t="shared" ca="1" si="58"/>
        <v>20.800615543999996</v>
      </c>
      <c r="Y1112" s="32"/>
      <c r="Z1112" s="10"/>
      <c r="AA1112" s="10"/>
      <c r="AB1112" s="10"/>
      <c r="AC1112" s="10">
        <f t="shared" ca="1" si="59"/>
        <v>19.589925466284942</v>
      </c>
      <c r="AD1112" s="10">
        <f t="shared" ca="1" si="59"/>
        <v>19.387304136690648</v>
      </c>
    </row>
    <row r="1113" spans="1:30" ht="15">
      <c r="A1113" s="11">
        <f t="shared" si="31"/>
        <v>2069</v>
      </c>
      <c r="B1113" s="10">
        <f t="shared" ca="1" si="56"/>
        <v>20.059016666666668</v>
      </c>
      <c r="C1113" s="10">
        <f t="shared" ca="1" si="56"/>
        <v>20.065291666666671</v>
      </c>
      <c r="D1113" s="10">
        <f t="shared" ca="1" si="56"/>
        <v>20.169783333333331</v>
      </c>
      <c r="E1113" s="10">
        <f t="shared" ca="1" si="56"/>
        <v>20.20195</v>
      </c>
      <c r="F1113" s="10">
        <f t="shared" ca="1" si="56"/>
        <v>20.017616666666665</v>
      </c>
      <c r="G1113" s="10">
        <f t="shared" ca="1" si="56"/>
        <v>20.034174999999998</v>
      </c>
      <c r="H1113" s="10">
        <f t="shared" ca="1" si="56"/>
        <v>20.190733333333331</v>
      </c>
      <c r="I1113" s="10">
        <f t="shared" ca="1" si="56"/>
        <v>20.052741666666666</v>
      </c>
      <c r="J1113" s="10">
        <f t="shared" ca="1" si="56"/>
        <v>20.010216666666668</v>
      </c>
      <c r="K1113" s="10">
        <f t="shared" ca="1" si="56"/>
        <v>19.592275000000004</v>
      </c>
      <c r="L1113" s="10">
        <f t="shared" ca="1" si="57"/>
        <v>20.777733333333334</v>
      </c>
      <c r="M1113" s="10">
        <f t="shared" ca="1" si="57"/>
        <v>19.764083333333328</v>
      </c>
      <c r="N1113" s="10">
        <f t="shared" ca="1" si="57"/>
        <v>19.78040833333333</v>
      </c>
      <c r="O1113" s="10">
        <f t="shared" ca="1" si="57"/>
        <v>19.9421</v>
      </c>
      <c r="P1113" s="10">
        <f t="shared" ca="1" si="57"/>
        <v>19.806074999999996</v>
      </c>
      <c r="Q1113" s="10">
        <f t="shared" ca="1" si="57"/>
        <v>20.537400000000002</v>
      </c>
      <c r="R1113" s="10">
        <f t="shared" ca="1" si="57"/>
        <v>21.175733333333334</v>
      </c>
      <c r="S1113" s="10">
        <f t="shared" ca="1" si="57"/>
        <v>19.438850000000006</v>
      </c>
      <c r="T1113" s="32">
        <f t="shared" ca="1" si="58"/>
        <v>357.24568100000005</v>
      </c>
      <c r="U1113" s="32">
        <f t="shared" ca="1" si="58"/>
        <v>142.03263249999998</v>
      </c>
      <c r="V1113" s="32">
        <f t="shared" ca="1" si="58"/>
        <v>50.187500000000007</v>
      </c>
      <c r="W1113" s="32">
        <f t="shared" ca="1" si="58"/>
        <v>5.0822234999999996</v>
      </c>
      <c r="X1113" s="32">
        <f t="shared" ca="1" si="58"/>
        <v>20.758966663999999</v>
      </c>
      <c r="Y1113" s="32"/>
      <c r="Z1113" s="10"/>
      <c r="AA1113" s="10"/>
      <c r="AB1113" s="10"/>
      <c r="AC1113" s="10">
        <f t="shared" ca="1" si="59"/>
        <v>20.060940202687203</v>
      </c>
      <c r="AD1113" s="10">
        <f t="shared" ca="1" si="59"/>
        <v>19.851748681055152</v>
      </c>
    </row>
    <row r="1114" spans="1:30" ht="15">
      <c r="A1114" s="11">
        <f t="shared" ref="A1114:A1144" si="60">A1113+1</f>
        <v>2070</v>
      </c>
      <c r="B1114" s="10">
        <f t="shared" ca="1" si="56"/>
        <v>20.541333333333334</v>
      </c>
      <c r="C1114" s="10">
        <f t="shared" ca="1" si="56"/>
        <v>20.547625</v>
      </c>
      <c r="D1114" s="10">
        <f t="shared" ca="1" si="56"/>
        <v>20.652108333333334</v>
      </c>
      <c r="E1114" s="10">
        <f t="shared" ca="1" si="56"/>
        <v>20.684266666666666</v>
      </c>
      <c r="F1114" s="10">
        <f t="shared" ca="1" si="56"/>
        <v>20.499950000000002</v>
      </c>
      <c r="G1114" s="10">
        <f t="shared" ca="1" si="56"/>
        <v>20.516508333333331</v>
      </c>
      <c r="H1114" s="10">
        <f t="shared" ca="1" si="56"/>
        <v>20.673075000000001</v>
      </c>
      <c r="I1114" s="10">
        <f t="shared" ca="1" si="56"/>
        <v>20.535058333333335</v>
      </c>
      <c r="J1114" s="10">
        <f t="shared" ca="1" si="56"/>
        <v>20.492550000000005</v>
      </c>
      <c r="K1114" s="10">
        <f t="shared" ca="1" si="56"/>
        <v>20.059549999999998</v>
      </c>
      <c r="L1114" s="10">
        <f t="shared" ca="1" si="57"/>
        <v>21.260075000000001</v>
      </c>
      <c r="M1114" s="10">
        <f t="shared" ca="1" si="57"/>
        <v>20.239691666666669</v>
      </c>
      <c r="N1114" s="10">
        <f t="shared" ca="1" si="57"/>
        <v>20.256008333333334</v>
      </c>
      <c r="O1114" s="10">
        <f t="shared" ca="1" si="57"/>
        <v>20.417674999999999</v>
      </c>
      <c r="P1114" s="10">
        <f t="shared" ca="1" si="57"/>
        <v>20.281674999999996</v>
      </c>
      <c r="Q1114" s="10">
        <f t="shared" ca="1" si="57"/>
        <v>21.012975000000001</v>
      </c>
      <c r="R1114" s="10">
        <f t="shared" ca="1" si="57"/>
        <v>21.652516666666667</v>
      </c>
      <c r="S1114" s="10">
        <f t="shared" ca="1" si="57"/>
        <v>19.905883333333332</v>
      </c>
      <c r="T1114" s="32">
        <f t="shared" ca="1" si="58"/>
        <v>357.24568100000005</v>
      </c>
      <c r="U1114" s="32">
        <f t="shared" ca="1" si="58"/>
        <v>142.03263249999998</v>
      </c>
      <c r="V1114" s="32">
        <f t="shared" ca="1" si="58"/>
        <v>50.187500000000007</v>
      </c>
      <c r="W1114" s="32">
        <f t="shared" ca="1" si="58"/>
        <v>5.0822234999999996</v>
      </c>
      <c r="X1114" s="32">
        <f t="shared" ca="1" si="58"/>
        <v>20.758966663999999</v>
      </c>
      <c r="Y1114" s="32"/>
      <c r="Z1114" s="10"/>
      <c r="AA1114" s="10"/>
      <c r="AB1114" s="10"/>
      <c r="AC1114" s="10">
        <f t="shared" ca="1" si="59"/>
        <v>20.543268430132262</v>
      </c>
      <c r="AD1114" s="10">
        <f t="shared" ca="1" si="59"/>
        <v>20.327340227817746</v>
      </c>
    </row>
    <row r="1115" spans="1:30" ht="15">
      <c r="A1115" s="11">
        <f t="shared" si="60"/>
        <v>2071</v>
      </c>
      <c r="B1115" s="10">
        <f t="shared" ca="1" si="56"/>
        <v>21.035250000000001</v>
      </c>
      <c r="C1115" s="10">
        <f t="shared" ca="1" si="56"/>
        <v>21.041541666666664</v>
      </c>
      <c r="D1115" s="10">
        <f t="shared" ca="1" si="56"/>
        <v>21.146033333333335</v>
      </c>
      <c r="E1115" s="10">
        <f t="shared" ca="1" si="56"/>
        <v>21.178191666666667</v>
      </c>
      <c r="F1115" s="10">
        <f t="shared" ca="1" si="56"/>
        <v>20.993850000000002</v>
      </c>
      <c r="G1115" s="10">
        <f t="shared" ca="1" si="56"/>
        <v>21.010416666666668</v>
      </c>
      <c r="H1115" s="10">
        <f t="shared" ca="1" si="56"/>
        <v>21.167008333333332</v>
      </c>
      <c r="I1115" s="10">
        <f t="shared" ca="1" si="56"/>
        <v>21.029</v>
      </c>
      <c r="J1115" s="10">
        <f t="shared" ca="1" si="56"/>
        <v>20.986449999999998</v>
      </c>
      <c r="K1115" s="10">
        <f t="shared" ca="1" si="56"/>
        <v>20.538058333333332</v>
      </c>
      <c r="L1115" s="10">
        <f t="shared" ca="1" si="57"/>
        <v>21.754008333333335</v>
      </c>
      <c r="M1115" s="10">
        <f t="shared" ca="1" si="57"/>
        <v>20.726700000000001</v>
      </c>
      <c r="N1115" s="10">
        <f t="shared" ca="1" si="57"/>
        <v>20.743024999999999</v>
      </c>
      <c r="O1115" s="10">
        <f t="shared" ca="1" si="57"/>
        <v>20.904724999999999</v>
      </c>
      <c r="P1115" s="10">
        <f t="shared" ca="1" si="57"/>
        <v>20.768699999999999</v>
      </c>
      <c r="Q1115" s="10">
        <f t="shared" ca="1" si="57"/>
        <v>21.500025000000004</v>
      </c>
      <c r="R1115" s="10">
        <f t="shared" ca="1" si="57"/>
        <v>22.140766666666664</v>
      </c>
      <c r="S1115" s="10">
        <f t="shared" ca="1" si="57"/>
        <v>20.384141666666665</v>
      </c>
      <c r="T1115" s="32">
        <f t="shared" ca="1" si="58"/>
        <v>357.24568100000005</v>
      </c>
      <c r="U1115" s="32">
        <f t="shared" ca="1" si="58"/>
        <v>142.03263249999998</v>
      </c>
      <c r="V1115" s="32">
        <f t="shared" ca="1" si="58"/>
        <v>50.187500000000007</v>
      </c>
      <c r="W1115" s="32">
        <f t="shared" ca="1" si="58"/>
        <v>5.0822234999999996</v>
      </c>
      <c r="X1115" s="32">
        <f t="shared" ca="1" si="58"/>
        <v>20.758966663999999</v>
      </c>
      <c r="Y1115" s="32"/>
      <c r="Z1115" s="10"/>
      <c r="AA1115" s="10"/>
      <c r="AB1115" s="10"/>
      <c r="AC1115" s="10">
        <f t="shared" ca="1" si="59"/>
        <v>21.037181877046731</v>
      </c>
      <c r="AD1115" s="10">
        <f t="shared" ca="1" si="59"/>
        <v>20.814370323741006</v>
      </c>
    </row>
    <row r="1116" spans="1:30" ht="15">
      <c r="A1116" s="11">
        <f t="shared" si="60"/>
        <v>2072</v>
      </c>
      <c r="B1116" s="10">
        <f t="shared" ref="B1116:K1125" ca="1" si="61">AVERAGE(OFFSET(B$589,($A1116-$A$1106)*12,0,12,1))</f>
        <v>21.541016666666668</v>
      </c>
      <c r="C1116" s="10">
        <f t="shared" ca="1" si="61"/>
        <v>21.547308333333334</v>
      </c>
      <c r="D1116" s="10">
        <f t="shared" ca="1" si="61"/>
        <v>21.651825000000002</v>
      </c>
      <c r="E1116" s="10">
        <f t="shared" ca="1" si="61"/>
        <v>21.683966666666667</v>
      </c>
      <c r="F1116" s="10">
        <f t="shared" ca="1" si="61"/>
        <v>21.499649999999999</v>
      </c>
      <c r="G1116" s="10">
        <f t="shared" ca="1" si="61"/>
        <v>21.516200000000001</v>
      </c>
      <c r="H1116" s="10">
        <f t="shared" ca="1" si="61"/>
        <v>21.672766666666671</v>
      </c>
      <c r="I1116" s="10">
        <f t="shared" ca="1" si="61"/>
        <v>21.534783333333337</v>
      </c>
      <c r="J1116" s="10">
        <f t="shared" ca="1" si="61"/>
        <v>21.492249999999999</v>
      </c>
      <c r="K1116" s="10">
        <f t="shared" ca="1" si="61"/>
        <v>21.02804166666667</v>
      </c>
      <c r="L1116" s="10">
        <f t="shared" ref="L1116:S1125" ca="1" si="62">AVERAGE(OFFSET(L$589,($A1116-$A$1106)*12,0,12,1))</f>
        <v>22.259766666666664</v>
      </c>
      <c r="M1116" s="10">
        <f t="shared" ca="1" si="62"/>
        <v>21.225433333333331</v>
      </c>
      <c r="N1116" s="10">
        <f t="shared" ca="1" si="62"/>
        <v>21.241758333333337</v>
      </c>
      <c r="O1116" s="10">
        <f t="shared" ca="1" si="62"/>
        <v>21.403425000000002</v>
      </c>
      <c r="P1116" s="10">
        <f t="shared" ca="1" si="62"/>
        <v>21.267424999999999</v>
      </c>
      <c r="Q1116" s="10">
        <f t="shared" ca="1" si="62"/>
        <v>21.998724999999997</v>
      </c>
      <c r="R1116" s="10">
        <f t="shared" ca="1" si="62"/>
        <v>22.64073333333333</v>
      </c>
      <c r="S1116" s="10">
        <f t="shared" ca="1" si="62"/>
        <v>20.873883333333328</v>
      </c>
      <c r="T1116" s="32">
        <f t="shared" ref="T1116:X1125" ca="1" si="63">SUM(OFFSET(T$589,($A1116-$A$1106)*12,0,12,1))</f>
        <v>358.17703550000004</v>
      </c>
      <c r="U1116" s="32">
        <f t="shared" ca="1" si="63"/>
        <v>142.42176299999997</v>
      </c>
      <c r="V1116" s="32">
        <f t="shared" ca="1" si="63"/>
        <v>50.325000000000003</v>
      </c>
      <c r="W1116" s="32">
        <f t="shared" ca="1" si="63"/>
        <v>5.0961473999999995</v>
      </c>
      <c r="X1116" s="32">
        <f t="shared" ca="1" si="63"/>
        <v>20.800615543999996</v>
      </c>
      <c r="Y1116" s="32"/>
      <c r="Z1116" s="10"/>
      <c r="AA1116" s="10"/>
      <c r="AB1116" s="10"/>
      <c r="AC1116" s="10">
        <f t="shared" ca="1" si="59"/>
        <v>21.542964403960994</v>
      </c>
      <c r="AD1116" s="10">
        <f t="shared" ca="1" si="59"/>
        <v>21.313087350119904</v>
      </c>
    </row>
    <row r="1117" spans="1:30" ht="15">
      <c r="A1117" s="11">
        <f t="shared" si="60"/>
        <v>2073</v>
      </c>
      <c r="B1117" s="10">
        <f t="shared" ca="1" si="61"/>
        <v>22.058966666666663</v>
      </c>
      <c r="C1117" s="10">
        <f t="shared" ca="1" si="61"/>
        <v>22.065258333333336</v>
      </c>
      <c r="D1117" s="10">
        <f t="shared" ca="1" si="61"/>
        <v>22.169758333333334</v>
      </c>
      <c r="E1117" s="10">
        <f t="shared" ca="1" si="61"/>
        <v>22.201933333333333</v>
      </c>
      <c r="F1117" s="10">
        <f t="shared" ca="1" si="61"/>
        <v>22.017583333333334</v>
      </c>
      <c r="G1117" s="10">
        <f t="shared" ca="1" si="61"/>
        <v>22.034149999999997</v>
      </c>
      <c r="H1117" s="10">
        <f t="shared" ca="1" si="61"/>
        <v>22.190716666666663</v>
      </c>
      <c r="I1117" s="10">
        <f t="shared" ca="1" si="61"/>
        <v>22.052724999999999</v>
      </c>
      <c r="J1117" s="10">
        <f t="shared" ca="1" si="61"/>
        <v>22.010183333333334</v>
      </c>
      <c r="K1117" s="10">
        <f t="shared" ca="1" si="61"/>
        <v>21.529799999999998</v>
      </c>
      <c r="L1117" s="10">
        <f t="shared" ca="1" si="62"/>
        <v>22.777716666666667</v>
      </c>
      <c r="M1117" s="10">
        <f t="shared" ca="1" si="62"/>
        <v>21.736149999999999</v>
      </c>
      <c r="N1117" s="10">
        <f t="shared" ca="1" si="62"/>
        <v>21.752475</v>
      </c>
      <c r="O1117" s="10">
        <f t="shared" ca="1" si="62"/>
        <v>21.914158333333329</v>
      </c>
      <c r="P1117" s="10">
        <f t="shared" ca="1" si="62"/>
        <v>21.778141666666659</v>
      </c>
      <c r="Q1117" s="10">
        <f t="shared" ca="1" si="62"/>
        <v>22.509458333333331</v>
      </c>
      <c r="R1117" s="10">
        <f t="shared" ca="1" si="62"/>
        <v>23.152725000000004</v>
      </c>
      <c r="S1117" s="10">
        <f t="shared" ca="1" si="62"/>
        <v>21.375416666666666</v>
      </c>
      <c r="T1117" s="32">
        <f t="shared" ca="1" si="63"/>
        <v>357.24568100000005</v>
      </c>
      <c r="U1117" s="32">
        <f t="shared" ca="1" si="63"/>
        <v>142.03263249999998</v>
      </c>
      <c r="V1117" s="32">
        <f t="shared" ca="1" si="63"/>
        <v>50.187500000000007</v>
      </c>
      <c r="W1117" s="32">
        <f t="shared" ca="1" si="63"/>
        <v>5.0822234999999996</v>
      </c>
      <c r="X1117" s="32">
        <f t="shared" ca="1" si="63"/>
        <v>20.758966663999999</v>
      </c>
      <c r="Y1117" s="32"/>
      <c r="Z1117" s="10"/>
      <c r="AA1117" s="10"/>
      <c r="AB1117" s="10"/>
      <c r="AC1117" s="10">
        <f t="shared" ca="1" si="59"/>
        <v>22.06090824604895</v>
      </c>
      <c r="AD1117" s="10">
        <f t="shared" ca="1" si="59"/>
        <v>21.823811570743405</v>
      </c>
    </row>
    <row r="1118" spans="1:30" ht="15">
      <c r="A1118" s="11">
        <f t="shared" si="60"/>
        <v>2074</v>
      </c>
      <c r="B1118" s="10">
        <f t="shared" ca="1" si="61"/>
        <v>22.589358333333337</v>
      </c>
      <c r="C1118" s="10">
        <f t="shared" ca="1" si="61"/>
        <v>22.595641666666666</v>
      </c>
      <c r="D1118" s="10">
        <f t="shared" ca="1" si="61"/>
        <v>22.700125</v>
      </c>
      <c r="E1118" s="10">
        <f t="shared" ca="1" si="61"/>
        <v>22.732291666666669</v>
      </c>
      <c r="F1118" s="10">
        <f t="shared" ca="1" si="61"/>
        <v>22.547966666666667</v>
      </c>
      <c r="G1118" s="10">
        <f t="shared" ca="1" si="61"/>
        <v>22.564525000000003</v>
      </c>
      <c r="H1118" s="10">
        <f t="shared" ca="1" si="61"/>
        <v>22.721100000000003</v>
      </c>
      <c r="I1118" s="10">
        <f t="shared" ca="1" si="61"/>
        <v>22.583100000000002</v>
      </c>
      <c r="J1118" s="10">
        <f t="shared" ca="1" si="61"/>
        <v>22.540566666666667</v>
      </c>
      <c r="K1118" s="10">
        <f t="shared" ca="1" si="61"/>
        <v>22.043658333333337</v>
      </c>
      <c r="L1118" s="10">
        <f t="shared" ca="1" si="62"/>
        <v>23.308100000000007</v>
      </c>
      <c r="M1118" s="10">
        <f t="shared" ca="1" si="62"/>
        <v>22.259133333333338</v>
      </c>
      <c r="N1118" s="10">
        <f t="shared" ca="1" si="62"/>
        <v>22.275449999999996</v>
      </c>
      <c r="O1118" s="10">
        <f t="shared" ca="1" si="62"/>
        <v>22.437133333333335</v>
      </c>
      <c r="P1118" s="10">
        <f t="shared" ca="1" si="62"/>
        <v>22.301100000000002</v>
      </c>
      <c r="Q1118" s="10">
        <f t="shared" ca="1" si="62"/>
        <v>23.032433333333334</v>
      </c>
      <c r="R1118" s="10">
        <f t="shared" ca="1" si="62"/>
        <v>23.677008333333333</v>
      </c>
      <c r="S1118" s="10">
        <f t="shared" ca="1" si="62"/>
        <v>21.888974999999999</v>
      </c>
      <c r="T1118" s="32">
        <f t="shared" ca="1" si="63"/>
        <v>357.24568100000005</v>
      </c>
      <c r="U1118" s="32">
        <f t="shared" ca="1" si="63"/>
        <v>142.03263249999998</v>
      </c>
      <c r="V1118" s="32">
        <f t="shared" ca="1" si="63"/>
        <v>50.187500000000007</v>
      </c>
      <c r="W1118" s="32">
        <f t="shared" ca="1" si="63"/>
        <v>5.0822234999999996</v>
      </c>
      <c r="X1118" s="32">
        <f t="shared" ca="1" si="63"/>
        <v>20.758966663999999</v>
      </c>
      <c r="Y1118" s="32"/>
      <c r="Z1118" s="10"/>
      <c r="AA1118" s="10"/>
      <c r="AB1118" s="10"/>
      <c r="AC1118" s="10">
        <f t="shared" ca="1" si="59"/>
        <v>22.591288190009731</v>
      </c>
      <c r="AD1118" s="10">
        <f t="shared" ca="1" si="59"/>
        <v>22.346787050359708</v>
      </c>
    </row>
    <row r="1119" spans="1:30" ht="15">
      <c r="A1119" s="11">
        <f t="shared" si="60"/>
        <v>2075</v>
      </c>
      <c r="B1119" s="10">
        <f t="shared" ca="1" si="61"/>
        <v>23.132499999999997</v>
      </c>
      <c r="C1119" s="10">
        <f t="shared" ca="1" si="61"/>
        <v>23.138774999999999</v>
      </c>
      <c r="D1119" s="10">
        <f t="shared" ca="1" si="61"/>
        <v>23.243258333333333</v>
      </c>
      <c r="E1119" s="10">
        <f t="shared" ca="1" si="61"/>
        <v>23.275416666666668</v>
      </c>
      <c r="F1119" s="10">
        <f t="shared" ca="1" si="61"/>
        <v>23.091091666666667</v>
      </c>
      <c r="G1119" s="10">
        <f t="shared" ca="1" si="61"/>
        <v>23.107666666666663</v>
      </c>
      <c r="H1119" s="10">
        <f t="shared" ca="1" si="61"/>
        <v>23.264241666666667</v>
      </c>
      <c r="I1119" s="10">
        <f t="shared" ca="1" si="61"/>
        <v>23.126216666666664</v>
      </c>
      <c r="J1119" s="10">
        <f t="shared" ca="1" si="61"/>
        <v>23.083691666666667</v>
      </c>
      <c r="K1119" s="10">
        <f t="shared" ca="1" si="61"/>
        <v>22.569808333333331</v>
      </c>
      <c r="L1119" s="10">
        <f t="shared" ca="1" si="62"/>
        <v>23.851241666666667</v>
      </c>
      <c r="M1119" s="10">
        <f t="shared" ca="1" si="62"/>
        <v>22.794666666666668</v>
      </c>
      <c r="N1119" s="10">
        <f t="shared" ca="1" si="62"/>
        <v>22.811000000000003</v>
      </c>
      <c r="O1119" s="10">
        <f t="shared" ca="1" si="62"/>
        <v>22.972674999999999</v>
      </c>
      <c r="P1119" s="10">
        <f t="shared" ca="1" si="62"/>
        <v>22.836675</v>
      </c>
      <c r="Q1119" s="10">
        <f t="shared" ca="1" si="62"/>
        <v>23.567975000000001</v>
      </c>
      <c r="R1119" s="10">
        <f t="shared" ca="1" si="62"/>
        <v>24.213908333333336</v>
      </c>
      <c r="S1119" s="10">
        <f t="shared" ca="1" si="62"/>
        <v>22.414899999999999</v>
      </c>
      <c r="T1119" s="32">
        <f t="shared" ca="1" si="63"/>
        <v>357.24568100000005</v>
      </c>
      <c r="U1119" s="32">
        <f t="shared" ca="1" si="63"/>
        <v>142.03263249999998</v>
      </c>
      <c r="V1119" s="32">
        <f t="shared" ca="1" si="63"/>
        <v>50.187500000000007</v>
      </c>
      <c r="W1119" s="32">
        <f t="shared" ca="1" si="63"/>
        <v>5.0822234999999996</v>
      </c>
      <c r="X1119" s="32">
        <f t="shared" ca="1" si="63"/>
        <v>20.758966663999999</v>
      </c>
      <c r="Y1119" s="32"/>
      <c r="Z1119" s="10"/>
      <c r="AA1119" s="10"/>
      <c r="AB1119" s="10"/>
      <c r="AC1119" s="10">
        <f t="shared" ca="1" si="59"/>
        <v>23.134420252711081</v>
      </c>
      <c r="AD1119" s="10">
        <f t="shared" ca="1" si="59"/>
        <v>22.882331115107917</v>
      </c>
    </row>
    <row r="1120" spans="1:30" ht="15">
      <c r="A1120" s="11">
        <f t="shared" si="60"/>
        <v>2076</v>
      </c>
      <c r="B1120" s="10">
        <f t="shared" ca="1" si="61"/>
        <v>23.688641666666669</v>
      </c>
      <c r="C1120" s="10">
        <f t="shared" ca="1" si="61"/>
        <v>23.694924999999998</v>
      </c>
      <c r="D1120" s="10">
        <f t="shared" ca="1" si="61"/>
        <v>23.799433333333337</v>
      </c>
      <c r="E1120" s="10">
        <f t="shared" ca="1" si="61"/>
        <v>23.831583333333331</v>
      </c>
      <c r="F1120" s="10">
        <f t="shared" ca="1" si="61"/>
        <v>23.647266666666667</v>
      </c>
      <c r="G1120" s="10">
        <f t="shared" ca="1" si="61"/>
        <v>23.663799999999998</v>
      </c>
      <c r="H1120" s="10">
        <f t="shared" ca="1" si="61"/>
        <v>23.820391666666666</v>
      </c>
      <c r="I1120" s="10">
        <f t="shared" ca="1" si="61"/>
        <v>23.682383333333334</v>
      </c>
      <c r="J1120" s="10">
        <f t="shared" ca="1" si="61"/>
        <v>23.639866666666666</v>
      </c>
      <c r="K1120" s="10">
        <f t="shared" ca="1" si="61"/>
        <v>23.108633333333334</v>
      </c>
      <c r="L1120" s="10">
        <f t="shared" ca="1" si="62"/>
        <v>24.407391666666665</v>
      </c>
      <c r="M1120" s="10">
        <f t="shared" ca="1" si="62"/>
        <v>23.343100000000003</v>
      </c>
      <c r="N1120" s="10">
        <f t="shared" ca="1" si="62"/>
        <v>23.359425000000002</v>
      </c>
      <c r="O1120" s="10">
        <f t="shared" ca="1" si="62"/>
        <v>23.521100000000001</v>
      </c>
      <c r="P1120" s="10">
        <f t="shared" ca="1" si="62"/>
        <v>23.385083333333331</v>
      </c>
      <c r="Q1120" s="10">
        <f t="shared" ca="1" si="62"/>
        <v>24.116399999999999</v>
      </c>
      <c r="R1120" s="10">
        <f t="shared" ca="1" si="62"/>
        <v>24.7637</v>
      </c>
      <c r="S1120" s="10">
        <f t="shared" ca="1" si="62"/>
        <v>22.953433333333333</v>
      </c>
      <c r="T1120" s="32">
        <f t="shared" ca="1" si="63"/>
        <v>358.17703550000004</v>
      </c>
      <c r="U1120" s="32">
        <f t="shared" ca="1" si="63"/>
        <v>142.42176299999997</v>
      </c>
      <c r="V1120" s="32">
        <f t="shared" ca="1" si="63"/>
        <v>50.325000000000003</v>
      </c>
      <c r="W1120" s="32">
        <f t="shared" ca="1" si="63"/>
        <v>5.0961473999999995</v>
      </c>
      <c r="X1120" s="32">
        <f t="shared" ca="1" si="63"/>
        <v>20.800615543999996</v>
      </c>
      <c r="Y1120" s="32"/>
      <c r="Z1120" s="10"/>
      <c r="AA1120" s="10"/>
      <c r="AB1120" s="10"/>
      <c r="AC1120" s="10">
        <f t="shared" ca="1" si="59"/>
        <v>23.690577817583748</v>
      </c>
      <c r="AD1120" s="10">
        <f t="shared" ca="1" si="59"/>
        <v>23.430756594724219</v>
      </c>
    </row>
    <row r="1121" spans="1:30" ht="15">
      <c r="A1121" s="11">
        <f t="shared" si="60"/>
        <v>2077</v>
      </c>
      <c r="B1121" s="10">
        <f t="shared" ca="1" si="61"/>
        <v>24.258208333333339</v>
      </c>
      <c r="C1121" s="10">
        <f t="shared" ca="1" si="61"/>
        <v>24.264491666666668</v>
      </c>
      <c r="D1121" s="10">
        <f t="shared" ca="1" si="61"/>
        <v>24.368975000000002</v>
      </c>
      <c r="E1121" s="10">
        <f t="shared" ca="1" si="61"/>
        <v>24.40113333333333</v>
      </c>
      <c r="F1121" s="10">
        <f t="shared" ca="1" si="61"/>
        <v>24.21681666666667</v>
      </c>
      <c r="G1121" s="10">
        <f t="shared" ca="1" si="61"/>
        <v>24.233358333333332</v>
      </c>
      <c r="H1121" s="10">
        <f t="shared" ca="1" si="61"/>
        <v>24.389933333333335</v>
      </c>
      <c r="I1121" s="10">
        <f t="shared" ca="1" si="61"/>
        <v>24.25193333333333</v>
      </c>
      <c r="J1121" s="10">
        <f t="shared" ca="1" si="61"/>
        <v>24.209416666666666</v>
      </c>
      <c r="K1121" s="10">
        <f t="shared" ca="1" si="61"/>
        <v>23.660391666666666</v>
      </c>
      <c r="L1121" s="10">
        <f t="shared" ca="1" si="62"/>
        <v>24.976933333333331</v>
      </c>
      <c r="M1121" s="10">
        <f t="shared" ca="1" si="62"/>
        <v>23.904683333333338</v>
      </c>
      <c r="N1121" s="10">
        <f t="shared" ca="1" si="62"/>
        <v>23.921016666666663</v>
      </c>
      <c r="O1121" s="10">
        <f t="shared" ca="1" si="62"/>
        <v>24.082708333333333</v>
      </c>
      <c r="P1121" s="10">
        <f t="shared" ca="1" si="62"/>
        <v>23.946683333333336</v>
      </c>
      <c r="Q1121" s="10">
        <f t="shared" ca="1" si="62"/>
        <v>24.678008333333334</v>
      </c>
      <c r="R1121" s="10">
        <f t="shared" ca="1" si="62"/>
        <v>25.326691666666665</v>
      </c>
      <c r="S1121" s="10">
        <f t="shared" ca="1" si="62"/>
        <v>23.504925</v>
      </c>
      <c r="T1121" s="32">
        <f t="shared" ca="1" si="63"/>
        <v>357.24568100000005</v>
      </c>
      <c r="U1121" s="32">
        <f t="shared" ca="1" si="63"/>
        <v>142.03263249999998</v>
      </c>
      <c r="V1121" s="32">
        <f t="shared" ca="1" si="63"/>
        <v>50.187500000000007</v>
      </c>
      <c r="W1121" s="32">
        <f t="shared" ca="1" si="63"/>
        <v>5.0822234999999996</v>
      </c>
      <c r="X1121" s="32">
        <f t="shared" ca="1" si="63"/>
        <v>20.758966663999999</v>
      </c>
      <c r="Y1121" s="32"/>
      <c r="Z1121" s="10"/>
      <c r="AA1121" s="10"/>
      <c r="AB1121" s="10"/>
      <c r="AC1121" s="10">
        <f t="shared" ca="1" si="59"/>
        <v>24.260134371861096</v>
      </c>
      <c r="AD1121" s="10">
        <f t="shared" ca="1" si="59"/>
        <v>23.99235413669064</v>
      </c>
    </row>
    <row r="1122" spans="1:30" ht="15">
      <c r="A1122" s="11">
        <f t="shared" si="60"/>
        <v>2078</v>
      </c>
      <c r="B1122" s="10">
        <f t="shared" ca="1" si="61"/>
        <v>24.841416666666664</v>
      </c>
      <c r="C1122" s="10">
        <f t="shared" ca="1" si="61"/>
        <v>24.847691666666663</v>
      </c>
      <c r="D1122" s="10">
        <f t="shared" ca="1" si="61"/>
        <v>24.952216666666668</v>
      </c>
      <c r="E1122" s="10">
        <f t="shared" ca="1" si="61"/>
        <v>24.984375</v>
      </c>
      <c r="F1122" s="10">
        <f t="shared" ca="1" si="61"/>
        <v>24.800041666666672</v>
      </c>
      <c r="G1122" s="10">
        <f t="shared" ca="1" si="61"/>
        <v>24.81658333333333</v>
      </c>
      <c r="H1122" s="10">
        <f t="shared" ca="1" si="61"/>
        <v>24.97315</v>
      </c>
      <c r="I1122" s="10">
        <f t="shared" ca="1" si="61"/>
        <v>24.835175000000003</v>
      </c>
      <c r="J1122" s="10">
        <f t="shared" ca="1" si="61"/>
        <v>24.792641666666665</v>
      </c>
      <c r="K1122" s="10">
        <f t="shared" ca="1" si="61"/>
        <v>24.225408333333331</v>
      </c>
      <c r="L1122" s="10">
        <f t="shared" ca="1" si="62"/>
        <v>25.560150000000007</v>
      </c>
      <c r="M1122" s="10">
        <f t="shared" ca="1" si="62"/>
        <v>24.479775</v>
      </c>
      <c r="N1122" s="10">
        <f t="shared" ca="1" si="62"/>
        <v>24.496091666666661</v>
      </c>
      <c r="O1122" s="10">
        <f t="shared" ca="1" si="62"/>
        <v>24.657783333333338</v>
      </c>
      <c r="P1122" s="10">
        <f t="shared" ca="1" si="62"/>
        <v>24.521750000000008</v>
      </c>
      <c r="Q1122" s="10">
        <f t="shared" ca="1" si="62"/>
        <v>25.253083333333326</v>
      </c>
      <c r="R1122" s="10">
        <f t="shared" ca="1" si="62"/>
        <v>25.903199999999995</v>
      </c>
      <c r="S1122" s="10">
        <f t="shared" ca="1" si="62"/>
        <v>24.069641666666666</v>
      </c>
      <c r="T1122" s="32">
        <f t="shared" ca="1" si="63"/>
        <v>357.24568100000005</v>
      </c>
      <c r="U1122" s="32">
        <f t="shared" ca="1" si="63"/>
        <v>142.03263249999998</v>
      </c>
      <c r="V1122" s="32">
        <f t="shared" ca="1" si="63"/>
        <v>50.187500000000007</v>
      </c>
      <c r="W1122" s="32">
        <f t="shared" ca="1" si="63"/>
        <v>5.0822234999999996</v>
      </c>
      <c r="X1122" s="32">
        <f t="shared" ca="1" si="63"/>
        <v>20.758966663999999</v>
      </c>
      <c r="Y1122" s="32"/>
      <c r="Z1122" s="10"/>
      <c r="AA1122" s="10"/>
      <c r="AB1122" s="10"/>
      <c r="AC1122" s="10">
        <f t="shared" ca="1" si="59"/>
        <v>24.843355202949283</v>
      </c>
      <c r="AD1122" s="10">
        <f t="shared" ca="1" si="59"/>
        <v>24.567433693045569</v>
      </c>
    </row>
    <row r="1123" spans="1:30" ht="15">
      <c r="A1123" s="11">
        <f t="shared" si="60"/>
        <v>2079</v>
      </c>
      <c r="B1123" s="10">
        <f t="shared" ca="1" si="61"/>
        <v>25.438666666666673</v>
      </c>
      <c r="C1123" s="10">
        <f t="shared" ca="1" si="61"/>
        <v>25.444958333333332</v>
      </c>
      <c r="D1123" s="10">
        <f t="shared" ca="1" si="61"/>
        <v>25.549441666666667</v>
      </c>
      <c r="E1123" s="10">
        <f t="shared" ca="1" si="61"/>
        <v>25.581599999999998</v>
      </c>
      <c r="F1123" s="10">
        <f t="shared" ca="1" si="61"/>
        <v>25.397283333333331</v>
      </c>
      <c r="G1123" s="10">
        <f t="shared" ca="1" si="61"/>
        <v>25.413824999999999</v>
      </c>
      <c r="H1123" s="10">
        <f t="shared" ca="1" si="61"/>
        <v>25.570391666666666</v>
      </c>
      <c r="I1123" s="10">
        <f t="shared" ca="1" si="61"/>
        <v>25.432391666666671</v>
      </c>
      <c r="J1123" s="10">
        <f t="shared" ca="1" si="61"/>
        <v>25.389883333333334</v>
      </c>
      <c r="K1123" s="10">
        <f t="shared" ca="1" si="61"/>
        <v>24.804016666666666</v>
      </c>
      <c r="L1123" s="10">
        <f t="shared" ca="1" si="62"/>
        <v>26.157391666666665</v>
      </c>
      <c r="M1123" s="10">
        <f t="shared" ca="1" si="62"/>
        <v>25.06869166666667</v>
      </c>
      <c r="N1123" s="10">
        <f t="shared" ca="1" si="62"/>
        <v>25.084991666666667</v>
      </c>
      <c r="O1123" s="10">
        <f t="shared" ca="1" si="62"/>
        <v>25.246691666666667</v>
      </c>
      <c r="P1123" s="10">
        <f t="shared" ca="1" si="62"/>
        <v>25.11066666666667</v>
      </c>
      <c r="Q1123" s="10">
        <f t="shared" ca="1" si="62"/>
        <v>25.841991666666669</v>
      </c>
      <c r="R1123" s="10">
        <f t="shared" ca="1" si="62"/>
        <v>26.493583333333333</v>
      </c>
      <c r="S1123" s="10">
        <f t="shared" ca="1" si="62"/>
        <v>24.647966666666672</v>
      </c>
      <c r="T1123" s="32">
        <f t="shared" ca="1" si="63"/>
        <v>357.24568100000005</v>
      </c>
      <c r="U1123" s="32">
        <f t="shared" ca="1" si="63"/>
        <v>142.03263249999998</v>
      </c>
      <c r="V1123" s="32">
        <f t="shared" ca="1" si="63"/>
        <v>50.187500000000007</v>
      </c>
      <c r="W1123" s="32">
        <f t="shared" ca="1" si="63"/>
        <v>5.0822234999999996</v>
      </c>
      <c r="X1123" s="32">
        <f t="shared" ca="1" si="63"/>
        <v>20.758966663999999</v>
      </c>
      <c r="Y1123" s="32"/>
      <c r="Z1123" s="10"/>
      <c r="AA1123" s="10"/>
      <c r="AB1123" s="10"/>
      <c r="AC1123" s="10">
        <f t="shared" ca="1" si="59"/>
        <v>25.440599154144277</v>
      </c>
      <c r="AD1123" s="10">
        <f t="shared" ca="1" si="59"/>
        <v>25.156345623501199</v>
      </c>
    </row>
    <row r="1124" spans="1:30" ht="15">
      <c r="A1124" s="11">
        <f t="shared" si="60"/>
        <v>2080</v>
      </c>
      <c r="B1124" s="10">
        <f t="shared" ca="1" si="61"/>
        <v>26.050258333333328</v>
      </c>
      <c r="C1124" s="10">
        <f t="shared" ca="1" si="61"/>
        <v>26.056533333333334</v>
      </c>
      <c r="D1124" s="10">
        <f t="shared" ca="1" si="61"/>
        <v>26.161024999999999</v>
      </c>
      <c r="E1124" s="10">
        <f t="shared" ca="1" si="61"/>
        <v>26.193183333333334</v>
      </c>
      <c r="F1124" s="10">
        <f t="shared" ca="1" si="61"/>
        <v>26.008858333333333</v>
      </c>
      <c r="G1124" s="10">
        <f t="shared" ca="1" si="61"/>
        <v>26.025424999999998</v>
      </c>
      <c r="H1124" s="10">
        <f t="shared" ca="1" si="61"/>
        <v>26.181974999999998</v>
      </c>
      <c r="I1124" s="10">
        <f t="shared" ca="1" si="61"/>
        <v>26.043999999999997</v>
      </c>
      <c r="J1124" s="10">
        <f t="shared" ca="1" si="61"/>
        <v>26.001458333333336</v>
      </c>
      <c r="K1124" s="10">
        <f t="shared" ca="1" si="61"/>
        <v>25.396508333333333</v>
      </c>
      <c r="L1124" s="10">
        <f t="shared" ca="1" si="62"/>
        <v>26.768975000000001</v>
      </c>
      <c r="M1124" s="10">
        <f t="shared" ca="1" si="62"/>
        <v>25.671749999999999</v>
      </c>
      <c r="N1124" s="10">
        <f t="shared" ca="1" si="62"/>
        <v>25.688066666666668</v>
      </c>
      <c r="O1124" s="10">
        <f t="shared" ca="1" si="62"/>
        <v>25.84975</v>
      </c>
      <c r="P1124" s="10">
        <f t="shared" ca="1" si="62"/>
        <v>25.713733333333337</v>
      </c>
      <c r="Q1124" s="10">
        <f t="shared" ca="1" si="62"/>
        <v>26.445049999999998</v>
      </c>
      <c r="R1124" s="10">
        <f t="shared" ca="1" si="62"/>
        <v>27.098166666666668</v>
      </c>
      <c r="S1124" s="10">
        <f t="shared" ca="1" si="62"/>
        <v>25.240166666666667</v>
      </c>
      <c r="T1124" s="32">
        <f t="shared" ca="1" si="63"/>
        <v>358.17703550000004</v>
      </c>
      <c r="U1124" s="32">
        <f t="shared" ca="1" si="63"/>
        <v>142.42176299999997</v>
      </c>
      <c r="V1124" s="32">
        <f t="shared" ca="1" si="63"/>
        <v>50.325000000000003</v>
      </c>
      <c r="W1124" s="32">
        <f t="shared" ca="1" si="63"/>
        <v>5.0961473999999995</v>
      </c>
      <c r="X1124" s="32">
        <f t="shared" ca="1" si="63"/>
        <v>20.800615543999996</v>
      </c>
      <c r="Y1124" s="32"/>
      <c r="Z1124" s="10"/>
      <c r="AA1124" s="10"/>
      <c r="AB1124" s="10"/>
      <c r="AC1124" s="10">
        <f t="shared" ca="1" si="59"/>
        <v>26.052184112073121</v>
      </c>
      <c r="AD1124" s="10">
        <f t="shared" ca="1" si="59"/>
        <v>25.759406115107918</v>
      </c>
    </row>
    <row r="1125" spans="1:30" ht="15">
      <c r="A1125" s="11">
        <f t="shared" si="60"/>
        <v>2081</v>
      </c>
      <c r="B1125" s="10">
        <f t="shared" ca="1" si="61"/>
        <v>26.676524999999998</v>
      </c>
      <c r="C1125" s="10">
        <f t="shared" ca="1" si="61"/>
        <v>26.682808333333337</v>
      </c>
      <c r="D1125" s="10">
        <f t="shared" ca="1" si="61"/>
        <v>26.787308333333328</v>
      </c>
      <c r="E1125" s="10">
        <f t="shared" ca="1" si="61"/>
        <v>26.81945833333333</v>
      </c>
      <c r="F1125" s="10">
        <f t="shared" ca="1" si="61"/>
        <v>26.635141666666669</v>
      </c>
      <c r="G1125" s="10">
        <f t="shared" ca="1" si="61"/>
        <v>26.651683333333335</v>
      </c>
      <c r="H1125" s="10">
        <f t="shared" ca="1" si="61"/>
        <v>26.808258333333338</v>
      </c>
      <c r="I1125" s="10">
        <f t="shared" ca="1" si="61"/>
        <v>26.670258333333333</v>
      </c>
      <c r="J1125" s="10">
        <f t="shared" ca="1" si="61"/>
        <v>26.627741666666669</v>
      </c>
      <c r="K1125" s="10">
        <f t="shared" ca="1" si="61"/>
        <v>26.003225</v>
      </c>
      <c r="L1125" s="10">
        <f t="shared" ca="1" si="62"/>
        <v>27.395258333333334</v>
      </c>
      <c r="M1125" s="10">
        <f t="shared" ca="1" si="62"/>
        <v>26.289275</v>
      </c>
      <c r="N1125" s="10">
        <f t="shared" ca="1" si="62"/>
        <v>26.305608333333325</v>
      </c>
      <c r="O1125" s="10">
        <f t="shared" ca="1" si="62"/>
        <v>26.467300000000005</v>
      </c>
      <c r="P1125" s="10">
        <f t="shared" ca="1" si="62"/>
        <v>26.331266666666668</v>
      </c>
      <c r="Q1125" s="10">
        <f t="shared" ca="1" si="62"/>
        <v>27.062600000000003</v>
      </c>
      <c r="R1125" s="10">
        <f t="shared" ca="1" si="62"/>
        <v>27.717249999999996</v>
      </c>
      <c r="S1125" s="10">
        <f t="shared" ca="1" si="62"/>
        <v>25.846591666666669</v>
      </c>
      <c r="T1125" s="32">
        <f t="shared" ca="1" si="63"/>
        <v>357.24568100000005</v>
      </c>
      <c r="U1125" s="32">
        <f t="shared" ca="1" si="63"/>
        <v>142.03263249999998</v>
      </c>
      <c r="V1125" s="32">
        <f t="shared" ca="1" si="63"/>
        <v>50.187500000000007</v>
      </c>
      <c r="W1125" s="32">
        <f t="shared" ca="1" si="63"/>
        <v>5.0822234999999996</v>
      </c>
      <c r="X1125" s="32">
        <f t="shared" ca="1" si="63"/>
        <v>20.758966663999999</v>
      </c>
      <c r="Y1125" s="32"/>
      <c r="Z1125" s="10"/>
      <c r="AA1125" s="10"/>
      <c r="AB1125" s="10"/>
      <c r="AC1125" s="10">
        <f t="shared" ca="1" si="59"/>
        <v>26.67845702288453</v>
      </c>
      <c r="AD1125" s="10">
        <f t="shared" ca="1" si="59"/>
        <v>26.376944604316549</v>
      </c>
    </row>
    <row r="1126" spans="1:30" ht="15">
      <c r="A1126" s="11">
        <f t="shared" si="60"/>
        <v>2082</v>
      </c>
      <c r="B1126" s="10">
        <f t="shared" ref="B1126:K1135" ca="1" si="64">AVERAGE(OFFSET(B$589,($A1126-$A$1106)*12,0,12,1))</f>
        <v>27.317875000000001</v>
      </c>
      <c r="C1126" s="10">
        <f t="shared" ca="1" si="64"/>
        <v>27.32415833333334</v>
      </c>
      <c r="D1126" s="10">
        <f t="shared" ca="1" si="64"/>
        <v>27.428633333333337</v>
      </c>
      <c r="E1126" s="10">
        <f t="shared" ca="1" si="64"/>
        <v>27.460800000000003</v>
      </c>
      <c r="F1126" s="10">
        <f t="shared" ca="1" si="64"/>
        <v>27.276466666666668</v>
      </c>
      <c r="G1126" s="10">
        <f t="shared" ca="1" si="64"/>
        <v>27.293033333333337</v>
      </c>
      <c r="H1126" s="10">
        <f t="shared" ca="1" si="64"/>
        <v>27.449616666666667</v>
      </c>
      <c r="I1126" s="10">
        <f t="shared" ca="1" si="64"/>
        <v>27.311591666666668</v>
      </c>
      <c r="J1126" s="10">
        <f t="shared" ca="1" si="64"/>
        <v>27.269066666666664</v>
      </c>
      <c r="K1126" s="10">
        <f t="shared" ca="1" si="64"/>
        <v>26.624549999999999</v>
      </c>
      <c r="L1126" s="10">
        <f t="shared" ref="L1126:S1135" ca="1" si="65">AVERAGE(OFFSET(L$589,($A1126-$A$1106)*12,0,12,1))</f>
        <v>28.036616666666671</v>
      </c>
      <c r="M1126" s="10">
        <f t="shared" ca="1" si="65"/>
        <v>26.921675000000004</v>
      </c>
      <c r="N1126" s="10">
        <f t="shared" ca="1" si="65"/>
        <v>26.937983333333332</v>
      </c>
      <c r="O1126" s="10">
        <f t="shared" ca="1" si="65"/>
        <v>27.099683333333331</v>
      </c>
      <c r="P1126" s="10">
        <f t="shared" ca="1" si="65"/>
        <v>26.963658333333331</v>
      </c>
      <c r="Q1126" s="10">
        <f t="shared" ca="1" si="65"/>
        <v>27.694983333333337</v>
      </c>
      <c r="R1126" s="10">
        <f t="shared" ca="1" si="65"/>
        <v>28.351208333333332</v>
      </c>
      <c r="S1126" s="10">
        <f t="shared" ca="1" si="65"/>
        <v>26.467583333333334</v>
      </c>
      <c r="T1126" s="32">
        <f t="shared" ref="T1126:X1135" ca="1" si="66">SUM(OFFSET(T$589,($A1126-$A$1106)*12,0,12,1))</f>
        <v>357.24568100000005</v>
      </c>
      <c r="U1126" s="32">
        <f t="shared" ca="1" si="66"/>
        <v>142.03263249999998</v>
      </c>
      <c r="V1126" s="32">
        <f t="shared" ca="1" si="66"/>
        <v>50.187500000000007</v>
      </c>
      <c r="W1126" s="32">
        <f t="shared" ca="1" si="66"/>
        <v>5.0822234999999996</v>
      </c>
      <c r="X1126" s="32">
        <f t="shared" ca="1" si="66"/>
        <v>20.758966663999999</v>
      </c>
      <c r="Y1126" s="32"/>
      <c r="Z1126" s="10"/>
      <c r="AA1126" s="10"/>
      <c r="AB1126" s="10"/>
      <c r="AC1126" s="10">
        <f t="shared" ref="AC1126:AD1144" ca="1" si="67">AVERAGE(OFFSET(AC$589,($A1126-$A$1106)*12,0,12,1))</f>
        <v>27.3197959637086</v>
      </c>
      <c r="AD1126" s="10">
        <f t="shared" ca="1" si="67"/>
        <v>27.009334412470025</v>
      </c>
    </row>
    <row r="1127" spans="1:30" ht="15">
      <c r="A1127" s="11">
        <f t="shared" si="60"/>
        <v>2083</v>
      </c>
      <c r="B1127" s="10">
        <f t="shared" ca="1" si="64"/>
        <v>27.974608333333332</v>
      </c>
      <c r="C1127" s="10">
        <f t="shared" ca="1" si="64"/>
        <v>27.980883333333338</v>
      </c>
      <c r="D1127" s="10">
        <f t="shared" ca="1" si="64"/>
        <v>28.085375000000003</v>
      </c>
      <c r="E1127" s="10">
        <f t="shared" ca="1" si="64"/>
        <v>28.117525000000001</v>
      </c>
      <c r="F1127" s="10">
        <f t="shared" ca="1" si="64"/>
        <v>27.933208333333329</v>
      </c>
      <c r="G1127" s="10">
        <f t="shared" ca="1" si="64"/>
        <v>27.949758333333335</v>
      </c>
      <c r="H1127" s="10">
        <f t="shared" ca="1" si="64"/>
        <v>28.106341666666669</v>
      </c>
      <c r="I1127" s="10">
        <f t="shared" ca="1" si="64"/>
        <v>27.968341666666664</v>
      </c>
      <c r="J1127" s="10">
        <f t="shared" ca="1" si="64"/>
        <v>27.925808333333336</v>
      </c>
      <c r="K1127" s="10">
        <f t="shared" ca="1" si="64"/>
        <v>27.260783333333336</v>
      </c>
      <c r="L1127" s="10">
        <f t="shared" ca="1" si="65"/>
        <v>28.693341666666669</v>
      </c>
      <c r="M1127" s="10">
        <f t="shared" ca="1" si="65"/>
        <v>27.569258333333337</v>
      </c>
      <c r="N1127" s="10">
        <f t="shared" ca="1" si="65"/>
        <v>27.585566666666665</v>
      </c>
      <c r="O1127" s="10">
        <f t="shared" ca="1" si="65"/>
        <v>27.747258333333331</v>
      </c>
      <c r="P1127" s="10">
        <f t="shared" ca="1" si="65"/>
        <v>27.611225000000001</v>
      </c>
      <c r="Q1127" s="10">
        <f t="shared" ca="1" si="65"/>
        <v>28.342558333333333</v>
      </c>
      <c r="R1127" s="10">
        <f t="shared" ca="1" si="65"/>
        <v>29.000416666666666</v>
      </c>
      <c r="S1127" s="10">
        <f t="shared" ca="1" si="65"/>
        <v>27.103525000000001</v>
      </c>
      <c r="T1127" s="32">
        <f t="shared" ca="1" si="66"/>
        <v>357.24568100000005</v>
      </c>
      <c r="U1127" s="32">
        <f t="shared" ca="1" si="66"/>
        <v>142.03263249999998</v>
      </c>
      <c r="V1127" s="32">
        <f t="shared" ca="1" si="66"/>
        <v>50.187500000000007</v>
      </c>
      <c r="W1127" s="32">
        <f t="shared" ca="1" si="66"/>
        <v>5.0822234999999996</v>
      </c>
      <c r="X1127" s="32">
        <f t="shared" ca="1" si="66"/>
        <v>20.758966663999999</v>
      </c>
      <c r="Y1127" s="32"/>
      <c r="Z1127" s="10"/>
      <c r="AA1127" s="10"/>
      <c r="AB1127" s="10"/>
      <c r="AC1127" s="10">
        <f t="shared" ca="1" si="67"/>
        <v>27.976530250703622</v>
      </c>
      <c r="AD1127" s="10">
        <f t="shared" ca="1" si="67"/>
        <v>27.656911570743407</v>
      </c>
    </row>
    <row r="1128" spans="1:30" ht="15">
      <c r="A1128" s="11">
        <f t="shared" si="60"/>
        <v>2084</v>
      </c>
      <c r="B1128" s="10">
        <f t="shared" ca="1" si="64"/>
        <v>28.647125000000003</v>
      </c>
      <c r="C1128" s="10">
        <f t="shared" ca="1" si="64"/>
        <v>28.653399999999994</v>
      </c>
      <c r="D1128" s="10">
        <f t="shared" ca="1" si="64"/>
        <v>28.757925</v>
      </c>
      <c r="E1128" s="10">
        <f t="shared" ca="1" si="64"/>
        <v>28.790066666666664</v>
      </c>
      <c r="F1128" s="10">
        <f t="shared" ca="1" si="64"/>
        <v>28.605725000000003</v>
      </c>
      <c r="G1128" s="10">
        <f t="shared" ca="1" si="64"/>
        <v>28.622291666666669</v>
      </c>
      <c r="H1128" s="10">
        <f t="shared" ca="1" si="64"/>
        <v>28.778858333333332</v>
      </c>
      <c r="I1128" s="10">
        <f t="shared" ca="1" si="64"/>
        <v>28.640858333333327</v>
      </c>
      <c r="J1128" s="10">
        <f t="shared" ca="1" si="64"/>
        <v>28.598324999999992</v>
      </c>
      <c r="K1128" s="10">
        <f t="shared" ca="1" si="64"/>
        <v>27.912316666666658</v>
      </c>
      <c r="L1128" s="10">
        <f t="shared" ca="1" si="65"/>
        <v>29.365858333333332</v>
      </c>
      <c r="M1128" s="10">
        <f t="shared" ca="1" si="65"/>
        <v>28.232375000000001</v>
      </c>
      <c r="N1128" s="10">
        <f t="shared" ca="1" si="65"/>
        <v>28.248691666666669</v>
      </c>
      <c r="O1128" s="10">
        <f t="shared" ca="1" si="65"/>
        <v>28.410408333333333</v>
      </c>
      <c r="P1128" s="10">
        <f t="shared" ca="1" si="65"/>
        <v>28.274374999999996</v>
      </c>
      <c r="Q1128" s="10">
        <f t="shared" ca="1" si="65"/>
        <v>29.005708333333331</v>
      </c>
      <c r="R1128" s="10">
        <f t="shared" ca="1" si="65"/>
        <v>29.665208333333336</v>
      </c>
      <c r="S1128" s="10">
        <f t="shared" ca="1" si="65"/>
        <v>27.754708333333337</v>
      </c>
      <c r="T1128" s="32">
        <f t="shared" ca="1" si="66"/>
        <v>358.17703550000004</v>
      </c>
      <c r="U1128" s="32">
        <f t="shared" ca="1" si="66"/>
        <v>142.42176299999997</v>
      </c>
      <c r="V1128" s="32">
        <f t="shared" ca="1" si="66"/>
        <v>50.325000000000003</v>
      </c>
      <c r="W1128" s="32">
        <f t="shared" ca="1" si="66"/>
        <v>5.0961473999999995</v>
      </c>
      <c r="X1128" s="32">
        <f t="shared" ca="1" si="66"/>
        <v>20.800615543999996</v>
      </c>
      <c r="Y1128" s="32"/>
      <c r="Z1128" s="10"/>
      <c r="AA1128" s="10"/>
      <c r="AB1128" s="10"/>
      <c r="AC1128" s="10">
        <f t="shared" ca="1" si="67"/>
        <v>28.649053793782983</v>
      </c>
      <c r="AD1128" s="10">
        <f t="shared" ca="1" si="67"/>
        <v>28.320048621103115</v>
      </c>
    </row>
    <row r="1129" spans="1:30" ht="15">
      <c r="A1129" s="11">
        <f t="shared" si="60"/>
        <v>2085</v>
      </c>
      <c r="B1129" s="10">
        <f t="shared" ca="1" si="64"/>
        <v>29.335808333333333</v>
      </c>
      <c r="C1129" s="10">
        <f t="shared" ca="1" si="64"/>
        <v>29.342083333333338</v>
      </c>
      <c r="D1129" s="10">
        <f t="shared" ca="1" si="64"/>
        <v>29.446575000000006</v>
      </c>
      <c r="E1129" s="10">
        <f t="shared" ca="1" si="64"/>
        <v>29.478750000000005</v>
      </c>
      <c r="F1129" s="10">
        <f t="shared" ca="1" si="64"/>
        <v>29.294416666666663</v>
      </c>
      <c r="G1129" s="10">
        <f t="shared" ca="1" si="64"/>
        <v>29.310974999999996</v>
      </c>
      <c r="H1129" s="10">
        <f t="shared" ca="1" si="64"/>
        <v>29.467549999999999</v>
      </c>
      <c r="I1129" s="10">
        <f t="shared" ca="1" si="64"/>
        <v>29.329549999999998</v>
      </c>
      <c r="J1129" s="10">
        <f t="shared" ca="1" si="64"/>
        <v>29.28701666666667</v>
      </c>
      <c r="K1129" s="10">
        <f t="shared" ca="1" si="64"/>
        <v>28.579483333333339</v>
      </c>
      <c r="L1129" s="10">
        <f t="shared" ca="1" si="65"/>
        <v>30.054550000000003</v>
      </c>
      <c r="M1129" s="10">
        <f t="shared" ca="1" si="65"/>
        <v>28.911450000000006</v>
      </c>
      <c r="N1129" s="10">
        <f t="shared" ca="1" si="65"/>
        <v>28.927783333333338</v>
      </c>
      <c r="O1129" s="10">
        <f t="shared" ca="1" si="65"/>
        <v>29.08946666666667</v>
      </c>
      <c r="P1129" s="10">
        <f t="shared" ca="1" si="65"/>
        <v>28.953450000000004</v>
      </c>
      <c r="Q1129" s="10">
        <f t="shared" ca="1" si="65"/>
        <v>29.684766666666665</v>
      </c>
      <c r="R1129" s="10">
        <f t="shared" ca="1" si="65"/>
        <v>30.345983333333336</v>
      </c>
      <c r="S1129" s="10">
        <f t="shared" ca="1" si="65"/>
        <v>28.421566666666667</v>
      </c>
      <c r="T1129" s="32">
        <f t="shared" ca="1" si="66"/>
        <v>357.24568100000005</v>
      </c>
      <c r="U1129" s="32">
        <f t="shared" ca="1" si="66"/>
        <v>142.03263249999998</v>
      </c>
      <c r="V1129" s="32">
        <f t="shared" ca="1" si="66"/>
        <v>50.187500000000007</v>
      </c>
      <c r="W1129" s="32">
        <f t="shared" ca="1" si="66"/>
        <v>5.0822234999999996</v>
      </c>
      <c r="X1129" s="32">
        <f t="shared" ca="1" si="66"/>
        <v>20.758966663999999</v>
      </c>
      <c r="Y1129" s="32"/>
      <c r="Z1129" s="10"/>
      <c r="AA1129" s="10"/>
      <c r="AB1129" s="10"/>
      <c r="AC1129" s="10">
        <f t="shared" ca="1" si="67"/>
        <v>29.337736921320452</v>
      </c>
      <c r="AD1129" s="10">
        <f t="shared" ca="1" si="67"/>
        <v>28.999117026378897</v>
      </c>
    </row>
    <row r="1130" spans="1:30" ht="15">
      <c r="A1130" s="11">
        <f t="shared" si="60"/>
        <v>2086</v>
      </c>
      <c r="B1130" s="10">
        <f t="shared" ca="1" si="64"/>
        <v>30.041033333333342</v>
      </c>
      <c r="C1130" s="10">
        <f t="shared" ca="1" si="64"/>
        <v>30.047316666666671</v>
      </c>
      <c r="D1130" s="10">
        <f t="shared" ca="1" si="64"/>
        <v>30.151808333333335</v>
      </c>
      <c r="E1130" s="10">
        <f t="shared" ca="1" si="64"/>
        <v>30.183958333333333</v>
      </c>
      <c r="F1130" s="10">
        <f t="shared" ca="1" si="64"/>
        <v>29.999624999999998</v>
      </c>
      <c r="G1130" s="10">
        <f t="shared" ca="1" si="64"/>
        <v>30.016183333333341</v>
      </c>
      <c r="H1130" s="10">
        <f t="shared" ca="1" si="64"/>
        <v>30.172774999999991</v>
      </c>
      <c r="I1130" s="10">
        <f t="shared" ca="1" si="64"/>
        <v>30.034775</v>
      </c>
      <c r="J1130" s="10">
        <f t="shared" ca="1" si="64"/>
        <v>29.992224999999994</v>
      </c>
      <c r="K1130" s="10">
        <f t="shared" ca="1" si="64"/>
        <v>29.262708333333332</v>
      </c>
      <c r="L1130" s="10">
        <f t="shared" ca="1" si="65"/>
        <v>30.759775000000001</v>
      </c>
      <c r="M1130" s="10">
        <f t="shared" ca="1" si="65"/>
        <v>29.606841666666664</v>
      </c>
      <c r="N1130" s="10">
        <f t="shared" ca="1" si="65"/>
        <v>29.623166666666666</v>
      </c>
      <c r="O1130" s="10">
        <f t="shared" ca="1" si="65"/>
        <v>29.784866666666669</v>
      </c>
      <c r="P1130" s="10">
        <f t="shared" ca="1" si="65"/>
        <v>29.648841666666666</v>
      </c>
      <c r="Q1130" s="10">
        <f t="shared" ca="1" si="65"/>
        <v>30.380166666666668</v>
      </c>
      <c r="R1130" s="10">
        <f t="shared" ca="1" si="65"/>
        <v>31.043099999999999</v>
      </c>
      <c r="S1130" s="10">
        <f t="shared" ca="1" si="65"/>
        <v>29.104433333333336</v>
      </c>
      <c r="T1130" s="32">
        <f t="shared" ca="1" si="66"/>
        <v>357.24568100000005</v>
      </c>
      <c r="U1130" s="32">
        <f t="shared" ca="1" si="66"/>
        <v>142.03263249999998</v>
      </c>
      <c r="V1130" s="32">
        <f t="shared" ca="1" si="66"/>
        <v>50.187500000000007</v>
      </c>
      <c r="W1130" s="32">
        <f t="shared" ca="1" si="66"/>
        <v>5.0822234999999996</v>
      </c>
      <c r="X1130" s="32">
        <f t="shared" ca="1" si="66"/>
        <v>20.758966663999999</v>
      </c>
      <c r="Y1130" s="32"/>
      <c r="Z1130" s="10"/>
      <c r="AA1130" s="10"/>
      <c r="AB1130" s="10"/>
      <c r="AC1130" s="10">
        <f t="shared" ca="1" si="67"/>
        <v>30.042956504440962</v>
      </c>
      <c r="AD1130" s="10">
        <f t="shared" ca="1" si="67"/>
        <v>29.694511990407676</v>
      </c>
    </row>
    <row r="1131" spans="1:30" ht="15">
      <c r="A1131" s="11">
        <f t="shared" si="60"/>
        <v>2087</v>
      </c>
      <c r="B1131" s="10">
        <f t="shared" ca="1" si="64"/>
        <v>30.763191666666668</v>
      </c>
      <c r="C1131" s="10">
        <f t="shared" ca="1" si="64"/>
        <v>30.769475000000003</v>
      </c>
      <c r="D1131" s="10">
        <f t="shared" ca="1" si="64"/>
        <v>30.873975000000002</v>
      </c>
      <c r="E1131" s="10">
        <f t="shared" ca="1" si="64"/>
        <v>30.906125000000003</v>
      </c>
      <c r="F1131" s="10">
        <f t="shared" ca="1" si="64"/>
        <v>30.721816666666669</v>
      </c>
      <c r="G1131" s="10">
        <f t="shared" ca="1" si="64"/>
        <v>30.73834166666667</v>
      </c>
      <c r="H1131" s="10">
        <f t="shared" ca="1" si="64"/>
        <v>30.894924999999997</v>
      </c>
      <c r="I1131" s="10">
        <f t="shared" ca="1" si="64"/>
        <v>30.756924999999999</v>
      </c>
      <c r="J1131" s="10">
        <f t="shared" ca="1" si="64"/>
        <v>30.714416666666665</v>
      </c>
      <c r="K1131" s="10">
        <f t="shared" ca="1" si="64"/>
        <v>29.962341666666671</v>
      </c>
      <c r="L1131" s="10">
        <f t="shared" ca="1" si="65"/>
        <v>31.481925000000004</v>
      </c>
      <c r="M1131" s="10">
        <f t="shared" ca="1" si="65"/>
        <v>30.318941666666671</v>
      </c>
      <c r="N1131" s="10">
        <f t="shared" ca="1" si="65"/>
        <v>30.335266666666666</v>
      </c>
      <c r="O1131" s="10">
        <f t="shared" ca="1" si="65"/>
        <v>30.496950000000002</v>
      </c>
      <c r="P1131" s="10">
        <f t="shared" ca="1" si="65"/>
        <v>30.360924999999998</v>
      </c>
      <c r="Q1131" s="10">
        <f t="shared" ca="1" si="65"/>
        <v>31.092250000000003</v>
      </c>
      <c r="R1131" s="10">
        <f t="shared" ca="1" si="65"/>
        <v>31.756983333333334</v>
      </c>
      <c r="S1131" s="10">
        <f t="shared" ca="1" si="65"/>
        <v>29.803700000000003</v>
      </c>
      <c r="T1131" s="32">
        <f t="shared" ca="1" si="66"/>
        <v>357.24568100000005</v>
      </c>
      <c r="U1131" s="32">
        <f t="shared" ca="1" si="66"/>
        <v>142.03263249999998</v>
      </c>
      <c r="V1131" s="32">
        <f t="shared" ca="1" si="66"/>
        <v>50.187500000000007</v>
      </c>
      <c r="W1131" s="32">
        <f t="shared" ca="1" si="66"/>
        <v>5.0822234999999996</v>
      </c>
      <c r="X1131" s="32">
        <f t="shared" ca="1" si="66"/>
        <v>20.758966663999999</v>
      </c>
      <c r="Y1131" s="32"/>
      <c r="Z1131" s="10"/>
      <c r="AA1131" s="10"/>
      <c r="AB1131" s="10"/>
      <c r="AC1131" s="10">
        <f t="shared" ca="1" si="67"/>
        <v>30.765124867901449</v>
      </c>
      <c r="AD1131" s="10">
        <f t="shared" ca="1" si="67"/>
        <v>30.406602038369304</v>
      </c>
    </row>
    <row r="1132" spans="1:30" ht="15">
      <c r="A1132" s="11">
        <f t="shared" si="60"/>
        <v>2088</v>
      </c>
      <c r="B1132" s="10">
        <f t="shared" ca="1" si="64"/>
        <v>31.502725000000002</v>
      </c>
      <c r="C1132" s="10">
        <f t="shared" ca="1" si="64"/>
        <v>31.508999999999997</v>
      </c>
      <c r="D1132" s="10">
        <f t="shared" ca="1" si="64"/>
        <v>31.613491666666665</v>
      </c>
      <c r="E1132" s="10">
        <f t="shared" ca="1" si="64"/>
        <v>31.645641666666673</v>
      </c>
      <c r="F1132" s="10">
        <f t="shared" ca="1" si="64"/>
        <v>31.461333333333332</v>
      </c>
      <c r="G1132" s="10">
        <f t="shared" ca="1" si="64"/>
        <v>31.477891666666668</v>
      </c>
      <c r="H1132" s="10">
        <f t="shared" ca="1" si="64"/>
        <v>31.634458333333331</v>
      </c>
      <c r="I1132" s="10">
        <f t="shared" ca="1" si="64"/>
        <v>31.496449999999999</v>
      </c>
      <c r="J1132" s="10">
        <f t="shared" ca="1" si="64"/>
        <v>31.453933333333328</v>
      </c>
      <c r="K1132" s="10">
        <f t="shared" ca="1" si="64"/>
        <v>30.678766666666661</v>
      </c>
      <c r="L1132" s="10">
        <f t="shared" ca="1" si="65"/>
        <v>32.221458333333338</v>
      </c>
      <c r="M1132" s="10">
        <f t="shared" ca="1" si="65"/>
        <v>31.048149999999996</v>
      </c>
      <c r="N1132" s="10">
        <f t="shared" ca="1" si="65"/>
        <v>31.064475000000002</v>
      </c>
      <c r="O1132" s="10">
        <f t="shared" ca="1" si="65"/>
        <v>31.226158333333331</v>
      </c>
      <c r="P1132" s="10">
        <f t="shared" ca="1" si="65"/>
        <v>31.090125</v>
      </c>
      <c r="Q1132" s="10">
        <f t="shared" ca="1" si="65"/>
        <v>31.821458333333329</v>
      </c>
      <c r="R1132" s="10">
        <f t="shared" ca="1" si="65"/>
        <v>32.487983333333325</v>
      </c>
      <c r="S1132" s="10">
        <f t="shared" ca="1" si="65"/>
        <v>30.519791666666666</v>
      </c>
      <c r="T1132" s="32">
        <f t="shared" ca="1" si="66"/>
        <v>358.17703550000004</v>
      </c>
      <c r="U1132" s="32">
        <f t="shared" ca="1" si="66"/>
        <v>142.42176299999997</v>
      </c>
      <c r="V1132" s="32">
        <f t="shared" ca="1" si="66"/>
        <v>50.325000000000003</v>
      </c>
      <c r="W1132" s="32">
        <f t="shared" ca="1" si="66"/>
        <v>5.0961473999999995</v>
      </c>
      <c r="X1132" s="32">
        <f t="shared" ca="1" si="66"/>
        <v>20.800615543999996</v>
      </c>
      <c r="Y1132" s="32"/>
      <c r="Z1132" s="10"/>
      <c r="AA1132" s="10"/>
      <c r="AB1132" s="10"/>
      <c r="AC1132" s="10">
        <f t="shared" ca="1" si="67"/>
        <v>31.50465112355884</v>
      </c>
      <c r="AD1132" s="10">
        <f t="shared" ca="1" si="67"/>
        <v>31.13580917266188</v>
      </c>
    </row>
    <row r="1133" spans="1:30" ht="15">
      <c r="A1133" s="11">
        <f t="shared" si="60"/>
        <v>2089</v>
      </c>
      <c r="B1133" s="10">
        <f t="shared" ca="1" si="64"/>
        <v>32.260016666666665</v>
      </c>
      <c r="C1133" s="10">
        <f t="shared" ca="1" si="64"/>
        <v>32.266291666666667</v>
      </c>
      <c r="D1133" s="10">
        <f t="shared" ca="1" si="64"/>
        <v>32.370783333333328</v>
      </c>
      <c r="E1133" s="10">
        <f t="shared" ca="1" si="64"/>
        <v>32.402949999999997</v>
      </c>
      <c r="F1133" s="10">
        <f t="shared" ca="1" si="64"/>
        <v>32.218608333333343</v>
      </c>
      <c r="G1133" s="10">
        <f t="shared" ca="1" si="64"/>
        <v>32.235183333333339</v>
      </c>
      <c r="H1133" s="10">
        <f t="shared" ca="1" si="64"/>
        <v>32.391758333333335</v>
      </c>
      <c r="I1133" s="10">
        <f t="shared" ca="1" si="64"/>
        <v>32.253741666666663</v>
      </c>
      <c r="J1133" s="10">
        <f t="shared" ca="1" si="64"/>
        <v>32.211208333333332</v>
      </c>
      <c r="K1133" s="10">
        <f t="shared" ca="1" si="64"/>
        <v>31.412416666666669</v>
      </c>
      <c r="L1133" s="10">
        <f t="shared" ca="1" si="65"/>
        <v>32.978758333333325</v>
      </c>
      <c r="M1133" s="10">
        <f t="shared" ca="1" si="65"/>
        <v>31.794874999999994</v>
      </c>
      <c r="N1133" s="10">
        <f t="shared" ca="1" si="65"/>
        <v>31.811183333333329</v>
      </c>
      <c r="O1133" s="10">
        <f t="shared" ca="1" si="65"/>
        <v>31.972883333333332</v>
      </c>
      <c r="P1133" s="10">
        <f t="shared" ca="1" si="65"/>
        <v>31.836849999999998</v>
      </c>
      <c r="Q1133" s="10">
        <f t="shared" ca="1" si="65"/>
        <v>32.56818333333333</v>
      </c>
      <c r="R1133" s="10">
        <f t="shared" ca="1" si="65"/>
        <v>33.236600000000003</v>
      </c>
      <c r="S1133" s="10">
        <f t="shared" ca="1" si="65"/>
        <v>31.253075000000006</v>
      </c>
      <c r="T1133" s="32">
        <f t="shared" ca="1" si="66"/>
        <v>357.24568100000005</v>
      </c>
      <c r="U1133" s="32">
        <f t="shared" ca="1" si="66"/>
        <v>142.03263249999998</v>
      </c>
      <c r="V1133" s="32">
        <f t="shared" ca="1" si="66"/>
        <v>50.187500000000007</v>
      </c>
      <c r="W1133" s="32">
        <f t="shared" ca="1" si="66"/>
        <v>5.0822234999999996</v>
      </c>
      <c r="X1133" s="32">
        <f t="shared" ca="1" si="66"/>
        <v>20.758966663999999</v>
      </c>
      <c r="Y1133" s="32"/>
      <c r="Z1133" s="10"/>
      <c r="AA1133" s="10"/>
      <c r="AB1133" s="10"/>
      <c r="AC1133" s="10">
        <f t="shared" ca="1" si="67"/>
        <v>32.261938806950809</v>
      </c>
      <c r="AD1133" s="10">
        <f t="shared" ca="1" si="67"/>
        <v>31.882533213429255</v>
      </c>
    </row>
    <row r="1134" spans="1:30" ht="15">
      <c r="A1134" s="11">
        <f t="shared" si="60"/>
        <v>2090</v>
      </c>
      <c r="B1134" s="10">
        <f t="shared" ca="1" si="64"/>
        <v>33.035500000000006</v>
      </c>
      <c r="C1134" s="10">
        <f t="shared" ca="1" si="64"/>
        <v>33.041775000000001</v>
      </c>
      <c r="D1134" s="10">
        <f t="shared" ca="1" si="64"/>
        <v>33.146266666666669</v>
      </c>
      <c r="E1134" s="10">
        <f t="shared" ca="1" si="64"/>
        <v>33.178433333333338</v>
      </c>
      <c r="F1134" s="10">
        <f t="shared" ca="1" si="64"/>
        <v>32.994116666666663</v>
      </c>
      <c r="G1134" s="10">
        <f t="shared" ca="1" si="64"/>
        <v>33.010658333333332</v>
      </c>
      <c r="H1134" s="10">
        <f t="shared" ca="1" si="64"/>
        <v>33.167233333333336</v>
      </c>
      <c r="I1134" s="10">
        <f t="shared" ca="1" si="64"/>
        <v>33.02923333333333</v>
      </c>
      <c r="J1134" s="10">
        <f t="shared" ca="1" si="64"/>
        <v>32.986716666666673</v>
      </c>
      <c r="K1134" s="10">
        <f t="shared" ca="1" si="64"/>
        <v>32.163708333333339</v>
      </c>
      <c r="L1134" s="10">
        <f t="shared" ca="1" si="65"/>
        <v>33.754233333333332</v>
      </c>
      <c r="M1134" s="10">
        <f t="shared" ca="1" si="65"/>
        <v>32.559533333333334</v>
      </c>
      <c r="N1134" s="10">
        <f t="shared" ca="1" si="65"/>
        <v>32.575850000000003</v>
      </c>
      <c r="O1134" s="10">
        <f t="shared" ca="1" si="65"/>
        <v>32.737533333333339</v>
      </c>
      <c r="P1134" s="10">
        <f t="shared" ca="1" si="65"/>
        <v>32.601516666666669</v>
      </c>
      <c r="Q1134" s="10">
        <f t="shared" ca="1" si="65"/>
        <v>33.332833333333333</v>
      </c>
      <c r="R1134" s="10">
        <f t="shared" ca="1" si="65"/>
        <v>34.003175000000006</v>
      </c>
      <c r="S1134" s="10">
        <f t="shared" ca="1" si="65"/>
        <v>32.003975000000004</v>
      </c>
      <c r="T1134" s="32">
        <f t="shared" ca="1" si="66"/>
        <v>357.24568100000005</v>
      </c>
      <c r="U1134" s="32">
        <f t="shared" ca="1" si="66"/>
        <v>142.03263249999998</v>
      </c>
      <c r="V1134" s="32">
        <f t="shared" ca="1" si="66"/>
        <v>50.187500000000007</v>
      </c>
      <c r="W1134" s="32">
        <f t="shared" ca="1" si="66"/>
        <v>5.0822234999999996</v>
      </c>
      <c r="X1134" s="32">
        <f t="shared" ca="1" si="66"/>
        <v>20.758966663999999</v>
      </c>
      <c r="Y1134" s="32"/>
      <c r="Z1134" s="10"/>
      <c r="AA1134" s="10"/>
      <c r="AB1134" s="10"/>
      <c r="AC1134" s="10">
        <f t="shared" ca="1" si="67"/>
        <v>33.037429104934226</v>
      </c>
      <c r="AD1134" s="10">
        <f t="shared" ca="1" si="67"/>
        <v>32.647189448441246</v>
      </c>
    </row>
    <row r="1135" spans="1:30" ht="15">
      <c r="A1135" s="11">
        <f t="shared" si="60"/>
        <v>2091</v>
      </c>
      <c r="B1135" s="10">
        <f t="shared" ca="1" si="64"/>
        <v>33.829625</v>
      </c>
      <c r="C1135" s="10">
        <f t="shared" ca="1" si="64"/>
        <v>33.835908333333329</v>
      </c>
      <c r="D1135" s="10">
        <f t="shared" ca="1" si="64"/>
        <v>33.940383333333337</v>
      </c>
      <c r="E1135" s="10">
        <f t="shared" ca="1" si="64"/>
        <v>33.972558333333332</v>
      </c>
      <c r="F1135" s="10">
        <f t="shared" ca="1" si="64"/>
        <v>33.788233333333331</v>
      </c>
      <c r="G1135" s="10">
        <f t="shared" ca="1" si="64"/>
        <v>33.804774999999999</v>
      </c>
      <c r="H1135" s="10">
        <f t="shared" ca="1" si="64"/>
        <v>33.961350000000003</v>
      </c>
      <c r="I1135" s="10">
        <f t="shared" ca="1" si="64"/>
        <v>33.823350000000005</v>
      </c>
      <c r="J1135" s="10">
        <f t="shared" ca="1" si="64"/>
        <v>33.780833333333334</v>
      </c>
      <c r="K1135" s="10">
        <f t="shared" ca="1" si="64"/>
        <v>32.933033333333334</v>
      </c>
      <c r="L1135" s="10">
        <f t="shared" ca="1" si="65"/>
        <v>34.548349999999999</v>
      </c>
      <c r="M1135" s="10">
        <f t="shared" ca="1" si="65"/>
        <v>33.342566666666663</v>
      </c>
      <c r="N1135" s="10">
        <f t="shared" ca="1" si="65"/>
        <v>33.358891666666665</v>
      </c>
      <c r="O1135" s="10">
        <f t="shared" ca="1" si="65"/>
        <v>33.520591666666668</v>
      </c>
      <c r="P1135" s="10">
        <f t="shared" ca="1" si="65"/>
        <v>33.384566666666672</v>
      </c>
      <c r="Q1135" s="10">
        <f t="shared" ca="1" si="65"/>
        <v>34.11589166666667</v>
      </c>
      <c r="R1135" s="10">
        <f t="shared" ca="1" si="65"/>
        <v>34.788166666666676</v>
      </c>
      <c r="S1135" s="10">
        <f t="shared" ca="1" si="65"/>
        <v>32.772941666666668</v>
      </c>
      <c r="T1135" s="32">
        <f t="shared" ca="1" si="66"/>
        <v>357.24568100000005</v>
      </c>
      <c r="U1135" s="32">
        <f t="shared" ca="1" si="66"/>
        <v>142.03263249999998</v>
      </c>
      <c r="V1135" s="32">
        <f t="shared" ca="1" si="66"/>
        <v>50.187500000000007</v>
      </c>
      <c r="W1135" s="32">
        <f t="shared" ca="1" si="66"/>
        <v>5.0822234999999996</v>
      </c>
      <c r="X1135" s="32">
        <f t="shared" ca="1" si="66"/>
        <v>20.758966663999999</v>
      </c>
      <c r="Y1135" s="32"/>
      <c r="Z1135" s="10"/>
      <c r="AA1135" s="10"/>
      <c r="AB1135" s="10"/>
      <c r="AC1135" s="10">
        <f t="shared" ca="1" si="67"/>
        <v>33.831550904289266</v>
      </c>
      <c r="AD1135" s="10">
        <f t="shared" ca="1" si="67"/>
        <v>33.430236990407671</v>
      </c>
    </row>
    <row r="1136" spans="1:30" ht="15">
      <c r="A1136" s="11">
        <f t="shared" si="60"/>
        <v>2092</v>
      </c>
      <c r="B1136" s="10">
        <f t="shared" ref="B1136:K1144" ca="1" si="68">AVERAGE(OFFSET(B$589,($A1136-$A$1106)*12,0,12,1))</f>
        <v>34.642816666666668</v>
      </c>
      <c r="C1136" s="10">
        <f t="shared" ca="1" si="68"/>
        <v>34.649100000000004</v>
      </c>
      <c r="D1136" s="10">
        <f t="shared" ca="1" si="68"/>
        <v>34.753608333333332</v>
      </c>
      <c r="E1136" s="10">
        <f t="shared" ca="1" si="68"/>
        <v>34.785766666666667</v>
      </c>
      <c r="F1136" s="10">
        <f t="shared" ca="1" si="68"/>
        <v>34.601433333333325</v>
      </c>
      <c r="G1136" s="10">
        <f t="shared" ca="1" si="68"/>
        <v>34.617974999999994</v>
      </c>
      <c r="H1136" s="10">
        <f t="shared" ca="1" si="68"/>
        <v>34.774558333333331</v>
      </c>
      <c r="I1136" s="10">
        <f t="shared" ca="1" si="68"/>
        <v>34.636558333333333</v>
      </c>
      <c r="J1136" s="10">
        <f t="shared" ca="1" si="68"/>
        <v>34.594033333333336</v>
      </c>
      <c r="K1136" s="10">
        <f t="shared" ca="1" si="68"/>
        <v>33.720858333333332</v>
      </c>
      <c r="L1136" s="10">
        <f t="shared" ref="L1136:S1144" ca="1" si="69">AVERAGE(OFFSET(L$589,($A1136-$A$1106)*12,0,12,1))</f>
        <v>35.361558333333335</v>
      </c>
      <c r="M1136" s="10">
        <f t="shared" ca="1" si="69"/>
        <v>34.144433333333332</v>
      </c>
      <c r="N1136" s="10">
        <f t="shared" ca="1" si="69"/>
        <v>34.16075</v>
      </c>
      <c r="O1136" s="10">
        <f t="shared" ca="1" si="69"/>
        <v>34.322416666666669</v>
      </c>
      <c r="P1136" s="10">
        <f t="shared" ca="1" si="69"/>
        <v>34.186408333333333</v>
      </c>
      <c r="Q1136" s="10">
        <f t="shared" ca="1" si="69"/>
        <v>34.917716666666671</v>
      </c>
      <c r="R1136" s="10">
        <f t="shared" ca="1" si="69"/>
        <v>35.59203333333334</v>
      </c>
      <c r="S1136" s="10">
        <f t="shared" ca="1" si="69"/>
        <v>33.560358333333333</v>
      </c>
      <c r="T1136" s="32">
        <f t="shared" ref="T1136:X1144" ca="1" si="70">SUM(OFFSET(T$589,($A1136-$A$1106)*12,0,12,1))</f>
        <v>358.17703550000004</v>
      </c>
      <c r="U1136" s="32">
        <f t="shared" ca="1" si="70"/>
        <v>142.42176299999997</v>
      </c>
      <c r="V1136" s="32">
        <f t="shared" ca="1" si="70"/>
        <v>50.325000000000003</v>
      </c>
      <c r="W1136" s="32">
        <f t="shared" ca="1" si="70"/>
        <v>5.0961473999999995</v>
      </c>
      <c r="X1136" s="32">
        <f t="shared" ca="1" si="70"/>
        <v>20.800615543999996</v>
      </c>
      <c r="Y1136" s="32"/>
      <c r="Z1136" s="10"/>
      <c r="AA1136" s="10"/>
      <c r="AB1136" s="10"/>
      <c r="AC1136" s="10">
        <f t="shared" ca="1" si="67"/>
        <v>34.644750474378206</v>
      </c>
      <c r="AD1136" s="10">
        <f t="shared" ca="1" si="67"/>
        <v>34.232080695443649</v>
      </c>
    </row>
    <row r="1137" spans="1:30" ht="15">
      <c r="A1137" s="11">
        <f t="shared" si="60"/>
        <v>2093</v>
      </c>
      <c r="B1137" s="10">
        <f t="shared" ca="1" si="68"/>
        <v>35.475566666666673</v>
      </c>
      <c r="C1137" s="10">
        <f t="shared" ca="1" si="68"/>
        <v>35.481841666666661</v>
      </c>
      <c r="D1137" s="10">
        <f t="shared" ca="1" si="68"/>
        <v>35.586324999999995</v>
      </c>
      <c r="E1137" s="10">
        <f t="shared" ca="1" si="68"/>
        <v>35.618483333333337</v>
      </c>
      <c r="F1137" s="10">
        <f t="shared" ca="1" si="68"/>
        <v>35.434174999999996</v>
      </c>
      <c r="G1137" s="10">
        <f t="shared" ca="1" si="68"/>
        <v>35.450716666666672</v>
      </c>
      <c r="H1137" s="10">
        <f t="shared" ca="1" si="68"/>
        <v>35.607291666666669</v>
      </c>
      <c r="I1137" s="10">
        <f t="shared" ca="1" si="68"/>
        <v>35.469283333333337</v>
      </c>
      <c r="J1137" s="10">
        <f t="shared" ca="1" si="68"/>
        <v>35.426774999999999</v>
      </c>
      <c r="K1137" s="10">
        <f t="shared" ca="1" si="68"/>
        <v>34.52760833333334</v>
      </c>
      <c r="L1137" s="10">
        <f t="shared" ca="1" si="69"/>
        <v>36.194291666666665</v>
      </c>
      <c r="M1137" s="10">
        <f t="shared" ca="1" si="69"/>
        <v>34.96555</v>
      </c>
      <c r="N1137" s="10">
        <f t="shared" ca="1" si="69"/>
        <v>34.981883333333336</v>
      </c>
      <c r="O1137" s="10">
        <f t="shared" ca="1" si="69"/>
        <v>35.143583333333339</v>
      </c>
      <c r="P1137" s="10">
        <f t="shared" ca="1" si="69"/>
        <v>35.007550000000002</v>
      </c>
      <c r="Q1137" s="10">
        <f t="shared" ca="1" si="69"/>
        <v>35.738883333333334</v>
      </c>
      <c r="R1137" s="10">
        <f t="shared" ca="1" si="69"/>
        <v>36.415191666666665</v>
      </c>
      <c r="S1137" s="10">
        <f t="shared" ca="1" si="69"/>
        <v>34.366700000000002</v>
      </c>
      <c r="T1137" s="32">
        <f t="shared" ca="1" si="70"/>
        <v>357.24568100000005</v>
      </c>
      <c r="U1137" s="32">
        <f t="shared" ca="1" si="70"/>
        <v>142.03263249999998</v>
      </c>
      <c r="V1137" s="32">
        <f t="shared" ca="1" si="70"/>
        <v>50.187500000000007</v>
      </c>
      <c r="W1137" s="32">
        <f t="shared" ca="1" si="70"/>
        <v>5.0822234999999996</v>
      </c>
      <c r="X1137" s="32">
        <f t="shared" ca="1" si="70"/>
        <v>20.758966663999999</v>
      </c>
      <c r="Y1137" s="32"/>
      <c r="Z1137" s="10"/>
      <c r="AA1137" s="10"/>
      <c r="AB1137" s="10"/>
      <c r="AC1137" s="10">
        <f t="shared" ca="1" si="67"/>
        <v>35.477489265020274</v>
      </c>
      <c r="AD1137" s="10">
        <f t="shared" ca="1" si="67"/>
        <v>35.05322458033573</v>
      </c>
    </row>
    <row r="1138" spans="1:30" ht="15">
      <c r="A1138" s="11">
        <f t="shared" si="60"/>
        <v>2094</v>
      </c>
      <c r="B1138" s="10">
        <f t="shared" ca="1" si="68"/>
        <v>36.328316666666666</v>
      </c>
      <c r="C1138" s="10">
        <f t="shared" ca="1" si="68"/>
        <v>36.334591666666668</v>
      </c>
      <c r="D1138" s="10">
        <f t="shared" ca="1" si="68"/>
        <v>36.439099999999996</v>
      </c>
      <c r="E1138" s="10">
        <f t="shared" ca="1" si="68"/>
        <v>36.471258333333338</v>
      </c>
      <c r="F1138" s="10">
        <f t="shared" ca="1" si="68"/>
        <v>36.286924999999997</v>
      </c>
      <c r="G1138" s="10">
        <f t="shared" ca="1" si="68"/>
        <v>36.303474999999999</v>
      </c>
      <c r="H1138" s="10">
        <f t="shared" ca="1" si="68"/>
        <v>36.460041666666662</v>
      </c>
      <c r="I1138" s="10">
        <f t="shared" ca="1" si="68"/>
        <v>36.322049999999997</v>
      </c>
      <c r="J1138" s="10">
        <f t="shared" ca="1" si="68"/>
        <v>36.279525</v>
      </c>
      <c r="K1138" s="10">
        <f t="shared" ca="1" si="68"/>
        <v>35.353716666666664</v>
      </c>
      <c r="L1138" s="10">
        <f t="shared" ca="1" si="69"/>
        <v>37.047041666666672</v>
      </c>
      <c r="M1138" s="10">
        <f t="shared" ca="1" si="69"/>
        <v>35.806400000000004</v>
      </c>
      <c r="N1138" s="10">
        <f t="shared" ca="1" si="69"/>
        <v>35.822716666666672</v>
      </c>
      <c r="O1138" s="10">
        <f t="shared" ca="1" si="69"/>
        <v>35.984408333333327</v>
      </c>
      <c r="P1138" s="10">
        <f t="shared" ca="1" si="69"/>
        <v>35.848391666666664</v>
      </c>
      <c r="Q1138" s="10">
        <f t="shared" ca="1" si="69"/>
        <v>36.579708333333336</v>
      </c>
      <c r="R1138" s="10">
        <f t="shared" ca="1" si="69"/>
        <v>37.258158333333334</v>
      </c>
      <c r="S1138" s="10">
        <f t="shared" ca="1" si="69"/>
        <v>35.19240833333334</v>
      </c>
      <c r="T1138" s="32">
        <f t="shared" ca="1" si="70"/>
        <v>357.24568100000005</v>
      </c>
      <c r="U1138" s="32">
        <f t="shared" ca="1" si="70"/>
        <v>142.03263249999998</v>
      </c>
      <c r="V1138" s="32">
        <f t="shared" ca="1" si="70"/>
        <v>50.187500000000007</v>
      </c>
      <c r="W1138" s="32">
        <f t="shared" ca="1" si="70"/>
        <v>5.0822234999999996</v>
      </c>
      <c r="X1138" s="32">
        <f t="shared" ca="1" si="70"/>
        <v>20.758966663999999</v>
      </c>
      <c r="Y1138" s="32"/>
      <c r="Z1138" s="10"/>
      <c r="AA1138" s="10"/>
      <c r="AB1138" s="10"/>
      <c r="AC1138" s="10">
        <f t="shared" ca="1" si="67"/>
        <v>36.33024487364704</v>
      </c>
      <c r="AD1138" s="10">
        <f t="shared" ca="1" si="67"/>
        <v>35.894061091127092</v>
      </c>
    </row>
    <row r="1139" spans="1:30" ht="15">
      <c r="A1139" s="11">
        <f t="shared" si="60"/>
        <v>2095</v>
      </c>
      <c r="B1139" s="10">
        <f t="shared" ca="1" si="68"/>
        <v>37.201558333333331</v>
      </c>
      <c r="C1139" s="10">
        <f t="shared" ca="1" si="68"/>
        <v>37.207850000000001</v>
      </c>
      <c r="D1139" s="10">
        <f t="shared" ca="1" si="68"/>
        <v>37.312325000000001</v>
      </c>
      <c r="E1139" s="10">
        <f t="shared" ca="1" si="68"/>
        <v>37.344483333333329</v>
      </c>
      <c r="F1139" s="10">
        <f t="shared" ca="1" si="68"/>
        <v>37.160150000000009</v>
      </c>
      <c r="G1139" s="10">
        <f t="shared" ca="1" si="68"/>
        <v>37.176724999999998</v>
      </c>
      <c r="H1139" s="10">
        <f t="shared" ca="1" si="68"/>
        <v>37.333283333333327</v>
      </c>
      <c r="I1139" s="10">
        <f t="shared" ca="1" si="68"/>
        <v>37.195283333333329</v>
      </c>
      <c r="J1139" s="10">
        <f t="shared" ca="1" si="68"/>
        <v>37.152749999999997</v>
      </c>
      <c r="K1139" s="10">
        <f t="shared" ca="1" si="68"/>
        <v>36.199691666666673</v>
      </c>
      <c r="L1139" s="10">
        <f t="shared" ca="1" si="69"/>
        <v>37.92028333333333</v>
      </c>
      <c r="M1139" s="10">
        <f t="shared" ca="1" si="69"/>
        <v>36.667450000000002</v>
      </c>
      <c r="N1139" s="10">
        <f t="shared" ca="1" si="69"/>
        <v>36.683774999999997</v>
      </c>
      <c r="O1139" s="10">
        <f t="shared" ca="1" si="69"/>
        <v>36.845458333333333</v>
      </c>
      <c r="P1139" s="10">
        <f t="shared" ca="1" si="69"/>
        <v>36.70944166666667</v>
      </c>
      <c r="Q1139" s="10">
        <f t="shared" ca="1" si="69"/>
        <v>37.440758333333342</v>
      </c>
      <c r="R1139" s="10">
        <f t="shared" ca="1" si="69"/>
        <v>38.121391666666675</v>
      </c>
      <c r="S1139" s="10">
        <f t="shared" ca="1" si="69"/>
        <v>36.037950000000002</v>
      </c>
      <c r="T1139" s="32">
        <f t="shared" ca="1" si="70"/>
        <v>357.24568100000005</v>
      </c>
      <c r="U1139" s="32">
        <f t="shared" ca="1" si="70"/>
        <v>142.03263249999998</v>
      </c>
      <c r="V1139" s="32">
        <f t="shared" ca="1" si="70"/>
        <v>50.187500000000007</v>
      </c>
      <c r="W1139" s="32">
        <f t="shared" ca="1" si="70"/>
        <v>5.0822234999999996</v>
      </c>
      <c r="X1139" s="32">
        <f t="shared" ca="1" si="70"/>
        <v>20.758966663999999</v>
      </c>
      <c r="Y1139" s="32"/>
      <c r="Z1139" s="10"/>
      <c r="AA1139" s="10"/>
      <c r="AB1139" s="10"/>
      <c r="AC1139" s="10">
        <f t="shared" ca="1" si="67"/>
        <v>37.203483550171455</v>
      </c>
      <c r="AD1139" s="10">
        <f t="shared" ca="1" si="67"/>
        <v>36.755111570743402</v>
      </c>
    </row>
    <row r="1140" spans="1:30" ht="15">
      <c r="A1140" s="11">
        <f t="shared" si="60"/>
        <v>2096</v>
      </c>
      <c r="B1140" s="10">
        <f t="shared" ca="1" si="68"/>
        <v>38.095758333333329</v>
      </c>
      <c r="C1140" s="10">
        <f t="shared" ca="1" si="68"/>
        <v>38.102041666666665</v>
      </c>
      <c r="D1140" s="10">
        <f t="shared" ca="1" si="68"/>
        <v>38.206533333333333</v>
      </c>
      <c r="E1140" s="10">
        <f t="shared" ca="1" si="68"/>
        <v>38.238700000000001</v>
      </c>
      <c r="F1140" s="10">
        <f t="shared" ca="1" si="68"/>
        <v>38.054383333333334</v>
      </c>
      <c r="G1140" s="10">
        <f t="shared" ca="1" si="68"/>
        <v>38.070924999999995</v>
      </c>
      <c r="H1140" s="10">
        <f t="shared" ca="1" si="68"/>
        <v>38.227499999999999</v>
      </c>
      <c r="I1140" s="10">
        <f t="shared" ca="1" si="68"/>
        <v>38.08949166666666</v>
      </c>
      <c r="J1140" s="10">
        <f t="shared" ca="1" si="68"/>
        <v>38.046983333333337</v>
      </c>
      <c r="K1140" s="10">
        <f t="shared" ca="1" si="68"/>
        <v>37.066008333333336</v>
      </c>
      <c r="L1140" s="10">
        <f t="shared" ca="1" si="69"/>
        <v>38.814499999999995</v>
      </c>
      <c r="M1140" s="10">
        <f t="shared" ca="1" si="69"/>
        <v>37.549199999999999</v>
      </c>
      <c r="N1140" s="10">
        <f t="shared" ca="1" si="69"/>
        <v>37.565516666666667</v>
      </c>
      <c r="O1140" s="10">
        <f t="shared" ca="1" si="69"/>
        <v>37.727216666666671</v>
      </c>
      <c r="P1140" s="10">
        <f t="shared" ca="1" si="69"/>
        <v>37.591200000000001</v>
      </c>
      <c r="Q1140" s="10">
        <f t="shared" ca="1" si="69"/>
        <v>38.322516666666672</v>
      </c>
      <c r="R1140" s="10">
        <f t="shared" ca="1" si="69"/>
        <v>39.005316666666666</v>
      </c>
      <c r="S1140" s="10">
        <f t="shared" ca="1" si="69"/>
        <v>36.903833333333331</v>
      </c>
      <c r="T1140" s="32">
        <f t="shared" ca="1" si="70"/>
        <v>358.17703550000004</v>
      </c>
      <c r="U1140" s="32">
        <f t="shared" ca="1" si="70"/>
        <v>142.42176299999997</v>
      </c>
      <c r="V1140" s="32">
        <f t="shared" ca="1" si="70"/>
        <v>50.325000000000003</v>
      </c>
      <c r="W1140" s="32">
        <f t="shared" ca="1" si="70"/>
        <v>5.0961473999999995</v>
      </c>
      <c r="X1140" s="32">
        <f t="shared" ca="1" si="70"/>
        <v>20.800615543999996</v>
      </c>
      <c r="Y1140" s="32"/>
      <c r="Z1140" s="10"/>
      <c r="AA1140" s="10"/>
      <c r="AB1140" s="10"/>
      <c r="AC1140" s="10">
        <f t="shared" ca="1" si="67"/>
        <v>38.097693630972223</v>
      </c>
      <c r="AD1140" s="10">
        <f t="shared" ca="1" si="67"/>
        <v>37.636866067146286</v>
      </c>
    </row>
    <row r="1141" spans="1:30" ht="15">
      <c r="A1141" s="11">
        <f t="shared" si="60"/>
        <v>2097</v>
      </c>
      <c r="B1141" s="10">
        <f t="shared" ca="1" si="68"/>
        <v>39.011466666666671</v>
      </c>
      <c r="C1141" s="10">
        <f t="shared" ca="1" si="68"/>
        <v>39.017749999999999</v>
      </c>
      <c r="D1141" s="10">
        <f t="shared" ca="1" si="68"/>
        <v>39.122258333333328</v>
      </c>
      <c r="E1141" s="10">
        <f t="shared" ca="1" si="68"/>
        <v>39.154400000000003</v>
      </c>
      <c r="F1141" s="10">
        <f t="shared" ca="1" si="68"/>
        <v>38.970066666666661</v>
      </c>
      <c r="G1141" s="10">
        <f t="shared" ca="1" si="68"/>
        <v>38.986641666666664</v>
      </c>
      <c r="H1141" s="10">
        <f t="shared" ca="1" si="68"/>
        <v>39.14321666666666</v>
      </c>
      <c r="I1141" s="10">
        <f t="shared" ca="1" si="68"/>
        <v>39.005216666666662</v>
      </c>
      <c r="J1141" s="10">
        <f t="shared" ca="1" si="68"/>
        <v>38.962666666666664</v>
      </c>
      <c r="K1141" s="10">
        <f t="shared" ca="1" si="68"/>
        <v>37.953133333333334</v>
      </c>
      <c r="L1141" s="10">
        <f t="shared" ca="1" si="69"/>
        <v>39.730216666666671</v>
      </c>
      <c r="M1141" s="10">
        <f t="shared" ca="1" si="69"/>
        <v>38.452149999999996</v>
      </c>
      <c r="N1141" s="10">
        <f t="shared" ca="1" si="69"/>
        <v>38.468466666666671</v>
      </c>
      <c r="O1141" s="10">
        <f t="shared" ca="1" si="69"/>
        <v>38.630158333333334</v>
      </c>
      <c r="P1141" s="10">
        <f t="shared" ca="1" si="69"/>
        <v>38.494141666666664</v>
      </c>
      <c r="Q1141" s="10">
        <f t="shared" ca="1" si="69"/>
        <v>39.225458333333336</v>
      </c>
      <c r="R1141" s="10">
        <f t="shared" ca="1" si="69"/>
        <v>39.910499999999999</v>
      </c>
      <c r="S1141" s="10">
        <f t="shared" ca="1" si="69"/>
        <v>37.790508333333342</v>
      </c>
      <c r="T1141" s="32">
        <f t="shared" ca="1" si="70"/>
        <v>357.24568100000005</v>
      </c>
      <c r="U1141" s="32">
        <f t="shared" ca="1" si="70"/>
        <v>142.03263249999998</v>
      </c>
      <c r="V1141" s="32">
        <f t="shared" ca="1" si="70"/>
        <v>50.187500000000007</v>
      </c>
      <c r="W1141" s="32">
        <f t="shared" ca="1" si="70"/>
        <v>5.0822234999999996</v>
      </c>
      <c r="X1141" s="32">
        <f t="shared" ca="1" si="70"/>
        <v>20.758966663999999</v>
      </c>
      <c r="Y1141" s="32"/>
      <c r="Z1141" s="10"/>
      <c r="AA1141" s="10"/>
      <c r="AB1141" s="10"/>
      <c r="AC1141" s="10">
        <f t="shared" ca="1" si="67"/>
        <v>39.013398415858063</v>
      </c>
      <c r="AD1141" s="10">
        <f t="shared" ca="1" si="67"/>
        <v>38.539811091127106</v>
      </c>
    </row>
    <row r="1142" spans="1:30" ht="15">
      <c r="A1142" s="11">
        <f t="shared" si="60"/>
        <v>2098</v>
      </c>
      <c r="B1142" s="10">
        <f t="shared" ca="1" si="68"/>
        <v>39.949199999999998</v>
      </c>
      <c r="C1142" s="10">
        <f t="shared" ca="1" si="68"/>
        <v>39.955475</v>
      </c>
      <c r="D1142" s="10">
        <f t="shared" ca="1" si="68"/>
        <v>40.059950000000001</v>
      </c>
      <c r="E1142" s="10">
        <f t="shared" ca="1" si="68"/>
        <v>40.092108333333336</v>
      </c>
      <c r="F1142" s="10">
        <f t="shared" ca="1" si="68"/>
        <v>39.907783333333334</v>
      </c>
      <c r="G1142" s="10">
        <f t="shared" ca="1" si="68"/>
        <v>39.924333333333337</v>
      </c>
      <c r="H1142" s="10">
        <f t="shared" ca="1" si="68"/>
        <v>40.080924999999993</v>
      </c>
      <c r="I1142" s="10">
        <f t="shared" ca="1" si="68"/>
        <v>39.942925000000002</v>
      </c>
      <c r="J1142" s="10">
        <f t="shared" ca="1" si="68"/>
        <v>39.900383333333338</v>
      </c>
      <c r="K1142" s="10">
        <f t="shared" ca="1" si="68"/>
        <v>38.861566666666668</v>
      </c>
      <c r="L1142" s="10">
        <f t="shared" ca="1" si="69"/>
        <v>40.667924999999997</v>
      </c>
      <c r="M1142" s="10">
        <f t="shared" ca="1" si="69"/>
        <v>39.376775000000002</v>
      </c>
      <c r="N1142" s="10">
        <f t="shared" ca="1" si="69"/>
        <v>39.39308333333333</v>
      </c>
      <c r="O1142" s="10">
        <f t="shared" ca="1" si="69"/>
        <v>39.554774999999999</v>
      </c>
      <c r="P1142" s="10">
        <f t="shared" ca="1" si="69"/>
        <v>39.418750000000003</v>
      </c>
      <c r="Q1142" s="10">
        <f t="shared" ca="1" si="69"/>
        <v>40.150074999999994</v>
      </c>
      <c r="R1142" s="10">
        <f t="shared" ca="1" si="69"/>
        <v>40.837449999999997</v>
      </c>
      <c r="S1142" s="10">
        <f t="shared" ca="1" si="69"/>
        <v>38.698483333333336</v>
      </c>
      <c r="T1142" s="32">
        <f t="shared" ca="1" si="70"/>
        <v>357.24568100000005</v>
      </c>
      <c r="U1142" s="32">
        <f t="shared" ca="1" si="70"/>
        <v>142.03263249999998</v>
      </c>
      <c r="V1142" s="32">
        <f t="shared" ca="1" si="70"/>
        <v>50.187500000000007</v>
      </c>
      <c r="W1142" s="32">
        <f t="shared" ca="1" si="70"/>
        <v>5.0822234999999996</v>
      </c>
      <c r="X1142" s="32">
        <f t="shared" ca="1" si="70"/>
        <v>20.758966663999999</v>
      </c>
      <c r="Y1142" s="32"/>
      <c r="Z1142" s="10"/>
      <c r="AA1142" s="10"/>
      <c r="AB1142" s="10"/>
      <c r="AC1142" s="10">
        <f t="shared" ca="1" si="67"/>
        <v>39.951112506105353</v>
      </c>
      <c r="AD1142" s="10">
        <f t="shared" ca="1" si="67"/>
        <v>39.464429436450828</v>
      </c>
    </row>
    <row r="1143" spans="1:30" ht="15">
      <c r="A1143" s="11">
        <f t="shared" si="60"/>
        <v>2099</v>
      </c>
      <c r="B1143" s="10">
        <f t="shared" ca="1" si="68"/>
        <v>40.909416666666665</v>
      </c>
      <c r="C1143" s="10">
        <f t="shared" ca="1" si="68"/>
        <v>40.915700000000001</v>
      </c>
      <c r="D1143" s="10">
        <f t="shared" ca="1" si="68"/>
        <v>41.020191666666669</v>
      </c>
      <c r="E1143" s="10">
        <f t="shared" ca="1" si="68"/>
        <v>41.052366666666664</v>
      </c>
      <c r="F1143" s="10">
        <f t="shared" ca="1" si="68"/>
        <v>40.868033333333337</v>
      </c>
      <c r="G1143" s="10">
        <f t="shared" ca="1" si="68"/>
        <v>40.884583333333332</v>
      </c>
      <c r="H1143" s="10">
        <f t="shared" ca="1" si="68"/>
        <v>41.041158333333335</v>
      </c>
      <c r="I1143" s="10">
        <f t="shared" ca="1" si="68"/>
        <v>40.903158333333337</v>
      </c>
      <c r="J1143" s="10">
        <f t="shared" ca="1" si="68"/>
        <v>40.86063333333334</v>
      </c>
      <c r="K1143" s="10">
        <f t="shared" ca="1" si="68"/>
        <v>39.791833333333336</v>
      </c>
      <c r="L1143" s="10">
        <f t="shared" ca="1" si="69"/>
        <v>41.628158333333339</v>
      </c>
      <c r="M1143" s="10">
        <f t="shared" ca="1" si="69"/>
        <v>40.323599999999999</v>
      </c>
      <c r="N1143" s="10">
        <f t="shared" ca="1" si="69"/>
        <v>40.33991666666666</v>
      </c>
      <c r="O1143" s="10">
        <f t="shared" ca="1" si="69"/>
        <v>40.501616666666663</v>
      </c>
      <c r="P1143" s="10">
        <f t="shared" ca="1" si="69"/>
        <v>40.365591666666667</v>
      </c>
      <c r="Q1143" s="10">
        <f t="shared" ca="1" si="69"/>
        <v>41.096916666666665</v>
      </c>
      <c r="R1143" s="10">
        <f t="shared" ca="1" si="69"/>
        <v>41.786658333333335</v>
      </c>
      <c r="S1143" s="10">
        <f t="shared" ca="1" si="69"/>
        <v>39.628300000000003</v>
      </c>
      <c r="T1143" s="32">
        <f t="shared" ca="1" si="70"/>
        <v>357.24568100000005</v>
      </c>
      <c r="U1143" s="32">
        <f t="shared" ca="1" si="70"/>
        <v>142.03263249999998</v>
      </c>
      <c r="V1143" s="32">
        <f t="shared" ca="1" si="70"/>
        <v>50.187500000000007</v>
      </c>
      <c r="W1143" s="32">
        <f t="shared" ca="1" si="70"/>
        <v>5.0822234999999996</v>
      </c>
      <c r="X1143" s="32">
        <f t="shared" ca="1" si="70"/>
        <v>20.758966663999999</v>
      </c>
      <c r="Y1143" s="32"/>
      <c r="Z1143" s="10"/>
      <c r="AA1143" s="10"/>
      <c r="AB1143" s="10"/>
      <c r="AC1143" s="10">
        <f t="shared" ca="1" si="67"/>
        <v>40.911350275207816</v>
      </c>
      <c r="AD1143" s="10">
        <f t="shared" ca="1" si="67"/>
        <v>40.411264868105512</v>
      </c>
    </row>
    <row r="1144" spans="1:30" ht="15">
      <c r="A1144" s="11">
        <f t="shared" si="60"/>
        <v>2100</v>
      </c>
      <c r="B1144" s="10">
        <f t="shared" ca="1" si="68"/>
        <v>41.892733333333332</v>
      </c>
      <c r="C1144" s="10">
        <f t="shared" ca="1" si="68"/>
        <v>41.899016666666661</v>
      </c>
      <c r="D1144" s="10">
        <f t="shared" ca="1" si="68"/>
        <v>42.003508333333329</v>
      </c>
      <c r="E1144" s="10">
        <f t="shared" ca="1" si="68"/>
        <v>42.035666666666664</v>
      </c>
      <c r="F1144" s="10">
        <f t="shared" ca="1" si="68"/>
        <v>41.851350000000004</v>
      </c>
      <c r="G1144" s="10">
        <f t="shared" ca="1" si="68"/>
        <v>41.867891666666658</v>
      </c>
      <c r="H1144" s="10">
        <f t="shared" ca="1" si="68"/>
        <v>42.024466666666662</v>
      </c>
      <c r="I1144" s="10">
        <f t="shared" ca="1" si="68"/>
        <v>41.886466666666671</v>
      </c>
      <c r="J1144" s="10">
        <f t="shared" ca="1" si="68"/>
        <v>41.84395</v>
      </c>
      <c r="K1144" s="10">
        <f t="shared" ca="1" si="68"/>
        <v>40.744450000000001</v>
      </c>
      <c r="L1144" s="10">
        <f t="shared" ca="1" si="69"/>
        <v>42.611466666666665</v>
      </c>
      <c r="M1144" s="10">
        <f t="shared" ca="1" si="69"/>
        <v>41.293199999999992</v>
      </c>
      <c r="N1144" s="10">
        <f t="shared" ca="1" si="69"/>
        <v>41.309524999999994</v>
      </c>
      <c r="O1144" s="10">
        <f t="shared" ca="1" si="69"/>
        <v>41.471191666666662</v>
      </c>
      <c r="P1144" s="10">
        <f t="shared" ca="1" si="69"/>
        <v>41.335175</v>
      </c>
      <c r="Q1144" s="10">
        <f t="shared" ca="1" si="69"/>
        <v>42.066491666666671</v>
      </c>
      <c r="R1144" s="10">
        <f t="shared" ca="1" si="69"/>
        <v>42.75866666666667</v>
      </c>
      <c r="S1144" s="10">
        <f t="shared" ca="1" si="69"/>
        <v>40.580450000000006</v>
      </c>
      <c r="T1144" s="32">
        <f t="shared" ca="1" si="70"/>
        <v>358.17703550000004</v>
      </c>
      <c r="U1144" s="32">
        <f t="shared" ca="1" si="70"/>
        <v>142.42176299999997</v>
      </c>
      <c r="V1144" s="32">
        <f t="shared" ca="1" si="70"/>
        <v>50.325000000000003</v>
      </c>
      <c r="W1144" s="32">
        <f t="shared" ca="1" si="70"/>
        <v>5.0961473999999995</v>
      </c>
      <c r="X1144" s="32">
        <f t="shared" ca="1" si="70"/>
        <v>20.758966663999999</v>
      </c>
      <c r="Y1144" s="32"/>
      <c r="Z1144" s="10"/>
      <c r="AA1144" s="10"/>
      <c r="AB1144" s="10"/>
      <c r="AC1144" s="10">
        <f t="shared" ca="1" si="67"/>
        <v>41.894664890599337</v>
      </c>
      <c r="AD1144" s="10">
        <f t="shared" ca="1" si="67"/>
        <v>41.380851618705037</v>
      </c>
    </row>
    <row r="1145" spans="1:30" ht="15">
      <c r="A1145" s="11"/>
    </row>
    <row r="1146" spans="1:30" ht="15">
      <c r="A1146" s="11"/>
    </row>
    <row r="1147" spans="1:30" ht="15">
      <c r="A1147" s="11"/>
    </row>
    <row r="1148" spans="1:30" ht="15">
      <c r="A1148" s="11"/>
    </row>
    <row r="1149" spans="1:30" ht="15">
      <c r="A1149" s="11"/>
    </row>
    <row r="1150" spans="1:30" ht="15">
      <c r="A1150" s="11"/>
    </row>
    <row r="1151" spans="1:30" ht="15">
      <c r="A1151" s="11"/>
    </row>
    <row r="1152" spans="1:30" ht="15">
      <c r="A1152" s="11"/>
    </row>
    <row r="1153" spans="1:1" ht="15">
      <c r="A1153" s="11"/>
    </row>
    <row r="1154" spans="1:1" ht="15">
      <c r="A1154" s="11"/>
    </row>
    <row r="1155" spans="1:1" ht="15">
      <c r="A1155" s="11"/>
    </row>
    <row r="1156" spans="1:1" ht="15">
      <c r="A1156" s="11"/>
    </row>
    <row r="1157" spans="1:1" ht="15">
      <c r="A1157" s="11"/>
    </row>
    <row r="1158" spans="1:1" ht="15">
      <c r="A1158" s="11"/>
    </row>
    <row r="1159" spans="1:1" ht="15">
      <c r="A1159" s="11"/>
    </row>
  </sheetData>
  <mergeCells count="4">
    <mergeCell ref="AA9:AB9"/>
    <mergeCell ref="T9:Z9"/>
    <mergeCell ref="T10:Z10"/>
    <mergeCell ref="T8:Z8"/>
  </mergeCells>
  <pageMargins left="0.25" right="0.25" top="0.5" bottom="0.5" header="0.25" footer="0.25"/>
  <pageSetup paperSize="3" scale="3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7</xdr:col>
                    <xdr:colOff>285750</xdr:colOff>
                    <xdr:row>7</xdr:row>
                    <xdr:rowOff>28575</xdr:rowOff>
                  </from>
                  <to>
                    <xdr:col>8</xdr:col>
                    <xdr:colOff>552450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 moveWithCells="1">
                  <from>
                    <xdr:col>10</xdr:col>
                    <xdr:colOff>981075</xdr:colOff>
                    <xdr:row>7</xdr:row>
                    <xdr:rowOff>133350</xdr:rowOff>
                  </from>
                  <to>
                    <xdr:col>12</xdr:col>
                    <xdr:colOff>257175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AD1163"/>
  <sheetViews>
    <sheetView zoomScale="70" zoomScaleNormal="70" workbookViewId="0">
      <pane xSplit="1" ySplit="11" topLeftCell="B12" activePane="bottomRight" state="frozen"/>
      <selection activeCell="D6" sqref="D6"/>
      <selection pane="topRight" activeCell="D6" sqref="D6"/>
      <selection pane="bottomLeft" activeCell="D6" sqref="D6"/>
      <selection pane="bottomRight" activeCell="A6" sqref="A6"/>
    </sheetView>
  </sheetViews>
  <sheetFormatPr defaultColWidth="7.109375" defaultRowHeight="12.75"/>
  <cols>
    <col min="1" max="1" width="19.21875" style="9" customWidth="1"/>
    <col min="2" max="2" width="7.88671875" style="9" customWidth="1"/>
    <col min="3" max="14" width="13" style="8" customWidth="1"/>
    <col min="15" max="19" width="20.6640625" style="8" customWidth="1"/>
    <col min="20" max="20" width="15.44140625" style="8" customWidth="1"/>
    <col min="21" max="21" width="7.77734375" style="8" customWidth="1"/>
    <col min="22" max="16384" width="7.109375" style="8"/>
  </cols>
  <sheetData>
    <row r="1" spans="1:30" ht="15.75">
      <c r="A1" s="98" t="s">
        <v>93</v>
      </c>
    </row>
    <row r="2" spans="1:30" ht="15.75">
      <c r="A2" s="98" t="s">
        <v>94</v>
      </c>
    </row>
    <row r="3" spans="1:30" ht="15.75">
      <c r="A3" s="98" t="s">
        <v>95</v>
      </c>
    </row>
    <row r="4" spans="1:30" ht="15.75">
      <c r="A4" s="98" t="s">
        <v>96</v>
      </c>
    </row>
    <row r="5" spans="1:30" ht="15.75">
      <c r="A5" s="98" t="s">
        <v>98</v>
      </c>
    </row>
    <row r="6" spans="1:30" ht="15.75">
      <c r="A6" s="98" t="s">
        <v>102</v>
      </c>
    </row>
    <row r="8" spans="1:30" ht="15.75">
      <c r="A8" s="25" t="s">
        <v>28</v>
      </c>
      <c r="B8" s="25"/>
      <c r="C8" s="79"/>
      <c r="O8" s="51"/>
      <c r="P8" s="51"/>
      <c r="Q8" s="51"/>
      <c r="R8" s="51"/>
      <c r="S8" s="51"/>
    </row>
    <row r="9" spans="1:30" ht="15.75">
      <c r="A9" s="25"/>
      <c r="C9" s="103" t="s">
        <v>83</v>
      </c>
      <c r="D9" s="103"/>
      <c r="E9" s="103"/>
      <c r="F9" s="103"/>
      <c r="G9" s="78"/>
      <c r="H9" s="78"/>
      <c r="I9" s="108" t="s">
        <v>82</v>
      </c>
      <c r="J9" s="109"/>
      <c r="K9" s="109"/>
      <c r="L9" s="77"/>
      <c r="M9" s="53"/>
      <c r="N9" s="76"/>
      <c r="O9" s="107"/>
      <c r="P9" s="107"/>
      <c r="Q9" s="107"/>
      <c r="R9" s="75"/>
      <c r="S9" s="75"/>
    </row>
    <row r="10" spans="1:30" ht="97.9" customHeight="1">
      <c r="A10" s="74"/>
      <c r="B10" s="74"/>
      <c r="C10" s="47" t="s">
        <v>68</v>
      </c>
      <c r="D10" s="50" t="s">
        <v>67</v>
      </c>
      <c r="E10" s="47" t="s">
        <v>66</v>
      </c>
      <c r="F10" s="47" t="s">
        <v>65</v>
      </c>
      <c r="G10" s="50" t="s">
        <v>64</v>
      </c>
      <c r="H10" s="50" t="s">
        <v>63</v>
      </c>
      <c r="I10" s="50" t="s">
        <v>62</v>
      </c>
      <c r="J10" s="50" t="s">
        <v>61</v>
      </c>
      <c r="K10" s="50" t="s">
        <v>60</v>
      </c>
      <c r="L10" s="47" t="s">
        <v>81</v>
      </c>
      <c r="M10" s="73" t="s">
        <v>80</v>
      </c>
      <c r="N10" s="19" t="s">
        <v>58</v>
      </c>
      <c r="O10" s="49" t="s">
        <v>79</v>
      </c>
      <c r="P10" s="49" t="s">
        <v>78</v>
      </c>
      <c r="Q10" s="49" t="s">
        <v>77</v>
      </c>
      <c r="R10" s="49" t="s">
        <v>76</v>
      </c>
      <c r="S10" s="72" t="s">
        <v>75</v>
      </c>
      <c r="T10" s="21" t="s">
        <v>74</v>
      </c>
    </row>
    <row r="11" spans="1:30" ht="15.75">
      <c r="A11" s="20" t="s">
        <v>15</v>
      </c>
      <c r="B11" s="20" t="s">
        <v>73</v>
      </c>
      <c r="C11" s="20" t="s">
        <v>72</v>
      </c>
      <c r="D11" s="20" t="s">
        <v>72</v>
      </c>
      <c r="E11" s="20" t="s">
        <v>72</v>
      </c>
      <c r="F11" s="20" t="s">
        <v>72</v>
      </c>
      <c r="G11" s="20" t="s">
        <v>72</v>
      </c>
      <c r="H11" s="20" t="s">
        <v>72</v>
      </c>
      <c r="I11" s="20" t="s">
        <v>72</v>
      </c>
      <c r="J11" s="20" t="s">
        <v>72</v>
      </c>
      <c r="K11" s="20" t="s">
        <v>72</v>
      </c>
      <c r="L11" s="20" t="s">
        <v>72</v>
      </c>
      <c r="M11" s="71" t="s">
        <v>72</v>
      </c>
      <c r="N11" s="20" t="s">
        <v>72</v>
      </c>
      <c r="O11" s="20" t="s">
        <v>72</v>
      </c>
      <c r="P11" s="20" t="s">
        <v>72</v>
      </c>
      <c r="Q11" s="20" t="s">
        <v>72</v>
      </c>
      <c r="R11" s="20" t="s">
        <v>72</v>
      </c>
      <c r="S11" s="20" t="s">
        <v>72</v>
      </c>
      <c r="T11" s="20" t="s">
        <v>72</v>
      </c>
    </row>
    <row r="12" spans="1:30" ht="15.75">
      <c r="A12" s="16">
        <v>41640</v>
      </c>
      <c r="B12" s="69">
        <v>31</v>
      </c>
      <c r="C12" s="56">
        <v>122.58</v>
      </c>
      <c r="D12" s="56">
        <v>297.94099999999997</v>
      </c>
      <c r="E12" s="64">
        <v>89.177000000000007</v>
      </c>
      <c r="F12" s="56">
        <v>200.30199999999999</v>
      </c>
      <c r="G12" s="59">
        <v>40</v>
      </c>
      <c r="H12" s="56">
        <v>0</v>
      </c>
      <c r="I12" s="56">
        <v>0</v>
      </c>
      <c r="J12" s="59">
        <v>100</v>
      </c>
      <c r="K12" s="59">
        <v>300</v>
      </c>
      <c r="L12" s="56">
        <v>1150</v>
      </c>
      <c r="M12" s="66"/>
      <c r="N12" s="56">
        <v>100</v>
      </c>
      <c r="O12" s="59">
        <v>240</v>
      </c>
      <c r="P12" s="59">
        <v>0</v>
      </c>
      <c r="Q12" s="59">
        <v>355</v>
      </c>
      <c r="R12" s="59">
        <v>100</v>
      </c>
      <c r="S12" s="56">
        <v>695</v>
      </c>
      <c r="T12" s="56">
        <v>50</v>
      </c>
      <c r="U12" s="57"/>
      <c r="V12" s="57"/>
      <c r="W12" s="57"/>
      <c r="X12" s="57"/>
      <c r="Y12" s="57"/>
      <c r="Z12" s="57"/>
      <c r="AA12" s="57"/>
      <c r="AB12" s="57"/>
      <c r="AC12" s="57"/>
      <c r="AD12" s="57"/>
    </row>
    <row r="13" spans="1:30" ht="15.75">
      <c r="A13" s="16">
        <v>41671</v>
      </c>
      <c r="B13" s="69">
        <v>30</v>
      </c>
      <c r="C13" s="56">
        <v>122.58</v>
      </c>
      <c r="D13" s="56">
        <v>297.94099999999997</v>
      </c>
      <c r="E13" s="64">
        <v>89.177000000000007</v>
      </c>
      <c r="F13" s="56">
        <v>200.30199999999999</v>
      </c>
      <c r="G13" s="59">
        <v>40</v>
      </c>
      <c r="H13" s="56">
        <v>0</v>
      </c>
      <c r="I13" s="56">
        <v>0</v>
      </c>
      <c r="J13" s="59">
        <v>100</v>
      </c>
      <c r="K13" s="59">
        <v>300</v>
      </c>
      <c r="L13" s="56">
        <v>1150</v>
      </c>
      <c r="M13" s="66"/>
      <c r="N13" s="56">
        <v>100</v>
      </c>
      <c r="O13" s="59">
        <v>240</v>
      </c>
      <c r="P13" s="59">
        <v>0</v>
      </c>
      <c r="Q13" s="59">
        <v>355</v>
      </c>
      <c r="R13" s="59">
        <v>100</v>
      </c>
      <c r="S13" s="56">
        <v>695</v>
      </c>
      <c r="T13" s="56">
        <v>50</v>
      </c>
      <c r="U13" s="57"/>
      <c r="V13" s="57"/>
      <c r="W13" s="57"/>
      <c r="X13" s="57"/>
      <c r="Y13" s="57"/>
      <c r="Z13" s="57"/>
      <c r="AA13" s="57"/>
      <c r="AB13" s="57"/>
      <c r="AC13" s="57"/>
      <c r="AD13" s="57"/>
    </row>
    <row r="14" spans="1:30" ht="15.75">
      <c r="A14" s="16">
        <v>41699</v>
      </c>
      <c r="B14" s="69">
        <v>31</v>
      </c>
      <c r="C14" s="56">
        <v>122.58</v>
      </c>
      <c r="D14" s="56">
        <v>297.94099999999997</v>
      </c>
      <c r="E14" s="64">
        <v>89.177000000000007</v>
      </c>
      <c r="F14" s="56">
        <v>200.30199999999999</v>
      </c>
      <c r="G14" s="59">
        <v>40</v>
      </c>
      <c r="H14" s="56">
        <v>0</v>
      </c>
      <c r="I14" s="56">
        <v>0</v>
      </c>
      <c r="J14" s="59">
        <v>100</v>
      </c>
      <c r="K14" s="59">
        <v>300</v>
      </c>
      <c r="L14" s="56">
        <v>1150</v>
      </c>
      <c r="M14" s="66"/>
      <c r="N14" s="56">
        <v>100</v>
      </c>
      <c r="O14" s="59">
        <v>240</v>
      </c>
      <c r="P14" s="59">
        <v>0</v>
      </c>
      <c r="Q14" s="59">
        <v>355</v>
      </c>
      <c r="R14" s="59">
        <v>100</v>
      </c>
      <c r="S14" s="56">
        <v>695</v>
      </c>
      <c r="T14" s="56">
        <v>50</v>
      </c>
      <c r="U14" s="57"/>
      <c r="V14" s="57"/>
      <c r="W14" s="57"/>
      <c r="X14" s="57"/>
      <c r="Y14" s="57"/>
      <c r="Z14" s="57"/>
      <c r="AA14" s="57"/>
      <c r="AB14" s="57"/>
      <c r="AC14" s="57"/>
      <c r="AD14" s="57"/>
    </row>
    <row r="15" spans="1:30" ht="15.75">
      <c r="A15" s="16">
        <v>41730</v>
      </c>
      <c r="B15" s="69">
        <v>30</v>
      </c>
      <c r="C15" s="56">
        <v>141.29300000000001</v>
      </c>
      <c r="D15" s="56">
        <v>267.99299999999999</v>
      </c>
      <c r="E15" s="64">
        <v>115.01600000000001</v>
      </c>
      <c r="F15" s="56">
        <v>249.69800000000001</v>
      </c>
      <c r="G15" s="59">
        <v>40</v>
      </c>
      <c r="H15" s="56">
        <v>25</v>
      </c>
      <c r="I15" s="56">
        <v>0</v>
      </c>
      <c r="J15" s="59">
        <v>100</v>
      </c>
      <c r="K15" s="59">
        <v>300</v>
      </c>
      <c r="L15" s="56">
        <v>1239</v>
      </c>
      <c r="M15" s="66"/>
      <c r="N15" s="56">
        <v>100</v>
      </c>
      <c r="O15" s="59">
        <v>240</v>
      </c>
      <c r="P15" s="59">
        <v>120</v>
      </c>
      <c r="Q15" s="59">
        <v>235</v>
      </c>
      <c r="R15" s="59">
        <v>100</v>
      </c>
      <c r="S15" s="56">
        <v>695</v>
      </c>
      <c r="T15" s="56">
        <v>50</v>
      </c>
      <c r="U15" s="57"/>
      <c r="V15" s="57"/>
      <c r="W15" s="57"/>
      <c r="X15" s="57"/>
      <c r="Y15" s="57"/>
      <c r="Z15" s="57"/>
      <c r="AA15" s="57"/>
      <c r="AB15" s="57"/>
      <c r="AC15" s="57"/>
      <c r="AD15" s="57"/>
    </row>
    <row r="16" spans="1:30" ht="15.75">
      <c r="A16" s="16">
        <v>41760</v>
      </c>
      <c r="B16" s="69">
        <v>31</v>
      </c>
      <c r="C16" s="56">
        <v>194.20500000000001</v>
      </c>
      <c r="D16" s="56">
        <v>267.46600000000001</v>
      </c>
      <c r="E16" s="64">
        <v>133.845</v>
      </c>
      <c r="F16" s="56">
        <v>213.48400000000001</v>
      </c>
      <c r="G16" s="59">
        <v>40</v>
      </c>
      <c r="H16" s="56">
        <v>25</v>
      </c>
      <c r="I16" s="70">
        <v>50</v>
      </c>
      <c r="J16" s="59">
        <v>100</v>
      </c>
      <c r="K16" s="59">
        <v>300</v>
      </c>
      <c r="L16" s="56">
        <v>1324</v>
      </c>
      <c r="M16" s="66"/>
      <c r="N16" s="56">
        <v>75</v>
      </c>
      <c r="O16" s="59">
        <v>240</v>
      </c>
      <c r="P16" s="59">
        <v>120</v>
      </c>
      <c r="Q16" s="59">
        <v>235</v>
      </c>
      <c r="R16" s="59">
        <v>100</v>
      </c>
      <c r="S16" s="56">
        <v>695</v>
      </c>
      <c r="T16" s="56">
        <v>50</v>
      </c>
      <c r="U16" s="57"/>
      <c r="V16" s="57"/>
      <c r="W16" s="57"/>
      <c r="X16" s="57"/>
      <c r="Y16" s="57"/>
      <c r="Z16" s="57"/>
      <c r="AA16" s="57"/>
      <c r="AB16" s="57"/>
      <c r="AC16" s="57"/>
      <c r="AD16" s="57"/>
    </row>
    <row r="17" spans="1:30" ht="15.75">
      <c r="A17" s="16">
        <v>41791</v>
      </c>
      <c r="B17" s="69">
        <v>30</v>
      </c>
      <c r="C17" s="56">
        <f>194.205</f>
        <v>194.20500000000001</v>
      </c>
      <c r="D17" s="56">
        <f>267.466</f>
        <v>267.46600000000001</v>
      </c>
      <c r="E17" s="64">
        <f>133.845</f>
        <v>133.845</v>
      </c>
      <c r="F17" s="56">
        <f>278.484-40-25</f>
        <v>213.48399999999998</v>
      </c>
      <c r="G17" s="59">
        <v>40</v>
      </c>
      <c r="H17" s="56">
        <v>25</v>
      </c>
      <c r="I17" s="70">
        <v>50</v>
      </c>
      <c r="J17" s="59">
        <v>100</v>
      </c>
      <c r="K17" s="59">
        <v>300</v>
      </c>
      <c r="L17" s="56">
        <f t="shared" ref="L17:L80" si="0">SUM(C17:K17)</f>
        <v>1324</v>
      </c>
      <c r="M17" s="66"/>
      <c r="N17" s="56">
        <f>30</f>
        <v>30</v>
      </c>
      <c r="O17" s="59">
        <v>240</v>
      </c>
      <c r="P17" s="59">
        <f>145-H17</f>
        <v>120</v>
      </c>
      <c r="Q17" s="59">
        <f t="shared" ref="Q17:Q80" si="1">695-R17-O17-P17</f>
        <v>235</v>
      </c>
      <c r="R17" s="59">
        <f t="shared" ref="R17:R80" si="2">200-J17</f>
        <v>100</v>
      </c>
      <c r="S17" s="56">
        <f t="shared" ref="S17:S80" si="3">SUM(O17:R17)</f>
        <v>695</v>
      </c>
      <c r="T17" s="56">
        <f>50</f>
        <v>50</v>
      </c>
      <c r="U17" s="57"/>
      <c r="V17" s="57"/>
      <c r="W17" s="57"/>
      <c r="X17" s="57"/>
      <c r="Y17" s="57"/>
      <c r="Z17" s="57"/>
      <c r="AA17" s="57"/>
      <c r="AB17" s="57"/>
      <c r="AC17" s="57"/>
      <c r="AD17" s="57"/>
    </row>
    <row r="18" spans="1:30" ht="15.75">
      <c r="A18" s="16">
        <v>41821</v>
      </c>
      <c r="B18" s="69">
        <v>31</v>
      </c>
      <c r="C18" s="56">
        <f>194.205</f>
        <v>194.20500000000001</v>
      </c>
      <c r="D18" s="56">
        <f>267.466</f>
        <v>267.46600000000001</v>
      </c>
      <c r="E18" s="64">
        <f>133.845</f>
        <v>133.845</v>
      </c>
      <c r="F18" s="56">
        <f>278.484-40-25</f>
        <v>213.48399999999998</v>
      </c>
      <c r="G18" s="59">
        <v>40</v>
      </c>
      <c r="H18" s="56">
        <v>25</v>
      </c>
      <c r="I18" s="70">
        <v>50</v>
      </c>
      <c r="J18" s="59">
        <v>100</v>
      </c>
      <c r="K18" s="59">
        <v>300</v>
      </c>
      <c r="L18" s="56">
        <f t="shared" si="0"/>
        <v>1324</v>
      </c>
      <c r="M18" s="66"/>
      <c r="N18" s="56">
        <f>30</f>
        <v>30</v>
      </c>
      <c r="O18" s="59">
        <v>240</v>
      </c>
      <c r="P18" s="59">
        <f>145-H18</f>
        <v>120</v>
      </c>
      <c r="Q18" s="59">
        <f t="shared" si="1"/>
        <v>235</v>
      </c>
      <c r="R18" s="59">
        <f t="shared" si="2"/>
        <v>100</v>
      </c>
      <c r="S18" s="56">
        <f t="shared" si="3"/>
        <v>695</v>
      </c>
      <c r="T18" s="56">
        <f>0</f>
        <v>0</v>
      </c>
      <c r="U18" s="57"/>
      <c r="V18" s="57"/>
      <c r="W18" s="57"/>
      <c r="X18" s="57"/>
      <c r="Y18" s="57"/>
      <c r="Z18" s="57"/>
      <c r="AA18" s="57"/>
      <c r="AB18" s="57"/>
      <c r="AC18" s="57"/>
      <c r="AD18" s="57"/>
    </row>
    <row r="19" spans="1:30" ht="15.75">
      <c r="A19" s="16">
        <v>41852</v>
      </c>
      <c r="B19" s="69">
        <v>31</v>
      </c>
      <c r="C19" s="56">
        <f>194.205</f>
        <v>194.20500000000001</v>
      </c>
      <c r="D19" s="56">
        <f>267.466</f>
        <v>267.46600000000001</v>
      </c>
      <c r="E19" s="64">
        <f>133.845</f>
        <v>133.845</v>
      </c>
      <c r="F19" s="56">
        <f>278.484-40-25</f>
        <v>213.48399999999998</v>
      </c>
      <c r="G19" s="59">
        <v>40</v>
      </c>
      <c r="H19" s="56">
        <v>25</v>
      </c>
      <c r="I19" s="70">
        <v>50</v>
      </c>
      <c r="J19" s="59">
        <v>100</v>
      </c>
      <c r="K19" s="59">
        <v>300</v>
      </c>
      <c r="L19" s="56">
        <f t="shared" si="0"/>
        <v>1324</v>
      </c>
      <c r="M19" s="66"/>
      <c r="N19" s="56">
        <f>30</f>
        <v>30</v>
      </c>
      <c r="O19" s="59">
        <v>240</v>
      </c>
      <c r="P19" s="59">
        <f>145-H19</f>
        <v>120</v>
      </c>
      <c r="Q19" s="59">
        <f t="shared" si="1"/>
        <v>235</v>
      </c>
      <c r="R19" s="59">
        <f t="shared" si="2"/>
        <v>100</v>
      </c>
      <c r="S19" s="56">
        <f t="shared" si="3"/>
        <v>695</v>
      </c>
      <c r="T19" s="56">
        <f>0</f>
        <v>0</v>
      </c>
      <c r="U19" s="57"/>
      <c r="V19" s="57"/>
      <c r="W19" s="57"/>
      <c r="X19" s="57"/>
      <c r="Y19" s="57"/>
      <c r="Z19" s="57"/>
      <c r="AA19" s="57"/>
      <c r="AB19" s="57"/>
      <c r="AC19" s="57"/>
      <c r="AD19" s="57"/>
    </row>
    <row r="20" spans="1:30" ht="15.75">
      <c r="A20" s="16">
        <v>41883</v>
      </c>
      <c r="B20" s="69">
        <v>30</v>
      </c>
      <c r="C20" s="56">
        <f>194.205</f>
        <v>194.20500000000001</v>
      </c>
      <c r="D20" s="56">
        <f>267.466</f>
        <v>267.46600000000001</v>
      </c>
      <c r="E20" s="64">
        <f>133.845</f>
        <v>133.845</v>
      </c>
      <c r="F20" s="56">
        <f>278.484-40-25</f>
        <v>213.48399999999998</v>
      </c>
      <c r="G20" s="59">
        <v>40</v>
      </c>
      <c r="H20" s="56">
        <v>25</v>
      </c>
      <c r="I20" s="70">
        <v>50</v>
      </c>
      <c r="J20" s="59">
        <v>100</v>
      </c>
      <c r="K20" s="59">
        <v>300</v>
      </c>
      <c r="L20" s="56">
        <f t="shared" si="0"/>
        <v>1324</v>
      </c>
      <c r="M20" s="66"/>
      <c r="N20" s="56">
        <f>30</f>
        <v>30</v>
      </c>
      <c r="O20" s="59">
        <v>240</v>
      </c>
      <c r="P20" s="59">
        <f>145-H20</f>
        <v>120</v>
      </c>
      <c r="Q20" s="59">
        <f t="shared" si="1"/>
        <v>235</v>
      </c>
      <c r="R20" s="59">
        <f t="shared" si="2"/>
        <v>100</v>
      </c>
      <c r="S20" s="56">
        <f t="shared" si="3"/>
        <v>695</v>
      </c>
      <c r="T20" s="56">
        <f>0</f>
        <v>0</v>
      </c>
      <c r="U20" s="57"/>
      <c r="V20" s="57"/>
      <c r="W20" s="57"/>
      <c r="X20" s="57"/>
      <c r="Y20" s="57"/>
      <c r="Z20" s="57"/>
      <c r="AA20" s="57"/>
      <c r="AB20" s="57"/>
      <c r="AC20" s="57"/>
      <c r="AD20" s="57"/>
    </row>
    <row r="21" spans="1:30" ht="15.75">
      <c r="A21" s="16">
        <v>41913</v>
      </c>
      <c r="B21" s="69">
        <v>31</v>
      </c>
      <c r="C21" s="56">
        <f>131.881</f>
        <v>131.881</v>
      </c>
      <c r="D21" s="56">
        <f>277.167</f>
        <v>277.16699999999997</v>
      </c>
      <c r="E21" s="64">
        <f>79.08</f>
        <v>79.08</v>
      </c>
      <c r="F21" s="56">
        <f>350.872-40-25</f>
        <v>285.87200000000001</v>
      </c>
      <c r="G21" s="59">
        <v>40</v>
      </c>
      <c r="H21" s="56">
        <v>25</v>
      </c>
      <c r="I21" s="56">
        <v>0</v>
      </c>
      <c r="J21" s="59">
        <v>100</v>
      </c>
      <c r="K21" s="59">
        <v>300</v>
      </c>
      <c r="L21" s="56">
        <f t="shared" si="0"/>
        <v>1239</v>
      </c>
      <c r="M21" s="66"/>
      <c r="N21" s="56">
        <f>75</f>
        <v>75</v>
      </c>
      <c r="O21" s="59">
        <v>240</v>
      </c>
      <c r="P21" s="59">
        <f>145-H21</f>
        <v>120</v>
      </c>
      <c r="Q21" s="59">
        <f t="shared" si="1"/>
        <v>235</v>
      </c>
      <c r="R21" s="59">
        <f t="shared" si="2"/>
        <v>100</v>
      </c>
      <c r="S21" s="56">
        <f t="shared" si="3"/>
        <v>695</v>
      </c>
      <c r="T21" s="56">
        <f>0</f>
        <v>0</v>
      </c>
      <c r="U21" s="57"/>
      <c r="V21" s="57"/>
      <c r="W21" s="57"/>
      <c r="X21" s="57"/>
      <c r="Y21" s="57"/>
      <c r="Z21" s="57"/>
      <c r="AA21" s="57"/>
      <c r="AB21" s="57"/>
      <c r="AC21" s="57"/>
      <c r="AD21" s="57"/>
    </row>
    <row r="22" spans="1:30" ht="15.75">
      <c r="A22" s="16">
        <v>41944</v>
      </c>
      <c r="B22" s="69">
        <v>30</v>
      </c>
      <c r="C22" s="56">
        <f>122.58</f>
        <v>122.58</v>
      </c>
      <c r="D22" s="56">
        <f>297.941</f>
        <v>297.94099999999997</v>
      </c>
      <c r="E22" s="64">
        <f>89.177</f>
        <v>89.177000000000007</v>
      </c>
      <c r="F22" s="56">
        <f>240.302-40</f>
        <v>200.30199999999999</v>
      </c>
      <c r="G22" s="59">
        <v>40</v>
      </c>
      <c r="H22" s="56">
        <v>0</v>
      </c>
      <c r="I22" s="56">
        <v>0</v>
      </c>
      <c r="J22" s="59">
        <v>100</v>
      </c>
      <c r="K22" s="59">
        <v>300</v>
      </c>
      <c r="L22" s="56">
        <f t="shared" si="0"/>
        <v>1150</v>
      </c>
      <c r="M22" s="66"/>
      <c r="N22" s="56">
        <f>100</f>
        <v>100</v>
      </c>
      <c r="O22" s="59">
        <v>240</v>
      </c>
      <c r="P22" s="59">
        <v>0</v>
      </c>
      <c r="Q22" s="59">
        <f t="shared" si="1"/>
        <v>355</v>
      </c>
      <c r="R22" s="59">
        <f t="shared" si="2"/>
        <v>100</v>
      </c>
      <c r="S22" s="56">
        <f t="shared" si="3"/>
        <v>695</v>
      </c>
      <c r="T22" s="56">
        <f>50</f>
        <v>50</v>
      </c>
      <c r="U22" s="57"/>
      <c r="V22" s="57"/>
      <c r="W22" s="57"/>
      <c r="X22" s="57"/>
      <c r="Y22" s="57"/>
      <c r="Z22" s="57"/>
      <c r="AA22" s="57"/>
      <c r="AB22" s="57"/>
      <c r="AC22" s="57"/>
      <c r="AD22" s="57"/>
    </row>
    <row r="23" spans="1:30" ht="15.75">
      <c r="A23" s="16">
        <v>41974</v>
      </c>
      <c r="B23" s="69">
        <v>31</v>
      </c>
      <c r="C23" s="56">
        <f>122.58</f>
        <v>122.58</v>
      </c>
      <c r="D23" s="56">
        <f>297.941</f>
        <v>297.94099999999997</v>
      </c>
      <c r="E23" s="64">
        <f>89.177</f>
        <v>89.177000000000007</v>
      </c>
      <c r="F23" s="56">
        <f>240.302-40</f>
        <v>200.30199999999999</v>
      </c>
      <c r="G23" s="59">
        <v>40</v>
      </c>
      <c r="H23" s="56">
        <v>0</v>
      </c>
      <c r="I23" s="56">
        <v>0</v>
      </c>
      <c r="J23" s="59">
        <v>100</v>
      </c>
      <c r="K23" s="59">
        <v>300</v>
      </c>
      <c r="L23" s="56">
        <f t="shared" si="0"/>
        <v>1150</v>
      </c>
      <c r="M23" s="66"/>
      <c r="N23" s="56">
        <f>100</f>
        <v>100</v>
      </c>
      <c r="O23" s="59">
        <v>240</v>
      </c>
      <c r="P23" s="59">
        <v>0</v>
      </c>
      <c r="Q23" s="59">
        <f t="shared" si="1"/>
        <v>355</v>
      </c>
      <c r="R23" s="59">
        <f t="shared" si="2"/>
        <v>100</v>
      </c>
      <c r="S23" s="56">
        <f t="shared" si="3"/>
        <v>695</v>
      </c>
      <c r="T23" s="56">
        <f>50</f>
        <v>50</v>
      </c>
      <c r="U23" s="57"/>
      <c r="V23" s="57"/>
      <c r="W23" s="57"/>
      <c r="X23" s="57"/>
      <c r="Y23" s="57"/>
      <c r="Z23" s="57"/>
      <c r="AA23" s="57"/>
      <c r="AB23" s="57"/>
      <c r="AC23" s="57"/>
      <c r="AD23" s="57"/>
    </row>
    <row r="24" spans="1:30" ht="15.75">
      <c r="A24" s="16">
        <v>42005</v>
      </c>
      <c r="B24" s="69">
        <v>31</v>
      </c>
      <c r="C24" s="56">
        <f>122.58</f>
        <v>122.58</v>
      </c>
      <c r="D24" s="56">
        <f>297.941</f>
        <v>297.94099999999997</v>
      </c>
      <c r="E24" s="64">
        <f>89.177</f>
        <v>89.177000000000007</v>
      </c>
      <c r="F24" s="56">
        <f>240.302-40</f>
        <v>200.30199999999999</v>
      </c>
      <c r="G24" s="59">
        <v>40</v>
      </c>
      <c r="H24" s="56">
        <v>0</v>
      </c>
      <c r="I24" s="56">
        <v>0</v>
      </c>
      <c r="J24" s="59">
        <v>100</v>
      </c>
      <c r="K24" s="59">
        <v>300</v>
      </c>
      <c r="L24" s="56">
        <f t="shared" si="0"/>
        <v>1150</v>
      </c>
      <c r="M24" s="66"/>
      <c r="N24" s="56">
        <f>100</f>
        <v>100</v>
      </c>
      <c r="O24" s="59">
        <v>240</v>
      </c>
      <c r="P24" s="59">
        <v>0</v>
      </c>
      <c r="Q24" s="59">
        <f t="shared" si="1"/>
        <v>355</v>
      </c>
      <c r="R24" s="59">
        <f t="shared" si="2"/>
        <v>100</v>
      </c>
      <c r="S24" s="56">
        <f t="shared" si="3"/>
        <v>695</v>
      </c>
      <c r="T24" s="56">
        <f>50</f>
        <v>50</v>
      </c>
      <c r="U24" s="57"/>
      <c r="V24" s="57"/>
      <c r="W24" s="57"/>
      <c r="X24" s="57"/>
      <c r="Y24" s="57"/>
      <c r="Z24" s="57"/>
      <c r="AA24" s="57"/>
      <c r="AB24" s="57"/>
      <c r="AC24" s="57"/>
      <c r="AD24" s="57"/>
    </row>
    <row r="25" spans="1:30" ht="15.75">
      <c r="A25" s="16">
        <v>42036</v>
      </c>
      <c r="B25" s="69">
        <v>28</v>
      </c>
      <c r="C25" s="56">
        <f>122.58</f>
        <v>122.58</v>
      </c>
      <c r="D25" s="56">
        <f>297.941</f>
        <v>297.94099999999997</v>
      </c>
      <c r="E25" s="64">
        <f>89.177</f>
        <v>89.177000000000007</v>
      </c>
      <c r="F25" s="56">
        <f>240.302-40</f>
        <v>200.30199999999999</v>
      </c>
      <c r="G25" s="59">
        <v>40</v>
      </c>
      <c r="H25" s="56">
        <v>0</v>
      </c>
      <c r="I25" s="56">
        <v>0</v>
      </c>
      <c r="J25" s="59">
        <v>100</v>
      </c>
      <c r="K25" s="59">
        <v>300</v>
      </c>
      <c r="L25" s="56">
        <f t="shared" si="0"/>
        <v>1150</v>
      </c>
      <c r="M25" s="66"/>
      <c r="N25" s="56">
        <f>100</f>
        <v>100</v>
      </c>
      <c r="O25" s="59">
        <v>240</v>
      </c>
      <c r="P25" s="59">
        <v>0</v>
      </c>
      <c r="Q25" s="59">
        <f t="shared" si="1"/>
        <v>355</v>
      </c>
      <c r="R25" s="59">
        <f t="shared" si="2"/>
        <v>100</v>
      </c>
      <c r="S25" s="56">
        <f t="shared" si="3"/>
        <v>695</v>
      </c>
      <c r="T25" s="56">
        <f>50</f>
        <v>50</v>
      </c>
      <c r="U25" s="57"/>
      <c r="V25" s="57"/>
      <c r="W25" s="57"/>
      <c r="X25" s="57"/>
      <c r="Y25" s="57"/>
      <c r="Z25" s="57"/>
      <c r="AA25" s="57"/>
      <c r="AB25" s="57"/>
      <c r="AC25" s="57"/>
      <c r="AD25" s="57"/>
    </row>
    <row r="26" spans="1:30" ht="15.75">
      <c r="A26" s="16">
        <v>42064</v>
      </c>
      <c r="B26" s="69">
        <v>31</v>
      </c>
      <c r="C26" s="56">
        <f>122.58</f>
        <v>122.58</v>
      </c>
      <c r="D26" s="56">
        <f>297.941</f>
        <v>297.94099999999997</v>
      </c>
      <c r="E26" s="64">
        <f>89.177</f>
        <v>89.177000000000007</v>
      </c>
      <c r="F26" s="56">
        <f>240.302-40</f>
        <v>200.30199999999999</v>
      </c>
      <c r="G26" s="59">
        <v>40</v>
      </c>
      <c r="H26" s="56">
        <v>0</v>
      </c>
      <c r="I26" s="56">
        <v>0</v>
      </c>
      <c r="J26" s="59">
        <v>100</v>
      </c>
      <c r="K26" s="59">
        <v>300</v>
      </c>
      <c r="L26" s="56">
        <f t="shared" si="0"/>
        <v>1150</v>
      </c>
      <c r="M26" s="66"/>
      <c r="N26" s="56">
        <f>100</f>
        <v>100</v>
      </c>
      <c r="O26" s="59">
        <v>240</v>
      </c>
      <c r="P26" s="59">
        <v>0</v>
      </c>
      <c r="Q26" s="59">
        <f t="shared" si="1"/>
        <v>355</v>
      </c>
      <c r="R26" s="59">
        <f t="shared" si="2"/>
        <v>100</v>
      </c>
      <c r="S26" s="56">
        <f t="shared" si="3"/>
        <v>695</v>
      </c>
      <c r="T26" s="56">
        <f>50</f>
        <v>50</v>
      </c>
      <c r="U26" s="57"/>
      <c r="V26" s="57"/>
      <c r="W26" s="57"/>
      <c r="X26" s="57"/>
      <c r="Y26" s="57"/>
      <c r="Z26" s="57"/>
      <c r="AA26" s="57"/>
      <c r="AB26" s="57"/>
      <c r="AC26" s="57"/>
      <c r="AD26" s="57"/>
    </row>
    <row r="27" spans="1:30" ht="15.75">
      <c r="A27" s="16">
        <v>42095</v>
      </c>
      <c r="B27" s="69">
        <v>30</v>
      </c>
      <c r="C27" s="56">
        <f>141.293</f>
        <v>141.29300000000001</v>
      </c>
      <c r="D27" s="56">
        <f>267.993</f>
        <v>267.99299999999999</v>
      </c>
      <c r="E27" s="64">
        <f>115.016</f>
        <v>115.01600000000001</v>
      </c>
      <c r="F27" s="56">
        <f>314.698-40-25-60-100</f>
        <v>89.697999999999979</v>
      </c>
      <c r="G27" s="59">
        <v>40</v>
      </c>
      <c r="H27" s="56">
        <f t="shared" ref="H27:H33" si="4">25+60+100</f>
        <v>185</v>
      </c>
      <c r="I27" s="56">
        <v>0</v>
      </c>
      <c r="J27" s="59">
        <v>100</v>
      </c>
      <c r="K27" s="59">
        <v>300</v>
      </c>
      <c r="L27" s="56">
        <f t="shared" si="0"/>
        <v>1239</v>
      </c>
      <c r="M27" s="66"/>
      <c r="N27" s="56">
        <f>100</f>
        <v>100</v>
      </c>
      <c r="O27" s="59">
        <v>240</v>
      </c>
      <c r="P27" s="59">
        <f t="shared" ref="P27:P33" si="5">120+40</f>
        <v>160</v>
      </c>
      <c r="Q27" s="59">
        <f t="shared" si="1"/>
        <v>195</v>
      </c>
      <c r="R27" s="59">
        <f t="shared" si="2"/>
        <v>100</v>
      </c>
      <c r="S27" s="56">
        <f t="shared" si="3"/>
        <v>695</v>
      </c>
      <c r="T27" s="56">
        <f>50</f>
        <v>50</v>
      </c>
      <c r="U27" s="57"/>
      <c r="V27" s="57"/>
      <c r="W27" s="57"/>
      <c r="X27" s="57"/>
      <c r="Y27" s="57"/>
      <c r="Z27" s="57"/>
      <c r="AA27" s="57"/>
      <c r="AB27" s="57"/>
      <c r="AC27" s="57"/>
      <c r="AD27" s="57"/>
    </row>
    <row r="28" spans="1:30" ht="15.75">
      <c r="A28" s="16">
        <v>42125</v>
      </c>
      <c r="B28" s="69">
        <v>31</v>
      </c>
      <c r="C28" s="56">
        <f>194.205</f>
        <v>194.20500000000001</v>
      </c>
      <c r="D28" s="56">
        <f>267.466</f>
        <v>267.46600000000001</v>
      </c>
      <c r="E28" s="64">
        <f>133.845</f>
        <v>133.845</v>
      </c>
      <c r="F28" s="56">
        <f>278.484-40-25-60-100</f>
        <v>53.48399999999998</v>
      </c>
      <c r="G28" s="59">
        <v>40</v>
      </c>
      <c r="H28" s="56">
        <f t="shared" si="4"/>
        <v>185</v>
      </c>
      <c r="I28" s="70">
        <v>50</v>
      </c>
      <c r="J28" s="59">
        <v>100</v>
      </c>
      <c r="K28" s="59">
        <v>300</v>
      </c>
      <c r="L28" s="56">
        <f t="shared" si="0"/>
        <v>1324</v>
      </c>
      <c r="M28" s="66"/>
      <c r="N28" s="56">
        <f>75</f>
        <v>75</v>
      </c>
      <c r="O28" s="59">
        <v>240</v>
      </c>
      <c r="P28" s="59">
        <f t="shared" si="5"/>
        <v>160</v>
      </c>
      <c r="Q28" s="59">
        <f t="shared" si="1"/>
        <v>195</v>
      </c>
      <c r="R28" s="59">
        <f t="shared" si="2"/>
        <v>100</v>
      </c>
      <c r="S28" s="56">
        <f t="shared" si="3"/>
        <v>695</v>
      </c>
      <c r="T28" s="56">
        <f>50</f>
        <v>50</v>
      </c>
      <c r="U28" s="57"/>
      <c r="V28" s="57"/>
      <c r="W28" s="57"/>
      <c r="X28" s="57"/>
      <c r="Y28" s="57"/>
      <c r="Z28" s="57"/>
      <c r="AA28" s="57"/>
      <c r="AB28" s="57"/>
      <c r="AC28" s="57"/>
      <c r="AD28" s="57"/>
    </row>
    <row r="29" spans="1:30" ht="15.75">
      <c r="A29" s="16">
        <v>42156</v>
      </c>
      <c r="B29" s="69">
        <v>30</v>
      </c>
      <c r="C29" s="56">
        <f>194.205</f>
        <v>194.20500000000001</v>
      </c>
      <c r="D29" s="56">
        <f>267.466</f>
        <v>267.46600000000001</v>
      </c>
      <c r="E29" s="64">
        <f>133.845</f>
        <v>133.845</v>
      </c>
      <c r="F29" s="56">
        <f>278.484-40-25-60-100</f>
        <v>53.48399999999998</v>
      </c>
      <c r="G29" s="59">
        <v>40</v>
      </c>
      <c r="H29" s="56">
        <f t="shared" si="4"/>
        <v>185</v>
      </c>
      <c r="I29" s="70">
        <v>50</v>
      </c>
      <c r="J29" s="59">
        <v>100</v>
      </c>
      <c r="K29" s="59">
        <v>300</v>
      </c>
      <c r="L29" s="56">
        <f t="shared" si="0"/>
        <v>1324</v>
      </c>
      <c r="M29" s="66"/>
      <c r="N29" s="56">
        <f>30</f>
        <v>30</v>
      </c>
      <c r="O29" s="59">
        <v>240</v>
      </c>
      <c r="P29" s="59">
        <f t="shared" si="5"/>
        <v>160</v>
      </c>
      <c r="Q29" s="59">
        <f t="shared" si="1"/>
        <v>195</v>
      </c>
      <c r="R29" s="59">
        <f t="shared" si="2"/>
        <v>100</v>
      </c>
      <c r="S29" s="56">
        <f t="shared" si="3"/>
        <v>695</v>
      </c>
      <c r="T29" s="56">
        <f>50</f>
        <v>50</v>
      </c>
      <c r="U29" s="57"/>
      <c r="V29" s="57"/>
      <c r="W29" s="57"/>
      <c r="X29" s="57"/>
      <c r="Y29" s="57"/>
      <c r="Z29" s="57"/>
      <c r="AA29" s="57"/>
      <c r="AB29" s="57"/>
      <c r="AC29" s="57"/>
      <c r="AD29" s="57"/>
    </row>
    <row r="30" spans="1:30" ht="15.75">
      <c r="A30" s="16">
        <v>42186</v>
      </c>
      <c r="B30" s="69">
        <v>31</v>
      </c>
      <c r="C30" s="56">
        <f>194.205</f>
        <v>194.20500000000001</v>
      </c>
      <c r="D30" s="56">
        <f>267.466</f>
        <v>267.46600000000001</v>
      </c>
      <c r="E30" s="64">
        <f>133.845</f>
        <v>133.845</v>
      </c>
      <c r="F30" s="56">
        <f>278.484-40-25-60-100</f>
        <v>53.48399999999998</v>
      </c>
      <c r="G30" s="59">
        <v>40</v>
      </c>
      <c r="H30" s="56">
        <f t="shared" si="4"/>
        <v>185</v>
      </c>
      <c r="I30" s="70">
        <v>50</v>
      </c>
      <c r="J30" s="59">
        <v>100</v>
      </c>
      <c r="K30" s="59">
        <v>300</v>
      </c>
      <c r="L30" s="56">
        <f t="shared" si="0"/>
        <v>1324</v>
      </c>
      <c r="M30" s="66"/>
      <c r="N30" s="56">
        <f>30</f>
        <v>30</v>
      </c>
      <c r="O30" s="59">
        <v>240</v>
      </c>
      <c r="P30" s="59">
        <f t="shared" si="5"/>
        <v>160</v>
      </c>
      <c r="Q30" s="59">
        <f t="shared" si="1"/>
        <v>195</v>
      </c>
      <c r="R30" s="59">
        <f t="shared" si="2"/>
        <v>100</v>
      </c>
      <c r="S30" s="56">
        <f t="shared" si="3"/>
        <v>695</v>
      </c>
      <c r="T30" s="56">
        <f>0</f>
        <v>0</v>
      </c>
      <c r="U30" s="57"/>
      <c r="V30" s="57"/>
      <c r="W30" s="57"/>
      <c r="X30" s="57"/>
      <c r="Y30" s="57"/>
      <c r="Z30" s="57"/>
      <c r="AA30" s="57"/>
      <c r="AB30" s="57"/>
      <c r="AC30" s="57"/>
      <c r="AD30" s="57"/>
    </row>
    <row r="31" spans="1:30" ht="15.75">
      <c r="A31" s="16">
        <v>42217</v>
      </c>
      <c r="B31" s="69">
        <v>31</v>
      </c>
      <c r="C31" s="56">
        <f>194.205</f>
        <v>194.20500000000001</v>
      </c>
      <c r="D31" s="56">
        <f>267.466</f>
        <v>267.46600000000001</v>
      </c>
      <c r="E31" s="64">
        <f>133.845</f>
        <v>133.845</v>
      </c>
      <c r="F31" s="56">
        <f>278.484-40-25-60-100</f>
        <v>53.48399999999998</v>
      </c>
      <c r="G31" s="59">
        <v>40</v>
      </c>
      <c r="H31" s="56">
        <f t="shared" si="4"/>
        <v>185</v>
      </c>
      <c r="I31" s="70">
        <v>50</v>
      </c>
      <c r="J31" s="59">
        <v>100</v>
      </c>
      <c r="K31" s="59">
        <v>300</v>
      </c>
      <c r="L31" s="56">
        <f t="shared" si="0"/>
        <v>1324</v>
      </c>
      <c r="M31" s="66"/>
      <c r="N31" s="56">
        <f>30</f>
        <v>30</v>
      </c>
      <c r="O31" s="59">
        <v>240</v>
      </c>
      <c r="P31" s="59">
        <f t="shared" si="5"/>
        <v>160</v>
      </c>
      <c r="Q31" s="59">
        <f t="shared" si="1"/>
        <v>195</v>
      </c>
      <c r="R31" s="59">
        <f t="shared" si="2"/>
        <v>100</v>
      </c>
      <c r="S31" s="56">
        <f t="shared" si="3"/>
        <v>695</v>
      </c>
      <c r="T31" s="56">
        <f>0</f>
        <v>0</v>
      </c>
      <c r="U31" s="57"/>
      <c r="V31" s="57"/>
      <c r="W31" s="57"/>
      <c r="X31" s="57"/>
      <c r="Y31" s="57"/>
      <c r="Z31" s="57"/>
      <c r="AA31" s="57"/>
      <c r="AB31" s="57"/>
      <c r="AC31" s="57"/>
      <c r="AD31" s="57"/>
    </row>
    <row r="32" spans="1:30" ht="15.75">
      <c r="A32" s="16">
        <v>42248</v>
      </c>
      <c r="B32" s="69">
        <v>30</v>
      </c>
      <c r="C32" s="56">
        <f>194.205</f>
        <v>194.20500000000001</v>
      </c>
      <c r="D32" s="56">
        <f>267.466</f>
        <v>267.46600000000001</v>
      </c>
      <c r="E32" s="64">
        <f>133.845</f>
        <v>133.845</v>
      </c>
      <c r="F32" s="56">
        <f>278.484-40-25-60-100</f>
        <v>53.48399999999998</v>
      </c>
      <c r="G32" s="59">
        <v>40</v>
      </c>
      <c r="H32" s="56">
        <f t="shared" si="4"/>
        <v>185</v>
      </c>
      <c r="I32" s="70">
        <v>50</v>
      </c>
      <c r="J32" s="59">
        <v>100</v>
      </c>
      <c r="K32" s="59">
        <v>300</v>
      </c>
      <c r="L32" s="56">
        <f t="shared" si="0"/>
        <v>1324</v>
      </c>
      <c r="M32" s="66"/>
      <c r="N32" s="56">
        <f>30</f>
        <v>30</v>
      </c>
      <c r="O32" s="59">
        <v>240</v>
      </c>
      <c r="P32" s="59">
        <f t="shared" si="5"/>
        <v>160</v>
      </c>
      <c r="Q32" s="59">
        <f t="shared" si="1"/>
        <v>195</v>
      </c>
      <c r="R32" s="59">
        <f t="shared" si="2"/>
        <v>100</v>
      </c>
      <c r="S32" s="56">
        <f t="shared" si="3"/>
        <v>695</v>
      </c>
      <c r="T32" s="56">
        <f>0</f>
        <v>0</v>
      </c>
      <c r="U32" s="57"/>
      <c r="V32" s="57"/>
      <c r="W32" s="57"/>
      <c r="X32" s="57"/>
      <c r="Y32" s="57"/>
      <c r="Z32" s="57"/>
      <c r="AA32" s="57"/>
      <c r="AB32" s="57"/>
      <c r="AC32" s="57"/>
      <c r="AD32" s="57"/>
    </row>
    <row r="33" spans="1:30" ht="15.75">
      <c r="A33" s="16">
        <v>42278</v>
      </c>
      <c r="B33" s="69">
        <v>31</v>
      </c>
      <c r="C33" s="56">
        <f>131.881</f>
        <v>131.881</v>
      </c>
      <c r="D33" s="56">
        <f>277.167</f>
        <v>277.16699999999997</v>
      </c>
      <c r="E33" s="64">
        <f>79.08</f>
        <v>79.08</v>
      </c>
      <c r="F33" s="56">
        <f>350.872-40-25-60-100</f>
        <v>125.87200000000001</v>
      </c>
      <c r="G33" s="59">
        <v>40</v>
      </c>
      <c r="H33" s="56">
        <f t="shared" si="4"/>
        <v>185</v>
      </c>
      <c r="I33" s="56">
        <v>0</v>
      </c>
      <c r="J33" s="59">
        <v>100</v>
      </c>
      <c r="K33" s="59">
        <v>300</v>
      </c>
      <c r="L33" s="56">
        <f t="shared" si="0"/>
        <v>1239</v>
      </c>
      <c r="M33" s="66"/>
      <c r="N33" s="56">
        <f>75</f>
        <v>75</v>
      </c>
      <c r="O33" s="59">
        <v>240</v>
      </c>
      <c r="P33" s="59">
        <f t="shared" si="5"/>
        <v>160</v>
      </c>
      <c r="Q33" s="59">
        <f t="shared" si="1"/>
        <v>195</v>
      </c>
      <c r="R33" s="59">
        <f t="shared" si="2"/>
        <v>100</v>
      </c>
      <c r="S33" s="56">
        <f t="shared" si="3"/>
        <v>695</v>
      </c>
      <c r="T33" s="56">
        <f>0</f>
        <v>0</v>
      </c>
      <c r="U33" s="57"/>
      <c r="V33" s="57"/>
      <c r="W33" s="57"/>
      <c r="X33" s="57"/>
      <c r="Y33" s="57"/>
      <c r="Z33" s="57"/>
      <c r="AA33" s="57"/>
      <c r="AB33" s="57"/>
      <c r="AC33" s="57"/>
      <c r="AD33" s="57"/>
    </row>
    <row r="34" spans="1:30" ht="15.75">
      <c r="A34" s="16">
        <v>42309</v>
      </c>
      <c r="B34" s="69">
        <v>30</v>
      </c>
      <c r="C34" s="56">
        <f>122.58</f>
        <v>122.58</v>
      </c>
      <c r="D34" s="56">
        <f>297.941</f>
        <v>297.94099999999997</v>
      </c>
      <c r="E34" s="64">
        <f>89.177</f>
        <v>89.177000000000007</v>
      </c>
      <c r="F34" s="56">
        <f>240.302-40-60-100</f>
        <v>40.301999999999992</v>
      </c>
      <c r="G34" s="59">
        <v>40</v>
      </c>
      <c r="H34" s="56">
        <f>60+100</f>
        <v>160</v>
      </c>
      <c r="I34" s="56">
        <v>0</v>
      </c>
      <c r="J34" s="59">
        <v>100</v>
      </c>
      <c r="K34" s="59">
        <v>300</v>
      </c>
      <c r="L34" s="56">
        <f t="shared" si="0"/>
        <v>1150</v>
      </c>
      <c r="M34" s="66"/>
      <c r="N34" s="56">
        <f>100</f>
        <v>100</v>
      </c>
      <c r="O34" s="59">
        <v>240</v>
      </c>
      <c r="P34" s="59">
        <v>40</v>
      </c>
      <c r="Q34" s="59">
        <f t="shared" si="1"/>
        <v>315</v>
      </c>
      <c r="R34" s="59">
        <f t="shared" si="2"/>
        <v>100</v>
      </c>
      <c r="S34" s="56">
        <f t="shared" si="3"/>
        <v>695</v>
      </c>
      <c r="T34" s="56">
        <f>50</f>
        <v>50</v>
      </c>
      <c r="U34" s="57"/>
      <c r="V34" s="57"/>
      <c r="W34" s="57"/>
      <c r="X34" s="57"/>
      <c r="Y34" s="57"/>
      <c r="Z34" s="57"/>
      <c r="AA34" s="57"/>
      <c r="AB34" s="57"/>
      <c r="AC34" s="57"/>
      <c r="AD34" s="57"/>
    </row>
    <row r="35" spans="1:30" ht="15.75">
      <c r="A35" s="16">
        <v>42339</v>
      </c>
      <c r="B35" s="69">
        <v>31</v>
      </c>
      <c r="C35" s="56">
        <f>122.58</f>
        <v>122.58</v>
      </c>
      <c r="D35" s="56">
        <f>297.941</f>
        <v>297.94099999999997</v>
      </c>
      <c r="E35" s="64">
        <f>89.177</f>
        <v>89.177000000000007</v>
      </c>
      <c r="F35" s="56">
        <f>240.302-40-60-100</f>
        <v>40.301999999999992</v>
      </c>
      <c r="G35" s="59">
        <v>40</v>
      </c>
      <c r="H35" s="56">
        <f>60+100</f>
        <v>160</v>
      </c>
      <c r="I35" s="56">
        <v>0</v>
      </c>
      <c r="J35" s="59">
        <v>100</v>
      </c>
      <c r="K35" s="59">
        <v>300</v>
      </c>
      <c r="L35" s="56">
        <f t="shared" si="0"/>
        <v>1150</v>
      </c>
      <c r="M35" s="66"/>
      <c r="N35" s="56">
        <f>100</f>
        <v>100</v>
      </c>
      <c r="O35" s="59">
        <v>240</v>
      </c>
      <c r="P35" s="59">
        <v>40</v>
      </c>
      <c r="Q35" s="59">
        <f t="shared" si="1"/>
        <v>315</v>
      </c>
      <c r="R35" s="59">
        <f t="shared" si="2"/>
        <v>100</v>
      </c>
      <c r="S35" s="56">
        <f t="shared" si="3"/>
        <v>695</v>
      </c>
      <c r="T35" s="56">
        <f>50</f>
        <v>50</v>
      </c>
      <c r="U35" s="57"/>
      <c r="V35" s="57"/>
      <c r="W35" s="57"/>
      <c r="X35" s="57"/>
      <c r="Y35" s="57"/>
      <c r="Z35" s="57"/>
      <c r="AA35" s="57"/>
      <c r="AB35" s="57"/>
      <c r="AC35" s="57"/>
      <c r="AD35" s="57"/>
    </row>
    <row r="36" spans="1:30" ht="15.75">
      <c r="A36" s="16">
        <v>42370</v>
      </c>
      <c r="B36" s="69">
        <v>31</v>
      </c>
      <c r="C36" s="56">
        <f>122.58</f>
        <v>122.58</v>
      </c>
      <c r="D36" s="56">
        <f>297.941</f>
        <v>297.94099999999997</v>
      </c>
      <c r="E36" s="64">
        <f>89.177</f>
        <v>89.177000000000007</v>
      </c>
      <c r="F36" s="56">
        <f>240.302-40-60-100</f>
        <v>40.301999999999992</v>
      </c>
      <c r="G36" s="59">
        <v>40</v>
      </c>
      <c r="H36" s="56">
        <f>60+100</f>
        <v>160</v>
      </c>
      <c r="I36" s="56">
        <v>0</v>
      </c>
      <c r="J36" s="59">
        <v>100</v>
      </c>
      <c r="K36" s="59">
        <v>300</v>
      </c>
      <c r="L36" s="56">
        <f t="shared" si="0"/>
        <v>1150</v>
      </c>
      <c r="M36" s="66"/>
      <c r="N36" s="56">
        <f>100</f>
        <v>100</v>
      </c>
      <c r="O36" s="59">
        <v>240</v>
      </c>
      <c r="P36" s="59">
        <v>40</v>
      </c>
      <c r="Q36" s="59">
        <f t="shared" si="1"/>
        <v>315</v>
      </c>
      <c r="R36" s="59">
        <f t="shared" si="2"/>
        <v>100</v>
      </c>
      <c r="S36" s="56">
        <f t="shared" si="3"/>
        <v>695</v>
      </c>
      <c r="T36" s="56">
        <f>50</f>
        <v>50</v>
      </c>
      <c r="U36" s="57"/>
      <c r="V36" s="57"/>
      <c r="W36" s="57"/>
      <c r="X36" s="57"/>
      <c r="Y36" s="57"/>
      <c r="Z36" s="57"/>
      <c r="AA36" s="57"/>
      <c r="AB36" s="57"/>
      <c r="AC36" s="57"/>
      <c r="AD36" s="57"/>
    </row>
    <row r="37" spans="1:30" ht="15.75">
      <c r="A37" s="16">
        <v>42401</v>
      </c>
      <c r="B37" s="69">
        <v>29</v>
      </c>
      <c r="C37" s="56">
        <f>122.58</f>
        <v>122.58</v>
      </c>
      <c r="D37" s="56">
        <f>297.941</f>
        <v>297.94099999999997</v>
      </c>
      <c r="E37" s="64">
        <f>89.177</f>
        <v>89.177000000000007</v>
      </c>
      <c r="F37" s="56">
        <f>240.302-40-60-100</f>
        <v>40.301999999999992</v>
      </c>
      <c r="G37" s="59">
        <v>40</v>
      </c>
      <c r="H37" s="56">
        <f>60+100</f>
        <v>160</v>
      </c>
      <c r="I37" s="56">
        <v>0</v>
      </c>
      <c r="J37" s="59">
        <v>100</v>
      </c>
      <c r="K37" s="59">
        <v>300</v>
      </c>
      <c r="L37" s="56">
        <f t="shared" si="0"/>
        <v>1150</v>
      </c>
      <c r="M37" s="66"/>
      <c r="N37" s="56">
        <f>100</f>
        <v>100</v>
      </c>
      <c r="O37" s="59">
        <v>240</v>
      </c>
      <c r="P37" s="59">
        <v>40</v>
      </c>
      <c r="Q37" s="59">
        <f t="shared" si="1"/>
        <v>315</v>
      </c>
      <c r="R37" s="59">
        <f t="shared" si="2"/>
        <v>100</v>
      </c>
      <c r="S37" s="56">
        <f t="shared" si="3"/>
        <v>695</v>
      </c>
      <c r="T37" s="56">
        <f>50</f>
        <v>50</v>
      </c>
      <c r="U37" s="57"/>
      <c r="V37" s="57"/>
      <c r="W37" s="57"/>
      <c r="X37" s="57"/>
      <c r="Y37" s="57"/>
      <c r="Z37" s="57"/>
      <c r="AA37" s="57"/>
      <c r="AB37" s="57"/>
      <c r="AC37" s="57"/>
      <c r="AD37" s="57"/>
    </row>
    <row r="38" spans="1:30" ht="15.75">
      <c r="A38" s="16">
        <v>42430</v>
      </c>
      <c r="B38" s="69">
        <v>31</v>
      </c>
      <c r="C38" s="56">
        <f>122.58</f>
        <v>122.58</v>
      </c>
      <c r="D38" s="56">
        <f>297.941</f>
        <v>297.94099999999997</v>
      </c>
      <c r="E38" s="64">
        <f>89.177</f>
        <v>89.177000000000007</v>
      </c>
      <c r="F38" s="56">
        <f>240.302-40-60-100</f>
        <v>40.301999999999992</v>
      </c>
      <c r="G38" s="59">
        <v>40</v>
      </c>
      <c r="H38" s="56">
        <f>60+100</f>
        <v>160</v>
      </c>
      <c r="I38" s="56">
        <v>0</v>
      </c>
      <c r="J38" s="59">
        <v>100</v>
      </c>
      <c r="K38" s="59">
        <v>300</v>
      </c>
      <c r="L38" s="56">
        <f t="shared" si="0"/>
        <v>1150</v>
      </c>
      <c r="M38" s="66"/>
      <c r="N38" s="56">
        <f>100</f>
        <v>100</v>
      </c>
      <c r="O38" s="59">
        <v>240</v>
      </c>
      <c r="P38" s="59">
        <v>40</v>
      </c>
      <c r="Q38" s="59">
        <f t="shared" si="1"/>
        <v>315</v>
      </c>
      <c r="R38" s="59">
        <f t="shared" si="2"/>
        <v>100</v>
      </c>
      <c r="S38" s="56">
        <f t="shared" si="3"/>
        <v>695</v>
      </c>
      <c r="T38" s="56">
        <f>50</f>
        <v>50</v>
      </c>
      <c r="U38" s="57"/>
      <c r="V38" s="57"/>
      <c r="W38" s="57"/>
      <c r="X38" s="57"/>
      <c r="Y38" s="57"/>
      <c r="Z38" s="57"/>
      <c r="AA38" s="57"/>
      <c r="AB38" s="57"/>
      <c r="AC38" s="57"/>
      <c r="AD38" s="57"/>
    </row>
    <row r="39" spans="1:30" ht="15.75">
      <c r="A39" s="16">
        <v>42461</v>
      </c>
      <c r="B39" s="69">
        <v>30</v>
      </c>
      <c r="C39" s="56">
        <f>141.293</f>
        <v>141.29300000000001</v>
      </c>
      <c r="D39" s="56">
        <f>267.993</f>
        <v>267.99299999999999</v>
      </c>
      <c r="E39" s="64">
        <f>115.016</f>
        <v>115.01600000000001</v>
      </c>
      <c r="F39" s="56">
        <f>314.698-40-25-60-100</f>
        <v>89.697999999999979</v>
      </c>
      <c r="G39" s="59">
        <v>40</v>
      </c>
      <c r="H39" s="56">
        <f t="shared" ref="H39:H45" si="6">25+60+100</f>
        <v>185</v>
      </c>
      <c r="I39" s="56">
        <v>0</v>
      </c>
      <c r="J39" s="59">
        <v>100</v>
      </c>
      <c r="K39" s="59">
        <v>300</v>
      </c>
      <c r="L39" s="56">
        <f t="shared" si="0"/>
        <v>1239</v>
      </c>
      <c r="M39" s="66"/>
      <c r="N39" s="56">
        <f>100</f>
        <v>100</v>
      </c>
      <c r="O39" s="59">
        <v>240</v>
      </c>
      <c r="P39" s="59">
        <v>160</v>
      </c>
      <c r="Q39" s="59">
        <f t="shared" si="1"/>
        <v>195</v>
      </c>
      <c r="R39" s="59">
        <f t="shared" si="2"/>
        <v>100</v>
      </c>
      <c r="S39" s="56">
        <f t="shared" si="3"/>
        <v>695</v>
      </c>
      <c r="T39" s="56">
        <f>50</f>
        <v>50</v>
      </c>
      <c r="U39" s="57"/>
      <c r="V39" s="57"/>
      <c r="W39" s="57"/>
      <c r="X39" s="57"/>
      <c r="Y39" s="57"/>
      <c r="Z39" s="57"/>
      <c r="AA39" s="57"/>
      <c r="AB39" s="57"/>
      <c r="AC39" s="57"/>
      <c r="AD39" s="57"/>
    </row>
    <row r="40" spans="1:30" ht="15.75">
      <c r="A40" s="16">
        <v>42491</v>
      </c>
      <c r="B40" s="69">
        <v>31</v>
      </c>
      <c r="C40" s="56">
        <f>194.205</f>
        <v>194.20500000000001</v>
      </c>
      <c r="D40" s="56">
        <f>267.466</f>
        <v>267.46600000000001</v>
      </c>
      <c r="E40" s="64">
        <f>133.845</f>
        <v>133.845</v>
      </c>
      <c r="F40" s="56">
        <f>278.484-40-25-60-100</f>
        <v>53.48399999999998</v>
      </c>
      <c r="G40" s="59">
        <v>40</v>
      </c>
      <c r="H40" s="56">
        <f t="shared" si="6"/>
        <v>185</v>
      </c>
      <c r="I40" s="56">
        <f t="shared" ref="I40:I103" si="7">400-J40-K40</f>
        <v>0</v>
      </c>
      <c r="J40" s="59">
        <v>100</v>
      </c>
      <c r="K40" s="59">
        <v>300</v>
      </c>
      <c r="L40" s="56">
        <f t="shared" si="0"/>
        <v>1274</v>
      </c>
      <c r="M40" s="66"/>
      <c r="N40" s="56">
        <f>75</f>
        <v>75</v>
      </c>
      <c r="O40" s="59">
        <v>240</v>
      </c>
      <c r="P40" s="59">
        <v>160</v>
      </c>
      <c r="Q40" s="59">
        <f t="shared" si="1"/>
        <v>195</v>
      </c>
      <c r="R40" s="59">
        <f t="shared" si="2"/>
        <v>100</v>
      </c>
      <c r="S40" s="56">
        <f t="shared" si="3"/>
        <v>695</v>
      </c>
      <c r="T40" s="56">
        <f>50</f>
        <v>50</v>
      </c>
      <c r="U40" s="57"/>
      <c r="V40" s="57"/>
      <c r="W40" s="57"/>
      <c r="X40" s="57"/>
      <c r="Y40" s="57"/>
      <c r="Z40" s="57"/>
      <c r="AA40" s="57"/>
      <c r="AB40" s="57"/>
      <c r="AC40" s="57"/>
      <c r="AD40" s="57"/>
    </row>
    <row r="41" spans="1:30" ht="15.75">
      <c r="A41" s="16">
        <v>42522</v>
      </c>
      <c r="B41" s="69">
        <v>30</v>
      </c>
      <c r="C41" s="56">
        <f>194.205</f>
        <v>194.20500000000001</v>
      </c>
      <c r="D41" s="56">
        <f>267.466</f>
        <v>267.46600000000001</v>
      </c>
      <c r="E41" s="64">
        <f>133.845</f>
        <v>133.845</v>
      </c>
      <c r="F41" s="56">
        <f>278.484-40-25-60-100</f>
        <v>53.48399999999998</v>
      </c>
      <c r="G41" s="59">
        <v>40</v>
      </c>
      <c r="H41" s="56">
        <f t="shared" si="6"/>
        <v>185</v>
      </c>
      <c r="I41" s="56">
        <f t="shared" si="7"/>
        <v>0</v>
      </c>
      <c r="J41" s="59">
        <v>100</v>
      </c>
      <c r="K41" s="59">
        <v>300</v>
      </c>
      <c r="L41" s="56">
        <f t="shared" si="0"/>
        <v>1274</v>
      </c>
      <c r="M41" s="66"/>
      <c r="N41" s="56">
        <f>30</f>
        <v>30</v>
      </c>
      <c r="O41" s="59">
        <v>240</v>
      </c>
      <c r="P41" s="59">
        <v>160</v>
      </c>
      <c r="Q41" s="59">
        <f t="shared" si="1"/>
        <v>195</v>
      </c>
      <c r="R41" s="59">
        <f t="shared" si="2"/>
        <v>100</v>
      </c>
      <c r="S41" s="56">
        <f t="shared" si="3"/>
        <v>695</v>
      </c>
      <c r="T41" s="56">
        <f>50</f>
        <v>50</v>
      </c>
      <c r="U41" s="57"/>
      <c r="V41" s="57"/>
      <c r="W41" s="57"/>
      <c r="X41" s="57"/>
      <c r="Y41" s="57"/>
      <c r="Z41" s="57"/>
      <c r="AA41" s="57"/>
      <c r="AB41" s="57"/>
      <c r="AC41" s="57"/>
      <c r="AD41" s="57"/>
    </row>
    <row r="42" spans="1:30" ht="15.75">
      <c r="A42" s="16">
        <v>42552</v>
      </c>
      <c r="B42" s="69">
        <v>31</v>
      </c>
      <c r="C42" s="56">
        <f>194.205</f>
        <v>194.20500000000001</v>
      </c>
      <c r="D42" s="56">
        <f>267.466</f>
        <v>267.46600000000001</v>
      </c>
      <c r="E42" s="64">
        <f>133.845</f>
        <v>133.845</v>
      </c>
      <c r="F42" s="56">
        <f>278.484-40-25-60-100</f>
        <v>53.48399999999998</v>
      </c>
      <c r="G42" s="59">
        <v>40</v>
      </c>
      <c r="H42" s="56">
        <f t="shared" si="6"/>
        <v>185</v>
      </c>
      <c r="I42" s="56">
        <f t="shared" si="7"/>
        <v>0</v>
      </c>
      <c r="J42" s="59">
        <v>100</v>
      </c>
      <c r="K42" s="59">
        <v>300</v>
      </c>
      <c r="L42" s="56">
        <f t="shared" si="0"/>
        <v>1274</v>
      </c>
      <c r="M42" s="66"/>
      <c r="N42" s="56">
        <f>30</f>
        <v>30</v>
      </c>
      <c r="O42" s="59">
        <v>240</v>
      </c>
      <c r="P42" s="59">
        <v>160</v>
      </c>
      <c r="Q42" s="59">
        <f t="shared" si="1"/>
        <v>195</v>
      </c>
      <c r="R42" s="59">
        <f t="shared" si="2"/>
        <v>100</v>
      </c>
      <c r="S42" s="56">
        <f t="shared" si="3"/>
        <v>695</v>
      </c>
      <c r="T42" s="56">
        <f>0</f>
        <v>0</v>
      </c>
      <c r="U42" s="57"/>
      <c r="V42" s="57"/>
      <c r="W42" s="57"/>
      <c r="X42" s="57"/>
      <c r="Y42" s="57"/>
      <c r="Z42" s="57"/>
      <c r="AA42" s="57"/>
      <c r="AB42" s="57"/>
      <c r="AC42" s="57"/>
      <c r="AD42" s="57"/>
    </row>
    <row r="43" spans="1:30" ht="15.75">
      <c r="A43" s="16">
        <v>42583</v>
      </c>
      <c r="B43" s="69">
        <v>31</v>
      </c>
      <c r="C43" s="56">
        <f>194.205</f>
        <v>194.20500000000001</v>
      </c>
      <c r="D43" s="56">
        <f>267.466</f>
        <v>267.46600000000001</v>
      </c>
      <c r="E43" s="64">
        <f>133.845</f>
        <v>133.845</v>
      </c>
      <c r="F43" s="56">
        <f>278.484-40-25-60-100</f>
        <v>53.48399999999998</v>
      </c>
      <c r="G43" s="59">
        <v>40</v>
      </c>
      <c r="H43" s="56">
        <f t="shared" si="6"/>
        <v>185</v>
      </c>
      <c r="I43" s="56">
        <f t="shared" si="7"/>
        <v>0</v>
      </c>
      <c r="J43" s="59">
        <v>100</v>
      </c>
      <c r="K43" s="59">
        <v>300</v>
      </c>
      <c r="L43" s="56">
        <f t="shared" si="0"/>
        <v>1274</v>
      </c>
      <c r="M43" s="66"/>
      <c r="N43" s="56">
        <f>30</f>
        <v>30</v>
      </c>
      <c r="O43" s="59">
        <v>240</v>
      </c>
      <c r="P43" s="59">
        <v>160</v>
      </c>
      <c r="Q43" s="59">
        <f t="shared" si="1"/>
        <v>195</v>
      </c>
      <c r="R43" s="59">
        <f t="shared" si="2"/>
        <v>100</v>
      </c>
      <c r="S43" s="56">
        <f t="shared" si="3"/>
        <v>695</v>
      </c>
      <c r="T43" s="56">
        <f>0</f>
        <v>0</v>
      </c>
      <c r="U43" s="57"/>
      <c r="V43" s="57"/>
      <c r="W43" s="57"/>
      <c r="X43" s="57"/>
      <c r="Y43" s="57"/>
      <c r="Z43" s="57"/>
      <c r="AA43" s="57"/>
      <c r="AB43" s="57"/>
      <c r="AC43" s="57"/>
      <c r="AD43" s="57"/>
    </row>
    <row r="44" spans="1:30" ht="15.75">
      <c r="A44" s="16">
        <v>42614</v>
      </c>
      <c r="B44" s="69">
        <v>30</v>
      </c>
      <c r="C44" s="56">
        <f>194.205</f>
        <v>194.20500000000001</v>
      </c>
      <c r="D44" s="56">
        <f>267.466</f>
        <v>267.46600000000001</v>
      </c>
      <c r="E44" s="64">
        <f>133.845</f>
        <v>133.845</v>
      </c>
      <c r="F44" s="56">
        <f>278.484-40-25-60-100</f>
        <v>53.48399999999998</v>
      </c>
      <c r="G44" s="59">
        <v>40</v>
      </c>
      <c r="H44" s="56">
        <f t="shared" si="6"/>
        <v>185</v>
      </c>
      <c r="I44" s="56">
        <f t="shared" si="7"/>
        <v>0</v>
      </c>
      <c r="J44" s="59">
        <v>100</v>
      </c>
      <c r="K44" s="59">
        <v>300</v>
      </c>
      <c r="L44" s="56">
        <f t="shared" si="0"/>
        <v>1274</v>
      </c>
      <c r="M44" s="66"/>
      <c r="N44" s="56">
        <f>30</f>
        <v>30</v>
      </c>
      <c r="O44" s="59">
        <v>240</v>
      </c>
      <c r="P44" s="59">
        <v>160</v>
      </c>
      <c r="Q44" s="59">
        <f t="shared" si="1"/>
        <v>195</v>
      </c>
      <c r="R44" s="59">
        <f t="shared" si="2"/>
        <v>100</v>
      </c>
      <c r="S44" s="56">
        <f t="shared" si="3"/>
        <v>695</v>
      </c>
      <c r="T44" s="56">
        <f>0</f>
        <v>0</v>
      </c>
      <c r="U44" s="57"/>
      <c r="V44" s="57"/>
      <c r="W44" s="57"/>
      <c r="X44" s="57"/>
      <c r="Y44" s="57"/>
      <c r="Z44" s="57"/>
      <c r="AA44" s="57"/>
      <c r="AB44" s="57"/>
      <c r="AC44" s="57"/>
      <c r="AD44" s="57"/>
    </row>
    <row r="45" spans="1:30" ht="15.75">
      <c r="A45" s="16">
        <v>42644</v>
      </c>
      <c r="B45" s="69">
        <v>31</v>
      </c>
      <c r="C45" s="56">
        <f>131.881</f>
        <v>131.881</v>
      </c>
      <c r="D45" s="56">
        <f>277.167</f>
        <v>277.16699999999997</v>
      </c>
      <c r="E45" s="64">
        <f>79.08</f>
        <v>79.08</v>
      </c>
      <c r="F45" s="56">
        <f>350.872-40-25-60-100</f>
        <v>125.87200000000001</v>
      </c>
      <c r="G45" s="59">
        <v>40</v>
      </c>
      <c r="H45" s="56">
        <f t="shared" si="6"/>
        <v>185</v>
      </c>
      <c r="I45" s="56">
        <f t="shared" si="7"/>
        <v>0</v>
      </c>
      <c r="J45" s="59">
        <v>100</v>
      </c>
      <c r="K45" s="59">
        <v>300</v>
      </c>
      <c r="L45" s="56">
        <f t="shared" si="0"/>
        <v>1239</v>
      </c>
      <c r="M45" s="66"/>
      <c r="N45" s="56">
        <f>75</f>
        <v>75</v>
      </c>
      <c r="O45" s="59">
        <v>240</v>
      </c>
      <c r="P45" s="59">
        <v>160</v>
      </c>
      <c r="Q45" s="59">
        <f t="shared" si="1"/>
        <v>195</v>
      </c>
      <c r="R45" s="59">
        <f t="shared" si="2"/>
        <v>100</v>
      </c>
      <c r="S45" s="56">
        <f t="shared" si="3"/>
        <v>695</v>
      </c>
      <c r="T45" s="56">
        <f>0</f>
        <v>0</v>
      </c>
      <c r="U45" s="57"/>
      <c r="V45" s="57"/>
      <c r="W45" s="57"/>
      <c r="X45" s="57"/>
      <c r="Y45" s="57"/>
      <c r="Z45" s="57"/>
      <c r="AA45" s="57"/>
      <c r="AB45" s="57"/>
      <c r="AC45" s="57"/>
      <c r="AD45" s="57"/>
    </row>
    <row r="46" spans="1:30" ht="15.75">
      <c r="A46" s="16">
        <v>42675</v>
      </c>
      <c r="B46" s="69">
        <v>30</v>
      </c>
      <c r="C46" s="56">
        <f>122.58</f>
        <v>122.58</v>
      </c>
      <c r="D46" s="56">
        <f>297.941</f>
        <v>297.94099999999997</v>
      </c>
      <c r="E46" s="64">
        <f>89.177</f>
        <v>89.177000000000007</v>
      </c>
      <c r="F46" s="56">
        <f>240.302-40-60-100</f>
        <v>40.301999999999992</v>
      </c>
      <c r="G46" s="59">
        <v>40</v>
      </c>
      <c r="H46" s="56">
        <f>60+100</f>
        <v>160</v>
      </c>
      <c r="I46" s="56">
        <f t="shared" si="7"/>
        <v>0</v>
      </c>
      <c r="J46" s="59">
        <v>100</v>
      </c>
      <c r="K46" s="59">
        <v>300</v>
      </c>
      <c r="L46" s="56">
        <f t="shared" si="0"/>
        <v>1150</v>
      </c>
      <c r="M46" s="66"/>
      <c r="N46" s="56">
        <f>100</f>
        <v>100</v>
      </c>
      <c r="O46" s="59">
        <v>240</v>
      </c>
      <c r="P46" s="59">
        <v>40</v>
      </c>
      <c r="Q46" s="59">
        <f t="shared" si="1"/>
        <v>315</v>
      </c>
      <c r="R46" s="59">
        <f t="shared" si="2"/>
        <v>100</v>
      </c>
      <c r="S46" s="56">
        <f t="shared" si="3"/>
        <v>695</v>
      </c>
      <c r="T46" s="56">
        <f>50</f>
        <v>50</v>
      </c>
      <c r="U46" s="57"/>
      <c r="V46" s="57"/>
      <c r="W46" s="57"/>
      <c r="X46" s="57"/>
      <c r="Y46" s="57"/>
      <c r="Z46" s="57"/>
      <c r="AA46" s="57"/>
      <c r="AB46" s="57"/>
      <c r="AC46" s="57"/>
      <c r="AD46" s="57"/>
    </row>
    <row r="47" spans="1:30" ht="15.75">
      <c r="A47" s="16">
        <v>42705</v>
      </c>
      <c r="B47" s="69">
        <v>31</v>
      </c>
      <c r="C47" s="56">
        <f>122.58</f>
        <v>122.58</v>
      </c>
      <c r="D47" s="56">
        <f>297.941</f>
        <v>297.94099999999997</v>
      </c>
      <c r="E47" s="64">
        <f>89.177</f>
        <v>89.177000000000007</v>
      </c>
      <c r="F47" s="56">
        <f>240.302-40-60-100</f>
        <v>40.301999999999992</v>
      </c>
      <c r="G47" s="59">
        <v>40</v>
      </c>
      <c r="H47" s="56">
        <f>60+100</f>
        <v>160</v>
      </c>
      <c r="I47" s="56">
        <f t="shared" si="7"/>
        <v>0</v>
      </c>
      <c r="J47" s="59">
        <v>100</v>
      </c>
      <c r="K47" s="59">
        <v>300</v>
      </c>
      <c r="L47" s="56">
        <f t="shared" si="0"/>
        <v>1150</v>
      </c>
      <c r="M47" s="66"/>
      <c r="N47" s="56">
        <f>100</f>
        <v>100</v>
      </c>
      <c r="O47" s="59">
        <v>240</v>
      </c>
      <c r="P47" s="59">
        <v>40</v>
      </c>
      <c r="Q47" s="59">
        <f t="shared" si="1"/>
        <v>315</v>
      </c>
      <c r="R47" s="59">
        <f t="shared" si="2"/>
        <v>100</v>
      </c>
      <c r="S47" s="56">
        <f t="shared" si="3"/>
        <v>695</v>
      </c>
      <c r="T47" s="56">
        <f>50</f>
        <v>50</v>
      </c>
      <c r="U47" s="57"/>
      <c r="V47" s="57"/>
      <c r="W47" s="57"/>
      <c r="X47" s="57"/>
      <c r="Y47" s="57"/>
      <c r="Z47" s="57"/>
      <c r="AA47" s="57"/>
      <c r="AB47" s="57"/>
      <c r="AC47" s="57"/>
      <c r="AD47" s="57"/>
    </row>
    <row r="48" spans="1:30" ht="15.75">
      <c r="A48" s="16">
        <v>42736</v>
      </c>
      <c r="B48" s="69">
        <v>31</v>
      </c>
      <c r="C48" s="56">
        <f>122.58</f>
        <v>122.58</v>
      </c>
      <c r="D48" s="56">
        <f>297.941</f>
        <v>297.94099999999997</v>
      </c>
      <c r="E48" s="64">
        <f>89.177</f>
        <v>89.177000000000007</v>
      </c>
      <c r="F48" s="56">
        <f>240.302-40-60-100</f>
        <v>40.301999999999992</v>
      </c>
      <c r="G48" s="59">
        <v>40</v>
      </c>
      <c r="H48" s="56">
        <f>60+100</f>
        <v>160</v>
      </c>
      <c r="I48" s="56">
        <f t="shared" si="7"/>
        <v>0</v>
      </c>
      <c r="J48" s="59">
        <v>100</v>
      </c>
      <c r="K48" s="59">
        <v>300</v>
      </c>
      <c r="L48" s="56">
        <f t="shared" si="0"/>
        <v>1150</v>
      </c>
      <c r="M48" s="66"/>
      <c r="N48" s="56">
        <f>100</f>
        <v>100</v>
      </c>
      <c r="O48" s="59">
        <v>240</v>
      </c>
      <c r="P48" s="59">
        <v>40</v>
      </c>
      <c r="Q48" s="59">
        <f t="shared" si="1"/>
        <v>315</v>
      </c>
      <c r="R48" s="59">
        <f t="shared" si="2"/>
        <v>100</v>
      </c>
      <c r="S48" s="56">
        <f t="shared" si="3"/>
        <v>695</v>
      </c>
      <c r="T48" s="56">
        <f>50</f>
        <v>50</v>
      </c>
      <c r="U48" s="57"/>
      <c r="V48" s="57"/>
      <c r="W48" s="57"/>
      <c r="X48" s="57"/>
      <c r="Y48" s="57"/>
      <c r="Z48" s="57"/>
      <c r="AA48" s="57"/>
      <c r="AB48" s="57"/>
      <c r="AC48" s="57"/>
      <c r="AD48" s="57"/>
    </row>
    <row r="49" spans="1:30" ht="15.75">
      <c r="A49" s="16">
        <v>42767</v>
      </c>
      <c r="B49" s="69">
        <v>28</v>
      </c>
      <c r="C49" s="56">
        <f>122.58</f>
        <v>122.58</v>
      </c>
      <c r="D49" s="56">
        <f>297.941</f>
        <v>297.94099999999997</v>
      </c>
      <c r="E49" s="64">
        <f>89.177</f>
        <v>89.177000000000007</v>
      </c>
      <c r="F49" s="56">
        <f>240.302-40-60-100</f>
        <v>40.301999999999992</v>
      </c>
      <c r="G49" s="59">
        <v>40</v>
      </c>
      <c r="H49" s="56">
        <f>60+100</f>
        <v>160</v>
      </c>
      <c r="I49" s="56">
        <f t="shared" si="7"/>
        <v>0</v>
      </c>
      <c r="J49" s="59">
        <v>100</v>
      </c>
      <c r="K49" s="59">
        <v>300</v>
      </c>
      <c r="L49" s="56">
        <f t="shared" si="0"/>
        <v>1150</v>
      </c>
      <c r="M49" s="66"/>
      <c r="N49" s="56">
        <f>100</f>
        <v>100</v>
      </c>
      <c r="O49" s="59">
        <v>240</v>
      </c>
      <c r="P49" s="59">
        <v>40</v>
      </c>
      <c r="Q49" s="59">
        <f t="shared" si="1"/>
        <v>315</v>
      </c>
      <c r="R49" s="59">
        <f t="shared" si="2"/>
        <v>100</v>
      </c>
      <c r="S49" s="56">
        <f t="shared" si="3"/>
        <v>695</v>
      </c>
      <c r="T49" s="56">
        <f>50</f>
        <v>50</v>
      </c>
      <c r="U49" s="57"/>
      <c r="V49" s="57"/>
      <c r="W49" s="57"/>
      <c r="X49" s="57"/>
      <c r="Y49" s="57"/>
      <c r="Z49" s="57"/>
      <c r="AA49" s="57"/>
      <c r="AB49" s="57"/>
      <c r="AC49" s="57"/>
      <c r="AD49" s="57"/>
    </row>
    <row r="50" spans="1:30" ht="15.75">
      <c r="A50" s="16">
        <v>42795</v>
      </c>
      <c r="B50" s="69">
        <v>31</v>
      </c>
      <c r="C50" s="56">
        <f>122.58</f>
        <v>122.58</v>
      </c>
      <c r="D50" s="56">
        <f>297.941</f>
        <v>297.94099999999997</v>
      </c>
      <c r="E50" s="64">
        <f>89.177</f>
        <v>89.177000000000007</v>
      </c>
      <c r="F50" s="56">
        <f>240.302-40-60-100</f>
        <v>40.301999999999992</v>
      </c>
      <c r="G50" s="59">
        <v>40</v>
      </c>
      <c r="H50" s="56">
        <f>60+100</f>
        <v>160</v>
      </c>
      <c r="I50" s="56">
        <f t="shared" si="7"/>
        <v>0</v>
      </c>
      <c r="J50" s="59">
        <v>100</v>
      </c>
      <c r="K50" s="59">
        <v>300</v>
      </c>
      <c r="L50" s="56">
        <f t="shared" si="0"/>
        <v>1150</v>
      </c>
      <c r="M50" s="66"/>
      <c r="N50" s="56">
        <f>100</f>
        <v>100</v>
      </c>
      <c r="O50" s="59">
        <v>240</v>
      </c>
      <c r="P50" s="59">
        <v>40</v>
      </c>
      <c r="Q50" s="59">
        <f t="shared" si="1"/>
        <v>315</v>
      </c>
      <c r="R50" s="59">
        <f t="shared" si="2"/>
        <v>100</v>
      </c>
      <c r="S50" s="56">
        <f t="shared" si="3"/>
        <v>695</v>
      </c>
      <c r="T50" s="56">
        <f>50</f>
        <v>50</v>
      </c>
      <c r="U50" s="57"/>
      <c r="V50" s="57"/>
      <c r="W50" s="57"/>
      <c r="X50" s="57"/>
      <c r="Y50" s="57"/>
      <c r="Z50" s="57"/>
      <c r="AA50" s="57"/>
      <c r="AB50" s="57"/>
      <c r="AC50" s="57"/>
      <c r="AD50" s="57"/>
    </row>
    <row r="51" spans="1:30" ht="15.75">
      <c r="A51" s="16">
        <v>42826</v>
      </c>
      <c r="B51" s="69">
        <v>30</v>
      </c>
      <c r="C51" s="56">
        <f>141.293</f>
        <v>141.29300000000001</v>
      </c>
      <c r="D51" s="56">
        <f>267.993</f>
        <v>267.99299999999999</v>
      </c>
      <c r="E51" s="64">
        <f>115.016</f>
        <v>115.01600000000001</v>
      </c>
      <c r="F51" s="56">
        <f>314.698-40-25-60-100</f>
        <v>89.697999999999979</v>
      </c>
      <c r="G51" s="59">
        <v>40</v>
      </c>
      <c r="H51" s="56">
        <f t="shared" ref="H51:H57" si="8">25+60+100</f>
        <v>185</v>
      </c>
      <c r="I51" s="56">
        <f t="shared" si="7"/>
        <v>0</v>
      </c>
      <c r="J51" s="59">
        <v>100</v>
      </c>
      <c r="K51" s="59">
        <v>300</v>
      </c>
      <c r="L51" s="56">
        <f t="shared" si="0"/>
        <v>1239</v>
      </c>
      <c r="M51" s="66"/>
      <c r="N51" s="56">
        <f>100</f>
        <v>100</v>
      </c>
      <c r="O51" s="59">
        <v>240</v>
      </c>
      <c r="P51" s="59">
        <v>160</v>
      </c>
      <c r="Q51" s="59">
        <f t="shared" si="1"/>
        <v>195</v>
      </c>
      <c r="R51" s="59">
        <f t="shared" si="2"/>
        <v>100</v>
      </c>
      <c r="S51" s="56">
        <f t="shared" si="3"/>
        <v>695</v>
      </c>
      <c r="T51" s="56">
        <f>50</f>
        <v>50</v>
      </c>
      <c r="U51" s="57"/>
      <c r="V51" s="57"/>
      <c r="W51" s="57"/>
      <c r="X51" s="57"/>
      <c r="Y51" s="57"/>
      <c r="Z51" s="57"/>
      <c r="AA51" s="57"/>
      <c r="AB51" s="57"/>
      <c r="AC51" s="57"/>
      <c r="AD51" s="57"/>
    </row>
    <row r="52" spans="1:30" ht="15.75">
      <c r="A52" s="16">
        <v>42856</v>
      </c>
      <c r="B52" s="69">
        <v>31</v>
      </c>
      <c r="C52" s="56">
        <f>194.205</f>
        <v>194.20500000000001</v>
      </c>
      <c r="D52" s="56">
        <f>267.466</f>
        <v>267.46600000000001</v>
      </c>
      <c r="E52" s="64">
        <f>133.845</f>
        <v>133.845</v>
      </c>
      <c r="F52" s="56">
        <f>278.484-40-25-60-100</f>
        <v>53.48399999999998</v>
      </c>
      <c r="G52" s="59">
        <v>40</v>
      </c>
      <c r="H52" s="56">
        <f t="shared" si="8"/>
        <v>185</v>
      </c>
      <c r="I52" s="56">
        <f t="shared" si="7"/>
        <v>0</v>
      </c>
      <c r="J52" s="59">
        <v>100</v>
      </c>
      <c r="K52" s="59">
        <v>300</v>
      </c>
      <c r="L52" s="56">
        <f t="shared" si="0"/>
        <v>1274</v>
      </c>
      <c r="M52" s="66">
        <v>400</v>
      </c>
      <c r="N52" s="56">
        <f>75</f>
        <v>75</v>
      </c>
      <c r="O52" s="59">
        <v>240</v>
      </c>
      <c r="P52" s="59">
        <v>160</v>
      </c>
      <c r="Q52" s="59">
        <f t="shared" si="1"/>
        <v>195</v>
      </c>
      <c r="R52" s="59">
        <f t="shared" si="2"/>
        <v>100</v>
      </c>
      <c r="S52" s="56">
        <f t="shared" si="3"/>
        <v>695</v>
      </c>
      <c r="T52" s="56">
        <f>50</f>
        <v>50</v>
      </c>
      <c r="U52" s="57"/>
      <c r="V52" s="57"/>
      <c r="W52" s="57"/>
      <c r="X52" s="57"/>
      <c r="Y52" s="57"/>
      <c r="Z52" s="57"/>
      <c r="AA52" s="57"/>
      <c r="AB52" s="57"/>
      <c r="AC52" s="57"/>
      <c r="AD52" s="57"/>
    </row>
    <row r="53" spans="1:30" ht="15.75">
      <c r="A53" s="16">
        <v>42887</v>
      </c>
      <c r="B53" s="69">
        <v>30</v>
      </c>
      <c r="C53" s="56">
        <f>194.205</f>
        <v>194.20500000000001</v>
      </c>
      <c r="D53" s="56">
        <f>267.466</f>
        <v>267.46600000000001</v>
      </c>
      <c r="E53" s="64">
        <f>133.845</f>
        <v>133.845</v>
      </c>
      <c r="F53" s="56">
        <f>278.484-40-25-60-100</f>
        <v>53.48399999999998</v>
      </c>
      <c r="G53" s="59">
        <v>40</v>
      </c>
      <c r="H53" s="56">
        <f t="shared" si="8"/>
        <v>185</v>
      </c>
      <c r="I53" s="56">
        <f t="shared" si="7"/>
        <v>0</v>
      </c>
      <c r="J53" s="59">
        <v>100</v>
      </c>
      <c r="K53" s="59">
        <v>300</v>
      </c>
      <c r="L53" s="56">
        <f t="shared" si="0"/>
        <v>1274</v>
      </c>
      <c r="M53" s="66">
        <v>400</v>
      </c>
      <c r="N53" s="56">
        <f>30</f>
        <v>30</v>
      </c>
      <c r="O53" s="59">
        <v>240</v>
      </c>
      <c r="P53" s="59">
        <v>160</v>
      </c>
      <c r="Q53" s="59">
        <f t="shared" si="1"/>
        <v>195</v>
      </c>
      <c r="R53" s="59">
        <f t="shared" si="2"/>
        <v>100</v>
      </c>
      <c r="S53" s="56">
        <f t="shared" si="3"/>
        <v>695</v>
      </c>
      <c r="T53" s="56">
        <f>50</f>
        <v>50</v>
      </c>
      <c r="U53" s="57"/>
      <c r="V53" s="57"/>
      <c r="W53" s="57"/>
      <c r="X53" s="57"/>
      <c r="Y53" s="57"/>
      <c r="Z53" s="57"/>
      <c r="AA53" s="57"/>
      <c r="AB53" s="57"/>
      <c r="AC53" s="57"/>
      <c r="AD53" s="57"/>
    </row>
    <row r="54" spans="1:30" ht="15.75">
      <c r="A54" s="16">
        <v>42917</v>
      </c>
      <c r="B54" s="69">
        <v>31</v>
      </c>
      <c r="C54" s="56">
        <f>194.205</f>
        <v>194.20500000000001</v>
      </c>
      <c r="D54" s="56">
        <f>267.466</f>
        <v>267.46600000000001</v>
      </c>
      <c r="E54" s="64">
        <f>133.845</f>
        <v>133.845</v>
      </c>
      <c r="F54" s="56">
        <f>278.484-40-25-60-100</f>
        <v>53.48399999999998</v>
      </c>
      <c r="G54" s="59">
        <v>40</v>
      </c>
      <c r="H54" s="56">
        <f t="shared" si="8"/>
        <v>185</v>
      </c>
      <c r="I54" s="56">
        <f t="shared" si="7"/>
        <v>0</v>
      </c>
      <c r="J54" s="59">
        <v>100</v>
      </c>
      <c r="K54" s="59">
        <v>300</v>
      </c>
      <c r="L54" s="56">
        <f t="shared" si="0"/>
        <v>1274</v>
      </c>
      <c r="M54" s="66">
        <v>400</v>
      </c>
      <c r="N54" s="56">
        <f>30</f>
        <v>30</v>
      </c>
      <c r="O54" s="59">
        <v>240</v>
      </c>
      <c r="P54" s="59">
        <v>160</v>
      </c>
      <c r="Q54" s="59">
        <f t="shared" si="1"/>
        <v>195</v>
      </c>
      <c r="R54" s="59">
        <f t="shared" si="2"/>
        <v>100</v>
      </c>
      <c r="S54" s="56">
        <f t="shared" si="3"/>
        <v>695</v>
      </c>
      <c r="T54" s="56">
        <f>0</f>
        <v>0</v>
      </c>
      <c r="U54" s="57"/>
      <c r="V54" s="57"/>
      <c r="W54" s="57"/>
      <c r="X54" s="57"/>
      <c r="Y54" s="57"/>
      <c r="Z54" s="57"/>
      <c r="AA54" s="57"/>
      <c r="AB54" s="57"/>
      <c r="AC54" s="57"/>
      <c r="AD54" s="57"/>
    </row>
    <row r="55" spans="1:30" ht="15.75">
      <c r="A55" s="16">
        <v>42948</v>
      </c>
      <c r="B55" s="69">
        <v>31</v>
      </c>
      <c r="C55" s="56">
        <f>194.205</f>
        <v>194.20500000000001</v>
      </c>
      <c r="D55" s="56">
        <f>267.466</f>
        <v>267.46600000000001</v>
      </c>
      <c r="E55" s="64">
        <f>133.845</f>
        <v>133.845</v>
      </c>
      <c r="F55" s="56">
        <f>278.484-40-25-60-100</f>
        <v>53.48399999999998</v>
      </c>
      <c r="G55" s="59">
        <v>40</v>
      </c>
      <c r="H55" s="56">
        <f t="shared" si="8"/>
        <v>185</v>
      </c>
      <c r="I55" s="56">
        <f t="shared" si="7"/>
        <v>0</v>
      </c>
      <c r="J55" s="59">
        <v>100</v>
      </c>
      <c r="K55" s="59">
        <v>300</v>
      </c>
      <c r="L55" s="56">
        <f t="shared" si="0"/>
        <v>1274</v>
      </c>
      <c r="M55" s="66">
        <v>400</v>
      </c>
      <c r="N55" s="56">
        <f>30</f>
        <v>30</v>
      </c>
      <c r="O55" s="59">
        <v>240</v>
      </c>
      <c r="P55" s="59">
        <v>160</v>
      </c>
      <c r="Q55" s="59">
        <f t="shared" si="1"/>
        <v>195</v>
      </c>
      <c r="R55" s="59">
        <f t="shared" si="2"/>
        <v>100</v>
      </c>
      <c r="S55" s="56">
        <f t="shared" si="3"/>
        <v>695</v>
      </c>
      <c r="T55" s="56">
        <f>0</f>
        <v>0</v>
      </c>
      <c r="U55" s="57"/>
      <c r="V55" s="57"/>
      <c r="W55" s="57"/>
      <c r="X55" s="57"/>
      <c r="Y55" s="57"/>
      <c r="Z55" s="57"/>
      <c r="AA55" s="57"/>
      <c r="AB55" s="57"/>
      <c r="AC55" s="57"/>
      <c r="AD55" s="57"/>
    </row>
    <row r="56" spans="1:30" ht="15.75">
      <c r="A56" s="16">
        <v>42979</v>
      </c>
      <c r="B56" s="69">
        <v>30</v>
      </c>
      <c r="C56" s="56">
        <f>194.205</f>
        <v>194.20500000000001</v>
      </c>
      <c r="D56" s="56">
        <f>267.466</f>
        <v>267.46600000000001</v>
      </c>
      <c r="E56" s="64">
        <f>133.845</f>
        <v>133.845</v>
      </c>
      <c r="F56" s="56">
        <f>278.484-40-25-60-100</f>
        <v>53.48399999999998</v>
      </c>
      <c r="G56" s="59">
        <v>40</v>
      </c>
      <c r="H56" s="56">
        <f t="shared" si="8"/>
        <v>185</v>
      </c>
      <c r="I56" s="56">
        <f t="shared" si="7"/>
        <v>0</v>
      </c>
      <c r="J56" s="59">
        <v>100</v>
      </c>
      <c r="K56" s="59">
        <v>300</v>
      </c>
      <c r="L56" s="56">
        <f t="shared" si="0"/>
        <v>1274</v>
      </c>
      <c r="M56" s="66">
        <v>400</v>
      </c>
      <c r="N56" s="56">
        <f>30</f>
        <v>30</v>
      </c>
      <c r="O56" s="59">
        <v>240</v>
      </c>
      <c r="P56" s="59">
        <v>160</v>
      </c>
      <c r="Q56" s="59">
        <f t="shared" si="1"/>
        <v>195</v>
      </c>
      <c r="R56" s="59">
        <f t="shared" si="2"/>
        <v>100</v>
      </c>
      <c r="S56" s="56">
        <f t="shared" si="3"/>
        <v>695</v>
      </c>
      <c r="T56" s="56">
        <f>0</f>
        <v>0</v>
      </c>
      <c r="U56" s="57"/>
      <c r="V56" s="57"/>
      <c r="W56" s="57"/>
      <c r="X56" s="57"/>
      <c r="Y56" s="57"/>
      <c r="Z56" s="57"/>
      <c r="AA56" s="57"/>
      <c r="AB56" s="57"/>
      <c r="AC56" s="57"/>
      <c r="AD56" s="57"/>
    </row>
    <row r="57" spans="1:30" ht="15.75">
      <c r="A57" s="16">
        <v>43009</v>
      </c>
      <c r="B57" s="69">
        <v>31</v>
      </c>
      <c r="C57" s="56">
        <f>131.881</f>
        <v>131.881</v>
      </c>
      <c r="D57" s="56">
        <f>277.167</f>
        <v>277.16699999999997</v>
      </c>
      <c r="E57" s="64">
        <f>79.08</f>
        <v>79.08</v>
      </c>
      <c r="F57" s="56">
        <f>350.872-40-25-60-100</f>
        <v>125.87200000000001</v>
      </c>
      <c r="G57" s="59">
        <v>40</v>
      </c>
      <c r="H57" s="56">
        <f t="shared" si="8"/>
        <v>185</v>
      </c>
      <c r="I57" s="56">
        <f t="shared" si="7"/>
        <v>0</v>
      </c>
      <c r="J57" s="59">
        <v>100</v>
      </c>
      <c r="K57" s="59">
        <v>300</v>
      </c>
      <c r="L57" s="56">
        <f t="shared" si="0"/>
        <v>1239</v>
      </c>
      <c r="M57" s="66">
        <v>400</v>
      </c>
      <c r="N57" s="56">
        <f>75</f>
        <v>75</v>
      </c>
      <c r="O57" s="59">
        <v>240</v>
      </c>
      <c r="P57" s="59">
        <v>160</v>
      </c>
      <c r="Q57" s="59">
        <f t="shared" si="1"/>
        <v>195</v>
      </c>
      <c r="R57" s="59">
        <f t="shared" si="2"/>
        <v>100</v>
      </c>
      <c r="S57" s="56">
        <f t="shared" si="3"/>
        <v>695</v>
      </c>
      <c r="T57" s="56">
        <f>0</f>
        <v>0</v>
      </c>
      <c r="U57" s="57"/>
      <c r="V57" s="57"/>
      <c r="W57" s="57"/>
      <c r="X57" s="57"/>
      <c r="Y57" s="57"/>
      <c r="Z57" s="57"/>
      <c r="AA57" s="57"/>
      <c r="AB57" s="57"/>
      <c r="AC57" s="57"/>
      <c r="AD57" s="57"/>
    </row>
    <row r="58" spans="1:30" ht="15.75">
      <c r="A58" s="16">
        <v>43040</v>
      </c>
      <c r="B58" s="69">
        <v>30</v>
      </c>
      <c r="C58" s="56">
        <f>122.58</f>
        <v>122.58</v>
      </c>
      <c r="D58" s="56">
        <f>297.941</f>
        <v>297.94099999999997</v>
      </c>
      <c r="E58" s="64">
        <f>89.177</f>
        <v>89.177000000000007</v>
      </c>
      <c r="F58" s="56">
        <f>240.302-40-60-100</f>
        <v>40.301999999999992</v>
      </c>
      <c r="G58" s="59">
        <v>40</v>
      </c>
      <c r="H58" s="56">
        <f>60+100</f>
        <v>160</v>
      </c>
      <c r="I58" s="56">
        <f t="shared" si="7"/>
        <v>0</v>
      </c>
      <c r="J58" s="59">
        <v>100</v>
      </c>
      <c r="K58" s="59">
        <v>300</v>
      </c>
      <c r="L58" s="56">
        <f t="shared" si="0"/>
        <v>1150</v>
      </c>
      <c r="M58" s="66">
        <v>400</v>
      </c>
      <c r="N58" s="56">
        <f>100</f>
        <v>100</v>
      </c>
      <c r="O58" s="59">
        <v>240</v>
      </c>
      <c r="P58" s="59">
        <v>40</v>
      </c>
      <c r="Q58" s="59">
        <f t="shared" si="1"/>
        <v>315</v>
      </c>
      <c r="R58" s="59">
        <f t="shared" si="2"/>
        <v>100</v>
      </c>
      <c r="S58" s="56">
        <f t="shared" si="3"/>
        <v>695</v>
      </c>
      <c r="T58" s="56">
        <f>50</f>
        <v>50</v>
      </c>
      <c r="U58" s="57"/>
      <c r="V58" s="57"/>
      <c r="W58" s="57"/>
      <c r="X58" s="57"/>
      <c r="Y58" s="57"/>
      <c r="Z58" s="57"/>
      <c r="AA58" s="57"/>
      <c r="AB58" s="57"/>
      <c r="AC58" s="57"/>
      <c r="AD58" s="57"/>
    </row>
    <row r="59" spans="1:30" ht="15.75">
      <c r="A59" s="16">
        <v>43070</v>
      </c>
      <c r="B59" s="69">
        <v>31</v>
      </c>
      <c r="C59" s="56">
        <f>122.58</f>
        <v>122.58</v>
      </c>
      <c r="D59" s="56">
        <f>297.941</f>
        <v>297.94099999999997</v>
      </c>
      <c r="E59" s="64">
        <f>89.177</f>
        <v>89.177000000000007</v>
      </c>
      <c r="F59" s="56">
        <f>240.302-40-60-100</f>
        <v>40.301999999999992</v>
      </c>
      <c r="G59" s="59">
        <v>40</v>
      </c>
      <c r="H59" s="56">
        <f>60+100</f>
        <v>160</v>
      </c>
      <c r="I59" s="56">
        <f t="shared" si="7"/>
        <v>0</v>
      </c>
      <c r="J59" s="59">
        <v>100</v>
      </c>
      <c r="K59" s="59">
        <v>300</v>
      </c>
      <c r="L59" s="56">
        <f t="shared" si="0"/>
        <v>1150</v>
      </c>
      <c r="M59" s="66">
        <v>400</v>
      </c>
      <c r="N59" s="56">
        <f>100</f>
        <v>100</v>
      </c>
      <c r="O59" s="59">
        <v>240</v>
      </c>
      <c r="P59" s="59">
        <v>40</v>
      </c>
      <c r="Q59" s="59">
        <f t="shared" si="1"/>
        <v>315</v>
      </c>
      <c r="R59" s="59">
        <f t="shared" si="2"/>
        <v>100</v>
      </c>
      <c r="S59" s="56">
        <f t="shared" si="3"/>
        <v>695</v>
      </c>
      <c r="T59" s="56">
        <f>50</f>
        <v>50</v>
      </c>
      <c r="U59" s="57"/>
      <c r="V59" s="57"/>
      <c r="W59" s="57"/>
      <c r="X59" s="57"/>
      <c r="Y59" s="57"/>
      <c r="Z59" s="57"/>
      <c r="AA59" s="57"/>
      <c r="AB59" s="57"/>
      <c r="AC59" s="57"/>
      <c r="AD59" s="57"/>
    </row>
    <row r="60" spans="1:30" ht="15.75">
      <c r="A60" s="16">
        <v>43101</v>
      </c>
      <c r="B60" s="69">
        <v>31</v>
      </c>
      <c r="C60" s="56">
        <f>122.58</f>
        <v>122.58</v>
      </c>
      <c r="D60" s="56">
        <f>297.941</f>
        <v>297.94099999999997</v>
      </c>
      <c r="E60" s="64">
        <f>89.177</f>
        <v>89.177000000000007</v>
      </c>
      <c r="F60" s="56">
        <f>240.302-40-60-100</f>
        <v>40.301999999999992</v>
      </c>
      <c r="G60" s="59">
        <v>40</v>
      </c>
      <c r="H60" s="56">
        <f>60+100</f>
        <v>160</v>
      </c>
      <c r="I60" s="56">
        <f t="shared" si="7"/>
        <v>0</v>
      </c>
      <c r="J60" s="59">
        <v>100</v>
      </c>
      <c r="K60" s="59">
        <v>300</v>
      </c>
      <c r="L60" s="56">
        <f t="shared" si="0"/>
        <v>1150</v>
      </c>
      <c r="M60" s="66">
        <v>400</v>
      </c>
      <c r="N60" s="56">
        <f>100</f>
        <v>100</v>
      </c>
      <c r="O60" s="59">
        <v>240</v>
      </c>
      <c r="P60" s="59">
        <v>40</v>
      </c>
      <c r="Q60" s="59">
        <f t="shared" si="1"/>
        <v>315</v>
      </c>
      <c r="R60" s="59">
        <f t="shared" si="2"/>
        <v>100</v>
      </c>
      <c r="S60" s="56">
        <f t="shared" si="3"/>
        <v>695</v>
      </c>
      <c r="T60" s="56">
        <f>50</f>
        <v>50</v>
      </c>
      <c r="U60" s="57"/>
      <c r="V60" s="57"/>
      <c r="W60" s="57"/>
      <c r="X60" s="57"/>
      <c r="Y60" s="57"/>
      <c r="Z60" s="57"/>
      <c r="AA60" s="57"/>
      <c r="AB60" s="57"/>
      <c r="AC60" s="57"/>
      <c r="AD60" s="57"/>
    </row>
    <row r="61" spans="1:30" ht="15.75">
      <c r="A61" s="16">
        <v>43132</v>
      </c>
      <c r="B61" s="69">
        <v>28</v>
      </c>
      <c r="C61" s="56">
        <f>122.58</f>
        <v>122.58</v>
      </c>
      <c r="D61" s="56">
        <f>297.941</f>
        <v>297.94099999999997</v>
      </c>
      <c r="E61" s="64">
        <f>89.177</f>
        <v>89.177000000000007</v>
      </c>
      <c r="F61" s="56">
        <f>240.302-40-60-100</f>
        <v>40.301999999999992</v>
      </c>
      <c r="G61" s="59">
        <v>40</v>
      </c>
      <c r="H61" s="56">
        <f>60+100</f>
        <v>160</v>
      </c>
      <c r="I61" s="56">
        <f t="shared" si="7"/>
        <v>0</v>
      </c>
      <c r="J61" s="59">
        <v>100</v>
      </c>
      <c r="K61" s="59">
        <v>300</v>
      </c>
      <c r="L61" s="56">
        <f t="shared" si="0"/>
        <v>1150</v>
      </c>
      <c r="M61" s="66">
        <v>400</v>
      </c>
      <c r="N61" s="56">
        <f>100</f>
        <v>100</v>
      </c>
      <c r="O61" s="59">
        <v>240</v>
      </c>
      <c r="P61" s="59">
        <v>40</v>
      </c>
      <c r="Q61" s="59">
        <f t="shared" si="1"/>
        <v>315</v>
      </c>
      <c r="R61" s="59">
        <f t="shared" si="2"/>
        <v>100</v>
      </c>
      <c r="S61" s="56">
        <f t="shared" si="3"/>
        <v>695</v>
      </c>
      <c r="T61" s="56">
        <f>50</f>
        <v>50</v>
      </c>
      <c r="U61" s="57"/>
      <c r="V61" s="57"/>
      <c r="W61" s="57"/>
      <c r="X61" s="57"/>
      <c r="Y61" s="57"/>
      <c r="Z61" s="57"/>
      <c r="AA61" s="57"/>
      <c r="AB61" s="57"/>
      <c r="AC61" s="57"/>
      <c r="AD61" s="57"/>
    </row>
    <row r="62" spans="1:30" ht="15.75">
      <c r="A62" s="16">
        <v>43160</v>
      </c>
      <c r="B62" s="69">
        <v>31</v>
      </c>
      <c r="C62" s="56">
        <f>122.58</f>
        <v>122.58</v>
      </c>
      <c r="D62" s="56">
        <f>297.941</f>
        <v>297.94099999999997</v>
      </c>
      <c r="E62" s="64">
        <f>89.177</f>
        <v>89.177000000000007</v>
      </c>
      <c r="F62" s="56">
        <f>240.302-40-60-100</f>
        <v>40.301999999999992</v>
      </c>
      <c r="G62" s="59">
        <v>40</v>
      </c>
      <c r="H62" s="56">
        <f>60+100</f>
        <v>160</v>
      </c>
      <c r="I62" s="56">
        <f t="shared" si="7"/>
        <v>0</v>
      </c>
      <c r="J62" s="59">
        <v>100</v>
      </c>
      <c r="K62" s="59">
        <v>300</v>
      </c>
      <c r="L62" s="56">
        <f t="shared" si="0"/>
        <v>1150</v>
      </c>
      <c r="M62" s="66">
        <v>400</v>
      </c>
      <c r="N62" s="56">
        <f>100</f>
        <v>100</v>
      </c>
      <c r="O62" s="59">
        <v>240</v>
      </c>
      <c r="P62" s="59">
        <v>40</v>
      </c>
      <c r="Q62" s="59">
        <f t="shared" si="1"/>
        <v>315</v>
      </c>
      <c r="R62" s="59">
        <f t="shared" si="2"/>
        <v>100</v>
      </c>
      <c r="S62" s="56">
        <f t="shared" si="3"/>
        <v>695</v>
      </c>
      <c r="T62" s="56">
        <f>50</f>
        <v>50</v>
      </c>
      <c r="U62" s="57"/>
      <c r="V62" s="57"/>
      <c r="W62" s="57"/>
      <c r="X62" s="57"/>
      <c r="Y62" s="57"/>
      <c r="Z62" s="57"/>
      <c r="AA62" s="57"/>
      <c r="AB62" s="57"/>
      <c r="AC62" s="57"/>
      <c r="AD62" s="57"/>
    </row>
    <row r="63" spans="1:30" ht="15.75">
      <c r="A63" s="16">
        <v>43191</v>
      </c>
      <c r="B63" s="69">
        <v>30</v>
      </c>
      <c r="C63" s="56">
        <f>141.293</f>
        <v>141.29300000000001</v>
      </c>
      <c r="D63" s="56">
        <f>267.993</f>
        <v>267.99299999999999</v>
      </c>
      <c r="E63" s="64">
        <f>115.016</f>
        <v>115.01600000000001</v>
      </c>
      <c r="F63" s="56">
        <f>314.698-40-25-60-100</f>
        <v>89.697999999999979</v>
      </c>
      <c r="G63" s="59">
        <v>40</v>
      </c>
      <c r="H63" s="56">
        <f t="shared" ref="H63:H69" si="9">25+60+100</f>
        <v>185</v>
      </c>
      <c r="I63" s="56">
        <f t="shared" si="7"/>
        <v>0</v>
      </c>
      <c r="J63" s="59">
        <v>100</v>
      </c>
      <c r="K63" s="59">
        <v>300</v>
      </c>
      <c r="L63" s="56">
        <f t="shared" si="0"/>
        <v>1239</v>
      </c>
      <c r="M63" s="66">
        <v>400</v>
      </c>
      <c r="N63" s="56">
        <f>100</f>
        <v>100</v>
      </c>
      <c r="O63" s="59">
        <v>240</v>
      </c>
      <c r="P63" s="59">
        <v>160</v>
      </c>
      <c r="Q63" s="59">
        <f t="shared" si="1"/>
        <v>195</v>
      </c>
      <c r="R63" s="59">
        <f t="shared" si="2"/>
        <v>100</v>
      </c>
      <c r="S63" s="56">
        <f t="shared" si="3"/>
        <v>695</v>
      </c>
      <c r="T63" s="56">
        <f>50</f>
        <v>50</v>
      </c>
      <c r="U63" s="57"/>
      <c r="V63" s="57"/>
      <c r="W63" s="57"/>
      <c r="X63" s="57"/>
      <c r="Y63" s="57"/>
      <c r="Z63" s="57"/>
      <c r="AA63" s="57"/>
      <c r="AB63" s="57"/>
      <c r="AC63" s="57"/>
      <c r="AD63" s="57"/>
    </row>
    <row r="64" spans="1:30" ht="15.75">
      <c r="A64" s="16">
        <v>43221</v>
      </c>
      <c r="B64" s="69">
        <v>31</v>
      </c>
      <c r="C64" s="56">
        <f>194.205</f>
        <v>194.20500000000001</v>
      </c>
      <c r="D64" s="56">
        <f>267.466</f>
        <v>267.46600000000001</v>
      </c>
      <c r="E64" s="64">
        <f>133.845</f>
        <v>133.845</v>
      </c>
      <c r="F64" s="56">
        <f>278.484-40-25-60-100</f>
        <v>53.48399999999998</v>
      </c>
      <c r="G64" s="59">
        <v>40</v>
      </c>
      <c r="H64" s="56">
        <f t="shared" si="9"/>
        <v>185</v>
      </c>
      <c r="I64" s="56">
        <f t="shared" si="7"/>
        <v>0</v>
      </c>
      <c r="J64" s="59">
        <v>100</v>
      </c>
      <c r="K64" s="59">
        <v>300</v>
      </c>
      <c r="L64" s="56">
        <f t="shared" si="0"/>
        <v>1274</v>
      </c>
      <c r="M64" s="66">
        <v>400</v>
      </c>
      <c r="N64" s="56">
        <f>75</f>
        <v>75</v>
      </c>
      <c r="O64" s="59">
        <v>240</v>
      </c>
      <c r="P64" s="59">
        <v>160</v>
      </c>
      <c r="Q64" s="59">
        <f t="shared" si="1"/>
        <v>195</v>
      </c>
      <c r="R64" s="59">
        <f t="shared" si="2"/>
        <v>100</v>
      </c>
      <c r="S64" s="56">
        <f t="shared" si="3"/>
        <v>695</v>
      </c>
      <c r="T64" s="56">
        <f>50</f>
        <v>50</v>
      </c>
      <c r="U64" s="57"/>
      <c r="V64" s="57"/>
      <c r="W64" s="57"/>
      <c r="X64" s="57"/>
      <c r="Y64" s="57"/>
      <c r="Z64" s="57"/>
      <c r="AA64" s="57"/>
      <c r="AB64" s="57"/>
      <c r="AC64" s="57"/>
      <c r="AD64" s="57"/>
    </row>
    <row r="65" spans="1:30" ht="15.75">
      <c r="A65" s="16">
        <v>43252</v>
      </c>
      <c r="B65" s="69">
        <v>30</v>
      </c>
      <c r="C65" s="56">
        <f>194.205</f>
        <v>194.20500000000001</v>
      </c>
      <c r="D65" s="56">
        <f>267.466</f>
        <v>267.46600000000001</v>
      </c>
      <c r="E65" s="64">
        <f>133.845</f>
        <v>133.845</v>
      </c>
      <c r="F65" s="56">
        <f>278.484-40-25-60-100</f>
        <v>53.48399999999998</v>
      </c>
      <c r="G65" s="59">
        <v>40</v>
      </c>
      <c r="H65" s="56">
        <f t="shared" si="9"/>
        <v>185</v>
      </c>
      <c r="I65" s="56">
        <f t="shared" si="7"/>
        <v>0</v>
      </c>
      <c r="J65" s="59">
        <v>100</v>
      </c>
      <c r="K65" s="59">
        <v>300</v>
      </c>
      <c r="L65" s="56">
        <f t="shared" si="0"/>
        <v>1274</v>
      </c>
      <c r="M65" s="66">
        <v>400</v>
      </c>
      <c r="N65" s="56">
        <f>30</f>
        <v>30</v>
      </c>
      <c r="O65" s="59">
        <v>240</v>
      </c>
      <c r="P65" s="59">
        <v>160</v>
      </c>
      <c r="Q65" s="59">
        <f t="shared" si="1"/>
        <v>195</v>
      </c>
      <c r="R65" s="59">
        <f t="shared" si="2"/>
        <v>100</v>
      </c>
      <c r="S65" s="56">
        <f t="shared" si="3"/>
        <v>695</v>
      </c>
      <c r="T65" s="56">
        <f>50</f>
        <v>50</v>
      </c>
      <c r="U65" s="57"/>
      <c r="V65" s="57"/>
      <c r="W65" s="57"/>
      <c r="X65" s="57"/>
      <c r="Y65" s="57"/>
      <c r="Z65" s="57"/>
      <c r="AA65" s="57"/>
      <c r="AB65" s="57"/>
      <c r="AC65" s="57"/>
      <c r="AD65" s="57"/>
    </row>
    <row r="66" spans="1:30" ht="15.75">
      <c r="A66" s="16">
        <v>43282</v>
      </c>
      <c r="B66" s="69">
        <v>31</v>
      </c>
      <c r="C66" s="56">
        <f>194.205</f>
        <v>194.20500000000001</v>
      </c>
      <c r="D66" s="56">
        <f>267.466</f>
        <v>267.46600000000001</v>
      </c>
      <c r="E66" s="64">
        <f>133.845</f>
        <v>133.845</v>
      </c>
      <c r="F66" s="56">
        <f>278.484-40-25-60-100</f>
        <v>53.48399999999998</v>
      </c>
      <c r="G66" s="59">
        <v>40</v>
      </c>
      <c r="H66" s="56">
        <f t="shared" si="9"/>
        <v>185</v>
      </c>
      <c r="I66" s="56">
        <f t="shared" si="7"/>
        <v>0</v>
      </c>
      <c r="J66" s="59">
        <v>100</v>
      </c>
      <c r="K66" s="59">
        <v>300</v>
      </c>
      <c r="L66" s="56">
        <f t="shared" si="0"/>
        <v>1274</v>
      </c>
      <c r="M66" s="66">
        <v>400</v>
      </c>
      <c r="N66" s="56">
        <f>30</f>
        <v>30</v>
      </c>
      <c r="O66" s="59">
        <v>240</v>
      </c>
      <c r="P66" s="59">
        <v>160</v>
      </c>
      <c r="Q66" s="59">
        <f t="shared" si="1"/>
        <v>195</v>
      </c>
      <c r="R66" s="59">
        <f t="shared" si="2"/>
        <v>100</v>
      </c>
      <c r="S66" s="56">
        <f t="shared" si="3"/>
        <v>695</v>
      </c>
      <c r="T66" s="56">
        <f>0</f>
        <v>0</v>
      </c>
      <c r="U66" s="57"/>
      <c r="V66" s="57"/>
      <c r="W66" s="57"/>
      <c r="X66" s="57"/>
      <c r="Y66" s="57"/>
      <c r="Z66" s="57"/>
      <c r="AA66" s="57"/>
      <c r="AB66" s="57"/>
      <c r="AC66" s="57"/>
      <c r="AD66" s="57"/>
    </row>
    <row r="67" spans="1:30" ht="15.75">
      <c r="A67" s="16">
        <v>43313</v>
      </c>
      <c r="B67" s="69">
        <v>31</v>
      </c>
      <c r="C67" s="56">
        <f>194.205</f>
        <v>194.20500000000001</v>
      </c>
      <c r="D67" s="56">
        <f>267.466</f>
        <v>267.46600000000001</v>
      </c>
      <c r="E67" s="64">
        <f>133.845</f>
        <v>133.845</v>
      </c>
      <c r="F67" s="56">
        <f>278.484-40-25-60-100</f>
        <v>53.48399999999998</v>
      </c>
      <c r="G67" s="59">
        <v>40</v>
      </c>
      <c r="H67" s="56">
        <f t="shared" si="9"/>
        <v>185</v>
      </c>
      <c r="I67" s="56">
        <f t="shared" si="7"/>
        <v>0</v>
      </c>
      <c r="J67" s="59">
        <v>100</v>
      </c>
      <c r="K67" s="59">
        <v>300</v>
      </c>
      <c r="L67" s="56">
        <f t="shared" si="0"/>
        <v>1274</v>
      </c>
      <c r="M67" s="66">
        <v>400</v>
      </c>
      <c r="N67" s="56">
        <f>30</f>
        <v>30</v>
      </c>
      <c r="O67" s="59">
        <v>240</v>
      </c>
      <c r="P67" s="59">
        <v>160</v>
      </c>
      <c r="Q67" s="59">
        <f t="shared" si="1"/>
        <v>195</v>
      </c>
      <c r="R67" s="59">
        <f t="shared" si="2"/>
        <v>100</v>
      </c>
      <c r="S67" s="56">
        <f t="shared" si="3"/>
        <v>695</v>
      </c>
      <c r="T67" s="56">
        <f>0</f>
        <v>0</v>
      </c>
      <c r="U67" s="57"/>
      <c r="V67" s="57"/>
      <c r="W67" s="57"/>
      <c r="X67" s="57"/>
      <c r="Y67" s="57"/>
      <c r="Z67" s="57"/>
      <c r="AA67" s="57"/>
      <c r="AB67" s="57"/>
      <c r="AC67" s="57"/>
      <c r="AD67" s="57"/>
    </row>
    <row r="68" spans="1:30" ht="15.75">
      <c r="A68" s="16">
        <v>43344</v>
      </c>
      <c r="B68" s="69">
        <v>30</v>
      </c>
      <c r="C68" s="56">
        <f>194.205</f>
        <v>194.20500000000001</v>
      </c>
      <c r="D68" s="56">
        <f>267.466</f>
        <v>267.46600000000001</v>
      </c>
      <c r="E68" s="64">
        <f>133.845</f>
        <v>133.845</v>
      </c>
      <c r="F68" s="56">
        <f>278.484-40-25-60-100</f>
        <v>53.48399999999998</v>
      </c>
      <c r="G68" s="59">
        <v>40</v>
      </c>
      <c r="H68" s="56">
        <f t="shared" si="9"/>
        <v>185</v>
      </c>
      <c r="I68" s="56">
        <f t="shared" si="7"/>
        <v>0</v>
      </c>
      <c r="J68" s="59">
        <v>100</v>
      </c>
      <c r="K68" s="59">
        <v>300</v>
      </c>
      <c r="L68" s="56">
        <f t="shared" si="0"/>
        <v>1274</v>
      </c>
      <c r="M68" s="66">
        <v>400</v>
      </c>
      <c r="N68" s="56">
        <f>30</f>
        <v>30</v>
      </c>
      <c r="O68" s="59">
        <v>240</v>
      </c>
      <c r="P68" s="59">
        <v>160</v>
      </c>
      <c r="Q68" s="59">
        <f t="shared" si="1"/>
        <v>195</v>
      </c>
      <c r="R68" s="59">
        <f t="shared" si="2"/>
        <v>100</v>
      </c>
      <c r="S68" s="56">
        <f t="shared" si="3"/>
        <v>695</v>
      </c>
      <c r="T68" s="56">
        <f>0</f>
        <v>0</v>
      </c>
      <c r="U68" s="57"/>
      <c r="V68" s="57"/>
      <c r="W68" s="57"/>
      <c r="X68" s="57"/>
      <c r="Y68" s="57"/>
      <c r="Z68" s="57"/>
      <c r="AA68" s="57"/>
      <c r="AB68" s="57"/>
      <c r="AC68" s="57"/>
      <c r="AD68" s="57"/>
    </row>
    <row r="69" spans="1:30" ht="15.75">
      <c r="A69" s="16">
        <v>43374</v>
      </c>
      <c r="B69" s="69">
        <v>31</v>
      </c>
      <c r="C69" s="56">
        <f>131.881</f>
        <v>131.881</v>
      </c>
      <c r="D69" s="56">
        <f>277.167</f>
        <v>277.16699999999997</v>
      </c>
      <c r="E69" s="64">
        <f>79.08</f>
        <v>79.08</v>
      </c>
      <c r="F69" s="56">
        <f>350.872-40-25-60-100</f>
        <v>125.87200000000001</v>
      </c>
      <c r="G69" s="59">
        <v>40</v>
      </c>
      <c r="H69" s="56">
        <f t="shared" si="9"/>
        <v>185</v>
      </c>
      <c r="I69" s="56">
        <f t="shared" si="7"/>
        <v>0</v>
      </c>
      <c r="J69" s="59">
        <v>100</v>
      </c>
      <c r="K69" s="59">
        <v>300</v>
      </c>
      <c r="L69" s="56">
        <f t="shared" si="0"/>
        <v>1239</v>
      </c>
      <c r="M69" s="66">
        <v>400</v>
      </c>
      <c r="N69" s="56">
        <f>75</f>
        <v>75</v>
      </c>
      <c r="O69" s="59">
        <v>240</v>
      </c>
      <c r="P69" s="59">
        <v>160</v>
      </c>
      <c r="Q69" s="59">
        <f t="shared" si="1"/>
        <v>195</v>
      </c>
      <c r="R69" s="59">
        <f t="shared" si="2"/>
        <v>100</v>
      </c>
      <c r="S69" s="56">
        <f t="shared" si="3"/>
        <v>695</v>
      </c>
      <c r="T69" s="56">
        <f>0</f>
        <v>0</v>
      </c>
      <c r="U69" s="57"/>
      <c r="V69" s="57"/>
      <c r="W69" s="57"/>
      <c r="X69" s="57"/>
      <c r="Y69" s="57"/>
      <c r="Z69" s="57"/>
      <c r="AA69" s="57"/>
      <c r="AB69" s="57"/>
      <c r="AC69" s="57"/>
      <c r="AD69" s="57"/>
    </row>
    <row r="70" spans="1:30" ht="15.75">
      <c r="A70" s="16">
        <v>43405</v>
      </c>
      <c r="B70" s="69">
        <v>30</v>
      </c>
      <c r="C70" s="56">
        <f>122.58</f>
        <v>122.58</v>
      </c>
      <c r="D70" s="56">
        <f>297.941</f>
        <v>297.94099999999997</v>
      </c>
      <c r="E70" s="64">
        <f>89.177</f>
        <v>89.177000000000007</v>
      </c>
      <c r="F70" s="56">
        <f>240.302-40-60-100</f>
        <v>40.301999999999992</v>
      </c>
      <c r="G70" s="59">
        <v>40</v>
      </c>
      <c r="H70" s="56">
        <f>60+100</f>
        <v>160</v>
      </c>
      <c r="I70" s="56">
        <f t="shared" si="7"/>
        <v>0</v>
      </c>
      <c r="J70" s="59">
        <v>100</v>
      </c>
      <c r="K70" s="59">
        <v>300</v>
      </c>
      <c r="L70" s="56">
        <f t="shared" si="0"/>
        <v>1150</v>
      </c>
      <c r="M70" s="66">
        <v>400</v>
      </c>
      <c r="N70" s="56">
        <f>100</f>
        <v>100</v>
      </c>
      <c r="O70" s="59">
        <v>240</v>
      </c>
      <c r="P70" s="59">
        <v>40</v>
      </c>
      <c r="Q70" s="59">
        <f t="shared" si="1"/>
        <v>315</v>
      </c>
      <c r="R70" s="59">
        <f t="shared" si="2"/>
        <v>100</v>
      </c>
      <c r="S70" s="56">
        <f t="shared" si="3"/>
        <v>695</v>
      </c>
      <c r="T70" s="56">
        <f>50</f>
        <v>50</v>
      </c>
      <c r="U70" s="57"/>
      <c r="V70" s="57"/>
      <c r="W70" s="57"/>
      <c r="X70" s="57"/>
      <c r="Y70" s="57"/>
      <c r="Z70" s="57"/>
      <c r="AA70" s="57"/>
      <c r="AB70" s="57"/>
      <c r="AC70" s="57"/>
      <c r="AD70" s="57"/>
    </row>
    <row r="71" spans="1:30" ht="15.75">
      <c r="A71" s="16">
        <v>43435</v>
      </c>
      <c r="B71" s="69">
        <v>31</v>
      </c>
      <c r="C71" s="56">
        <f>122.58</f>
        <v>122.58</v>
      </c>
      <c r="D71" s="56">
        <f>297.941</f>
        <v>297.94099999999997</v>
      </c>
      <c r="E71" s="64">
        <f>89.177</f>
        <v>89.177000000000007</v>
      </c>
      <c r="F71" s="56">
        <f>240.302-40-60-100</f>
        <v>40.301999999999992</v>
      </c>
      <c r="G71" s="59">
        <v>40</v>
      </c>
      <c r="H71" s="56">
        <f>60+100</f>
        <v>160</v>
      </c>
      <c r="I71" s="56">
        <f t="shared" si="7"/>
        <v>0</v>
      </c>
      <c r="J71" s="59">
        <v>100</v>
      </c>
      <c r="K71" s="59">
        <v>300</v>
      </c>
      <c r="L71" s="56">
        <f t="shared" si="0"/>
        <v>1150</v>
      </c>
      <c r="M71" s="66">
        <v>400</v>
      </c>
      <c r="N71" s="56">
        <f>100</f>
        <v>100</v>
      </c>
      <c r="O71" s="59">
        <v>240</v>
      </c>
      <c r="P71" s="59">
        <v>40</v>
      </c>
      <c r="Q71" s="59">
        <f t="shared" si="1"/>
        <v>315</v>
      </c>
      <c r="R71" s="59">
        <f t="shared" si="2"/>
        <v>100</v>
      </c>
      <c r="S71" s="56">
        <f t="shared" si="3"/>
        <v>695</v>
      </c>
      <c r="T71" s="56">
        <f>50</f>
        <v>50</v>
      </c>
      <c r="U71" s="57"/>
      <c r="V71" s="57"/>
      <c r="W71" s="57"/>
      <c r="X71" s="57"/>
      <c r="Y71" s="57"/>
      <c r="Z71" s="57"/>
      <c r="AA71" s="57"/>
      <c r="AB71" s="57"/>
      <c r="AC71" s="57"/>
      <c r="AD71" s="57"/>
    </row>
    <row r="72" spans="1:30" ht="15.75">
      <c r="A72" s="16">
        <v>43466</v>
      </c>
      <c r="B72" s="69">
        <v>31</v>
      </c>
      <c r="C72" s="56">
        <f>122.58</f>
        <v>122.58</v>
      </c>
      <c r="D72" s="56">
        <f>297.941</f>
        <v>297.94099999999997</v>
      </c>
      <c r="E72" s="64">
        <f>89.177</f>
        <v>89.177000000000007</v>
      </c>
      <c r="F72" s="56">
        <f>240.302-40-60-100</f>
        <v>40.301999999999992</v>
      </c>
      <c r="G72" s="59">
        <v>40</v>
      </c>
      <c r="H72" s="56">
        <f>60+100</f>
        <v>160</v>
      </c>
      <c r="I72" s="56">
        <f t="shared" si="7"/>
        <v>0</v>
      </c>
      <c r="J72" s="59">
        <v>100</v>
      </c>
      <c r="K72" s="59">
        <v>300</v>
      </c>
      <c r="L72" s="56">
        <f t="shared" si="0"/>
        <v>1150</v>
      </c>
      <c r="M72" s="66">
        <v>400</v>
      </c>
      <c r="N72" s="56">
        <f>100</f>
        <v>100</v>
      </c>
      <c r="O72" s="59">
        <v>240</v>
      </c>
      <c r="P72" s="59">
        <v>40</v>
      </c>
      <c r="Q72" s="59">
        <f t="shared" si="1"/>
        <v>315</v>
      </c>
      <c r="R72" s="59">
        <f t="shared" si="2"/>
        <v>100</v>
      </c>
      <c r="S72" s="56">
        <f t="shared" si="3"/>
        <v>695</v>
      </c>
      <c r="T72" s="56">
        <f>50</f>
        <v>50</v>
      </c>
      <c r="U72" s="57"/>
      <c r="V72" s="57"/>
      <c r="W72" s="57"/>
      <c r="X72" s="57"/>
      <c r="Y72" s="57"/>
      <c r="Z72" s="57"/>
      <c r="AA72" s="57"/>
      <c r="AB72" s="57"/>
      <c r="AC72" s="57"/>
      <c r="AD72" s="57"/>
    </row>
    <row r="73" spans="1:30" ht="15.75">
      <c r="A73" s="16">
        <v>43497</v>
      </c>
      <c r="B73" s="69">
        <v>28</v>
      </c>
      <c r="C73" s="56">
        <f>122.58</f>
        <v>122.58</v>
      </c>
      <c r="D73" s="56">
        <f>297.941</f>
        <v>297.94099999999997</v>
      </c>
      <c r="E73" s="64">
        <f>89.177</f>
        <v>89.177000000000007</v>
      </c>
      <c r="F73" s="56">
        <f>240.302-40-60-100</f>
        <v>40.301999999999992</v>
      </c>
      <c r="G73" s="59">
        <v>40</v>
      </c>
      <c r="H73" s="56">
        <f>60+100</f>
        <v>160</v>
      </c>
      <c r="I73" s="56">
        <f t="shared" si="7"/>
        <v>0</v>
      </c>
      <c r="J73" s="59">
        <v>100</v>
      </c>
      <c r="K73" s="59">
        <v>300</v>
      </c>
      <c r="L73" s="56">
        <f t="shared" si="0"/>
        <v>1150</v>
      </c>
      <c r="M73" s="66">
        <v>400</v>
      </c>
      <c r="N73" s="56">
        <f>100</f>
        <v>100</v>
      </c>
      <c r="O73" s="59">
        <v>240</v>
      </c>
      <c r="P73" s="59">
        <v>40</v>
      </c>
      <c r="Q73" s="59">
        <f t="shared" si="1"/>
        <v>315</v>
      </c>
      <c r="R73" s="59">
        <f t="shared" si="2"/>
        <v>100</v>
      </c>
      <c r="S73" s="56">
        <f t="shared" si="3"/>
        <v>695</v>
      </c>
      <c r="T73" s="56">
        <f>50</f>
        <v>50</v>
      </c>
      <c r="U73" s="57"/>
      <c r="V73" s="57"/>
      <c r="W73" s="57"/>
      <c r="X73" s="57"/>
      <c r="Y73" s="57"/>
      <c r="Z73" s="57"/>
      <c r="AA73" s="57"/>
      <c r="AB73" s="57"/>
      <c r="AC73" s="57"/>
      <c r="AD73" s="57"/>
    </row>
    <row r="74" spans="1:30" ht="15.75">
      <c r="A74" s="16">
        <v>43525</v>
      </c>
      <c r="B74" s="69">
        <v>31</v>
      </c>
      <c r="C74" s="56">
        <f>122.58</f>
        <v>122.58</v>
      </c>
      <c r="D74" s="56">
        <f>297.941</f>
        <v>297.94099999999997</v>
      </c>
      <c r="E74" s="64">
        <f>89.177</f>
        <v>89.177000000000007</v>
      </c>
      <c r="F74" s="56">
        <f>240.302-40-60-100</f>
        <v>40.301999999999992</v>
      </c>
      <c r="G74" s="59">
        <v>40</v>
      </c>
      <c r="H74" s="56">
        <f>60+100</f>
        <v>160</v>
      </c>
      <c r="I74" s="56">
        <f t="shared" si="7"/>
        <v>0</v>
      </c>
      <c r="J74" s="59">
        <v>100</v>
      </c>
      <c r="K74" s="59">
        <v>300</v>
      </c>
      <c r="L74" s="56">
        <f t="shared" si="0"/>
        <v>1150</v>
      </c>
      <c r="M74" s="66">
        <v>400</v>
      </c>
      <c r="N74" s="56">
        <f>100</f>
        <v>100</v>
      </c>
      <c r="O74" s="59">
        <v>240</v>
      </c>
      <c r="P74" s="59">
        <v>40</v>
      </c>
      <c r="Q74" s="59">
        <f t="shared" si="1"/>
        <v>315</v>
      </c>
      <c r="R74" s="59">
        <f t="shared" si="2"/>
        <v>100</v>
      </c>
      <c r="S74" s="56">
        <f t="shared" si="3"/>
        <v>695</v>
      </c>
      <c r="T74" s="56">
        <f>50</f>
        <v>50</v>
      </c>
      <c r="U74" s="57"/>
      <c r="V74" s="57"/>
      <c r="W74" s="57"/>
      <c r="X74" s="57"/>
      <c r="Y74" s="57"/>
      <c r="Z74" s="57"/>
      <c r="AA74" s="57"/>
      <c r="AB74" s="57"/>
      <c r="AC74" s="57"/>
      <c r="AD74" s="57"/>
    </row>
    <row r="75" spans="1:30" ht="15.75">
      <c r="A75" s="16">
        <v>43556</v>
      </c>
      <c r="B75" s="69">
        <v>30</v>
      </c>
      <c r="C75" s="56">
        <f>141.293</f>
        <v>141.29300000000001</v>
      </c>
      <c r="D75" s="56">
        <f>267.993</f>
        <v>267.99299999999999</v>
      </c>
      <c r="E75" s="64">
        <f>115.016</f>
        <v>115.01600000000001</v>
      </c>
      <c r="F75" s="56">
        <f>314.698-40-25-60-100</f>
        <v>89.697999999999979</v>
      </c>
      <c r="G75" s="59">
        <v>40</v>
      </c>
      <c r="H75" s="56">
        <f t="shared" ref="H75:H81" si="10">25+60+100</f>
        <v>185</v>
      </c>
      <c r="I75" s="56">
        <f t="shared" si="7"/>
        <v>0</v>
      </c>
      <c r="J75" s="59">
        <v>100</v>
      </c>
      <c r="K75" s="59">
        <v>300</v>
      </c>
      <c r="L75" s="56">
        <f t="shared" si="0"/>
        <v>1239</v>
      </c>
      <c r="M75" s="66">
        <v>400</v>
      </c>
      <c r="N75" s="56">
        <f>100</f>
        <v>100</v>
      </c>
      <c r="O75" s="59">
        <v>240</v>
      </c>
      <c r="P75" s="59">
        <v>160</v>
      </c>
      <c r="Q75" s="59">
        <f t="shared" si="1"/>
        <v>195</v>
      </c>
      <c r="R75" s="59">
        <f t="shared" si="2"/>
        <v>100</v>
      </c>
      <c r="S75" s="56">
        <f t="shared" si="3"/>
        <v>695</v>
      </c>
      <c r="T75" s="56">
        <f>50</f>
        <v>50</v>
      </c>
      <c r="U75" s="57"/>
      <c r="V75" s="57"/>
      <c r="W75" s="57"/>
      <c r="X75" s="57"/>
      <c r="Y75" s="57"/>
      <c r="Z75" s="57"/>
      <c r="AA75" s="57"/>
      <c r="AB75" s="57"/>
      <c r="AC75" s="57"/>
      <c r="AD75" s="57"/>
    </row>
    <row r="76" spans="1:30" ht="15.75">
      <c r="A76" s="16">
        <v>43586</v>
      </c>
      <c r="B76" s="69">
        <v>31</v>
      </c>
      <c r="C76" s="56">
        <f>194.205</f>
        <v>194.20500000000001</v>
      </c>
      <c r="D76" s="56">
        <f>267.466</f>
        <v>267.46600000000001</v>
      </c>
      <c r="E76" s="64">
        <f>133.845</f>
        <v>133.845</v>
      </c>
      <c r="F76" s="56">
        <f>278.484-40-25-60-100</f>
        <v>53.48399999999998</v>
      </c>
      <c r="G76" s="59">
        <v>40</v>
      </c>
      <c r="H76" s="56">
        <f t="shared" si="10"/>
        <v>185</v>
      </c>
      <c r="I76" s="56">
        <f t="shared" si="7"/>
        <v>0</v>
      </c>
      <c r="J76" s="59">
        <v>100</v>
      </c>
      <c r="K76" s="59">
        <v>300</v>
      </c>
      <c r="L76" s="56">
        <f t="shared" si="0"/>
        <v>1274</v>
      </c>
      <c r="M76" s="66">
        <v>400</v>
      </c>
      <c r="N76" s="56">
        <f>75</f>
        <v>75</v>
      </c>
      <c r="O76" s="59">
        <v>240</v>
      </c>
      <c r="P76" s="59">
        <v>160</v>
      </c>
      <c r="Q76" s="59">
        <f t="shared" si="1"/>
        <v>195</v>
      </c>
      <c r="R76" s="59">
        <f t="shared" si="2"/>
        <v>100</v>
      </c>
      <c r="S76" s="56">
        <f t="shared" si="3"/>
        <v>695</v>
      </c>
      <c r="T76" s="56">
        <f>50</f>
        <v>50</v>
      </c>
      <c r="U76" s="57"/>
      <c r="V76" s="57"/>
      <c r="W76" s="57"/>
      <c r="X76" s="57"/>
      <c r="Y76" s="57"/>
      <c r="Z76" s="57"/>
      <c r="AA76" s="57"/>
      <c r="AB76" s="57"/>
      <c r="AC76" s="57"/>
      <c r="AD76" s="57"/>
    </row>
    <row r="77" spans="1:30" ht="15.75">
      <c r="A77" s="16">
        <v>43617</v>
      </c>
      <c r="B77" s="69">
        <v>30</v>
      </c>
      <c r="C77" s="56">
        <f>194.205</f>
        <v>194.20500000000001</v>
      </c>
      <c r="D77" s="56">
        <f>267.466</f>
        <v>267.46600000000001</v>
      </c>
      <c r="E77" s="64">
        <f>133.845</f>
        <v>133.845</v>
      </c>
      <c r="F77" s="56">
        <f>278.484-40-25-60-100</f>
        <v>53.48399999999998</v>
      </c>
      <c r="G77" s="59">
        <v>40</v>
      </c>
      <c r="H77" s="56">
        <f t="shared" si="10"/>
        <v>185</v>
      </c>
      <c r="I77" s="56">
        <f t="shared" si="7"/>
        <v>0</v>
      </c>
      <c r="J77" s="59">
        <v>100</v>
      </c>
      <c r="K77" s="59">
        <v>300</v>
      </c>
      <c r="L77" s="56">
        <f t="shared" si="0"/>
        <v>1274</v>
      </c>
      <c r="M77" s="66">
        <v>400</v>
      </c>
      <c r="N77" s="56">
        <f>30</f>
        <v>30</v>
      </c>
      <c r="O77" s="59">
        <v>240</v>
      </c>
      <c r="P77" s="59">
        <v>160</v>
      </c>
      <c r="Q77" s="59">
        <f t="shared" si="1"/>
        <v>195</v>
      </c>
      <c r="R77" s="59">
        <f t="shared" si="2"/>
        <v>100</v>
      </c>
      <c r="S77" s="56">
        <f t="shared" si="3"/>
        <v>695</v>
      </c>
      <c r="T77" s="56">
        <f>50</f>
        <v>50</v>
      </c>
      <c r="U77" s="57"/>
      <c r="V77" s="57"/>
      <c r="W77" s="57"/>
      <c r="X77" s="57"/>
      <c r="Y77" s="57"/>
      <c r="Z77" s="57"/>
      <c r="AA77" s="57"/>
      <c r="AB77" s="57"/>
      <c r="AC77" s="57"/>
      <c r="AD77" s="57"/>
    </row>
    <row r="78" spans="1:30" ht="15.75">
      <c r="A78" s="16">
        <v>43647</v>
      </c>
      <c r="B78" s="69">
        <v>31</v>
      </c>
      <c r="C78" s="56">
        <f>194.205</f>
        <v>194.20500000000001</v>
      </c>
      <c r="D78" s="56">
        <f>267.466</f>
        <v>267.46600000000001</v>
      </c>
      <c r="E78" s="64">
        <f>133.845</f>
        <v>133.845</v>
      </c>
      <c r="F78" s="56">
        <f>278.484-40-25-60-100</f>
        <v>53.48399999999998</v>
      </c>
      <c r="G78" s="59">
        <v>40</v>
      </c>
      <c r="H78" s="56">
        <f t="shared" si="10"/>
        <v>185</v>
      </c>
      <c r="I78" s="56">
        <f t="shared" si="7"/>
        <v>0</v>
      </c>
      <c r="J78" s="59">
        <v>100</v>
      </c>
      <c r="K78" s="59">
        <v>300</v>
      </c>
      <c r="L78" s="56">
        <f t="shared" si="0"/>
        <v>1274</v>
      </c>
      <c r="M78" s="66">
        <v>400</v>
      </c>
      <c r="N78" s="56">
        <f>30</f>
        <v>30</v>
      </c>
      <c r="O78" s="59">
        <v>240</v>
      </c>
      <c r="P78" s="59">
        <v>160</v>
      </c>
      <c r="Q78" s="59">
        <f t="shared" si="1"/>
        <v>195</v>
      </c>
      <c r="R78" s="59">
        <f t="shared" si="2"/>
        <v>100</v>
      </c>
      <c r="S78" s="56">
        <f t="shared" si="3"/>
        <v>695</v>
      </c>
      <c r="T78" s="56">
        <f>0</f>
        <v>0</v>
      </c>
      <c r="U78" s="57"/>
      <c r="V78" s="57"/>
      <c r="W78" s="57"/>
      <c r="X78" s="57"/>
      <c r="Y78" s="57"/>
      <c r="Z78" s="57"/>
      <c r="AA78" s="57"/>
      <c r="AB78" s="57"/>
      <c r="AC78" s="57"/>
      <c r="AD78" s="57"/>
    </row>
    <row r="79" spans="1:30" ht="15.75">
      <c r="A79" s="16">
        <v>43678</v>
      </c>
      <c r="B79" s="69">
        <v>31</v>
      </c>
      <c r="C79" s="56">
        <f>194.205</f>
        <v>194.20500000000001</v>
      </c>
      <c r="D79" s="56">
        <f>267.466</f>
        <v>267.46600000000001</v>
      </c>
      <c r="E79" s="64">
        <f>133.845</f>
        <v>133.845</v>
      </c>
      <c r="F79" s="56">
        <f>278.484-40-25-60-100</f>
        <v>53.48399999999998</v>
      </c>
      <c r="G79" s="59">
        <v>40</v>
      </c>
      <c r="H79" s="56">
        <f t="shared" si="10"/>
        <v>185</v>
      </c>
      <c r="I79" s="56">
        <f t="shared" si="7"/>
        <v>0</v>
      </c>
      <c r="J79" s="59">
        <v>100</v>
      </c>
      <c r="K79" s="59">
        <v>300</v>
      </c>
      <c r="L79" s="56">
        <f t="shared" si="0"/>
        <v>1274</v>
      </c>
      <c r="M79" s="66">
        <v>400</v>
      </c>
      <c r="N79" s="56">
        <f>30</f>
        <v>30</v>
      </c>
      <c r="O79" s="59">
        <v>240</v>
      </c>
      <c r="P79" s="59">
        <v>160</v>
      </c>
      <c r="Q79" s="59">
        <f t="shared" si="1"/>
        <v>195</v>
      </c>
      <c r="R79" s="59">
        <f t="shared" si="2"/>
        <v>100</v>
      </c>
      <c r="S79" s="56">
        <f t="shared" si="3"/>
        <v>695</v>
      </c>
      <c r="T79" s="56">
        <f>0</f>
        <v>0</v>
      </c>
      <c r="U79" s="57"/>
      <c r="V79" s="57"/>
      <c r="W79" s="57"/>
      <c r="X79" s="57"/>
      <c r="Y79" s="57"/>
      <c r="Z79" s="57"/>
      <c r="AA79" s="57"/>
      <c r="AB79" s="57"/>
      <c r="AC79" s="57"/>
      <c r="AD79" s="57"/>
    </row>
    <row r="80" spans="1:30" ht="15.75">
      <c r="A80" s="16">
        <v>43709</v>
      </c>
      <c r="B80" s="69">
        <v>30</v>
      </c>
      <c r="C80" s="56">
        <f>194.205</f>
        <v>194.20500000000001</v>
      </c>
      <c r="D80" s="56">
        <f>267.466</f>
        <v>267.46600000000001</v>
      </c>
      <c r="E80" s="64">
        <f>133.845</f>
        <v>133.845</v>
      </c>
      <c r="F80" s="56">
        <f>278.484-40-25-60-100</f>
        <v>53.48399999999998</v>
      </c>
      <c r="G80" s="59">
        <v>40</v>
      </c>
      <c r="H80" s="56">
        <f t="shared" si="10"/>
        <v>185</v>
      </c>
      <c r="I80" s="56">
        <f t="shared" si="7"/>
        <v>0</v>
      </c>
      <c r="J80" s="59">
        <v>100</v>
      </c>
      <c r="K80" s="59">
        <v>300</v>
      </c>
      <c r="L80" s="56">
        <f t="shared" si="0"/>
        <v>1274</v>
      </c>
      <c r="M80" s="66">
        <v>400</v>
      </c>
      <c r="N80" s="56">
        <f>30</f>
        <v>30</v>
      </c>
      <c r="O80" s="59">
        <v>240</v>
      </c>
      <c r="P80" s="59">
        <v>160</v>
      </c>
      <c r="Q80" s="59">
        <f t="shared" si="1"/>
        <v>195</v>
      </c>
      <c r="R80" s="59">
        <f t="shared" si="2"/>
        <v>100</v>
      </c>
      <c r="S80" s="56">
        <f t="shared" si="3"/>
        <v>695</v>
      </c>
      <c r="T80" s="56">
        <f>0</f>
        <v>0</v>
      </c>
      <c r="U80" s="57"/>
      <c r="V80" s="57"/>
      <c r="W80" s="57"/>
      <c r="X80" s="57"/>
      <c r="Y80" s="57"/>
      <c r="Z80" s="57"/>
      <c r="AA80" s="57"/>
      <c r="AB80" s="57"/>
      <c r="AC80" s="57"/>
      <c r="AD80" s="57"/>
    </row>
    <row r="81" spans="1:30" ht="15.75">
      <c r="A81" s="16">
        <v>43739</v>
      </c>
      <c r="B81" s="69">
        <v>31</v>
      </c>
      <c r="C81" s="56">
        <f>131.881</f>
        <v>131.881</v>
      </c>
      <c r="D81" s="56">
        <f>277.167</f>
        <v>277.16699999999997</v>
      </c>
      <c r="E81" s="64">
        <f>79.08</f>
        <v>79.08</v>
      </c>
      <c r="F81" s="56">
        <f>350.872-40-25-60-100</f>
        <v>125.87200000000001</v>
      </c>
      <c r="G81" s="59">
        <v>40</v>
      </c>
      <c r="H81" s="56">
        <f t="shared" si="10"/>
        <v>185</v>
      </c>
      <c r="I81" s="56">
        <f t="shared" si="7"/>
        <v>0</v>
      </c>
      <c r="J81" s="59">
        <v>100</v>
      </c>
      <c r="K81" s="59">
        <v>300</v>
      </c>
      <c r="L81" s="56">
        <f t="shared" ref="L81:L144" si="11">SUM(C81:K81)</f>
        <v>1239</v>
      </c>
      <c r="M81" s="66">
        <v>400</v>
      </c>
      <c r="N81" s="56">
        <f>75</f>
        <v>75</v>
      </c>
      <c r="O81" s="59">
        <v>240</v>
      </c>
      <c r="P81" s="59">
        <v>160</v>
      </c>
      <c r="Q81" s="59">
        <f t="shared" ref="Q81:Q144" si="12">695-R81-O81-P81</f>
        <v>195</v>
      </c>
      <c r="R81" s="59">
        <f t="shared" ref="R81:R144" si="13">200-J81</f>
        <v>100</v>
      </c>
      <c r="S81" s="56">
        <f t="shared" ref="S81:S144" si="14">SUM(O81:R81)</f>
        <v>695</v>
      </c>
      <c r="T81" s="56">
        <f>0</f>
        <v>0</v>
      </c>
      <c r="U81" s="57"/>
      <c r="V81" s="57"/>
      <c r="W81" s="57"/>
      <c r="X81" s="57"/>
      <c r="Y81" s="57"/>
      <c r="Z81" s="57"/>
      <c r="AA81" s="57"/>
      <c r="AB81" s="57"/>
      <c r="AC81" s="57"/>
      <c r="AD81" s="57"/>
    </row>
    <row r="82" spans="1:30" ht="15.75">
      <c r="A82" s="16">
        <v>43770</v>
      </c>
      <c r="B82" s="69">
        <v>30</v>
      </c>
      <c r="C82" s="56">
        <f>122.58</f>
        <v>122.58</v>
      </c>
      <c r="D82" s="56">
        <f>297.941</f>
        <v>297.94099999999997</v>
      </c>
      <c r="E82" s="64">
        <f>89.177</f>
        <v>89.177000000000007</v>
      </c>
      <c r="F82" s="56">
        <f>240.302-40-60-100</f>
        <v>40.301999999999992</v>
      </c>
      <c r="G82" s="59">
        <v>40</v>
      </c>
      <c r="H82" s="56">
        <f>60+100</f>
        <v>160</v>
      </c>
      <c r="I82" s="56">
        <f t="shared" si="7"/>
        <v>0</v>
      </c>
      <c r="J82" s="59">
        <v>100</v>
      </c>
      <c r="K82" s="59">
        <v>300</v>
      </c>
      <c r="L82" s="56">
        <f t="shared" si="11"/>
        <v>1150</v>
      </c>
      <c r="M82" s="66">
        <v>400</v>
      </c>
      <c r="N82" s="56">
        <f>100</f>
        <v>100</v>
      </c>
      <c r="O82" s="59">
        <v>240</v>
      </c>
      <c r="P82" s="59">
        <v>40</v>
      </c>
      <c r="Q82" s="59">
        <f t="shared" si="12"/>
        <v>315</v>
      </c>
      <c r="R82" s="59">
        <f t="shared" si="13"/>
        <v>100</v>
      </c>
      <c r="S82" s="56">
        <f t="shared" si="14"/>
        <v>695</v>
      </c>
      <c r="T82" s="56">
        <f>50</f>
        <v>50</v>
      </c>
      <c r="U82" s="57"/>
      <c r="V82" s="57"/>
      <c r="W82" s="57"/>
      <c r="X82" s="57"/>
      <c r="Y82" s="57"/>
      <c r="Z82" s="57"/>
      <c r="AA82" s="57"/>
      <c r="AB82" s="57"/>
      <c r="AC82" s="57"/>
      <c r="AD82" s="57"/>
    </row>
    <row r="83" spans="1:30" ht="15.75">
      <c r="A83" s="16">
        <v>43800</v>
      </c>
      <c r="B83" s="69">
        <v>31</v>
      </c>
      <c r="C83" s="56">
        <f>122.58</f>
        <v>122.58</v>
      </c>
      <c r="D83" s="56">
        <f>297.941</f>
        <v>297.94099999999997</v>
      </c>
      <c r="E83" s="64">
        <f>89.177</f>
        <v>89.177000000000007</v>
      </c>
      <c r="F83" s="56">
        <f>240.302-40-60-100</f>
        <v>40.301999999999992</v>
      </c>
      <c r="G83" s="59">
        <v>40</v>
      </c>
      <c r="H83" s="56">
        <f>60+100</f>
        <v>160</v>
      </c>
      <c r="I83" s="56">
        <f t="shared" si="7"/>
        <v>0</v>
      </c>
      <c r="J83" s="59">
        <v>100</v>
      </c>
      <c r="K83" s="59">
        <v>300</v>
      </c>
      <c r="L83" s="56">
        <f t="shared" si="11"/>
        <v>1150</v>
      </c>
      <c r="M83" s="66">
        <v>400</v>
      </c>
      <c r="N83" s="56">
        <f>100</f>
        <v>100</v>
      </c>
      <c r="O83" s="59">
        <v>240</v>
      </c>
      <c r="P83" s="59">
        <v>40</v>
      </c>
      <c r="Q83" s="59">
        <f t="shared" si="12"/>
        <v>315</v>
      </c>
      <c r="R83" s="59">
        <f t="shared" si="13"/>
        <v>100</v>
      </c>
      <c r="S83" s="56">
        <f t="shared" si="14"/>
        <v>695</v>
      </c>
      <c r="T83" s="56">
        <f>50</f>
        <v>50</v>
      </c>
      <c r="U83" s="57"/>
      <c r="V83" s="57"/>
      <c r="W83" s="57"/>
      <c r="X83" s="57"/>
      <c r="Y83" s="57"/>
      <c r="Z83" s="57"/>
      <c r="AA83" s="57"/>
      <c r="AB83" s="57"/>
      <c r="AC83" s="57"/>
      <c r="AD83" s="57"/>
    </row>
    <row r="84" spans="1:30" ht="15.75">
      <c r="A84" s="16">
        <v>43831</v>
      </c>
      <c r="B84" s="69">
        <v>31</v>
      </c>
      <c r="C84" s="56">
        <f>122.58</f>
        <v>122.58</v>
      </c>
      <c r="D84" s="56">
        <f>297.941</f>
        <v>297.94099999999997</v>
      </c>
      <c r="E84" s="64">
        <f>89.177</f>
        <v>89.177000000000007</v>
      </c>
      <c r="F84" s="56">
        <f>240.302-40-60-100</f>
        <v>40.301999999999992</v>
      </c>
      <c r="G84" s="59">
        <v>40</v>
      </c>
      <c r="H84" s="56">
        <f>60+100</f>
        <v>160</v>
      </c>
      <c r="I84" s="56">
        <f t="shared" si="7"/>
        <v>0</v>
      </c>
      <c r="J84" s="59">
        <v>100</v>
      </c>
      <c r="K84" s="59">
        <v>300</v>
      </c>
      <c r="L84" s="56">
        <f t="shared" si="11"/>
        <v>1150</v>
      </c>
      <c r="M84" s="66">
        <v>400</v>
      </c>
      <c r="N84" s="56">
        <f>100</f>
        <v>100</v>
      </c>
      <c r="O84" s="59">
        <v>240</v>
      </c>
      <c r="P84" s="59">
        <v>40</v>
      </c>
      <c r="Q84" s="59">
        <f t="shared" si="12"/>
        <v>315</v>
      </c>
      <c r="R84" s="59">
        <f t="shared" si="13"/>
        <v>100</v>
      </c>
      <c r="S84" s="56">
        <f t="shared" si="14"/>
        <v>695</v>
      </c>
      <c r="T84" s="56">
        <f>50</f>
        <v>50</v>
      </c>
      <c r="U84" s="57"/>
      <c r="V84" s="57"/>
      <c r="W84" s="57"/>
      <c r="X84" s="57"/>
      <c r="Y84" s="57"/>
      <c r="Z84" s="57"/>
      <c r="AA84" s="57"/>
      <c r="AB84" s="57"/>
      <c r="AC84" s="57"/>
      <c r="AD84" s="57"/>
    </row>
    <row r="85" spans="1:30" ht="15.75">
      <c r="A85" s="16">
        <v>43862</v>
      </c>
      <c r="B85" s="69">
        <v>29</v>
      </c>
      <c r="C85" s="56">
        <f>122.58</f>
        <v>122.58</v>
      </c>
      <c r="D85" s="56">
        <f>297.941</f>
        <v>297.94099999999997</v>
      </c>
      <c r="E85" s="64">
        <f>89.177</f>
        <v>89.177000000000007</v>
      </c>
      <c r="F85" s="56">
        <f>240.302-40-60-100</f>
        <v>40.301999999999992</v>
      </c>
      <c r="G85" s="59">
        <v>40</v>
      </c>
      <c r="H85" s="56">
        <f>60+100</f>
        <v>160</v>
      </c>
      <c r="I85" s="56">
        <f t="shared" si="7"/>
        <v>0</v>
      </c>
      <c r="J85" s="59">
        <v>100</v>
      </c>
      <c r="K85" s="59">
        <v>300</v>
      </c>
      <c r="L85" s="56">
        <f t="shared" si="11"/>
        <v>1150</v>
      </c>
      <c r="M85" s="66">
        <v>400</v>
      </c>
      <c r="N85" s="56">
        <f>100</f>
        <v>100</v>
      </c>
      <c r="O85" s="59">
        <v>240</v>
      </c>
      <c r="P85" s="59">
        <v>40</v>
      </c>
      <c r="Q85" s="59">
        <f t="shared" si="12"/>
        <v>315</v>
      </c>
      <c r="R85" s="59">
        <f t="shared" si="13"/>
        <v>100</v>
      </c>
      <c r="S85" s="56">
        <f t="shared" si="14"/>
        <v>695</v>
      </c>
      <c r="T85" s="56">
        <f>50</f>
        <v>50</v>
      </c>
      <c r="U85" s="57"/>
      <c r="V85" s="57"/>
      <c r="W85" s="57"/>
      <c r="X85" s="57"/>
      <c r="Y85" s="57"/>
      <c r="Z85" s="57"/>
      <c r="AA85" s="57"/>
      <c r="AB85" s="57"/>
      <c r="AC85" s="57"/>
      <c r="AD85" s="57"/>
    </row>
    <row r="86" spans="1:30" ht="15.75">
      <c r="A86" s="16">
        <v>43891</v>
      </c>
      <c r="B86" s="69">
        <v>31</v>
      </c>
      <c r="C86" s="56">
        <f>122.58</f>
        <v>122.58</v>
      </c>
      <c r="D86" s="56">
        <f>297.941</f>
        <v>297.94099999999997</v>
      </c>
      <c r="E86" s="64">
        <f>89.177</f>
        <v>89.177000000000007</v>
      </c>
      <c r="F86" s="56">
        <f>240.302-40-60-100</f>
        <v>40.301999999999992</v>
      </c>
      <c r="G86" s="59">
        <v>40</v>
      </c>
      <c r="H86" s="56">
        <f>60+100</f>
        <v>160</v>
      </c>
      <c r="I86" s="56">
        <f t="shared" si="7"/>
        <v>0</v>
      </c>
      <c r="J86" s="59">
        <v>100</v>
      </c>
      <c r="K86" s="59">
        <v>300</v>
      </c>
      <c r="L86" s="56">
        <f t="shared" si="11"/>
        <v>1150</v>
      </c>
      <c r="M86" s="66">
        <v>400</v>
      </c>
      <c r="N86" s="56">
        <f>100</f>
        <v>100</v>
      </c>
      <c r="O86" s="59">
        <v>240</v>
      </c>
      <c r="P86" s="59">
        <v>40</v>
      </c>
      <c r="Q86" s="59">
        <f t="shared" si="12"/>
        <v>315</v>
      </c>
      <c r="R86" s="59">
        <f t="shared" si="13"/>
        <v>100</v>
      </c>
      <c r="S86" s="56">
        <f t="shared" si="14"/>
        <v>695</v>
      </c>
      <c r="T86" s="56">
        <f>50</f>
        <v>50</v>
      </c>
      <c r="U86" s="57"/>
      <c r="V86" s="57"/>
      <c r="W86" s="57"/>
      <c r="X86" s="57"/>
      <c r="Y86" s="57"/>
      <c r="Z86" s="57"/>
      <c r="AA86" s="57"/>
      <c r="AB86" s="57"/>
      <c r="AC86" s="57"/>
      <c r="AD86" s="57"/>
    </row>
    <row r="87" spans="1:30" ht="15.75">
      <c r="A87" s="16">
        <v>43922</v>
      </c>
      <c r="B87" s="69">
        <v>30</v>
      </c>
      <c r="C87" s="56">
        <f>141.293</f>
        <v>141.29300000000001</v>
      </c>
      <c r="D87" s="56">
        <f>267.993</f>
        <v>267.99299999999999</v>
      </c>
      <c r="E87" s="64">
        <f>115.016</f>
        <v>115.01600000000001</v>
      </c>
      <c r="F87" s="56">
        <f>314.698-40-25-60-100</f>
        <v>89.697999999999979</v>
      </c>
      <c r="G87" s="59">
        <v>40</v>
      </c>
      <c r="H87" s="56">
        <f t="shared" ref="H87:H93" si="15">25+60+100</f>
        <v>185</v>
      </c>
      <c r="I87" s="56">
        <f t="shared" si="7"/>
        <v>0</v>
      </c>
      <c r="J87" s="59">
        <v>100</v>
      </c>
      <c r="K87" s="59">
        <v>300</v>
      </c>
      <c r="L87" s="56">
        <f t="shared" si="11"/>
        <v>1239</v>
      </c>
      <c r="M87" s="66">
        <v>400</v>
      </c>
      <c r="N87" s="56">
        <f>100</f>
        <v>100</v>
      </c>
      <c r="O87" s="59">
        <v>240</v>
      </c>
      <c r="P87" s="59">
        <v>160</v>
      </c>
      <c r="Q87" s="59">
        <f t="shared" si="12"/>
        <v>195</v>
      </c>
      <c r="R87" s="59">
        <f t="shared" si="13"/>
        <v>100</v>
      </c>
      <c r="S87" s="56">
        <f t="shared" si="14"/>
        <v>695</v>
      </c>
      <c r="T87" s="56">
        <f>50</f>
        <v>50</v>
      </c>
      <c r="U87" s="57"/>
      <c r="V87" s="57"/>
      <c r="W87" s="57"/>
      <c r="X87" s="57"/>
      <c r="Y87" s="57"/>
      <c r="Z87" s="57"/>
      <c r="AA87" s="57"/>
      <c r="AB87" s="57"/>
      <c r="AC87" s="57"/>
      <c r="AD87" s="57"/>
    </row>
    <row r="88" spans="1:30" ht="15.75">
      <c r="A88" s="16">
        <v>43952</v>
      </c>
      <c r="B88" s="69">
        <v>31</v>
      </c>
      <c r="C88" s="56">
        <f>194.205</f>
        <v>194.20500000000001</v>
      </c>
      <c r="D88" s="56">
        <f>267.466</f>
        <v>267.46600000000001</v>
      </c>
      <c r="E88" s="64">
        <f>133.845</f>
        <v>133.845</v>
      </c>
      <c r="F88" s="56">
        <f>278.484-40-25-60-100</f>
        <v>53.48399999999998</v>
      </c>
      <c r="G88" s="59">
        <v>40</v>
      </c>
      <c r="H88" s="56">
        <f t="shared" si="15"/>
        <v>185</v>
      </c>
      <c r="I88" s="56">
        <f t="shared" si="7"/>
        <v>0</v>
      </c>
      <c r="J88" s="59">
        <v>100</v>
      </c>
      <c r="K88" s="59">
        <v>300</v>
      </c>
      <c r="L88" s="56">
        <f t="shared" si="11"/>
        <v>1274</v>
      </c>
      <c r="M88" s="66">
        <v>600</v>
      </c>
      <c r="N88" s="56">
        <f>75</f>
        <v>75</v>
      </c>
      <c r="O88" s="59">
        <v>240</v>
      </c>
      <c r="P88" s="59">
        <v>160</v>
      </c>
      <c r="Q88" s="59">
        <f t="shared" si="12"/>
        <v>195</v>
      </c>
      <c r="R88" s="59">
        <f t="shared" si="13"/>
        <v>100</v>
      </c>
      <c r="S88" s="56">
        <f t="shared" si="14"/>
        <v>695</v>
      </c>
      <c r="T88" s="56">
        <f>50</f>
        <v>50</v>
      </c>
      <c r="U88" s="57"/>
      <c r="V88" s="57"/>
      <c r="W88" s="57"/>
      <c r="X88" s="57"/>
      <c r="Y88" s="57"/>
      <c r="Z88" s="57"/>
      <c r="AA88" s="57"/>
      <c r="AB88" s="57"/>
      <c r="AC88" s="57"/>
      <c r="AD88" s="57"/>
    </row>
    <row r="89" spans="1:30" ht="15.75">
      <c r="A89" s="16">
        <v>43983</v>
      </c>
      <c r="B89" s="69">
        <v>30</v>
      </c>
      <c r="C89" s="56">
        <f>194.205</f>
        <v>194.20500000000001</v>
      </c>
      <c r="D89" s="56">
        <f>267.466</f>
        <v>267.46600000000001</v>
      </c>
      <c r="E89" s="64">
        <f>133.845</f>
        <v>133.845</v>
      </c>
      <c r="F89" s="56">
        <f>278.484-40-25-60-100</f>
        <v>53.48399999999998</v>
      </c>
      <c r="G89" s="59">
        <v>40</v>
      </c>
      <c r="H89" s="56">
        <f t="shared" si="15"/>
        <v>185</v>
      </c>
      <c r="I89" s="56">
        <f t="shared" si="7"/>
        <v>0</v>
      </c>
      <c r="J89" s="59">
        <v>100</v>
      </c>
      <c r="K89" s="59">
        <v>300</v>
      </c>
      <c r="L89" s="56">
        <f t="shared" si="11"/>
        <v>1274</v>
      </c>
      <c r="M89" s="66">
        <v>600</v>
      </c>
      <c r="N89" s="56">
        <f>30</f>
        <v>30</v>
      </c>
      <c r="O89" s="59">
        <v>240</v>
      </c>
      <c r="P89" s="59">
        <v>160</v>
      </c>
      <c r="Q89" s="59">
        <f t="shared" si="12"/>
        <v>195</v>
      </c>
      <c r="R89" s="59">
        <f t="shared" si="13"/>
        <v>100</v>
      </c>
      <c r="S89" s="56">
        <f t="shared" si="14"/>
        <v>695</v>
      </c>
      <c r="T89" s="56">
        <f>50</f>
        <v>50</v>
      </c>
      <c r="U89" s="57"/>
      <c r="V89" s="57"/>
      <c r="W89" s="57"/>
      <c r="X89" s="57"/>
      <c r="Y89" s="57"/>
      <c r="Z89" s="57"/>
      <c r="AA89" s="57"/>
      <c r="AB89" s="57"/>
      <c r="AC89" s="57"/>
      <c r="AD89" s="57"/>
    </row>
    <row r="90" spans="1:30" ht="15.75">
      <c r="A90" s="16">
        <v>44013</v>
      </c>
      <c r="B90" s="69">
        <v>31</v>
      </c>
      <c r="C90" s="56">
        <f>194.205</f>
        <v>194.20500000000001</v>
      </c>
      <c r="D90" s="56">
        <f>267.466</f>
        <v>267.46600000000001</v>
      </c>
      <c r="E90" s="64">
        <f>133.845</f>
        <v>133.845</v>
      </c>
      <c r="F90" s="56">
        <f>278.484-40-25-60-100</f>
        <v>53.48399999999998</v>
      </c>
      <c r="G90" s="59">
        <v>40</v>
      </c>
      <c r="H90" s="56">
        <f t="shared" si="15"/>
        <v>185</v>
      </c>
      <c r="I90" s="56">
        <f t="shared" si="7"/>
        <v>0</v>
      </c>
      <c r="J90" s="59">
        <v>100</v>
      </c>
      <c r="K90" s="59">
        <v>300</v>
      </c>
      <c r="L90" s="56">
        <f t="shared" si="11"/>
        <v>1274</v>
      </c>
      <c r="M90" s="66">
        <v>600</v>
      </c>
      <c r="N90" s="56">
        <f>30</f>
        <v>30</v>
      </c>
      <c r="O90" s="59">
        <v>240</v>
      </c>
      <c r="P90" s="59">
        <v>160</v>
      </c>
      <c r="Q90" s="59">
        <f t="shared" si="12"/>
        <v>195</v>
      </c>
      <c r="R90" s="59">
        <f t="shared" si="13"/>
        <v>100</v>
      </c>
      <c r="S90" s="56">
        <f t="shared" si="14"/>
        <v>695</v>
      </c>
      <c r="T90" s="56">
        <f>0</f>
        <v>0</v>
      </c>
      <c r="U90" s="57"/>
      <c r="V90" s="57"/>
      <c r="W90" s="57"/>
      <c r="X90" s="57"/>
      <c r="Y90" s="57"/>
      <c r="Z90" s="57"/>
      <c r="AA90" s="57"/>
      <c r="AB90" s="57"/>
      <c r="AC90" s="57"/>
      <c r="AD90" s="57"/>
    </row>
    <row r="91" spans="1:30" ht="15.75">
      <c r="A91" s="16">
        <v>44044</v>
      </c>
      <c r="B91" s="69">
        <v>31</v>
      </c>
      <c r="C91" s="56">
        <f>194.205</f>
        <v>194.20500000000001</v>
      </c>
      <c r="D91" s="56">
        <f>267.466</f>
        <v>267.46600000000001</v>
      </c>
      <c r="E91" s="64">
        <f>133.845</f>
        <v>133.845</v>
      </c>
      <c r="F91" s="56">
        <f>278.484-40-25-60-100</f>
        <v>53.48399999999998</v>
      </c>
      <c r="G91" s="59">
        <v>40</v>
      </c>
      <c r="H91" s="56">
        <f t="shared" si="15"/>
        <v>185</v>
      </c>
      <c r="I91" s="56">
        <f t="shared" si="7"/>
        <v>0</v>
      </c>
      <c r="J91" s="59">
        <v>100</v>
      </c>
      <c r="K91" s="59">
        <v>300</v>
      </c>
      <c r="L91" s="56">
        <f t="shared" si="11"/>
        <v>1274</v>
      </c>
      <c r="M91" s="66">
        <v>600</v>
      </c>
      <c r="N91" s="56">
        <f>30</f>
        <v>30</v>
      </c>
      <c r="O91" s="59">
        <v>240</v>
      </c>
      <c r="P91" s="59">
        <v>160</v>
      </c>
      <c r="Q91" s="59">
        <f t="shared" si="12"/>
        <v>195</v>
      </c>
      <c r="R91" s="59">
        <f t="shared" si="13"/>
        <v>100</v>
      </c>
      <c r="S91" s="56">
        <f t="shared" si="14"/>
        <v>695</v>
      </c>
      <c r="T91" s="56">
        <f>0</f>
        <v>0</v>
      </c>
      <c r="U91" s="57"/>
      <c r="V91" s="57"/>
      <c r="W91" s="57"/>
      <c r="X91" s="57"/>
      <c r="Y91" s="57"/>
      <c r="Z91" s="57"/>
      <c r="AA91" s="57"/>
      <c r="AB91" s="57"/>
      <c r="AC91" s="57"/>
      <c r="AD91" s="57"/>
    </row>
    <row r="92" spans="1:30" ht="15.75">
      <c r="A92" s="16">
        <v>44075</v>
      </c>
      <c r="B92" s="69">
        <v>30</v>
      </c>
      <c r="C92" s="56">
        <f>194.205</f>
        <v>194.20500000000001</v>
      </c>
      <c r="D92" s="56">
        <f>267.466</f>
        <v>267.46600000000001</v>
      </c>
      <c r="E92" s="64">
        <f>133.845</f>
        <v>133.845</v>
      </c>
      <c r="F92" s="56">
        <f>278.484-40-25-60-100</f>
        <v>53.48399999999998</v>
      </c>
      <c r="G92" s="59">
        <v>40</v>
      </c>
      <c r="H92" s="56">
        <f t="shared" si="15"/>
        <v>185</v>
      </c>
      <c r="I92" s="56">
        <f t="shared" si="7"/>
        <v>0</v>
      </c>
      <c r="J92" s="59">
        <v>100</v>
      </c>
      <c r="K92" s="59">
        <v>300</v>
      </c>
      <c r="L92" s="56">
        <f t="shared" si="11"/>
        <v>1274</v>
      </c>
      <c r="M92" s="66">
        <v>600</v>
      </c>
      <c r="N92" s="56">
        <f>30</f>
        <v>30</v>
      </c>
      <c r="O92" s="59">
        <v>240</v>
      </c>
      <c r="P92" s="59">
        <v>160</v>
      </c>
      <c r="Q92" s="59">
        <f t="shared" si="12"/>
        <v>195</v>
      </c>
      <c r="R92" s="59">
        <f t="shared" si="13"/>
        <v>100</v>
      </c>
      <c r="S92" s="56">
        <f t="shared" si="14"/>
        <v>695</v>
      </c>
      <c r="T92" s="56">
        <f>0</f>
        <v>0</v>
      </c>
      <c r="U92" s="57"/>
      <c r="V92" s="57"/>
      <c r="W92" s="57"/>
      <c r="X92" s="57"/>
      <c r="Y92" s="57"/>
      <c r="Z92" s="57"/>
      <c r="AA92" s="57"/>
      <c r="AB92" s="57"/>
      <c r="AC92" s="57"/>
      <c r="AD92" s="57"/>
    </row>
    <row r="93" spans="1:30" ht="15.75">
      <c r="A93" s="16">
        <v>44105</v>
      </c>
      <c r="B93" s="69">
        <v>31</v>
      </c>
      <c r="C93" s="56">
        <f>131.881</f>
        <v>131.881</v>
      </c>
      <c r="D93" s="56">
        <f>277.167</f>
        <v>277.16699999999997</v>
      </c>
      <c r="E93" s="64">
        <f>79.08</f>
        <v>79.08</v>
      </c>
      <c r="F93" s="56">
        <f>350.872-40-25-60-100</f>
        <v>125.87200000000001</v>
      </c>
      <c r="G93" s="59">
        <v>40</v>
      </c>
      <c r="H93" s="56">
        <f t="shared" si="15"/>
        <v>185</v>
      </c>
      <c r="I93" s="56">
        <f t="shared" si="7"/>
        <v>0</v>
      </c>
      <c r="J93" s="59">
        <v>100</v>
      </c>
      <c r="K93" s="59">
        <v>300</v>
      </c>
      <c r="L93" s="56">
        <f t="shared" si="11"/>
        <v>1239</v>
      </c>
      <c r="M93" s="66">
        <v>600</v>
      </c>
      <c r="N93" s="56">
        <f>75</f>
        <v>75</v>
      </c>
      <c r="O93" s="59">
        <v>240</v>
      </c>
      <c r="P93" s="59">
        <v>160</v>
      </c>
      <c r="Q93" s="59">
        <f t="shared" si="12"/>
        <v>195</v>
      </c>
      <c r="R93" s="59">
        <f t="shared" si="13"/>
        <v>100</v>
      </c>
      <c r="S93" s="56">
        <f t="shared" si="14"/>
        <v>695</v>
      </c>
      <c r="T93" s="56">
        <f>0</f>
        <v>0</v>
      </c>
      <c r="U93" s="57"/>
      <c r="V93" s="57"/>
      <c r="W93" s="57"/>
      <c r="X93" s="57"/>
      <c r="Y93" s="57"/>
      <c r="Z93" s="57"/>
      <c r="AA93" s="57"/>
      <c r="AB93" s="57"/>
      <c r="AC93" s="57"/>
      <c r="AD93" s="57"/>
    </row>
    <row r="94" spans="1:30" ht="15.75">
      <c r="A94" s="16">
        <v>44136</v>
      </c>
      <c r="B94" s="69">
        <v>30</v>
      </c>
      <c r="C94" s="56">
        <f>122.58</f>
        <v>122.58</v>
      </c>
      <c r="D94" s="56">
        <f>297.941</f>
        <v>297.94099999999997</v>
      </c>
      <c r="E94" s="64">
        <f>89.177</f>
        <v>89.177000000000007</v>
      </c>
      <c r="F94" s="56">
        <f>240.302-40-60-100</f>
        <v>40.301999999999992</v>
      </c>
      <c r="G94" s="59">
        <v>40</v>
      </c>
      <c r="H94" s="56">
        <f>60+100</f>
        <v>160</v>
      </c>
      <c r="I94" s="56">
        <f t="shared" si="7"/>
        <v>0</v>
      </c>
      <c r="J94" s="59">
        <v>100</v>
      </c>
      <c r="K94" s="59">
        <v>300</v>
      </c>
      <c r="L94" s="56">
        <f t="shared" si="11"/>
        <v>1150</v>
      </c>
      <c r="M94" s="66">
        <v>600</v>
      </c>
      <c r="N94" s="56">
        <f>100</f>
        <v>100</v>
      </c>
      <c r="O94" s="59">
        <v>240</v>
      </c>
      <c r="P94" s="59">
        <v>40</v>
      </c>
      <c r="Q94" s="59">
        <f t="shared" si="12"/>
        <v>315</v>
      </c>
      <c r="R94" s="59">
        <f t="shared" si="13"/>
        <v>100</v>
      </c>
      <c r="S94" s="56">
        <f t="shared" si="14"/>
        <v>695</v>
      </c>
      <c r="T94" s="56">
        <f>50</f>
        <v>50</v>
      </c>
      <c r="U94" s="57"/>
      <c r="V94" s="57"/>
      <c r="W94" s="57"/>
      <c r="X94" s="57"/>
      <c r="Y94" s="57"/>
      <c r="Z94" s="57"/>
      <c r="AA94" s="57"/>
      <c r="AB94" s="57"/>
      <c r="AC94" s="57"/>
      <c r="AD94" s="57"/>
    </row>
    <row r="95" spans="1:30" ht="15.75">
      <c r="A95" s="16">
        <v>44166</v>
      </c>
      <c r="B95" s="69">
        <v>31</v>
      </c>
      <c r="C95" s="56">
        <f>122.58</f>
        <v>122.58</v>
      </c>
      <c r="D95" s="56">
        <f>297.941</f>
        <v>297.94099999999997</v>
      </c>
      <c r="E95" s="64">
        <f>89.177</f>
        <v>89.177000000000007</v>
      </c>
      <c r="F95" s="56">
        <f>240.302-40-60-100</f>
        <v>40.301999999999992</v>
      </c>
      <c r="G95" s="59">
        <v>40</v>
      </c>
      <c r="H95" s="56">
        <f>60+100</f>
        <v>160</v>
      </c>
      <c r="I95" s="56">
        <f t="shared" si="7"/>
        <v>0</v>
      </c>
      <c r="J95" s="59">
        <v>100</v>
      </c>
      <c r="K95" s="59">
        <v>300</v>
      </c>
      <c r="L95" s="56">
        <f t="shared" si="11"/>
        <v>1150</v>
      </c>
      <c r="M95" s="66">
        <v>600</v>
      </c>
      <c r="N95" s="56">
        <f>100</f>
        <v>100</v>
      </c>
      <c r="O95" s="59">
        <v>240</v>
      </c>
      <c r="P95" s="59">
        <v>40</v>
      </c>
      <c r="Q95" s="59">
        <f t="shared" si="12"/>
        <v>315</v>
      </c>
      <c r="R95" s="59">
        <f t="shared" si="13"/>
        <v>100</v>
      </c>
      <c r="S95" s="56">
        <f t="shared" si="14"/>
        <v>695</v>
      </c>
      <c r="T95" s="56">
        <f>50</f>
        <v>50</v>
      </c>
      <c r="U95" s="57"/>
      <c r="V95" s="57"/>
      <c r="W95" s="57"/>
      <c r="X95" s="57"/>
      <c r="Y95" s="57"/>
      <c r="Z95" s="57"/>
      <c r="AA95" s="57"/>
      <c r="AB95" s="57"/>
      <c r="AC95" s="57"/>
      <c r="AD95" s="57"/>
    </row>
    <row r="96" spans="1:30" ht="15.75">
      <c r="A96" s="16">
        <v>44197</v>
      </c>
      <c r="B96" s="69">
        <v>31</v>
      </c>
      <c r="C96" s="56">
        <f>122.58</f>
        <v>122.58</v>
      </c>
      <c r="D96" s="56">
        <f>297.941</f>
        <v>297.94099999999997</v>
      </c>
      <c r="E96" s="64">
        <f>89.177</f>
        <v>89.177000000000007</v>
      </c>
      <c r="F96" s="56">
        <f>240.302-40-60-100</f>
        <v>40.301999999999992</v>
      </c>
      <c r="G96" s="59">
        <v>40</v>
      </c>
      <c r="H96" s="56">
        <f>60+100</f>
        <v>160</v>
      </c>
      <c r="I96" s="56">
        <f t="shared" si="7"/>
        <v>0</v>
      </c>
      <c r="J96" s="59">
        <v>100</v>
      </c>
      <c r="K96" s="59">
        <v>300</v>
      </c>
      <c r="L96" s="56">
        <f t="shared" si="11"/>
        <v>1150</v>
      </c>
      <c r="M96" s="66">
        <v>600</v>
      </c>
      <c r="N96" s="56">
        <f>100</f>
        <v>100</v>
      </c>
      <c r="O96" s="59">
        <v>240</v>
      </c>
      <c r="P96" s="59">
        <v>40</v>
      </c>
      <c r="Q96" s="59">
        <f t="shared" si="12"/>
        <v>315</v>
      </c>
      <c r="R96" s="59">
        <f t="shared" si="13"/>
        <v>100</v>
      </c>
      <c r="S96" s="56">
        <f t="shared" si="14"/>
        <v>695</v>
      </c>
      <c r="T96" s="56">
        <f>50</f>
        <v>50</v>
      </c>
      <c r="U96" s="57"/>
      <c r="V96" s="57"/>
      <c r="W96" s="57"/>
      <c r="X96" s="57"/>
      <c r="Y96" s="57"/>
      <c r="Z96" s="57"/>
      <c r="AA96" s="57"/>
      <c r="AB96" s="57"/>
      <c r="AC96" s="57"/>
      <c r="AD96" s="57"/>
    </row>
    <row r="97" spans="1:30" ht="15.75">
      <c r="A97" s="16">
        <v>44228</v>
      </c>
      <c r="B97" s="69">
        <v>28</v>
      </c>
      <c r="C97" s="56">
        <f>122.58</f>
        <v>122.58</v>
      </c>
      <c r="D97" s="56">
        <f>297.941</f>
        <v>297.94099999999997</v>
      </c>
      <c r="E97" s="64">
        <f>89.177</f>
        <v>89.177000000000007</v>
      </c>
      <c r="F97" s="56">
        <f>240.302-40-60-100</f>
        <v>40.301999999999992</v>
      </c>
      <c r="G97" s="59">
        <v>40</v>
      </c>
      <c r="H97" s="56">
        <f>60+100</f>
        <v>160</v>
      </c>
      <c r="I97" s="56">
        <f t="shared" si="7"/>
        <v>0</v>
      </c>
      <c r="J97" s="59">
        <v>100</v>
      </c>
      <c r="K97" s="59">
        <v>300</v>
      </c>
      <c r="L97" s="56">
        <f t="shared" si="11"/>
        <v>1150</v>
      </c>
      <c r="M97" s="66">
        <v>600</v>
      </c>
      <c r="N97" s="56">
        <f>100</f>
        <v>100</v>
      </c>
      <c r="O97" s="59">
        <v>240</v>
      </c>
      <c r="P97" s="59">
        <v>40</v>
      </c>
      <c r="Q97" s="59">
        <f t="shared" si="12"/>
        <v>315</v>
      </c>
      <c r="R97" s="59">
        <f t="shared" si="13"/>
        <v>100</v>
      </c>
      <c r="S97" s="56">
        <f t="shared" si="14"/>
        <v>695</v>
      </c>
      <c r="T97" s="56">
        <f>50</f>
        <v>50</v>
      </c>
      <c r="U97" s="57"/>
      <c r="V97" s="57"/>
      <c r="W97" s="57"/>
      <c r="X97" s="57"/>
      <c r="Y97" s="57"/>
      <c r="Z97" s="57"/>
      <c r="AA97" s="57"/>
      <c r="AB97" s="57"/>
      <c r="AC97" s="57"/>
      <c r="AD97" s="57"/>
    </row>
    <row r="98" spans="1:30" ht="15.75">
      <c r="A98" s="16">
        <v>44256</v>
      </c>
      <c r="B98" s="69">
        <v>31</v>
      </c>
      <c r="C98" s="56">
        <f>122.58</f>
        <v>122.58</v>
      </c>
      <c r="D98" s="56">
        <f>297.941</f>
        <v>297.94099999999997</v>
      </c>
      <c r="E98" s="64">
        <f>89.177</f>
        <v>89.177000000000007</v>
      </c>
      <c r="F98" s="56">
        <f>240.302-40-60-100</f>
        <v>40.301999999999992</v>
      </c>
      <c r="G98" s="59">
        <v>40</v>
      </c>
      <c r="H98" s="56">
        <f>60+100</f>
        <v>160</v>
      </c>
      <c r="I98" s="56">
        <f t="shared" si="7"/>
        <v>0</v>
      </c>
      <c r="J98" s="59">
        <v>100</v>
      </c>
      <c r="K98" s="59">
        <v>300</v>
      </c>
      <c r="L98" s="56">
        <f t="shared" si="11"/>
        <v>1150</v>
      </c>
      <c r="M98" s="66">
        <v>600</v>
      </c>
      <c r="N98" s="56">
        <f>100</f>
        <v>100</v>
      </c>
      <c r="O98" s="59">
        <v>240</v>
      </c>
      <c r="P98" s="59">
        <v>40</v>
      </c>
      <c r="Q98" s="59">
        <f t="shared" si="12"/>
        <v>315</v>
      </c>
      <c r="R98" s="59">
        <f t="shared" si="13"/>
        <v>100</v>
      </c>
      <c r="S98" s="56">
        <f t="shared" si="14"/>
        <v>695</v>
      </c>
      <c r="T98" s="56">
        <f>50</f>
        <v>50</v>
      </c>
      <c r="U98" s="57"/>
      <c r="V98" s="57"/>
      <c r="W98" s="57"/>
      <c r="X98" s="57"/>
      <c r="Y98" s="57"/>
      <c r="Z98" s="57"/>
      <c r="AA98" s="57"/>
      <c r="AB98" s="57"/>
      <c r="AC98" s="57"/>
      <c r="AD98" s="57"/>
    </row>
    <row r="99" spans="1:30" ht="15.75">
      <c r="A99" s="16">
        <v>44287</v>
      </c>
      <c r="B99" s="69">
        <v>30</v>
      </c>
      <c r="C99" s="56">
        <f>141.293</f>
        <v>141.29300000000001</v>
      </c>
      <c r="D99" s="56">
        <f>267.993</f>
        <v>267.99299999999999</v>
      </c>
      <c r="E99" s="64">
        <f>115.016</f>
        <v>115.01600000000001</v>
      </c>
      <c r="F99" s="56">
        <f>314.698-40-25-60-100</f>
        <v>89.697999999999979</v>
      </c>
      <c r="G99" s="59">
        <v>40</v>
      </c>
      <c r="H99" s="56">
        <f t="shared" ref="H99:H105" si="16">25+60+100</f>
        <v>185</v>
      </c>
      <c r="I99" s="56">
        <f t="shared" si="7"/>
        <v>0</v>
      </c>
      <c r="J99" s="59">
        <v>100</v>
      </c>
      <c r="K99" s="59">
        <v>300</v>
      </c>
      <c r="L99" s="56">
        <f t="shared" si="11"/>
        <v>1239</v>
      </c>
      <c r="M99" s="66">
        <v>600</v>
      </c>
      <c r="N99" s="56">
        <f>100</f>
        <v>100</v>
      </c>
      <c r="O99" s="59">
        <v>240</v>
      </c>
      <c r="P99" s="59">
        <v>160</v>
      </c>
      <c r="Q99" s="59">
        <f t="shared" si="12"/>
        <v>195</v>
      </c>
      <c r="R99" s="59">
        <f t="shared" si="13"/>
        <v>100</v>
      </c>
      <c r="S99" s="56">
        <f t="shared" si="14"/>
        <v>695</v>
      </c>
      <c r="T99" s="56">
        <f>50</f>
        <v>50</v>
      </c>
      <c r="U99" s="57"/>
      <c r="V99" s="57"/>
      <c r="W99" s="57"/>
      <c r="X99" s="57"/>
      <c r="Y99" s="57"/>
      <c r="Z99" s="57"/>
      <c r="AA99" s="57"/>
      <c r="AB99" s="57"/>
      <c r="AC99" s="57"/>
      <c r="AD99" s="57"/>
    </row>
    <row r="100" spans="1:30" ht="15.75">
      <c r="A100" s="16">
        <v>44317</v>
      </c>
      <c r="B100" s="69">
        <v>31</v>
      </c>
      <c r="C100" s="56">
        <f>194.205</f>
        <v>194.20500000000001</v>
      </c>
      <c r="D100" s="56">
        <f>267.466</f>
        <v>267.46600000000001</v>
      </c>
      <c r="E100" s="64">
        <f>133.845</f>
        <v>133.845</v>
      </c>
      <c r="F100" s="56">
        <f>278.484-40-25-60-100</f>
        <v>53.48399999999998</v>
      </c>
      <c r="G100" s="59">
        <v>40</v>
      </c>
      <c r="H100" s="56">
        <f t="shared" si="16"/>
        <v>185</v>
      </c>
      <c r="I100" s="56">
        <f t="shared" si="7"/>
        <v>0</v>
      </c>
      <c r="J100" s="59">
        <v>100</v>
      </c>
      <c r="K100" s="59">
        <v>300</v>
      </c>
      <c r="L100" s="56">
        <f t="shared" si="11"/>
        <v>1274</v>
      </c>
      <c r="M100" s="66">
        <v>600</v>
      </c>
      <c r="N100" s="56">
        <f>75</f>
        <v>75</v>
      </c>
      <c r="O100" s="59">
        <v>240</v>
      </c>
      <c r="P100" s="59">
        <v>160</v>
      </c>
      <c r="Q100" s="59">
        <f t="shared" si="12"/>
        <v>195</v>
      </c>
      <c r="R100" s="59">
        <f t="shared" si="13"/>
        <v>100</v>
      </c>
      <c r="S100" s="56">
        <f t="shared" si="14"/>
        <v>695</v>
      </c>
      <c r="T100" s="56">
        <f>50</f>
        <v>50</v>
      </c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</row>
    <row r="101" spans="1:30" ht="15.75">
      <c r="A101" s="16">
        <v>44348</v>
      </c>
      <c r="B101" s="69">
        <v>30</v>
      </c>
      <c r="C101" s="56">
        <f>194.205</f>
        <v>194.20500000000001</v>
      </c>
      <c r="D101" s="56">
        <f>267.466</f>
        <v>267.46600000000001</v>
      </c>
      <c r="E101" s="64">
        <f>133.845</f>
        <v>133.845</v>
      </c>
      <c r="F101" s="56">
        <f>278.484-40-25-60-100</f>
        <v>53.48399999999998</v>
      </c>
      <c r="G101" s="59">
        <v>40</v>
      </c>
      <c r="H101" s="56">
        <f t="shared" si="16"/>
        <v>185</v>
      </c>
      <c r="I101" s="56">
        <f t="shared" si="7"/>
        <v>0</v>
      </c>
      <c r="J101" s="59">
        <v>100</v>
      </c>
      <c r="K101" s="59">
        <v>300</v>
      </c>
      <c r="L101" s="56">
        <f t="shared" si="11"/>
        <v>1274</v>
      </c>
      <c r="M101" s="66">
        <v>600</v>
      </c>
      <c r="N101" s="56">
        <f>30</f>
        <v>30</v>
      </c>
      <c r="O101" s="59">
        <v>240</v>
      </c>
      <c r="P101" s="59">
        <v>160</v>
      </c>
      <c r="Q101" s="59">
        <f t="shared" si="12"/>
        <v>195</v>
      </c>
      <c r="R101" s="59">
        <f t="shared" si="13"/>
        <v>100</v>
      </c>
      <c r="S101" s="56">
        <f t="shared" si="14"/>
        <v>695</v>
      </c>
      <c r="T101" s="56">
        <f>50</f>
        <v>50</v>
      </c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</row>
    <row r="102" spans="1:30" ht="15.75">
      <c r="A102" s="16">
        <v>44378</v>
      </c>
      <c r="B102" s="69">
        <v>31</v>
      </c>
      <c r="C102" s="56">
        <f>194.205</f>
        <v>194.20500000000001</v>
      </c>
      <c r="D102" s="56">
        <f>267.466</f>
        <v>267.46600000000001</v>
      </c>
      <c r="E102" s="64">
        <f>133.845</f>
        <v>133.845</v>
      </c>
      <c r="F102" s="56">
        <f>278.484-40-25-60-100</f>
        <v>53.48399999999998</v>
      </c>
      <c r="G102" s="59">
        <v>40</v>
      </c>
      <c r="H102" s="56">
        <f t="shared" si="16"/>
        <v>185</v>
      </c>
      <c r="I102" s="56">
        <f t="shared" si="7"/>
        <v>0</v>
      </c>
      <c r="J102" s="59">
        <v>100</v>
      </c>
      <c r="K102" s="59">
        <v>300</v>
      </c>
      <c r="L102" s="56">
        <f t="shared" si="11"/>
        <v>1274</v>
      </c>
      <c r="M102" s="66">
        <v>600</v>
      </c>
      <c r="N102" s="56">
        <f>30</f>
        <v>30</v>
      </c>
      <c r="O102" s="59">
        <v>240</v>
      </c>
      <c r="P102" s="59">
        <v>160</v>
      </c>
      <c r="Q102" s="59">
        <f t="shared" si="12"/>
        <v>195</v>
      </c>
      <c r="R102" s="59">
        <f t="shared" si="13"/>
        <v>100</v>
      </c>
      <c r="S102" s="56">
        <f t="shared" si="14"/>
        <v>695</v>
      </c>
      <c r="T102" s="56">
        <f>0</f>
        <v>0</v>
      </c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</row>
    <row r="103" spans="1:30" ht="15.75">
      <c r="A103" s="16">
        <v>44409</v>
      </c>
      <c r="B103" s="69">
        <v>31</v>
      </c>
      <c r="C103" s="56">
        <f>194.205</f>
        <v>194.20500000000001</v>
      </c>
      <c r="D103" s="56">
        <f>267.466</f>
        <v>267.46600000000001</v>
      </c>
      <c r="E103" s="64">
        <f>133.845</f>
        <v>133.845</v>
      </c>
      <c r="F103" s="56">
        <f>278.484-40-25-60-100</f>
        <v>53.48399999999998</v>
      </c>
      <c r="G103" s="59">
        <v>40</v>
      </c>
      <c r="H103" s="56">
        <f t="shared" si="16"/>
        <v>185</v>
      </c>
      <c r="I103" s="56">
        <f t="shared" si="7"/>
        <v>0</v>
      </c>
      <c r="J103" s="59">
        <v>100</v>
      </c>
      <c r="K103" s="59">
        <v>300</v>
      </c>
      <c r="L103" s="56">
        <f t="shared" si="11"/>
        <v>1274</v>
      </c>
      <c r="M103" s="66">
        <v>600</v>
      </c>
      <c r="N103" s="56">
        <f>30</f>
        <v>30</v>
      </c>
      <c r="O103" s="59">
        <v>240</v>
      </c>
      <c r="P103" s="59">
        <v>160</v>
      </c>
      <c r="Q103" s="59">
        <f t="shared" si="12"/>
        <v>195</v>
      </c>
      <c r="R103" s="59">
        <f t="shared" si="13"/>
        <v>100</v>
      </c>
      <c r="S103" s="56">
        <f t="shared" si="14"/>
        <v>695</v>
      </c>
      <c r="T103" s="56">
        <f>0</f>
        <v>0</v>
      </c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</row>
    <row r="104" spans="1:30" ht="15.75">
      <c r="A104" s="16">
        <v>44440</v>
      </c>
      <c r="B104" s="69">
        <v>30</v>
      </c>
      <c r="C104" s="56">
        <f>194.205</f>
        <v>194.20500000000001</v>
      </c>
      <c r="D104" s="56">
        <f>267.466</f>
        <v>267.46600000000001</v>
      </c>
      <c r="E104" s="64">
        <f>133.845</f>
        <v>133.845</v>
      </c>
      <c r="F104" s="56">
        <f>278.484-40-25-60-100</f>
        <v>53.48399999999998</v>
      </c>
      <c r="G104" s="59">
        <v>40</v>
      </c>
      <c r="H104" s="56">
        <f t="shared" si="16"/>
        <v>185</v>
      </c>
      <c r="I104" s="56">
        <f t="shared" ref="I104:I167" si="17">400-J104-K104</f>
        <v>0</v>
      </c>
      <c r="J104" s="59">
        <v>100</v>
      </c>
      <c r="K104" s="59">
        <v>300</v>
      </c>
      <c r="L104" s="56">
        <f t="shared" si="11"/>
        <v>1274</v>
      </c>
      <c r="M104" s="66">
        <v>600</v>
      </c>
      <c r="N104" s="56">
        <f>30</f>
        <v>30</v>
      </c>
      <c r="O104" s="59">
        <v>240</v>
      </c>
      <c r="P104" s="59">
        <v>160</v>
      </c>
      <c r="Q104" s="59">
        <f t="shared" si="12"/>
        <v>195</v>
      </c>
      <c r="R104" s="59">
        <f t="shared" si="13"/>
        <v>100</v>
      </c>
      <c r="S104" s="56">
        <f t="shared" si="14"/>
        <v>695</v>
      </c>
      <c r="T104" s="56">
        <f>0</f>
        <v>0</v>
      </c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</row>
    <row r="105" spans="1:30" ht="15.75">
      <c r="A105" s="16">
        <v>44470</v>
      </c>
      <c r="B105" s="69">
        <v>31</v>
      </c>
      <c r="C105" s="56">
        <f>131.881</f>
        <v>131.881</v>
      </c>
      <c r="D105" s="56">
        <f>277.167</f>
        <v>277.16699999999997</v>
      </c>
      <c r="E105" s="64">
        <f>79.08</f>
        <v>79.08</v>
      </c>
      <c r="F105" s="56">
        <f>350.872-40-25-60-100</f>
        <v>125.87200000000001</v>
      </c>
      <c r="G105" s="59">
        <v>40</v>
      </c>
      <c r="H105" s="56">
        <f t="shared" si="16"/>
        <v>185</v>
      </c>
      <c r="I105" s="56">
        <f t="shared" si="17"/>
        <v>0</v>
      </c>
      <c r="J105" s="59">
        <v>100</v>
      </c>
      <c r="K105" s="59">
        <v>300</v>
      </c>
      <c r="L105" s="56">
        <f t="shared" si="11"/>
        <v>1239</v>
      </c>
      <c r="M105" s="66">
        <v>600</v>
      </c>
      <c r="N105" s="56">
        <f>75</f>
        <v>75</v>
      </c>
      <c r="O105" s="59">
        <v>240</v>
      </c>
      <c r="P105" s="59">
        <v>160</v>
      </c>
      <c r="Q105" s="59">
        <f t="shared" si="12"/>
        <v>195</v>
      </c>
      <c r="R105" s="59">
        <f t="shared" si="13"/>
        <v>100</v>
      </c>
      <c r="S105" s="56">
        <f t="shared" si="14"/>
        <v>695</v>
      </c>
      <c r="T105" s="56">
        <f>0</f>
        <v>0</v>
      </c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</row>
    <row r="106" spans="1:30" ht="15.75">
      <c r="A106" s="16">
        <v>44501</v>
      </c>
      <c r="B106" s="69">
        <v>30</v>
      </c>
      <c r="C106" s="56">
        <f>122.58</f>
        <v>122.58</v>
      </c>
      <c r="D106" s="56">
        <f>297.941</f>
        <v>297.94099999999997</v>
      </c>
      <c r="E106" s="64">
        <f>89.177</f>
        <v>89.177000000000007</v>
      </c>
      <c r="F106" s="56">
        <f>240.302-40-60-100</f>
        <v>40.301999999999992</v>
      </c>
      <c r="G106" s="59">
        <v>40</v>
      </c>
      <c r="H106" s="56">
        <f>60+100</f>
        <v>160</v>
      </c>
      <c r="I106" s="56">
        <f t="shared" si="17"/>
        <v>0</v>
      </c>
      <c r="J106" s="59">
        <v>100</v>
      </c>
      <c r="K106" s="59">
        <v>300</v>
      </c>
      <c r="L106" s="56">
        <f t="shared" si="11"/>
        <v>1150</v>
      </c>
      <c r="M106" s="66">
        <v>600</v>
      </c>
      <c r="N106" s="56">
        <f>100</f>
        <v>100</v>
      </c>
      <c r="O106" s="59">
        <v>240</v>
      </c>
      <c r="P106" s="59">
        <v>40</v>
      </c>
      <c r="Q106" s="59">
        <f t="shared" si="12"/>
        <v>315</v>
      </c>
      <c r="R106" s="59">
        <f t="shared" si="13"/>
        <v>100</v>
      </c>
      <c r="S106" s="56">
        <f t="shared" si="14"/>
        <v>695</v>
      </c>
      <c r="T106" s="56">
        <f>50</f>
        <v>50</v>
      </c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</row>
    <row r="107" spans="1:30" ht="15.75">
      <c r="A107" s="16">
        <v>44531</v>
      </c>
      <c r="B107" s="69">
        <v>31</v>
      </c>
      <c r="C107" s="56">
        <f>122.58</f>
        <v>122.58</v>
      </c>
      <c r="D107" s="56">
        <f>297.941</f>
        <v>297.94099999999997</v>
      </c>
      <c r="E107" s="64">
        <f>89.177</f>
        <v>89.177000000000007</v>
      </c>
      <c r="F107" s="56">
        <f>240.302-40-60-100</f>
        <v>40.301999999999992</v>
      </c>
      <c r="G107" s="59">
        <v>40</v>
      </c>
      <c r="H107" s="56">
        <f>60+100</f>
        <v>160</v>
      </c>
      <c r="I107" s="56">
        <f t="shared" si="17"/>
        <v>0</v>
      </c>
      <c r="J107" s="59">
        <v>100</v>
      </c>
      <c r="K107" s="59">
        <v>300</v>
      </c>
      <c r="L107" s="56">
        <f t="shared" si="11"/>
        <v>1150</v>
      </c>
      <c r="M107" s="66">
        <v>600</v>
      </c>
      <c r="N107" s="56">
        <f>100</f>
        <v>100</v>
      </c>
      <c r="O107" s="59">
        <v>240</v>
      </c>
      <c r="P107" s="59">
        <v>40</v>
      </c>
      <c r="Q107" s="59">
        <f t="shared" si="12"/>
        <v>315</v>
      </c>
      <c r="R107" s="59">
        <f t="shared" si="13"/>
        <v>100</v>
      </c>
      <c r="S107" s="56">
        <f t="shared" si="14"/>
        <v>695</v>
      </c>
      <c r="T107" s="56">
        <f>50</f>
        <v>50</v>
      </c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</row>
    <row r="108" spans="1:30" ht="15.75">
      <c r="A108" s="16">
        <v>44562</v>
      </c>
      <c r="B108" s="69">
        <v>31</v>
      </c>
      <c r="C108" s="56">
        <f>122.58</f>
        <v>122.58</v>
      </c>
      <c r="D108" s="56">
        <f>297.941</f>
        <v>297.94099999999997</v>
      </c>
      <c r="E108" s="64">
        <f>89.177</f>
        <v>89.177000000000007</v>
      </c>
      <c r="F108" s="56">
        <f>240.302-40-60-100</f>
        <v>40.301999999999992</v>
      </c>
      <c r="G108" s="59">
        <v>40</v>
      </c>
      <c r="H108" s="56">
        <f>60+100</f>
        <v>160</v>
      </c>
      <c r="I108" s="56">
        <f t="shared" si="17"/>
        <v>0</v>
      </c>
      <c r="J108" s="59">
        <v>100</v>
      </c>
      <c r="K108" s="59">
        <v>300</v>
      </c>
      <c r="L108" s="56">
        <f t="shared" si="11"/>
        <v>1150</v>
      </c>
      <c r="M108" s="66">
        <v>600</v>
      </c>
      <c r="N108" s="56">
        <f>100</f>
        <v>100</v>
      </c>
      <c r="O108" s="59">
        <v>240</v>
      </c>
      <c r="P108" s="59">
        <v>40</v>
      </c>
      <c r="Q108" s="59">
        <f t="shared" si="12"/>
        <v>315</v>
      </c>
      <c r="R108" s="59">
        <f t="shared" si="13"/>
        <v>100</v>
      </c>
      <c r="S108" s="56">
        <f t="shared" si="14"/>
        <v>695</v>
      </c>
      <c r="T108" s="56">
        <f>50</f>
        <v>50</v>
      </c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</row>
    <row r="109" spans="1:30" ht="15.75">
      <c r="A109" s="16">
        <v>44593</v>
      </c>
      <c r="B109" s="69">
        <v>28</v>
      </c>
      <c r="C109" s="56">
        <f>122.58</f>
        <v>122.58</v>
      </c>
      <c r="D109" s="56">
        <f>297.941</f>
        <v>297.94099999999997</v>
      </c>
      <c r="E109" s="64">
        <f>89.177</f>
        <v>89.177000000000007</v>
      </c>
      <c r="F109" s="56">
        <f>240.302-40-60-100</f>
        <v>40.301999999999992</v>
      </c>
      <c r="G109" s="59">
        <v>40</v>
      </c>
      <c r="H109" s="56">
        <f>60+100</f>
        <v>160</v>
      </c>
      <c r="I109" s="56">
        <f t="shared" si="17"/>
        <v>0</v>
      </c>
      <c r="J109" s="59">
        <v>100</v>
      </c>
      <c r="K109" s="59">
        <v>300</v>
      </c>
      <c r="L109" s="56">
        <f t="shared" si="11"/>
        <v>1150</v>
      </c>
      <c r="M109" s="66">
        <v>600</v>
      </c>
      <c r="N109" s="56">
        <f>100</f>
        <v>100</v>
      </c>
      <c r="O109" s="59">
        <v>240</v>
      </c>
      <c r="P109" s="59">
        <v>40</v>
      </c>
      <c r="Q109" s="59">
        <f t="shared" si="12"/>
        <v>315</v>
      </c>
      <c r="R109" s="59">
        <f t="shared" si="13"/>
        <v>100</v>
      </c>
      <c r="S109" s="56">
        <f t="shared" si="14"/>
        <v>695</v>
      </c>
      <c r="T109" s="56">
        <f>50</f>
        <v>50</v>
      </c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</row>
    <row r="110" spans="1:30" ht="15.75">
      <c r="A110" s="16">
        <v>44621</v>
      </c>
      <c r="B110" s="69">
        <v>31</v>
      </c>
      <c r="C110" s="56">
        <f>122.58</f>
        <v>122.58</v>
      </c>
      <c r="D110" s="56">
        <f>297.941</f>
        <v>297.94099999999997</v>
      </c>
      <c r="E110" s="64">
        <f>89.177</f>
        <v>89.177000000000007</v>
      </c>
      <c r="F110" s="56">
        <f>240.302-40-60-100</f>
        <v>40.301999999999992</v>
      </c>
      <c r="G110" s="59">
        <v>40</v>
      </c>
      <c r="H110" s="56">
        <f>60+100</f>
        <v>160</v>
      </c>
      <c r="I110" s="56">
        <f t="shared" si="17"/>
        <v>0</v>
      </c>
      <c r="J110" s="59">
        <v>100</v>
      </c>
      <c r="K110" s="59">
        <v>300</v>
      </c>
      <c r="L110" s="56">
        <f t="shared" si="11"/>
        <v>1150</v>
      </c>
      <c r="M110" s="66">
        <v>600</v>
      </c>
      <c r="N110" s="56">
        <f>100</f>
        <v>100</v>
      </c>
      <c r="O110" s="59">
        <v>240</v>
      </c>
      <c r="P110" s="59">
        <v>40</v>
      </c>
      <c r="Q110" s="59">
        <f t="shared" si="12"/>
        <v>315</v>
      </c>
      <c r="R110" s="59">
        <f t="shared" si="13"/>
        <v>100</v>
      </c>
      <c r="S110" s="56">
        <f t="shared" si="14"/>
        <v>695</v>
      </c>
      <c r="T110" s="56">
        <f>50</f>
        <v>50</v>
      </c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</row>
    <row r="111" spans="1:30" ht="15.75">
      <c r="A111" s="16">
        <v>44652</v>
      </c>
      <c r="B111" s="69">
        <v>30</v>
      </c>
      <c r="C111" s="56">
        <f>141.293</f>
        <v>141.29300000000001</v>
      </c>
      <c r="D111" s="56">
        <f>267.993</f>
        <v>267.99299999999999</v>
      </c>
      <c r="E111" s="64">
        <f>115.016</f>
        <v>115.01600000000001</v>
      </c>
      <c r="F111" s="56">
        <f>314.698-40-25-60-100</f>
        <v>89.697999999999979</v>
      </c>
      <c r="G111" s="59">
        <v>40</v>
      </c>
      <c r="H111" s="56">
        <f t="shared" ref="H111:H117" si="18">25+60+100</f>
        <v>185</v>
      </c>
      <c r="I111" s="56">
        <f t="shared" si="17"/>
        <v>0</v>
      </c>
      <c r="J111" s="59">
        <v>100</v>
      </c>
      <c r="K111" s="59">
        <v>300</v>
      </c>
      <c r="L111" s="56">
        <f t="shared" si="11"/>
        <v>1239</v>
      </c>
      <c r="M111" s="66">
        <v>600</v>
      </c>
      <c r="N111" s="56">
        <f>100</f>
        <v>100</v>
      </c>
      <c r="O111" s="59">
        <v>240</v>
      </c>
      <c r="P111" s="59">
        <v>160</v>
      </c>
      <c r="Q111" s="59">
        <f t="shared" si="12"/>
        <v>195</v>
      </c>
      <c r="R111" s="59">
        <f t="shared" si="13"/>
        <v>100</v>
      </c>
      <c r="S111" s="56">
        <f t="shared" si="14"/>
        <v>695</v>
      </c>
      <c r="T111" s="56">
        <f>50</f>
        <v>50</v>
      </c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</row>
    <row r="112" spans="1:30" ht="15.75">
      <c r="A112" s="16">
        <v>44682</v>
      </c>
      <c r="B112" s="69">
        <v>31</v>
      </c>
      <c r="C112" s="56">
        <f>194.205</f>
        <v>194.20500000000001</v>
      </c>
      <c r="D112" s="56">
        <f>267.466</f>
        <v>267.46600000000001</v>
      </c>
      <c r="E112" s="64">
        <f>133.845</f>
        <v>133.845</v>
      </c>
      <c r="F112" s="56">
        <f>278.484-40-25-60-100</f>
        <v>53.48399999999998</v>
      </c>
      <c r="G112" s="59">
        <v>40</v>
      </c>
      <c r="H112" s="56">
        <f t="shared" si="18"/>
        <v>185</v>
      </c>
      <c r="I112" s="56">
        <f t="shared" si="17"/>
        <v>0</v>
      </c>
      <c r="J112" s="59">
        <v>100</v>
      </c>
      <c r="K112" s="59">
        <v>300</v>
      </c>
      <c r="L112" s="56">
        <f t="shared" si="11"/>
        <v>1274</v>
      </c>
      <c r="M112" s="66">
        <v>600</v>
      </c>
      <c r="N112" s="56">
        <f>75</f>
        <v>75</v>
      </c>
      <c r="O112" s="59">
        <v>240</v>
      </c>
      <c r="P112" s="59">
        <v>160</v>
      </c>
      <c r="Q112" s="59">
        <f t="shared" si="12"/>
        <v>195</v>
      </c>
      <c r="R112" s="59">
        <f t="shared" si="13"/>
        <v>100</v>
      </c>
      <c r="S112" s="56">
        <f t="shared" si="14"/>
        <v>695</v>
      </c>
      <c r="T112" s="56">
        <f>50</f>
        <v>50</v>
      </c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</row>
    <row r="113" spans="1:30" ht="15.75">
      <c r="A113" s="16">
        <v>44713</v>
      </c>
      <c r="B113" s="69">
        <v>30</v>
      </c>
      <c r="C113" s="56">
        <f>194.205</f>
        <v>194.20500000000001</v>
      </c>
      <c r="D113" s="56">
        <f>267.466</f>
        <v>267.46600000000001</v>
      </c>
      <c r="E113" s="64">
        <f>133.845</f>
        <v>133.845</v>
      </c>
      <c r="F113" s="56">
        <f>278.484-40-25-60-100</f>
        <v>53.48399999999998</v>
      </c>
      <c r="G113" s="59">
        <v>40</v>
      </c>
      <c r="H113" s="56">
        <f t="shared" si="18"/>
        <v>185</v>
      </c>
      <c r="I113" s="56">
        <f t="shared" si="17"/>
        <v>0</v>
      </c>
      <c r="J113" s="59">
        <v>100</v>
      </c>
      <c r="K113" s="59">
        <v>300</v>
      </c>
      <c r="L113" s="56">
        <f t="shared" si="11"/>
        <v>1274</v>
      </c>
      <c r="M113" s="66">
        <v>600</v>
      </c>
      <c r="N113" s="56">
        <f>30</f>
        <v>30</v>
      </c>
      <c r="O113" s="59">
        <v>240</v>
      </c>
      <c r="P113" s="59">
        <v>160</v>
      </c>
      <c r="Q113" s="59">
        <f t="shared" si="12"/>
        <v>195</v>
      </c>
      <c r="R113" s="59">
        <f t="shared" si="13"/>
        <v>100</v>
      </c>
      <c r="S113" s="56">
        <f t="shared" si="14"/>
        <v>695</v>
      </c>
      <c r="T113" s="56">
        <f>50</f>
        <v>50</v>
      </c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</row>
    <row r="114" spans="1:30" ht="15.75">
      <c r="A114" s="16">
        <v>44743</v>
      </c>
      <c r="B114" s="69">
        <v>31</v>
      </c>
      <c r="C114" s="56">
        <f>194.205</f>
        <v>194.20500000000001</v>
      </c>
      <c r="D114" s="56">
        <f>267.466</f>
        <v>267.46600000000001</v>
      </c>
      <c r="E114" s="64">
        <f>133.845</f>
        <v>133.845</v>
      </c>
      <c r="F114" s="56">
        <f>278.484-40-25-60-100</f>
        <v>53.48399999999998</v>
      </c>
      <c r="G114" s="59">
        <v>40</v>
      </c>
      <c r="H114" s="56">
        <f t="shared" si="18"/>
        <v>185</v>
      </c>
      <c r="I114" s="56">
        <f t="shared" si="17"/>
        <v>0</v>
      </c>
      <c r="J114" s="59">
        <v>100</v>
      </c>
      <c r="K114" s="59">
        <v>300</v>
      </c>
      <c r="L114" s="56">
        <f t="shared" si="11"/>
        <v>1274</v>
      </c>
      <c r="M114" s="66">
        <v>600</v>
      </c>
      <c r="N114" s="56">
        <f>30</f>
        <v>30</v>
      </c>
      <c r="O114" s="59">
        <v>240</v>
      </c>
      <c r="P114" s="59">
        <v>160</v>
      </c>
      <c r="Q114" s="59">
        <f t="shared" si="12"/>
        <v>195</v>
      </c>
      <c r="R114" s="59">
        <f t="shared" si="13"/>
        <v>100</v>
      </c>
      <c r="S114" s="56">
        <f t="shared" si="14"/>
        <v>695</v>
      </c>
      <c r="T114" s="56">
        <f>0</f>
        <v>0</v>
      </c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</row>
    <row r="115" spans="1:30" ht="15.75">
      <c r="A115" s="16">
        <v>44774</v>
      </c>
      <c r="B115" s="69">
        <v>31</v>
      </c>
      <c r="C115" s="56">
        <f>194.205</f>
        <v>194.20500000000001</v>
      </c>
      <c r="D115" s="56">
        <f>267.466</f>
        <v>267.46600000000001</v>
      </c>
      <c r="E115" s="64">
        <f>133.845</f>
        <v>133.845</v>
      </c>
      <c r="F115" s="56">
        <f>278.484-40-25-60-100</f>
        <v>53.48399999999998</v>
      </c>
      <c r="G115" s="59">
        <v>40</v>
      </c>
      <c r="H115" s="56">
        <f t="shared" si="18"/>
        <v>185</v>
      </c>
      <c r="I115" s="56">
        <f t="shared" si="17"/>
        <v>0</v>
      </c>
      <c r="J115" s="59">
        <v>100</v>
      </c>
      <c r="K115" s="59">
        <v>300</v>
      </c>
      <c r="L115" s="56">
        <f t="shared" si="11"/>
        <v>1274</v>
      </c>
      <c r="M115" s="66">
        <v>600</v>
      </c>
      <c r="N115" s="56">
        <f>30</f>
        <v>30</v>
      </c>
      <c r="O115" s="59">
        <v>240</v>
      </c>
      <c r="P115" s="59">
        <v>160</v>
      </c>
      <c r="Q115" s="59">
        <f t="shared" si="12"/>
        <v>195</v>
      </c>
      <c r="R115" s="59">
        <f t="shared" si="13"/>
        <v>100</v>
      </c>
      <c r="S115" s="56">
        <f t="shared" si="14"/>
        <v>695</v>
      </c>
      <c r="T115" s="56">
        <f>0</f>
        <v>0</v>
      </c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</row>
    <row r="116" spans="1:30" ht="15.75">
      <c r="A116" s="16">
        <v>44805</v>
      </c>
      <c r="B116" s="69">
        <v>30</v>
      </c>
      <c r="C116" s="56">
        <f>194.205</f>
        <v>194.20500000000001</v>
      </c>
      <c r="D116" s="56">
        <f>267.466</f>
        <v>267.46600000000001</v>
      </c>
      <c r="E116" s="64">
        <f>133.845</f>
        <v>133.845</v>
      </c>
      <c r="F116" s="56">
        <f>278.484-40-25-60-100</f>
        <v>53.48399999999998</v>
      </c>
      <c r="G116" s="59">
        <v>40</v>
      </c>
      <c r="H116" s="56">
        <f t="shared" si="18"/>
        <v>185</v>
      </c>
      <c r="I116" s="56">
        <f t="shared" si="17"/>
        <v>0</v>
      </c>
      <c r="J116" s="59">
        <v>100</v>
      </c>
      <c r="K116" s="59">
        <v>300</v>
      </c>
      <c r="L116" s="56">
        <f t="shared" si="11"/>
        <v>1274</v>
      </c>
      <c r="M116" s="66">
        <v>600</v>
      </c>
      <c r="N116" s="56">
        <f>30</f>
        <v>30</v>
      </c>
      <c r="O116" s="59">
        <v>240</v>
      </c>
      <c r="P116" s="59">
        <v>160</v>
      </c>
      <c r="Q116" s="59">
        <f t="shared" si="12"/>
        <v>195</v>
      </c>
      <c r="R116" s="59">
        <f t="shared" si="13"/>
        <v>100</v>
      </c>
      <c r="S116" s="56">
        <f t="shared" si="14"/>
        <v>695</v>
      </c>
      <c r="T116" s="56">
        <f>0</f>
        <v>0</v>
      </c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</row>
    <row r="117" spans="1:30" ht="15.75">
      <c r="A117" s="16">
        <v>44835</v>
      </c>
      <c r="B117" s="69">
        <v>31</v>
      </c>
      <c r="C117" s="56">
        <f>131.881</f>
        <v>131.881</v>
      </c>
      <c r="D117" s="56">
        <f>277.167</f>
        <v>277.16699999999997</v>
      </c>
      <c r="E117" s="64">
        <f>79.08</f>
        <v>79.08</v>
      </c>
      <c r="F117" s="56">
        <f>350.872-40-25-60-100</f>
        <v>125.87200000000001</v>
      </c>
      <c r="G117" s="59">
        <v>40</v>
      </c>
      <c r="H117" s="56">
        <f t="shared" si="18"/>
        <v>185</v>
      </c>
      <c r="I117" s="56">
        <f t="shared" si="17"/>
        <v>0</v>
      </c>
      <c r="J117" s="59">
        <v>100</v>
      </c>
      <c r="K117" s="59">
        <v>300</v>
      </c>
      <c r="L117" s="56">
        <f t="shared" si="11"/>
        <v>1239</v>
      </c>
      <c r="M117" s="66">
        <v>600</v>
      </c>
      <c r="N117" s="56">
        <f>75</f>
        <v>75</v>
      </c>
      <c r="O117" s="59">
        <v>240</v>
      </c>
      <c r="P117" s="59">
        <v>160</v>
      </c>
      <c r="Q117" s="59">
        <f t="shared" si="12"/>
        <v>195</v>
      </c>
      <c r="R117" s="59">
        <f t="shared" si="13"/>
        <v>100</v>
      </c>
      <c r="S117" s="56">
        <f t="shared" si="14"/>
        <v>695</v>
      </c>
      <c r="T117" s="56">
        <f>0</f>
        <v>0</v>
      </c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</row>
    <row r="118" spans="1:30" ht="15.75">
      <c r="A118" s="16">
        <v>44866</v>
      </c>
      <c r="B118" s="69">
        <v>30</v>
      </c>
      <c r="C118" s="56">
        <f>122.58</f>
        <v>122.58</v>
      </c>
      <c r="D118" s="56">
        <f>297.941</f>
        <v>297.94099999999997</v>
      </c>
      <c r="E118" s="64">
        <f>89.177</f>
        <v>89.177000000000007</v>
      </c>
      <c r="F118" s="56">
        <f>240.302-40-60-100</f>
        <v>40.301999999999992</v>
      </c>
      <c r="G118" s="59">
        <v>40</v>
      </c>
      <c r="H118" s="56">
        <f>60+100</f>
        <v>160</v>
      </c>
      <c r="I118" s="56">
        <f t="shared" si="17"/>
        <v>0</v>
      </c>
      <c r="J118" s="59">
        <v>100</v>
      </c>
      <c r="K118" s="59">
        <v>300</v>
      </c>
      <c r="L118" s="56">
        <f t="shared" si="11"/>
        <v>1150</v>
      </c>
      <c r="M118" s="66">
        <v>600</v>
      </c>
      <c r="N118" s="56">
        <f>100</f>
        <v>100</v>
      </c>
      <c r="O118" s="59">
        <v>240</v>
      </c>
      <c r="P118" s="59">
        <v>40</v>
      </c>
      <c r="Q118" s="59">
        <f t="shared" si="12"/>
        <v>315</v>
      </c>
      <c r="R118" s="59">
        <f t="shared" si="13"/>
        <v>100</v>
      </c>
      <c r="S118" s="56">
        <f t="shared" si="14"/>
        <v>695</v>
      </c>
      <c r="T118" s="56">
        <f>50</f>
        <v>50</v>
      </c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</row>
    <row r="119" spans="1:30" ht="15.75">
      <c r="A119" s="16">
        <v>44896</v>
      </c>
      <c r="B119" s="69">
        <v>31</v>
      </c>
      <c r="C119" s="56">
        <f>122.58</f>
        <v>122.58</v>
      </c>
      <c r="D119" s="56">
        <f>297.941</f>
        <v>297.94099999999997</v>
      </c>
      <c r="E119" s="64">
        <f>89.177</f>
        <v>89.177000000000007</v>
      </c>
      <c r="F119" s="56">
        <f>240.302-40-60-100</f>
        <v>40.301999999999992</v>
      </c>
      <c r="G119" s="59">
        <v>40</v>
      </c>
      <c r="H119" s="56">
        <f>60+100</f>
        <v>160</v>
      </c>
      <c r="I119" s="56">
        <f t="shared" si="17"/>
        <v>0</v>
      </c>
      <c r="J119" s="59">
        <v>100</v>
      </c>
      <c r="K119" s="59">
        <v>300</v>
      </c>
      <c r="L119" s="56">
        <f t="shared" si="11"/>
        <v>1150</v>
      </c>
      <c r="M119" s="66">
        <v>600</v>
      </c>
      <c r="N119" s="56">
        <f>100</f>
        <v>100</v>
      </c>
      <c r="O119" s="59">
        <v>240</v>
      </c>
      <c r="P119" s="59">
        <v>40</v>
      </c>
      <c r="Q119" s="59">
        <f t="shared" si="12"/>
        <v>315</v>
      </c>
      <c r="R119" s="59">
        <f t="shared" si="13"/>
        <v>100</v>
      </c>
      <c r="S119" s="56">
        <f t="shared" si="14"/>
        <v>695</v>
      </c>
      <c r="T119" s="56">
        <f>50</f>
        <v>50</v>
      </c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</row>
    <row r="120" spans="1:30" ht="15.75">
      <c r="A120" s="16">
        <v>44927</v>
      </c>
      <c r="B120" s="69">
        <v>31</v>
      </c>
      <c r="C120" s="56">
        <f>122.58</f>
        <v>122.58</v>
      </c>
      <c r="D120" s="56">
        <f>297.941</f>
        <v>297.94099999999997</v>
      </c>
      <c r="E120" s="64">
        <f>89.177</f>
        <v>89.177000000000007</v>
      </c>
      <c r="F120" s="56">
        <f>240.302-40-60-100</f>
        <v>40.301999999999992</v>
      </c>
      <c r="G120" s="59">
        <v>40</v>
      </c>
      <c r="H120" s="56">
        <f>60+100</f>
        <v>160</v>
      </c>
      <c r="I120" s="56">
        <f t="shared" si="17"/>
        <v>0</v>
      </c>
      <c r="J120" s="59">
        <v>100</v>
      </c>
      <c r="K120" s="59">
        <v>300</v>
      </c>
      <c r="L120" s="56">
        <f t="shared" si="11"/>
        <v>1150</v>
      </c>
      <c r="M120" s="66">
        <v>600</v>
      </c>
      <c r="N120" s="56">
        <f>100</f>
        <v>100</v>
      </c>
      <c r="O120" s="59">
        <v>240</v>
      </c>
      <c r="P120" s="59">
        <v>40</v>
      </c>
      <c r="Q120" s="59">
        <f t="shared" si="12"/>
        <v>315</v>
      </c>
      <c r="R120" s="59">
        <f t="shared" si="13"/>
        <v>100</v>
      </c>
      <c r="S120" s="56">
        <f t="shared" si="14"/>
        <v>695</v>
      </c>
      <c r="T120" s="56">
        <f>50</f>
        <v>50</v>
      </c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</row>
    <row r="121" spans="1:30" ht="15.75">
      <c r="A121" s="16">
        <v>44958</v>
      </c>
      <c r="B121" s="69">
        <v>28</v>
      </c>
      <c r="C121" s="56">
        <f>122.58</f>
        <v>122.58</v>
      </c>
      <c r="D121" s="56">
        <f>297.941</f>
        <v>297.94099999999997</v>
      </c>
      <c r="E121" s="64">
        <f>89.177</f>
        <v>89.177000000000007</v>
      </c>
      <c r="F121" s="56">
        <f>240.302-40-60-100</f>
        <v>40.301999999999992</v>
      </c>
      <c r="G121" s="59">
        <v>40</v>
      </c>
      <c r="H121" s="56">
        <f>60+100</f>
        <v>160</v>
      </c>
      <c r="I121" s="56">
        <f t="shared" si="17"/>
        <v>0</v>
      </c>
      <c r="J121" s="59">
        <v>100</v>
      </c>
      <c r="K121" s="59">
        <v>300</v>
      </c>
      <c r="L121" s="56">
        <f t="shared" si="11"/>
        <v>1150</v>
      </c>
      <c r="M121" s="66">
        <v>600</v>
      </c>
      <c r="N121" s="56">
        <f>100</f>
        <v>100</v>
      </c>
      <c r="O121" s="59">
        <v>240</v>
      </c>
      <c r="P121" s="59">
        <v>40</v>
      </c>
      <c r="Q121" s="59">
        <f t="shared" si="12"/>
        <v>315</v>
      </c>
      <c r="R121" s="59">
        <f t="shared" si="13"/>
        <v>100</v>
      </c>
      <c r="S121" s="56">
        <f t="shared" si="14"/>
        <v>695</v>
      </c>
      <c r="T121" s="56">
        <f>50</f>
        <v>50</v>
      </c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</row>
    <row r="122" spans="1:30" ht="15.75">
      <c r="A122" s="16">
        <v>44986</v>
      </c>
      <c r="B122" s="69">
        <v>31</v>
      </c>
      <c r="C122" s="56">
        <f>122.58</f>
        <v>122.58</v>
      </c>
      <c r="D122" s="56">
        <f>297.941</f>
        <v>297.94099999999997</v>
      </c>
      <c r="E122" s="64">
        <f>89.177</f>
        <v>89.177000000000007</v>
      </c>
      <c r="F122" s="56">
        <f>240.302-40-60-100</f>
        <v>40.301999999999992</v>
      </c>
      <c r="G122" s="59">
        <v>40</v>
      </c>
      <c r="H122" s="56">
        <f>60+100</f>
        <v>160</v>
      </c>
      <c r="I122" s="56">
        <f t="shared" si="17"/>
        <v>0</v>
      </c>
      <c r="J122" s="59">
        <v>100</v>
      </c>
      <c r="K122" s="59">
        <v>300</v>
      </c>
      <c r="L122" s="56">
        <f t="shared" si="11"/>
        <v>1150</v>
      </c>
      <c r="M122" s="66">
        <v>600</v>
      </c>
      <c r="N122" s="56">
        <f>100</f>
        <v>100</v>
      </c>
      <c r="O122" s="59">
        <v>240</v>
      </c>
      <c r="P122" s="59">
        <v>40</v>
      </c>
      <c r="Q122" s="59">
        <f t="shared" si="12"/>
        <v>315</v>
      </c>
      <c r="R122" s="59">
        <f t="shared" si="13"/>
        <v>100</v>
      </c>
      <c r="S122" s="56">
        <f t="shared" si="14"/>
        <v>695</v>
      </c>
      <c r="T122" s="56">
        <f>50</f>
        <v>50</v>
      </c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</row>
    <row r="123" spans="1:30" ht="15.75">
      <c r="A123" s="16">
        <v>45017</v>
      </c>
      <c r="B123" s="69">
        <v>30</v>
      </c>
      <c r="C123" s="56">
        <f>141.293</f>
        <v>141.29300000000001</v>
      </c>
      <c r="D123" s="56">
        <f>267.993</f>
        <v>267.99299999999999</v>
      </c>
      <c r="E123" s="64">
        <f>115.016</f>
        <v>115.01600000000001</v>
      </c>
      <c r="F123" s="56">
        <f>314.698-40-25-60-100</f>
        <v>89.697999999999979</v>
      </c>
      <c r="G123" s="59">
        <v>40</v>
      </c>
      <c r="H123" s="56">
        <f t="shared" ref="H123:H129" si="19">25+60+100</f>
        <v>185</v>
      </c>
      <c r="I123" s="56">
        <f t="shared" si="17"/>
        <v>0</v>
      </c>
      <c r="J123" s="59">
        <v>100</v>
      </c>
      <c r="K123" s="59">
        <v>300</v>
      </c>
      <c r="L123" s="56">
        <f t="shared" si="11"/>
        <v>1239</v>
      </c>
      <c r="M123" s="66">
        <v>600</v>
      </c>
      <c r="N123" s="56">
        <f>100</f>
        <v>100</v>
      </c>
      <c r="O123" s="59">
        <v>240</v>
      </c>
      <c r="P123" s="59">
        <v>160</v>
      </c>
      <c r="Q123" s="59">
        <f t="shared" si="12"/>
        <v>195</v>
      </c>
      <c r="R123" s="59">
        <f t="shared" si="13"/>
        <v>100</v>
      </c>
      <c r="S123" s="56">
        <f t="shared" si="14"/>
        <v>695</v>
      </c>
      <c r="T123" s="56">
        <f>50</f>
        <v>50</v>
      </c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</row>
    <row r="124" spans="1:30" ht="15.75">
      <c r="A124" s="16">
        <v>45047</v>
      </c>
      <c r="B124" s="69">
        <v>31</v>
      </c>
      <c r="C124" s="56">
        <f>194.205</f>
        <v>194.20500000000001</v>
      </c>
      <c r="D124" s="56">
        <f>267.466</f>
        <v>267.46600000000001</v>
      </c>
      <c r="E124" s="64">
        <f>133.845</f>
        <v>133.845</v>
      </c>
      <c r="F124" s="56">
        <f>278.484-40-25-60-100</f>
        <v>53.48399999999998</v>
      </c>
      <c r="G124" s="59">
        <v>40</v>
      </c>
      <c r="H124" s="56">
        <f t="shared" si="19"/>
        <v>185</v>
      </c>
      <c r="I124" s="56">
        <f t="shared" si="17"/>
        <v>0</v>
      </c>
      <c r="J124" s="59">
        <v>100</v>
      </c>
      <c r="K124" s="59">
        <v>300</v>
      </c>
      <c r="L124" s="56">
        <f t="shared" si="11"/>
        <v>1274</v>
      </c>
      <c r="M124" s="66">
        <v>600</v>
      </c>
      <c r="N124" s="56">
        <f>75</f>
        <v>75</v>
      </c>
      <c r="O124" s="59">
        <v>240</v>
      </c>
      <c r="P124" s="59">
        <v>160</v>
      </c>
      <c r="Q124" s="59">
        <f t="shared" si="12"/>
        <v>195</v>
      </c>
      <c r="R124" s="59">
        <f t="shared" si="13"/>
        <v>100</v>
      </c>
      <c r="S124" s="56">
        <f t="shared" si="14"/>
        <v>695</v>
      </c>
      <c r="T124" s="56">
        <f>50</f>
        <v>50</v>
      </c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</row>
    <row r="125" spans="1:30" ht="15.75">
      <c r="A125" s="16">
        <v>45078</v>
      </c>
      <c r="B125" s="69">
        <v>30</v>
      </c>
      <c r="C125" s="56">
        <f>194.205</f>
        <v>194.20500000000001</v>
      </c>
      <c r="D125" s="56">
        <f>267.466</f>
        <v>267.46600000000001</v>
      </c>
      <c r="E125" s="64">
        <f>133.845</f>
        <v>133.845</v>
      </c>
      <c r="F125" s="56">
        <f>278.484-40-25-60-100</f>
        <v>53.48399999999998</v>
      </c>
      <c r="G125" s="59">
        <v>40</v>
      </c>
      <c r="H125" s="56">
        <f t="shared" si="19"/>
        <v>185</v>
      </c>
      <c r="I125" s="56">
        <f t="shared" si="17"/>
        <v>0</v>
      </c>
      <c r="J125" s="59">
        <v>100</v>
      </c>
      <c r="K125" s="59">
        <v>300</v>
      </c>
      <c r="L125" s="56">
        <f t="shared" si="11"/>
        <v>1274</v>
      </c>
      <c r="M125" s="66">
        <v>600</v>
      </c>
      <c r="N125" s="56">
        <f>30</f>
        <v>30</v>
      </c>
      <c r="O125" s="59">
        <v>240</v>
      </c>
      <c r="P125" s="59">
        <v>160</v>
      </c>
      <c r="Q125" s="59">
        <f t="shared" si="12"/>
        <v>195</v>
      </c>
      <c r="R125" s="59">
        <f t="shared" si="13"/>
        <v>100</v>
      </c>
      <c r="S125" s="56">
        <f t="shared" si="14"/>
        <v>695</v>
      </c>
      <c r="T125" s="56">
        <f>50</f>
        <v>50</v>
      </c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</row>
    <row r="126" spans="1:30" ht="15.75">
      <c r="A126" s="16">
        <v>45108</v>
      </c>
      <c r="B126" s="69">
        <v>31</v>
      </c>
      <c r="C126" s="56">
        <f>194.205</f>
        <v>194.20500000000001</v>
      </c>
      <c r="D126" s="56">
        <f>267.466</f>
        <v>267.46600000000001</v>
      </c>
      <c r="E126" s="64">
        <f>133.845</f>
        <v>133.845</v>
      </c>
      <c r="F126" s="56">
        <f>278.484-40-25-60-100</f>
        <v>53.48399999999998</v>
      </c>
      <c r="G126" s="59">
        <v>40</v>
      </c>
      <c r="H126" s="56">
        <f t="shared" si="19"/>
        <v>185</v>
      </c>
      <c r="I126" s="56">
        <f t="shared" si="17"/>
        <v>0</v>
      </c>
      <c r="J126" s="59">
        <v>100</v>
      </c>
      <c r="K126" s="59">
        <v>300</v>
      </c>
      <c r="L126" s="56">
        <f t="shared" si="11"/>
        <v>1274</v>
      </c>
      <c r="M126" s="66">
        <v>600</v>
      </c>
      <c r="N126" s="56">
        <f>30</f>
        <v>30</v>
      </c>
      <c r="O126" s="59">
        <v>240</v>
      </c>
      <c r="P126" s="59">
        <v>160</v>
      </c>
      <c r="Q126" s="59">
        <f t="shared" si="12"/>
        <v>195</v>
      </c>
      <c r="R126" s="59">
        <f t="shared" si="13"/>
        <v>100</v>
      </c>
      <c r="S126" s="56">
        <f t="shared" si="14"/>
        <v>695</v>
      </c>
      <c r="T126" s="56">
        <f>0</f>
        <v>0</v>
      </c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</row>
    <row r="127" spans="1:30" ht="15.75">
      <c r="A127" s="16">
        <v>45139</v>
      </c>
      <c r="B127" s="69">
        <v>31</v>
      </c>
      <c r="C127" s="56">
        <f>194.205</f>
        <v>194.20500000000001</v>
      </c>
      <c r="D127" s="56">
        <f>267.466</f>
        <v>267.46600000000001</v>
      </c>
      <c r="E127" s="64">
        <f>133.845</f>
        <v>133.845</v>
      </c>
      <c r="F127" s="56">
        <f>278.484-40-25-60-100</f>
        <v>53.48399999999998</v>
      </c>
      <c r="G127" s="59">
        <v>40</v>
      </c>
      <c r="H127" s="56">
        <f t="shared" si="19"/>
        <v>185</v>
      </c>
      <c r="I127" s="56">
        <f t="shared" si="17"/>
        <v>0</v>
      </c>
      <c r="J127" s="59">
        <v>100</v>
      </c>
      <c r="K127" s="59">
        <v>300</v>
      </c>
      <c r="L127" s="56">
        <f t="shared" si="11"/>
        <v>1274</v>
      </c>
      <c r="M127" s="66">
        <v>600</v>
      </c>
      <c r="N127" s="56">
        <f>30</f>
        <v>30</v>
      </c>
      <c r="O127" s="59">
        <v>240</v>
      </c>
      <c r="P127" s="59">
        <v>160</v>
      </c>
      <c r="Q127" s="59">
        <f t="shared" si="12"/>
        <v>195</v>
      </c>
      <c r="R127" s="59">
        <f t="shared" si="13"/>
        <v>100</v>
      </c>
      <c r="S127" s="56">
        <f t="shared" si="14"/>
        <v>695</v>
      </c>
      <c r="T127" s="56">
        <f>0</f>
        <v>0</v>
      </c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</row>
    <row r="128" spans="1:30" ht="15.75">
      <c r="A128" s="16">
        <v>45170</v>
      </c>
      <c r="B128" s="69">
        <v>30</v>
      </c>
      <c r="C128" s="56">
        <f>194.205</f>
        <v>194.20500000000001</v>
      </c>
      <c r="D128" s="56">
        <f>267.466</f>
        <v>267.46600000000001</v>
      </c>
      <c r="E128" s="64">
        <f>133.845</f>
        <v>133.845</v>
      </c>
      <c r="F128" s="56">
        <f>278.484-40-25-60-100</f>
        <v>53.48399999999998</v>
      </c>
      <c r="G128" s="59">
        <v>40</v>
      </c>
      <c r="H128" s="56">
        <f t="shared" si="19"/>
        <v>185</v>
      </c>
      <c r="I128" s="56">
        <f t="shared" si="17"/>
        <v>0</v>
      </c>
      <c r="J128" s="59">
        <v>100</v>
      </c>
      <c r="K128" s="59">
        <v>300</v>
      </c>
      <c r="L128" s="56">
        <f t="shared" si="11"/>
        <v>1274</v>
      </c>
      <c r="M128" s="66">
        <v>600</v>
      </c>
      <c r="N128" s="56">
        <f>30</f>
        <v>30</v>
      </c>
      <c r="O128" s="59">
        <v>240</v>
      </c>
      <c r="P128" s="59">
        <v>160</v>
      </c>
      <c r="Q128" s="59">
        <f t="shared" si="12"/>
        <v>195</v>
      </c>
      <c r="R128" s="59">
        <f t="shared" si="13"/>
        <v>100</v>
      </c>
      <c r="S128" s="56">
        <f t="shared" si="14"/>
        <v>695</v>
      </c>
      <c r="T128" s="56">
        <f>0</f>
        <v>0</v>
      </c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</row>
    <row r="129" spans="1:30" ht="15.75">
      <c r="A129" s="16">
        <v>45200</v>
      </c>
      <c r="B129" s="69">
        <v>31</v>
      </c>
      <c r="C129" s="56">
        <f>131.881</f>
        <v>131.881</v>
      </c>
      <c r="D129" s="56">
        <f>277.167</f>
        <v>277.16699999999997</v>
      </c>
      <c r="E129" s="64">
        <f>79.08</f>
        <v>79.08</v>
      </c>
      <c r="F129" s="56">
        <f>350.872-40-25-60-100</f>
        <v>125.87200000000001</v>
      </c>
      <c r="G129" s="59">
        <v>40</v>
      </c>
      <c r="H129" s="56">
        <f t="shared" si="19"/>
        <v>185</v>
      </c>
      <c r="I129" s="56">
        <f t="shared" si="17"/>
        <v>0</v>
      </c>
      <c r="J129" s="59">
        <v>100</v>
      </c>
      <c r="K129" s="59">
        <v>300</v>
      </c>
      <c r="L129" s="56">
        <f t="shared" si="11"/>
        <v>1239</v>
      </c>
      <c r="M129" s="66">
        <v>600</v>
      </c>
      <c r="N129" s="56">
        <f>75</f>
        <v>75</v>
      </c>
      <c r="O129" s="59">
        <v>240</v>
      </c>
      <c r="P129" s="59">
        <v>160</v>
      </c>
      <c r="Q129" s="59">
        <f t="shared" si="12"/>
        <v>195</v>
      </c>
      <c r="R129" s="59">
        <f t="shared" si="13"/>
        <v>100</v>
      </c>
      <c r="S129" s="56">
        <f t="shared" si="14"/>
        <v>695</v>
      </c>
      <c r="T129" s="56">
        <f>0</f>
        <v>0</v>
      </c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</row>
    <row r="130" spans="1:30" ht="15.75">
      <c r="A130" s="16">
        <v>45231</v>
      </c>
      <c r="B130" s="69">
        <v>30</v>
      </c>
      <c r="C130" s="56">
        <f>122.58</f>
        <v>122.58</v>
      </c>
      <c r="D130" s="56">
        <f>297.941</f>
        <v>297.94099999999997</v>
      </c>
      <c r="E130" s="64">
        <f>89.177</f>
        <v>89.177000000000007</v>
      </c>
      <c r="F130" s="56">
        <f>240.302-40-60-100</f>
        <v>40.301999999999992</v>
      </c>
      <c r="G130" s="59">
        <v>40</v>
      </c>
      <c r="H130" s="56">
        <f>60+100</f>
        <v>160</v>
      </c>
      <c r="I130" s="56">
        <f t="shared" si="17"/>
        <v>0</v>
      </c>
      <c r="J130" s="59">
        <v>100</v>
      </c>
      <c r="K130" s="59">
        <v>300</v>
      </c>
      <c r="L130" s="56">
        <f t="shared" si="11"/>
        <v>1150</v>
      </c>
      <c r="M130" s="66">
        <v>600</v>
      </c>
      <c r="N130" s="56">
        <f>100</f>
        <v>100</v>
      </c>
      <c r="O130" s="59">
        <v>240</v>
      </c>
      <c r="P130" s="59">
        <v>40</v>
      </c>
      <c r="Q130" s="59">
        <f t="shared" si="12"/>
        <v>315</v>
      </c>
      <c r="R130" s="59">
        <f t="shared" si="13"/>
        <v>100</v>
      </c>
      <c r="S130" s="56">
        <f t="shared" si="14"/>
        <v>695</v>
      </c>
      <c r="T130" s="56">
        <f>50</f>
        <v>50</v>
      </c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</row>
    <row r="131" spans="1:30" ht="15.75">
      <c r="A131" s="16">
        <v>45261</v>
      </c>
      <c r="B131" s="69">
        <v>31</v>
      </c>
      <c r="C131" s="56">
        <f>122.58</f>
        <v>122.58</v>
      </c>
      <c r="D131" s="56">
        <f>297.941</f>
        <v>297.94099999999997</v>
      </c>
      <c r="E131" s="64">
        <f>89.177</f>
        <v>89.177000000000007</v>
      </c>
      <c r="F131" s="56">
        <f>240.302-40-60-100</f>
        <v>40.301999999999992</v>
      </c>
      <c r="G131" s="59">
        <v>40</v>
      </c>
      <c r="H131" s="56">
        <f>60+100</f>
        <v>160</v>
      </c>
      <c r="I131" s="56">
        <f t="shared" si="17"/>
        <v>0</v>
      </c>
      <c r="J131" s="59">
        <v>100</v>
      </c>
      <c r="K131" s="59">
        <v>300</v>
      </c>
      <c r="L131" s="56">
        <f t="shared" si="11"/>
        <v>1150</v>
      </c>
      <c r="M131" s="66">
        <v>600</v>
      </c>
      <c r="N131" s="56">
        <f>100</f>
        <v>100</v>
      </c>
      <c r="O131" s="59">
        <v>240</v>
      </c>
      <c r="P131" s="59">
        <v>40</v>
      </c>
      <c r="Q131" s="59">
        <f t="shared" si="12"/>
        <v>315</v>
      </c>
      <c r="R131" s="59">
        <f t="shared" si="13"/>
        <v>100</v>
      </c>
      <c r="S131" s="56">
        <f t="shared" si="14"/>
        <v>695</v>
      </c>
      <c r="T131" s="56">
        <f>50</f>
        <v>50</v>
      </c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</row>
    <row r="132" spans="1:30" ht="15.75">
      <c r="A132" s="16">
        <v>45292</v>
      </c>
      <c r="B132" s="69">
        <v>31</v>
      </c>
      <c r="C132" s="56">
        <f>122.58</f>
        <v>122.58</v>
      </c>
      <c r="D132" s="56">
        <f>297.941</f>
        <v>297.94099999999997</v>
      </c>
      <c r="E132" s="64">
        <f>89.177</f>
        <v>89.177000000000007</v>
      </c>
      <c r="F132" s="56">
        <f>240.302-40-60-100</f>
        <v>40.301999999999992</v>
      </c>
      <c r="G132" s="59">
        <v>40</v>
      </c>
      <c r="H132" s="56">
        <f>60+100</f>
        <v>160</v>
      </c>
      <c r="I132" s="56">
        <f t="shared" si="17"/>
        <v>0</v>
      </c>
      <c r="J132" s="59">
        <v>100</v>
      </c>
      <c r="K132" s="59">
        <v>300</v>
      </c>
      <c r="L132" s="56">
        <f t="shared" si="11"/>
        <v>1150</v>
      </c>
      <c r="M132" s="66">
        <v>600</v>
      </c>
      <c r="N132" s="56">
        <f>100</f>
        <v>100</v>
      </c>
      <c r="O132" s="59">
        <v>240</v>
      </c>
      <c r="P132" s="59">
        <v>40</v>
      </c>
      <c r="Q132" s="59">
        <f t="shared" si="12"/>
        <v>315</v>
      </c>
      <c r="R132" s="59">
        <f t="shared" si="13"/>
        <v>100</v>
      </c>
      <c r="S132" s="56">
        <f t="shared" si="14"/>
        <v>695</v>
      </c>
      <c r="T132" s="56">
        <f>50</f>
        <v>50</v>
      </c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</row>
    <row r="133" spans="1:30" ht="15.75">
      <c r="A133" s="16">
        <v>45323</v>
      </c>
      <c r="B133" s="69">
        <v>29</v>
      </c>
      <c r="C133" s="56">
        <f>122.58</f>
        <v>122.58</v>
      </c>
      <c r="D133" s="56">
        <f>297.941</f>
        <v>297.94099999999997</v>
      </c>
      <c r="E133" s="64">
        <f>89.177</f>
        <v>89.177000000000007</v>
      </c>
      <c r="F133" s="56">
        <f>240.302-40-60-100</f>
        <v>40.301999999999992</v>
      </c>
      <c r="G133" s="59">
        <v>40</v>
      </c>
      <c r="H133" s="56">
        <f>60+100</f>
        <v>160</v>
      </c>
      <c r="I133" s="56">
        <f t="shared" si="17"/>
        <v>0</v>
      </c>
      <c r="J133" s="59">
        <v>100</v>
      </c>
      <c r="K133" s="59">
        <v>300</v>
      </c>
      <c r="L133" s="56">
        <f t="shared" si="11"/>
        <v>1150</v>
      </c>
      <c r="M133" s="66">
        <v>600</v>
      </c>
      <c r="N133" s="56">
        <f>100</f>
        <v>100</v>
      </c>
      <c r="O133" s="59">
        <v>240</v>
      </c>
      <c r="P133" s="59">
        <v>40</v>
      </c>
      <c r="Q133" s="59">
        <f t="shared" si="12"/>
        <v>315</v>
      </c>
      <c r="R133" s="59">
        <f t="shared" si="13"/>
        <v>100</v>
      </c>
      <c r="S133" s="56">
        <f t="shared" si="14"/>
        <v>695</v>
      </c>
      <c r="T133" s="56">
        <f>50</f>
        <v>50</v>
      </c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</row>
    <row r="134" spans="1:30" ht="15.75">
      <c r="A134" s="16">
        <v>45352</v>
      </c>
      <c r="B134" s="69">
        <v>31</v>
      </c>
      <c r="C134" s="56">
        <f>122.58</f>
        <v>122.58</v>
      </c>
      <c r="D134" s="56">
        <f>297.941</f>
        <v>297.94099999999997</v>
      </c>
      <c r="E134" s="64">
        <f>89.177</f>
        <v>89.177000000000007</v>
      </c>
      <c r="F134" s="56">
        <f>240.302-40-60-100</f>
        <v>40.301999999999992</v>
      </c>
      <c r="G134" s="59">
        <v>40</v>
      </c>
      <c r="H134" s="56">
        <f>60+100</f>
        <v>160</v>
      </c>
      <c r="I134" s="56">
        <f t="shared" si="17"/>
        <v>0</v>
      </c>
      <c r="J134" s="59">
        <v>100</v>
      </c>
      <c r="K134" s="59">
        <v>300</v>
      </c>
      <c r="L134" s="56">
        <f t="shared" si="11"/>
        <v>1150</v>
      </c>
      <c r="M134" s="66">
        <v>600</v>
      </c>
      <c r="N134" s="56">
        <f>100</f>
        <v>100</v>
      </c>
      <c r="O134" s="59">
        <v>240</v>
      </c>
      <c r="P134" s="59">
        <v>40</v>
      </c>
      <c r="Q134" s="59">
        <f t="shared" si="12"/>
        <v>315</v>
      </c>
      <c r="R134" s="59">
        <f t="shared" si="13"/>
        <v>100</v>
      </c>
      <c r="S134" s="56">
        <f t="shared" si="14"/>
        <v>695</v>
      </c>
      <c r="T134" s="56">
        <f>50</f>
        <v>50</v>
      </c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</row>
    <row r="135" spans="1:30" ht="15.75">
      <c r="A135" s="16">
        <v>45383</v>
      </c>
      <c r="B135" s="69">
        <v>30</v>
      </c>
      <c r="C135" s="56">
        <f>141.293</f>
        <v>141.29300000000001</v>
      </c>
      <c r="D135" s="56">
        <f>267.993</f>
        <v>267.99299999999999</v>
      </c>
      <c r="E135" s="64">
        <f>115.016</f>
        <v>115.01600000000001</v>
      </c>
      <c r="F135" s="56">
        <f>314.698-40-25-60-100</f>
        <v>89.697999999999979</v>
      </c>
      <c r="G135" s="59">
        <v>40</v>
      </c>
      <c r="H135" s="56">
        <f t="shared" ref="H135:H141" si="20">25+60+100</f>
        <v>185</v>
      </c>
      <c r="I135" s="56">
        <f t="shared" si="17"/>
        <v>0</v>
      </c>
      <c r="J135" s="59">
        <v>100</v>
      </c>
      <c r="K135" s="59">
        <v>300</v>
      </c>
      <c r="L135" s="56">
        <f t="shared" si="11"/>
        <v>1239</v>
      </c>
      <c r="M135" s="66">
        <v>600</v>
      </c>
      <c r="N135" s="56">
        <f>100</f>
        <v>100</v>
      </c>
      <c r="O135" s="59">
        <v>240</v>
      </c>
      <c r="P135" s="59">
        <v>160</v>
      </c>
      <c r="Q135" s="59">
        <f t="shared" si="12"/>
        <v>195</v>
      </c>
      <c r="R135" s="59">
        <f t="shared" si="13"/>
        <v>100</v>
      </c>
      <c r="S135" s="56">
        <f t="shared" si="14"/>
        <v>695</v>
      </c>
      <c r="T135" s="56">
        <f>50</f>
        <v>50</v>
      </c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</row>
    <row r="136" spans="1:30" ht="15.75">
      <c r="A136" s="16">
        <v>45413</v>
      </c>
      <c r="B136" s="69">
        <v>31</v>
      </c>
      <c r="C136" s="56">
        <f>194.205</f>
        <v>194.20500000000001</v>
      </c>
      <c r="D136" s="56">
        <f>267.466</f>
        <v>267.46600000000001</v>
      </c>
      <c r="E136" s="64">
        <f>133.845</f>
        <v>133.845</v>
      </c>
      <c r="F136" s="56">
        <f>278.484-40-25-60-100</f>
        <v>53.48399999999998</v>
      </c>
      <c r="G136" s="59">
        <v>40</v>
      </c>
      <c r="H136" s="56">
        <f t="shared" si="20"/>
        <v>185</v>
      </c>
      <c r="I136" s="56">
        <f t="shared" si="17"/>
        <v>0</v>
      </c>
      <c r="J136" s="59">
        <v>100</v>
      </c>
      <c r="K136" s="59">
        <v>300</v>
      </c>
      <c r="L136" s="56">
        <f t="shared" si="11"/>
        <v>1274</v>
      </c>
      <c r="M136" s="66">
        <v>600</v>
      </c>
      <c r="N136" s="56">
        <f>75</f>
        <v>75</v>
      </c>
      <c r="O136" s="59">
        <v>240</v>
      </c>
      <c r="P136" s="59">
        <v>160</v>
      </c>
      <c r="Q136" s="59">
        <f t="shared" si="12"/>
        <v>195</v>
      </c>
      <c r="R136" s="59">
        <f t="shared" si="13"/>
        <v>100</v>
      </c>
      <c r="S136" s="56">
        <f t="shared" si="14"/>
        <v>695</v>
      </c>
      <c r="T136" s="56">
        <f>50</f>
        <v>50</v>
      </c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</row>
    <row r="137" spans="1:30" ht="15.75">
      <c r="A137" s="16">
        <v>45444</v>
      </c>
      <c r="B137" s="69">
        <v>30</v>
      </c>
      <c r="C137" s="56">
        <f>194.205</f>
        <v>194.20500000000001</v>
      </c>
      <c r="D137" s="56">
        <f>267.466</f>
        <v>267.46600000000001</v>
      </c>
      <c r="E137" s="64">
        <f>133.845</f>
        <v>133.845</v>
      </c>
      <c r="F137" s="56">
        <f>278.484-40-25-60-100</f>
        <v>53.48399999999998</v>
      </c>
      <c r="G137" s="59">
        <v>40</v>
      </c>
      <c r="H137" s="56">
        <f t="shared" si="20"/>
        <v>185</v>
      </c>
      <c r="I137" s="56">
        <f t="shared" si="17"/>
        <v>0</v>
      </c>
      <c r="J137" s="59">
        <v>100</v>
      </c>
      <c r="K137" s="59">
        <v>300</v>
      </c>
      <c r="L137" s="56">
        <f t="shared" si="11"/>
        <v>1274</v>
      </c>
      <c r="M137" s="66">
        <v>600</v>
      </c>
      <c r="N137" s="56">
        <f>30</f>
        <v>30</v>
      </c>
      <c r="O137" s="59">
        <v>240</v>
      </c>
      <c r="P137" s="59">
        <v>160</v>
      </c>
      <c r="Q137" s="59">
        <f t="shared" si="12"/>
        <v>195</v>
      </c>
      <c r="R137" s="59">
        <f t="shared" si="13"/>
        <v>100</v>
      </c>
      <c r="S137" s="56">
        <f t="shared" si="14"/>
        <v>695</v>
      </c>
      <c r="T137" s="56">
        <f>50</f>
        <v>50</v>
      </c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</row>
    <row r="138" spans="1:30" ht="15.75">
      <c r="A138" s="16">
        <v>45474</v>
      </c>
      <c r="B138" s="69">
        <v>31</v>
      </c>
      <c r="C138" s="56">
        <f>194.205</f>
        <v>194.20500000000001</v>
      </c>
      <c r="D138" s="56">
        <f>267.466</f>
        <v>267.46600000000001</v>
      </c>
      <c r="E138" s="64">
        <f>133.845</f>
        <v>133.845</v>
      </c>
      <c r="F138" s="56">
        <f>278.484-40-25-60-100</f>
        <v>53.48399999999998</v>
      </c>
      <c r="G138" s="59">
        <v>40</v>
      </c>
      <c r="H138" s="56">
        <f t="shared" si="20"/>
        <v>185</v>
      </c>
      <c r="I138" s="56">
        <f t="shared" si="17"/>
        <v>0</v>
      </c>
      <c r="J138" s="59">
        <v>100</v>
      </c>
      <c r="K138" s="59">
        <v>300</v>
      </c>
      <c r="L138" s="56">
        <f t="shared" si="11"/>
        <v>1274</v>
      </c>
      <c r="M138" s="66">
        <v>600</v>
      </c>
      <c r="N138" s="56">
        <f>30</f>
        <v>30</v>
      </c>
      <c r="O138" s="59">
        <v>240</v>
      </c>
      <c r="P138" s="59">
        <v>160</v>
      </c>
      <c r="Q138" s="59">
        <f t="shared" si="12"/>
        <v>195</v>
      </c>
      <c r="R138" s="59">
        <f t="shared" si="13"/>
        <v>100</v>
      </c>
      <c r="S138" s="56">
        <f t="shared" si="14"/>
        <v>695</v>
      </c>
      <c r="T138" s="56">
        <f>0</f>
        <v>0</v>
      </c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</row>
    <row r="139" spans="1:30" ht="15.75">
      <c r="A139" s="16">
        <v>45505</v>
      </c>
      <c r="B139" s="69">
        <v>31</v>
      </c>
      <c r="C139" s="56">
        <f>194.205</f>
        <v>194.20500000000001</v>
      </c>
      <c r="D139" s="56">
        <f>267.466</f>
        <v>267.46600000000001</v>
      </c>
      <c r="E139" s="64">
        <f>133.845</f>
        <v>133.845</v>
      </c>
      <c r="F139" s="56">
        <f>278.484-40-25-60-100</f>
        <v>53.48399999999998</v>
      </c>
      <c r="G139" s="59">
        <v>40</v>
      </c>
      <c r="H139" s="56">
        <f t="shared" si="20"/>
        <v>185</v>
      </c>
      <c r="I139" s="56">
        <f t="shared" si="17"/>
        <v>0</v>
      </c>
      <c r="J139" s="59">
        <v>100</v>
      </c>
      <c r="K139" s="59">
        <v>300</v>
      </c>
      <c r="L139" s="56">
        <f t="shared" si="11"/>
        <v>1274</v>
      </c>
      <c r="M139" s="66">
        <v>600</v>
      </c>
      <c r="N139" s="56">
        <f>30</f>
        <v>30</v>
      </c>
      <c r="O139" s="59">
        <v>240</v>
      </c>
      <c r="P139" s="59">
        <v>160</v>
      </c>
      <c r="Q139" s="59">
        <f t="shared" si="12"/>
        <v>195</v>
      </c>
      <c r="R139" s="59">
        <f t="shared" si="13"/>
        <v>100</v>
      </c>
      <c r="S139" s="56">
        <f t="shared" si="14"/>
        <v>695</v>
      </c>
      <c r="T139" s="56">
        <f>0</f>
        <v>0</v>
      </c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</row>
    <row r="140" spans="1:30" ht="15.75">
      <c r="A140" s="16">
        <v>45536</v>
      </c>
      <c r="B140" s="69">
        <v>30</v>
      </c>
      <c r="C140" s="56">
        <f>194.205</f>
        <v>194.20500000000001</v>
      </c>
      <c r="D140" s="56">
        <f>267.466</f>
        <v>267.46600000000001</v>
      </c>
      <c r="E140" s="64">
        <f>133.845</f>
        <v>133.845</v>
      </c>
      <c r="F140" s="56">
        <f>278.484-40-25-60-100</f>
        <v>53.48399999999998</v>
      </c>
      <c r="G140" s="59">
        <v>40</v>
      </c>
      <c r="H140" s="56">
        <f t="shared" si="20"/>
        <v>185</v>
      </c>
      <c r="I140" s="56">
        <f t="shared" si="17"/>
        <v>0</v>
      </c>
      <c r="J140" s="59">
        <v>100</v>
      </c>
      <c r="K140" s="59">
        <v>300</v>
      </c>
      <c r="L140" s="56">
        <f t="shared" si="11"/>
        <v>1274</v>
      </c>
      <c r="M140" s="66">
        <v>600</v>
      </c>
      <c r="N140" s="56">
        <f>30</f>
        <v>30</v>
      </c>
      <c r="O140" s="59">
        <v>240</v>
      </c>
      <c r="P140" s="59">
        <v>160</v>
      </c>
      <c r="Q140" s="59">
        <f t="shared" si="12"/>
        <v>195</v>
      </c>
      <c r="R140" s="59">
        <f t="shared" si="13"/>
        <v>100</v>
      </c>
      <c r="S140" s="56">
        <f t="shared" si="14"/>
        <v>695</v>
      </c>
      <c r="T140" s="56">
        <f>0</f>
        <v>0</v>
      </c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</row>
    <row r="141" spans="1:30" ht="15.75">
      <c r="A141" s="16">
        <v>45566</v>
      </c>
      <c r="B141" s="69">
        <v>31</v>
      </c>
      <c r="C141" s="56">
        <f>131.881</f>
        <v>131.881</v>
      </c>
      <c r="D141" s="56">
        <f>277.167</f>
        <v>277.16699999999997</v>
      </c>
      <c r="E141" s="64">
        <f>79.08</f>
        <v>79.08</v>
      </c>
      <c r="F141" s="56">
        <f>350.872-40-25-60-100</f>
        <v>125.87200000000001</v>
      </c>
      <c r="G141" s="59">
        <v>40</v>
      </c>
      <c r="H141" s="56">
        <f t="shared" si="20"/>
        <v>185</v>
      </c>
      <c r="I141" s="56">
        <f t="shared" si="17"/>
        <v>0</v>
      </c>
      <c r="J141" s="59">
        <v>100</v>
      </c>
      <c r="K141" s="59">
        <v>300</v>
      </c>
      <c r="L141" s="56">
        <f t="shared" si="11"/>
        <v>1239</v>
      </c>
      <c r="M141" s="66">
        <v>600</v>
      </c>
      <c r="N141" s="56">
        <f>75</f>
        <v>75</v>
      </c>
      <c r="O141" s="59">
        <v>240</v>
      </c>
      <c r="P141" s="59">
        <v>160</v>
      </c>
      <c r="Q141" s="59">
        <f t="shared" si="12"/>
        <v>195</v>
      </c>
      <c r="R141" s="59">
        <f t="shared" si="13"/>
        <v>100</v>
      </c>
      <c r="S141" s="56">
        <f t="shared" si="14"/>
        <v>695</v>
      </c>
      <c r="T141" s="56">
        <f>0</f>
        <v>0</v>
      </c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</row>
    <row r="142" spans="1:30" ht="15.75">
      <c r="A142" s="16">
        <v>45597</v>
      </c>
      <c r="B142" s="69">
        <v>30</v>
      </c>
      <c r="C142" s="56">
        <f>122.58</f>
        <v>122.58</v>
      </c>
      <c r="D142" s="56">
        <f>297.941</f>
        <v>297.94099999999997</v>
      </c>
      <c r="E142" s="64">
        <f>89.177</f>
        <v>89.177000000000007</v>
      </c>
      <c r="F142" s="56">
        <f>240.302-40-60-100</f>
        <v>40.301999999999992</v>
      </c>
      <c r="G142" s="59">
        <v>40</v>
      </c>
      <c r="H142" s="56">
        <f>60+100</f>
        <v>160</v>
      </c>
      <c r="I142" s="56">
        <f t="shared" si="17"/>
        <v>0</v>
      </c>
      <c r="J142" s="59">
        <v>100</v>
      </c>
      <c r="K142" s="59">
        <v>300</v>
      </c>
      <c r="L142" s="56">
        <f t="shared" si="11"/>
        <v>1150</v>
      </c>
      <c r="M142" s="66">
        <v>600</v>
      </c>
      <c r="N142" s="56">
        <f>100</f>
        <v>100</v>
      </c>
      <c r="O142" s="59">
        <v>240</v>
      </c>
      <c r="P142" s="59">
        <v>40</v>
      </c>
      <c r="Q142" s="59">
        <f t="shared" si="12"/>
        <v>315</v>
      </c>
      <c r="R142" s="59">
        <f t="shared" si="13"/>
        <v>100</v>
      </c>
      <c r="S142" s="56">
        <f t="shared" si="14"/>
        <v>695</v>
      </c>
      <c r="T142" s="56">
        <f>50</f>
        <v>50</v>
      </c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</row>
    <row r="143" spans="1:30" ht="15.75">
      <c r="A143" s="16">
        <v>45627</v>
      </c>
      <c r="B143" s="69">
        <v>31</v>
      </c>
      <c r="C143" s="56">
        <f>122.58</f>
        <v>122.58</v>
      </c>
      <c r="D143" s="56">
        <f>297.941</f>
        <v>297.94099999999997</v>
      </c>
      <c r="E143" s="64">
        <f>89.177</f>
        <v>89.177000000000007</v>
      </c>
      <c r="F143" s="56">
        <f>240.302-40-60-100</f>
        <v>40.301999999999992</v>
      </c>
      <c r="G143" s="59">
        <v>40</v>
      </c>
      <c r="H143" s="56">
        <f>60+100</f>
        <v>160</v>
      </c>
      <c r="I143" s="56">
        <f t="shared" si="17"/>
        <v>0</v>
      </c>
      <c r="J143" s="59">
        <v>100</v>
      </c>
      <c r="K143" s="59">
        <v>300</v>
      </c>
      <c r="L143" s="56">
        <f t="shared" si="11"/>
        <v>1150</v>
      </c>
      <c r="M143" s="66">
        <v>600</v>
      </c>
      <c r="N143" s="56">
        <f>100</f>
        <v>100</v>
      </c>
      <c r="O143" s="59">
        <v>240</v>
      </c>
      <c r="P143" s="59">
        <v>40</v>
      </c>
      <c r="Q143" s="59">
        <f t="shared" si="12"/>
        <v>315</v>
      </c>
      <c r="R143" s="59">
        <f t="shared" si="13"/>
        <v>100</v>
      </c>
      <c r="S143" s="56">
        <f t="shared" si="14"/>
        <v>695</v>
      </c>
      <c r="T143" s="56">
        <f>50</f>
        <v>50</v>
      </c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</row>
    <row r="144" spans="1:30" ht="15.75">
      <c r="A144" s="16">
        <v>45658</v>
      </c>
      <c r="B144" s="69">
        <v>31</v>
      </c>
      <c r="C144" s="56">
        <f>122.58</f>
        <v>122.58</v>
      </c>
      <c r="D144" s="56">
        <f>297.941</f>
        <v>297.94099999999997</v>
      </c>
      <c r="E144" s="64">
        <f>89.177</f>
        <v>89.177000000000007</v>
      </c>
      <c r="F144" s="56">
        <f>240.302-40-60-100</f>
        <v>40.301999999999992</v>
      </c>
      <c r="G144" s="59">
        <v>40</v>
      </c>
      <c r="H144" s="56">
        <f>60+100</f>
        <v>160</v>
      </c>
      <c r="I144" s="56">
        <f t="shared" si="17"/>
        <v>0</v>
      </c>
      <c r="J144" s="59">
        <v>100</v>
      </c>
      <c r="K144" s="59">
        <v>300</v>
      </c>
      <c r="L144" s="56">
        <f t="shared" si="11"/>
        <v>1150</v>
      </c>
      <c r="M144" s="66">
        <v>600</v>
      </c>
      <c r="N144" s="56">
        <f>100</f>
        <v>100</v>
      </c>
      <c r="O144" s="59">
        <v>240</v>
      </c>
      <c r="P144" s="59">
        <v>40</v>
      </c>
      <c r="Q144" s="59">
        <f t="shared" si="12"/>
        <v>315</v>
      </c>
      <c r="R144" s="59">
        <f t="shared" si="13"/>
        <v>100</v>
      </c>
      <c r="S144" s="56">
        <f t="shared" si="14"/>
        <v>695</v>
      </c>
      <c r="T144" s="56">
        <f>50</f>
        <v>50</v>
      </c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</row>
    <row r="145" spans="1:30" ht="15.75">
      <c r="A145" s="16">
        <v>45689</v>
      </c>
      <c r="B145" s="69">
        <v>28</v>
      </c>
      <c r="C145" s="56">
        <f>122.58</f>
        <v>122.58</v>
      </c>
      <c r="D145" s="56">
        <f>297.941</f>
        <v>297.94099999999997</v>
      </c>
      <c r="E145" s="64">
        <f>89.177</f>
        <v>89.177000000000007</v>
      </c>
      <c r="F145" s="56">
        <f>240.302-40-60-100</f>
        <v>40.301999999999992</v>
      </c>
      <c r="G145" s="59">
        <v>40</v>
      </c>
      <c r="H145" s="56">
        <f>60+100</f>
        <v>160</v>
      </c>
      <c r="I145" s="56">
        <f t="shared" si="17"/>
        <v>0</v>
      </c>
      <c r="J145" s="59">
        <v>100</v>
      </c>
      <c r="K145" s="59">
        <v>300</v>
      </c>
      <c r="L145" s="56">
        <f t="shared" ref="L145:L208" si="21">SUM(C145:K145)</f>
        <v>1150</v>
      </c>
      <c r="M145" s="66">
        <v>600</v>
      </c>
      <c r="N145" s="56">
        <f>100</f>
        <v>100</v>
      </c>
      <c r="O145" s="59">
        <v>240</v>
      </c>
      <c r="P145" s="59">
        <v>40</v>
      </c>
      <c r="Q145" s="59">
        <f t="shared" ref="Q145:Q208" si="22">695-R145-O145-P145</f>
        <v>315</v>
      </c>
      <c r="R145" s="59">
        <f t="shared" ref="R145:R208" si="23">200-J145</f>
        <v>100</v>
      </c>
      <c r="S145" s="56">
        <f t="shared" ref="S145:S208" si="24">SUM(O145:R145)</f>
        <v>695</v>
      </c>
      <c r="T145" s="56">
        <f>50</f>
        <v>50</v>
      </c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</row>
    <row r="146" spans="1:30" ht="15.75">
      <c r="A146" s="16">
        <v>45717</v>
      </c>
      <c r="B146" s="69">
        <v>31</v>
      </c>
      <c r="C146" s="56">
        <f>122.58</f>
        <v>122.58</v>
      </c>
      <c r="D146" s="56">
        <f>297.941</f>
        <v>297.94099999999997</v>
      </c>
      <c r="E146" s="64">
        <f>89.177</f>
        <v>89.177000000000007</v>
      </c>
      <c r="F146" s="56">
        <f>240.302-40-60-100</f>
        <v>40.301999999999992</v>
      </c>
      <c r="G146" s="59">
        <v>40</v>
      </c>
      <c r="H146" s="56">
        <f>60+100</f>
        <v>160</v>
      </c>
      <c r="I146" s="56">
        <f t="shared" si="17"/>
        <v>0</v>
      </c>
      <c r="J146" s="59">
        <v>100</v>
      </c>
      <c r="K146" s="59">
        <v>300</v>
      </c>
      <c r="L146" s="56">
        <f t="shared" si="21"/>
        <v>1150</v>
      </c>
      <c r="M146" s="66">
        <v>600</v>
      </c>
      <c r="N146" s="56">
        <f>100</f>
        <v>100</v>
      </c>
      <c r="O146" s="59">
        <v>240</v>
      </c>
      <c r="P146" s="59">
        <v>40</v>
      </c>
      <c r="Q146" s="59">
        <f t="shared" si="22"/>
        <v>315</v>
      </c>
      <c r="R146" s="59">
        <f t="shared" si="23"/>
        <v>100</v>
      </c>
      <c r="S146" s="56">
        <f t="shared" si="24"/>
        <v>695</v>
      </c>
      <c r="T146" s="56">
        <f>50</f>
        <v>50</v>
      </c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</row>
    <row r="147" spans="1:30" ht="15.75">
      <c r="A147" s="16">
        <v>45748</v>
      </c>
      <c r="B147" s="69">
        <v>30</v>
      </c>
      <c r="C147" s="56">
        <f>141.293</f>
        <v>141.29300000000001</v>
      </c>
      <c r="D147" s="56">
        <f>267.993</f>
        <v>267.99299999999999</v>
      </c>
      <c r="E147" s="64">
        <f>115.016</f>
        <v>115.01600000000001</v>
      </c>
      <c r="F147" s="56">
        <f>314.698-40-25-60-100</f>
        <v>89.697999999999979</v>
      </c>
      <c r="G147" s="59">
        <v>40</v>
      </c>
      <c r="H147" s="56">
        <f t="shared" ref="H147:H153" si="25">25+60+100</f>
        <v>185</v>
      </c>
      <c r="I147" s="56">
        <f t="shared" si="17"/>
        <v>0</v>
      </c>
      <c r="J147" s="59">
        <v>100</v>
      </c>
      <c r="K147" s="59">
        <v>300</v>
      </c>
      <c r="L147" s="56">
        <f t="shared" si="21"/>
        <v>1239</v>
      </c>
      <c r="M147" s="66">
        <v>600</v>
      </c>
      <c r="N147" s="56">
        <f>100</f>
        <v>100</v>
      </c>
      <c r="O147" s="59">
        <v>240</v>
      </c>
      <c r="P147" s="59">
        <v>160</v>
      </c>
      <c r="Q147" s="59">
        <f t="shared" si="22"/>
        <v>195</v>
      </c>
      <c r="R147" s="59">
        <f t="shared" si="23"/>
        <v>100</v>
      </c>
      <c r="S147" s="56">
        <f t="shared" si="24"/>
        <v>695</v>
      </c>
      <c r="T147" s="56">
        <f>50</f>
        <v>50</v>
      </c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</row>
    <row r="148" spans="1:30" ht="15.75">
      <c r="A148" s="16">
        <v>45778</v>
      </c>
      <c r="B148" s="69">
        <v>31</v>
      </c>
      <c r="C148" s="56">
        <f>194.205</f>
        <v>194.20500000000001</v>
      </c>
      <c r="D148" s="56">
        <f>267.466</f>
        <v>267.46600000000001</v>
      </c>
      <c r="E148" s="64">
        <f>133.845</f>
        <v>133.845</v>
      </c>
      <c r="F148" s="56">
        <f>278.484-40-25-60-100</f>
        <v>53.48399999999998</v>
      </c>
      <c r="G148" s="59">
        <v>40</v>
      </c>
      <c r="H148" s="56">
        <f t="shared" si="25"/>
        <v>185</v>
      </c>
      <c r="I148" s="56">
        <f t="shared" si="17"/>
        <v>0</v>
      </c>
      <c r="J148" s="59">
        <v>100</v>
      </c>
      <c r="K148" s="59">
        <v>300</v>
      </c>
      <c r="L148" s="56">
        <f t="shared" si="21"/>
        <v>1274</v>
      </c>
      <c r="M148" s="66">
        <v>600</v>
      </c>
      <c r="N148" s="56">
        <f>75</f>
        <v>75</v>
      </c>
      <c r="O148" s="59">
        <v>240</v>
      </c>
      <c r="P148" s="59">
        <v>160</v>
      </c>
      <c r="Q148" s="59">
        <f t="shared" si="22"/>
        <v>195</v>
      </c>
      <c r="R148" s="59">
        <f t="shared" si="23"/>
        <v>100</v>
      </c>
      <c r="S148" s="56">
        <f t="shared" si="24"/>
        <v>695</v>
      </c>
      <c r="T148" s="56">
        <f>50</f>
        <v>50</v>
      </c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</row>
    <row r="149" spans="1:30" ht="15.75">
      <c r="A149" s="16">
        <v>45809</v>
      </c>
      <c r="B149" s="69">
        <v>30</v>
      </c>
      <c r="C149" s="56">
        <f>194.205</f>
        <v>194.20500000000001</v>
      </c>
      <c r="D149" s="56">
        <f>267.466</f>
        <v>267.46600000000001</v>
      </c>
      <c r="E149" s="64">
        <f>133.845</f>
        <v>133.845</v>
      </c>
      <c r="F149" s="56">
        <f>278.484-40-25-60-100</f>
        <v>53.48399999999998</v>
      </c>
      <c r="G149" s="59">
        <v>40</v>
      </c>
      <c r="H149" s="56">
        <f t="shared" si="25"/>
        <v>185</v>
      </c>
      <c r="I149" s="56">
        <f t="shared" si="17"/>
        <v>0</v>
      </c>
      <c r="J149" s="59">
        <v>100</v>
      </c>
      <c r="K149" s="59">
        <v>300</v>
      </c>
      <c r="L149" s="56">
        <f t="shared" si="21"/>
        <v>1274</v>
      </c>
      <c r="M149" s="66">
        <v>600</v>
      </c>
      <c r="N149" s="56">
        <f>30</f>
        <v>30</v>
      </c>
      <c r="O149" s="59">
        <v>240</v>
      </c>
      <c r="P149" s="59">
        <v>160</v>
      </c>
      <c r="Q149" s="59">
        <f t="shared" si="22"/>
        <v>195</v>
      </c>
      <c r="R149" s="59">
        <f t="shared" si="23"/>
        <v>100</v>
      </c>
      <c r="S149" s="56">
        <f t="shared" si="24"/>
        <v>695</v>
      </c>
      <c r="T149" s="56">
        <f>50</f>
        <v>50</v>
      </c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</row>
    <row r="150" spans="1:30" ht="15.75">
      <c r="A150" s="16">
        <v>45839</v>
      </c>
      <c r="B150" s="69">
        <v>31</v>
      </c>
      <c r="C150" s="56">
        <f>194.205</f>
        <v>194.20500000000001</v>
      </c>
      <c r="D150" s="56">
        <f>267.466</f>
        <v>267.46600000000001</v>
      </c>
      <c r="E150" s="64">
        <f>133.845</f>
        <v>133.845</v>
      </c>
      <c r="F150" s="56">
        <f>278.484-40-25-60-100</f>
        <v>53.48399999999998</v>
      </c>
      <c r="G150" s="59">
        <v>40</v>
      </c>
      <c r="H150" s="56">
        <f t="shared" si="25"/>
        <v>185</v>
      </c>
      <c r="I150" s="56">
        <f t="shared" si="17"/>
        <v>0</v>
      </c>
      <c r="J150" s="59">
        <v>100</v>
      </c>
      <c r="K150" s="59">
        <v>300</v>
      </c>
      <c r="L150" s="56">
        <f t="shared" si="21"/>
        <v>1274</v>
      </c>
      <c r="M150" s="66">
        <v>600</v>
      </c>
      <c r="N150" s="56">
        <f>30</f>
        <v>30</v>
      </c>
      <c r="O150" s="59">
        <v>240</v>
      </c>
      <c r="P150" s="59">
        <v>160</v>
      </c>
      <c r="Q150" s="59">
        <f t="shared" si="22"/>
        <v>195</v>
      </c>
      <c r="R150" s="59">
        <f t="shared" si="23"/>
        <v>100</v>
      </c>
      <c r="S150" s="56">
        <f t="shared" si="24"/>
        <v>695</v>
      </c>
      <c r="T150" s="56">
        <f>0</f>
        <v>0</v>
      </c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</row>
    <row r="151" spans="1:30" ht="15.75">
      <c r="A151" s="16">
        <v>45870</v>
      </c>
      <c r="B151" s="69">
        <v>31</v>
      </c>
      <c r="C151" s="56">
        <f>194.205</f>
        <v>194.20500000000001</v>
      </c>
      <c r="D151" s="56">
        <f>267.466</f>
        <v>267.46600000000001</v>
      </c>
      <c r="E151" s="64">
        <f>133.845</f>
        <v>133.845</v>
      </c>
      <c r="F151" s="56">
        <f>278.484-40-25-60-100</f>
        <v>53.48399999999998</v>
      </c>
      <c r="G151" s="59">
        <v>40</v>
      </c>
      <c r="H151" s="56">
        <f t="shared" si="25"/>
        <v>185</v>
      </c>
      <c r="I151" s="56">
        <f t="shared" si="17"/>
        <v>0</v>
      </c>
      <c r="J151" s="59">
        <v>100</v>
      </c>
      <c r="K151" s="59">
        <v>300</v>
      </c>
      <c r="L151" s="56">
        <f t="shared" si="21"/>
        <v>1274</v>
      </c>
      <c r="M151" s="66">
        <v>600</v>
      </c>
      <c r="N151" s="56">
        <f>30</f>
        <v>30</v>
      </c>
      <c r="O151" s="59">
        <v>240</v>
      </c>
      <c r="P151" s="59">
        <v>160</v>
      </c>
      <c r="Q151" s="59">
        <f t="shared" si="22"/>
        <v>195</v>
      </c>
      <c r="R151" s="59">
        <f t="shared" si="23"/>
        <v>100</v>
      </c>
      <c r="S151" s="56">
        <f t="shared" si="24"/>
        <v>695</v>
      </c>
      <c r="T151" s="56">
        <f>0</f>
        <v>0</v>
      </c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</row>
    <row r="152" spans="1:30" ht="15.75">
      <c r="A152" s="16">
        <v>45901</v>
      </c>
      <c r="B152" s="69">
        <v>30</v>
      </c>
      <c r="C152" s="56">
        <f>194.205</f>
        <v>194.20500000000001</v>
      </c>
      <c r="D152" s="56">
        <f>267.466</f>
        <v>267.46600000000001</v>
      </c>
      <c r="E152" s="64">
        <f>133.845</f>
        <v>133.845</v>
      </c>
      <c r="F152" s="56">
        <f>278.484-40-25-60-100</f>
        <v>53.48399999999998</v>
      </c>
      <c r="G152" s="59">
        <v>40</v>
      </c>
      <c r="H152" s="56">
        <f t="shared" si="25"/>
        <v>185</v>
      </c>
      <c r="I152" s="56">
        <f t="shared" si="17"/>
        <v>0</v>
      </c>
      <c r="J152" s="59">
        <v>100</v>
      </c>
      <c r="K152" s="59">
        <v>300</v>
      </c>
      <c r="L152" s="56">
        <f t="shared" si="21"/>
        <v>1274</v>
      </c>
      <c r="M152" s="66">
        <v>600</v>
      </c>
      <c r="N152" s="56">
        <f>30</f>
        <v>30</v>
      </c>
      <c r="O152" s="59">
        <v>240</v>
      </c>
      <c r="P152" s="59">
        <v>160</v>
      </c>
      <c r="Q152" s="59">
        <f t="shared" si="22"/>
        <v>195</v>
      </c>
      <c r="R152" s="59">
        <f t="shared" si="23"/>
        <v>100</v>
      </c>
      <c r="S152" s="56">
        <f t="shared" si="24"/>
        <v>695</v>
      </c>
      <c r="T152" s="56">
        <f>0</f>
        <v>0</v>
      </c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</row>
    <row r="153" spans="1:30" ht="15.75">
      <c r="A153" s="16">
        <v>45931</v>
      </c>
      <c r="B153" s="69">
        <v>31</v>
      </c>
      <c r="C153" s="56">
        <f>131.881</f>
        <v>131.881</v>
      </c>
      <c r="D153" s="56">
        <f>277.167</f>
        <v>277.16699999999997</v>
      </c>
      <c r="E153" s="64">
        <f>79.08</f>
        <v>79.08</v>
      </c>
      <c r="F153" s="56">
        <f>350.872-40-25-60-100</f>
        <v>125.87200000000001</v>
      </c>
      <c r="G153" s="59">
        <v>40</v>
      </c>
      <c r="H153" s="56">
        <f t="shared" si="25"/>
        <v>185</v>
      </c>
      <c r="I153" s="56">
        <f t="shared" si="17"/>
        <v>0</v>
      </c>
      <c r="J153" s="59">
        <v>100</v>
      </c>
      <c r="K153" s="59">
        <v>300</v>
      </c>
      <c r="L153" s="56">
        <f t="shared" si="21"/>
        <v>1239</v>
      </c>
      <c r="M153" s="66">
        <v>600</v>
      </c>
      <c r="N153" s="56">
        <f>75</f>
        <v>75</v>
      </c>
      <c r="O153" s="59">
        <v>240</v>
      </c>
      <c r="P153" s="59">
        <v>160</v>
      </c>
      <c r="Q153" s="59">
        <f t="shared" si="22"/>
        <v>195</v>
      </c>
      <c r="R153" s="59">
        <f t="shared" si="23"/>
        <v>100</v>
      </c>
      <c r="S153" s="56">
        <f t="shared" si="24"/>
        <v>695</v>
      </c>
      <c r="T153" s="56">
        <f>0</f>
        <v>0</v>
      </c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</row>
    <row r="154" spans="1:30" ht="15.75">
      <c r="A154" s="16">
        <v>45962</v>
      </c>
      <c r="B154" s="69">
        <v>30</v>
      </c>
      <c r="C154" s="56">
        <f>122.58</f>
        <v>122.58</v>
      </c>
      <c r="D154" s="56">
        <f>297.941</f>
        <v>297.94099999999997</v>
      </c>
      <c r="E154" s="64">
        <f>89.177</f>
        <v>89.177000000000007</v>
      </c>
      <c r="F154" s="56">
        <f>240.302-40-60-100</f>
        <v>40.301999999999992</v>
      </c>
      <c r="G154" s="59">
        <v>40</v>
      </c>
      <c r="H154" s="56">
        <f>60+100</f>
        <v>160</v>
      </c>
      <c r="I154" s="56">
        <f t="shared" si="17"/>
        <v>0</v>
      </c>
      <c r="J154" s="59">
        <v>100</v>
      </c>
      <c r="K154" s="59">
        <v>300</v>
      </c>
      <c r="L154" s="56">
        <f t="shared" si="21"/>
        <v>1150</v>
      </c>
      <c r="M154" s="66">
        <v>600</v>
      </c>
      <c r="N154" s="56">
        <f>100</f>
        <v>100</v>
      </c>
      <c r="O154" s="59">
        <v>240</v>
      </c>
      <c r="P154" s="59">
        <v>40</v>
      </c>
      <c r="Q154" s="59">
        <f t="shared" si="22"/>
        <v>315</v>
      </c>
      <c r="R154" s="59">
        <f t="shared" si="23"/>
        <v>100</v>
      </c>
      <c r="S154" s="56">
        <f t="shared" si="24"/>
        <v>695</v>
      </c>
      <c r="T154" s="56">
        <f>50</f>
        <v>50</v>
      </c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</row>
    <row r="155" spans="1:30" ht="15.75">
      <c r="A155" s="16">
        <v>45992</v>
      </c>
      <c r="B155" s="69">
        <v>31</v>
      </c>
      <c r="C155" s="56">
        <f>122.58</f>
        <v>122.58</v>
      </c>
      <c r="D155" s="56">
        <f>297.941</f>
        <v>297.94099999999997</v>
      </c>
      <c r="E155" s="64">
        <f>89.177</f>
        <v>89.177000000000007</v>
      </c>
      <c r="F155" s="56">
        <f>240.302-40-60-100</f>
        <v>40.301999999999992</v>
      </c>
      <c r="G155" s="59">
        <v>40</v>
      </c>
      <c r="H155" s="56">
        <f>60+100</f>
        <v>160</v>
      </c>
      <c r="I155" s="56">
        <f t="shared" si="17"/>
        <v>0</v>
      </c>
      <c r="J155" s="59">
        <v>100</v>
      </c>
      <c r="K155" s="59">
        <v>300</v>
      </c>
      <c r="L155" s="56">
        <f t="shared" si="21"/>
        <v>1150</v>
      </c>
      <c r="M155" s="66">
        <v>600</v>
      </c>
      <c r="N155" s="56">
        <f>100</f>
        <v>100</v>
      </c>
      <c r="O155" s="59">
        <v>240</v>
      </c>
      <c r="P155" s="59">
        <v>40</v>
      </c>
      <c r="Q155" s="59">
        <f t="shared" si="22"/>
        <v>315</v>
      </c>
      <c r="R155" s="59">
        <f t="shared" si="23"/>
        <v>100</v>
      </c>
      <c r="S155" s="56">
        <f t="shared" si="24"/>
        <v>695</v>
      </c>
      <c r="T155" s="56">
        <f>50</f>
        <v>50</v>
      </c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</row>
    <row r="156" spans="1:30" ht="15.75">
      <c r="A156" s="16">
        <v>46023</v>
      </c>
      <c r="B156" s="69">
        <v>31</v>
      </c>
      <c r="C156" s="56">
        <f>122.58</f>
        <v>122.58</v>
      </c>
      <c r="D156" s="56">
        <f>297.941</f>
        <v>297.94099999999997</v>
      </c>
      <c r="E156" s="64">
        <f>89.177</f>
        <v>89.177000000000007</v>
      </c>
      <c r="F156" s="56">
        <f>240.302-40-60-100</f>
        <v>40.301999999999992</v>
      </c>
      <c r="G156" s="59">
        <v>40</v>
      </c>
      <c r="H156" s="56">
        <f>60+100</f>
        <v>160</v>
      </c>
      <c r="I156" s="56">
        <f t="shared" si="17"/>
        <v>0</v>
      </c>
      <c r="J156" s="59">
        <v>100</v>
      </c>
      <c r="K156" s="59">
        <v>300</v>
      </c>
      <c r="L156" s="56">
        <f t="shared" si="21"/>
        <v>1150</v>
      </c>
      <c r="M156" s="66">
        <v>600</v>
      </c>
      <c r="N156" s="56">
        <f>100</f>
        <v>100</v>
      </c>
      <c r="O156" s="59">
        <v>240</v>
      </c>
      <c r="P156" s="59">
        <v>40</v>
      </c>
      <c r="Q156" s="59">
        <f t="shared" si="22"/>
        <v>315</v>
      </c>
      <c r="R156" s="59">
        <f t="shared" si="23"/>
        <v>100</v>
      </c>
      <c r="S156" s="56">
        <f t="shared" si="24"/>
        <v>695</v>
      </c>
      <c r="T156" s="56">
        <f>50</f>
        <v>50</v>
      </c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</row>
    <row r="157" spans="1:30" ht="15.75">
      <c r="A157" s="16">
        <v>46054</v>
      </c>
      <c r="B157" s="69">
        <v>28</v>
      </c>
      <c r="C157" s="56">
        <f>122.58</f>
        <v>122.58</v>
      </c>
      <c r="D157" s="56">
        <f>297.941</f>
        <v>297.94099999999997</v>
      </c>
      <c r="E157" s="64">
        <f>89.177</f>
        <v>89.177000000000007</v>
      </c>
      <c r="F157" s="56">
        <f>240.302-40-60-100</f>
        <v>40.301999999999992</v>
      </c>
      <c r="G157" s="59">
        <v>40</v>
      </c>
      <c r="H157" s="56">
        <f>60+100</f>
        <v>160</v>
      </c>
      <c r="I157" s="56">
        <f t="shared" si="17"/>
        <v>0</v>
      </c>
      <c r="J157" s="59">
        <v>100</v>
      </c>
      <c r="K157" s="59">
        <v>300</v>
      </c>
      <c r="L157" s="56">
        <f t="shared" si="21"/>
        <v>1150</v>
      </c>
      <c r="M157" s="66">
        <v>600</v>
      </c>
      <c r="N157" s="56">
        <f>100</f>
        <v>100</v>
      </c>
      <c r="O157" s="59">
        <v>240</v>
      </c>
      <c r="P157" s="59">
        <v>40</v>
      </c>
      <c r="Q157" s="59">
        <f t="shared" si="22"/>
        <v>315</v>
      </c>
      <c r="R157" s="59">
        <f t="shared" si="23"/>
        <v>100</v>
      </c>
      <c r="S157" s="56">
        <f t="shared" si="24"/>
        <v>695</v>
      </c>
      <c r="T157" s="56">
        <f>50</f>
        <v>50</v>
      </c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</row>
    <row r="158" spans="1:30" ht="15.75">
      <c r="A158" s="16">
        <v>46082</v>
      </c>
      <c r="B158" s="69">
        <v>31</v>
      </c>
      <c r="C158" s="56">
        <f>122.58</f>
        <v>122.58</v>
      </c>
      <c r="D158" s="56">
        <f>297.941</f>
        <v>297.94099999999997</v>
      </c>
      <c r="E158" s="64">
        <f>89.177</f>
        <v>89.177000000000007</v>
      </c>
      <c r="F158" s="56">
        <f>240.302-40-60-100</f>
        <v>40.301999999999992</v>
      </c>
      <c r="G158" s="59">
        <v>40</v>
      </c>
      <c r="H158" s="56">
        <f>60+100</f>
        <v>160</v>
      </c>
      <c r="I158" s="56">
        <f t="shared" si="17"/>
        <v>0</v>
      </c>
      <c r="J158" s="59">
        <v>100</v>
      </c>
      <c r="K158" s="59">
        <v>300</v>
      </c>
      <c r="L158" s="56">
        <f t="shared" si="21"/>
        <v>1150</v>
      </c>
      <c r="M158" s="66">
        <v>600</v>
      </c>
      <c r="N158" s="56">
        <f>100</f>
        <v>100</v>
      </c>
      <c r="O158" s="59">
        <v>240</v>
      </c>
      <c r="P158" s="59">
        <v>40</v>
      </c>
      <c r="Q158" s="59">
        <f t="shared" si="22"/>
        <v>315</v>
      </c>
      <c r="R158" s="59">
        <f t="shared" si="23"/>
        <v>100</v>
      </c>
      <c r="S158" s="56">
        <f t="shared" si="24"/>
        <v>695</v>
      </c>
      <c r="T158" s="56">
        <f>50</f>
        <v>50</v>
      </c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</row>
    <row r="159" spans="1:30" ht="15.75">
      <c r="A159" s="16">
        <v>46113</v>
      </c>
      <c r="B159" s="69">
        <v>30</v>
      </c>
      <c r="C159" s="56">
        <f>141.293</f>
        <v>141.29300000000001</v>
      </c>
      <c r="D159" s="56">
        <f>267.993</f>
        <v>267.99299999999999</v>
      </c>
      <c r="E159" s="64">
        <f>115.016</f>
        <v>115.01600000000001</v>
      </c>
      <c r="F159" s="56">
        <f>314.698-40-25-60-100</f>
        <v>89.697999999999979</v>
      </c>
      <c r="G159" s="59">
        <v>40</v>
      </c>
      <c r="H159" s="56">
        <f t="shared" ref="H159:H165" si="26">25+60+100</f>
        <v>185</v>
      </c>
      <c r="I159" s="56">
        <f t="shared" si="17"/>
        <v>0</v>
      </c>
      <c r="J159" s="59">
        <v>100</v>
      </c>
      <c r="K159" s="59">
        <v>300</v>
      </c>
      <c r="L159" s="56">
        <f t="shared" si="21"/>
        <v>1239</v>
      </c>
      <c r="M159" s="66">
        <v>600</v>
      </c>
      <c r="N159" s="56">
        <f>100</f>
        <v>100</v>
      </c>
      <c r="O159" s="59">
        <v>240</v>
      </c>
      <c r="P159" s="59">
        <v>160</v>
      </c>
      <c r="Q159" s="59">
        <f t="shared" si="22"/>
        <v>195</v>
      </c>
      <c r="R159" s="59">
        <f t="shared" si="23"/>
        <v>100</v>
      </c>
      <c r="S159" s="56">
        <f t="shared" si="24"/>
        <v>695</v>
      </c>
      <c r="T159" s="56">
        <f>50</f>
        <v>50</v>
      </c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</row>
    <row r="160" spans="1:30" ht="15.75">
      <c r="A160" s="16">
        <v>46143</v>
      </c>
      <c r="B160" s="69">
        <v>31</v>
      </c>
      <c r="C160" s="56">
        <f>194.205</f>
        <v>194.20500000000001</v>
      </c>
      <c r="D160" s="56">
        <f>267.466</f>
        <v>267.46600000000001</v>
      </c>
      <c r="E160" s="64">
        <f>133.845</f>
        <v>133.845</v>
      </c>
      <c r="F160" s="56">
        <f>278.484-40-25-60-100</f>
        <v>53.48399999999998</v>
      </c>
      <c r="G160" s="59">
        <v>40</v>
      </c>
      <c r="H160" s="56">
        <f t="shared" si="26"/>
        <v>185</v>
      </c>
      <c r="I160" s="56">
        <f t="shared" si="17"/>
        <v>0</v>
      </c>
      <c r="J160" s="59">
        <v>100</v>
      </c>
      <c r="K160" s="59">
        <v>300</v>
      </c>
      <c r="L160" s="56">
        <f t="shared" si="21"/>
        <v>1274</v>
      </c>
      <c r="M160" s="66">
        <v>600</v>
      </c>
      <c r="N160" s="56">
        <f>75</f>
        <v>75</v>
      </c>
      <c r="O160" s="59">
        <v>240</v>
      </c>
      <c r="P160" s="59">
        <v>160</v>
      </c>
      <c r="Q160" s="59">
        <f t="shared" si="22"/>
        <v>195</v>
      </c>
      <c r="R160" s="59">
        <f t="shared" si="23"/>
        <v>100</v>
      </c>
      <c r="S160" s="56">
        <f t="shared" si="24"/>
        <v>695</v>
      </c>
      <c r="T160" s="56">
        <f>50</f>
        <v>50</v>
      </c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</row>
    <row r="161" spans="1:30" ht="15.75">
      <c r="A161" s="16">
        <v>46174</v>
      </c>
      <c r="B161" s="69">
        <v>30</v>
      </c>
      <c r="C161" s="56">
        <f>194.205</f>
        <v>194.20500000000001</v>
      </c>
      <c r="D161" s="56">
        <f>267.466</f>
        <v>267.46600000000001</v>
      </c>
      <c r="E161" s="64">
        <f>133.845</f>
        <v>133.845</v>
      </c>
      <c r="F161" s="56">
        <f>278.484-40-25-60-100</f>
        <v>53.48399999999998</v>
      </c>
      <c r="G161" s="59">
        <v>40</v>
      </c>
      <c r="H161" s="56">
        <f t="shared" si="26"/>
        <v>185</v>
      </c>
      <c r="I161" s="56">
        <f t="shared" si="17"/>
        <v>0</v>
      </c>
      <c r="J161" s="59">
        <v>100</v>
      </c>
      <c r="K161" s="59">
        <v>300</v>
      </c>
      <c r="L161" s="56">
        <f t="shared" si="21"/>
        <v>1274</v>
      </c>
      <c r="M161" s="66">
        <v>600</v>
      </c>
      <c r="N161" s="56">
        <f>30</f>
        <v>30</v>
      </c>
      <c r="O161" s="59">
        <v>240</v>
      </c>
      <c r="P161" s="59">
        <v>160</v>
      </c>
      <c r="Q161" s="59">
        <f t="shared" si="22"/>
        <v>195</v>
      </c>
      <c r="R161" s="59">
        <f t="shared" si="23"/>
        <v>100</v>
      </c>
      <c r="S161" s="56">
        <f t="shared" si="24"/>
        <v>695</v>
      </c>
      <c r="T161" s="56">
        <f>50</f>
        <v>50</v>
      </c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</row>
    <row r="162" spans="1:30" ht="15.75">
      <c r="A162" s="16">
        <v>46204</v>
      </c>
      <c r="B162" s="69">
        <v>31</v>
      </c>
      <c r="C162" s="56">
        <f>194.205</f>
        <v>194.20500000000001</v>
      </c>
      <c r="D162" s="56">
        <f>267.466</f>
        <v>267.46600000000001</v>
      </c>
      <c r="E162" s="64">
        <f>133.845</f>
        <v>133.845</v>
      </c>
      <c r="F162" s="56">
        <f>278.484-40-25-60-100</f>
        <v>53.48399999999998</v>
      </c>
      <c r="G162" s="59">
        <v>40</v>
      </c>
      <c r="H162" s="56">
        <f t="shared" si="26"/>
        <v>185</v>
      </c>
      <c r="I162" s="56">
        <f t="shared" si="17"/>
        <v>0</v>
      </c>
      <c r="J162" s="59">
        <v>100</v>
      </c>
      <c r="K162" s="59">
        <v>300</v>
      </c>
      <c r="L162" s="56">
        <f t="shared" si="21"/>
        <v>1274</v>
      </c>
      <c r="M162" s="66">
        <v>600</v>
      </c>
      <c r="N162" s="56">
        <f>30</f>
        <v>30</v>
      </c>
      <c r="O162" s="59">
        <v>240</v>
      </c>
      <c r="P162" s="59">
        <v>160</v>
      </c>
      <c r="Q162" s="59">
        <f t="shared" si="22"/>
        <v>195</v>
      </c>
      <c r="R162" s="59">
        <f t="shared" si="23"/>
        <v>100</v>
      </c>
      <c r="S162" s="56">
        <f t="shared" si="24"/>
        <v>695</v>
      </c>
      <c r="T162" s="56">
        <f>0</f>
        <v>0</v>
      </c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</row>
    <row r="163" spans="1:30" ht="15.75">
      <c r="A163" s="16">
        <v>46235</v>
      </c>
      <c r="B163" s="69">
        <v>31</v>
      </c>
      <c r="C163" s="56">
        <f>194.205</f>
        <v>194.20500000000001</v>
      </c>
      <c r="D163" s="56">
        <f>267.466</f>
        <v>267.46600000000001</v>
      </c>
      <c r="E163" s="64">
        <f>133.845</f>
        <v>133.845</v>
      </c>
      <c r="F163" s="56">
        <f>278.484-40-25-60-100</f>
        <v>53.48399999999998</v>
      </c>
      <c r="G163" s="59">
        <v>40</v>
      </c>
      <c r="H163" s="56">
        <f t="shared" si="26"/>
        <v>185</v>
      </c>
      <c r="I163" s="56">
        <f t="shared" si="17"/>
        <v>0</v>
      </c>
      <c r="J163" s="59">
        <v>100</v>
      </c>
      <c r="K163" s="59">
        <v>300</v>
      </c>
      <c r="L163" s="56">
        <f t="shared" si="21"/>
        <v>1274</v>
      </c>
      <c r="M163" s="66">
        <v>600</v>
      </c>
      <c r="N163" s="56">
        <f>30</f>
        <v>30</v>
      </c>
      <c r="O163" s="59">
        <v>240</v>
      </c>
      <c r="P163" s="59">
        <v>160</v>
      </c>
      <c r="Q163" s="59">
        <f t="shared" si="22"/>
        <v>195</v>
      </c>
      <c r="R163" s="59">
        <f t="shared" si="23"/>
        <v>100</v>
      </c>
      <c r="S163" s="56">
        <f t="shared" si="24"/>
        <v>695</v>
      </c>
      <c r="T163" s="56">
        <f>0</f>
        <v>0</v>
      </c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</row>
    <row r="164" spans="1:30" ht="15.75">
      <c r="A164" s="16">
        <v>46266</v>
      </c>
      <c r="B164" s="69">
        <v>30</v>
      </c>
      <c r="C164" s="56">
        <f>194.205</f>
        <v>194.20500000000001</v>
      </c>
      <c r="D164" s="56">
        <f>267.466</f>
        <v>267.46600000000001</v>
      </c>
      <c r="E164" s="64">
        <f>133.845</f>
        <v>133.845</v>
      </c>
      <c r="F164" s="56">
        <f>278.484-40-25-60-100</f>
        <v>53.48399999999998</v>
      </c>
      <c r="G164" s="59">
        <v>40</v>
      </c>
      <c r="H164" s="56">
        <f t="shared" si="26"/>
        <v>185</v>
      </c>
      <c r="I164" s="56">
        <f t="shared" si="17"/>
        <v>0</v>
      </c>
      <c r="J164" s="59">
        <v>100</v>
      </c>
      <c r="K164" s="59">
        <v>300</v>
      </c>
      <c r="L164" s="56">
        <f t="shared" si="21"/>
        <v>1274</v>
      </c>
      <c r="M164" s="66">
        <v>600</v>
      </c>
      <c r="N164" s="56">
        <f>30</f>
        <v>30</v>
      </c>
      <c r="O164" s="59">
        <v>240</v>
      </c>
      <c r="P164" s="59">
        <v>160</v>
      </c>
      <c r="Q164" s="59">
        <f t="shared" si="22"/>
        <v>195</v>
      </c>
      <c r="R164" s="59">
        <f t="shared" si="23"/>
        <v>100</v>
      </c>
      <c r="S164" s="56">
        <f t="shared" si="24"/>
        <v>695</v>
      </c>
      <c r="T164" s="56">
        <f>0</f>
        <v>0</v>
      </c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</row>
    <row r="165" spans="1:30" ht="15.75">
      <c r="A165" s="16">
        <v>46296</v>
      </c>
      <c r="B165" s="69">
        <v>31</v>
      </c>
      <c r="C165" s="56">
        <f>131.881</f>
        <v>131.881</v>
      </c>
      <c r="D165" s="56">
        <f>277.167</f>
        <v>277.16699999999997</v>
      </c>
      <c r="E165" s="64">
        <f>79.08</f>
        <v>79.08</v>
      </c>
      <c r="F165" s="56">
        <f>350.872-40-25-60-100</f>
        <v>125.87200000000001</v>
      </c>
      <c r="G165" s="59">
        <v>40</v>
      </c>
      <c r="H165" s="56">
        <f t="shared" si="26"/>
        <v>185</v>
      </c>
      <c r="I165" s="56">
        <f t="shared" si="17"/>
        <v>0</v>
      </c>
      <c r="J165" s="59">
        <v>100</v>
      </c>
      <c r="K165" s="59">
        <v>300</v>
      </c>
      <c r="L165" s="56">
        <f t="shared" si="21"/>
        <v>1239</v>
      </c>
      <c r="M165" s="66">
        <v>600</v>
      </c>
      <c r="N165" s="56">
        <f>75</f>
        <v>75</v>
      </c>
      <c r="O165" s="59">
        <v>240</v>
      </c>
      <c r="P165" s="59">
        <v>160</v>
      </c>
      <c r="Q165" s="59">
        <f t="shared" si="22"/>
        <v>195</v>
      </c>
      <c r="R165" s="59">
        <f t="shared" si="23"/>
        <v>100</v>
      </c>
      <c r="S165" s="56">
        <f t="shared" si="24"/>
        <v>695</v>
      </c>
      <c r="T165" s="56">
        <f>0</f>
        <v>0</v>
      </c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</row>
    <row r="166" spans="1:30" ht="15.75">
      <c r="A166" s="16">
        <v>46327</v>
      </c>
      <c r="B166" s="69">
        <v>30</v>
      </c>
      <c r="C166" s="56">
        <f>122.58</f>
        <v>122.58</v>
      </c>
      <c r="D166" s="56">
        <f>297.941</f>
        <v>297.94099999999997</v>
      </c>
      <c r="E166" s="64">
        <f>89.177</f>
        <v>89.177000000000007</v>
      </c>
      <c r="F166" s="56">
        <f>240.302-40-60-100</f>
        <v>40.301999999999992</v>
      </c>
      <c r="G166" s="59">
        <v>40</v>
      </c>
      <c r="H166" s="56">
        <f>60+100</f>
        <v>160</v>
      </c>
      <c r="I166" s="56">
        <f t="shared" si="17"/>
        <v>0</v>
      </c>
      <c r="J166" s="59">
        <v>100</v>
      </c>
      <c r="K166" s="59">
        <v>300</v>
      </c>
      <c r="L166" s="56">
        <f t="shared" si="21"/>
        <v>1150</v>
      </c>
      <c r="M166" s="66">
        <v>600</v>
      </c>
      <c r="N166" s="56">
        <f>100</f>
        <v>100</v>
      </c>
      <c r="O166" s="59">
        <v>240</v>
      </c>
      <c r="P166" s="59">
        <v>40</v>
      </c>
      <c r="Q166" s="59">
        <f t="shared" si="22"/>
        <v>315</v>
      </c>
      <c r="R166" s="59">
        <f t="shared" si="23"/>
        <v>100</v>
      </c>
      <c r="S166" s="56">
        <f t="shared" si="24"/>
        <v>695</v>
      </c>
      <c r="T166" s="56">
        <f>50</f>
        <v>50</v>
      </c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</row>
    <row r="167" spans="1:30" ht="15.75">
      <c r="A167" s="16">
        <v>46357</v>
      </c>
      <c r="B167" s="69">
        <v>31</v>
      </c>
      <c r="C167" s="56">
        <f>122.58</f>
        <v>122.58</v>
      </c>
      <c r="D167" s="56">
        <f>297.941</f>
        <v>297.94099999999997</v>
      </c>
      <c r="E167" s="64">
        <f>89.177</f>
        <v>89.177000000000007</v>
      </c>
      <c r="F167" s="56">
        <f>240.302-40-60-100</f>
        <v>40.301999999999992</v>
      </c>
      <c r="G167" s="59">
        <v>40</v>
      </c>
      <c r="H167" s="56">
        <f>60+100</f>
        <v>160</v>
      </c>
      <c r="I167" s="56">
        <f t="shared" si="17"/>
        <v>0</v>
      </c>
      <c r="J167" s="59">
        <v>100</v>
      </c>
      <c r="K167" s="59">
        <v>300</v>
      </c>
      <c r="L167" s="56">
        <f t="shared" si="21"/>
        <v>1150</v>
      </c>
      <c r="M167" s="66">
        <v>600</v>
      </c>
      <c r="N167" s="56">
        <f>100</f>
        <v>100</v>
      </c>
      <c r="O167" s="59">
        <v>240</v>
      </c>
      <c r="P167" s="59">
        <v>40</v>
      </c>
      <c r="Q167" s="59">
        <f t="shared" si="22"/>
        <v>315</v>
      </c>
      <c r="R167" s="59">
        <f t="shared" si="23"/>
        <v>100</v>
      </c>
      <c r="S167" s="56">
        <f t="shared" si="24"/>
        <v>695</v>
      </c>
      <c r="T167" s="56">
        <f>50</f>
        <v>50</v>
      </c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</row>
    <row r="168" spans="1:30" ht="15.75">
      <c r="A168" s="16">
        <v>46388</v>
      </c>
      <c r="B168" s="69">
        <v>31</v>
      </c>
      <c r="C168" s="56">
        <f>122.58</f>
        <v>122.58</v>
      </c>
      <c r="D168" s="56">
        <f>297.941</f>
        <v>297.94099999999997</v>
      </c>
      <c r="E168" s="64">
        <f>89.177</f>
        <v>89.177000000000007</v>
      </c>
      <c r="F168" s="56">
        <f>240.302-40-60-100</f>
        <v>40.301999999999992</v>
      </c>
      <c r="G168" s="59">
        <v>40</v>
      </c>
      <c r="H168" s="56">
        <f>60+100</f>
        <v>160</v>
      </c>
      <c r="I168" s="56">
        <f t="shared" ref="I168:I231" si="27">400-J168-K168</f>
        <v>0</v>
      </c>
      <c r="J168" s="59">
        <v>100</v>
      </c>
      <c r="K168" s="59">
        <v>300</v>
      </c>
      <c r="L168" s="56">
        <f t="shared" si="21"/>
        <v>1150</v>
      </c>
      <c r="M168" s="66">
        <v>600</v>
      </c>
      <c r="N168" s="56">
        <f>100</f>
        <v>100</v>
      </c>
      <c r="O168" s="59">
        <v>240</v>
      </c>
      <c r="P168" s="59">
        <v>40</v>
      </c>
      <c r="Q168" s="59">
        <f t="shared" si="22"/>
        <v>315</v>
      </c>
      <c r="R168" s="59">
        <f t="shared" si="23"/>
        <v>100</v>
      </c>
      <c r="S168" s="56">
        <f t="shared" si="24"/>
        <v>695</v>
      </c>
      <c r="T168" s="56">
        <f>50</f>
        <v>50</v>
      </c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</row>
    <row r="169" spans="1:30" ht="15.75">
      <c r="A169" s="16">
        <v>46419</v>
      </c>
      <c r="B169" s="69">
        <v>28</v>
      </c>
      <c r="C169" s="56">
        <f>122.58</f>
        <v>122.58</v>
      </c>
      <c r="D169" s="56">
        <f>297.941</f>
        <v>297.94099999999997</v>
      </c>
      <c r="E169" s="64">
        <f>89.177</f>
        <v>89.177000000000007</v>
      </c>
      <c r="F169" s="56">
        <f>240.302-40-60-100</f>
        <v>40.301999999999992</v>
      </c>
      <c r="G169" s="59">
        <v>40</v>
      </c>
      <c r="H169" s="56">
        <f>60+100</f>
        <v>160</v>
      </c>
      <c r="I169" s="56">
        <f t="shared" si="27"/>
        <v>0</v>
      </c>
      <c r="J169" s="59">
        <v>100</v>
      </c>
      <c r="K169" s="59">
        <v>300</v>
      </c>
      <c r="L169" s="56">
        <f t="shared" si="21"/>
        <v>1150</v>
      </c>
      <c r="M169" s="66">
        <v>600</v>
      </c>
      <c r="N169" s="56">
        <f>100</f>
        <v>100</v>
      </c>
      <c r="O169" s="59">
        <v>240</v>
      </c>
      <c r="P169" s="59">
        <v>40</v>
      </c>
      <c r="Q169" s="59">
        <f t="shared" si="22"/>
        <v>315</v>
      </c>
      <c r="R169" s="59">
        <f t="shared" si="23"/>
        <v>100</v>
      </c>
      <c r="S169" s="56">
        <f t="shared" si="24"/>
        <v>695</v>
      </c>
      <c r="T169" s="56">
        <f>50</f>
        <v>50</v>
      </c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</row>
    <row r="170" spans="1:30" ht="15.75">
      <c r="A170" s="16">
        <v>46447</v>
      </c>
      <c r="B170" s="69">
        <v>31</v>
      </c>
      <c r="C170" s="56">
        <f>122.58</f>
        <v>122.58</v>
      </c>
      <c r="D170" s="56">
        <f>297.941</f>
        <v>297.94099999999997</v>
      </c>
      <c r="E170" s="64">
        <f>89.177</f>
        <v>89.177000000000007</v>
      </c>
      <c r="F170" s="56">
        <f>240.302-40-60-100</f>
        <v>40.301999999999992</v>
      </c>
      <c r="G170" s="59">
        <v>40</v>
      </c>
      <c r="H170" s="56">
        <f>60+100</f>
        <v>160</v>
      </c>
      <c r="I170" s="56">
        <f t="shared" si="27"/>
        <v>0</v>
      </c>
      <c r="J170" s="59">
        <v>100</v>
      </c>
      <c r="K170" s="59">
        <v>300</v>
      </c>
      <c r="L170" s="56">
        <f t="shared" si="21"/>
        <v>1150</v>
      </c>
      <c r="M170" s="66">
        <v>600</v>
      </c>
      <c r="N170" s="56">
        <f>100</f>
        <v>100</v>
      </c>
      <c r="O170" s="59">
        <v>240</v>
      </c>
      <c r="P170" s="59">
        <v>40</v>
      </c>
      <c r="Q170" s="59">
        <f t="shared" si="22"/>
        <v>315</v>
      </c>
      <c r="R170" s="59">
        <f t="shared" si="23"/>
        <v>100</v>
      </c>
      <c r="S170" s="56">
        <f t="shared" si="24"/>
        <v>695</v>
      </c>
      <c r="T170" s="56">
        <f>50</f>
        <v>50</v>
      </c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</row>
    <row r="171" spans="1:30" ht="15.75">
      <c r="A171" s="16">
        <v>46478</v>
      </c>
      <c r="B171" s="69">
        <v>30</v>
      </c>
      <c r="C171" s="56">
        <f>141.293</f>
        <v>141.29300000000001</v>
      </c>
      <c r="D171" s="56">
        <f>267.993</f>
        <v>267.99299999999999</v>
      </c>
      <c r="E171" s="64">
        <f>115.016</f>
        <v>115.01600000000001</v>
      </c>
      <c r="F171" s="56">
        <f>314.698-40-25-60-100</f>
        <v>89.697999999999979</v>
      </c>
      <c r="G171" s="59">
        <v>40</v>
      </c>
      <c r="H171" s="56">
        <f t="shared" ref="H171:H177" si="28">25+60+100</f>
        <v>185</v>
      </c>
      <c r="I171" s="56">
        <f t="shared" si="27"/>
        <v>0</v>
      </c>
      <c r="J171" s="59">
        <v>100</v>
      </c>
      <c r="K171" s="59">
        <v>300</v>
      </c>
      <c r="L171" s="56">
        <f t="shared" si="21"/>
        <v>1239</v>
      </c>
      <c r="M171" s="66">
        <v>600</v>
      </c>
      <c r="N171" s="56">
        <f>100</f>
        <v>100</v>
      </c>
      <c r="O171" s="59">
        <v>240</v>
      </c>
      <c r="P171" s="59">
        <v>160</v>
      </c>
      <c r="Q171" s="59">
        <f t="shared" si="22"/>
        <v>195</v>
      </c>
      <c r="R171" s="59">
        <f t="shared" si="23"/>
        <v>100</v>
      </c>
      <c r="S171" s="56">
        <f t="shared" si="24"/>
        <v>695</v>
      </c>
      <c r="T171" s="56">
        <f>50</f>
        <v>50</v>
      </c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</row>
    <row r="172" spans="1:30" ht="15.75">
      <c r="A172" s="16">
        <v>46508</v>
      </c>
      <c r="B172" s="69">
        <v>31</v>
      </c>
      <c r="C172" s="56">
        <f>194.205</f>
        <v>194.20500000000001</v>
      </c>
      <c r="D172" s="56">
        <f>267.466</f>
        <v>267.46600000000001</v>
      </c>
      <c r="E172" s="64">
        <f>133.845</f>
        <v>133.845</v>
      </c>
      <c r="F172" s="56">
        <f>278.484-40-25-60-100</f>
        <v>53.48399999999998</v>
      </c>
      <c r="G172" s="59">
        <v>40</v>
      </c>
      <c r="H172" s="56">
        <f t="shared" si="28"/>
        <v>185</v>
      </c>
      <c r="I172" s="56">
        <f t="shared" si="27"/>
        <v>0</v>
      </c>
      <c r="J172" s="59">
        <v>100</v>
      </c>
      <c r="K172" s="59">
        <v>300</v>
      </c>
      <c r="L172" s="56">
        <f t="shared" si="21"/>
        <v>1274</v>
      </c>
      <c r="M172" s="66">
        <v>600</v>
      </c>
      <c r="N172" s="56">
        <f>75</f>
        <v>75</v>
      </c>
      <c r="O172" s="59">
        <v>240</v>
      </c>
      <c r="P172" s="59">
        <v>160</v>
      </c>
      <c r="Q172" s="59">
        <f t="shared" si="22"/>
        <v>195</v>
      </c>
      <c r="R172" s="59">
        <f t="shared" si="23"/>
        <v>100</v>
      </c>
      <c r="S172" s="56">
        <f t="shared" si="24"/>
        <v>695</v>
      </c>
      <c r="T172" s="56">
        <f>50</f>
        <v>50</v>
      </c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</row>
    <row r="173" spans="1:30" ht="15.75">
      <c r="A173" s="16">
        <v>46539</v>
      </c>
      <c r="B173" s="69">
        <v>30</v>
      </c>
      <c r="C173" s="56">
        <f>194.205</f>
        <v>194.20500000000001</v>
      </c>
      <c r="D173" s="56">
        <f>267.466</f>
        <v>267.46600000000001</v>
      </c>
      <c r="E173" s="64">
        <f>133.845</f>
        <v>133.845</v>
      </c>
      <c r="F173" s="56">
        <f>278.484-40-25-60-100</f>
        <v>53.48399999999998</v>
      </c>
      <c r="G173" s="59">
        <v>40</v>
      </c>
      <c r="H173" s="56">
        <f t="shared" si="28"/>
        <v>185</v>
      </c>
      <c r="I173" s="56">
        <f t="shared" si="27"/>
        <v>0</v>
      </c>
      <c r="J173" s="59">
        <v>100</v>
      </c>
      <c r="K173" s="59">
        <v>300</v>
      </c>
      <c r="L173" s="56">
        <f t="shared" si="21"/>
        <v>1274</v>
      </c>
      <c r="M173" s="66">
        <v>600</v>
      </c>
      <c r="N173" s="56">
        <f>30</f>
        <v>30</v>
      </c>
      <c r="O173" s="59">
        <v>240</v>
      </c>
      <c r="P173" s="59">
        <v>160</v>
      </c>
      <c r="Q173" s="59">
        <f t="shared" si="22"/>
        <v>195</v>
      </c>
      <c r="R173" s="59">
        <f t="shared" si="23"/>
        <v>100</v>
      </c>
      <c r="S173" s="56">
        <f t="shared" si="24"/>
        <v>695</v>
      </c>
      <c r="T173" s="56">
        <f>50</f>
        <v>50</v>
      </c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</row>
    <row r="174" spans="1:30" ht="15.75">
      <c r="A174" s="16">
        <v>46569</v>
      </c>
      <c r="B174" s="69">
        <v>31</v>
      </c>
      <c r="C174" s="56">
        <f>194.205</f>
        <v>194.20500000000001</v>
      </c>
      <c r="D174" s="56">
        <f>267.466</f>
        <v>267.46600000000001</v>
      </c>
      <c r="E174" s="64">
        <f>133.845</f>
        <v>133.845</v>
      </c>
      <c r="F174" s="56">
        <f>278.484-40-25-60-100</f>
        <v>53.48399999999998</v>
      </c>
      <c r="G174" s="59">
        <v>40</v>
      </c>
      <c r="H174" s="56">
        <f t="shared" si="28"/>
        <v>185</v>
      </c>
      <c r="I174" s="56">
        <f t="shared" si="27"/>
        <v>0</v>
      </c>
      <c r="J174" s="59">
        <v>100</v>
      </c>
      <c r="K174" s="59">
        <v>300</v>
      </c>
      <c r="L174" s="56">
        <f t="shared" si="21"/>
        <v>1274</v>
      </c>
      <c r="M174" s="66">
        <v>600</v>
      </c>
      <c r="N174" s="56">
        <f>30</f>
        <v>30</v>
      </c>
      <c r="O174" s="59">
        <v>240</v>
      </c>
      <c r="P174" s="59">
        <v>160</v>
      </c>
      <c r="Q174" s="59">
        <f t="shared" si="22"/>
        <v>195</v>
      </c>
      <c r="R174" s="59">
        <f t="shared" si="23"/>
        <v>100</v>
      </c>
      <c r="S174" s="56">
        <f t="shared" si="24"/>
        <v>695</v>
      </c>
      <c r="T174" s="56">
        <f>0</f>
        <v>0</v>
      </c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</row>
    <row r="175" spans="1:30" ht="15.75">
      <c r="A175" s="16">
        <v>46600</v>
      </c>
      <c r="B175" s="69">
        <v>31</v>
      </c>
      <c r="C175" s="56">
        <f>194.205</f>
        <v>194.20500000000001</v>
      </c>
      <c r="D175" s="56">
        <f>267.466</f>
        <v>267.46600000000001</v>
      </c>
      <c r="E175" s="64">
        <f>133.845</f>
        <v>133.845</v>
      </c>
      <c r="F175" s="56">
        <f>278.484-40-25-60-100</f>
        <v>53.48399999999998</v>
      </c>
      <c r="G175" s="59">
        <v>40</v>
      </c>
      <c r="H175" s="56">
        <f t="shared" si="28"/>
        <v>185</v>
      </c>
      <c r="I175" s="56">
        <f t="shared" si="27"/>
        <v>0</v>
      </c>
      <c r="J175" s="59">
        <v>100</v>
      </c>
      <c r="K175" s="59">
        <v>300</v>
      </c>
      <c r="L175" s="56">
        <f t="shared" si="21"/>
        <v>1274</v>
      </c>
      <c r="M175" s="66">
        <v>600</v>
      </c>
      <c r="N175" s="56">
        <f>30</f>
        <v>30</v>
      </c>
      <c r="O175" s="59">
        <v>240</v>
      </c>
      <c r="P175" s="59">
        <v>160</v>
      </c>
      <c r="Q175" s="59">
        <f t="shared" si="22"/>
        <v>195</v>
      </c>
      <c r="R175" s="59">
        <f t="shared" si="23"/>
        <v>100</v>
      </c>
      <c r="S175" s="56">
        <f t="shared" si="24"/>
        <v>695</v>
      </c>
      <c r="T175" s="56">
        <f>0</f>
        <v>0</v>
      </c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</row>
    <row r="176" spans="1:30" ht="15.75">
      <c r="A176" s="16">
        <v>46631</v>
      </c>
      <c r="B176" s="69">
        <v>30</v>
      </c>
      <c r="C176" s="56">
        <f>194.205</f>
        <v>194.20500000000001</v>
      </c>
      <c r="D176" s="56">
        <f>267.466</f>
        <v>267.46600000000001</v>
      </c>
      <c r="E176" s="64">
        <f>133.845</f>
        <v>133.845</v>
      </c>
      <c r="F176" s="56">
        <f>278.484-40-25-60-100</f>
        <v>53.48399999999998</v>
      </c>
      <c r="G176" s="59">
        <v>40</v>
      </c>
      <c r="H176" s="56">
        <f t="shared" si="28"/>
        <v>185</v>
      </c>
      <c r="I176" s="56">
        <f t="shared" si="27"/>
        <v>0</v>
      </c>
      <c r="J176" s="59">
        <v>100</v>
      </c>
      <c r="K176" s="59">
        <v>300</v>
      </c>
      <c r="L176" s="56">
        <f t="shared" si="21"/>
        <v>1274</v>
      </c>
      <c r="M176" s="66">
        <v>600</v>
      </c>
      <c r="N176" s="56">
        <f>30</f>
        <v>30</v>
      </c>
      <c r="O176" s="59">
        <v>240</v>
      </c>
      <c r="P176" s="59">
        <v>160</v>
      </c>
      <c r="Q176" s="59">
        <f t="shared" si="22"/>
        <v>195</v>
      </c>
      <c r="R176" s="59">
        <f t="shared" si="23"/>
        <v>100</v>
      </c>
      <c r="S176" s="56">
        <f t="shared" si="24"/>
        <v>695</v>
      </c>
      <c r="T176" s="56">
        <f>0</f>
        <v>0</v>
      </c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</row>
    <row r="177" spans="1:30" ht="15.75">
      <c r="A177" s="16">
        <v>46661</v>
      </c>
      <c r="B177" s="69">
        <v>31</v>
      </c>
      <c r="C177" s="56">
        <f>131.881</f>
        <v>131.881</v>
      </c>
      <c r="D177" s="56">
        <f>277.167</f>
        <v>277.16699999999997</v>
      </c>
      <c r="E177" s="64">
        <f>79.08</f>
        <v>79.08</v>
      </c>
      <c r="F177" s="56">
        <f>350.872-40-25-60-100</f>
        <v>125.87200000000001</v>
      </c>
      <c r="G177" s="59">
        <v>40</v>
      </c>
      <c r="H177" s="56">
        <f t="shared" si="28"/>
        <v>185</v>
      </c>
      <c r="I177" s="56">
        <f t="shared" si="27"/>
        <v>0</v>
      </c>
      <c r="J177" s="59">
        <v>100</v>
      </c>
      <c r="K177" s="59">
        <v>300</v>
      </c>
      <c r="L177" s="56">
        <f t="shared" si="21"/>
        <v>1239</v>
      </c>
      <c r="M177" s="66">
        <v>600</v>
      </c>
      <c r="N177" s="56">
        <f>75</f>
        <v>75</v>
      </c>
      <c r="O177" s="59">
        <v>240</v>
      </c>
      <c r="P177" s="59">
        <v>160</v>
      </c>
      <c r="Q177" s="59">
        <f t="shared" si="22"/>
        <v>195</v>
      </c>
      <c r="R177" s="59">
        <f t="shared" si="23"/>
        <v>100</v>
      </c>
      <c r="S177" s="56">
        <f t="shared" si="24"/>
        <v>695</v>
      </c>
      <c r="T177" s="56">
        <f>0</f>
        <v>0</v>
      </c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</row>
    <row r="178" spans="1:30" ht="15.75">
      <c r="A178" s="16">
        <v>46692</v>
      </c>
      <c r="B178" s="69">
        <v>30</v>
      </c>
      <c r="C178" s="56">
        <f>122.58</f>
        <v>122.58</v>
      </c>
      <c r="D178" s="56">
        <f>297.941</f>
        <v>297.94099999999997</v>
      </c>
      <c r="E178" s="64">
        <f>89.177</f>
        <v>89.177000000000007</v>
      </c>
      <c r="F178" s="56">
        <f>240.302-40-60-100</f>
        <v>40.301999999999992</v>
      </c>
      <c r="G178" s="59">
        <v>40</v>
      </c>
      <c r="H178" s="56">
        <f>60+100</f>
        <v>160</v>
      </c>
      <c r="I178" s="56">
        <f t="shared" si="27"/>
        <v>0</v>
      </c>
      <c r="J178" s="59">
        <v>100</v>
      </c>
      <c r="K178" s="59">
        <v>300</v>
      </c>
      <c r="L178" s="56">
        <f t="shared" si="21"/>
        <v>1150</v>
      </c>
      <c r="M178" s="66">
        <v>600</v>
      </c>
      <c r="N178" s="56">
        <f>100</f>
        <v>100</v>
      </c>
      <c r="O178" s="59">
        <v>240</v>
      </c>
      <c r="P178" s="59">
        <v>40</v>
      </c>
      <c r="Q178" s="59">
        <f t="shared" si="22"/>
        <v>315</v>
      </c>
      <c r="R178" s="59">
        <f t="shared" si="23"/>
        <v>100</v>
      </c>
      <c r="S178" s="56">
        <f t="shared" si="24"/>
        <v>695</v>
      </c>
      <c r="T178" s="56">
        <f>50</f>
        <v>50</v>
      </c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</row>
    <row r="179" spans="1:30" ht="15.75">
      <c r="A179" s="16">
        <v>46722</v>
      </c>
      <c r="B179" s="69">
        <v>31</v>
      </c>
      <c r="C179" s="56">
        <f>122.58</f>
        <v>122.58</v>
      </c>
      <c r="D179" s="56">
        <f>297.941</f>
        <v>297.94099999999997</v>
      </c>
      <c r="E179" s="64">
        <f>89.177</f>
        <v>89.177000000000007</v>
      </c>
      <c r="F179" s="56">
        <f>240.302-40-60-100</f>
        <v>40.301999999999992</v>
      </c>
      <c r="G179" s="59">
        <v>40</v>
      </c>
      <c r="H179" s="56">
        <f>60+100</f>
        <v>160</v>
      </c>
      <c r="I179" s="56">
        <f t="shared" si="27"/>
        <v>0</v>
      </c>
      <c r="J179" s="59">
        <v>100</v>
      </c>
      <c r="K179" s="59">
        <v>300</v>
      </c>
      <c r="L179" s="56">
        <f t="shared" si="21"/>
        <v>1150</v>
      </c>
      <c r="M179" s="66">
        <v>600</v>
      </c>
      <c r="N179" s="56">
        <f>100</f>
        <v>100</v>
      </c>
      <c r="O179" s="59">
        <v>240</v>
      </c>
      <c r="P179" s="59">
        <v>40</v>
      </c>
      <c r="Q179" s="59">
        <f t="shared" si="22"/>
        <v>315</v>
      </c>
      <c r="R179" s="59">
        <f t="shared" si="23"/>
        <v>100</v>
      </c>
      <c r="S179" s="56">
        <f t="shared" si="24"/>
        <v>695</v>
      </c>
      <c r="T179" s="56">
        <f>50</f>
        <v>50</v>
      </c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</row>
    <row r="180" spans="1:30" ht="15.75">
      <c r="A180" s="16">
        <v>46753</v>
      </c>
      <c r="B180" s="69">
        <v>31</v>
      </c>
      <c r="C180" s="56">
        <f>122.58</f>
        <v>122.58</v>
      </c>
      <c r="D180" s="56">
        <f>297.941</f>
        <v>297.94099999999997</v>
      </c>
      <c r="E180" s="64">
        <f>89.177</f>
        <v>89.177000000000007</v>
      </c>
      <c r="F180" s="56">
        <f>240.302-40-60-100</f>
        <v>40.301999999999992</v>
      </c>
      <c r="G180" s="59">
        <v>40</v>
      </c>
      <c r="H180" s="56">
        <f>60+100</f>
        <v>160</v>
      </c>
      <c r="I180" s="56">
        <f t="shared" si="27"/>
        <v>0</v>
      </c>
      <c r="J180" s="59">
        <v>100</v>
      </c>
      <c r="K180" s="59">
        <v>300</v>
      </c>
      <c r="L180" s="56">
        <f t="shared" si="21"/>
        <v>1150</v>
      </c>
      <c r="M180" s="66">
        <v>600</v>
      </c>
      <c r="N180" s="56">
        <f>100</f>
        <v>100</v>
      </c>
      <c r="O180" s="59">
        <v>240</v>
      </c>
      <c r="P180" s="59">
        <v>40</v>
      </c>
      <c r="Q180" s="59">
        <f t="shared" si="22"/>
        <v>315</v>
      </c>
      <c r="R180" s="59">
        <f t="shared" si="23"/>
        <v>100</v>
      </c>
      <c r="S180" s="56">
        <f t="shared" si="24"/>
        <v>695</v>
      </c>
      <c r="T180" s="56">
        <f>50</f>
        <v>50</v>
      </c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</row>
    <row r="181" spans="1:30" ht="15.75">
      <c r="A181" s="16">
        <v>46784</v>
      </c>
      <c r="B181" s="69">
        <v>29</v>
      </c>
      <c r="C181" s="56">
        <f>122.58</f>
        <v>122.58</v>
      </c>
      <c r="D181" s="56">
        <f>297.941</f>
        <v>297.94099999999997</v>
      </c>
      <c r="E181" s="64">
        <f>89.177</f>
        <v>89.177000000000007</v>
      </c>
      <c r="F181" s="56">
        <f>240.302-40-60-100</f>
        <v>40.301999999999992</v>
      </c>
      <c r="G181" s="59">
        <v>40</v>
      </c>
      <c r="H181" s="56">
        <f>60+100</f>
        <v>160</v>
      </c>
      <c r="I181" s="56">
        <f t="shared" si="27"/>
        <v>0</v>
      </c>
      <c r="J181" s="59">
        <v>100</v>
      </c>
      <c r="K181" s="59">
        <v>300</v>
      </c>
      <c r="L181" s="56">
        <f t="shared" si="21"/>
        <v>1150</v>
      </c>
      <c r="M181" s="66">
        <v>600</v>
      </c>
      <c r="N181" s="56">
        <f>100</f>
        <v>100</v>
      </c>
      <c r="O181" s="59">
        <v>240</v>
      </c>
      <c r="P181" s="59">
        <v>40</v>
      </c>
      <c r="Q181" s="59">
        <f t="shared" si="22"/>
        <v>315</v>
      </c>
      <c r="R181" s="59">
        <f t="shared" si="23"/>
        <v>100</v>
      </c>
      <c r="S181" s="56">
        <f t="shared" si="24"/>
        <v>695</v>
      </c>
      <c r="T181" s="56">
        <f>50</f>
        <v>50</v>
      </c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</row>
    <row r="182" spans="1:30" ht="15.75">
      <c r="A182" s="16">
        <v>46813</v>
      </c>
      <c r="B182" s="69">
        <v>31</v>
      </c>
      <c r="C182" s="56">
        <f>122.58</f>
        <v>122.58</v>
      </c>
      <c r="D182" s="56">
        <f>297.941</f>
        <v>297.94099999999997</v>
      </c>
      <c r="E182" s="64">
        <f>89.177</f>
        <v>89.177000000000007</v>
      </c>
      <c r="F182" s="56">
        <f>240.302-40-60-100</f>
        <v>40.301999999999992</v>
      </c>
      <c r="G182" s="59">
        <v>40</v>
      </c>
      <c r="H182" s="56">
        <f>60+100</f>
        <v>160</v>
      </c>
      <c r="I182" s="56">
        <f t="shared" si="27"/>
        <v>0</v>
      </c>
      <c r="J182" s="59">
        <v>100</v>
      </c>
      <c r="K182" s="59">
        <v>300</v>
      </c>
      <c r="L182" s="56">
        <f t="shared" si="21"/>
        <v>1150</v>
      </c>
      <c r="M182" s="66">
        <v>600</v>
      </c>
      <c r="N182" s="56">
        <f>100</f>
        <v>100</v>
      </c>
      <c r="O182" s="59">
        <v>240</v>
      </c>
      <c r="P182" s="59">
        <v>40</v>
      </c>
      <c r="Q182" s="59">
        <f t="shared" si="22"/>
        <v>315</v>
      </c>
      <c r="R182" s="59">
        <f t="shared" si="23"/>
        <v>100</v>
      </c>
      <c r="S182" s="56">
        <f t="shared" si="24"/>
        <v>695</v>
      </c>
      <c r="T182" s="56">
        <f>50</f>
        <v>50</v>
      </c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</row>
    <row r="183" spans="1:30" ht="15.75">
      <c r="A183" s="16">
        <v>46844</v>
      </c>
      <c r="B183" s="69">
        <v>30</v>
      </c>
      <c r="C183" s="56">
        <f>141.293</f>
        <v>141.29300000000001</v>
      </c>
      <c r="D183" s="56">
        <f>267.993</f>
        <v>267.99299999999999</v>
      </c>
      <c r="E183" s="64">
        <f>115.016</f>
        <v>115.01600000000001</v>
      </c>
      <c r="F183" s="56">
        <f>314.698-40-25-60-100</f>
        <v>89.697999999999979</v>
      </c>
      <c r="G183" s="59">
        <v>40</v>
      </c>
      <c r="H183" s="56">
        <f t="shared" ref="H183:H189" si="29">25+60+100</f>
        <v>185</v>
      </c>
      <c r="I183" s="56">
        <f t="shared" si="27"/>
        <v>0</v>
      </c>
      <c r="J183" s="59">
        <v>100</v>
      </c>
      <c r="K183" s="59">
        <v>300</v>
      </c>
      <c r="L183" s="56">
        <f t="shared" si="21"/>
        <v>1239</v>
      </c>
      <c r="M183" s="66">
        <v>600</v>
      </c>
      <c r="N183" s="56">
        <f>100</f>
        <v>100</v>
      </c>
      <c r="O183" s="59">
        <v>240</v>
      </c>
      <c r="P183" s="59">
        <v>160</v>
      </c>
      <c r="Q183" s="59">
        <f t="shared" si="22"/>
        <v>195</v>
      </c>
      <c r="R183" s="59">
        <f t="shared" si="23"/>
        <v>100</v>
      </c>
      <c r="S183" s="56">
        <f t="shared" si="24"/>
        <v>695</v>
      </c>
      <c r="T183" s="56">
        <f>50</f>
        <v>50</v>
      </c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</row>
    <row r="184" spans="1:30" ht="15.75">
      <c r="A184" s="16">
        <v>46874</v>
      </c>
      <c r="B184" s="69">
        <v>31</v>
      </c>
      <c r="C184" s="56">
        <f>194.205</f>
        <v>194.20500000000001</v>
      </c>
      <c r="D184" s="56">
        <f>267.466</f>
        <v>267.46600000000001</v>
      </c>
      <c r="E184" s="64">
        <f>133.845</f>
        <v>133.845</v>
      </c>
      <c r="F184" s="56">
        <f>278.484-40-25-60-100</f>
        <v>53.48399999999998</v>
      </c>
      <c r="G184" s="59">
        <v>40</v>
      </c>
      <c r="H184" s="56">
        <f t="shared" si="29"/>
        <v>185</v>
      </c>
      <c r="I184" s="56">
        <f t="shared" si="27"/>
        <v>0</v>
      </c>
      <c r="J184" s="59">
        <v>100</v>
      </c>
      <c r="K184" s="59">
        <v>300</v>
      </c>
      <c r="L184" s="56">
        <f t="shared" si="21"/>
        <v>1274</v>
      </c>
      <c r="M184" s="66">
        <v>600</v>
      </c>
      <c r="N184" s="56">
        <f>75</f>
        <v>75</v>
      </c>
      <c r="O184" s="59">
        <v>240</v>
      </c>
      <c r="P184" s="59">
        <v>160</v>
      </c>
      <c r="Q184" s="59">
        <f t="shared" si="22"/>
        <v>195</v>
      </c>
      <c r="R184" s="59">
        <f t="shared" si="23"/>
        <v>100</v>
      </c>
      <c r="S184" s="56">
        <f t="shared" si="24"/>
        <v>695</v>
      </c>
      <c r="T184" s="56">
        <f>50</f>
        <v>50</v>
      </c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</row>
    <row r="185" spans="1:30" ht="15.75">
      <c r="A185" s="16">
        <v>46905</v>
      </c>
      <c r="B185" s="69">
        <v>30</v>
      </c>
      <c r="C185" s="56">
        <f>194.205</f>
        <v>194.20500000000001</v>
      </c>
      <c r="D185" s="56">
        <f>267.466</f>
        <v>267.46600000000001</v>
      </c>
      <c r="E185" s="64">
        <f>133.845</f>
        <v>133.845</v>
      </c>
      <c r="F185" s="56">
        <f>278.484-40-25-60-100</f>
        <v>53.48399999999998</v>
      </c>
      <c r="G185" s="59">
        <v>40</v>
      </c>
      <c r="H185" s="56">
        <f t="shared" si="29"/>
        <v>185</v>
      </c>
      <c r="I185" s="56">
        <f t="shared" si="27"/>
        <v>0</v>
      </c>
      <c r="J185" s="59">
        <v>100</v>
      </c>
      <c r="K185" s="59">
        <v>300</v>
      </c>
      <c r="L185" s="56">
        <f t="shared" si="21"/>
        <v>1274</v>
      </c>
      <c r="M185" s="66">
        <v>600</v>
      </c>
      <c r="N185" s="56">
        <f>30</f>
        <v>30</v>
      </c>
      <c r="O185" s="59">
        <v>240</v>
      </c>
      <c r="P185" s="59">
        <v>160</v>
      </c>
      <c r="Q185" s="59">
        <f t="shared" si="22"/>
        <v>195</v>
      </c>
      <c r="R185" s="59">
        <f t="shared" si="23"/>
        <v>100</v>
      </c>
      <c r="S185" s="56">
        <f t="shared" si="24"/>
        <v>695</v>
      </c>
      <c r="T185" s="56">
        <f>50</f>
        <v>50</v>
      </c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</row>
    <row r="186" spans="1:30" ht="15.75">
      <c r="A186" s="16">
        <v>46935</v>
      </c>
      <c r="B186" s="69">
        <v>31</v>
      </c>
      <c r="C186" s="56">
        <f>194.205</f>
        <v>194.20500000000001</v>
      </c>
      <c r="D186" s="56">
        <f>267.466</f>
        <v>267.46600000000001</v>
      </c>
      <c r="E186" s="64">
        <f>133.845</f>
        <v>133.845</v>
      </c>
      <c r="F186" s="56">
        <f>278.484-40-25-60-100</f>
        <v>53.48399999999998</v>
      </c>
      <c r="G186" s="59">
        <v>40</v>
      </c>
      <c r="H186" s="56">
        <f t="shared" si="29"/>
        <v>185</v>
      </c>
      <c r="I186" s="56">
        <f t="shared" si="27"/>
        <v>0</v>
      </c>
      <c r="J186" s="59">
        <v>100</v>
      </c>
      <c r="K186" s="59">
        <v>300</v>
      </c>
      <c r="L186" s="56">
        <f t="shared" si="21"/>
        <v>1274</v>
      </c>
      <c r="M186" s="66">
        <v>600</v>
      </c>
      <c r="N186" s="56">
        <f>30</f>
        <v>30</v>
      </c>
      <c r="O186" s="59">
        <v>240</v>
      </c>
      <c r="P186" s="59">
        <v>160</v>
      </c>
      <c r="Q186" s="59">
        <f t="shared" si="22"/>
        <v>195</v>
      </c>
      <c r="R186" s="59">
        <f t="shared" si="23"/>
        <v>100</v>
      </c>
      <c r="S186" s="56">
        <f t="shared" si="24"/>
        <v>695</v>
      </c>
      <c r="T186" s="56">
        <f>0</f>
        <v>0</v>
      </c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</row>
    <row r="187" spans="1:30" ht="15.75">
      <c r="A187" s="16">
        <v>46966</v>
      </c>
      <c r="B187" s="69">
        <v>31</v>
      </c>
      <c r="C187" s="56">
        <f>194.205</f>
        <v>194.20500000000001</v>
      </c>
      <c r="D187" s="56">
        <f>267.466</f>
        <v>267.46600000000001</v>
      </c>
      <c r="E187" s="64">
        <f>133.845</f>
        <v>133.845</v>
      </c>
      <c r="F187" s="56">
        <f>278.484-40-25-60-100</f>
        <v>53.48399999999998</v>
      </c>
      <c r="G187" s="59">
        <v>40</v>
      </c>
      <c r="H187" s="56">
        <f t="shared" si="29"/>
        <v>185</v>
      </c>
      <c r="I187" s="56">
        <f t="shared" si="27"/>
        <v>0</v>
      </c>
      <c r="J187" s="59">
        <v>100</v>
      </c>
      <c r="K187" s="59">
        <v>300</v>
      </c>
      <c r="L187" s="56">
        <f t="shared" si="21"/>
        <v>1274</v>
      </c>
      <c r="M187" s="66">
        <v>600</v>
      </c>
      <c r="N187" s="56">
        <f>30</f>
        <v>30</v>
      </c>
      <c r="O187" s="59">
        <v>240</v>
      </c>
      <c r="P187" s="59">
        <v>160</v>
      </c>
      <c r="Q187" s="59">
        <f t="shared" si="22"/>
        <v>195</v>
      </c>
      <c r="R187" s="59">
        <f t="shared" si="23"/>
        <v>100</v>
      </c>
      <c r="S187" s="56">
        <f t="shared" si="24"/>
        <v>695</v>
      </c>
      <c r="T187" s="56">
        <f>0</f>
        <v>0</v>
      </c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</row>
    <row r="188" spans="1:30" ht="15.75">
      <c r="A188" s="16">
        <v>46997</v>
      </c>
      <c r="B188" s="69">
        <v>30</v>
      </c>
      <c r="C188" s="56">
        <f>194.205</f>
        <v>194.20500000000001</v>
      </c>
      <c r="D188" s="56">
        <f>267.466</f>
        <v>267.46600000000001</v>
      </c>
      <c r="E188" s="64">
        <f>133.845</f>
        <v>133.845</v>
      </c>
      <c r="F188" s="56">
        <f>278.484-40-25-60-100</f>
        <v>53.48399999999998</v>
      </c>
      <c r="G188" s="59">
        <v>40</v>
      </c>
      <c r="H188" s="56">
        <f t="shared" si="29"/>
        <v>185</v>
      </c>
      <c r="I188" s="56">
        <f t="shared" si="27"/>
        <v>0</v>
      </c>
      <c r="J188" s="59">
        <v>100</v>
      </c>
      <c r="K188" s="59">
        <v>300</v>
      </c>
      <c r="L188" s="56">
        <f t="shared" si="21"/>
        <v>1274</v>
      </c>
      <c r="M188" s="66">
        <v>600</v>
      </c>
      <c r="N188" s="56">
        <f>30</f>
        <v>30</v>
      </c>
      <c r="O188" s="59">
        <v>240</v>
      </c>
      <c r="P188" s="59">
        <v>160</v>
      </c>
      <c r="Q188" s="59">
        <f t="shared" si="22"/>
        <v>195</v>
      </c>
      <c r="R188" s="59">
        <f t="shared" si="23"/>
        <v>100</v>
      </c>
      <c r="S188" s="56">
        <f t="shared" si="24"/>
        <v>695</v>
      </c>
      <c r="T188" s="56">
        <f>0</f>
        <v>0</v>
      </c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</row>
    <row r="189" spans="1:30" ht="15.75">
      <c r="A189" s="16">
        <v>47027</v>
      </c>
      <c r="B189" s="69">
        <v>31</v>
      </c>
      <c r="C189" s="56">
        <f>131.881</f>
        <v>131.881</v>
      </c>
      <c r="D189" s="56">
        <f>277.167</f>
        <v>277.16699999999997</v>
      </c>
      <c r="E189" s="64">
        <f>79.08</f>
        <v>79.08</v>
      </c>
      <c r="F189" s="56">
        <f>350.872-40-25-60-100</f>
        <v>125.87200000000001</v>
      </c>
      <c r="G189" s="59">
        <v>40</v>
      </c>
      <c r="H189" s="56">
        <f t="shared" si="29"/>
        <v>185</v>
      </c>
      <c r="I189" s="56">
        <f t="shared" si="27"/>
        <v>0</v>
      </c>
      <c r="J189" s="59">
        <v>100</v>
      </c>
      <c r="K189" s="59">
        <v>300</v>
      </c>
      <c r="L189" s="56">
        <f t="shared" si="21"/>
        <v>1239</v>
      </c>
      <c r="M189" s="66">
        <v>600</v>
      </c>
      <c r="N189" s="56">
        <f>75</f>
        <v>75</v>
      </c>
      <c r="O189" s="59">
        <v>240</v>
      </c>
      <c r="P189" s="59">
        <v>160</v>
      </c>
      <c r="Q189" s="59">
        <f t="shared" si="22"/>
        <v>195</v>
      </c>
      <c r="R189" s="59">
        <f t="shared" si="23"/>
        <v>100</v>
      </c>
      <c r="S189" s="56">
        <f t="shared" si="24"/>
        <v>695</v>
      </c>
      <c r="T189" s="56">
        <f>0</f>
        <v>0</v>
      </c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</row>
    <row r="190" spans="1:30" ht="15.75">
      <c r="A190" s="16">
        <v>47058</v>
      </c>
      <c r="B190" s="69">
        <v>30</v>
      </c>
      <c r="C190" s="56">
        <f>122.58</f>
        <v>122.58</v>
      </c>
      <c r="D190" s="56">
        <f>297.941</f>
        <v>297.94099999999997</v>
      </c>
      <c r="E190" s="64">
        <f>89.177</f>
        <v>89.177000000000007</v>
      </c>
      <c r="F190" s="56">
        <f>240.302-40-60-100</f>
        <v>40.301999999999992</v>
      </c>
      <c r="G190" s="59">
        <v>40</v>
      </c>
      <c r="H190" s="56">
        <f>60+100</f>
        <v>160</v>
      </c>
      <c r="I190" s="56">
        <f t="shared" si="27"/>
        <v>0</v>
      </c>
      <c r="J190" s="59">
        <v>100</v>
      </c>
      <c r="K190" s="59">
        <v>300</v>
      </c>
      <c r="L190" s="56">
        <f t="shared" si="21"/>
        <v>1150</v>
      </c>
      <c r="M190" s="66">
        <v>600</v>
      </c>
      <c r="N190" s="56">
        <f>100</f>
        <v>100</v>
      </c>
      <c r="O190" s="59">
        <v>240</v>
      </c>
      <c r="P190" s="59">
        <v>40</v>
      </c>
      <c r="Q190" s="59">
        <f t="shared" si="22"/>
        <v>315</v>
      </c>
      <c r="R190" s="59">
        <f t="shared" si="23"/>
        <v>100</v>
      </c>
      <c r="S190" s="56">
        <f t="shared" si="24"/>
        <v>695</v>
      </c>
      <c r="T190" s="56">
        <f>50</f>
        <v>50</v>
      </c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</row>
    <row r="191" spans="1:30" ht="15.75">
      <c r="A191" s="16">
        <v>47088</v>
      </c>
      <c r="B191" s="69">
        <v>31</v>
      </c>
      <c r="C191" s="56">
        <f>122.58</f>
        <v>122.58</v>
      </c>
      <c r="D191" s="56">
        <f>297.941</f>
        <v>297.94099999999997</v>
      </c>
      <c r="E191" s="64">
        <f>89.177</f>
        <v>89.177000000000007</v>
      </c>
      <c r="F191" s="56">
        <f>240.302-40-60-100</f>
        <v>40.301999999999992</v>
      </c>
      <c r="G191" s="59">
        <v>40</v>
      </c>
      <c r="H191" s="56">
        <f>60+100</f>
        <v>160</v>
      </c>
      <c r="I191" s="56">
        <f t="shared" si="27"/>
        <v>0</v>
      </c>
      <c r="J191" s="59">
        <v>100</v>
      </c>
      <c r="K191" s="59">
        <v>300</v>
      </c>
      <c r="L191" s="56">
        <f t="shared" si="21"/>
        <v>1150</v>
      </c>
      <c r="M191" s="66">
        <v>600</v>
      </c>
      <c r="N191" s="56">
        <f>100</f>
        <v>100</v>
      </c>
      <c r="O191" s="59">
        <v>240</v>
      </c>
      <c r="P191" s="59">
        <v>40</v>
      </c>
      <c r="Q191" s="59">
        <f t="shared" si="22"/>
        <v>315</v>
      </c>
      <c r="R191" s="59">
        <f t="shared" si="23"/>
        <v>100</v>
      </c>
      <c r="S191" s="56">
        <f t="shared" si="24"/>
        <v>695</v>
      </c>
      <c r="T191" s="56">
        <f>50</f>
        <v>50</v>
      </c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</row>
    <row r="192" spans="1:30" ht="15.75">
      <c r="A192" s="16">
        <v>47119</v>
      </c>
      <c r="B192" s="69">
        <v>31</v>
      </c>
      <c r="C192" s="56">
        <f>122.58</f>
        <v>122.58</v>
      </c>
      <c r="D192" s="56">
        <f>297.941</f>
        <v>297.94099999999997</v>
      </c>
      <c r="E192" s="64">
        <f>89.177</f>
        <v>89.177000000000007</v>
      </c>
      <c r="F192" s="56">
        <f>240.302-40-60-100</f>
        <v>40.301999999999992</v>
      </c>
      <c r="G192" s="59">
        <v>40</v>
      </c>
      <c r="H192" s="56">
        <f>60+100</f>
        <v>160</v>
      </c>
      <c r="I192" s="56">
        <f t="shared" si="27"/>
        <v>0</v>
      </c>
      <c r="J192" s="59">
        <v>100</v>
      </c>
      <c r="K192" s="59">
        <v>300</v>
      </c>
      <c r="L192" s="56">
        <f t="shared" si="21"/>
        <v>1150</v>
      </c>
      <c r="M192" s="66">
        <v>600</v>
      </c>
      <c r="N192" s="56">
        <f>100</f>
        <v>100</v>
      </c>
      <c r="O192" s="59">
        <v>240</v>
      </c>
      <c r="P192" s="59">
        <v>40</v>
      </c>
      <c r="Q192" s="59">
        <f t="shared" si="22"/>
        <v>315</v>
      </c>
      <c r="R192" s="59">
        <f t="shared" si="23"/>
        <v>100</v>
      </c>
      <c r="S192" s="56">
        <f t="shared" si="24"/>
        <v>695</v>
      </c>
      <c r="T192" s="56">
        <f>50</f>
        <v>50</v>
      </c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</row>
    <row r="193" spans="1:30" ht="15.75">
      <c r="A193" s="16">
        <v>47150</v>
      </c>
      <c r="B193" s="69">
        <v>28</v>
      </c>
      <c r="C193" s="56">
        <f>122.58</f>
        <v>122.58</v>
      </c>
      <c r="D193" s="56">
        <f>297.941</f>
        <v>297.94099999999997</v>
      </c>
      <c r="E193" s="64">
        <f>89.177</f>
        <v>89.177000000000007</v>
      </c>
      <c r="F193" s="56">
        <f>240.302-40-60-100</f>
        <v>40.301999999999992</v>
      </c>
      <c r="G193" s="59">
        <v>40</v>
      </c>
      <c r="H193" s="56">
        <f>60+100</f>
        <v>160</v>
      </c>
      <c r="I193" s="56">
        <f t="shared" si="27"/>
        <v>0</v>
      </c>
      <c r="J193" s="59">
        <v>100</v>
      </c>
      <c r="K193" s="59">
        <v>300</v>
      </c>
      <c r="L193" s="56">
        <f t="shared" si="21"/>
        <v>1150</v>
      </c>
      <c r="M193" s="66">
        <v>600</v>
      </c>
      <c r="N193" s="56">
        <f>100</f>
        <v>100</v>
      </c>
      <c r="O193" s="59">
        <v>240</v>
      </c>
      <c r="P193" s="59">
        <v>40</v>
      </c>
      <c r="Q193" s="59">
        <f t="shared" si="22"/>
        <v>315</v>
      </c>
      <c r="R193" s="59">
        <f t="shared" si="23"/>
        <v>100</v>
      </c>
      <c r="S193" s="56">
        <f t="shared" si="24"/>
        <v>695</v>
      </c>
      <c r="T193" s="56">
        <f>50</f>
        <v>50</v>
      </c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</row>
    <row r="194" spans="1:30" ht="15.75">
      <c r="A194" s="16">
        <v>47178</v>
      </c>
      <c r="B194" s="69">
        <v>31</v>
      </c>
      <c r="C194" s="56">
        <f>122.58</f>
        <v>122.58</v>
      </c>
      <c r="D194" s="56">
        <f>297.941</f>
        <v>297.94099999999997</v>
      </c>
      <c r="E194" s="64">
        <f>89.177</f>
        <v>89.177000000000007</v>
      </c>
      <c r="F194" s="56">
        <f>240.302-40-60-100</f>
        <v>40.301999999999992</v>
      </c>
      <c r="G194" s="59">
        <v>40</v>
      </c>
      <c r="H194" s="56">
        <f>60+100</f>
        <v>160</v>
      </c>
      <c r="I194" s="56">
        <f t="shared" si="27"/>
        <v>0</v>
      </c>
      <c r="J194" s="59">
        <v>100</v>
      </c>
      <c r="K194" s="59">
        <v>300</v>
      </c>
      <c r="L194" s="56">
        <f t="shared" si="21"/>
        <v>1150</v>
      </c>
      <c r="M194" s="66">
        <v>600</v>
      </c>
      <c r="N194" s="56">
        <f>100</f>
        <v>100</v>
      </c>
      <c r="O194" s="59">
        <v>240</v>
      </c>
      <c r="P194" s="59">
        <v>40</v>
      </c>
      <c r="Q194" s="59">
        <f t="shared" si="22"/>
        <v>315</v>
      </c>
      <c r="R194" s="59">
        <f t="shared" si="23"/>
        <v>100</v>
      </c>
      <c r="S194" s="56">
        <f t="shared" si="24"/>
        <v>695</v>
      </c>
      <c r="T194" s="56">
        <f>50</f>
        <v>50</v>
      </c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</row>
    <row r="195" spans="1:30" ht="15.75">
      <c r="A195" s="16">
        <v>47209</v>
      </c>
      <c r="B195" s="69">
        <v>30</v>
      </c>
      <c r="C195" s="56">
        <f>141.293</f>
        <v>141.29300000000001</v>
      </c>
      <c r="D195" s="56">
        <f>267.993</f>
        <v>267.99299999999999</v>
      </c>
      <c r="E195" s="64">
        <f>115.016</f>
        <v>115.01600000000001</v>
      </c>
      <c r="F195" s="56">
        <f>314.698-40-25-60-100</f>
        <v>89.697999999999979</v>
      </c>
      <c r="G195" s="59">
        <v>40</v>
      </c>
      <c r="H195" s="56">
        <f t="shared" ref="H195:H201" si="30">25+60+100</f>
        <v>185</v>
      </c>
      <c r="I195" s="56">
        <f t="shared" si="27"/>
        <v>0</v>
      </c>
      <c r="J195" s="59">
        <v>100</v>
      </c>
      <c r="K195" s="59">
        <v>300</v>
      </c>
      <c r="L195" s="56">
        <f t="shared" si="21"/>
        <v>1239</v>
      </c>
      <c r="M195" s="66">
        <v>600</v>
      </c>
      <c r="N195" s="56">
        <f>100</f>
        <v>100</v>
      </c>
      <c r="O195" s="59">
        <v>240</v>
      </c>
      <c r="P195" s="59">
        <v>160</v>
      </c>
      <c r="Q195" s="59">
        <f t="shared" si="22"/>
        <v>195</v>
      </c>
      <c r="R195" s="59">
        <f t="shared" si="23"/>
        <v>100</v>
      </c>
      <c r="S195" s="56">
        <f t="shared" si="24"/>
        <v>695</v>
      </c>
      <c r="T195" s="56">
        <f>50</f>
        <v>50</v>
      </c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</row>
    <row r="196" spans="1:30" ht="15.75">
      <c r="A196" s="16">
        <v>47239</v>
      </c>
      <c r="B196" s="69">
        <v>31</v>
      </c>
      <c r="C196" s="56">
        <f>194.205</f>
        <v>194.20500000000001</v>
      </c>
      <c r="D196" s="56">
        <f>267.466</f>
        <v>267.46600000000001</v>
      </c>
      <c r="E196" s="64">
        <f>133.845</f>
        <v>133.845</v>
      </c>
      <c r="F196" s="56">
        <f>278.484-40-25-60-100</f>
        <v>53.48399999999998</v>
      </c>
      <c r="G196" s="59">
        <v>40</v>
      </c>
      <c r="H196" s="56">
        <f t="shared" si="30"/>
        <v>185</v>
      </c>
      <c r="I196" s="56">
        <f t="shared" si="27"/>
        <v>0</v>
      </c>
      <c r="J196" s="59">
        <v>100</v>
      </c>
      <c r="K196" s="59">
        <v>300</v>
      </c>
      <c r="L196" s="56">
        <f t="shared" si="21"/>
        <v>1274</v>
      </c>
      <c r="M196" s="66">
        <v>600</v>
      </c>
      <c r="N196" s="56">
        <f>75</f>
        <v>75</v>
      </c>
      <c r="O196" s="59">
        <v>240</v>
      </c>
      <c r="P196" s="59">
        <v>160</v>
      </c>
      <c r="Q196" s="59">
        <f t="shared" si="22"/>
        <v>195</v>
      </c>
      <c r="R196" s="59">
        <f t="shared" si="23"/>
        <v>100</v>
      </c>
      <c r="S196" s="56">
        <f t="shared" si="24"/>
        <v>695</v>
      </c>
      <c r="T196" s="56">
        <f>50</f>
        <v>50</v>
      </c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</row>
    <row r="197" spans="1:30" ht="15.75">
      <c r="A197" s="16">
        <v>47270</v>
      </c>
      <c r="B197" s="69">
        <v>30</v>
      </c>
      <c r="C197" s="56">
        <f>194.205</f>
        <v>194.20500000000001</v>
      </c>
      <c r="D197" s="56">
        <f>267.466</f>
        <v>267.46600000000001</v>
      </c>
      <c r="E197" s="64">
        <f>133.845</f>
        <v>133.845</v>
      </c>
      <c r="F197" s="56">
        <f>278.484-40-25-60-100</f>
        <v>53.48399999999998</v>
      </c>
      <c r="G197" s="59">
        <v>40</v>
      </c>
      <c r="H197" s="56">
        <f t="shared" si="30"/>
        <v>185</v>
      </c>
      <c r="I197" s="56">
        <f t="shared" si="27"/>
        <v>0</v>
      </c>
      <c r="J197" s="59">
        <v>100</v>
      </c>
      <c r="K197" s="59">
        <v>300</v>
      </c>
      <c r="L197" s="56">
        <f t="shared" si="21"/>
        <v>1274</v>
      </c>
      <c r="M197" s="66">
        <v>600</v>
      </c>
      <c r="N197" s="56">
        <f>30</f>
        <v>30</v>
      </c>
      <c r="O197" s="59">
        <v>240</v>
      </c>
      <c r="P197" s="59">
        <v>160</v>
      </c>
      <c r="Q197" s="59">
        <f t="shared" si="22"/>
        <v>195</v>
      </c>
      <c r="R197" s="59">
        <f t="shared" si="23"/>
        <v>100</v>
      </c>
      <c r="S197" s="56">
        <f t="shared" si="24"/>
        <v>695</v>
      </c>
      <c r="T197" s="56">
        <f>50</f>
        <v>50</v>
      </c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</row>
    <row r="198" spans="1:30" ht="15.75">
      <c r="A198" s="16">
        <v>47300</v>
      </c>
      <c r="B198" s="69">
        <v>31</v>
      </c>
      <c r="C198" s="56">
        <f>194.205</f>
        <v>194.20500000000001</v>
      </c>
      <c r="D198" s="56">
        <f>267.466</f>
        <v>267.46600000000001</v>
      </c>
      <c r="E198" s="64">
        <f>133.845</f>
        <v>133.845</v>
      </c>
      <c r="F198" s="56">
        <f>278.484-40-25-60-100</f>
        <v>53.48399999999998</v>
      </c>
      <c r="G198" s="59">
        <v>40</v>
      </c>
      <c r="H198" s="56">
        <f t="shared" si="30"/>
        <v>185</v>
      </c>
      <c r="I198" s="56">
        <f t="shared" si="27"/>
        <v>0</v>
      </c>
      <c r="J198" s="59">
        <v>100</v>
      </c>
      <c r="K198" s="59">
        <v>300</v>
      </c>
      <c r="L198" s="56">
        <f t="shared" si="21"/>
        <v>1274</v>
      </c>
      <c r="M198" s="66">
        <v>600</v>
      </c>
      <c r="N198" s="56">
        <f>30</f>
        <v>30</v>
      </c>
      <c r="O198" s="59">
        <v>240</v>
      </c>
      <c r="P198" s="59">
        <v>160</v>
      </c>
      <c r="Q198" s="59">
        <f t="shared" si="22"/>
        <v>195</v>
      </c>
      <c r="R198" s="59">
        <f t="shared" si="23"/>
        <v>100</v>
      </c>
      <c r="S198" s="56">
        <f t="shared" si="24"/>
        <v>695</v>
      </c>
      <c r="T198" s="56">
        <f>0</f>
        <v>0</v>
      </c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</row>
    <row r="199" spans="1:30" ht="15.75">
      <c r="A199" s="16">
        <v>47331</v>
      </c>
      <c r="B199" s="69">
        <v>31</v>
      </c>
      <c r="C199" s="56">
        <f>194.205</f>
        <v>194.20500000000001</v>
      </c>
      <c r="D199" s="56">
        <f>267.466</f>
        <v>267.46600000000001</v>
      </c>
      <c r="E199" s="64">
        <f>133.845</f>
        <v>133.845</v>
      </c>
      <c r="F199" s="56">
        <f>278.484-40-25-60-100</f>
        <v>53.48399999999998</v>
      </c>
      <c r="G199" s="59">
        <v>40</v>
      </c>
      <c r="H199" s="56">
        <f t="shared" si="30"/>
        <v>185</v>
      </c>
      <c r="I199" s="56">
        <f t="shared" si="27"/>
        <v>0</v>
      </c>
      <c r="J199" s="59">
        <v>100</v>
      </c>
      <c r="K199" s="59">
        <v>300</v>
      </c>
      <c r="L199" s="56">
        <f t="shared" si="21"/>
        <v>1274</v>
      </c>
      <c r="M199" s="66">
        <v>600</v>
      </c>
      <c r="N199" s="56">
        <f>30</f>
        <v>30</v>
      </c>
      <c r="O199" s="59">
        <v>240</v>
      </c>
      <c r="P199" s="59">
        <v>160</v>
      </c>
      <c r="Q199" s="59">
        <f t="shared" si="22"/>
        <v>195</v>
      </c>
      <c r="R199" s="59">
        <f t="shared" si="23"/>
        <v>100</v>
      </c>
      <c r="S199" s="56">
        <f t="shared" si="24"/>
        <v>695</v>
      </c>
      <c r="T199" s="56">
        <f>0</f>
        <v>0</v>
      </c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</row>
    <row r="200" spans="1:30" ht="15.75">
      <c r="A200" s="16">
        <v>47362</v>
      </c>
      <c r="B200" s="69">
        <v>30</v>
      </c>
      <c r="C200" s="56">
        <f>194.205</f>
        <v>194.20500000000001</v>
      </c>
      <c r="D200" s="56">
        <f>267.466</f>
        <v>267.46600000000001</v>
      </c>
      <c r="E200" s="64">
        <f>133.845</f>
        <v>133.845</v>
      </c>
      <c r="F200" s="56">
        <f>278.484-40-25-60-100</f>
        <v>53.48399999999998</v>
      </c>
      <c r="G200" s="59">
        <v>40</v>
      </c>
      <c r="H200" s="56">
        <f t="shared" si="30"/>
        <v>185</v>
      </c>
      <c r="I200" s="56">
        <f t="shared" si="27"/>
        <v>0</v>
      </c>
      <c r="J200" s="59">
        <v>100</v>
      </c>
      <c r="K200" s="59">
        <v>300</v>
      </c>
      <c r="L200" s="56">
        <f t="shared" si="21"/>
        <v>1274</v>
      </c>
      <c r="M200" s="66">
        <v>600</v>
      </c>
      <c r="N200" s="56">
        <f>30</f>
        <v>30</v>
      </c>
      <c r="O200" s="59">
        <v>240</v>
      </c>
      <c r="P200" s="59">
        <v>160</v>
      </c>
      <c r="Q200" s="59">
        <f t="shared" si="22"/>
        <v>195</v>
      </c>
      <c r="R200" s="59">
        <f t="shared" si="23"/>
        <v>100</v>
      </c>
      <c r="S200" s="56">
        <f t="shared" si="24"/>
        <v>695</v>
      </c>
      <c r="T200" s="56">
        <f>0</f>
        <v>0</v>
      </c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</row>
    <row r="201" spans="1:30" ht="15.75">
      <c r="A201" s="16">
        <v>47392</v>
      </c>
      <c r="B201" s="69">
        <v>31</v>
      </c>
      <c r="C201" s="56">
        <f>131.881</f>
        <v>131.881</v>
      </c>
      <c r="D201" s="56">
        <f>277.167</f>
        <v>277.16699999999997</v>
      </c>
      <c r="E201" s="64">
        <f>79.08</f>
        <v>79.08</v>
      </c>
      <c r="F201" s="56">
        <f>350.872-40-25-60-100</f>
        <v>125.87200000000001</v>
      </c>
      <c r="G201" s="59">
        <v>40</v>
      </c>
      <c r="H201" s="56">
        <f t="shared" si="30"/>
        <v>185</v>
      </c>
      <c r="I201" s="56">
        <f t="shared" si="27"/>
        <v>0</v>
      </c>
      <c r="J201" s="59">
        <v>100</v>
      </c>
      <c r="K201" s="59">
        <v>300</v>
      </c>
      <c r="L201" s="56">
        <f t="shared" si="21"/>
        <v>1239</v>
      </c>
      <c r="M201" s="66">
        <v>600</v>
      </c>
      <c r="N201" s="56">
        <f>75</f>
        <v>75</v>
      </c>
      <c r="O201" s="59">
        <v>240</v>
      </c>
      <c r="P201" s="59">
        <v>160</v>
      </c>
      <c r="Q201" s="59">
        <f t="shared" si="22"/>
        <v>195</v>
      </c>
      <c r="R201" s="59">
        <f t="shared" si="23"/>
        <v>100</v>
      </c>
      <c r="S201" s="56">
        <f t="shared" si="24"/>
        <v>695</v>
      </c>
      <c r="T201" s="56">
        <f>0</f>
        <v>0</v>
      </c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</row>
    <row r="202" spans="1:30" ht="15.75">
      <c r="A202" s="16">
        <v>47423</v>
      </c>
      <c r="B202" s="69">
        <v>30</v>
      </c>
      <c r="C202" s="56">
        <f>122.58</f>
        <v>122.58</v>
      </c>
      <c r="D202" s="56">
        <f>297.941</f>
        <v>297.94099999999997</v>
      </c>
      <c r="E202" s="64">
        <f>89.177</f>
        <v>89.177000000000007</v>
      </c>
      <c r="F202" s="56">
        <f>240.302-40-60-100</f>
        <v>40.301999999999992</v>
      </c>
      <c r="G202" s="59">
        <v>40</v>
      </c>
      <c r="H202" s="56">
        <f>60+100</f>
        <v>160</v>
      </c>
      <c r="I202" s="56">
        <f t="shared" si="27"/>
        <v>0</v>
      </c>
      <c r="J202" s="59">
        <v>100</v>
      </c>
      <c r="K202" s="59">
        <v>300</v>
      </c>
      <c r="L202" s="56">
        <f t="shared" si="21"/>
        <v>1150</v>
      </c>
      <c r="M202" s="66">
        <v>600</v>
      </c>
      <c r="N202" s="56">
        <f>100</f>
        <v>100</v>
      </c>
      <c r="O202" s="59">
        <v>240</v>
      </c>
      <c r="P202" s="59">
        <v>40</v>
      </c>
      <c r="Q202" s="59">
        <f t="shared" si="22"/>
        <v>315</v>
      </c>
      <c r="R202" s="59">
        <f t="shared" si="23"/>
        <v>100</v>
      </c>
      <c r="S202" s="56">
        <f t="shared" si="24"/>
        <v>695</v>
      </c>
      <c r="T202" s="56">
        <f>50</f>
        <v>50</v>
      </c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</row>
    <row r="203" spans="1:30" ht="15.75">
      <c r="A203" s="16">
        <v>47453</v>
      </c>
      <c r="B203" s="69">
        <v>31</v>
      </c>
      <c r="C203" s="56">
        <f>122.58</f>
        <v>122.58</v>
      </c>
      <c r="D203" s="56">
        <f>297.941</f>
        <v>297.94099999999997</v>
      </c>
      <c r="E203" s="64">
        <f>89.177</f>
        <v>89.177000000000007</v>
      </c>
      <c r="F203" s="56">
        <f>240.302-40-60-100</f>
        <v>40.301999999999992</v>
      </c>
      <c r="G203" s="59">
        <v>40</v>
      </c>
      <c r="H203" s="56">
        <f>60+100</f>
        <v>160</v>
      </c>
      <c r="I203" s="56">
        <f t="shared" si="27"/>
        <v>0</v>
      </c>
      <c r="J203" s="59">
        <v>100</v>
      </c>
      <c r="K203" s="59">
        <v>300</v>
      </c>
      <c r="L203" s="56">
        <f t="shared" si="21"/>
        <v>1150</v>
      </c>
      <c r="M203" s="66">
        <v>600</v>
      </c>
      <c r="N203" s="56">
        <f>100</f>
        <v>100</v>
      </c>
      <c r="O203" s="59">
        <v>240</v>
      </c>
      <c r="P203" s="59">
        <v>40</v>
      </c>
      <c r="Q203" s="59">
        <f t="shared" si="22"/>
        <v>315</v>
      </c>
      <c r="R203" s="59">
        <f t="shared" si="23"/>
        <v>100</v>
      </c>
      <c r="S203" s="56">
        <f t="shared" si="24"/>
        <v>695</v>
      </c>
      <c r="T203" s="56">
        <f>50</f>
        <v>50</v>
      </c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</row>
    <row r="204" spans="1:30" ht="15.75">
      <c r="A204" s="16">
        <v>47484</v>
      </c>
      <c r="B204" s="69">
        <v>31</v>
      </c>
      <c r="C204" s="56">
        <f>122.58</f>
        <v>122.58</v>
      </c>
      <c r="D204" s="56">
        <f>297.941</f>
        <v>297.94099999999997</v>
      </c>
      <c r="E204" s="64">
        <f>89.177</f>
        <v>89.177000000000007</v>
      </c>
      <c r="F204" s="56">
        <f>240.302-40-60-100</f>
        <v>40.301999999999992</v>
      </c>
      <c r="G204" s="59">
        <v>40</v>
      </c>
      <c r="H204" s="56">
        <f>60+100</f>
        <v>160</v>
      </c>
      <c r="I204" s="56">
        <f t="shared" si="27"/>
        <v>0</v>
      </c>
      <c r="J204" s="59">
        <v>100</v>
      </c>
      <c r="K204" s="59">
        <v>300</v>
      </c>
      <c r="L204" s="56">
        <f t="shared" si="21"/>
        <v>1150</v>
      </c>
      <c r="M204" s="66">
        <v>600</v>
      </c>
      <c r="N204" s="56">
        <f>100</f>
        <v>100</v>
      </c>
      <c r="O204" s="59">
        <v>240</v>
      </c>
      <c r="P204" s="59">
        <v>40</v>
      </c>
      <c r="Q204" s="59">
        <f t="shared" si="22"/>
        <v>315</v>
      </c>
      <c r="R204" s="59">
        <f t="shared" si="23"/>
        <v>100</v>
      </c>
      <c r="S204" s="56">
        <f t="shared" si="24"/>
        <v>695</v>
      </c>
      <c r="T204" s="56">
        <f>50</f>
        <v>50</v>
      </c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</row>
    <row r="205" spans="1:30" ht="15.75">
      <c r="A205" s="16">
        <v>47515</v>
      </c>
      <c r="B205" s="69">
        <v>28</v>
      </c>
      <c r="C205" s="56">
        <f>122.58</f>
        <v>122.58</v>
      </c>
      <c r="D205" s="56">
        <f>297.941</f>
        <v>297.94099999999997</v>
      </c>
      <c r="E205" s="64">
        <f>89.177</f>
        <v>89.177000000000007</v>
      </c>
      <c r="F205" s="56">
        <f>240.302-40-60-100</f>
        <v>40.301999999999992</v>
      </c>
      <c r="G205" s="59">
        <v>40</v>
      </c>
      <c r="H205" s="56">
        <f>60+100</f>
        <v>160</v>
      </c>
      <c r="I205" s="56">
        <f t="shared" si="27"/>
        <v>0</v>
      </c>
      <c r="J205" s="59">
        <v>100</v>
      </c>
      <c r="K205" s="59">
        <v>300</v>
      </c>
      <c r="L205" s="56">
        <f t="shared" si="21"/>
        <v>1150</v>
      </c>
      <c r="M205" s="66">
        <v>600</v>
      </c>
      <c r="N205" s="56">
        <f>100</f>
        <v>100</v>
      </c>
      <c r="O205" s="59">
        <v>240</v>
      </c>
      <c r="P205" s="59">
        <v>40</v>
      </c>
      <c r="Q205" s="59">
        <f t="shared" si="22"/>
        <v>315</v>
      </c>
      <c r="R205" s="59">
        <f t="shared" si="23"/>
        <v>100</v>
      </c>
      <c r="S205" s="56">
        <f t="shared" si="24"/>
        <v>695</v>
      </c>
      <c r="T205" s="56">
        <f>50</f>
        <v>50</v>
      </c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</row>
    <row r="206" spans="1:30" ht="15.75">
      <c r="A206" s="16">
        <v>47543</v>
      </c>
      <c r="B206" s="69">
        <v>31</v>
      </c>
      <c r="C206" s="56">
        <f>122.58</f>
        <v>122.58</v>
      </c>
      <c r="D206" s="56">
        <f>297.941</f>
        <v>297.94099999999997</v>
      </c>
      <c r="E206" s="64">
        <f>89.177</f>
        <v>89.177000000000007</v>
      </c>
      <c r="F206" s="56">
        <f>240.302-40-60-100</f>
        <v>40.301999999999992</v>
      </c>
      <c r="G206" s="59">
        <v>40</v>
      </c>
      <c r="H206" s="56">
        <f>60+100</f>
        <v>160</v>
      </c>
      <c r="I206" s="56">
        <f t="shared" si="27"/>
        <v>0</v>
      </c>
      <c r="J206" s="59">
        <v>100</v>
      </c>
      <c r="K206" s="59">
        <v>300</v>
      </c>
      <c r="L206" s="56">
        <f t="shared" si="21"/>
        <v>1150</v>
      </c>
      <c r="M206" s="66">
        <v>600</v>
      </c>
      <c r="N206" s="56">
        <f>100</f>
        <v>100</v>
      </c>
      <c r="O206" s="59">
        <v>240</v>
      </c>
      <c r="P206" s="59">
        <v>40</v>
      </c>
      <c r="Q206" s="59">
        <f t="shared" si="22"/>
        <v>315</v>
      </c>
      <c r="R206" s="59">
        <f t="shared" si="23"/>
        <v>100</v>
      </c>
      <c r="S206" s="56">
        <f t="shared" si="24"/>
        <v>695</v>
      </c>
      <c r="T206" s="56">
        <f>50</f>
        <v>50</v>
      </c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</row>
    <row r="207" spans="1:30" ht="15.75">
      <c r="A207" s="16">
        <v>47574</v>
      </c>
      <c r="B207" s="69">
        <v>30</v>
      </c>
      <c r="C207" s="56">
        <f>141.293</f>
        <v>141.29300000000001</v>
      </c>
      <c r="D207" s="56">
        <f>267.993</f>
        <v>267.99299999999999</v>
      </c>
      <c r="E207" s="64">
        <f>115.016</f>
        <v>115.01600000000001</v>
      </c>
      <c r="F207" s="56">
        <f>314.698-40-25-60-100</f>
        <v>89.697999999999979</v>
      </c>
      <c r="G207" s="59">
        <v>40</v>
      </c>
      <c r="H207" s="56">
        <f t="shared" ref="H207:H213" si="31">25+60+100</f>
        <v>185</v>
      </c>
      <c r="I207" s="56">
        <f t="shared" si="27"/>
        <v>0</v>
      </c>
      <c r="J207" s="59">
        <v>100</v>
      </c>
      <c r="K207" s="59">
        <v>300</v>
      </c>
      <c r="L207" s="56">
        <f t="shared" si="21"/>
        <v>1239</v>
      </c>
      <c r="M207" s="66">
        <v>600</v>
      </c>
      <c r="N207" s="56">
        <f>100</f>
        <v>100</v>
      </c>
      <c r="O207" s="59">
        <v>240</v>
      </c>
      <c r="P207" s="59">
        <v>160</v>
      </c>
      <c r="Q207" s="59">
        <f t="shared" si="22"/>
        <v>195</v>
      </c>
      <c r="R207" s="59">
        <f t="shared" si="23"/>
        <v>100</v>
      </c>
      <c r="S207" s="56">
        <f t="shared" si="24"/>
        <v>695</v>
      </c>
      <c r="T207" s="56">
        <f>50</f>
        <v>50</v>
      </c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</row>
    <row r="208" spans="1:30" ht="15.75">
      <c r="A208" s="16">
        <v>47604</v>
      </c>
      <c r="B208" s="69">
        <v>31</v>
      </c>
      <c r="C208" s="56">
        <f>194.205</f>
        <v>194.20500000000001</v>
      </c>
      <c r="D208" s="56">
        <f>267.466</f>
        <v>267.46600000000001</v>
      </c>
      <c r="E208" s="64">
        <f>133.845</f>
        <v>133.845</v>
      </c>
      <c r="F208" s="56">
        <f>278.484-40-25-60-100</f>
        <v>53.48399999999998</v>
      </c>
      <c r="G208" s="59">
        <v>40</v>
      </c>
      <c r="H208" s="56">
        <f t="shared" si="31"/>
        <v>185</v>
      </c>
      <c r="I208" s="56">
        <f t="shared" si="27"/>
        <v>0</v>
      </c>
      <c r="J208" s="59">
        <v>100</v>
      </c>
      <c r="K208" s="59">
        <v>300</v>
      </c>
      <c r="L208" s="56">
        <f t="shared" si="21"/>
        <v>1274</v>
      </c>
      <c r="M208" s="66">
        <v>600</v>
      </c>
      <c r="N208" s="56">
        <f>75</f>
        <v>75</v>
      </c>
      <c r="O208" s="59">
        <v>240</v>
      </c>
      <c r="P208" s="59">
        <v>160</v>
      </c>
      <c r="Q208" s="59">
        <f t="shared" si="22"/>
        <v>195</v>
      </c>
      <c r="R208" s="59">
        <f t="shared" si="23"/>
        <v>100</v>
      </c>
      <c r="S208" s="56">
        <f t="shared" si="24"/>
        <v>695</v>
      </c>
      <c r="T208" s="56">
        <f>50</f>
        <v>50</v>
      </c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</row>
    <row r="209" spans="1:30" ht="15.75">
      <c r="A209" s="16">
        <v>47635</v>
      </c>
      <c r="B209" s="69">
        <v>30</v>
      </c>
      <c r="C209" s="56">
        <f>194.205</f>
        <v>194.20500000000001</v>
      </c>
      <c r="D209" s="56">
        <f>267.466</f>
        <v>267.46600000000001</v>
      </c>
      <c r="E209" s="64">
        <f>133.845</f>
        <v>133.845</v>
      </c>
      <c r="F209" s="56">
        <f>278.484-40-25-60-100</f>
        <v>53.48399999999998</v>
      </c>
      <c r="G209" s="59">
        <v>40</v>
      </c>
      <c r="H209" s="56">
        <f t="shared" si="31"/>
        <v>185</v>
      </c>
      <c r="I209" s="56">
        <f t="shared" si="27"/>
        <v>0</v>
      </c>
      <c r="J209" s="59">
        <v>100</v>
      </c>
      <c r="K209" s="59">
        <v>300</v>
      </c>
      <c r="L209" s="56">
        <f t="shared" ref="L209:L272" si="32">SUM(C209:K209)</f>
        <v>1274</v>
      </c>
      <c r="M209" s="66">
        <v>600</v>
      </c>
      <c r="N209" s="56">
        <f>30</f>
        <v>30</v>
      </c>
      <c r="O209" s="59">
        <v>240</v>
      </c>
      <c r="P209" s="59">
        <v>160</v>
      </c>
      <c r="Q209" s="59">
        <f t="shared" ref="Q209:Q272" si="33">695-R209-O209-P209</f>
        <v>195</v>
      </c>
      <c r="R209" s="59">
        <f t="shared" ref="R209:R272" si="34">200-J209</f>
        <v>100</v>
      </c>
      <c r="S209" s="56">
        <f t="shared" ref="S209:S272" si="35">SUM(O209:R209)</f>
        <v>695</v>
      </c>
      <c r="T209" s="56">
        <f>50</f>
        <v>50</v>
      </c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</row>
    <row r="210" spans="1:30" ht="15.75">
      <c r="A210" s="16">
        <v>47665</v>
      </c>
      <c r="B210" s="69">
        <v>31</v>
      </c>
      <c r="C210" s="56">
        <f>194.205</f>
        <v>194.20500000000001</v>
      </c>
      <c r="D210" s="56">
        <f>267.466</f>
        <v>267.46600000000001</v>
      </c>
      <c r="E210" s="64">
        <f>133.845</f>
        <v>133.845</v>
      </c>
      <c r="F210" s="56">
        <f>278.484-40-25-60-100</f>
        <v>53.48399999999998</v>
      </c>
      <c r="G210" s="59">
        <v>40</v>
      </c>
      <c r="H210" s="56">
        <f t="shared" si="31"/>
        <v>185</v>
      </c>
      <c r="I210" s="56">
        <f t="shared" si="27"/>
        <v>0</v>
      </c>
      <c r="J210" s="59">
        <v>100</v>
      </c>
      <c r="K210" s="59">
        <v>300</v>
      </c>
      <c r="L210" s="56">
        <f t="shared" si="32"/>
        <v>1274</v>
      </c>
      <c r="M210" s="66">
        <v>600</v>
      </c>
      <c r="N210" s="56">
        <f>30</f>
        <v>30</v>
      </c>
      <c r="O210" s="59">
        <v>240</v>
      </c>
      <c r="P210" s="59">
        <v>160</v>
      </c>
      <c r="Q210" s="59">
        <f t="shared" si="33"/>
        <v>195</v>
      </c>
      <c r="R210" s="59">
        <f t="shared" si="34"/>
        <v>100</v>
      </c>
      <c r="S210" s="56">
        <f t="shared" si="35"/>
        <v>695</v>
      </c>
      <c r="T210" s="56">
        <f>0</f>
        <v>0</v>
      </c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</row>
    <row r="211" spans="1:30" ht="15.75">
      <c r="A211" s="16">
        <v>47696</v>
      </c>
      <c r="B211" s="69">
        <v>31</v>
      </c>
      <c r="C211" s="56">
        <f>194.205</f>
        <v>194.20500000000001</v>
      </c>
      <c r="D211" s="56">
        <f>267.466</f>
        <v>267.46600000000001</v>
      </c>
      <c r="E211" s="64">
        <f>133.845</f>
        <v>133.845</v>
      </c>
      <c r="F211" s="56">
        <f>278.484-40-25-60-100</f>
        <v>53.48399999999998</v>
      </c>
      <c r="G211" s="59">
        <v>40</v>
      </c>
      <c r="H211" s="56">
        <f t="shared" si="31"/>
        <v>185</v>
      </c>
      <c r="I211" s="56">
        <f t="shared" si="27"/>
        <v>0</v>
      </c>
      <c r="J211" s="59">
        <v>100</v>
      </c>
      <c r="K211" s="59">
        <v>300</v>
      </c>
      <c r="L211" s="56">
        <f t="shared" si="32"/>
        <v>1274</v>
      </c>
      <c r="M211" s="66">
        <v>600</v>
      </c>
      <c r="N211" s="56">
        <f>30</f>
        <v>30</v>
      </c>
      <c r="O211" s="59">
        <v>240</v>
      </c>
      <c r="P211" s="59">
        <v>160</v>
      </c>
      <c r="Q211" s="59">
        <f t="shared" si="33"/>
        <v>195</v>
      </c>
      <c r="R211" s="59">
        <f t="shared" si="34"/>
        <v>100</v>
      </c>
      <c r="S211" s="56">
        <f t="shared" si="35"/>
        <v>695</v>
      </c>
      <c r="T211" s="56">
        <f>0</f>
        <v>0</v>
      </c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</row>
    <row r="212" spans="1:30" ht="15.75">
      <c r="A212" s="16">
        <v>47727</v>
      </c>
      <c r="B212" s="69">
        <v>30</v>
      </c>
      <c r="C212" s="56">
        <f>194.205</f>
        <v>194.20500000000001</v>
      </c>
      <c r="D212" s="56">
        <f>267.466</f>
        <v>267.46600000000001</v>
      </c>
      <c r="E212" s="64">
        <f>133.845</f>
        <v>133.845</v>
      </c>
      <c r="F212" s="56">
        <f>278.484-40-25-60-100</f>
        <v>53.48399999999998</v>
      </c>
      <c r="G212" s="59">
        <v>40</v>
      </c>
      <c r="H212" s="56">
        <f t="shared" si="31"/>
        <v>185</v>
      </c>
      <c r="I212" s="56">
        <f t="shared" si="27"/>
        <v>0</v>
      </c>
      <c r="J212" s="59">
        <v>100</v>
      </c>
      <c r="K212" s="59">
        <v>300</v>
      </c>
      <c r="L212" s="56">
        <f t="shared" si="32"/>
        <v>1274</v>
      </c>
      <c r="M212" s="66">
        <v>600</v>
      </c>
      <c r="N212" s="56">
        <f>30</f>
        <v>30</v>
      </c>
      <c r="O212" s="59">
        <v>240</v>
      </c>
      <c r="P212" s="59">
        <v>160</v>
      </c>
      <c r="Q212" s="59">
        <f t="shared" si="33"/>
        <v>195</v>
      </c>
      <c r="R212" s="59">
        <f t="shared" si="34"/>
        <v>100</v>
      </c>
      <c r="S212" s="56">
        <f t="shared" si="35"/>
        <v>695</v>
      </c>
      <c r="T212" s="56">
        <f>0</f>
        <v>0</v>
      </c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</row>
    <row r="213" spans="1:30" ht="15.75">
      <c r="A213" s="16">
        <v>47757</v>
      </c>
      <c r="B213" s="69">
        <v>31</v>
      </c>
      <c r="C213" s="56">
        <f>131.881</f>
        <v>131.881</v>
      </c>
      <c r="D213" s="56">
        <f>277.167</f>
        <v>277.16699999999997</v>
      </c>
      <c r="E213" s="64">
        <f>79.08</f>
        <v>79.08</v>
      </c>
      <c r="F213" s="56">
        <f>350.872-40-25-60-100</f>
        <v>125.87200000000001</v>
      </c>
      <c r="G213" s="59">
        <v>40</v>
      </c>
      <c r="H213" s="56">
        <f t="shared" si="31"/>
        <v>185</v>
      </c>
      <c r="I213" s="56">
        <f t="shared" si="27"/>
        <v>0</v>
      </c>
      <c r="J213" s="59">
        <v>100</v>
      </c>
      <c r="K213" s="59">
        <v>300</v>
      </c>
      <c r="L213" s="56">
        <f t="shared" si="32"/>
        <v>1239</v>
      </c>
      <c r="M213" s="66">
        <v>600</v>
      </c>
      <c r="N213" s="56">
        <f>75</f>
        <v>75</v>
      </c>
      <c r="O213" s="59">
        <v>240</v>
      </c>
      <c r="P213" s="59">
        <v>160</v>
      </c>
      <c r="Q213" s="59">
        <f t="shared" si="33"/>
        <v>195</v>
      </c>
      <c r="R213" s="59">
        <f t="shared" si="34"/>
        <v>100</v>
      </c>
      <c r="S213" s="56">
        <f t="shared" si="35"/>
        <v>695</v>
      </c>
      <c r="T213" s="56">
        <f>0</f>
        <v>0</v>
      </c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</row>
    <row r="214" spans="1:30" ht="15.75">
      <c r="A214" s="16">
        <v>47788</v>
      </c>
      <c r="B214" s="69">
        <v>30</v>
      </c>
      <c r="C214" s="56">
        <f>122.58</f>
        <v>122.58</v>
      </c>
      <c r="D214" s="56">
        <f>297.941</f>
        <v>297.94099999999997</v>
      </c>
      <c r="E214" s="64">
        <f>89.177</f>
        <v>89.177000000000007</v>
      </c>
      <c r="F214" s="56">
        <f>240.302-40-60-100</f>
        <v>40.301999999999992</v>
      </c>
      <c r="G214" s="59">
        <v>40</v>
      </c>
      <c r="H214" s="56">
        <f>60+100</f>
        <v>160</v>
      </c>
      <c r="I214" s="56">
        <f t="shared" si="27"/>
        <v>0</v>
      </c>
      <c r="J214" s="59">
        <v>100</v>
      </c>
      <c r="K214" s="59">
        <v>300</v>
      </c>
      <c r="L214" s="56">
        <f t="shared" si="32"/>
        <v>1150</v>
      </c>
      <c r="M214" s="66">
        <v>600</v>
      </c>
      <c r="N214" s="56">
        <f>100</f>
        <v>100</v>
      </c>
      <c r="O214" s="59">
        <v>240</v>
      </c>
      <c r="P214" s="59">
        <v>40</v>
      </c>
      <c r="Q214" s="59">
        <f t="shared" si="33"/>
        <v>315</v>
      </c>
      <c r="R214" s="59">
        <f t="shared" si="34"/>
        <v>100</v>
      </c>
      <c r="S214" s="56">
        <f t="shared" si="35"/>
        <v>695</v>
      </c>
      <c r="T214" s="56">
        <f>50</f>
        <v>50</v>
      </c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</row>
    <row r="215" spans="1:30" ht="15.75">
      <c r="A215" s="16">
        <v>47818</v>
      </c>
      <c r="B215" s="69">
        <v>31</v>
      </c>
      <c r="C215" s="56">
        <f>122.58</f>
        <v>122.58</v>
      </c>
      <c r="D215" s="56">
        <f>297.941</f>
        <v>297.94099999999997</v>
      </c>
      <c r="E215" s="64">
        <f>89.177</f>
        <v>89.177000000000007</v>
      </c>
      <c r="F215" s="56">
        <f>240.302-40-60-100</f>
        <v>40.301999999999992</v>
      </c>
      <c r="G215" s="59">
        <v>40</v>
      </c>
      <c r="H215" s="56">
        <f>60+100</f>
        <v>160</v>
      </c>
      <c r="I215" s="56">
        <f t="shared" si="27"/>
        <v>0</v>
      </c>
      <c r="J215" s="59">
        <v>100</v>
      </c>
      <c r="K215" s="59">
        <v>300</v>
      </c>
      <c r="L215" s="56">
        <f t="shared" si="32"/>
        <v>1150</v>
      </c>
      <c r="M215" s="66">
        <v>600</v>
      </c>
      <c r="N215" s="56">
        <f>100</f>
        <v>100</v>
      </c>
      <c r="O215" s="59">
        <v>240</v>
      </c>
      <c r="P215" s="59">
        <v>40</v>
      </c>
      <c r="Q215" s="59">
        <f t="shared" si="33"/>
        <v>315</v>
      </c>
      <c r="R215" s="59">
        <f t="shared" si="34"/>
        <v>100</v>
      </c>
      <c r="S215" s="56">
        <f t="shared" si="35"/>
        <v>695</v>
      </c>
      <c r="T215" s="56">
        <f>50</f>
        <v>50</v>
      </c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</row>
    <row r="216" spans="1:30" ht="15.75">
      <c r="A216" s="16">
        <v>47849</v>
      </c>
      <c r="B216" s="69">
        <v>31</v>
      </c>
      <c r="C216" s="56">
        <f>122.58</f>
        <v>122.58</v>
      </c>
      <c r="D216" s="56">
        <f>297.941</f>
        <v>297.94099999999997</v>
      </c>
      <c r="E216" s="64">
        <f>89.177</f>
        <v>89.177000000000007</v>
      </c>
      <c r="F216" s="56">
        <f>240.302-40-60-100</f>
        <v>40.301999999999992</v>
      </c>
      <c r="G216" s="59">
        <v>40</v>
      </c>
      <c r="H216" s="56">
        <f>60+100</f>
        <v>160</v>
      </c>
      <c r="I216" s="56">
        <f t="shared" si="27"/>
        <v>0</v>
      </c>
      <c r="J216" s="59">
        <v>100</v>
      </c>
      <c r="K216" s="59">
        <v>300</v>
      </c>
      <c r="L216" s="56">
        <f t="shared" si="32"/>
        <v>1150</v>
      </c>
      <c r="M216" s="66">
        <v>600</v>
      </c>
      <c r="N216" s="56">
        <f>100</f>
        <v>100</v>
      </c>
      <c r="O216" s="59">
        <v>240</v>
      </c>
      <c r="P216" s="59">
        <v>40</v>
      </c>
      <c r="Q216" s="59">
        <f t="shared" si="33"/>
        <v>315</v>
      </c>
      <c r="R216" s="59">
        <f t="shared" si="34"/>
        <v>100</v>
      </c>
      <c r="S216" s="56">
        <f t="shared" si="35"/>
        <v>695</v>
      </c>
      <c r="T216" s="56">
        <f>50</f>
        <v>50</v>
      </c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</row>
    <row r="217" spans="1:30" ht="15.75">
      <c r="A217" s="16">
        <v>47880</v>
      </c>
      <c r="B217" s="69">
        <v>28</v>
      </c>
      <c r="C217" s="56">
        <f>122.58</f>
        <v>122.58</v>
      </c>
      <c r="D217" s="56">
        <f>297.941</f>
        <v>297.94099999999997</v>
      </c>
      <c r="E217" s="64">
        <f>89.177</f>
        <v>89.177000000000007</v>
      </c>
      <c r="F217" s="56">
        <f>240.302-40-60-100</f>
        <v>40.301999999999992</v>
      </c>
      <c r="G217" s="59">
        <v>40</v>
      </c>
      <c r="H217" s="56">
        <f>60+100</f>
        <v>160</v>
      </c>
      <c r="I217" s="56">
        <f t="shared" si="27"/>
        <v>0</v>
      </c>
      <c r="J217" s="59">
        <v>100</v>
      </c>
      <c r="K217" s="59">
        <v>300</v>
      </c>
      <c r="L217" s="56">
        <f t="shared" si="32"/>
        <v>1150</v>
      </c>
      <c r="M217" s="66">
        <v>600</v>
      </c>
      <c r="N217" s="56">
        <f>100</f>
        <v>100</v>
      </c>
      <c r="O217" s="59">
        <v>240</v>
      </c>
      <c r="P217" s="59">
        <v>40</v>
      </c>
      <c r="Q217" s="59">
        <f t="shared" si="33"/>
        <v>315</v>
      </c>
      <c r="R217" s="59">
        <f t="shared" si="34"/>
        <v>100</v>
      </c>
      <c r="S217" s="56">
        <f t="shared" si="35"/>
        <v>695</v>
      </c>
      <c r="T217" s="56">
        <f>50</f>
        <v>50</v>
      </c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</row>
    <row r="218" spans="1:30" ht="15.75">
      <c r="A218" s="16">
        <v>47908</v>
      </c>
      <c r="B218" s="69">
        <v>31</v>
      </c>
      <c r="C218" s="56">
        <f>122.58</f>
        <v>122.58</v>
      </c>
      <c r="D218" s="56">
        <f>297.941</f>
        <v>297.94099999999997</v>
      </c>
      <c r="E218" s="64">
        <f>89.177</f>
        <v>89.177000000000007</v>
      </c>
      <c r="F218" s="56">
        <f>240.302-40-60-100</f>
        <v>40.301999999999992</v>
      </c>
      <c r="G218" s="59">
        <v>40</v>
      </c>
      <c r="H218" s="56">
        <f>60+100</f>
        <v>160</v>
      </c>
      <c r="I218" s="56">
        <f t="shared" si="27"/>
        <v>0</v>
      </c>
      <c r="J218" s="59">
        <v>100</v>
      </c>
      <c r="K218" s="59">
        <v>300</v>
      </c>
      <c r="L218" s="56">
        <f t="shared" si="32"/>
        <v>1150</v>
      </c>
      <c r="M218" s="66">
        <v>600</v>
      </c>
      <c r="N218" s="56">
        <f>100</f>
        <v>100</v>
      </c>
      <c r="O218" s="59">
        <v>240</v>
      </c>
      <c r="P218" s="59">
        <v>40</v>
      </c>
      <c r="Q218" s="59">
        <f t="shared" si="33"/>
        <v>315</v>
      </c>
      <c r="R218" s="59">
        <f t="shared" si="34"/>
        <v>100</v>
      </c>
      <c r="S218" s="56">
        <f t="shared" si="35"/>
        <v>695</v>
      </c>
      <c r="T218" s="56">
        <f>50</f>
        <v>50</v>
      </c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</row>
    <row r="219" spans="1:30" ht="15.75">
      <c r="A219" s="16">
        <v>47939</v>
      </c>
      <c r="B219" s="69">
        <v>30</v>
      </c>
      <c r="C219" s="56">
        <f>141.293</f>
        <v>141.29300000000001</v>
      </c>
      <c r="D219" s="56">
        <f>267.993</f>
        <v>267.99299999999999</v>
      </c>
      <c r="E219" s="64">
        <f>115.016</f>
        <v>115.01600000000001</v>
      </c>
      <c r="F219" s="56">
        <f>314.698-40-25-60-100</f>
        <v>89.697999999999979</v>
      </c>
      <c r="G219" s="59">
        <v>40</v>
      </c>
      <c r="H219" s="56">
        <f t="shared" ref="H219:H225" si="36">25+60+100</f>
        <v>185</v>
      </c>
      <c r="I219" s="56">
        <f t="shared" si="27"/>
        <v>0</v>
      </c>
      <c r="J219" s="59">
        <v>100</v>
      </c>
      <c r="K219" s="59">
        <v>300</v>
      </c>
      <c r="L219" s="56">
        <f t="shared" si="32"/>
        <v>1239</v>
      </c>
      <c r="M219" s="66">
        <v>600</v>
      </c>
      <c r="N219" s="56">
        <f>100</f>
        <v>100</v>
      </c>
      <c r="O219" s="59">
        <v>240</v>
      </c>
      <c r="P219" s="59">
        <v>160</v>
      </c>
      <c r="Q219" s="59">
        <f t="shared" si="33"/>
        <v>195</v>
      </c>
      <c r="R219" s="59">
        <f t="shared" si="34"/>
        <v>100</v>
      </c>
      <c r="S219" s="56">
        <f t="shared" si="35"/>
        <v>695</v>
      </c>
      <c r="T219" s="56">
        <f>50</f>
        <v>50</v>
      </c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</row>
    <row r="220" spans="1:30" ht="15.75">
      <c r="A220" s="16">
        <v>47969</v>
      </c>
      <c r="B220" s="69">
        <v>31</v>
      </c>
      <c r="C220" s="56">
        <f>194.205</f>
        <v>194.20500000000001</v>
      </c>
      <c r="D220" s="56">
        <f>267.466</f>
        <v>267.46600000000001</v>
      </c>
      <c r="E220" s="64">
        <f>133.845</f>
        <v>133.845</v>
      </c>
      <c r="F220" s="56">
        <f>278.484-40-25-60-100</f>
        <v>53.48399999999998</v>
      </c>
      <c r="G220" s="59">
        <v>40</v>
      </c>
      <c r="H220" s="56">
        <f t="shared" si="36"/>
        <v>185</v>
      </c>
      <c r="I220" s="56">
        <f t="shared" si="27"/>
        <v>0</v>
      </c>
      <c r="J220" s="59">
        <v>100</v>
      </c>
      <c r="K220" s="59">
        <v>300</v>
      </c>
      <c r="L220" s="56">
        <f t="shared" si="32"/>
        <v>1274</v>
      </c>
      <c r="M220" s="66">
        <v>600</v>
      </c>
      <c r="N220" s="56">
        <f>75</f>
        <v>75</v>
      </c>
      <c r="O220" s="59">
        <v>240</v>
      </c>
      <c r="P220" s="59">
        <v>160</v>
      </c>
      <c r="Q220" s="59">
        <f t="shared" si="33"/>
        <v>195</v>
      </c>
      <c r="R220" s="59">
        <f t="shared" si="34"/>
        <v>100</v>
      </c>
      <c r="S220" s="56">
        <f t="shared" si="35"/>
        <v>695</v>
      </c>
      <c r="T220" s="56">
        <f>50</f>
        <v>50</v>
      </c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</row>
    <row r="221" spans="1:30" ht="15.75">
      <c r="A221" s="16">
        <v>48000</v>
      </c>
      <c r="B221" s="69">
        <v>30</v>
      </c>
      <c r="C221" s="56">
        <f>194.205</f>
        <v>194.20500000000001</v>
      </c>
      <c r="D221" s="56">
        <f>267.466</f>
        <v>267.46600000000001</v>
      </c>
      <c r="E221" s="64">
        <f>133.845</f>
        <v>133.845</v>
      </c>
      <c r="F221" s="56">
        <f>278.484-40-25-60-100</f>
        <v>53.48399999999998</v>
      </c>
      <c r="G221" s="59">
        <v>40</v>
      </c>
      <c r="H221" s="56">
        <f t="shared" si="36"/>
        <v>185</v>
      </c>
      <c r="I221" s="56">
        <f t="shared" si="27"/>
        <v>0</v>
      </c>
      <c r="J221" s="59">
        <v>100</v>
      </c>
      <c r="K221" s="59">
        <v>300</v>
      </c>
      <c r="L221" s="56">
        <f t="shared" si="32"/>
        <v>1274</v>
      </c>
      <c r="M221" s="66">
        <v>600</v>
      </c>
      <c r="N221" s="56">
        <f>30</f>
        <v>30</v>
      </c>
      <c r="O221" s="59">
        <v>240</v>
      </c>
      <c r="P221" s="59">
        <v>160</v>
      </c>
      <c r="Q221" s="59">
        <f t="shared" si="33"/>
        <v>195</v>
      </c>
      <c r="R221" s="59">
        <f t="shared" si="34"/>
        <v>100</v>
      </c>
      <c r="S221" s="56">
        <f t="shared" si="35"/>
        <v>695</v>
      </c>
      <c r="T221" s="56">
        <f>50</f>
        <v>50</v>
      </c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</row>
    <row r="222" spans="1:30" ht="15.75">
      <c r="A222" s="16">
        <v>48030</v>
      </c>
      <c r="B222" s="69">
        <v>31</v>
      </c>
      <c r="C222" s="56">
        <f>194.205</f>
        <v>194.20500000000001</v>
      </c>
      <c r="D222" s="56">
        <f>267.466</f>
        <v>267.46600000000001</v>
      </c>
      <c r="E222" s="64">
        <f>133.845</f>
        <v>133.845</v>
      </c>
      <c r="F222" s="56">
        <f>278.484-40-25-60-100</f>
        <v>53.48399999999998</v>
      </c>
      <c r="G222" s="59">
        <v>40</v>
      </c>
      <c r="H222" s="56">
        <f t="shared" si="36"/>
        <v>185</v>
      </c>
      <c r="I222" s="56">
        <f t="shared" si="27"/>
        <v>0</v>
      </c>
      <c r="J222" s="59">
        <v>100</v>
      </c>
      <c r="K222" s="59">
        <v>300</v>
      </c>
      <c r="L222" s="56">
        <f t="shared" si="32"/>
        <v>1274</v>
      </c>
      <c r="M222" s="66">
        <v>600</v>
      </c>
      <c r="N222" s="56">
        <f>30</f>
        <v>30</v>
      </c>
      <c r="O222" s="59">
        <v>240</v>
      </c>
      <c r="P222" s="59">
        <v>160</v>
      </c>
      <c r="Q222" s="59">
        <f t="shared" si="33"/>
        <v>195</v>
      </c>
      <c r="R222" s="59">
        <f t="shared" si="34"/>
        <v>100</v>
      </c>
      <c r="S222" s="56">
        <f t="shared" si="35"/>
        <v>695</v>
      </c>
      <c r="T222" s="56">
        <f>0</f>
        <v>0</v>
      </c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</row>
    <row r="223" spans="1:30" ht="15.75">
      <c r="A223" s="16">
        <v>48061</v>
      </c>
      <c r="B223" s="69">
        <v>31</v>
      </c>
      <c r="C223" s="56">
        <f>194.205</f>
        <v>194.20500000000001</v>
      </c>
      <c r="D223" s="56">
        <f>267.466</f>
        <v>267.46600000000001</v>
      </c>
      <c r="E223" s="64">
        <f>133.845</f>
        <v>133.845</v>
      </c>
      <c r="F223" s="56">
        <f>278.484-40-25-60-100</f>
        <v>53.48399999999998</v>
      </c>
      <c r="G223" s="59">
        <v>40</v>
      </c>
      <c r="H223" s="56">
        <f t="shared" si="36"/>
        <v>185</v>
      </c>
      <c r="I223" s="56">
        <f t="shared" si="27"/>
        <v>0</v>
      </c>
      <c r="J223" s="59">
        <v>100</v>
      </c>
      <c r="K223" s="59">
        <v>300</v>
      </c>
      <c r="L223" s="56">
        <f t="shared" si="32"/>
        <v>1274</v>
      </c>
      <c r="M223" s="66">
        <v>600</v>
      </c>
      <c r="N223" s="56">
        <f>30</f>
        <v>30</v>
      </c>
      <c r="O223" s="59">
        <v>240</v>
      </c>
      <c r="P223" s="59">
        <v>160</v>
      </c>
      <c r="Q223" s="59">
        <f t="shared" si="33"/>
        <v>195</v>
      </c>
      <c r="R223" s="59">
        <f t="shared" si="34"/>
        <v>100</v>
      </c>
      <c r="S223" s="56">
        <f t="shared" si="35"/>
        <v>695</v>
      </c>
      <c r="T223" s="56">
        <f>0</f>
        <v>0</v>
      </c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</row>
    <row r="224" spans="1:30" ht="15.75">
      <c r="A224" s="16">
        <v>48092</v>
      </c>
      <c r="B224" s="69">
        <v>30</v>
      </c>
      <c r="C224" s="56">
        <f>194.205</f>
        <v>194.20500000000001</v>
      </c>
      <c r="D224" s="56">
        <f>267.466</f>
        <v>267.46600000000001</v>
      </c>
      <c r="E224" s="64">
        <f>133.845</f>
        <v>133.845</v>
      </c>
      <c r="F224" s="56">
        <f>278.484-40-25-60-100</f>
        <v>53.48399999999998</v>
      </c>
      <c r="G224" s="59">
        <v>40</v>
      </c>
      <c r="H224" s="56">
        <f t="shared" si="36"/>
        <v>185</v>
      </c>
      <c r="I224" s="56">
        <f t="shared" si="27"/>
        <v>0</v>
      </c>
      <c r="J224" s="59">
        <v>100</v>
      </c>
      <c r="K224" s="59">
        <v>300</v>
      </c>
      <c r="L224" s="56">
        <f t="shared" si="32"/>
        <v>1274</v>
      </c>
      <c r="M224" s="66">
        <v>600</v>
      </c>
      <c r="N224" s="56">
        <f>30</f>
        <v>30</v>
      </c>
      <c r="O224" s="59">
        <v>240</v>
      </c>
      <c r="P224" s="59">
        <v>160</v>
      </c>
      <c r="Q224" s="59">
        <f t="shared" si="33"/>
        <v>195</v>
      </c>
      <c r="R224" s="59">
        <f t="shared" si="34"/>
        <v>100</v>
      </c>
      <c r="S224" s="56">
        <f t="shared" si="35"/>
        <v>695</v>
      </c>
      <c r="T224" s="56">
        <f>0</f>
        <v>0</v>
      </c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</row>
    <row r="225" spans="1:30" ht="15.75">
      <c r="A225" s="16">
        <v>48122</v>
      </c>
      <c r="B225" s="69">
        <v>31</v>
      </c>
      <c r="C225" s="56">
        <f>131.881</f>
        <v>131.881</v>
      </c>
      <c r="D225" s="56">
        <f>277.167</f>
        <v>277.16699999999997</v>
      </c>
      <c r="E225" s="64">
        <f>79.08</f>
        <v>79.08</v>
      </c>
      <c r="F225" s="56">
        <f>350.872-40-25-60-100</f>
        <v>125.87200000000001</v>
      </c>
      <c r="G225" s="59">
        <v>40</v>
      </c>
      <c r="H225" s="56">
        <f t="shared" si="36"/>
        <v>185</v>
      </c>
      <c r="I225" s="56">
        <f t="shared" si="27"/>
        <v>0</v>
      </c>
      <c r="J225" s="59">
        <v>100</v>
      </c>
      <c r="K225" s="59">
        <v>300</v>
      </c>
      <c r="L225" s="56">
        <f t="shared" si="32"/>
        <v>1239</v>
      </c>
      <c r="M225" s="66">
        <v>600</v>
      </c>
      <c r="N225" s="56">
        <f>75</f>
        <v>75</v>
      </c>
      <c r="O225" s="59">
        <v>240</v>
      </c>
      <c r="P225" s="59">
        <v>160</v>
      </c>
      <c r="Q225" s="59">
        <f t="shared" si="33"/>
        <v>195</v>
      </c>
      <c r="R225" s="59">
        <f t="shared" si="34"/>
        <v>100</v>
      </c>
      <c r="S225" s="56">
        <f t="shared" si="35"/>
        <v>695</v>
      </c>
      <c r="T225" s="56">
        <f>0</f>
        <v>0</v>
      </c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</row>
    <row r="226" spans="1:30" ht="15.75">
      <c r="A226" s="16">
        <v>48153</v>
      </c>
      <c r="B226" s="69">
        <v>30</v>
      </c>
      <c r="C226" s="56">
        <f>122.58</f>
        <v>122.58</v>
      </c>
      <c r="D226" s="56">
        <f>297.941</f>
        <v>297.94099999999997</v>
      </c>
      <c r="E226" s="64">
        <f>89.177</f>
        <v>89.177000000000007</v>
      </c>
      <c r="F226" s="56">
        <f>240.302-40-60-100</f>
        <v>40.301999999999992</v>
      </c>
      <c r="G226" s="59">
        <v>40</v>
      </c>
      <c r="H226" s="56">
        <f>60+100</f>
        <v>160</v>
      </c>
      <c r="I226" s="56">
        <f t="shared" si="27"/>
        <v>0</v>
      </c>
      <c r="J226" s="59">
        <v>100</v>
      </c>
      <c r="K226" s="59">
        <v>300</v>
      </c>
      <c r="L226" s="56">
        <f t="shared" si="32"/>
        <v>1150</v>
      </c>
      <c r="M226" s="66">
        <v>600</v>
      </c>
      <c r="N226" s="56">
        <f>100</f>
        <v>100</v>
      </c>
      <c r="O226" s="59">
        <v>240</v>
      </c>
      <c r="P226" s="59">
        <v>40</v>
      </c>
      <c r="Q226" s="59">
        <f t="shared" si="33"/>
        <v>315</v>
      </c>
      <c r="R226" s="59">
        <f t="shared" si="34"/>
        <v>100</v>
      </c>
      <c r="S226" s="56">
        <f t="shared" si="35"/>
        <v>695</v>
      </c>
      <c r="T226" s="56">
        <f>50</f>
        <v>50</v>
      </c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</row>
    <row r="227" spans="1:30" ht="15.75">
      <c r="A227" s="16">
        <v>48183</v>
      </c>
      <c r="B227" s="69">
        <v>31</v>
      </c>
      <c r="C227" s="56">
        <f>122.58</f>
        <v>122.58</v>
      </c>
      <c r="D227" s="56">
        <f>297.941</f>
        <v>297.94099999999997</v>
      </c>
      <c r="E227" s="64">
        <f>89.177</f>
        <v>89.177000000000007</v>
      </c>
      <c r="F227" s="56">
        <f>240.302-40-60-100</f>
        <v>40.301999999999992</v>
      </c>
      <c r="G227" s="59">
        <v>40</v>
      </c>
      <c r="H227" s="56">
        <f>60+100</f>
        <v>160</v>
      </c>
      <c r="I227" s="56">
        <f t="shared" si="27"/>
        <v>0</v>
      </c>
      <c r="J227" s="59">
        <v>100</v>
      </c>
      <c r="K227" s="59">
        <v>300</v>
      </c>
      <c r="L227" s="56">
        <f t="shared" si="32"/>
        <v>1150</v>
      </c>
      <c r="M227" s="66">
        <v>600</v>
      </c>
      <c r="N227" s="56">
        <f>100</f>
        <v>100</v>
      </c>
      <c r="O227" s="59">
        <v>240</v>
      </c>
      <c r="P227" s="59">
        <v>40</v>
      </c>
      <c r="Q227" s="59">
        <f t="shared" si="33"/>
        <v>315</v>
      </c>
      <c r="R227" s="59">
        <f t="shared" si="34"/>
        <v>100</v>
      </c>
      <c r="S227" s="56">
        <f t="shared" si="35"/>
        <v>695</v>
      </c>
      <c r="T227" s="56">
        <f>50</f>
        <v>50</v>
      </c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</row>
    <row r="228" spans="1:30" ht="15.75">
      <c r="A228" s="16">
        <v>48214</v>
      </c>
      <c r="B228" s="69">
        <v>31</v>
      </c>
      <c r="C228" s="56">
        <f>122.58</f>
        <v>122.58</v>
      </c>
      <c r="D228" s="56">
        <f>297.941</f>
        <v>297.94099999999997</v>
      </c>
      <c r="E228" s="64">
        <f>89.177</f>
        <v>89.177000000000007</v>
      </c>
      <c r="F228" s="56">
        <f>240.302-40-60-100</f>
        <v>40.301999999999992</v>
      </c>
      <c r="G228" s="59">
        <v>40</v>
      </c>
      <c r="H228" s="56">
        <f>60+100</f>
        <v>160</v>
      </c>
      <c r="I228" s="56">
        <f t="shared" si="27"/>
        <v>0</v>
      </c>
      <c r="J228" s="59">
        <v>100</v>
      </c>
      <c r="K228" s="59">
        <v>300</v>
      </c>
      <c r="L228" s="56">
        <f t="shared" si="32"/>
        <v>1150</v>
      </c>
      <c r="M228" s="66">
        <v>600</v>
      </c>
      <c r="N228" s="56">
        <f>100</f>
        <v>100</v>
      </c>
      <c r="O228" s="59">
        <v>240</v>
      </c>
      <c r="P228" s="59">
        <v>40</v>
      </c>
      <c r="Q228" s="59">
        <f t="shared" si="33"/>
        <v>315</v>
      </c>
      <c r="R228" s="59">
        <f t="shared" si="34"/>
        <v>100</v>
      </c>
      <c r="S228" s="56">
        <f t="shared" si="35"/>
        <v>695</v>
      </c>
      <c r="T228" s="56">
        <f>50</f>
        <v>50</v>
      </c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</row>
    <row r="229" spans="1:30" ht="15.75">
      <c r="A229" s="16">
        <v>48245</v>
      </c>
      <c r="B229" s="69">
        <v>29</v>
      </c>
      <c r="C229" s="56">
        <f>122.58</f>
        <v>122.58</v>
      </c>
      <c r="D229" s="56">
        <f>297.941</f>
        <v>297.94099999999997</v>
      </c>
      <c r="E229" s="64">
        <f>89.177</f>
        <v>89.177000000000007</v>
      </c>
      <c r="F229" s="56">
        <f>240.302-40-60-100</f>
        <v>40.301999999999992</v>
      </c>
      <c r="G229" s="59">
        <v>40</v>
      </c>
      <c r="H229" s="56">
        <f>60+100</f>
        <v>160</v>
      </c>
      <c r="I229" s="56">
        <f t="shared" si="27"/>
        <v>0</v>
      </c>
      <c r="J229" s="59">
        <v>100</v>
      </c>
      <c r="K229" s="59">
        <v>300</v>
      </c>
      <c r="L229" s="56">
        <f t="shared" si="32"/>
        <v>1150</v>
      </c>
      <c r="M229" s="66">
        <v>600</v>
      </c>
      <c r="N229" s="56">
        <f>100</f>
        <v>100</v>
      </c>
      <c r="O229" s="59">
        <v>240</v>
      </c>
      <c r="P229" s="59">
        <v>40</v>
      </c>
      <c r="Q229" s="59">
        <f t="shared" si="33"/>
        <v>315</v>
      </c>
      <c r="R229" s="59">
        <f t="shared" si="34"/>
        <v>100</v>
      </c>
      <c r="S229" s="56">
        <f t="shared" si="35"/>
        <v>695</v>
      </c>
      <c r="T229" s="56">
        <f>50</f>
        <v>50</v>
      </c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</row>
    <row r="230" spans="1:30" ht="15.75">
      <c r="A230" s="16">
        <v>48274</v>
      </c>
      <c r="B230" s="69">
        <v>31</v>
      </c>
      <c r="C230" s="56">
        <f>122.58</f>
        <v>122.58</v>
      </c>
      <c r="D230" s="56">
        <f>297.941</f>
        <v>297.94099999999997</v>
      </c>
      <c r="E230" s="64">
        <f>89.177</f>
        <v>89.177000000000007</v>
      </c>
      <c r="F230" s="56">
        <f>240.302-40-60-100</f>
        <v>40.301999999999992</v>
      </c>
      <c r="G230" s="59">
        <v>40</v>
      </c>
      <c r="H230" s="56">
        <f>60+100</f>
        <v>160</v>
      </c>
      <c r="I230" s="56">
        <f t="shared" si="27"/>
        <v>0</v>
      </c>
      <c r="J230" s="59">
        <v>100</v>
      </c>
      <c r="K230" s="59">
        <v>300</v>
      </c>
      <c r="L230" s="56">
        <f t="shared" si="32"/>
        <v>1150</v>
      </c>
      <c r="M230" s="66">
        <v>600</v>
      </c>
      <c r="N230" s="56">
        <f>100</f>
        <v>100</v>
      </c>
      <c r="O230" s="59">
        <v>240</v>
      </c>
      <c r="P230" s="59">
        <v>40</v>
      </c>
      <c r="Q230" s="59">
        <f t="shared" si="33"/>
        <v>315</v>
      </c>
      <c r="R230" s="59">
        <f t="shared" si="34"/>
        <v>100</v>
      </c>
      <c r="S230" s="56">
        <f t="shared" si="35"/>
        <v>695</v>
      </c>
      <c r="T230" s="56">
        <f>50</f>
        <v>50</v>
      </c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</row>
    <row r="231" spans="1:30" ht="15.75">
      <c r="A231" s="16">
        <v>48305</v>
      </c>
      <c r="B231" s="69">
        <v>30</v>
      </c>
      <c r="C231" s="56">
        <f>141.293</f>
        <v>141.29300000000001</v>
      </c>
      <c r="D231" s="56">
        <f>267.993</f>
        <v>267.99299999999999</v>
      </c>
      <c r="E231" s="64">
        <f>115.016</f>
        <v>115.01600000000001</v>
      </c>
      <c r="F231" s="56">
        <f>314.698-40-25-60-100</f>
        <v>89.697999999999979</v>
      </c>
      <c r="G231" s="59">
        <v>40</v>
      </c>
      <c r="H231" s="56">
        <f t="shared" ref="H231:H237" si="37">25+60+100</f>
        <v>185</v>
      </c>
      <c r="I231" s="56">
        <f t="shared" si="27"/>
        <v>0</v>
      </c>
      <c r="J231" s="59">
        <v>100</v>
      </c>
      <c r="K231" s="59">
        <v>300</v>
      </c>
      <c r="L231" s="56">
        <f t="shared" si="32"/>
        <v>1239</v>
      </c>
      <c r="M231" s="66">
        <v>600</v>
      </c>
      <c r="N231" s="56">
        <f>100</f>
        <v>100</v>
      </c>
      <c r="O231" s="59">
        <v>240</v>
      </c>
      <c r="P231" s="59">
        <v>160</v>
      </c>
      <c r="Q231" s="59">
        <f t="shared" si="33"/>
        <v>195</v>
      </c>
      <c r="R231" s="59">
        <f t="shared" si="34"/>
        <v>100</v>
      </c>
      <c r="S231" s="56">
        <f t="shared" si="35"/>
        <v>695</v>
      </c>
      <c r="T231" s="56">
        <f>50</f>
        <v>50</v>
      </c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</row>
    <row r="232" spans="1:30" ht="15.75">
      <c r="A232" s="16">
        <v>48335</v>
      </c>
      <c r="B232" s="69">
        <v>31</v>
      </c>
      <c r="C232" s="56">
        <f>194.205</f>
        <v>194.20500000000001</v>
      </c>
      <c r="D232" s="56">
        <f>267.466</f>
        <v>267.46600000000001</v>
      </c>
      <c r="E232" s="64">
        <f>133.845</f>
        <v>133.845</v>
      </c>
      <c r="F232" s="56">
        <f>278.484-40-25-60-100</f>
        <v>53.48399999999998</v>
      </c>
      <c r="G232" s="59">
        <v>40</v>
      </c>
      <c r="H232" s="56">
        <f t="shared" si="37"/>
        <v>185</v>
      </c>
      <c r="I232" s="56">
        <f t="shared" ref="I232:I295" si="38">400-J232-K232</f>
        <v>0</v>
      </c>
      <c r="J232" s="59">
        <v>100</v>
      </c>
      <c r="K232" s="59">
        <v>300</v>
      </c>
      <c r="L232" s="56">
        <f t="shared" si="32"/>
        <v>1274</v>
      </c>
      <c r="M232" s="66">
        <v>600</v>
      </c>
      <c r="N232" s="56">
        <f>75</f>
        <v>75</v>
      </c>
      <c r="O232" s="59">
        <v>240</v>
      </c>
      <c r="P232" s="59">
        <v>160</v>
      </c>
      <c r="Q232" s="59">
        <f t="shared" si="33"/>
        <v>195</v>
      </c>
      <c r="R232" s="59">
        <f t="shared" si="34"/>
        <v>100</v>
      </c>
      <c r="S232" s="56">
        <f t="shared" si="35"/>
        <v>695</v>
      </c>
      <c r="T232" s="56">
        <f>50</f>
        <v>50</v>
      </c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</row>
    <row r="233" spans="1:30" ht="15.75">
      <c r="A233" s="16">
        <v>48366</v>
      </c>
      <c r="B233" s="69">
        <v>30</v>
      </c>
      <c r="C233" s="56">
        <f>194.205</f>
        <v>194.20500000000001</v>
      </c>
      <c r="D233" s="56">
        <f>267.466</f>
        <v>267.46600000000001</v>
      </c>
      <c r="E233" s="64">
        <f>133.845</f>
        <v>133.845</v>
      </c>
      <c r="F233" s="56">
        <f>278.484-40-25-60-100</f>
        <v>53.48399999999998</v>
      </c>
      <c r="G233" s="59">
        <v>40</v>
      </c>
      <c r="H233" s="56">
        <f t="shared" si="37"/>
        <v>185</v>
      </c>
      <c r="I233" s="56">
        <f t="shared" si="38"/>
        <v>0</v>
      </c>
      <c r="J233" s="59">
        <v>100</v>
      </c>
      <c r="K233" s="59">
        <v>300</v>
      </c>
      <c r="L233" s="56">
        <f t="shared" si="32"/>
        <v>1274</v>
      </c>
      <c r="M233" s="66">
        <v>600</v>
      </c>
      <c r="N233" s="56">
        <f>30</f>
        <v>30</v>
      </c>
      <c r="O233" s="59">
        <v>240</v>
      </c>
      <c r="P233" s="59">
        <v>160</v>
      </c>
      <c r="Q233" s="59">
        <f t="shared" si="33"/>
        <v>195</v>
      </c>
      <c r="R233" s="59">
        <f t="shared" si="34"/>
        <v>100</v>
      </c>
      <c r="S233" s="56">
        <f t="shared" si="35"/>
        <v>695</v>
      </c>
      <c r="T233" s="56">
        <f>50</f>
        <v>50</v>
      </c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</row>
    <row r="234" spans="1:30" ht="15.75">
      <c r="A234" s="16">
        <v>48396</v>
      </c>
      <c r="B234" s="69">
        <v>31</v>
      </c>
      <c r="C234" s="56">
        <f>194.205</f>
        <v>194.20500000000001</v>
      </c>
      <c r="D234" s="56">
        <f>267.466</f>
        <v>267.46600000000001</v>
      </c>
      <c r="E234" s="64">
        <f>133.845</f>
        <v>133.845</v>
      </c>
      <c r="F234" s="56">
        <f>278.484-40-25-60-100</f>
        <v>53.48399999999998</v>
      </c>
      <c r="G234" s="59">
        <v>40</v>
      </c>
      <c r="H234" s="56">
        <f t="shared" si="37"/>
        <v>185</v>
      </c>
      <c r="I234" s="56">
        <f t="shared" si="38"/>
        <v>0</v>
      </c>
      <c r="J234" s="59">
        <v>100</v>
      </c>
      <c r="K234" s="59">
        <v>300</v>
      </c>
      <c r="L234" s="56">
        <f t="shared" si="32"/>
        <v>1274</v>
      </c>
      <c r="M234" s="66">
        <v>600</v>
      </c>
      <c r="N234" s="56">
        <f>30</f>
        <v>30</v>
      </c>
      <c r="O234" s="59">
        <v>240</v>
      </c>
      <c r="P234" s="59">
        <v>160</v>
      </c>
      <c r="Q234" s="59">
        <f t="shared" si="33"/>
        <v>195</v>
      </c>
      <c r="R234" s="59">
        <f t="shared" si="34"/>
        <v>100</v>
      </c>
      <c r="S234" s="56">
        <f t="shared" si="35"/>
        <v>695</v>
      </c>
      <c r="T234" s="56">
        <f>0</f>
        <v>0</v>
      </c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</row>
    <row r="235" spans="1:30" ht="15.75">
      <c r="A235" s="16">
        <v>48427</v>
      </c>
      <c r="B235" s="69">
        <v>31</v>
      </c>
      <c r="C235" s="56">
        <f>194.205</f>
        <v>194.20500000000001</v>
      </c>
      <c r="D235" s="56">
        <f>267.466</f>
        <v>267.46600000000001</v>
      </c>
      <c r="E235" s="64">
        <f>133.845</f>
        <v>133.845</v>
      </c>
      <c r="F235" s="56">
        <f>278.484-40-25-60-100</f>
        <v>53.48399999999998</v>
      </c>
      <c r="G235" s="59">
        <v>40</v>
      </c>
      <c r="H235" s="56">
        <f t="shared" si="37"/>
        <v>185</v>
      </c>
      <c r="I235" s="56">
        <f t="shared" si="38"/>
        <v>0</v>
      </c>
      <c r="J235" s="59">
        <v>100</v>
      </c>
      <c r="K235" s="59">
        <v>300</v>
      </c>
      <c r="L235" s="56">
        <f t="shared" si="32"/>
        <v>1274</v>
      </c>
      <c r="M235" s="66">
        <v>600</v>
      </c>
      <c r="N235" s="56">
        <f>30</f>
        <v>30</v>
      </c>
      <c r="O235" s="59">
        <v>240</v>
      </c>
      <c r="P235" s="59">
        <v>160</v>
      </c>
      <c r="Q235" s="59">
        <f t="shared" si="33"/>
        <v>195</v>
      </c>
      <c r="R235" s="59">
        <f t="shared" si="34"/>
        <v>100</v>
      </c>
      <c r="S235" s="56">
        <f t="shared" si="35"/>
        <v>695</v>
      </c>
      <c r="T235" s="56">
        <f>0</f>
        <v>0</v>
      </c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</row>
    <row r="236" spans="1:30" ht="15.75">
      <c r="A236" s="16">
        <v>48458</v>
      </c>
      <c r="B236" s="69">
        <v>30</v>
      </c>
      <c r="C236" s="56">
        <f>194.205</f>
        <v>194.20500000000001</v>
      </c>
      <c r="D236" s="56">
        <f>267.466</f>
        <v>267.46600000000001</v>
      </c>
      <c r="E236" s="64">
        <f>133.845</f>
        <v>133.845</v>
      </c>
      <c r="F236" s="56">
        <f>278.484-40-25-60-100</f>
        <v>53.48399999999998</v>
      </c>
      <c r="G236" s="59">
        <v>40</v>
      </c>
      <c r="H236" s="56">
        <f t="shared" si="37"/>
        <v>185</v>
      </c>
      <c r="I236" s="56">
        <f t="shared" si="38"/>
        <v>0</v>
      </c>
      <c r="J236" s="59">
        <v>100</v>
      </c>
      <c r="K236" s="59">
        <v>300</v>
      </c>
      <c r="L236" s="56">
        <f t="shared" si="32"/>
        <v>1274</v>
      </c>
      <c r="M236" s="66">
        <v>600</v>
      </c>
      <c r="N236" s="56">
        <f>30</f>
        <v>30</v>
      </c>
      <c r="O236" s="59">
        <v>240</v>
      </c>
      <c r="P236" s="59">
        <v>160</v>
      </c>
      <c r="Q236" s="59">
        <f t="shared" si="33"/>
        <v>195</v>
      </c>
      <c r="R236" s="59">
        <f t="shared" si="34"/>
        <v>100</v>
      </c>
      <c r="S236" s="56">
        <f t="shared" si="35"/>
        <v>695</v>
      </c>
      <c r="T236" s="56">
        <f>0</f>
        <v>0</v>
      </c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</row>
    <row r="237" spans="1:30" ht="15.75">
      <c r="A237" s="16">
        <v>48488</v>
      </c>
      <c r="B237" s="69">
        <v>31</v>
      </c>
      <c r="C237" s="56">
        <f>131.881</f>
        <v>131.881</v>
      </c>
      <c r="D237" s="56">
        <f>277.167</f>
        <v>277.16699999999997</v>
      </c>
      <c r="E237" s="64">
        <f>79.08</f>
        <v>79.08</v>
      </c>
      <c r="F237" s="56">
        <f>350.872-40-25-60-100</f>
        <v>125.87200000000001</v>
      </c>
      <c r="G237" s="59">
        <v>40</v>
      </c>
      <c r="H237" s="56">
        <f t="shared" si="37"/>
        <v>185</v>
      </c>
      <c r="I237" s="56">
        <f t="shared" si="38"/>
        <v>0</v>
      </c>
      <c r="J237" s="59">
        <v>100</v>
      </c>
      <c r="K237" s="59">
        <v>300</v>
      </c>
      <c r="L237" s="56">
        <f t="shared" si="32"/>
        <v>1239</v>
      </c>
      <c r="M237" s="66">
        <v>600</v>
      </c>
      <c r="N237" s="56">
        <f>75</f>
        <v>75</v>
      </c>
      <c r="O237" s="59">
        <v>240</v>
      </c>
      <c r="P237" s="59">
        <v>160</v>
      </c>
      <c r="Q237" s="59">
        <f t="shared" si="33"/>
        <v>195</v>
      </c>
      <c r="R237" s="59">
        <f t="shared" si="34"/>
        <v>100</v>
      </c>
      <c r="S237" s="56">
        <f t="shared" si="35"/>
        <v>695</v>
      </c>
      <c r="T237" s="56">
        <f>0</f>
        <v>0</v>
      </c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</row>
    <row r="238" spans="1:30" ht="15.75">
      <c r="A238" s="16">
        <v>48519</v>
      </c>
      <c r="B238" s="69">
        <v>30</v>
      </c>
      <c r="C238" s="56">
        <f>122.58</f>
        <v>122.58</v>
      </c>
      <c r="D238" s="56">
        <f>297.941</f>
        <v>297.94099999999997</v>
      </c>
      <c r="E238" s="64">
        <f>89.177</f>
        <v>89.177000000000007</v>
      </c>
      <c r="F238" s="56">
        <f>240.302-40-60-100</f>
        <v>40.301999999999992</v>
      </c>
      <c r="G238" s="59">
        <v>40</v>
      </c>
      <c r="H238" s="56">
        <f>60+100</f>
        <v>160</v>
      </c>
      <c r="I238" s="56">
        <f t="shared" si="38"/>
        <v>0</v>
      </c>
      <c r="J238" s="59">
        <v>100</v>
      </c>
      <c r="K238" s="59">
        <v>300</v>
      </c>
      <c r="L238" s="56">
        <f t="shared" si="32"/>
        <v>1150</v>
      </c>
      <c r="M238" s="66">
        <v>600</v>
      </c>
      <c r="N238" s="56">
        <f>100</f>
        <v>100</v>
      </c>
      <c r="O238" s="59">
        <v>240</v>
      </c>
      <c r="P238" s="59">
        <v>40</v>
      </c>
      <c r="Q238" s="59">
        <f t="shared" si="33"/>
        <v>315</v>
      </c>
      <c r="R238" s="59">
        <f t="shared" si="34"/>
        <v>100</v>
      </c>
      <c r="S238" s="56">
        <f t="shared" si="35"/>
        <v>695</v>
      </c>
      <c r="T238" s="56">
        <f>50</f>
        <v>50</v>
      </c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</row>
    <row r="239" spans="1:30" ht="15.75">
      <c r="A239" s="16">
        <v>48549</v>
      </c>
      <c r="B239" s="69">
        <v>31</v>
      </c>
      <c r="C239" s="56">
        <f>122.58</f>
        <v>122.58</v>
      </c>
      <c r="D239" s="56">
        <f>297.941</f>
        <v>297.94099999999997</v>
      </c>
      <c r="E239" s="64">
        <f>89.177</f>
        <v>89.177000000000007</v>
      </c>
      <c r="F239" s="56">
        <f>240.302-40-60-100</f>
        <v>40.301999999999992</v>
      </c>
      <c r="G239" s="59">
        <v>40</v>
      </c>
      <c r="H239" s="56">
        <f>60+100</f>
        <v>160</v>
      </c>
      <c r="I239" s="56">
        <f t="shared" si="38"/>
        <v>0</v>
      </c>
      <c r="J239" s="59">
        <v>100</v>
      </c>
      <c r="K239" s="59">
        <v>300</v>
      </c>
      <c r="L239" s="56">
        <f t="shared" si="32"/>
        <v>1150</v>
      </c>
      <c r="M239" s="66">
        <v>600</v>
      </c>
      <c r="N239" s="56">
        <f>100</f>
        <v>100</v>
      </c>
      <c r="O239" s="59">
        <v>240</v>
      </c>
      <c r="P239" s="59">
        <v>40</v>
      </c>
      <c r="Q239" s="59">
        <f t="shared" si="33"/>
        <v>315</v>
      </c>
      <c r="R239" s="59">
        <f t="shared" si="34"/>
        <v>100</v>
      </c>
      <c r="S239" s="56">
        <f t="shared" si="35"/>
        <v>695</v>
      </c>
      <c r="T239" s="56">
        <f>50</f>
        <v>50</v>
      </c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</row>
    <row r="240" spans="1:30" ht="15.75">
      <c r="A240" s="16">
        <v>48580</v>
      </c>
      <c r="B240" s="69">
        <v>31</v>
      </c>
      <c r="C240" s="56">
        <f>122.58</f>
        <v>122.58</v>
      </c>
      <c r="D240" s="56">
        <f>297.941</f>
        <v>297.94099999999997</v>
      </c>
      <c r="E240" s="64">
        <f>89.177</f>
        <v>89.177000000000007</v>
      </c>
      <c r="F240" s="56">
        <f>240.302-40-60-100</f>
        <v>40.301999999999992</v>
      </c>
      <c r="G240" s="59">
        <v>40</v>
      </c>
      <c r="H240" s="56">
        <f>60+100</f>
        <v>160</v>
      </c>
      <c r="I240" s="56">
        <f t="shared" si="38"/>
        <v>0</v>
      </c>
      <c r="J240" s="59">
        <v>100</v>
      </c>
      <c r="K240" s="59">
        <v>300</v>
      </c>
      <c r="L240" s="56">
        <f t="shared" si="32"/>
        <v>1150</v>
      </c>
      <c r="M240" s="66">
        <v>600</v>
      </c>
      <c r="N240" s="56">
        <f>100</f>
        <v>100</v>
      </c>
      <c r="O240" s="59">
        <v>240</v>
      </c>
      <c r="P240" s="59">
        <v>40</v>
      </c>
      <c r="Q240" s="59">
        <f t="shared" si="33"/>
        <v>315</v>
      </c>
      <c r="R240" s="59">
        <f t="shared" si="34"/>
        <v>100</v>
      </c>
      <c r="S240" s="56">
        <f t="shared" si="35"/>
        <v>695</v>
      </c>
      <c r="T240" s="56">
        <f>50</f>
        <v>50</v>
      </c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</row>
    <row r="241" spans="1:30" ht="15.75">
      <c r="A241" s="16">
        <v>48611</v>
      </c>
      <c r="B241" s="69">
        <v>28</v>
      </c>
      <c r="C241" s="56">
        <f>122.58</f>
        <v>122.58</v>
      </c>
      <c r="D241" s="56">
        <f>297.941</f>
        <v>297.94099999999997</v>
      </c>
      <c r="E241" s="64">
        <f>89.177</f>
        <v>89.177000000000007</v>
      </c>
      <c r="F241" s="56">
        <f>240.302-40-60-100</f>
        <v>40.301999999999992</v>
      </c>
      <c r="G241" s="59">
        <v>40</v>
      </c>
      <c r="H241" s="56">
        <f>60+100</f>
        <v>160</v>
      </c>
      <c r="I241" s="56">
        <f t="shared" si="38"/>
        <v>0</v>
      </c>
      <c r="J241" s="59">
        <v>100</v>
      </c>
      <c r="K241" s="59">
        <v>300</v>
      </c>
      <c r="L241" s="56">
        <f t="shared" si="32"/>
        <v>1150</v>
      </c>
      <c r="M241" s="66">
        <v>600</v>
      </c>
      <c r="N241" s="56">
        <f>100</f>
        <v>100</v>
      </c>
      <c r="O241" s="59">
        <v>240</v>
      </c>
      <c r="P241" s="59">
        <v>40</v>
      </c>
      <c r="Q241" s="59">
        <f t="shared" si="33"/>
        <v>315</v>
      </c>
      <c r="R241" s="59">
        <f t="shared" si="34"/>
        <v>100</v>
      </c>
      <c r="S241" s="56">
        <f t="shared" si="35"/>
        <v>695</v>
      </c>
      <c r="T241" s="56">
        <f>50</f>
        <v>50</v>
      </c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</row>
    <row r="242" spans="1:30" ht="15.75">
      <c r="A242" s="16">
        <v>48639</v>
      </c>
      <c r="B242" s="69">
        <v>31</v>
      </c>
      <c r="C242" s="56">
        <f>122.58</f>
        <v>122.58</v>
      </c>
      <c r="D242" s="56">
        <f>297.941</f>
        <v>297.94099999999997</v>
      </c>
      <c r="E242" s="64">
        <f>89.177</f>
        <v>89.177000000000007</v>
      </c>
      <c r="F242" s="56">
        <f>240.302-40-60-100</f>
        <v>40.301999999999992</v>
      </c>
      <c r="G242" s="59">
        <v>40</v>
      </c>
      <c r="H242" s="56">
        <f>60+100</f>
        <v>160</v>
      </c>
      <c r="I242" s="56">
        <f t="shared" si="38"/>
        <v>0</v>
      </c>
      <c r="J242" s="59">
        <v>100</v>
      </c>
      <c r="K242" s="59">
        <v>300</v>
      </c>
      <c r="L242" s="56">
        <f t="shared" si="32"/>
        <v>1150</v>
      </c>
      <c r="M242" s="66">
        <v>600</v>
      </c>
      <c r="N242" s="56">
        <f>100</f>
        <v>100</v>
      </c>
      <c r="O242" s="59">
        <v>240</v>
      </c>
      <c r="P242" s="59">
        <v>40</v>
      </c>
      <c r="Q242" s="59">
        <f t="shared" si="33"/>
        <v>315</v>
      </c>
      <c r="R242" s="59">
        <f t="shared" si="34"/>
        <v>100</v>
      </c>
      <c r="S242" s="56">
        <f t="shared" si="35"/>
        <v>695</v>
      </c>
      <c r="T242" s="56">
        <f>50</f>
        <v>50</v>
      </c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</row>
    <row r="243" spans="1:30" ht="15.75">
      <c r="A243" s="16">
        <v>48670</v>
      </c>
      <c r="B243" s="69">
        <v>30</v>
      </c>
      <c r="C243" s="56">
        <f>141.293</f>
        <v>141.29300000000001</v>
      </c>
      <c r="D243" s="56">
        <f>267.993</f>
        <v>267.99299999999999</v>
      </c>
      <c r="E243" s="64">
        <f>115.016</f>
        <v>115.01600000000001</v>
      </c>
      <c r="F243" s="56">
        <f>314.698-40-25-60-100</f>
        <v>89.697999999999979</v>
      </c>
      <c r="G243" s="59">
        <v>40</v>
      </c>
      <c r="H243" s="56">
        <f t="shared" ref="H243:H249" si="39">25+60+100</f>
        <v>185</v>
      </c>
      <c r="I243" s="56">
        <f t="shared" si="38"/>
        <v>0</v>
      </c>
      <c r="J243" s="59">
        <v>100</v>
      </c>
      <c r="K243" s="59">
        <v>300</v>
      </c>
      <c r="L243" s="56">
        <f t="shared" si="32"/>
        <v>1239</v>
      </c>
      <c r="M243" s="66">
        <v>600</v>
      </c>
      <c r="N243" s="56">
        <f>100</f>
        <v>100</v>
      </c>
      <c r="O243" s="59">
        <v>240</v>
      </c>
      <c r="P243" s="59">
        <v>160</v>
      </c>
      <c r="Q243" s="59">
        <f t="shared" si="33"/>
        <v>195</v>
      </c>
      <c r="R243" s="59">
        <f t="shared" si="34"/>
        <v>100</v>
      </c>
      <c r="S243" s="56">
        <f t="shared" si="35"/>
        <v>695</v>
      </c>
      <c r="T243" s="56">
        <f>50</f>
        <v>50</v>
      </c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</row>
    <row r="244" spans="1:30" ht="15.75">
      <c r="A244" s="16">
        <v>48700</v>
      </c>
      <c r="B244" s="69">
        <v>31</v>
      </c>
      <c r="C244" s="56">
        <f>194.205</f>
        <v>194.20500000000001</v>
      </c>
      <c r="D244" s="56">
        <f>267.466</f>
        <v>267.46600000000001</v>
      </c>
      <c r="E244" s="64">
        <f>133.845</f>
        <v>133.845</v>
      </c>
      <c r="F244" s="56">
        <f>278.484-40-25-60-100</f>
        <v>53.48399999999998</v>
      </c>
      <c r="G244" s="59">
        <v>40</v>
      </c>
      <c r="H244" s="56">
        <f t="shared" si="39"/>
        <v>185</v>
      </c>
      <c r="I244" s="56">
        <f t="shared" si="38"/>
        <v>0</v>
      </c>
      <c r="J244" s="59">
        <v>100</v>
      </c>
      <c r="K244" s="59">
        <v>300</v>
      </c>
      <c r="L244" s="56">
        <f t="shared" si="32"/>
        <v>1274</v>
      </c>
      <c r="M244" s="66">
        <v>600</v>
      </c>
      <c r="N244" s="56">
        <f>75</f>
        <v>75</v>
      </c>
      <c r="O244" s="59">
        <v>240</v>
      </c>
      <c r="P244" s="59">
        <v>160</v>
      </c>
      <c r="Q244" s="59">
        <f t="shared" si="33"/>
        <v>195</v>
      </c>
      <c r="R244" s="59">
        <f t="shared" si="34"/>
        <v>100</v>
      </c>
      <c r="S244" s="56">
        <f t="shared" si="35"/>
        <v>695</v>
      </c>
      <c r="T244" s="56">
        <f>50</f>
        <v>50</v>
      </c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</row>
    <row r="245" spans="1:30" ht="15.75">
      <c r="A245" s="16">
        <v>48731</v>
      </c>
      <c r="B245" s="69">
        <v>30</v>
      </c>
      <c r="C245" s="56">
        <f>194.205</f>
        <v>194.20500000000001</v>
      </c>
      <c r="D245" s="56">
        <f>267.466</f>
        <v>267.46600000000001</v>
      </c>
      <c r="E245" s="64">
        <f>133.845</f>
        <v>133.845</v>
      </c>
      <c r="F245" s="56">
        <f>278.484-40-25-60-100</f>
        <v>53.48399999999998</v>
      </c>
      <c r="G245" s="59">
        <v>40</v>
      </c>
      <c r="H245" s="56">
        <f t="shared" si="39"/>
        <v>185</v>
      </c>
      <c r="I245" s="56">
        <f t="shared" si="38"/>
        <v>0</v>
      </c>
      <c r="J245" s="59">
        <v>100</v>
      </c>
      <c r="K245" s="59">
        <v>300</v>
      </c>
      <c r="L245" s="56">
        <f t="shared" si="32"/>
        <v>1274</v>
      </c>
      <c r="M245" s="66">
        <v>600</v>
      </c>
      <c r="N245" s="56">
        <f>30</f>
        <v>30</v>
      </c>
      <c r="O245" s="59">
        <v>240</v>
      </c>
      <c r="P245" s="59">
        <v>160</v>
      </c>
      <c r="Q245" s="59">
        <f t="shared" si="33"/>
        <v>195</v>
      </c>
      <c r="R245" s="59">
        <f t="shared" si="34"/>
        <v>100</v>
      </c>
      <c r="S245" s="56">
        <f t="shared" si="35"/>
        <v>695</v>
      </c>
      <c r="T245" s="56">
        <f>50</f>
        <v>50</v>
      </c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</row>
    <row r="246" spans="1:30" ht="15.75">
      <c r="A246" s="16">
        <v>48761</v>
      </c>
      <c r="B246" s="69">
        <v>31</v>
      </c>
      <c r="C246" s="56">
        <f>194.205</f>
        <v>194.20500000000001</v>
      </c>
      <c r="D246" s="56">
        <f>267.466</f>
        <v>267.46600000000001</v>
      </c>
      <c r="E246" s="64">
        <f>133.845</f>
        <v>133.845</v>
      </c>
      <c r="F246" s="56">
        <f>278.484-40-25-60-100</f>
        <v>53.48399999999998</v>
      </c>
      <c r="G246" s="59">
        <v>40</v>
      </c>
      <c r="H246" s="56">
        <f t="shared" si="39"/>
        <v>185</v>
      </c>
      <c r="I246" s="56">
        <f t="shared" si="38"/>
        <v>0</v>
      </c>
      <c r="J246" s="59">
        <v>100</v>
      </c>
      <c r="K246" s="59">
        <v>300</v>
      </c>
      <c r="L246" s="56">
        <f t="shared" si="32"/>
        <v>1274</v>
      </c>
      <c r="M246" s="66">
        <v>600</v>
      </c>
      <c r="N246" s="56">
        <f>30</f>
        <v>30</v>
      </c>
      <c r="O246" s="59">
        <v>240</v>
      </c>
      <c r="P246" s="59">
        <v>160</v>
      </c>
      <c r="Q246" s="59">
        <f t="shared" si="33"/>
        <v>195</v>
      </c>
      <c r="R246" s="59">
        <f t="shared" si="34"/>
        <v>100</v>
      </c>
      <c r="S246" s="56">
        <f t="shared" si="35"/>
        <v>695</v>
      </c>
      <c r="T246" s="56">
        <f>0</f>
        <v>0</v>
      </c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</row>
    <row r="247" spans="1:30" ht="15.75">
      <c r="A247" s="16">
        <v>48792</v>
      </c>
      <c r="B247" s="69">
        <v>31</v>
      </c>
      <c r="C247" s="56">
        <f>194.205</f>
        <v>194.20500000000001</v>
      </c>
      <c r="D247" s="56">
        <f>267.466</f>
        <v>267.46600000000001</v>
      </c>
      <c r="E247" s="64">
        <f>133.845</f>
        <v>133.845</v>
      </c>
      <c r="F247" s="56">
        <f>278.484-40-25-60-100</f>
        <v>53.48399999999998</v>
      </c>
      <c r="G247" s="59">
        <v>40</v>
      </c>
      <c r="H247" s="56">
        <f t="shared" si="39"/>
        <v>185</v>
      </c>
      <c r="I247" s="56">
        <f t="shared" si="38"/>
        <v>0</v>
      </c>
      <c r="J247" s="59">
        <v>100</v>
      </c>
      <c r="K247" s="59">
        <v>300</v>
      </c>
      <c r="L247" s="56">
        <f t="shared" si="32"/>
        <v>1274</v>
      </c>
      <c r="M247" s="66">
        <v>600</v>
      </c>
      <c r="N247" s="56">
        <f>30</f>
        <v>30</v>
      </c>
      <c r="O247" s="59">
        <v>240</v>
      </c>
      <c r="P247" s="59">
        <v>160</v>
      </c>
      <c r="Q247" s="59">
        <f t="shared" si="33"/>
        <v>195</v>
      </c>
      <c r="R247" s="59">
        <f t="shared" si="34"/>
        <v>100</v>
      </c>
      <c r="S247" s="56">
        <f t="shared" si="35"/>
        <v>695</v>
      </c>
      <c r="T247" s="56">
        <f>0</f>
        <v>0</v>
      </c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</row>
    <row r="248" spans="1:30" ht="15.75">
      <c r="A248" s="16">
        <v>48823</v>
      </c>
      <c r="B248" s="69">
        <v>30</v>
      </c>
      <c r="C248" s="56">
        <f>194.205</f>
        <v>194.20500000000001</v>
      </c>
      <c r="D248" s="56">
        <f>267.466</f>
        <v>267.46600000000001</v>
      </c>
      <c r="E248" s="64">
        <f>133.845</f>
        <v>133.845</v>
      </c>
      <c r="F248" s="56">
        <f>278.484-40-25-60-100</f>
        <v>53.48399999999998</v>
      </c>
      <c r="G248" s="59">
        <v>40</v>
      </c>
      <c r="H248" s="56">
        <f t="shared" si="39"/>
        <v>185</v>
      </c>
      <c r="I248" s="56">
        <f t="shared" si="38"/>
        <v>0</v>
      </c>
      <c r="J248" s="59">
        <v>100</v>
      </c>
      <c r="K248" s="59">
        <v>300</v>
      </c>
      <c r="L248" s="56">
        <f t="shared" si="32"/>
        <v>1274</v>
      </c>
      <c r="M248" s="66">
        <v>600</v>
      </c>
      <c r="N248" s="56">
        <f>30</f>
        <v>30</v>
      </c>
      <c r="O248" s="59">
        <v>240</v>
      </c>
      <c r="P248" s="59">
        <v>160</v>
      </c>
      <c r="Q248" s="59">
        <f t="shared" si="33"/>
        <v>195</v>
      </c>
      <c r="R248" s="59">
        <f t="shared" si="34"/>
        <v>100</v>
      </c>
      <c r="S248" s="56">
        <f t="shared" si="35"/>
        <v>695</v>
      </c>
      <c r="T248" s="56">
        <f>0</f>
        <v>0</v>
      </c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</row>
    <row r="249" spans="1:30" ht="15.75">
      <c r="A249" s="16">
        <v>48853</v>
      </c>
      <c r="B249" s="69">
        <v>31</v>
      </c>
      <c r="C249" s="56">
        <f>131.881</f>
        <v>131.881</v>
      </c>
      <c r="D249" s="56">
        <f>277.167</f>
        <v>277.16699999999997</v>
      </c>
      <c r="E249" s="64">
        <f>79.08</f>
        <v>79.08</v>
      </c>
      <c r="F249" s="56">
        <f>350.872-40-25-60-100</f>
        <v>125.87200000000001</v>
      </c>
      <c r="G249" s="59">
        <v>40</v>
      </c>
      <c r="H249" s="56">
        <f t="shared" si="39"/>
        <v>185</v>
      </c>
      <c r="I249" s="56">
        <f t="shared" si="38"/>
        <v>0</v>
      </c>
      <c r="J249" s="59">
        <v>100</v>
      </c>
      <c r="K249" s="59">
        <v>300</v>
      </c>
      <c r="L249" s="56">
        <f t="shared" si="32"/>
        <v>1239</v>
      </c>
      <c r="M249" s="66">
        <v>600</v>
      </c>
      <c r="N249" s="56">
        <f>75</f>
        <v>75</v>
      </c>
      <c r="O249" s="59">
        <v>240</v>
      </c>
      <c r="P249" s="59">
        <v>160</v>
      </c>
      <c r="Q249" s="59">
        <f t="shared" si="33"/>
        <v>195</v>
      </c>
      <c r="R249" s="59">
        <f t="shared" si="34"/>
        <v>100</v>
      </c>
      <c r="S249" s="56">
        <f t="shared" si="35"/>
        <v>695</v>
      </c>
      <c r="T249" s="56">
        <f>0</f>
        <v>0</v>
      </c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</row>
    <row r="250" spans="1:30" ht="15.75">
      <c r="A250" s="16">
        <v>48884</v>
      </c>
      <c r="B250" s="69">
        <v>30</v>
      </c>
      <c r="C250" s="56">
        <f>122.58</f>
        <v>122.58</v>
      </c>
      <c r="D250" s="56">
        <f>297.941</f>
        <v>297.94099999999997</v>
      </c>
      <c r="E250" s="64">
        <f>89.177</f>
        <v>89.177000000000007</v>
      </c>
      <c r="F250" s="56">
        <f>240.302-40-60-100</f>
        <v>40.301999999999992</v>
      </c>
      <c r="G250" s="59">
        <v>40</v>
      </c>
      <c r="H250" s="56">
        <f>60+100</f>
        <v>160</v>
      </c>
      <c r="I250" s="56">
        <f t="shared" si="38"/>
        <v>0</v>
      </c>
      <c r="J250" s="59">
        <v>100</v>
      </c>
      <c r="K250" s="59">
        <v>300</v>
      </c>
      <c r="L250" s="56">
        <f t="shared" si="32"/>
        <v>1150</v>
      </c>
      <c r="M250" s="66">
        <v>600</v>
      </c>
      <c r="N250" s="56">
        <f>100</f>
        <v>100</v>
      </c>
      <c r="O250" s="59">
        <v>240</v>
      </c>
      <c r="P250" s="59">
        <v>40</v>
      </c>
      <c r="Q250" s="59">
        <f t="shared" si="33"/>
        <v>315</v>
      </c>
      <c r="R250" s="59">
        <f t="shared" si="34"/>
        <v>100</v>
      </c>
      <c r="S250" s="56">
        <f t="shared" si="35"/>
        <v>695</v>
      </c>
      <c r="T250" s="56">
        <f>50</f>
        <v>50</v>
      </c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</row>
    <row r="251" spans="1:30" ht="15.75">
      <c r="A251" s="16">
        <v>48914</v>
      </c>
      <c r="B251" s="69">
        <v>31</v>
      </c>
      <c r="C251" s="56">
        <f>122.58</f>
        <v>122.58</v>
      </c>
      <c r="D251" s="56">
        <f>297.941</f>
        <v>297.94099999999997</v>
      </c>
      <c r="E251" s="64">
        <f>89.177</f>
        <v>89.177000000000007</v>
      </c>
      <c r="F251" s="56">
        <f>240.302-40-60-100</f>
        <v>40.301999999999992</v>
      </c>
      <c r="G251" s="59">
        <v>40</v>
      </c>
      <c r="H251" s="56">
        <f>60+100</f>
        <v>160</v>
      </c>
      <c r="I251" s="56">
        <f t="shared" si="38"/>
        <v>0</v>
      </c>
      <c r="J251" s="59">
        <v>100</v>
      </c>
      <c r="K251" s="59">
        <v>300</v>
      </c>
      <c r="L251" s="56">
        <f t="shared" si="32"/>
        <v>1150</v>
      </c>
      <c r="M251" s="66">
        <v>600</v>
      </c>
      <c r="N251" s="56">
        <f>100</f>
        <v>100</v>
      </c>
      <c r="O251" s="59">
        <v>240</v>
      </c>
      <c r="P251" s="59">
        <v>40</v>
      </c>
      <c r="Q251" s="59">
        <f t="shared" si="33"/>
        <v>315</v>
      </c>
      <c r="R251" s="59">
        <f t="shared" si="34"/>
        <v>100</v>
      </c>
      <c r="S251" s="56">
        <f t="shared" si="35"/>
        <v>695</v>
      </c>
      <c r="T251" s="56">
        <f>50</f>
        <v>50</v>
      </c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</row>
    <row r="252" spans="1:30" ht="15.75">
      <c r="A252" s="16">
        <v>48945</v>
      </c>
      <c r="B252" s="69">
        <v>31</v>
      </c>
      <c r="C252" s="56">
        <f>122.58</f>
        <v>122.58</v>
      </c>
      <c r="D252" s="56">
        <f>297.941</f>
        <v>297.94099999999997</v>
      </c>
      <c r="E252" s="64">
        <f>89.177</f>
        <v>89.177000000000007</v>
      </c>
      <c r="F252" s="56">
        <f>240.302-40-60-100</f>
        <v>40.301999999999992</v>
      </c>
      <c r="G252" s="59">
        <v>40</v>
      </c>
      <c r="H252" s="56">
        <f>60+100</f>
        <v>160</v>
      </c>
      <c r="I252" s="56">
        <f t="shared" si="38"/>
        <v>0</v>
      </c>
      <c r="J252" s="59">
        <v>100</v>
      </c>
      <c r="K252" s="59">
        <v>300</v>
      </c>
      <c r="L252" s="56">
        <f t="shared" si="32"/>
        <v>1150</v>
      </c>
      <c r="M252" s="66">
        <v>600</v>
      </c>
      <c r="N252" s="56">
        <f>100</f>
        <v>100</v>
      </c>
      <c r="O252" s="59">
        <v>240</v>
      </c>
      <c r="P252" s="59">
        <v>40</v>
      </c>
      <c r="Q252" s="59">
        <f t="shared" si="33"/>
        <v>315</v>
      </c>
      <c r="R252" s="59">
        <f t="shared" si="34"/>
        <v>100</v>
      </c>
      <c r="S252" s="56">
        <f t="shared" si="35"/>
        <v>695</v>
      </c>
      <c r="T252" s="56">
        <f>50</f>
        <v>50</v>
      </c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</row>
    <row r="253" spans="1:30" ht="15.75">
      <c r="A253" s="16">
        <v>48976</v>
      </c>
      <c r="B253" s="69">
        <v>28</v>
      </c>
      <c r="C253" s="56">
        <f>122.58</f>
        <v>122.58</v>
      </c>
      <c r="D253" s="56">
        <f>297.941</f>
        <v>297.94099999999997</v>
      </c>
      <c r="E253" s="64">
        <f>89.177</f>
        <v>89.177000000000007</v>
      </c>
      <c r="F253" s="56">
        <f>240.302-40-60-100</f>
        <v>40.301999999999992</v>
      </c>
      <c r="G253" s="59">
        <v>40</v>
      </c>
      <c r="H253" s="56">
        <f>60+100</f>
        <v>160</v>
      </c>
      <c r="I253" s="56">
        <f t="shared" si="38"/>
        <v>0</v>
      </c>
      <c r="J253" s="59">
        <v>100</v>
      </c>
      <c r="K253" s="59">
        <v>300</v>
      </c>
      <c r="L253" s="56">
        <f t="shared" si="32"/>
        <v>1150</v>
      </c>
      <c r="M253" s="66">
        <v>600</v>
      </c>
      <c r="N253" s="56">
        <f>100</f>
        <v>100</v>
      </c>
      <c r="O253" s="59">
        <v>240</v>
      </c>
      <c r="P253" s="59">
        <v>40</v>
      </c>
      <c r="Q253" s="59">
        <f t="shared" si="33"/>
        <v>315</v>
      </c>
      <c r="R253" s="59">
        <f t="shared" si="34"/>
        <v>100</v>
      </c>
      <c r="S253" s="56">
        <f t="shared" si="35"/>
        <v>695</v>
      </c>
      <c r="T253" s="56">
        <f>50</f>
        <v>50</v>
      </c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</row>
    <row r="254" spans="1:30" ht="15.75">
      <c r="A254" s="16">
        <v>49004</v>
      </c>
      <c r="B254" s="69">
        <v>31</v>
      </c>
      <c r="C254" s="56">
        <f>122.58</f>
        <v>122.58</v>
      </c>
      <c r="D254" s="56">
        <f>297.941</f>
        <v>297.94099999999997</v>
      </c>
      <c r="E254" s="64">
        <f>89.177</f>
        <v>89.177000000000007</v>
      </c>
      <c r="F254" s="56">
        <f>240.302-40-60-100</f>
        <v>40.301999999999992</v>
      </c>
      <c r="G254" s="59">
        <v>40</v>
      </c>
      <c r="H254" s="56">
        <f>60+100</f>
        <v>160</v>
      </c>
      <c r="I254" s="56">
        <f t="shared" si="38"/>
        <v>0</v>
      </c>
      <c r="J254" s="59">
        <v>100</v>
      </c>
      <c r="K254" s="59">
        <v>300</v>
      </c>
      <c r="L254" s="56">
        <f t="shared" si="32"/>
        <v>1150</v>
      </c>
      <c r="M254" s="66">
        <v>600</v>
      </c>
      <c r="N254" s="56">
        <f>100</f>
        <v>100</v>
      </c>
      <c r="O254" s="59">
        <v>240</v>
      </c>
      <c r="P254" s="59">
        <v>40</v>
      </c>
      <c r="Q254" s="59">
        <f t="shared" si="33"/>
        <v>315</v>
      </c>
      <c r="R254" s="59">
        <f t="shared" si="34"/>
        <v>100</v>
      </c>
      <c r="S254" s="56">
        <f t="shared" si="35"/>
        <v>695</v>
      </c>
      <c r="T254" s="56">
        <f>50</f>
        <v>50</v>
      </c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</row>
    <row r="255" spans="1:30" ht="15.75">
      <c r="A255" s="16">
        <v>49035</v>
      </c>
      <c r="B255" s="69">
        <v>30</v>
      </c>
      <c r="C255" s="56">
        <f>141.293</f>
        <v>141.29300000000001</v>
      </c>
      <c r="D255" s="56">
        <f>267.993</f>
        <v>267.99299999999999</v>
      </c>
      <c r="E255" s="64">
        <f>115.016</f>
        <v>115.01600000000001</v>
      </c>
      <c r="F255" s="56">
        <f>314.698-40-25-60-100</f>
        <v>89.697999999999979</v>
      </c>
      <c r="G255" s="59">
        <v>40</v>
      </c>
      <c r="H255" s="56">
        <f t="shared" ref="H255:H261" si="40">25+60+100</f>
        <v>185</v>
      </c>
      <c r="I255" s="56">
        <f t="shared" si="38"/>
        <v>0</v>
      </c>
      <c r="J255" s="59">
        <v>100</v>
      </c>
      <c r="K255" s="59">
        <v>300</v>
      </c>
      <c r="L255" s="56">
        <f t="shared" si="32"/>
        <v>1239</v>
      </c>
      <c r="M255" s="66">
        <v>600</v>
      </c>
      <c r="N255" s="56">
        <f>100</f>
        <v>100</v>
      </c>
      <c r="O255" s="59">
        <v>240</v>
      </c>
      <c r="P255" s="59">
        <v>160</v>
      </c>
      <c r="Q255" s="59">
        <f t="shared" si="33"/>
        <v>195</v>
      </c>
      <c r="R255" s="59">
        <f t="shared" si="34"/>
        <v>100</v>
      </c>
      <c r="S255" s="56">
        <f t="shared" si="35"/>
        <v>695</v>
      </c>
      <c r="T255" s="56">
        <f>50</f>
        <v>50</v>
      </c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</row>
    <row r="256" spans="1:30" ht="15.75">
      <c r="A256" s="16">
        <v>49065</v>
      </c>
      <c r="B256" s="69">
        <v>31</v>
      </c>
      <c r="C256" s="56">
        <f>194.205</f>
        <v>194.20500000000001</v>
      </c>
      <c r="D256" s="56">
        <f>267.466</f>
        <v>267.46600000000001</v>
      </c>
      <c r="E256" s="64">
        <f>133.845</f>
        <v>133.845</v>
      </c>
      <c r="F256" s="56">
        <f>278.484-40-25-60-100</f>
        <v>53.48399999999998</v>
      </c>
      <c r="G256" s="59">
        <v>40</v>
      </c>
      <c r="H256" s="56">
        <f t="shared" si="40"/>
        <v>185</v>
      </c>
      <c r="I256" s="56">
        <f t="shared" si="38"/>
        <v>0</v>
      </c>
      <c r="J256" s="59">
        <v>100</v>
      </c>
      <c r="K256" s="59">
        <v>300</v>
      </c>
      <c r="L256" s="56">
        <f t="shared" si="32"/>
        <v>1274</v>
      </c>
      <c r="M256" s="66">
        <v>600</v>
      </c>
      <c r="N256" s="56">
        <f>75</f>
        <v>75</v>
      </c>
      <c r="O256" s="59">
        <v>240</v>
      </c>
      <c r="P256" s="59">
        <v>160</v>
      </c>
      <c r="Q256" s="59">
        <f t="shared" si="33"/>
        <v>195</v>
      </c>
      <c r="R256" s="59">
        <f t="shared" si="34"/>
        <v>100</v>
      </c>
      <c r="S256" s="56">
        <f t="shared" si="35"/>
        <v>695</v>
      </c>
      <c r="T256" s="56">
        <f>50</f>
        <v>50</v>
      </c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</row>
    <row r="257" spans="1:30" ht="15.75">
      <c r="A257" s="16">
        <v>49096</v>
      </c>
      <c r="B257" s="69">
        <v>30</v>
      </c>
      <c r="C257" s="56">
        <f>194.205</f>
        <v>194.20500000000001</v>
      </c>
      <c r="D257" s="56">
        <f>267.466</f>
        <v>267.46600000000001</v>
      </c>
      <c r="E257" s="64">
        <f>133.845</f>
        <v>133.845</v>
      </c>
      <c r="F257" s="56">
        <f>278.484-40-25-60-100</f>
        <v>53.48399999999998</v>
      </c>
      <c r="G257" s="59">
        <v>40</v>
      </c>
      <c r="H257" s="56">
        <f t="shared" si="40"/>
        <v>185</v>
      </c>
      <c r="I257" s="56">
        <f t="shared" si="38"/>
        <v>0</v>
      </c>
      <c r="J257" s="59">
        <v>100</v>
      </c>
      <c r="K257" s="59">
        <v>300</v>
      </c>
      <c r="L257" s="56">
        <f t="shared" si="32"/>
        <v>1274</v>
      </c>
      <c r="M257" s="66">
        <v>600</v>
      </c>
      <c r="N257" s="56">
        <f>30</f>
        <v>30</v>
      </c>
      <c r="O257" s="59">
        <v>240</v>
      </c>
      <c r="P257" s="59">
        <v>160</v>
      </c>
      <c r="Q257" s="59">
        <f t="shared" si="33"/>
        <v>195</v>
      </c>
      <c r="R257" s="59">
        <f t="shared" si="34"/>
        <v>100</v>
      </c>
      <c r="S257" s="56">
        <f t="shared" si="35"/>
        <v>695</v>
      </c>
      <c r="T257" s="56">
        <f>50</f>
        <v>50</v>
      </c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</row>
    <row r="258" spans="1:30" ht="15.75">
      <c r="A258" s="16">
        <v>49126</v>
      </c>
      <c r="B258" s="69">
        <v>31</v>
      </c>
      <c r="C258" s="56">
        <f>194.205</f>
        <v>194.20500000000001</v>
      </c>
      <c r="D258" s="56">
        <f>267.466</f>
        <v>267.46600000000001</v>
      </c>
      <c r="E258" s="64">
        <f>133.845</f>
        <v>133.845</v>
      </c>
      <c r="F258" s="56">
        <f>278.484-40-25-60-100</f>
        <v>53.48399999999998</v>
      </c>
      <c r="G258" s="59">
        <v>40</v>
      </c>
      <c r="H258" s="56">
        <f t="shared" si="40"/>
        <v>185</v>
      </c>
      <c r="I258" s="56">
        <f t="shared" si="38"/>
        <v>0</v>
      </c>
      <c r="J258" s="59">
        <v>100</v>
      </c>
      <c r="K258" s="59">
        <v>300</v>
      </c>
      <c r="L258" s="56">
        <f t="shared" si="32"/>
        <v>1274</v>
      </c>
      <c r="M258" s="66">
        <v>600</v>
      </c>
      <c r="N258" s="56">
        <f>30</f>
        <v>30</v>
      </c>
      <c r="O258" s="59">
        <v>240</v>
      </c>
      <c r="P258" s="59">
        <v>160</v>
      </c>
      <c r="Q258" s="59">
        <f t="shared" si="33"/>
        <v>195</v>
      </c>
      <c r="R258" s="59">
        <f t="shared" si="34"/>
        <v>100</v>
      </c>
      <c r="S258" s="56">
        <f t="shared" si="35"/>
        <v>695</v>
      </c>
      <c r="T258" s="56">
        <f>0</f>
        <v>0</v>
      </c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</row>
    <row r="259" spans="1:30" ht="15.75">
      <c r="A259" s="16">
        <v>49157</v>
      </c>
      <c r="B259" s="69">
        <v>31</v>
      </c>
      <c r="C259" s="56">
        <f>194.205</f>
        <v>194.20500000000001</v>
      </c>
      <c r="D259" s="56">
        <f>267.466</f>
        <v>267.46600000000001</v>
      </c>
      <c r="E259" s="64">
        <f>133.845</f>
        <v>133.845</v>
      </c>
      <c r="F259" s="56">
        <f>278.484-40-25-60-100</f>
        <v>53.48399999999998</v>
      </c>
      <c r="G259" s="59">
        <v>40</v>
      </c>
      <c r="H259" s="56">
        <f t="shared" si="40"/>
        <v>185</v>
      </c>
      <c r="I259" s="56">
        <f t="shared" si="38"/>
        <v>0</v>
      </c>
      <c r="J259" s="59">
        <v>100</v>
      </c>
      <c r="K259" s="59">
        <v>300</v>
      </c>
      <c r="L259" s="56">
        <f t="shared" si="32"/>
        <v>1274</v>
      </c>
      <c r="M259" s="66">
        <v>600</v>
      </c>
      <c r="N259" s="56">
        <f>30</f>
        <v>30</v>
      </c>
      <c r="O259" s="59">
        <v>240</v>
      </c>
      <c r="P259" s="59">
        <v>160</v>
      </c>
      <c r="Q259" s="59">
        <f t="shared" si="33"/>
        <v>195</v>
      </c>
      <c r="R259" s="59">
        <f t="shared" si="34"/>
        <v>100</v>
      </c>
      <c r="S259" s="56">
        <f t="shared" si="35"/>
        <v>695</v>
      </c>
      <c r="T259" s="56">
        <f>0</f>
        <v>0</v>
      </c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</row>
    <row r="260" spans="1:30" ht="15.75">
      <c r="A260" s="16">
        <v>49188</v>
      </c>
      <c r="B260" s="69">
        <v>30</v>
      </c>
      <c r="C260" s="56">
        <f>194.205</f>
        <v>194.20500000000001</v>
      </c>
      <c r="D260" s="56">
        <f>267.466</f>
        <v>267.46600000000001</v>
      </c>
      <c r="E260" s="64">
        <f>133.845</f>
        <v>133.845</v>
      </c>
      <c r="F260" s="56">
        <f>278.484-40-25-60-100</f>
        <v>53.48399999999998</v>
      </c>
      <c r="G260" s="59">
        <v>40</v>
      </c>
      <c r="H260" s="56">
        <f t="shared" si="40"/>
        <v>185</v>
      </c>
      <c r="I260" s="56">
        <f t="shared" si="38"/>
        <v>0</v>
      </c>
      <c r="J260" s="59">
        <v>100</v>
      </c>
      <c r="K260" s="59">
        <v>300</v>
      </c>
      <c r="L260" s="56">
        <f t="shared" si="32"/>
        <v>1274</v>
      </c>
      <c r="M260" s="66">
        <v>600</v>
      </c>
      <c r="N260" s="56">
        <f>30</f>
        <v>30</v>
      </c>
      <c r="O260" s="59">
        <v>240</v>
      </c>
      <c r="P260" s="59">
        <v>160</v>
      </c>
      <c r="Q260" s="59">
        <f t="shared" si="33"/>
        <v>195</v>
      </c>
      <c r="R260" s="59">
        <f t="shared" si="34"/>
        <v>100</v>
      </c>
      <c r="S260" s="56">
        <f t="shared" si="35"/>
        <v>695</v>
      </c>
      <c r="T260" s="56">
        <f>0</f>
        <v>0</v>
      </c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</row>
    <row r="261" spans="1:30" ht="15.75">
      <c r="A261" s="16">
        <v>49218</v>
      </c>
      <c r="B261" s="69">
        <v>31</v>
      </c>
      <c r="C261" s="56">
        <f>131.881</f>
        <v>131.881</v>
      </c>
      <c r="D261" s="56">
        <f>277.167</f>
        <v>277.16699999999997</v>
      </c>
      <c r="E261" s="64">
        <f>79.08</f>
        <v>79.08</v>
      </c>
      <c r="F261" s="56">
        <f>350.872-40-25-60-100</f>
        <v>125.87200000000001</v>
      </c>
      <c r="G261" s="59">
        <v>40</v>
      </c>
      <c r="H261" s="56">
        <f t="shared" si="40"/>
        <v>185</v>
      </c>
      <c r="I261" s="56">
        <f t="shared" si="38"/>
        <v>0</v>
      </c>
      <c r="J261" s="59">
        <v>100</v>
      </c>
      <c r="K261" s="59">
        <v>300</v>
      </c>
      <c r="L261" s="56">
        <f t="shared" si="32"/>
        <v>1239</v>
      </c>
      <c r="M261" s="66">
        <v>600</v>
      </c>
      <c r="N261" s="56">
        <f>75</f>
        <v>75</v>
      </c>
      <c r="O261" s="59">
        <v>240</v>
      </c>
      <c r="P261" s="59">
        <v>160</v>
      </c>
      <c r="Q261" s="59">
        <f t="shared" si="33"/>
        <v>195</v>
      </c>
      <c r="R261" s="59">
        <f t="shared" si="34"/>
        <v>100</v>
      </c>
      <c r="S261" s="56">
        <f t="shared" si="35"/>
        <v>695</v>
      </c>
      <c r="T261" s="56">
        <f>0</f>
        <v>0</v>
      </c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</row>
    <row r="262" spans="1:30" ht="15.75">
      <c r="A262" s="16">
        <v>49249</v>
      </c>
      <c r="B262" s="69">
        <v>30</v>
      </c>
      <c r="C262" s="56">
        <f>122.58</f>
        <v>122.58</v>
      </c>
      <c r="D262" s="56">
        <f>297.941</f>
        <v>297.94099999999997</v>
      </c>
      <c r="E262" s="64">
        <f>89.177</f>
        <v>89.177000000000007</v>
      </c>
      <c r="F262" s="56">
        <f>240.302-40-60-100</f>
        <v>40.301999999999992</v>
      </c>
      <c r="G262" s="59">
        <v>40</v>
      </c>
      <c r="H262" s="56">
        <f>60+100</f>
        <v>160</v>
      </c>
      <c r="I262" s="56">
        <f t="shared" si="38"/>
        <v>0</v>
      </c>
      <c r="J262" s="59">
        <v>100</v>
      </c>
      <c r="K262" s="59">
        <v>300</v>
      </c>
      <c r="L262" s="56">
        <f t="shared" si="32"/>
        <v>1150</v>
      </c>
      <c r="M262" s="66">
        <v>600</v>
      </c>
      <c r="N262" s="56">
        <f>100</f>
        <v>100</v>
      </c>
      <c r="O262" s="59">
        <v>240</v>
      </c>
      <c r="P262" s="59">
        <v>40</v>
      </c>
      <c r="Q262" s="59">
        <f t="shared" si="33"/>
        <v>315</v>
      </c>
      <c r="R262" s="59">
        <f t="shared" si="34"/>
        <v>100</v>
      </c>
      <c r="S262" s="56">
        <f t="shared" si="35"/>
        <v>695</v>
      </c>
      <c r="T262" s="56">
        <f>50</f>
        <v>50</v>
      </c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</row>
    <row r="263" spans="1:30" ht="15.75">
      <c r="A263" s="16">
        <v>49279</v>
      </c>
      <c r="B263" s="69">
        <v>31</v>
      </c>
      <c r="C263" s="56">
        <f>122.58</f>
        <v>122.58</v>
      </c>
      <c r="D263" s="56">
        <f>297.941</f>
        <v>297.94099999999997</v>
      </c>
      <c r="E263" s="64">
        <f>89.177</f>
        <v>89.177000000000007</v>
      </c>
      <c r="F263" s="56">
        <f>240.302-40-60-100</f>
        <v>40.301999999999992</v>
      </c>
      <c r="G263" s="59">
        <v>40</v>
      </c>
      <c r="H263" s="56">
        <f>60+100</f>
        <v>160</v>
      </c>
      <c r="I263" s="56">
        <f t="shared" si="38"/>
        <v>0</v>
      </c>
      <c r="J263" s="59">
        <v>100</v>
      </c>
      <c r="K263" s="59">
        <v>300</v>
      </c>
      <c r="L263" s="56">
        <f t="shared" si="32"/>
        <v>1150</v>
      </c>
      <c r="M263" s="66">
        <v>600</v>
      </c>
      <c r="N263" s="56">
        <f>100</f>
        <v>100</v>
      </c>
      <c r="O263" s="59">
        <v>240</v>
      </c>
      <c r="P263" s="59">
        <v>40</v>
      </c>
      <c r="Q263" s="59">
        <f t="shared" si="33"/>
        <v>315</v>
      </c>
      <c r="R263" s="59">
        <f t="shared" si="34"/>
        <v>100</v>
      </c>
      <c r="S263" s="56">
        <f t="shared" si="35"/>
        <v>695</v>
      </c>
      <c r="T263" s="56">
        <f>50</f>
        <v>50</v>
      </c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</row>
    <row r="264" spans="1:30" ht="15.75">
      <c r="A264" s="16">
        <v>49310</v>
      </c>
      <c r="B264" s="69">
        <v>31</v>
      </c>
      <c r="C264" s="56">
        <f>122.58</f>
        <v>122.58</v>
      </c>
      <c r="D264" s="56">
        <f>297.941</f>
        <v>297.94099999999997</v>
      </c>
      <c r="E264" s="64">
        <f>89.177</f>
        <v>89.177000000000007</v>
      </c>
      <c r="F264" s="56">
        <f>240.302-40-60-100</f>
        <v>40.301999999999992</v>
      </c>
      <c r="G264" s="59">
        <v>40</v>
      </c>
      <c r="H264" s="56">
        <f>60+100</f>
        <v>160</v>
      </c>
      <c r="I264" s="56">
        <f t="shared" si="38"/>
        <v>0</v>
      </c>
      <c r="J264" s="59">
        <v>100</v>
      </c>
      <c r="K264" s="59">
        <v>300</v>
      </c>
      <c r="L264" s="56">
        <f t="shared" si="32"/>
        <v>1150</v>
      </c>
      <c r="M264" s="66">
        <v>600</v>
      </c>
      <c r="N264" s="56">
        <f>100</f>
        <v>100</v>
      </c>
      <c r="O264" s="59">
        <v>240</v>
      </c>
      <c r="P264" s="59">
        <v>40</v>
      </c>
      <c r="Q264" s="59">
        <f t="shared" si="33"/>
        <v>315</v>
      </c>
      <c r="R264" s="59">
        <f t="shared" si="34"/>
        <v>100</v>
      </c>
      <c r="S264" s="56">
        <f t="shared" si="35"/>
        <v>695</v>
      </c>
      <c r="T264" s="56">
        <f>50</f>
        <v>50</v>
      </c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</row>
    <row r="265" spans="1:30" ht="15.75">
      <c r="A265" s="16">
        <v>49341</v>
      </c>
      <c r="B265" s="69">
        <v>28</v>
      </c>
      <c r="C265" s="56">
        <f>122.58</f>
        <v>122.58</v>
      </c>
      <c r="D265" s="56">
        <f>297.941</f>
        <v>297.94099999999997</v>
      </c>
      <c r="E265" s="64">
        <f>89.177</f>
        <v>89.177000000000007</v>
      </c>
      <c r="F265" s="56">
        <f>240.302-40-60-100</f>
        <v>40.301999999999992</v>
      </c>
      <c r="G265" s="59">
        <v>40</v>
      </c>
      <c r="H265" s="56">
        <f>60+100</f>
        <v>160</v>
      </c>
      <c r="I265" s="56">
        <f t="shared" si="38"/>
        <v>0</v>
      </c>
      <c r="J265" s="59">
        <v>100</v>
      </c>
      <c r="K265" s="59">
        <v>300</v>
      </c>
      <c r="L265" s="56">
        <f t="shared" si="32"/>
        <v>1150</v>
      </c>
      <c r="M265" s="66">
        <v>600</v>
      </c>
      <c r="N265" s="56">
        <f>100</f>
        <v>100</v>
      </c>
      <c r="O265" s="59">
        <v>240</v>
      </c>
      <c r="P265" s="59">
        <v>40</v>
      </c>
      <c r="Q265" s="59">
        <f t="shared" si="33"/>
        <v>315</v>
      </c>
      <c r="R265" s="59">
        <f t="shared" si="34"/>
        <v>100</v>
      </c>
      <c r="S265" s="56">
        <f t="shared" si="35"/>
        <v>695</v>
      </c>
      <c r="T265" s="56">
        <f>50</f>
        <v>50</v>
      </c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</row>
    <row r="266" spans="1:30" ht="15.75">
      <c r="A266" s="16">
        <v>49369</v>
      </c>
      <c r="B266" s="69">
        <v>31</v>
      </c>
      <c r="C266" s="56">
        <f>122.58</f>
        <v>122.58</v>
      </c>
      <c r="D266" s="56">
        <f>297.941</f>
        <v>297.94099999999997</v>
      </c>
      <c r="E266" s="64">
        <f>89.177</f>
        <v>89.177000000000007</v>
      </c>
      <c r="F266" s="56">
        <f>240.302-40-60-100</f>
        <v>40.301999999999992</v>
      </c>
      <c r="G266" s="59">
        <v>40</v>
      </c>
      <c r="H266" s="56">
        <f>60+100</f>
        <v>160</v>
      </c>
      <c r="I266" s="56">
        <f t="shared" si="38"/>
        <v>0</v>
      </c>
      <c r="J266" s="59">
        <v>100</v>
      </c>
      <c r="K266" s="59">
        <v>300</v>
      </c>
      <c r="L266" s="56">
        <f t="shared" si="32"/>
        <v>1150</v>
      </c>
      <c r="M266" s="66">
        <v>600</v>
      </c>
      <c r="N266" s="56">
        <f>100</f>
        <v>100</v>
      </c>
      <c r="O266" s="59">
        <v>240</v>
      </c>
      <c r="P266" s="59">
        <v>40</v>
      </c>
      <c r="Q266" s="59">
        <f t="shared" si="33"/>
        <v>315</v>
      </c>
      <c r="R266" s="59">
        <f t="shared" si="34"/>
        <v>100</v>
      </c>
      <c r="S266" s="56">
        <f t="shared" si="35"/>
        <v>695</v>
      </c>
      <c r="T266" s="56">
        <f>50</f>
        <v>50</v>
      </c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</row>
    <row r="267" spans="1:30" ht="15.75">
      <c r="A267" s="16">
        <v>49400</v>
      </c>
      <c r="B267" s="69">
        <v>30</v>
      </c>
      <c r="C267" s="56">
        <f>141.293</f>
        <v>141.29300000000001</v>
      </c>
      <c r="D267" s="56">
        <f>267.993</f>
        <v>267.99299999999999</v>
      </c>
      <c r="E267" s="64">
        <f>115.016</f>
        <v>115.01600000000001</v>
      </c>
      <c r="F267" s="56">
        <f>314.698-40-25-60-100</f>
        <v>89.697999999999979</v>
      </c>
      <c r="G267" s="59">
        <v>40</v>
      </c>
      <c r="H267" s="56">
        <f t="shared" ref="H267:H273" si="41">25+60+100</f>
        <v>185</v>
      </c>
      <c r="I267" s="56">
        <f t="shared" si="38"/>
        <v>0</v>
      </c>
      <c r="J267" s="59">
        <v>100</v>
      </c>
      <c r="K267" s="59">
        <v>300</v>
      </c>
      <c r="L267" s="56">
        <f t="shared" si="32"/>
        <v>1239</v>
      </c>
      <c r="M267" s="66">
        <v>600</v>
      </c>
      <c r="N267" s="56">
        <f>100</f>
        <v>100</v>
      </c>
      <c r="O267" s="59">
        <v>240</v>
      </c>
      <c r="P267" s="59">
        <v>160</v>
      </c>
      <c r="Q267" s="59">
        <f t="shared" si="33"/>
        <v>195</v>
      </c>
      <c r="R267" s="59">
        <f t="shared" si="34"/>
        <v>100</v>
      </c>
      <c r="S267" s="56">
        <f t="shared" si="35"/>
        <v>695</v>
      </c>
      <c r="T267" s="56">
        <f>50</f>
        <v>50</v>
      </c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</row>
    <row r="268" spans="1:30" ht="15.75">
      <c r="A268" s="16">
        <v>49430</v>
      </c>
      <c r="B268" s="69">
        <v>31</v>
      </c>
      <c r="C268" s="56">
        <f>194.205</f>
        <v>194.20500000000001</v>
      </c>
      <c r="D268" s="56">
        <f>267.466</f>
        <v>267.46600000000001</v>
      </c>
      <c r="E268" s="64">
        <f>133.845</f>
        <v>133.845</v>
      </c>
      <c r="F268" s="56">
        <f>278.484-40-25-60-100</f>
        <v>53.48399999999998</v>
      </c>
      <c r="G268" s="59">
        <v>40</v>
      </c>
      <c r="H268" s="56">
        <f t="shared" si="41"/>
        <v>185</v>
      </c>
      <c r="I268" s="56">
        <f t="shared" si="38"/>
        <v>0</v>
      </c>
      <c r="J268" s="59">
        <v>100</v>
      </c>
      <c r="K268" s="59">
        <v>300</v>
      </c>
      <c r="L268" s="56">
        <f t="shared" si="32"/>
        <v>1274</v>
      </c>
      <c r="M268" s="66">
        <v>600</v>
      </c>
      <c r="N268" s="56">
        <f>75</f>
        <v>75</v>
      </c>
      <c r="O268" s="59">
        <v>240</v>
      </c>
      <c r="P268" s="59">
        <v>160</v>
      </c>
      <c r="Q268" s="59">
        <f t="shared" si="33"/>
        <v>195</v>
      </c>
      <c r="R268" s="59">
        <f t="shared" si="34"/>
        <v>100</v>
      </c>
      <c r="S268" s="56">
        <f t="shared" si="35"/>
        <v>695</v>
      </c>
      <c r="T268" s="56">
        <f>50</f>
        <v>50</v>
      </c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</row>
    <row r="269" spans="1:30" ht="15.75">
      <c r="A269" s="15">
        <v>49461</v>
      </c>
      <c r="B269" s="69">
        <v>30</v>
      </c>
      <c r="C269" s="56">
        <f>194.205</f>
        <v>194.20500000000001</v>
      </c>
      <c r="D269" s="56">
        <f>267.466</f>
        <v>267.46600000000001</v>
      </c>
      <c r="E269" s="64">
        <f>133.845</f>
        <v>133.845</v>
      </c>
      <c r="F269" s="56">
        <f>278.484-40-25-60-100</f>
        <v>53.48399999999998</v>
      </c>
      <c r="G269" s="59">
        <v>40</v>
      </c>
      <c r="H269" s="56">
        <f t="shared" si="41"/>
        <v>185</v>
      </c>
      <c r="I269" s="56">
        <f t="shared" si="38"/>
        <v>0</v>
      </c>
      <c r="J269" s="59">
        <v>100</v>
      </c>
      <c r="K269" s="59">
        <v>300</v>
      </c>
      <c r="L269" s="56">
        <f t="shared" si="32"/>
        <v>1274</v>
      </c>
      <c r="M269" s="66">
        <v>600</v>
      </c>
      <c r="N269" s="56">
        <f>30</f>
        <v>30</v>
      </c>
      <c r="O269" s="59">
        <v>240</v>
      </c>
      <c r="P269" s="59">
        <v>160</v>
      </c>
      <c r="Q269" s="59">
        <f t="shared" si="33"/>
        <v>195</v>
      </c>
      <c r="R269" s="59">
        <f t="shared" si="34"/>
        <v>100</v>
      </c>
      <c r="S269" s="56">
        <f t="shared" si="35"/>
        <v>695</v>
      </c>
      <c r="T269" s="56">
        <f>50</f>
        <v>50</v>
      </c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</row>
    <row r="270" spans="1:30" ht="15.75">
      <c r="A270" s="15">
        <v>49491</v>
      </c>
      <c r="B270" s="69">
        <v>31</v>
      </c>
      <c r="C270" s="56">
        <f>194.205</f>
        <v>194.20500000000001</v>
      </c>
      <c r="D270" s="56">
        <f>267.466</f>
        <v>267.46600000000001</v>
      </c>
      <c r="E270" s="64">
        <f>133.845</f>
        <v>133.845</v>
      </c>
      <c r="F270" s="56">
        <f>278.484-40-25-60-100</f>
        <v>53.48399999999998</v>
      </c>
      <c r="G270" s="59">
        <v>40</v>
      </c>
      <c r="H270" s="56">
        <f t="shared" si="41"/>
        <v>185</v>
      </c>
      <c r="I270" s="56">
        <f t="shared" si="38"/>
        <v>0</v>
      </c>
      <c r="J270" s="59">
        <v>100</v>
      </c>
      <c r="K270" s="59">
        <v>300</v>
      </c>
      <c r="L270" s="56">
        <f t="shared" si="32"/>
        <v>1274</v>
      </c>
      <c r="M270" s="66">
        <v>600</v>
      </c>
      <c r="N270" s="56">
        <f>30</f>
        <v>30</v>
      </c>
      <c r="O270" s="59">
        <v>240</v>
      </c>
      <c r="P270" s="59">
        <v>160</v>
      </c>
      <c r="Q270" s="59">
        <f t="shared" si="33"/>
        <v>195</v>
      </c>
      <c r="R270" s="59">
        <f t="shared" si="34"/>
        <v>100</v>
      </c>
      <c r="S270" s="56">
        <f t="shared" si="35"/>
        <v>695</v>
      </c>
      <c r="T270" s="56">
        <f>0</f>
        <v>0</v>
      </c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</row>
    <row r="271" spans="1:30" ht="15.75">
      <c r="A271" s="15">
        <v>49522</v>
      </c>
      <c r="B271" s="69">
        <v>31</v>
      </c>
      <c r="C271" s="56">
        <f>194.205</f>
        <v>194.20500000000001</v>
      </c>
      <c r="D271" s="56">
        <f>267.466</f>
        <v>267.46600000000001</v>
      </c>
      <c r="E271" s="64">
        <f>133.845</f>
        <v>133.845</v>
      </c>
      <c r="F271" s="56">
        <f>278.484-40-25-60-100</f>
        <v>53.48399999999998</v>
      </c>
      <c r="G271" s="59">
        <v>40</v>
      </c>
      <c r="H271" s="56">
        <f t="shared" si="41"/>
        <v>185</v>
      </c>
      <c r="I271" s="56">
        <f t="shared" si="38"/>
        <v>0</v>
      </c>
      <c r="J271" s="59">
        <v>100</v>
      </c>
      <c r="K271" s="59">
        <v>300</v>
      </c>
      <c r="L271" s="56">
        <f t="shared" si="32"/>
        <v>1274</v>
      </c>
      <c r="M271" s="66">
        <v>600</v>
      </c>
      <c r="N271" s="56">
        <f>30</f>
        <v>30</v>
      </c>
      <c r="O271" s="59">
        <v>240</v>
      </c>
      <c r="P271" s="59">
        <v>160</v>
      </c>
      <c r="Q271" s="59">
        <f t="shared" si="33"/>
        <v>195</v>
      </c>
      <c r="R271" s="59">
        <f t="shared" si="34"/>
        <v>100</v>
      </c>
      <c r="S271" s="56">
        <f t="shared" si="35"/>
        <v>695</v>
      </c>
      <c r="T271" s="56">
        <f>0</f>
        <v>0</v>
      </c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</row>
    <row r="272" spans="1:30" ht="15.75">
      <c r="A272" s="15">
        <v>49553</v>
      </c>
      <c r="B272" s="69">
        <v>30</v>
      </c>
      <c r="C272" s="56">
        <f>194.205</f>
        <v>194.20500000000001</v>
      </c>
      <c r="D272" s="56">
        <f>267.466</f>
        <v>267.46600000000001</v>
      </c>
      <c r="E272" s="64">
        <f>133.845</f>
        <v>133.845</v>
      </c>
      <c r="F272" s="56">
        <f>278.484-40-25-60-100</f>
        <v>53.48399999999998</v>
      </c>
      <c r="G272" s="59">
        <v>40</v>
      </c>
      <c r="H272" s="56">
        <f t="shared" si="41"/>
        <v>185</v>
      </c>
      <c r="I272" s="56">
        <f t="shared" si="38"/>
        <v>0</v>
      </c>
      <c r="J272" s="59">
        <v>100</v>
      </c>
      <c r="K272" s="59">
        <v>300</v>
      </c>
      <c r="L272" s="56">
        <f t="shared" si="32"/>
        <v>1274</v>
      </c>
      <c r="M272" s="66">
        <v>600</v>
      </c>
      <c r="N272" s="56">
        <f>30</f>
        <v>30</v>
      </c>
      <c r="O272" s="59">
        <v>240</v>
      </c>
      <c r="P272" s="59">
        <v>160</v>
      </c>
      <c r="Q272" s="59">
        <f t="shared" si="33"/>
        <v>195</v>
      </c>
      <c r="R272" s="59">
        <f t="shared" si="34"/>
        <v>100</v>
      </c>
      <c r="S272" s="56">
        <f t="shared" si="35"/>
        <v>695</v>
      </c>
      <c r="T272" s="56">
        <f>0</f>
        <v>0</v>
      </c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</row>
    <row r="273" spans="1:30" ht="15.75">
      <c r="A273" s="15">
        <v>49583</v>
      </c>
      <c r="B273" s="69">
        <v>31</v>
      </c>
      <c r="C273" s="56">
        <f>131.881</f>
        <v>131.881</v>
      </c>
      <c r="D273" s="56">
        <f>277.167</f>
        <v>277.16699999999997</v>
      </c>
      <c r="E273" s="64">
        <f>79.08</f>
        <v>79.08</v>
      </c>
      <c r="F273" s="56">
        <f>350.872-40-25-60-100</f>
        <v>125.87200000000001</v>
      </c>
      <c r="G273" s="59">
        <v>40</v>
      </c>
      <c r="H273" s="56">
        <f t="shared" si="41"/>
        <v>185</v>
      </c>
      <c r="I273" s="56">
        <f t="shared" si="38"/>
        <v>0</v>
      </c>
      <c r="J273" s="59">
        <v>100</v>
      </c>
      <c r="K273" s="59">
        <v>300</v>
      </c>
      <c r="L273" s="56">
        <f t="shared" ref="L273:L336" si="42">SUM(C273:K273)</f>
        <v>1239</v>
      </c>
      <c r="M273" s="66">
        <v>600</v>
      </c>
      <c r="N273" s="56">
        <f>75</f>
        <v>75</v>
      </c>
      <c r="O273" s="59">
        <v>240</v>
      </c>
      <c r="P273" s="59">
        <v>160</v>
      </c>
      <c r="Q273" s="59">
        <f t="shared" ref="Q273:Q336" si="43">695-R273-O273-P273</f>
        <v>195</v>
      </c>
      <c r="R273" s="59">
        <f t="shared" ref="R273:R336" si="44">200-J273</f>
        <v>100</v>
      </c>
      <c r="S273" s="56">
        <f t="shared" ref="S273:S336" si="45">SUM(O273:R273)</f>
        <v>695</v>
      </c>
      <c r="T273" s="56">
        <f>0</f>
        <v>0</v>
      </c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</row>
    <row r="274" spans="1:30" ht="15.75">
      <c r="A274" s="15">
        <v>49614</v>
      </c>
      <c r="B274" s="69">
        <v>30</v>
      </c>
      <c r="C274" s="56">
        <f>122.58</f>
        <v>122.58</v>
      </c>
      <c r="D274" s="56">
        <f>297.941</f>
        <v>297.94099999999997</v>
      </c>
      <c r="E274" s="64">
        <f>89.177</f>
        <v>89.177000000000007</v>
      </c>
      <c r="F274" s="56">
        <f>240.302-40-60-100</f>
        <v>40.301999999999992</v>
      </c>
      <c r="G274" s="59">
        <v>40</v>
      </c>
      <c r="H274" s="56">
        <f>60+100</f>
        <v>160</v>
      </c>
      <c r="I274" s="56">
        <f t="shared" si="38"/>
        <v>0</v>
      </c>
      <c r="J274" s="59">
        <v>100</v>
      </c>
      <c r="K274" s="59">
        <v>300</v>
      </c>
      <c r="L274" s="56">
        <f t="shared" si="42"/>
        <v>1150</v>
      </c>
      <c r="M274" s="66">
        <v>600</v>
      </c>
      <c r="N274" s="56">
        <f>100</f>
        <v>100</v>
      </c>
      <c r="O274" s="59">
        <v>240</v>
      </c>
      <c r="P274" s="59">
        <v>40</v>
      </c>
      <c r="Q274" s="59">
        <f t="shared" si="43"/>
        <v>315</v>
      </c>
      <c r="R274" s="59">
        <f t="shared" si="44"/>
        <v>100</v>
      </c>
      <c r="S274" s="56">
        <f t="shared" si="45"/>
        <v>695</v>
      </c>
      <c r="T274" s="56">
        <f>50</f>
        <v>50</v>
      </c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</row>
    <row r="275" spans="1:30" ht="15.75">
      <c r="A275" s="15">
        <v>49644</v>
      </c>
      <c r="B275" s="69">
        <v>31</v>
      </c>
      <c r="C275" s="56">
        <f>122.58</f>
        <v>122.58</v>
      </c>
      <c r="D275" s="56">
        <f>297.941</f>
        <v>297.94099999999997</v>
      </c>
      <c r="E275" s="64">
        <f>89.177</f>
        <v>89.177000000000007</v>
      </c>
      <c r="F275" s="56">
        <f>240.302-40-60-100</f>
        <v>40.301999999999992</v>
      </c>
      <c r="G275" s="59">
        <v>40</v>
      </c>
      <c r="H275" s="56">
        <f>60+100</f>
        <v>160</v>
      </c>
      <c r="I275" s="56">
        <f t="shared" si="38"/>
        <v>0</v>
      </c>
      <c r="J275" s="59">
        <v>100</v>
      </c>
      <c r="K275" s="59">
        <v>300</v>
      </c>
      <c r="L275" s="56">
        <f t="shared" si="42"/>
        <v>1150</v>
      </c>
      <c r="M275" s="66">
        <v>600</v>
      </c>
      <c r="N275" s="56">
        <f>100</f>
        <v>100</v>
      </c>
      <c r="O275" s="59">
        <v>240</v>
      </c>
      <c r="P275" s="59">
        <v>40</v>
      </c>
      <c r="Q275" s="59">
        <f t="shared" si="43"/>
        <v>315</v>
      </c>
      <c r="R275" s="59">
        <f t="shared" si="44"/>
        <v>100</v>
      </c>
      <c r="S275" s="56">
        <f t="shared" si="45"/>
        <v>695</v>
      </c>
      <c r="T275" s="56">
        <f>50</f>
        <v>50</v>
      </c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</row>
    <row r="276" spans="1:30" ht="15.75">
      <c r="A276" s="15">
        <v>49675</v>
      </c>
      <c r="B276" s="69">
        <v>31</v>
      </c>
      <c r="C276" s="56">
        <f>122.58</f>
        <v>122.58</v>
      </c>
      <c r="D276" s="56">
        <f>297.941</f>
        <v>297.94099999999997</v>
      </c>
      <c r="E276" s="64">
        <f>89.177</f>
        <v>89.177000000000007</v>
      </c>
      <c r="F276" s="56">
        <f>240.302-40-60-100</f>
        <v>40.301999999999992</v>
      </c>
      <c r="G276" s="59">
        <v>40</v>
      </c>
      <c r="H276" s="56">
        <f>60+100</f>
        <v>160</v>
      </c>
      <c r="I276" s="56">
        <f t="shared" si="38"/>
        <v>0</v>
      </c>
      <c r="J276" s="59">
        <v>100</v>
      </c>
      <c r="K276" s="59">
        <v>300</v>
      </c>
      <c r="L276" s="56">
        <f t="shared" si="42"/>
        <v>1150</v>
      </c>
      <c r="M276" s="66">
        <v>600</v>
      </c>
      <c r="N276" s="56">
        <f>100</f>
        <v>100</v>
      </c>
      <c r="O276" s="59">
        <v>240</v>
      </c>
      <c r="P276" s="59">
        <v>40</v>
      </c>
      <c r="Q276" s="59">
        <f t="shared" si="43"/>
        <v>315</v>
      </c>
      <c r="R276" s="59">
        <f t="shared" si="44"/>
        <v>100</v>
      </c>
      <c r="S276" s="56">
        <f t="shared" si="45"/>
        <v>695</v>
      </c>
      <c r="T276" s="56">
        <f>50</f>
        <v>50</v>
      </c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</row>
    <row r="277" spans="1:30" ht="15.75">
      <c r="A277" s="15">
        <v>49706</v>
      </c>
      <c r="B277" s="69">
        <v>29</v>
      </c>
      <c r="C277" s="56">
        <f>122.58</f>
        <v>122.58</v>
      </c>
      <c r="D277" s="56">
        <f>297.941</f>
        <v>297.94099999999997</v>
      </c>
      <c r="E277" s="64">
        <f>89.177</f>
        <v>89.177000000000007</v>
      </c>
      <c r="F277" s="56">
        <f>240.302-40-60-100</f>
        <v>40.301999999999992</v>
      </c>
      <c r="G277" s="59">
        <v>40</v>
      </c>
      <c r="H277" s="56">
        <f>60+100</f>
        <v>160</v>
      </c>
      <c r="I277" s="56">
        <f t="shared" si="38"/>
        <v>0</v>
      </c>
      <c r="J277" s="59">
        <v>100</v>
      </c>
      <c r="K277" s="59">
        <v>300</v>
      </c>
      <c r="L277" s="56">
        <f t="shared" si="42"/>
        <v>1150</v>
      </c>
      <c r="M277" s="66">
        <v>600</v>
      </c>
      <c r="N277" s="56">
        <f>100</f>
        <v>100</v>
      </c>
      <c r="O277" s="59">
        <v>240</v>
      </c>
      <c r="P277" s="59">
        <v>40</v>
      </c>
      <c r="Q277" s="59">
        <f t="shared" si="43"/>
        <v>315</v>
      </c>
      <c r="R277" s="59">
        <f t="shared" si="44"/>
        <v>100</v>
      </c>
      <c r="S277" s="56">
        <f t="shared" si="45"/>
        <v>695</v>
      </c>
      <c r="T277" s="56">
        <f>50</f>
        <v>50</v>
      </c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</row>
    <row r="278" spans="1:30" ht="15.75">
      <c r="A278" s="15">
        <v>49735</v>
      </c>
      <c r="B278" s="69">
        <v>31</v>
      </c>
      <c r="C278" s="56">
        <f>122.58</f>
        <v>122.58</v>
      </c>
      <c r="D278" s="56">
        <f>297.941</f>
        <v>297.94099999999997</v>
      </c>
      <c r="E278" s="64">
        <f>89.177</f>
        <v>89.177000000000007</v>
      </c>
      <c r="F278" s="56">
        <f>240.302-40-60-100</f>
        <v>40.301999999999992</v>
      </c>
      <c r="G278" s="59">
        <v>40</v>
      </c>
      <c r="H278" s="56">
        <f>60+100</f>
        <v>160</v>
      </c>
      <c r="I278" s="56">
        <f t="shared" si="38"/>
        <v>0</v>
      </c>
      <c r="J278" s="59">
        <v>100</v>
      </c>
      <c r="K278" s="59">
        <v>300</v>
      </c>
      <c r="L278" s="56">
        <f t="shared" si="42"/>
        <v>1150</v>
      </c>
      <c r="M278" s="66">
        <v>600</v>
      </c>
      <c r="N278" s="56">
        <f>100</f>
        <v>100</v>
      </c>
      <c r="O278" s="59">
        <v>240</v>
      </c>
      <c r="P278" s="59">
        <v>40</v>
      </c>
      <c r="Q278" s="59">
        <f t="shared" si="43"/>
        <v>315</v>
      </c>
      <c r="R278" s="59">
        <f t="shared" si="44"/>
        <v>100</v>
      </c>
      <c r="S278" s="56">
        <f t="shared" si="45"/>
        <v>695</v>
      </c>
      <c r="T278" s="56">
        <f>50</f>
        <v>50</v>
      </c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</row>
    <row r="279" spans="1:30" ht="15.75">
      <c r="A279" s="15">
        <v>49766</v>
      </c>
      <c r="B279" s="69">
        <v>30</v>
      </c>
      <c r="C279" s="56">
        <f>141.293</f>
        <v>141.29300000000001</v>
      </c>
      <c r="D279" s="56">
        <f>267.993</f>
        <v>267.99299999999999</v>
      </c>
      <c r="E279" s="64">
        <f>115.016</f>
        <v>115.01600000000001</v>
      </c>
      <c r="F279" s="56">
        <f>314.698-40-25-60-100</f>
        <v>89.697999999999979</v>
      </c>
      <c r="G279" s="59">
        <v>40</v>
      </c>
      <c r="H279" s="56">
        <f t="shared" ref="H279:H285" si="46">25+60+100</f>
        <v>185</v>
      </c>
      <c r="I279" s="56">
        <f t="shared" si="38"/>
        <v>0</v>
      </c>
      <c r="J279" s="59">
        <v>100</v>
      </c>
      <c r="K279" s="59">
        <v>300</v>
      </c>
      <c r="L279" s="56">
        <f t="shared" si="42"/>
        <v>1239</v>
      </c>
      <c r="M279" s="66">
        <v>600</v>
      </c>
      <c r="N279" s="56">
        <f>100</f>
        <v>100</v>
      </c>
      <c r="O279" s="59">
        <v>240</v>
      </c>
      <c r="P279" s="59">
        <v>160</v>
      </c>
      <c r="Q279" s="59">
        <f t="shared" si="43"/>
        <v>195</v>
      </c>
      <c r="R279" s="59">
        <f t="shared" si="44"/>
        <v>100</v>
      </c>
      <c r="S279" s="56">
        <f t="shared" si="45"/>
        <v>695</v>
      </c>
      <c r="T279" s="56">
        <f>50</f>
        <v>50</v>
      </c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</row>
    <row r="280" spans="1:30" ht="15.75">
      <c r="A280" s="15">
        <v>49796</v>
      </c>
      <c r="B280" s="69">
        <v>31</v>
      </c>
      <c r="C280" s="56">
        <f>194.205</f>
        <v>194.20500000000001</v>
      </c>
      <c r="D280" s="56">
        <f>267.466</f>
        <v>267.46600000000001</v>
      </c>
      <c r="E280" s="64">
        <f>133.845</f>
        <v>133.845</v>
      </c>
      <c r="F280" s="56">
        <f>278.484-40-25-60-100</f>
        <v>53.48399999999998</v>
      </c>
      <c r="G280" s="59">
        <v>40</v>
      </c>
      <c r="H280" s="56">
        <f t="shared" si="46"/>
        <v>185</v>
      </c>
      <c r="I280" s="56">
        <f t="shared" si="38"/>
        <v>0</v>
      </c>
      <c r="J280" s="59">
        <v>100</v>
      </c>
      <c r="K280" s="59">
        <v>300</v>
      </c>
      <c r="L280" s="56">
        <f t="shared" si="42"/>
        <v>1274</v>
      </c>
      <c r="M280" s="66">
        <v>600</v>
      </c>
      <c r="N280" s="56">
        <f>75</f>
        <v>75</v>
      </c>
      <c r="O280" s="59">
        <v>240</v>
      </c>
      <c r="P280" s="59">
        <v>160</v>
      </c>
      <c r="Q280" s="59">
        <f t="shared" si="43"/>
        <v>195</v>
      </c>
      <c r="R280" s="59">
        <f t="shared" si="44"/>
        <v>100</v>
      </c>
      <c r="S280" s="56">
        <f t="shared" si="45"/>
        <v>695</v>
      </c>
      <c r="T280" s="56">
        <f>50</f>
        <v>50</v>
      </c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</row>
    <row r="281" spans="1:30" ht="15.75">
      <c r="A281" s="15">
        <v>49827</v>
      </c>
      <c r="B281" s="69">
        <v>30</v>
      </c>
      <c r="C281" s="56">
        <f>194.205</f>
        <v>194.20500000000001</v>
      </c>
      <c r="D281" s="56">
        <f>267.466</f>
        <v>267.46600000000001</v>
      </c>
      <c r="E281" s="64">
        <f>133.845</f>
        <v>133.845</v>
      </c>
      <c r="F281" s="56">
        <f>278.484-40-25-60-100</f>
        <v>53.48399999999998</v>
      </c>
      <c r="G281" s="59">
        <v>40</v>
      </c>
      <c r="H281" s="56">
        <f t="shared" si="46"/>
        <v>185</v>
      </c>
      <c r="I281" s="56">
        <f t="shared" si="38"/>
        <v>0</v>
      </c>
      <c r="J281" s="59">
        <v>100</v>
      </c>
      <c r="K281" s="59">
        <v>300</v>
      </c>
      <c r="L281" s="56">
        <f t="shared" si="42"/>
        <v>1274</v>
      </c>
      <c r="M281" s="66">
        <v>600</v>
      </c>
      <c r="N281" s="56">
        <f>30</f>
        <v>30</v>
      </c>
      <c r="O281" s="59">
        <v>240</v>
      </c>
      <c r="P281" s="59">
        <v>160</v>
      </c>
      <c r="Q281" s="59">
        <f t="shared" si="43"/>
        <v>195</v>
      </c>
      <c r="R281" s="59">
        <f t="shared" si="44"/>
        <v>100</v>
      </c>
      <c r="S281" s="56">
        <f t="shared" si="45"/>
        <v>695</v>
      </c>
      <c r="T281" s="56">
        <f>50</f>
        <v>50</v>
      </c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</row>
    <row r="282" spans="1:30" ht="15.75">
      <c r="A282" s="15">
        <v>49857</v>
      </c>
      <c r="B282" s="69">
        <v>31</v>
      </c>
      <c r="C282" s="56">
        <f>194.205</f>
        <v>194.20500000000001</v>
      </c>
      <c r="D282" s="56">
        <f>267.466</f>
        <v>267.46600000000001</v>
      </c>
      <c r="E282" s="64">
        <f>133.845</f>
        <v>133.845</v>
      </c>
      <c r="F282" s="56">
        <f>278.484-40-25-60-100</f>
        <v>53.48399999999998</v>
      </c>
      <c r="G282" s="59">
        <v>40</v>
      </c>
      <c r="H282" s="56">
        <f t="shared" si="46"/>
        <v>185</v>
      </c>
      <c r="I282" s="56">
        <f t="shared" si="38"/>
        <v>0</v>
      </c>
      <c r="J282" s="59">
        <v>100</v>
      </c>
      <c r="K282" s="59">
        <v>300</v>
      </c>
      <c r="L282" s="56">
        <f t="shared" si="42"/>
        <v>1274</v>
      </c>
      <c r="M282" s="66">
        <v>600</v>
      </c>
      <c r="N282" s="56">
        <f>30</f>
        <v>30</v>
      </c>
      <c r="O282" s="59">
        <v>240</v>
      </c>
      <c r="P282" s="59">
        <v>160</v>
      </c>
      <c r="Q282" s="59">
        <f t="shared" si="43"/>
        <v>195</v>
      </c>
      <c r="R282" s="59">
        <f t="shared" si="44"/>
        <v>100</v>
      </c>
      <c r="S282" s="56">
        <f t="shared" si="45"/>
        <v>695</v>
      </c>
      <c r="T282" s="56">
        <f>0</f>
        <v>0</v>
      </c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</row>
    <row r="283" spans="1:30" ht="15.75">
      <c r="A283" s="15">
        <v>49888</v>
      </c>
      <c r="B283" s="69">
        <v>31</v>
      </c>
      <c r="C283" s="56">
        <f>194.205</f>
        <v>194.20500000000001</v>
      </c>
      <c r="D283" s="56">
        <f>267.466</f>
        <v>267.46600000000001</v>
      </c>
      <c r="E283" s="64">
        <f>133.845</f>
        <v>133.845</v>
      </c>
      <c r="F283" s="56">
        <f>278.484-40-25-60-100</f>
        <v>53.48399999999998</v>
      </c>
      <c r="G283" s="59">
        <v>40</v>
      </c>
      <c r="H283" s="56">
        <f t="shared" si="46"/>
        <v>185</v>
      </c>
      <c r="I283" s="56">
        <f t="shared" si="38"/>
        <v>0</v>
      </c>
      <c r="J283" s="59">
        <v>100</v>
      </c>
      <c r="K283" s="59">
        <v>300</v>
      </c>
      <c r="L283" s="56">
        <f t="shared" si="42"/>
        <v>1274</v>
      </c>
      <c r="M283" s="66">
        <v>600</v>
      </c>
      <c r="N283" s="56">
        <f>30</f>
        <v>30</v>
      </c>
      <c r="O283" s="59">
        <v>240</v>
      </c>
      <c r="P283" s="59">
        <v>160</v>
      </c>
      <c r="Q283" s="59">
        <f t="shared" si="43"/>
        <v>195</v>
      </c>
      <c r="R283" s="59">
        <f t="shared" si="44"/>
        <v>100</v>
      </c>
      <c r="S283" s="56">
        <f t="shared" si="45"/>
        <v>695</v>
      </c>
      <c r="T283" s="56">
        <f>0</f>
        <v>0</v>
      </c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</row>
    <row r="284" spans="1:30" ht="15.75">
      <c r="A284" s="15">
        <v>49919</v>
      </c>
      <c r="B284" s="69">
        <v>30</v>
      </c>
      <c r="C284" s="56">
        <f>194.205</f>
        <v>194.20500000000001</v>
      </c>
      <c r="D284" s="56">
        <f>267.466</f>
        <v>267.46600000000001</v>
      </c>
      <c r="E284" s="64">
        <f>133.845</f>
        <v>133.845</v>
      </c>
      <c r="F284" s="56">
        <f>278.484-40-25-60-100</f>
        <v>53.48399999999998</v>
      </c>
      <c r="G284" s="59">
        <v>40</v>
      </c>
      <c r="H284" s="56">
        <f t="shared" si="46"/>
        <v>185</v>
      </c>
      <c r="I284" s="56">
        <f t="shared" si="38"/>
        <v>0</v>
      </c>
      <c r="J284" s="59">
        <v>100</v>
      </c>
      <c r="K284" s="59">
        <v>300</v>
      </c>
      <c r="L284" s="56">
        <f t="shared" si="42"/>
        <v>1274</v>
      </c>
      <c r="M284" s="66">
        <v>600</v>
      </c>
      <c r="N284" s="56">
        <f>30</f>
        <v>30</v>
      </c>
      <c r="O284" s="59">
        <v>240</v>
      </c>
      <c r="P284" s="59">
        <v>160</v>
      </c>
      <c r="Q284" s="59">
        <f t="shared" si="43"/>
        <v>195</v>
      </c>
      <c r="R284" s="59">
        <f t="shared" si="44"/>
        <v>100</v>
      </c>
      <c r="S284" s="56">
        <f t="shared" si="45"/>
        <v>695</v>
      </c>
      <c r="T284" s="56">
        <f>0</f>
        <v>0</v>
      </c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</row>
    <row r="285" spans="1:30" ht="15.75">
      <c r="A285" s="15">
        <v>49949</v>
      </c>
      <c r="B285" s="69">
        <v>31</v>
      </c>
      <c r="C285" s="56">
        <f>131.881</f>
        <v>131.881</v>
      </c>
      <c r="D285" s="56">
        <f>277.167</f>
        <v>277.16699999999997</v>
      </c>
      <c r="E285" s="64">
        <f>79.08</f>
        <v>79.08</v>
      </c>
      <c r="F285" s="56">
        <f>350.872-40-25-60-100</f>
        <v>125.87200000000001</v>
      </c>
      <c r="G285" s="59">
        <v>40</v>
      </c>
      <c r="H285" s="56">
        <f t="shared" si="46"/>
        <v>185</v>
      </c>
      <c r="I285" s="56">
        <f t="shared" si="38"/>
        <v>0</v>
      </c>
      <c r="J285" s="59">
        <v>100</v>
      </c>
      <c r="K285" s="59">
        <v>300</v>
      </c>
      <c r="L285" s="56">
        <f t="shared" si="42"/>
        <v>1239</v>
      </c>
      <c r="M285" s="66">
        <v>600</v>
      </c>
      <c r="N285" s="56">
        <f>75</f>
        <v>75</v>
      </c>
      <c r="O285" s="59">
        <v>240</v>
      </c>
      <c r="P285" s="59">
        <v>160</v>
      </c>
      <c r="Q285" s="59">
        <f t="shared" si="43"/>
        <v>195</v>
      </c>
      <c r="R285" s="59">
        <f t="shared" si="44"/>
        <v>100</v>
      </c>
      <c r="S285" s="56">
        <f t="shared" si="45"/>
        <v>695</v>
      </c>
      <c r="T285" s="56">
        <f>0</f>
        <v>0</v>
      </c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</row>
    <row r="286" spans="1:30" ht="15.75">
      <c r="A286" s="15">
        <v>49980</v>
      </c>
      <c r="B286" s="69">
        <v>30</v>
      </c>
      <c r="C286" s="56">
        <f>122.58</f>
        <v>122.58</v>
      </c>
      <c r="D286" s="56">
        <f>297.941</f>
        <v>297.94099999999997</v>
      </c>
      <c r="E286" s="64">
        <f>89.177</f>
        <v>89.177000000000007</v>
      </c>
      <c r="F286" s="56">
        <f>240.302-40-60-100</f>
        <v>40.301999999999992</v>
      </c>
      <c r="G286" s="59">
        <v>40</v>
      </c>
      <c r="H286" s="56">
        <f>60+100</f>
        <v>160</v>
      </c>
      <c r="I286" s="56">
        <f t="shared" si="38"/>
        <v>0</v>
      </c>
      <c r="J286" s="59">
        <v>100</v>
      </c>
      <c r="K286" s="59">
        <v>300</v>
      </c>
      <c r="L286" s="56">
        <f t="shared" si="42"/>
        <v>1150</v>
      </c>
      <c r="M286" s="66">
        <v>600</v>
      </c>
      <c r="N286" s="56">
        <f>100</f>
        <v>100</v>
      </c>
      <c r="O286" s="59">
        <v>240</v>
      </c>
      <c r="P286" s="59">
        <v>40</v>
      </c>
      <c r="Q286" s="59">
        <f t="shared" si="43"/>
        <v>315</v>
      </c>
      <c r="R286" s="59">
        <f t="shared" si="44"/>
        <v>100</v>
      </c>
      <c r="S286" s="56">
        <f t="shared" si="45"/>
        <v>695</v>
      </c>
      <c r="T286" s="56">
        <f>50</f>
        <v>50</v>
      </c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</row>
    <row r="287" spans="1:30" ht="15.75">
      <c r="A287" s="15">
        <v>50010</v>
      </c>
      <c r="B287" s="69">
        <v>31</v>
      </c>
      <c r="C287" s="56">
        <f>122.58</f>
        <v>122.58</v>
      </c>
      <c r="D287" s="56">
        <f>297.941</f>
        <v>297.94099999999997</v>
      </c>
      <c r="E287" s="64">
        <f>89.177</f>
        <v>89.177000000000007</v>
      </c>
      <c r="F287" s="56">
        <f>240.302-40-60-100</f>
        <v>40.301999999999992</v>
      </c>
      <c r="G287" s="59">
        <v>40</v>
      </c>
      <c r="H287" s="56">
        <f>60+100</f>
        <v>160</v>
      </c>
      <c r="I287" s="56">
        <f t="shared" si="38"/>
        <v>0</v>
      </c>
      <c r="J287" s="59">
        <v>100</v>
      </c>
      <c r="K287" s="59">
        <v>300</v>
      </c>
      <c r="L287" s="56">
        <f t="shared" si="42"/>
        <v>1150</v>
      </c>
      <c r="M287" s="66">
        <v>600</v>
      </c>
      <c r="N287" s="56">
        <f>100</f>
        <v>100</v>
      </c>
      <c r="O287" s="59">
        <v>240</v>
      </c>
      <c r="P287" s="59">
        <v>40</v>
      </c>
      <c r="Q287" s="59">
        <f t="shared" si="43"/>
        <v>315</v>
      </c>
      <c r="R287" s="59">
        <f t="shared" si="44"/>
        <v>100</v>
      </c>
      <c r="S287" s="56">
        <f t="shared" si="45"/>
        <v>695</v>
      </c>
      <c r="T287" s="56">
        <f>50</f>
        <v>50</v>
      </c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</row>
    <row r="288" spans="1:30" ht="15.75">
      <c r="A288" s="15">
        <v>50041</v>
      </c>
      <c r="B288" s="69">
        <v>31</v>
      </c>
      <c r="C288" s="56">
        <f>122.58</f>
        <v>122.58</v>
      </c>
      <c r="D288" s="56">
        <f>297.941</f>
        <v>297.94099999999997</v>
      </c>
      <c r="E288" s="64">
        <f>89.177</f>
        <v>89.177000000000007</v>
      </c>
      <c r="F288" s="56">
        <f>240.302-40-60-100</f>
        <v>40.301999999999992</v>
      </c>
      <c r="G288" s="59">
        <v>40</v>
      </c>
      <c r="H288" s="56">
        <f>60+100</f>
        <v>160</v>
      </c>
      <c r="I288" s="56">
        <f t="shared" si="38"/>
        <v>0</v>
      </c>
      <c r="J288" s="59">
        <v>100</v>
      </c>
      <c r="K288" s="59">
        <v>300</v>
      </c>
      <c r="L288" s="56">
        <f t="shared" si="42"/>
        <v>1150</v>
      </c>
      <c r="M288" s="66">
        <v>600</v>
      </c>
      <c r="N288" s="56">
        <f>100</f>
        <v>100</v>
      </c>
      <c r="O288" s="59">
        <v>240</v>
      </c>
      <c r="P288" s="59">
        <v>40</v>
      </c>
      <c r="Q288" s="59">
        <f t="shared" si="43"/>
        <v>315</v>
      </c>
      <c r="R288" s="59">
        <f t="shared" si="44"/>
        <v>100</v>
      </c>
      <c r="S288" s="56">
        <f t="shared" si="45"/>
        <v>695</v>
      </c>
      <c r="T288" s="56">
        <f>50</f>
        <v>50</v>
      </c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</row>
    <row r="289" spans="1:30" ht="15.75">
      <c r="A289" s="15">
        <v>50072</v>
      </c>
      <c r="B289" s="69">
        <v>28</v>
      </c>
      <c r="C289" s="56">
        <f>122.58</f>
        <v>122.58</v>
      </c>
      <c r="D289" s="56">
        <f>297.941</f>
        <v>297.94099999999997</v>
      </c>
      <c r="E289" s="64">
        <f>89.177</f>
        <v>89.177000000000007</v>
      </c>
      <c r="F289" s="56">
        <f>240.302-40-60-100</f>
        <v>40.301999999999992</v>
      </c>
      <c r="G289" s="59">
        <v>40</v>
      </c>
      <c r="H289" s="56">
        <f>60+100</f>
        <v>160</v>
      </c>
      <c r="I289" s="56">
        <f t="shared" si="38"/>
        <v>0</v>
      </c>
      <c r="J289" s="59">
        <v>100</v>
      </c>
      <c r="K289" s="59">
        <v>300</v>
      </c>
      <c r="L289" s="56">
        <f t="shared" si="42"/>
        <v>1150</v>
      </c>
      <c r="M289" s="66">
        <v>600</v>
      </c>
      <c r="N289" s="56">
        <f>100</f>
        <v>100</v>
      </c>
      <c r="O289" s="59">
        <v>240</v>
      </c>
      <c r="P289" s="59">
        <v>40</v>
      </c>
      <c r="Q289" s="59">
        <f t="shared" si="43"/>
        <v>315</v>
      </c>
      <c r="R289" s="59">
        <f t="shared" si="44"/>
        <v>100</v>
      </c>
      <c r="S289" s="56">
        <f t="shared" si="45"/>
        <v>695</v>
      </c>
      <c r="T289" s="56">
        <f>50</f>
        <v>50</v>
      </c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</row>
    <row r="290" spans="1:30" ht="15.75">
      <c r="A290" s="15">
        <v>50100</v>
      </c>
      <c r="B290" s="69">
        <v>31</v>
      </c>
      <c r="C290" s="56">
        <f>122.58</f>
        <v>122.58</v>
      </c>
      <c r="D290" s="56">
        <f>297.941</f>
        <v>297.94099999999997</v>
      </c>
      <c r="E290" s="64">
        <f>89.177</f>
        <v>89.177000000000007</v>
      </c>
      <c r="F290" s="56">
        <f>240.302-40-60-100</f>
        <v>40.301999999999992</v>
      </c>
      <c r="G290" s="59">
        <v>40</v>
      </c>
      <c r="H290" s="56">
        <f>60+100</f>
        <v>160</v>
      </c>
      <c r="I290" s="56">
        <f t="shared" si="38"/>
        <v>0</v>
      </c>
      <c r="J290" s="59">
        <v>100</v>
      </c>
      <c r="K290" s="59">
        <v>300</v>
      </c>
      <c r="L290" s="56">
        <f t="shared" si="42"/>
        <v>1150</v>
      </c>
      <c r="M290" s="66">
        <v>600</v>
      </c>
      <c r="N290" s="56">
        <f>100</f>
        <v>100</v>
      </c>
      <c r="O290" s="59">
        <v>240</v>
      </c>
      <c r="P290" s="59">
        <v>40</v>
      </c>
      <c r="Q290" s="59">
        <f t="shared" si="43"/>
        <v>315</v>
      </c>
      <c r="R290" s="59">
        <f t="shared" si="44"/>
        <v>100</v>
      </c>
      <c r="S290" s="56">
        <f t="shared" si="45"/>
        <v>695</v>
      </c>
      <c r="T290" s="56">
        <f>50</f>
        <v>50</v>
      </c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</row>
    <row r="291" spans="1:30" ht="15.75">
      <c r="A291" s="15">
        <v>50131</v>
      </c>
      <c r="B291" s="69">
        <v>30</v>
      </c>
      <c r="C291" s="56">
        <f>141.293</f>
        <v>141.29300000000001</v>
      </c>
      <c r="D291" s="56">
        <f>267.993</f>
        <v>267.99299999999999</v>
      </c>
      <c r="E291" s="64">
        <f>115.016</f>
        <v>115.01600000000001</v>
      </c>
      <c r="F291" s="56">
        <f>314.698-40-25-60-100</f>
        <v>89.697999999999979</v>
      </c>
      <c r="G291" s="59">
        <v>40</v>
      </c>
      <c r="H291" s="56">
        <f t="shared" ref="H291:H297" si="47">25+60+100</f>
        <v>185</v>
      </c>
      <c r="I291" s="56">
        <f t="shared" si="38"/>
        <v>0</v>
      </c>
      <c r="J291" s="59">
        <v>100</v>
      </c>
      <c r="K291" s="59">
        <v>300</v>
      </c>
      <c r="L291" s="56">
        <f t="shared" si="42"/>
        <v>1239</v>
      </c>
      <c r="M291" s="66">
        <v>600</v>
      </c>
      <c r="N291" s="56">
        <f>100</f>
        <v>100</v>
      </c>
      <c r="O291" s="59">
        <v>240</v>
      </c>
      <c r="P291" s="59">
        <v>160</v>
      </c>
      <c r="Q291" s="59">
        <f t="shared" si="43"/>
        <v>195</v>
      </c>
      <c r="R291" s="59">
        <f t="shared" si="44"/>
        <v>100</v>
      </c>
      <c r="S291" s="56">
        <f t="shared" si="45"/>
        <v>695</v>
      </c>
      <c r="T291" s="56">
        <f>50</f>
        <v>50</v>
      </c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</row>
    <row r="292" spans="1:30" ht="15.75">
      <c r="A292" s="15">
        <v>50161</v>
      </c>
      <c r="B292" s="69">
        <v>31</v>
      </c>
      <c r="C292" s="56">
        <f>194.205</f>
        <v>194.20500000000001</v>
      </c>
      <c r="D292" s="56">
        <f>267.466</f>
        <v>267.46600000000001</v>
      </c>
      <c r="E292" s="64">
        <f>133.845</f>
        <v>133.845</v>
      </c>
      <c r="F292" s="56">
        <f>278.484-40-25-60-100</f>
        <v>53.48399999999998</v>
      </c>
      <c r="G292" s="59">
        <v>40</v>
      </c>
      <c r="H292" s="56">
        <f t="shared" si="47"/>
        <v>185</v>
      </c>
      <c r="I292" s="56">
        <f t="shared" si="38"/>
        <v>0</v>
      </c>
      <c r="J292" s="59">
        <v>100</v>
      </c>
      <c r="K292" s="59">
        <v>300</v>
      </c>
      <c r="L292" s="56">
        <f t="shared" si="42"/>
        <v>1274</v>
      </c>
      <c r="M292" s="66">
        <v>600</v>
      </c>
      <c r="N292" s="56">
        <f>75</f>
        <v>75</v>
      </c>
      <c r="O292" s="59">
        <v>240</v>
      </c>
      <c r="P292" s="59">
        <v>160</v>
      </c>
      <c r="Q292" s="59">
        <f t="shared" si="43"/>
        <v>195</v>
      </c>
      <c r="R292" s="59">
        <f t="shared" si="44"/>
        <v>100</v>
      </c>
      <c r="S292" s="56">
        <f t="shared" si="45"/>
        <v>695</v>
      </c>
      <c r="T292" s="56">
        <f>50</f>
        <v>50</v>
      </c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</row>
    <row r="293" spans="1:30" ht="15.75">
      <c r="A293" s="15">
        <v>50192</v>
      </c>
      <c r="B293" s="69">
        <v>30</v>
      </c>
      <c r="C293" s="56">
        <f>194.205</f>
        <v>194.20500000000001</v>
      </c>
      <c r="D293" s="56">
        <f>267.466</f>
        <v>267.46600000000001</v>
      </c>
      <c r="E293" s="64">
        <f>133.845</f>
        <v>133.845</v>
      </c>
      <c r="F293" s="56">
        <f>278.484-40-25-60-100</f>
        <v>53.48399999999998</v>
      </c>
      <c r="G293" s="59">
        <v>40</v>
      </c>
      <c r="H293" s="56">
        <f t="shared" si="47"/>
        <v>185</v>
      </c>
      <c r="I293" s="56">
        <f t="shared" si="38"/>
        <v>0</v>
      </c>
      <c r="J293" s="59">
        <v>100</v>
      </c>
      <c r="K293" s="59">
        <v>300</v>
      </c>
      <c r="L293" s="56">
        <f t="shared" si="42"/>
        <v>1274</v>
      </c>
      <c r="M293" s="66">
        <v>600</v>
      </c>
      <c r="N293" s="56">
        <f>30</f>
        <v>30</v>
      </c>
      <c r="O293" s="59">
        <v>240</v>
      </c>
      <c r="P293" s="59">
        <v>160</v>
      </c>
      <c r="Q293" s="59">
        <f t="shared" si="43"/>
        <v>195</v>
      </c>
      <c r="R293" s="59">
        <f t="shared" si="44"/>
        <v>100</v>
      </c>
      <c r="S293" s="56">
        <f t="shared" si="45"/>
        <v>695</v>
      </c>
      <c r="T293" s="56">
        <f>50</f>
        <v>50</v>
      </c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</row>
    <row r="294" spans="1:30" ht="15.75">
      <c r="A294" s="15">
        <v>50222</v>
      </c>
      <c r="B294" s="69">
        <v>31</v>
      </c>
      <c r="C294" s="56">
        <f>194.205</f>
        <v>194.20500000000001</v>
      </c>
      <c r="D294" s="56">
        <f>267.466</f>
        <v>267.46600000000001</v>
      </c>
      <c r="E294" s="64">
        <f>133.845</f>
        <v>133.845</v>
      </c>
      <c r="F294" s="56">
        <f>278.484-40-25-60-100</f>
        <v>53.48399999999998</v>
      </c>
      <c r="G294" s="59">
        <v>40</v>
      </c>
      <c r="H294" s="56">
        <f t="shared" si="47"/>
        <v>185</v>
      </c>
      <c r="I294" s="56">
        <f t="shared" si="38"/>
        <v>0</v>
      </c>
      <c r="J294" s="59">
        <v>100</v>
      </c>
      <c r="K294" s="59">
        <v>300</v>
      </c>
      <c r="L294" s="56">
        <f t="shared" si="42"/>
        <v>1274</v>
      </c>
      <c r="M294" s="66">
        <v>600</v>
      </c>
      <c r="N294" s="56">
        <f>30</f>
        <v>30</v>
      </c>
      <c r="O294" s="59">
        <v>240</v>
      </c>
      <c r="P294" s="59">
        <v>160</v>
      </c>
      <c r="Q294" s="59">
        <f t="shared" si="43"/>
        <v>195</v>
      </c>
      <c r="R294" s="59">
        <f t="shared" si="44"/>
        <v>100</v>
      </c>
      <c r="S294" s="56">
        <f t="shared" si="45"/>
        <v>695</v>
      </c>
      <c r="T294" s="56">
        <f>0</f>
        <v>0</v>
      </c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</row>
    <row r="295" spans="1:30" ht="15.75">
      <c r="A295" s="15">
        <v>50253</v>
      </c>
      <c r="B295" s="69">
        <v>31</v>
      </c>
      <c r="C295" s="56">
        <f>194.205</f>
        <v>194.20500000000001</v>
      </c>
      <c r="D295" s="56">
        <f>267.466</f>
        <v>267.46600000000001</v>
      </c>
      <c r="E295" s="64">
        <f>133.845</f>
        <v>133.845</v>
      </c>
      <c r="F295" s="56">
        <f>278.484-40-25-60-100</f>
        <v>53.48399999999998</v>
      </c>
      <c r="G295" s="59">
        <v>40</v>
      </c>
      <c r="H295" s="56">
        <f t="shared" si="47"/>
        <v>185</v>
      </c>
      <c r="I295" s="56">
        <f t="shared" si="38"/>
        <v>0</v>
      </c>
      <c r="J295" s="59">
        <v>100</v>
      </c>
      <c r="K295" s="59">
        <v>300</v>
      </c>
      <c r="L295" s="56">
        <f t="shared" si="42"/>
        <v>1274</v>
      </c>
      <c r="M295" s="66">
        <v>600</v>
      </c>
      <c r="N295" s="56">
        <f>30</f>
        <v>30</v>
      </c>
      <c r="O295" s="59">
        <v>240</v>
      </c>
      <c r="P295" s="59">
        <v>160</v>
      </c>
      <c r="Q295" s="59">
        <f t="shared" si="43"/>
        <v>195</v>
      </c>
      <c r="R295" s="59">
        <f t="shared" si="44"/>
        <v>100</v>
      </c>
      <c r="S295" s="56">
        <f t="shared" si="45"/>
        <v>695</v>
      </c>
      <c r="T295" s="56">
        <f>0</f>
        <v>0</v>
      </c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</row>
    <row r="296" spans="1:30" ht="15.75">
      <c r="A296" s="15">
        <v>50284</v>
      </c>
      <c r="B296" s="69">
        <v>30</v>
      </c>
      <c r="C296" s="56">
        <f>194.205</f>
        <v>194.20500000000001</v>
      </c>
      <c r="D296" s="56">
        <f>267.466</f>
        <v>267.46600000000001</v>
      </c>
      <c r="E296" s="64">
        <f>133.845</f>
        <v>133.845</v>
      </c>
      <c r="F296" s="56">
        <f>278.484-40-25-60-100</f>
        <v>53.48399999999998</v>
      </c>
      <c r="G296" s="59">
        <v>40</v>
      </c>
      <c r="H296" s="56">
        <f t="shared" si="47"/>
        <v>185</v>
      </c>
      <c r="I296" s="56">
        <f t="shared" ref="I296:I359" si="48">400-J296-K296</f>
        <v>0</v>
      </c>
      <c r="J296" s="59">
        <v>100</v>
      </c>
      <c r="K296" s="59">
        <v>300</v>
      </c>
      <c r="L296" s="56">
        <f t="shared" si="42"/>
        <v>1274</v>
      </c>
      <c r="M296" s="66">
        <v>600</v>
      </c>
      <c r="N296" s="56">
        <f>30</f>
        <v>30</v>
      </c>
      <c r="O296" s="59">
        <v>240</v>
      </c>
      <c r="P296" s="59">
        <v>160</v>
      </c>
      <c r="Q296" s="59">
        <f t="shared" si="43"/>
        <v>195</v>
      </c>
      <c r="R296" s="59">
        <f t="shared" si="44"/>
        <v>100</v>
      </c>
      <c r="S296" s="56">
        <f t="shared" si="45"/>
        <v>695</v>
      </c>
      <c r="T296" s="56">
        <f>0</f>
        <v>0</v>
      </c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</row>
    <row r="297" spans="1:30" ht="15.75">
      <c r="A297" s="15">
        <v>50314</v>
      </c>
      <c r="B297" s="69">
        <v>31</v>
      </c>
      <c r="C297" s="56">
        <f>131.881</f>
        <v>131.881</v>
      </c>
      <c r="D297" s="56">
        <f>277.167</f>
        <v>277.16699999999997</v>
      </c>
      <c r="E297" s="64">
        <f>79.08</f>
        <v>79.08</v>
      </c>
      <c r="F297" s="56">
        <f>350.872-40-25-60-100</f>
        <v>125.87200000000001</v>
      </c>
      <c r="G297" s="59">
        <v>40</v>
      </c>
      <c r="H297" s="56">
        <f t="shared" si="47"/>
        <v>185</v>
      </c>
      <c r="I297" s="56">
        <f t="shared" si="48"/>
        <v>0</v>
      </c>
      <c r="J297" s="59">
        <v>100</v>
      </c>
      <c r="K297" s="59">
        <v>300</v>
      </c>
      <c r="L297" s="56">
        <f t="shared" si="42"/>
        <v>1239</v>
      </c>
      <c r="M297" s="66">
        <v>600</v>
      </c>
      <c r="N297" s="56">
        <f>75</f>
        <v>75</v>
      </c>
      <c r="O297" s="59">
        <v>240</v>
      </c>
      <c r="P297" s="59">
        <v>160</v>
      </c>
      <c r="Q297" s="59">
        <f t="shared" si="43"/>
        <v>195</v>
      </c>
      <c r="R297" s="59">
        <f t="shared" si="44"/>
        <v>100</v>
      </c>
      <c r="S297" s="56">
        <f t="shared" si="45"/>
        <v>695</v>
      </c>
      <c r="T297" s="56">
        <f>0</f>
        <v>0</v>
      </c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</row>
    <row r="298" spans="1:30" ht="15.75">
      <c r="A298" s="15">
        <v>50345</v>
      </c>
      <c r="B298" s="69">
        <v>30</v>
      </c>
      <c r="C298" s="56">
        <f>122.58</f>
        <v>122.58</v>
      </c>
      <c r="D298" s="56">
        <f>297.941</f>
        <v>297.94099999999997</v>
      </c>
      <c r="E298" s="64">
        <f>89.177</f>
        <v>89.177000000000007</v>
      </c>
      <c r="F298" s="56">
        <f>240.302-40-60-100</f>
        <v>40.301999999999992</v>
      </c>
      <c r="G298" s="59">
        <v>40</v>
      </c>
      <c r="H298" s="56">
        <f>60+100</f>
        <v>160</v>
      </c>
      <c r="I298" s="56">
        <f t="shared" si="48"/>
        <v>0</v>
      </c>
      <c r="J298" s="59">
        <v>100</v>
      </c>
      <c r="K298" s="59">
        <v>300</v>
      </c>
      <c r="L298" s="56">
        <f t="shared" si="42"/>
        <v>1150</v>
      </c>
      <c r="M298" s="66">
        <v>600</v>
      </c>
      <c r="N298" s="56">
        <f>100</f>
        <v>100</v>
      </c>
      <c r="O298" s="59">
        <v>240</v>
      </c>
      <c r="P298" s="59">
        <v>40</v>
      </c>
      <c r="Q298" s="59">
        <f t="shared" si="43"/>
        <v>315</v>
      </c>
      <c r="R298" s="59">
        <f t="shared" si="44"/>
        <v>100</v>
      </c>
      <c r="S298" s="56">
        <f t="shared" si="45"/>
        <v>695</v>
      </c>
      <c r="T298" s="56">
        <f>50</f>
        <v>50</v>
      </c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</row>
    <row r="299" spans="1:30" ht="15.75">
      <c r="A299" s="15">
        <v>50375</v>
      </c>
      <c r="B299" s="69">
        <v>31</v>
      </c>
      <c r="C299" s="56">
        <f>122.58</f>
        <v>122.58</v>
      </c>
      <c r="D299" s="56">
        <f>297.941</f>
        <v>297.94099999999997</v>
      </c>
      <c r="E299" s="64">
        <f>89.177</f>
        <v>89.177000000000007</v>
      </c>
      <c r="F299" s="56">
        <f>240.302-40-60-100</f>
        <v>40.301999999999992</v>
      </c>
      <c r="G299" s="59">
        <v>40</v>
      </c>
      <c r="H299" s="56">
        <f>60+100</f>
        <v>160</v>
      </c>
      <c r="I299" s="56">
        <f t="shared" si="48"/>
        <v>0</v>
      </c>
      <c r="J299" s="59">
        <v>100</v>
      </c>
      <c r="K299" s="59">
        <v>300</v>
      </c>
      <c r="L299" s="56">
        <f t="shared" si="42"/>
        <v>1150</v>
      </c>
      <c r="M299" s="66">
        <v>600</v>
      </c>
      <c r="N299" s="56">
        <f>100</f>
        <v>100</v>
      </c>
      <c r="O299" s="59">
        <v>240</v>
      </c>
      <c r="P299" s="59">
        <v>40</v>
      </c>
      <c r="Q299" s="59">
        <f t="shared" si="43"/>
        <v>315</v>
      </c>
      <c r="R299" s="59">
        <f t="shared" si="44"/>
        <v>100</v>
      </c>
      <c r="S299" s="56">
        <f t="shared" si="45"/>
        <v>695</v>
      </c>
      <c r="T299" s="56">
        <f>50</f>
        <v>50</v>
      </c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</row>
    <row r="300" spans="1:30" ht="15.75">
      <c r="A300" s="14">
        <v>50436</v>
      </c>
      <c r="B300" s="68">
        <v>31</v>
      </c>
      <c r="C300" s="56">
        <f>122.58</f>
        <v>122.58</v>
      </c>
      <c r="D300" s="56">
        <f>297.941</f>
        <v>297.94099999999997</v>
      </c>
      <c r="E300" s="64">
        <f>89.177</f>
        <v>89.177000000000007</v>
      </c>
      <c r="F300" s="56">
        <f>240.302-40-60-100</f>
        <v>40.301999999999992</v>
      </c>
      <c r="G300" s="59">
        <v>40</v>
      </c>
      <c r="H300" s="56">
        <f>60+100</f>
        <v>160</v>
      </c>
      <c r="I300" s="56">
        <f t="shared" si="48"/>
        <v>0</v>
      </c>
      <c r="J300" s="59">
        <v>100</v>
      </c>
      <c r="K300" s="59">
        <v>300</v>
      </c>
      <c r="L300" s="56">
        <f t="shared" si="42"/>
        <v>1150</v>
      </c>
      <c r="M300" s="66">
        <v>600</v>
      </c>
      <c r="N300" s="56">
        <f>100</f>
        <v>100</v>
      </c>
      <c r="O300" s="59">
        <v>240</v>
      </c>
      <c r="P300" s="59">
        <v>40</v>
      </c>
      <c r="Q300" s="59">
        <f t="shared" si="43"/>
        <v>315</v>
      </c>
      <c r="R300" s="59">
        <f t="shared" si="44"/>
        <v>100</v>
      </c>
      <c r="S300" s="56">
        <f t="shared" si="45"/>
        <v>695</v>
      </c>
      <c r="T300" s="56">
        <f>50</f>
        <v>50</v>
      </c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</row>
    <row r="301" spans="1:30" ht="15.75">
      <c r="A301" s="14">
        <v>50464</v>
      </c>
      <c r="B301" s="68">
        <v>28</v>
      </c>
      <c r="C301" s="56">
        <f>122.58</f>
        <v>122.58</v>
      </c>
      <c r="D301" s="56">
        <f>297.941</f>
        <v>297.94099999999997</v>
      </c>
      <c r="E301" s="64">
        <f>89.177</f>
        <v>89.177000000000007</v>
      </c>
      <c r="F301" s="56">
        <f>240.302-40-60-100</f>
        <v>40.301999999999992</v>
      </c>
      <c r="G301" s="59">
        <v>40</v>
      </c>
      <c r="H301" s="56">
        <f>60+100</f>
        <v>160</v>
      </c>
      <c r="I301" s="56">
        <f t="shared" si="48"/>
        <v>0</v>
      </c>
      <c r="J301" s="59">
        <v>100</v>
      </c>
      <c r="K301" s="59">
        <v>300</v>
      </c>
      <c r="L301" s="56">
        <f t="shared" si="42"/>
        <v>1150</v>
      </c>
      <c r="M301" s="66">
        <v>600</v>
      </c>
      <c r="N301" s="56">
        <f>100</f>
        <v>100</v>
      </c>
      <c r="O301" s="59">
        <v>240</v>
      </c>
      <c r="P301" s="59">
        <v>40</v>
      </c>
      <c r="Q301" s="59">
        <f t="shared" si="43"/>
        <v>315</v>
      </c>
      <c r="R301" s="59">
        <f t="shared" si="44"/>
        <v>100</v>
      </c>
      <c r="S301" s="56">
        <f t="shared" si="45"/>
        <v>695</v>
      </c>
      <c r="T301" s="56">
        <f>50</f>
        <v>50</v>
      </c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</row>
    <row r="302" spans="1:30" ht="15.75">
      <c r="A302" s="14">
        <v>50495</v>
      </c>
      <c r="B302" s="68">
        <v>31</v>
      </c>
      <c r="C302" s="56">
        <f>122.58</f>
        <v>122.58</v>
      </c>
      <c r="D302" s="56">
        <f>297.941</f>
        <v>297.94099999999997</v>
      </c>
      <c r="E302" s="64">
        <f>89.177</f>
        <v>89.177000000000007</v>
      </c>
      <c r="F302" s="56">
        <f>240.302-40-60-100</f>
        <v>40.301999999999992</v>
      </c>
      <c r="G302" s="59">
        <v>40</v>
      </c>
      <c r="H302" s="56">
        <f>60+100</f>
        <v>160</v>
      </c>
      <c r="I302" s="56">
        <f t="shared" si="48"/>
        <v>0</v>
      </c>
      <c r="J302" s="59">
        <v>100</v>
      </c>
      <c r="K302" s="59">
        <v>300</v>
      </c>
      <c r="L302" s="56">
        <f t="shared" si="42"/>
        <v>1150</v>
      </c>
      <c r="M302" s="66">
        <v>600</v>
      </c>
      <c r="N302" s="56">
        <f>100</f>
        <v>100</v>
      </c>
      <c r="O302" s="59">
        <v>240</v>
      </c>
      <c r="P302" s="59">
        <v>40</v>
      </c>
      <c r="Q302" s="59">
        <f t="shared" si="43"/>
        <v>315</v>
      </c>
      <c r="R302" s="59">
        <f t="shared" si="44"/>
        <v>100</v>
      </c>
      <c r="S302" s="56">
        <f t="shared" si="45"/>
        <v>695</v>
      </c>
      <c r="T302" s="56">
        <f>50</f>
        <v>50</v>
      </c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</row>
    <row r="303" spans="1:30" ht="15.75">
      <c r="A303" s="14">
        <v>50525</v>
      </c>
      <c r="B303" s="68">
        <v>30</v>
      </c>
      <c r="C303" s="56">
        <f>141.293</f>
        <v>141.29300000000001</v>
      </c>
      <c r="D303" s="56">
        <f>267.993</f>
        <v>267.99299999999999</v>
      </c>
      <c r="E303" s="64">
        <f>115.016</f>
        <v>115.01600000000001</v>
      </c>
      <c r="F303" s="56">
        <f>314.698-40-25-60-100</f>
        <v>89.697999999999979</v>
      </c>
      <c r="G303" s="59">
        <v>40</v>
      </c>
      <c r="H303" s="56">
        <f t="shared" ref="H303:H309" si="49">25+60+100</f>
        <v>185</v>
      </c>
      <c r="I303" s="56">
        <f t="shared" si="48"/>
        <v>0</v>
      </c>
      <c r="J303" s="59">
        <v>100</v>
      </c>
      <c r="K303" s="59">
        <v>300</v>
      </c>
      <c r="L303" s="56">
        <f t="shared" si="42"/>
        <v>1239</v>
      </c>
      <c r="M303" s="66">
        <v>600</v>
      </c>
      <c r="N303" s="56">
        <f>100</f>
        <v>100</v>
      </c>
      <c r="O303" s="59">
        <v>240</v>
      </c>
      <c r="P303" s="59">
        <v>160</v>
      </c>
      <c r="Q303" s="59">
        <f t="shared" si="43"/>
        <v>195</v>
      </c>
      <c r="R303" s="59">
        <f t="shared" si="44"/>
        <v>100</v>
      </c>
      <c r="S303" s="56">
        <f t="shared" si="45"/>
        <v>695</v>
      </c>
      <c r="T303" s="56">
        <f>50</f>
        <v>50</v>
      </c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</row>
    <row r="304" spans="1:30" ht="15.75">
      <c r="A304" s="14">
        <v>50556</v>
      </c>
      <c r="B304" s="68">
        <v>31</v>
      </c>
      <c r="C304" s="56">
        <f>194.205</f>
        <v>194.20500000000001</v>
      </c>
      <c r="D304" s="56">
        <f>267.466</f>
        <v>267.46600000000001</v>
      </c>
      <c r="E304" s="64">
        <f>133.845</f>
        <v>133.845</v>
      </c>
      <c r="F304" s="56">
        <f>278.484-40-25-60-100</f>
        <v>53.48399999999998</v>
      </c>
      <c r="G304" s="59">
        <v>40</v>
      </c>
      <c r="H304" s="56">
        <f t="shared" si="49"/>
        <v>185</v>
      </c>
      <c r="I304" s="56">
        <f t="shared" si="48"/>
        <v>0</v>
      </c>
      <c r="J304" s="59">
        <v>100</v>
      </c>
      <c r="K304" s="59">
        <v>300</v>
      </c>
      <c r="L304" s="56">
        <f t="shared" si="42"/>
        <v>1274</v>
      </c>
      <c r="M304" s="66">
        <v>600</v>
      </c>
      <c r="N304" s="56">
        <f>75</f>
        <v>75</v>
      </c>
      <c r="O304" s="59">
        <v>240</v>
      </c>
      <c r="P304" s="59">
        <v>160</v>
      </c>
      <c r="Q304" s="59">
        <f t="shared" si="43"/>
        <v>195</v>
      </c>
      <c r="R304" s="59">
        <f t="shared" si="44"/>
        <v>100</v>
      </c>
      <c r="S304" s="56">
        <f t="shared" si="45"/>
        <v>695</v>
      </c>
      <c r="T304" s="56">
        <f>50</f>
        <v>50</v>
      </c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</row>
    <row r="305" spans="1:30" ht="15.75">
      <c r="A305" s="14">
        <v>50586</v>
      </c>
      <c r="B305" s="68">
        <v>30</v>
      </c>
      <c r="C305" s="56">
        <f>194.205</f>
        <v>194.20500000000001</v>
      </c>
      <c r="D305" s="56">
        <f>267.466</f>
        <v>267.46600000000001</v>
      </c>
      <c r="E305" s="64">
        <f>133.845</f>
        <v>133.845</v>
      </c>
      <c r="F305" s="56">
        <f>278.484-40-25-60-100</f>
        <v>53.48399999999998</v>
      </c>
      <c r="G305" s="59">
        <v>40</v>
      </c>
      <c r="H305" s="56">
        <f t="shared" si="49"/>
        <v>185</v>
      </c>
      <c r="I305" s="56">
        <f t="shared" si="48"/>
        <v>0</v>
      </c>
      <c r="J305" s="59">
        <v>100</v>
      </c>
      <c r="K305" s="59">
        <v>300</v>
      </c>
      <c r="L305" s="56">
        <f t="shared" si="42"/>
        <v>1274</v>
      </c>
      <c r="M305" s="66">
        <v>600</v>
      </c>
      <c r="N305" s="56">
        <f>30</f>
        <v>30</v>
      </c>
      <c r="O305" s="59">
        <v>240</v>
      </c>
      <c r="P305" s="59">
        <v>160</v>
      </c>
      <c r="Q305" s="59">
        <f t="shared" si="43"/>
        <v>195</v>
      </c>
      <c r="R305" s="59">
        <f t="shared" si="44"/>
        <v>100</v>
      </c>
      <c r="S305" s="56">
        <f t="shared" si="45"/>
        <v>695</v>
      </c>
      <c r="T305" s="56">
        <f>50</f>
        <v>50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</row>
    <row r="306" spans="1:30" ht="15.75">
      <c r="A306" s="14">
        <v>50617</v>
      </c>
      <c r="B306" s="68">
        <v>31</v>
      </c>
      <c r="C306" s="56">
        <f>194.205</f>
        <v>194.20500000000001</v>
      </c>
      <c r="D306" s="56">
        <f>267.466</f>
        <v>267.46600000000001</v>
      </c>
      <c r="E306" s="64">
        <f>133.845</f>
        <v>133.845</v>
      </c>
      <c r="F306" s="56">
        <f>278.484-40-25-60-100</f>
        <v>53.48399999999998</v>
      </c>
      <c r="G306" s="59">
        <v>40</v>
      </c>
      <c r="H306" s="56">
        <f t="shared" si="49"/>
        <v>185</v>
      </c>
      <c r="I306" s="56">
        <f t="shared" si="48"/>
        <v>0</v>
      </c>
      <c r="J306" s="59">
        <v>100</v>
      </c>
      <c r="K306" s="59">
        <v>300</v>
      </c>
      <c r="L306" s="56">
        <f t="shared" si="42"/>
        <v>1274</v>
      </c>
      <c r="M306" s="66">
        <v>600</v>
      </c>
      <c r="N306" s="56">
        <f>30</f>
        <v>30</v>
      </c>
      <c r="O306" s="59">
        <v>240</v>
      </c>
      <c r="P306" s="59">
        <v>160</v>
      </c>
      <c r="Q306" s="59">
        <f t="shared" si="43"/>
        <v>195</v>
      </c>
      <c r="R306" s="59">
        <f t="shared" si="44"/>
        <v>100</v>
      </c>
      <c r="S306" s="56">
        <f t="shared" si="45"/>
        <v>695</v>
      </c>
      <c r="T306" s="56">
        <f>0</f>
        <v>0</v>
      </c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</row>
    <row r="307" spans="1:30" ht="15.75">
      <c r="A307" s="14">
        <v>50648</v>
      </c>
      <c r="B307" s="68">
        <v>31</v>
      </c>
      <c r="C307" s="56">
        <f>194.205</f>
        <v>194.20500000000001</v>
      </c>
      <c r="D307" s="56">
        <f>267.466</f>
        <v>267.46600000000001</v>
      </c>
      <c r="E307" s="64">
        <f>133.845</f>
        <v>133.845</v>
      </c>
      <c r="F307" s="56">
        <f>278.484-40-25-60-100</f>
        <v>53.48399999999998</v>
      </c>
      <c r="G307" s="59">
        <v>40</v>
      </c>
      <c r="H307" s="56">
        <f t="shared" si="49"/>
        <v>185</v>
      </c>
      <c r="I307" s="56">
        <f t="shared" si="48"/>
        <v>0</v>
      </c>
      <c r="J307" s="59">
        <v>100</v>
      </c>
      <c r="K307" s="59">
        <v>300</v>
      </c>
      <c r="L307" s="56">
        <f t="shared" si="42"/>
        <v>1274</v>
      </c>
      <c r="M307" s="66">
        <v>600</v>
      </c>
      <c r="N307" s="56">
        <f>30</f>
        <v>30</v>
      </c>
      <c r="O307" s="59">
        <v>240</v>
      </c>
      <c r="P307" s="59">
        <v>160</v>
      </c>
      <c r="Q307" s="59">
        <f t="shared" si="43"/>
        <v>195</v>
      </c>
      <c r="R307" s="59">
        <f t="shared" si="44"/>
        <v>100</v>
      </c>
      <c r="S307" s="56">
        <f t="shared" si="45"/>
        <v>695</v>
      </c>
      <c r="T307" s="56">
        <f>0</f>
        <v>0</v>
      </c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</row>
    <row r="308" spans="1:30" ht="15.75">
      <c r="A308" s="14">
        <v>50678</v>
      </c>
      <c r="B308" s="68">
        <v>30</v>
      </c>
      <c r="C308" s="56">
        <f>194.205</f>
        <v>194.20500000000001</v>
      </c>
      <c r="D308" s="56">
        <f>267.466</f>
        <v>267.46600000000001</v>
      </c>
      <c r="E308" s="64">
        <f>133.845</f>
        <v>133.845</v>
      </c>
      <c r="F308" s="56">
        <f>278.484-40-25-60-100</f>
        <v>53.48399999999998</v>
      </c>
      <c r="G308" s="59">
        <v>40</v>
      </c>
      <c r="H308" s="56">
        <f t="shared" si="49"/>
        <v>185</v>
      </c>
      <c r="I308" s="56">
        <f t="shared" si="48"/>
        <v>0</v>
      </c>
      <c r="J308" s="59">
        <v>100</v>
      </c>
      <c r="K308" s="59">
        <v>300</v>
      </c>
      <c r="L308" s="56">
        <f t="shared" si="42"/>
        <v>1274</v>
      </c>
      <c r="M308" s="66">
        <v>600</v>
      </c>
      <c r="N308" s="56">
        <f>30</f>
        <v>30</v>
      </c>
      <c r="O308" s="59">
        <v>240</v>
      </c>
      <c r="P308" s="59">
        <v>160</v>
      </c>
      <c r="Q308" s="59">
        <f t="shared" si="43"/>
        <v>195</v>
      </c>
      <c r="R308" s="59">
        <f t="shared" si="44"/>
        <v>100</v>
      </c>
      <c r="S308" s="56">
        <f t="shared" si="45"/>
        <v>695</v>
      </c>
      <c r="T308" s="56">
        <f>0</f>
        <v>0</v>
      </c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</row>
    <row r="309" spans="1:30" ht="15.75">
      <c r="A309" s="14">
        <v>50709</v>
      </c>
      <c r="B309" s="68">
        <v>31</v>
      </c>
      <c r="C309" s="56">
        <f>131.881</f>
        <v>131.881</v>
      </c>
      <c r="D309" s="56">
        <f>277.167</f>
        <v>277.16699999999997</v>
      </c>
      <c r="E309" s="64">
        <f>79.08</f>
        <v>79.08</v>
      </c>
      <c r="F309" s="56">
        <f>350.872-40-25-60-100</f>
        <v>125.87200000000001</v>
      </c>
      <c r="G309" s="59">
        <v>40</v>
      </c>
      <c r="H309" s="56">
        <f t="shared" si="49"/>
        <v>185</v>
      </c>
      <c r="I309" s="56">
        <f t="shared" si="48"/>
        <v>0</v>
      </c>
      <c r="J309" s="59">
        <v>100</v>
      </c>
      <c r="K309" s="59">
        <v>300</v>
      </c>
      <c r="L309" s="56">
        <f t="shared" si="42"/>
        <v>1239</v>
      </c>
      <c r="M309" s="66">
        <v>600</v>
      </c>
      <c r="N309" s="56">
        <f>75</f>
        <v>75</v>
      </c>
      <c r="O309" s="59">
        <v>240</v>
      </c>
      <c r="P309" s="59">
        <v>160</v>
      </c>
      <c r="Q309" s="59">
        <f t="shared" si="43"/>
        <v>195</v>
      </c>
      <c r="R309" s="59">
        <f t="shared" si="44"/>
        <v>100</v>
      </c>
      <c r="S309" s="56">
        <f t="shared" si="45"/>
        <v>695</v>
      </c>
      <c r="T309" s="56">
        <f>0</f>
        <v>0</v>
      </c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</row>
    <row r="310" spans="1:30" ht="15.75">
      <c r="A310" s="14">
        <v>50739</v>
      </c>
      <c r="B310" s="68">
        <v>30</v>
      </c>
      <c r="C310" s="56">
        <f>122.58</f>
        <v>122.58</v>
      </c>
      <c r="D310" s="56">
        <f>297.941</f>
        <v>297.94099999999997</v>
      </c>
      <c r="E310" s="64">
        <f>89.177</f>
        <v>89.177000000000007</v>
      </c>
      <c r="F310" s="56">
        <f>240.302-40-60-100</f>
        <v>40.301999999999992</v>
      </c>
      <c r="G310" s="59">
        <v>40</v>
      </c>
      <c r="H310" s="56">
        <f>60+100</f>
        <v>160</v>
      </c>
      <c r="I310" s="56">
        <f t="shared" si="48"/>
        <v>0</v>
      </c>
      <c r="J310" s="59">
        <v>100</v>
      </c>
      <c r="K310" s="59">
        <v>300</v>
      </c>
      <c r="L310" s="56">
        <f t="shared" si="42"/>
        <v>1150</v>
      </c>
      <c r="M310" s="66">
        <v>600</v>
      </c>
      <c r="N310" s="56">
        <f>100</f>
        <v>100</v>
      </c>
      <c r="O310" s="59">
        <v>240</v>
      </c>
      <c r="P310" s="59">
        <v>40</v>
      </c>
      <c r="Q310" s="59">
        <f t="shared" si="43"/>
        <v>315</v>
      </c>
      <c r="R310" s="59">
        <f t="shared" si="44"/>
        <v>100</v>
      </c>
      <c r="S310" s="56">
        <f t="shared" si="45"/>
        <v>695</v>
      </c>
      <c r="T310" s="56">
        <f>50</f>
        <v>50</v>
      </c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</row>
    <row r="311" spans="1:30" ht="15.75">
      <c r="A311" s="14">
        <v>50770</v>
      </c>
      <c r="B311" s="68">
        <v>31</v>
      </c>
      <c r="C311" s="56">
        <f>122.58</f>
        <v>122.58</v>
      </c>
      <c r="D311" s="56">
        <f>297.941</f>
        <v>297.94099999999997</v>
      </c>
      <c r="E311" s="64">
        <f>89.177</f>
        <v>89.177000000000007</v>
      </c>
      <c r="F311" s="56">
        <f>240.302-40-60-100</f>
        <v>40.301999999999992</v>
      </c>
      <c r="G311" s="59">
        <v>40</v>
      </c>
      <c r="H311" s="56">
        <f>60+100</f>
        <v>160</v>
      </c>
      <c r="I311" s="56">
        <f t="shared" si="48"/>
        <v>0</v>
      </c>
      <c r="J311" s="59">
        <v>100</v>
      </c>
      <c r="K311" s="59">
        <v>300</v>
      </c>
      <c r="L311" s="56">
        <f t="shared" si="42"/>
        <v>1150</v>
      </c>
      <c r="M311" s="66">
        <v>600</v>
      </c>
      <c r="N311" s="56">
        <f>100</f>
        <v>100</v>
      </c>
      <c r="O311" s="59">
        <v>240</v>
      </c>
      <c r="P311" s="59">
        <v>40</v>
      </c>
      <c r="Q311" s="59">
        <f t="shared" si="43"/>
        <v>315</v>
      </c>
      <c r="R311" s="59">
        <f t="shared" si="44"/>
        <v>100</v>
      </c>
      <c r="S311" s="56">
        <f t="shared" si="45"/>
        <v>695</v>
      </c>
      <c r="T311" s="56">
        <f>50</f>
        <v>50</v>
      </c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</row>
    <row r="312" spans="1:30" ht="15.75">
      <c r="A312" s="14">
        <v>50801</v>
      </c>
      <c r="B312" s="68">
        <v>31</v>
      </c>
      <c r="C312" s="56">
        <f>122.58</f>
        <v>122.58</v>
      </c>
      <c r="D312" s="56">
        <f>297.941</f>
        <v>297.94099999999997</v>
      </c>
      <c r="E312" s="64">
        <f>89.177</f>
        <v>89.177000000000007</v>
      </c>
      <c r="F312" s="56">
        <f>240.302-40-60-100</f>
        <v>40.301999999999992</v>
      </c>
      <c r="G312" s="59">
        <v>40</v>
      </c>
      <c r="H312" s="56">
        <f>60+100</f>
        <v>160</v>
      </c>
      <c r="I312" s="56">
        <f t="shared" si="48"/>
        <v>0</v>
      </c>
      <c r="J312" s="59">
        <v>100</v>
      </c>
      <c r="K312" s="59">
        <v>300</v>
      </c>
      <c r="L312" s="56">
        <f t="shared" si="42"/>
        <v>1150</v>
      </c>
      <c r="M312" s="66">
        <v>600</v>
      </c>
      <c r="N312" s="56">
        <f>100</f>
        <v>100</v>
      </c>
      <c r="O312" s="59">
        <v>240</v>
      </c>
      <c r="P312" s="59">
        <v>40</v>
      </c>
      <c r="Q312" s="59">
        <f t="shared" si="43"/>
        <v>315</v>
      </c>
      <c r="R312" s="59">
        <f t="shared" si="44"/>
        <v>100</v>
      </c>
      <c r="S312" s="56">
        <f t="shared" si="45"/>
        <v>695</v>
      </c>
      <c r="T312" s="56">
        <f>50</f>
        <v>50</v>
      </c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</row>
    <row r="313" spans="1:30" ht="15.75">
      <c r="A313" s="14">
        <v>50829</v>
      </c>
      <c r="B313" s="68">
        <v>28</v>
      </c>
      <c r="C313" s="56">
        <f>122.58</f>
        <v>122.58</v>
      </c>
      <c r="D313" s="56">
        <f>297.941</f>
        <v>297.94099999999997</v>
      </c>
      <c r="E313" s="64">
        <f>89.177</f>
        <v>89.177000000000007</v>
      </c>
      <c r="F313" s="56">
        <f>240.302-40-60-100</f>
        <v>40.301999999999992</v>
      </c>
      <c r="G313" s="59">
        <v>40</v>
      </c>
      <c r="H313" s="56">
        <f>60+100</f>
        <v>160</v>
      </c>
      <c r="I313" s="56">
        <f t="shared" si="48"/>
        <v>0</v>
      </c>
      <c r="J313" s="59">
        <v>100</v>
      </c>
      <c r="K313" s="59">
        <v>300</v>
      </c>
      <c r="L313" s="56">
        <f t="shared" si="42"/>
        <v>1150</v>
      </c>
      <c r="M313" s="66">
        <v>600</v>
      </c>
      <c r="N313" s="56">
        <f>100</f>
        <v>100</v>
      </c>
      <c r="O313" s="59">
        <v>240</v>
      </c>
      <c r="P313" s="59">
        <v>40</v>
      </c>
      <c r="Q313" s="59">
        <f t="shared" si="43"/>
        <v>315</v>
      </c>
      <c r="R313" s="59">
        <f t="shared" si="44"/>
        <v>100</v>
      </c>
      <c r="S313" s="56">
        <f t="shared" si="45"/>
        <v>695</v>
      </c>
      <c r="T313" s="56">
        <f>50</f>
        <v>50</v>
      </c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</row>
    <row r="314" spans="1:30" ht="15.75">
      <c r="A314" s="14">
        <v>50860</v>
      </c>
      <c r="B314" s="68">
        <v>31</v>
      </c>
      <c r="C314" s="56">
        <f>122.58</f>
        <v>122.58</v>
      </c>
      <c r="D314" s="56">
        <f>297.941</f>
        <v>297.94099999999997</v>
      </c>
      <c r="E314" s="64">
        <f>89.177</f>
        <v>89.177000000000007</v>
      </c>
      <c r="F314" s="56">
        <f>240.302-40-60-100</f>
        <v>40.301999999999992</v>
      </c>
      <c r="G314" s="59">
        <v>40</v>
      </c>
      <c r="H314" s="56">
        <f>60+100</f>
        <v>160</v>
      </c>
      <c r="I314" s="56">
        <f t="shared" si="48"/>
        <v>0</v>
      </c>
      <c r="J314" s="59">
        <v>100</v>
      </c>
      <c r="K314" s="59">
        <v>300</v>
      </c>
      <c r="L314" s="56">
        <f t="shared" si="42"/>
        <v>1150</v>
      </c>
      <c r="M314" s="66">
        <v>600</v>
      </c>
      <c r="N314" s="56">
        <f>100</f>
        <v>100</v>
      </c>
      <c r="O314" s="59">
        <v>240</v>
      </c>
      <c r="P314" s="59">
        <v>40</v>
      </c>
      <c r="Q314" s="59">
        <f t="shared" si="43"/>
        <v>315</v>
      </c>
      <c r="R314" s="59">
        <f t="shared" si="44"/>
        <v>100</v>
      </c>
      <c r="S314" s="56">
        <f t="shared" si="45"/>
        <v>695</v>
      </c>
      <c r="T314" s="56">
        <f>50</f>
        <v>50</v>
      </c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</row>
    <row r="315" spans="1:30" ht="15.75">
      <c r="A315" s="14">
        <v>50890</v>
      </c>
      <c r="B315" s="68">
        <v>30</v>
      </c>
      <c r="C315" s="56">
        <f>141.293</f>
        <v>141.29300000000001</v>
      </c>
      <c r="D315" s="56">
        <f>267.993</f>
        <v>267.99299999999999</v>
      </c>
      <c r="E315" s="64">
        <f>115.016</f>
        <v>115.01600000000001</v>
      </c>
      <c r="F315" s="56">
        <f>314.698-40-25-60-100</f>
        <v>89.697999999999979</v>
      </c>
      <c r="G315" s="59">
        <v>40</v>
      </c>
      <c r="H315" s="56">
        <f t="shared" ref="H315:H321" si="50">25+60+100</f>
        <v>185</v>
      </c>
      <c r="I315" s="56">
        <f t="shared" si="48"/>
        <v>0</v>
      </c>
      <c r="J315" s="59">
        <v>100</v>
      </c>
      <c r="K315" s="59">
        <v>300</v>
      </c>
      <c r="L315" s="56">
        <f t="shared" si="42"/>
        <v>1239</v>
      </c>
      <c r="M315" s="66">
        <v>600</v>
      </c>
      <c r="N315" s="56">
        <f>100</f>
        <v>100</v>
      </c>
      <c r="O315" s="59">
        <v>240</v>
      </c>
      <c r="P315" s="59">
        <v>160</v>
      </c>
      <c r="Q315" s="59">
        <f t="shared" si="43"/>
        <v>195</v>
      </c>
      <c r="R315" s="59">
        <f t="shared" si="44"/>
        <v>100</v>
      </c>
      <c r="S315" s="56">
        <f t="shared" si="45"/>
        <v>695</v>
      </c>
      <c r="T315" s="56">
        <f>50</f>
        <v>50</v>
      </c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</row>
    <row r="316" spans="1:30" ht="15.75">
      <c r="A316" s="14">
        <v>50921</v>
      </c>
      <c r="B316" s="68">
        <v>31</v>
      </c>
      <c r="C316" s="56">
        <f>194.205</f>
        <v>194.20500000000001</v>
      </c>
      <c r="D316" s="56">
        <f>267.466</f>
        <v>267.46600000000001</v>
      </c>
      <c r="E316" s="64">
        <f>133.845</f>
        <v>133.845</v>
      </c>
      <c r="F316" s="56">
        <f>278.484-40-25-60-100</f>
        <v>53.48399999999998</v>
      </c>
      <c r="G316" s="59">
        <v>40</v>
      </c>
      <c r="H316" s="56">
        <f t="shared" si="50"/>
        <v>185</v>
      </c>
      <c r="I316" s="56">
        <f t="shared" si="48"/>
        <v>0</v>
      </c>
      <c r="J316" s="59">
        <v>100</v>
      </c>
      <c r="K316" s="59">
        <v>300</v>
      </c>
      <c r="L316" s="56">
        <f t="shared" si="42"/>
        <v>1274</v>
      </c>
      <c r="M316" s="66">
        <v>600</v>
      </c>
      <c r="N316" s="56">
        <f>75</f>
        <v>75</v>
      </c>
      <c r="O316" s="59">
        <v>240</v>
      </c>
      <c r="P316" s="59">
        <v>160</v>
      </c>
      <c r="Q316" s="59">
        <f t="shared" si="43"/>
        <v>195</v>
      </c>
      <c r="R316" s="59">
        <f t="shared" si="44"/>
        <v>100</v>
      </c>
      <c r="S316" s="56">
        <f t="shared" si="45"/>
        <v>695</v>
      </c>
      <c r="T316" s="56">
        <f>50</f>
        <v>50</v>
      </c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</row>
    <row r="317" spans="1:30" ht="15.75">
      <c r="A317" s="14">
        <v>50951</v>
      </c>
      <c r="B317" s="68">
        <v>30</v>
      </c>
      <c r="C317" s="56">
        <f>194.205</f>
        <v>194.20500000000001</v>
      </c>
      <c r="D317" s="56">
        <f>267.466</f>
        <v>267.46600000000001</v>
      </c>
      <c r="E317" s="64">
        <f>133.845</f>
        <v>133.845</v>
      </c>
      <c r="F317" s="56">
        <f>278.484-40-25-60-100</f>
        <v>53.48399999999998</v>
      </c>
      <c r="G317" s="59">
        <v>40</v>
      </c>
      <c r="H317" s="56">
        <f t="shared" si="50"/>
        <v>185</v>
      </c>
      <c r="I317" s="56">
        <f t="shared" si="48"/>
        <v>0</v>
      </c>
      <c r="J317" s="59">
        <v>100</v>
      </c>
      <c r="K317" s="59">
        <v>300</v>
      </c>
      <c r="L317" s="56">
        <f t="shared" si="42"/>
        <v>1274</v>
      </c>
      <c r="M317" s="66">
        <v>600</v>
      </c>
      <c r="N317" s="56">
        <f>30</f>
        <v>30</v>
      </c>
      <c r="O317" s="59">
        <v>240</v>
      </c>
      <c r="P317" s="59">
        <v>160</v>
      </c>
      <c r="Q317" s="59">
        <f t="shared" si="43"/>
        <v>195</v>
      </c>
      <c r="R317" s="59">
        <f t="shared" si="44"/>
        <v>100</v>
      </c>
      <c r="S317" s="56">
        <f t="shared" si="45"/>
        <v>695</v>
      </c>
      <c r="T317" s="56">
        <f>50</f>
        <v>50</v>
      </c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</row>
    <row r="318" spans="1:30" ht="15.75">
      <c r="A318" s="14">
        <v>50982</v>
      </c>
      <c r="B318" s="68">
        <v>31</v>
      </c>
      <c r="C318" s="56">
        <f>194.205</f>
        <v>194.20500000000001</v>
      </c>
      <c r="D318" s="56">
        <f>267.466</f>
        <v>267.46600000000001</v>
      </c>
      <c r="E318" s="64">
        <f>133.845</f>
        <v>133.845</v>
      </c>
      <c r="F318" s="56">
        <f>278.484-40-25-60-100</f>
        <v>53.48399999999998</v>
      </c>
      <c r="G318" s="59">
        <v>40</v>
      </c>
      <c r="H318" s="56">
        <f t="shared" si="50"/>
        <v>185</v>
      </c>
      <c r="I318" s="56">
        <f t="shared" si="48"/>
        <v>0</v>
      </c>
      <c r="J318" s="59">
        <v>100</v>
      </c>
      <c r="K318" s="59">
        <v>300</v>
      </c>
      <c r="L318" s="56">
        <f t="shared" si="42"/>
        <v>1274</v>
      </c>
      <c r="M318" s="66">
        <v>600</v>
      </c>
      <c r="N318" s="56">
        <f>30</f>
        <v>30</v>
      </c>
      <c r="O318" s="59">
        <v>240</v>
      </c>
      <c r="P318" s="59">
        <v>160</v>
      </c>
      <c r="Q318" s="59">
        <f t="shared" si="43"/>
        <v>195</v>
      </c>
      <c r="R318" s="59">
        <f t="shared" si="44"/>
        <v>100</v>
      </c>
      <c r="S318" s="56">
        <f t="shared" si="45"/>
        <v>695</v>
      </c>
      <c r="T318" s="56">
        <f>0</f>
        <v>0</v>
      </c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</row>
    <row r="319" spans="1:30" ht="15.75">
      <c r="A319" s="14">
        <v>51013</v>
      </c>
      <c r="B319" s="68">
        <v>31</v>
      </c>
      <c r="C319" s="56">
        <f>194.205</f>
        <v>194.20500000000001</v>
      </c>
      <c r="D319" s="56">
        <f>267.466</f>
        <v>267.46600000000001</v>
      </c>
      <c r="E319" s="64">
        <f>133.845</f>
        <v>133.845</v>
      </c>
      <c r="F319" s="56">
        <f>278.484-40-25-60-100</f>
        <v>53.48399999999998</v>
      </c>
      <c r="G319" s="59">
        <v>40</v>
      </c>
      <c r="H319" s="56">
        <f t="shared" si="50"/>
        <v>185</v>
      </c>
      <c r="I319" s="56">
        <f t="shared" si="48"/>
        <v>0</v>
      </c>
      <c r="J319" s="59">
        <v>100</v>
      </c>
      <c r="K319" s="59">
        <v>300</v>
      </c>
      <c r="L319" s="56">
        <f t="shared" si="42"/>
        <v>1274</v>
      </c>
      <c r="M319" s="66">
        <v>600</v>
      </c>
      <c r="N319" s="56">
        <f>30</f>
        <v>30</v>
      </c>
      <c r="O319" s="59">
        <v>240</v>
      </c>
      <c r="P319" s="59">
        <v>160</v>
      </c>
      <c r="Q319" s="59">
        <f t="shared" si="43"/>
        <v>195</v>
      </c>
      <c r="R319" s="59">
        <f t="shared" si="44"/>
        <v>100</v>
      </c>
      <c r="S319" s="56">
        <f t="shared" si="45"/>
        <v>695</v>
      </c>
      <c r="T319" s="56">
        <f>0</f>
        <v>0</v>
      </c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</row>
    <row r="320" spans="1:30" ht="15.75">
      <c r="A320" s="14">
        <v>51043</v>
      </c>
      <c r="B320" s="68">
        <v>30</v>
      </c>
      <c r="C320" s="56">
        <f>194.205</f>
        <v>194.20500000000001</v>
      </c>
      <c r="D320" s="56">
        <f>267.466</f>
        <v>267.46600000000001</v>
      </c>
      <c r="E320" s="64">
        <f>133.845</f>
        <v>133.845</v>
      </c>
      <c r="F320" s="56">
        <f>278.484-40-25-60-100</f>
        <v>53.48399999999998</v>
      </c>
      <c r="G320" s="59">
        <v>40</v>
      </c>
      <c r="H320" s="56">
        <f t="shared" si="50"/>
        <v>185</v>
      </c>
      <c r="I320" s="56">
        <f t="shared" si="48"/>
        <v>0</v>
      </c>
      <c r="J320" s="59">
        <v>100</v>
      </c>
      <c r="K320" s="59">
        <v>300</v>
      </c>
      <c r="L320" s="56">
        <f t="shared" si="42"/>
        <v>1274</v>
      </c>
      <c r="M320" s="66">
        <v>600</v>
      </c>
      <c r="N320" s="56">
        <f>30</f>
        <v>30</v>
      </c>
      <c r="O320" s="59">
        <v>240</v>
      </c>
      <c r="P320" s="59">
        <v>160</v>
      </c>
      <c r="Q320" s="59">
        <f t="shared" si="43"/>
        <v>195</v>
      </c>
      <c r="R320" s="59">
        <f t="shared" si="44"/>
        <v>100</v>
      </c>
      <c r="S320" s="56">
        <f t="shared" si="45"/>
        <v>695</v>
      </c>
      <c r="T320" s="56">
        <f>0</f>
        <v>0</v>
      </c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</row>
    <row r="321" spans="1:30" ht="15.75">
      <c r="A321" s="14">
        <v>51074</v>
      </c>
      <c r="B321" s="68">
        <v>31</v>
      </c>
      <c r="C321" s="56">
        <f>131.881</f>
        <v>131.881</v>
      </c>
      <c r="D321" s="56">
        <f>277.167</f>
        <v>277.16699999999997</v>
      </c>
      <c r="E321" s="64">
        <f>79.08</f>
        <v>79.08</v>
      </c>
      <c r="F321" s="56">
        <f>350.872-40-25-60-100</f>
        <v>125.87200000000001</v>
      </c>
      <c r="G321" s="59">
        <v>40</v>
      </c>
      <c r="H321" s="56">
        <f t="shared" si="50"/>
        <v>185</v>
      </c>
      <c r="I321" s="56">
        <f t="shared" si="48"/>
        <v>0</v>
      </c>
      <c r="J321" s="59">
        <v>100</v>
      </c>
      <c r="K321" s="59">
        <v>300</v>
      </c>
      <c r="L321" s="56">
        <f t="shared" si="42"/>
        <v>1239</v>
      </c>
      <c r="M321" s="66">
        <v>600</v>
      </c>
      <c r="N321" s="56">
        <f>75</f>
        <v>75</v>
      </c>
      <c r="O321" s="59">
        <v>240</v>
      </c>
      <c r="P321" s="59">
        <v>160</v>
      </c>
      <c r="Q321" s="59">
        <f t="shared" si="43"/>
        <v>195</v>
      </c>
      <c r="R321" s="59">
        <f t="shared" si="44"/>
        <v>100</v>
      </c>
      <c r="S321" s="56">
        <f t="shared" si="45"/>
        <v>695</v>
      </c>
      <c r="T321" s="56">
        <f>0</f>
        <v>0</v>
      </c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</row>
    <row r="322" spans="1:30" ht="15.75">
      <c r="A322" s="14">
        <v>51104</v>
      </c>
      <c r="B322" s="68">
        <v>30</v>
      </c>
      <c r="C322" s="56">
        <f>122.58</f>
        <v>122.58</v>
      </c>
      <c r="D322" s="56">
        <f>297.941</f>
        <v>297.94099999999997</v>
      </c>
      <c r="E322" s="64">
        <f>89.177</f>
        <v>89.177000000000007</v>
      </c>
      <c r="F322" s="56">
        <f>240.302-40-60-100</f>
        <v>40.301999999999992</v>
      </c>
      <c r="G322" s="59">
        <v>40</v>
      </c>
      <c r="H322" s="56">
        <f>60+100</f>
        <v>160</v>
      </c>
      <c r="I322" s="56">
        <f t="shared" si="48"/>
        <v>0</v>
      </c>
      <c r="J322" s="59">
        <v>100</v>
      </c>
      <c r="K322" s="59">
        <v>300</v>
      </c>
      <c r="L322" s="56">
        <f t="shared" si="42"/>
        <v>1150</v>
      </c>
      <c r="M322" s="66">
        <v>600</v>
      </c>
      <c r="N322" s="56">
        <f>100</f>
        <v>100</v>
      </c>
      <c r="O322" s="59">
        <v>240</v>
      </c>
      <c r="P322" s="59">
        <v>40</v>
      </c>
      <c r="Q322" s="59">
        <f t="shared" si="43"/>
        <v>315</v>
      </c>
      <c r="R322" s="59">
        <f t="shared" si="44"/>
        <v>100</v>
      </c>
      <c r="S322" s="56">
        <f t="shared" si="45"/>
        <v>695</v>
      </c>
      <c r="T322" s="56">
        <f>50</f>
        <v>50</v>
      </c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</row>
    <row r="323" spans="1:30" ht="15.75">
      <c r="A323" s="14">
        <v>51135</v>
      </c>
      <c r="B323" s="68">
        <v>31</v>
      </c>
      <c r="C323" s="56">
        <f>122.58</f>
        <v>122.58</v>
      </c>
      <c r="D323" s="56">
        <f>297.941</f>
        <v>297.94099999999997</v>
      </c>
      <c r="E323" s="64">
        <f>89.177</f>
        <v>89.177000000000007</v>
      </c>
      <c r="F323" s="56">
        <f>240.302-40-60-100</f>
        <v>40.301999999999992</v>
      </c>
      <c r="G323" s="59">
        <v>40</v>
      </c>
      <c r="H323" s="56">
        <f>60+100</f>
        <v>160</v>
      </c>
      <c r="I323" s="56">
        <f t="shared" si="48"/>
        <v>0</v>
      </c>
      <c r="J323" s="59">
        <v>100</v>
      </c>
      <c r="K323" s="59">
        <v>300</v>
      </c>
      <c r="L323" s="56">
        <f t="shared" si="42"/>
        <v>1150</v>
      </c>
      <c r="M323" s="66">
        <v>600</v>
      </c>
      <c r="N323" s="56">
        <f>100</f>
        <v>100</v>
      </c>
      <c r="O323" s="59">
        <v>240</v>
      </c>
      <c r="P323" s="59">
        <v>40</v>
      </c>
      <c r="Q323" s="59">
        <f t="shared" si="43"/>
        <v>315</v>
      </c>
      <c r="R323" s="59">
        <f t="shared" si="44"/>
        <v>100</v>
      </c>
      <c r="S323" s="56">
        <f t="shared" si="45"/>
        <v>695</v>
      </c>
      <c r="T323" s="56">
        <f>50</f>
        <v>50</v>
      </c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</row>
    <row r="324" spans="1:30" ht="15.75">
      <c r="A324" s="14">
        <v>51166</v>
      </c>
      <c r="B324" s="68">
        <v>31</v>
      </c>
      <c r="C324" s="56">
        <f>122.58</f>
        <v>122.58</v>
      </c>
      <c r="D324" s="56">
        <f>297.941</f>
        <v>297.94099999999997</v>
      </c>
      <c r="E324" s="64">
        <f>89.177</f>
        <v>89.177000000000007</v>
      </c>
      <c r="F324" s="56">
        <f>240.302-40-60-100</f>
        <v>40.301999999999992</v>
      </c>
      <c r="G324" s="59">
        <v>40</v>
      </c>
      <c r="H324" s="56">
        <f>60+100</f>
        <v>160</v>
      </c>
      <c r="I324" s="56">
        <f t="shared" si="48"/>
        <v>0</v>
      </c>
      <c r="J324" s="59">
        <v>100</v>
      </c>
      <c r="K324" s="59">
        <v>300</v>
      </c>
      <c r="L324" s="56">
        <f t="shared" si="42"/>
        <v>1150</v>
      </c>
      <c r="M324" s="66">
        <v>600</v>
      </c>
      <c r="N324" s="56">
        <f>100</f>
        <v>100</v>
      </c>
      <c r="O324" s="59">
        <v>240</v>
      </c>
      <c r="P324" s="59">
        <v>40</v>
      </c>
      <c r="Q324" s="59">
        <f t="shared" si="43"/>
        <v>315</v>
      </c>
      <c r="R324" s="59">
        <f t="shared" si="44"/>
        <v>100</v>
      </c>
      <c r="S324" s="56">
        <f t="shared" si="45"/>
        <v>695</v>
      </c>
      <c r="T324" s="56">
        <f>50</f>
        <v>50</v>
      </c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</row>
    <row r="325" spans="1:30" ht="15.75">
      <c r="A325" s="14">
        <v>51194</v>
      </c>
      <c r="B325" s="68">
        <v>29</v>
      </c>
      <c r="C325" s="56">
        <f>122.58</f>
        <v>122.58</v>
      </c>
      <c r="D325" s="56">
        <f>297.941</f>
        <v>297.94099999999997</v>
      </c>
      <c r="E325" s="64">
        <f>89.177</f>
        <v>89.177000000000007</v>
      </c>
      <c r="F325" s="56">
        <f>240.302-40-60-100</f>
        <v>40.301999999999992</v>
      </c>
      <c r="G325" s="59">
        <v>40</v>
      </c>
      <c r="H325" s="56">
        <f>60+100</f>
        <v>160</v>
      </c>
      <c r="I325" s="56">
        <f t="shared" si="48"/>
        <v>0</v>
      </c>
      <c r="J325" s="59">
        <v>100</v>
      </c>
      <c r="K325" s="59">
        <v>300</v>
      </c>
      <c r="L325" s="56">
        <f t="shared" si="42"/>
        <v>1150</v>
      </c>
      <c r="M325" s="66">
        <v>600</v>
      </c>
      <c r="N325" s="56">
        <f>100</f>
        <v>100</v>
      </c>
      <c r="O325" s="59">
        <v>240</v>
      </c>
      <c r="P325" s="59">
        <v>40</v>
      </c>
      <c r="Q325" s="59">
        <f t="shared" si="43"/>
        <v>315</v>
      </c>
      <c r="R325" s="59">
        <f t="shared" si="44"/>
        <v>100</v>
      </c>
      <c r="S325" s="56">
        <f t="shared" si="45"/>
        <v>695</v>
      </c>
      <c r="T325" s="56">
        <f>50</f>
        <v>50</v>
      </c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</row>
    <row r="326" spans="1:30" ht="15.75">
      <c r="A326" s="14">
        <v>51226</v>
      </c>
      <c r="B326" s="68">
        <v>31</v>
      </c>
      <c r="C326" s="56">
        <f>122.58</f>
        <v>122.58</v>
      </c>
      <c r="D326" s="56">
        <f>297.941</f>
        <v>297.94099999999997</v>
      </c>
      <c r="E326" s="64">
        <f>89.177</f>
        <v>89.177000000000007</v>
      </c>
      <c r="F326" s="56">
        <f>240.302-40-60-100</f>
        <v>40.301999999999992</v>
      </c>
      <c r="G326" s="59">
        <v>40</v>
      </c>
      <c r="H326" s="56">
        <f>60+100</f>
        <v>160</v>
      </c>
      <c r="I326" s="56">
        <f t="shared" si="48"/>
        <v>0</v>
      </c>
      <c r="J326" s="59">
        <v>100</v>
      </c>
      <c r="K326" s="59">
        <v>300</v>
      </c>
      <c r="L326" s="56">
        <f t="shared" si="42"/>
        <v>1150</v>
      </c>
      <c r="M326" s="66">
        <v>600</v>
      </c>
      <c r="N326" s="56">
        <f>100</f>
        <v>100</v>
      </c>
      <c r="O326" s="59">
        <v>240</v>
      </c>
      <c r="P326" s="59">
        <v>40</v>
      </c>
      <c r="Q326" s="59">
        <f t="shared" si="43"/>
        <v>315</v>
      </c>
      <c r="R326" s="59">
        <f t="shared" si="44"/>
        <v>100</v>
      </c>
      <c r="S326" s="56">
        <f t="shared" si="45"/>
        <v>695</v>
      </c>
      <c r="T326" s="56">
        <f>50</f>
        <v>50</v>
      </c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</row>
    <row r="327" spans="1:30" ht="15.75">
      <c r="A327" s="14">
        <v>51256</v>
      </c>
      <c r="B327" s="68">
        <v>30</v>
      </c>
      <c r="C327" s="56">
        <f>141.293</f>
        <v>141.29300000000001</v>
      </c>
      <c r="D327" s="56">
        <f>267.993</f>
        <v>267.99299999999999</v>
      </c>
      <c r="E327" s="64">
        <f>115.016</f>
        <v>115.01600000000001</v>
      </c>
      <c r="F327" s="56">
        <f>314.698-40-25-60-100</f>
        <v>89.697999999999979</v>
      </c>
      <c r="G327" s="59">
        <v>40</v>
      </c>
      <c r="H327" s="56">
        <f t="shared" ref="H327:H333" si="51">25+60+100</f>
        <v>185</v>
      </c>
      <c r="I327" s="56">
        <f t="shared" si="48"/>
        <v>0</v>
      </c>
      <c r="J327" s="59">
        <v>100</v>
      </c>
      <c r="K327" s="59">
        <v>300</v>
      </c>
      <c r="L327" s="56">
        <f t="shared" si="42"/>
        <v>1239</v>
      </c>
      <c r="M327" s="66">
        <v>600</v>
      </c>
      <c r="N327" s="56">
        <f>100</f>
        <v>100</v>
      </c>
      <c r="O327" s="59">
        <v>240</v>
      </c>
      <c r="P327" s="59">
        <v>160</v>
      </c>
      <c r="Q327" s="59">
        <f t="shared" si="43"/>
        <v>195</v>
      </c>
      <c r="R327" s="59">
        <f t="shared" si="44"/>
        <v>100</v>
      </c>
      <c r="S327" s="56">
        <f t="shared" si="45"/>
        <v>695</v>
      </c>
      <c r="T327" s="56">
        <f>50</f>
        <v>50</v>
      </c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</row>
    <row r="328" spans="1:30" ht="15.75">
      <c r="A328" s="14">
        <v>51287</v>
      </c>
      <c r="B328" s="68">
        <v>31</v>
      </c>
      <c r="C328" s="56">
        <f>194.205</f>
        <v>194.20500000000001</v>
      </c>
      <c r="D328" s="56">
        <f>267.466</f>
        <v>267.46600000000001</v>
      </c>
      <c r="E328" s="64">
        <f>133.845</f>
        <v>133.845</v>
      </c>
      <c r="F328" s="56">
        <f>278.484-40-25-60-100</f>
        <v>53.48399999999998</v>
      </c>
      <c r="G328" s="59">
        <v>40</v>
      </c>
      <c r="H328" s="56">
        <f t="shared" si="51"/>
        <v>185</v>
      </c>
      <c r="I328" s="56">
        <f t="shared" si="48"/>
        <v>0</v>
      </c>
      <c r="J328" s="59">
        <v>100</v>
      </c>
      <c r="K328" s="59">
        <v>300</v>
      </c>
      <c r="L328" s="56">
        <f t="shared" si="42"/>
        <v>1274</v>
      </c>
      <c r="M328" s="66">
        <v>600</v>
      </c>
      <c r="N328" s="56">
        <f>75</f>
        <v>75</v>
      </c>
      <c r="O328" s="59">
        <v>240</v>
      </c>
      <c r="P328" s="59">
        <v>160</v>
      </c>
      <c r="Q328" s="59">
        <f t="shared" si="43"/>
        <v>195</v>
      </c>
      <c r="R328" s="59">
        <f t="shared" si="44"/>
        <v>100</v>
      </c>
      <c r="S328" s="56">
        <f t="shared" si="45"/>
        <v>695</v>
      </c>
      <c r="T328" s="56">
        <f>50</f>
        <v>50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</row>
    <row r="329" spans="1:30" ht="15.75">
      <c r="A329" s="14">
        <v>51317</v>
      </c>
      <c r="B329" s="68">
        <v>30</v>
      </c>
      <c r="C329" s="56">
        <f>194.205</f>
        <v>194.20500000000001</v>
      </c>
      <c r="D329" s="56">
        <f>267.466</f>
        <v>267.46600000000001</v>
      </c>
      <c r="E329" s="64">
        <f>133.845</f>
        <v>133.845</v>
      </c>
      <c r="F329" s="56">
        <f>278.484-40-25-60-100</f>
        <v>53.48399999999998</v>
      </c>
      <c r="G329" s="59">
        <v>40</v>
      </c>
      <c r="H329" s="56">
        <f t="shared" si="51"/>
        <v>185</v>
      </c>
      <c r="I329" s="56">
        <f t="shared" si="48"/>
        <v>0</v>
      </c>
      <c r="J329" s="59">
        <v>100</v>
      </c>
      <c r="K329" s="59">
        <v>300</v>
      </c>
      <c r="L329" s="56">
        <f t="shared" si="42"/>
        <v>1274</v>
      </c>
      <c r="M329" s="66">
        <v>600</v>
      </c>
      <c r="N329" s="56">
        <f>30</f>
        <v>30</v>
      </c>
      <c r="O329" s="59">
        <v>240</v>
      </c>
      <c r="P329" s="59">
        <v>160</v>
      </c>
      <c r="Q329" s="59">
        <f t="shared" si="43"/>
        <v>195</v>
      </c>
      <c r="R329" s="59">
        <f t="shared" si="44"/>
        <v>100</v>
      </c>
      <c r="S329" s="56">
        <f t="shared" si="45"/>
        <v>695</v>
      </c>
      <c r="T329" s="56">
        <f>50</f>
        <v>50</v>
      </c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</row>
    <row r="330" spans="1:30" ht="15.75">
      <c r="A330" s="14">
        <v>51348</v>
      </c>
      <c r="B330" s="68">
        <v>31</v>
      </c>
      <c r="C330" s="56">
        <f>194.205</f>
        <v>194.20500000000001</v>
      </c>
      <c r="D330" s="56">
        <f>267.466</f>
        <v>267.46600000000001</v>
      </c>
      <c r="E330" s="64">
        <f>133.845</f>
        <v>133.845</v>
      </c>
      <c r="F330" s="56">
        <f>278.484-40-25-60-100</f>
        <v>53.48399999999998</v>
      </c>
      <c r="G330" s="59">
        <v>40</v>
      </c>
      <c r="H330" s="56">
        <f t="shared" si="51"/>
        <v>185</v>
      </c>
      <c r="I330" s="56">
        <f t="shared" si="48"/>
        <v>0</v>
      </c>
      <c r="J330" s="59">
        <v>100</v>
      </c>
      <c r="K330" s="59">
        <v>300</v>
      </c>
      <c r="L330" s="56">
        <f t="shared" si="42"/>
        <v>1274</v>
      </c>
      <c r="M330" s="66">
        <v>600</v>
      </c>
      <c r="N330" s="56">
        <f>30</f>
        <v>30</v>
      </c>
      <c r="O330" s="59">
        <v>240</v>
      </c>
      <c r="P330" s="59">
        <v>160</v>
      </c>
      <c r="Q330" s="59">
        <f t="shared" si="43"/>
        <v>195</v>
      </c>
      <c r="R330" s="59">
        <f t="shared" si="44"/>
        <v>100</v>
      </c>
      <c r="S330" s="56">
        <f t="shared" si="45"/>
        <v>695</v>
      </c>
      <c r="T330" s="56">
        <f>0</f>
        <v>0</v>
      </c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</row>
    <row r="331" spans="1:30" ht="15.75">
      <c r="A331" s="14">
        <v>51379</v>
      </c>
      <c r="B331" s="68">
        <v>31</v>
      </c>
      <c r="C331" s="56">
        <f>194.205</f>
        <v>194.20500000000001</v>
      </c>
      <c r="D331" s="56">
        <f>267.466</f>
        <v>267.46600000000001</v>
      </c>
      <c r="E331" s="64">
        <f>133.845</f>
        <v>133.845</v>
      </c>
      <c r="F331" s="56">
        <f>278.484-40-25-60-100</f>
        <v>53.48399999999998</v>
      </c>
      <c r="G331" s="59">
        <v>40</v>
      </c>
      <c r="H331" s="56">
        <f t="shared" si="51"/>
        <v>185</v>
      </c>
      <c r="I331" s="56">
        <f t="shared" si="48"/>
        <v>0</v>
      </c>
      <c r="J331" s="59">
        <v>100</v>
      </c>
      <c r="K331" s="59">
        <v>300</v>
      </c>
      <c r="L331" s="56">
        <f t="shared" si="42"/>
        <v>1274</v>
      </c>
      <c r="M331" s="66">
        <v>600</v>
      </c>
      <c r="N331" s="56">
        <f>30</f>
        <v>30</v>
      </c>
      <c r="O331" s="59">
        <v>240</v>
      </c>
      <c r="P331" s="59">
        <v>160</v>
      </c>
      <c r="Q331" s="59">
        <f t="shared" si="43"/>
        <v>195</v>
      </c>
      <c r="R331" s="59">
        <f t="shared" si="44"/>
        <v>100</v>
      </c>
      <c r="S331" s="56">
        <f t="shared" si="45"/>
        <v>695</v>
      </c>
      <c r="T331" s="56">
        <f>0</f>
        <v>0</v>
      </c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</row>
    <row r="332" spans="1:30" ht="15.75">
      <c r="A332" s="14">
        <v>51409</v>
      </c>
      <c r="B332" s="68">
        <v>30</v>
      </c>
      <c r="C332" s="56">
        <f>194.205</f>
        <v>194.20500000000001</v>
      </c>
      <c r="D332" s="56">
        <f>267.466</f>
        <v>267.46600000000001</v>
      </c>
      <c r="E332" s="64">
        <f>133.845</f>
        <v>133.845</v>
      </c>
      <c r="F332" s="56">
        <f>278.484-40-25-60-100</f>
        <v>53.48399999999998</v>
      </c>
      <c r="G332" s="59">
        <v>40</v>
      </c>
      <c r="H332" s="56">
        <f t="shared" si="51"/>
        <v>185</v>
      </c>
      <c r="I332" s="56">
        <f t="shared" si="48"/>
        <v>0</v>
      </c>
      <c r="J332" s="59">
        <v>100</v>
      </c>
      <c r="K332" s="59">
        <v>300</v>
      </c>
      <c r="L332" s="56">
        <f t="shared" si="42"/>
        <v>1274</v>
      </c>
      <c r="M332" s="66">
        <v>600</v>
      </c>
      <c r="N332" s="56">
        <f>30</f>
        <v>30</v>
      </c>
      <c r="O332" s="59">
        <v>240</v>
      </c>
      <c r="P332" s="59">
        <v>160</v>
      </c>
      <c r="Q332" s="59">
        <f t="shared" si="43"/>
        <v>195</v>
      </c>
      <c r="R332" s="59">
        <f t="shared" si="44"/>
        <v>100</v>
      </c>
      <c r="S332" s="56">
        <f t="shared" si="45"/>
        <v>695</v>
      </c>
      <c r="T332" s="56">
        <f>0</f>
        <v>0</v>
      </c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</row>
    <row r="333" spans="1:30" ht="15.75">
      <c r="A333" s="14">
        <v>51440</v>
      </c>
      <c r="B333" s="68">
        <v>31</v>
      </c>
      <c r="C333" s="56">
        <f>131.881</f>
        <v>131.881</v>
      </c>
      <c r="D333" s="56">
        <f>277.167</f>
        <v>277.16699999999997</v>
      </c>
      <c r="E333" s="64">
        <f>79.08</f>
        <v>79.08</v>
      </c>
      <c r="F333" s="56">
        <f>350.872-40-25-60-100</f>
        <v>125.87200000000001</v>
      </c>
      <c r="G333" s="59">
        <v>40</v>
      </c>
      <c r="H333" s="56">
        <f t="shared" si="51"/>
        <v>185</v>
      </c>
      <c r="I333" s="56">
        <f t="shared" si="48"/>
        <v>0</v>
      </c>
      <c r="J333" s="59">
        <v>100</v>
      </c>
      <c r="K333" s="59">
        <v>300</v>
      </c>
      <c r="L333" s="56">
        <f t="shared" si="42"/>
        <v>1239</v>
      </c>
      <c r="M333" s="66">
        <v>600</v>
      </c>
      <c r="N333" s="56">
        <f>75</f>
        <v>75</v>
      </c>
      <c r="O333" s="59">
        <v>240</v>
      </c>
      <c r="P333" s="59">
        <v>160</v>
      </c>
      <c r="Q333" s="59">
        <f t="shared" si="43"/>
        <v>195</v>
      </c>
      <c r="R333" s="59">
        <f t="shared" si="44"/>
        <v>100</v>
      </c>
      <c r="S333" s="56">
        <f t="shared" si="45"/>
        <v>695</v>
      </c>
      <c r="T333" s="56">
        <f>0</f>
        <v>0</v>
      </c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</row>
    <row r="334" spans="1:30" ht="15.75">
      <c r="A334" s="14">
        <v>51470</v>
      </c>
      <c r="B334" s="68">
        <v>30</v>
      </c>
      <c r="C334" s="56">
        <f>122.58</f>
        <v>122.58</v>
      </c>
      <c r="D334" s="56">
        <f>297.941</f>
        <v>297.94099999999997</v>
      </c>
      <c r="E334" s="64">
        <f>89.177</f>
        <v>89.177000000000007</v>
      </c>
      <c r="F334" s="56">
        <f>240.302-40-60-100</f>
        <v>40.301999999999992</v>
      </c>
      <c r="G334" s="59">
        <v>40</v>
      </c>
      <c r="H334" s="56">
        <f>60+100</f>
        <v>160</v>
      </c>
      <c r="I334" s="56">
        <f t="shared" si="48"/>
        <v>0</v>
      </c>
      <c r="J334" s="59">
        <v>100</v>
      </c>
      <c r="K334" s="59">
        <v>300</v>
      </c>
      <c r="L334" s="56">
        <f t="shared" si="42"/>
        <v>1150</v>
      </c>
      <c r="M334" s="66">
        <v>600</v>
      </c>
      <c r="N334" s="56">
        <f>100</f>
        <v>100</v>
      </c>
      <c r="O334" s="59">
        <v>240</v>
      </c>
      <c r="P334" s="59">
        <v>40</v>
      </c>
      <c r="Q334" s="59">
        <f t="shared" si="43"/>
        <v>315</v>
      </c>
      <c r="R334" s="59">
        <f t="shared" si="44"/>
        <v>100</v>
      </c>
      <c r="S334" s="56">
        <f t="shared" si="45"/>
        <v>695</v>
      </c>
      <c r="T334" s="56">
        <f>50</f>
        <v>50</v>
      </c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</row>
    <row r="335" spans="1:30" ht="15.75">
      <c r="A335" s="14">
        <v>51501</v>
      </c>
      <c r="B335" s="68">
        <v>31</v>
      </c>
      <c r="C335" s="56">
        <f>122.58</f>
        <v>122.58</v>
      </c>
      <c r="D335" s="56">
        <f>297.941</f>
        <v>297.94099999999997</v>
      </c>
      <c r="E335" s="64">
        <f>89.177</f>
        <v>89.177000000000007</v>
      </c>
      <c r="F335" s="56">
        <f>240.302-40-60-100</f>
        <v>40.301999999999992</v>
      </c>
      <c r="G335" s="59">
        <v>40</v>
      </c>
      <c r="H335" s="56">
        <f>60+100</f>
        <v>160</v>
      </c>
      <c r="I335" s="56">
        <f t="shared" si="48"/>
        <v>0</v>
      </c>
      <c r="J335" s="59">
        <v>100</v>
      </c>
      <c r="K335" s="59">
        <v>300</v>
      </c>
      <c r="L335" s="56">
        <f t="shared" si="42"/>
        <v>1150</v>
      </c>
      <c r="M335" s="66">
        <v>600</v>
      </c>
      <c r="N335" s="56">
        <f>100</f>
        <v>100</v>
      </c>
      <c r="O335" s="59">
        <v>240</v>
      </c>
      <c r="P335" s="59">
        <v>40</v>
      </c>
      <c r="Q335" s="59">
        <f t="shared" si="43"/>
        <v>315</v>
      </c>
      <c r="R335" s="59">
        <f t="shared" si="44"/>
        <v>100</v>
      </c>
      <c r="S335" s="56">
        <f t="shared" si="45"/>
        <v>695</v>
      </c>
      <c r="T335" s="56">
        <f>50</f>
        <v>50</v>
      </c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</row>
    <row r="336" spans="1:30" ht="15.75">
      <c r="A336" s="14">
        <v>51532</v>
      </c>
      <c r="B336" s="68">
        <v>31</v>
      </c>
      <c r="C336" s="56">
        <f>122.58</f>
        <v>122.58</v>
      </c>
      <c r="D336" s="56">
        <f>297.941</f>
        <v>297.94099999999997</v>
      </c>
      <c r="E336" s="64">
        <f>89.177</f>
        <v>89.177000000000007</v>
      </c>
      <c r="F336" s="56">
        <f>240.302-40-60-100</f>
        <v>40.301999999999992</v>
      </c>
      <c r="G336" s="59">
        <v>40</v>
      </c>
      <c r="H336" s="56">
        <f>60+100</f>
        <v>160</v>
      </c>
      <c r="I336" s="56">
        <f t="shared" si="48"/>
        <v>0</v>
      </c>
      <c r="J336" s="59">
        <v>100</v>
      </c>
      <c r="K336" s="59">
        <v>300</v>
      </c>
      <c r="L336" s="56">
        <f t="shared" si="42"/>
        <v>1150</v>
      </c>
      <c r="M336" s="66">
        <v>600</v>
      </c>
      <c r="N336" s="56">
        <f>100</f>
        <v>100</v>
      </c>
      <c r="O336" s="59">
        <v>240</v>
      </c>
      <c r="P336" s="59">
        <v>40</v>
      </c>
      <c r="Q336" s="59">
        <f t="shared" si="43"/>
        <v>315</v>
      </c>
      <c r="R336" s="59">
        <f t="shared" si="44"/>
        <v>100</v>
      </c>
      <c r="S336" s="56">
        <f t="shared" si="45"/>
        <v>695</v>
      </c>
      <c r="T336" s="56">
        <f>50</f>
        <v>50</v>
      </c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</row>
    <row r="337" spans="1:30" ht="15.75">
      <c r="A337" s="14">
        <v>51560</v>
      </c>
      <c r="B337" s="68">
        <v>28</v>
      </c>
      <c r="C337" s="56">
        <f>122.58</f>
        <v>122.58</v>
      </c>
      <c r="D337" s="56">
        <f>297.941</f>
        <v>297.94099999999997</v>
      </c>
      <c r="E337" s="64">
        <f>89.177</f>
        <v>89.177000000000007</v>
      </c>
      <c r="F337" s="56">
        <f>240.302-40-60-100</f>
        <v>40.301999999999992</v>
      </c>
      <c r="G337" s="59">
        <v>40</v>
      </c>
      <c r="H337" s="56">
        <f>60+100</f>
        <v>160</v>
      </c>
      <c r="I337" s="56">
        <f t="shared" si="48"/>
        <v>0</v>
      </c>
      <c r="J337" s="59">
        <v>100</v>
      </c>
      <c r="K337" s="59">
        <v>300</v>
      </c>
      <c r="L337" s="56">
        <f t="shared" ref="L337:L400" si="52">SUM(C337:K337)</f>
        <v>1150</v>
      </c>
      <c r="M337" s="66">
        <v>600</v>
      </c>
      <c r="N337" s="56">
        <f>100</f>
        <v>100</v>
      </c>
      <c r="O337" s="59">
        <v>240</v>
      </c>
      <c r="P337" s="59">
        <v>40</v>
      </c>
      <c r="Q337" s="59">
        <f t="shared" ref="Q337:Q400" si="53">695-R337-O337-P337</f>
        <v>315</v>
      </c>
      <c r="R337" s="59">
        <f t="shared" ref="R337:R400" si="54">200-J337</f>
        <v>100</v>
      </c>
      <c r="S337" s="56">
        <f t="shared" ref="S337:S400" si="55">SUM(O337:R337)</f>
        <v>695</v>
      </c>
      <c r="T337" s="56">
        <f>50</f>
        <v>50</v>
      </c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</row>
    <row r="338" spans="1:30" ht="15.75">
      <c r="A338" s="14">
        <v>51591</v>
      </c>
      <c r="B338" s="68">
        <v>31</v>
      </c>
      <c r="C338" s="56">
        <f>122.58</f>
        <v>122.58</v>
      </c>
      <c r="D338" s="56">
        <f>297.941</f>
        <v>297.94099999999997</v>
      </c>
      <c r="E338" s="64">
        <f>89.177</f>
        <v>89.177000000000007</v>
      </c>
      <c r="F338" s="56">
        <f>240.302-40-60-100</f>
        <v>40.301999999999992</v>
      </c>
      <c r="G338" s="59">
        <v>40</v>
      </c>
      <c r="H338" s="56">
        <f>60+100</f>
        <v>160</v>
      </c>
      <c r="I338" s="56">
        <f t="shared" si="48"/>
        <v>0</v>
      </c>
      <c r="J338" s="59">
        <v>100</v>
      </c>
      <c r="K338" s="59">
        <v>300</v>
      </c>
      <c r="L338" s="56">
        <f t="shared" si="52"/>
        <v>1150</v>
      </c>
      <c r="M338" s="66">
        <v>600</v>
      </c>
      <c r="N338" s="56">
        <f>100</f>
        <v>100</v>
      </c>
      <c r="O338" s="59">
        <v>240</v>
      </c>
      <c r="P338" s="59">
        <v>40</v>
      </c>
      <c r="Q338" s="59">
        <f t="shared" si="53"/>
        <v>315</v>
      </c>
      <c r="R338" s="59">
        <f t="shared" si="54"/>
        <v>100</v>
      </c>
      <c r="S338" s="56">
        <f t="shared" si="55"/>
        <v>695</v>
      </c>
      <c r="T338" s="56">
        <f>50</f>
        <v>50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</row>
    <row r="339" spans="1:30" ht="15.75">
      <c r="A339" s="14">
        <v>51621</v>
      </c>
      <c r="B339" s="68">
        <v>30</v>
      </c>
      <c r="C339" s="56">
        <f>141.293</f>
        <v>141.29300000000001</v>
      </c>
      <c r="D339" s="56">
        <f>267.993</f>
        <v>267.99299999999999</v>
      </c>
      <c r="E339" s="64">
        <f>115.016</f>
        <v>115.01600000000001</v>
      </c>
      <c r="F339" s="56">
        <f>314.698-40-25-60-100</f>
        <v>89.697999999999979</v>
      </c>
      <c r="G339" s="59">
        <v>40</v>
      </c>
      <c r="H339" s="56">
        <f t="shared" ref="H339:H345" si="56">25+60+100</f>
        <v>185</v>
      </c>
      <c r="I339" s="56">
        <f t="shared" si="48"/>
        <v>0</v>
      </c>
      <c r="J339" s="59">
        <v>100</v>
      </c>
      <c r="K339" s="59">
        <v>300</v>
      </c>
      <c r="L339" s="56">
        <f t="shared" si="52"/>
        <v>1239</v>
      </c>
      <c r="M339" s="66">
        <v>600</v>
      </c>
      <c r="N339" s="56">
        <f>100</f>
        <v>100</v>
      </c>
      <c r="O339" s="59">
        <v>240</v>
      </c>
      <c r="P339" s="59">
        <v>160</v>
      </c>
      <c r="Q339" s="59">
        <f t="shared" si="53"/>
        <v>195</v>
      </c>
      <c r="R339" s="59">
        <f t="shared" si="54"/>
        <v>100</v>
      </c>
      <c r="S339" s="56">
        <f t="shared" si="55"/>
        <v>695</v>
      </c>
      <c r="T339" s="56">
        <f>50</f>
        <v>50</v>
      </c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</row>
    <row r="340" spans="1:30" ht="15.75">
      <c r="A340" s="14">
        <v>51652</v>
      </c>
      <c r="B340" s="68">
        <v>31</v>
      </c>
      <c r="C340" s="56">
        <f>194.205</f>
        <v>194.20500000000001</v>
      </c>
      <c r="D340" s="56">
        <f>267.466</f>
        <v>267.46600000000001</v>
      </c>
      <c r="E340" s="64">
        <f>133.845</f>
        <v>133.845</v>
      </c>
      <c r="F340" s="56">
        <f>278.484-40-25-60-100</f>
        <v>53.48399999999998</v>
      </c>
      <c r="G340" s="59">
        <v>40</v>
      </c>
      <c r="H340" s="56">
        <f t="shared" si="56"/>
        <v>185</v>
      </c>
      <c r="I340" s="56">
        <f t="shared" si="48"/>
        <v>0</v>
      </c>
      <c r="J340" s="59">
        <v>100</v>
      </c>
      <c r="K340" s="59">
        <v>300</v>
      </c>
      <c r="L340" s="56">
        <f t="shared" si="52"/>
        <v>1274</v>
      </c>
      <c r="M340" s="66">
        <v>600</v>
      </c>
      <c r="N340" s="56">
        <f>75</f>
        <v>75</v>
      </c>
      <c r="O340" s="59">
        <v>240</v>
      </c>
      <c r="P340" s="59">
        <v>160</v>
      </c>
      <c r="Q340" s="59">
        <f t="shared" si="53"/>
        <v>195</v>
      </c>
      <c r="R340" s="59">
        <f t="shared" si="54"/>
        <v>100</v>
      </c>
      <c r="S340" s="56">
        <f t="shared" si="55"/>
        <v>695</v>
      </c>
      <c r="T340" s="56">
        <f>50</f>
        <v>50</v>
      </c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</row>
    <row r="341" spans="1:30" ht="15.75">
      <c r="A341" s="14">
        <v>51682</v>
      </c>
      <c r="B341" s="68">
        <v>30</v>
      </c>
      <c r="C341" s="56">
        <f>194.205</f>
        <v>194.20500000000001</v>
      </c>
      <c r="D341" s="56">
        <f>267.466</f>
        <v>267.46600000000001</v>
      </c>
      <c r="E341" s="64">
        <f>133.845</f>
        <v>133.845</v>
      </c>
      <c r="F341" s="56">
        <f>278.484-40-25-60-100</f>
        <v>53.48399999999998</v>
      </c>
      <c r="G341" s="59">
        <v>40</v>
      </c>
      <c r="H341" s="56">
        <f t="shared" si="56"/>
        <v>185</v>
      </c>
      <c r="I341" s="56">
        <f t="shared" si="48"/>
        <v>0</v>
      </c>
      <c r="J341" s="59">
        <v>100</v>
      </c>
      <c r="K341" s="59">
        <v>300</v>
      </c>
      <c r="L341" s="56">
        <f t="shared" si="52"/>
        <v>1274</v>
      </c>
      <c r="M341" s="66">
        <v>600</v>
      </c>
      <c r="N341" s="56">
        <f>30</f>
        <v>30</v>
      </c>
      <c r="O341" s="59">
        <v>240</v>
      </c>
      <c r="P341" s="59">
        <v>160</v>
      </c>
      <c r="Q341" s="59">
        <f t="shared" si="53"/>
        <v>195</v>
      </c>
      <c r="R341" s="59">
        <f t="shared" si="54"/>
        <v>100</v>
      </c>
      <c r="S341" s="56">
        <f t="shared" si="55"/>
        <v>695</v>
      </c>
      <c r="T341" s="56">
        <f>50</f>
        <v>50</v>
      </c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</row>
    <row r="342" spans="1:30" ht="15.75">
      <c r="A342" s="14">
        <v>51713</v>
      </c>
      <c r="B342" s="68">
        <v>31</v>
      </c>
      <c r="C342" s="56">
        <f>194.205</f>
        <v>194.20500000000001</v>
      </c>
      <c r="D342" s="56">
        <f>267.466</f>
        <v>267.46600000000001</v>
      </c>
      <c r="E342" s="64">
        <f>133.845</f>
        <v>133.845</v>
      </c>
      <c r="F342" s="56">
        <f>278.484-40-25-60-100</f>
        <v>53.48399999999998</v>
      </c>
      <c r="G342" s="59">
        <v>40</v>
      </c>
      <c r="H342" s="56">
        <f t="shared" si="56"/>
        <v>185</v>
      </c>
      <c r="I342" s="56">
        <f t="shared" si="48"/>
        <v>0</v>
      </c>
      <c r="J342" s="59">
        <v>100</v>
      </c>
      <c r="K342" s="59">
        <v>300</v>
      </c>
      <c r="L342" s="56">
        <f t="shared" si="52"/>
        <v>1274</v>
      </c>
      <c r="M342" s="66">
        <v>600</v>
      </c>
      <c r="N342" s="56">
        <f>30</f>
        <v>30</v>
      </c>
      <c r="O342" s="59">
        <v>240</v>
      </c>
      <c r="P342" s="59">
        <v>160</v>
      </c>
      <c r="Q342" s="59">
        <f t="shared" si="53"/>
        <v>195</v>
      </c>
      <c r="R342" s="59">
        <f t="shared" si="54"/>
        <v>100</v>
      </c>
      <c r="S342" s="56">
        <f t="shared" si="55"/>
        <v>695</v>
      </c>
      <c r="T342" s="56">
        <f>0</f>
        <v>0</v>
      </c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</row>
    <row r="343" spans="1:30" ht="15.75">
      <c r="A343" s="14">
        <v>51744</v>
      </c>
      <c r="B343" s="68">
        <v>31</v>
      </c>
      <c r="C343" s="56">
        <f>194.205</f>
        <v>194.20500000000001</v>
      </c>
      <c r="D343" s="56">
        <f>267.466</f>
        <v>267.46600000000001</v>
      </c>
      <c r="E343" s="64">
        <f>133.845</f>
        <v>133.845</v>
      </c>
      <c r="F343" s="56">
        <f>278.484-40-25-60-100</f>
        <v>53.48399999999998</v>
      </c>
      <c r="G343" s="59">
        <v>40</v>
      </c>
      <c r="H343" s="56">
        <f t="shared" si="56"/>
        <v>185</v>
      </c>
      <c r="I343" s="56">
        <f t="shared" si="48"/>
        <v>0</v>
      </c>
      <c r="J343" s="59">
        <v>100</v>
      </c>
      <c r="K343" s="59">
        <v>300</v>
      </c>
      <c r="L343" s="56">
        <f t="shared" si="52"/>
        <v>1274</v>
      </c>
      <c r="M343" s="66">
        <v>600</v>
      </c>
      <c r="N343" s="56">
        <f>30</f>
        <v>30</v>
      </c>
      <c r="O343" s="59">
        <v>240</v>
      </c>
      <c r="P343" s="59">
        <v>160</v>
      </c>
      <c r="Q343" s="59">
        <f t="shared" si="53"/>
        <v>195</v>
      </c>
      <c r="R343" s="59">
        <f t="shared" si="54"/>
        <v>100</v>
      </c>
      <c r="S343" s="56">
        <f t="shared" si="55"/>
        <v>695</v>
      </c>
      <c r="T343" s="56">
        <f>0</f>
        <v>0</v>
      </c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</row>
    <row r="344" spans="1:30" ht="15.75">
      <c r="A344" s="14">
        <v>51774</v>
      </c>
      <c r="B344" s="68">
        <v>30</v>
      </c>
      <c r="C344" s="56">
        <f>194.205</f>
        <v>194.20500000000001</v>
      </c>
      <c r="D344" s="56">
        <f>267.466</f>
        <v>267.46600000000001</v>
      </c>
      <c r="E344" s="64">
        <f>133.845</f>
        <v>133.845</v>
      </c>
      <c r="F344" s="56">
        <f>278.484-40-25-60-100</f>
        <v>53.48399999999998</v>
      </c>
      <c r="G344" s="59">
        <v>40</v>
      </c>
      <c r="H344" s="56">
        <f t="shared" si="56"/>
        <v>185</v>
      </c>
      <c r="I344" s="56">
        <f t="shared" si="48"/>
        <v>0</v>
      </c>
      <c r="J344" s="59">
        <v>100</v>
      </c>
      <c r="K344" s="59">
        <v>300</v>
      </c>
      <c r="L344" s="56">
        <f t="shared" si="52"/>
        <v>1274</v>
      </c>
      <c r="M344" s="66">
        <v>600</v>
      </c>
      <c r="N344" s="56">
        <f>30</f>
        <v>30</v>
      </c>
      <c r="O344" s="59">
        <v>240</v>
      </c>
      <c r="P344" s="59">
        <v>160</v>
      </c>
      <c r="Q344" s="59">
        <f t="shared" si="53"/>
        <v>195</v>
      </c>
      <c r="R344" s="59">
        <f t="shared" si="54"/>
        <v>100</v>
      </c>
      <c r="S344" s="56">
        <f t="shared" si="55"/>
        <v>695</v>
      </c>
      <c r="T344" s="56">
        <f>0</f>
        <v>0</v>
      </c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</row>
    <row r="345" spans="1:30" ht="15.75">
      <c r="A345" s="14">
        <v>51805</v>
      </c>
      <c r="B345" s="68">
        <v>31</v>
      </c>
      <c r="C345" s="56">
        <f>131.881</f>
        <v>131.881</v>
      </c>
      <c r="D345" s="56">
        <f>277.167</f>
        <v>277.16699999999997</v>
      </c>
      <c r="E345" s="64">
        <f>79.08</f>
        <v>79.08</v>
      </c>
      <c r="F345" s="56">
        <f>350.872-40-25-60-100</f>
        <v>125.87200000000001</v>
      </c>
      <c r="G345" s="59">
        <v>40</v>
      </c>
      <c r="H345" s="56">
        <f t="shared" si="56"/>
        <v>185</v>
      </c>
      <c r="I345" s="56">
        <f t="shared" si="48"/>
        <v>0</v>
      </c>
      <c r="J345" s="59">
        <v>100</v>
      </c>
      <c r="K345" s="59">
        <v>300</v>
      </c>
      <c r="L345" s="56">
        <f t="shared" si="52"/>
        <v>1239</v>
      </c>
      <c r="M345" s="66">
        <v>600</v>
      </c>
      <c r="N345" s="56">
        <f>75</f>
        <v>75</v>
      </c>
      <c r="O345" s="59">
        <v>240</v>
      </c>
      <c r="P345" s="59">
        <v>160</v>
      </c>
      <c r="Q345" s="59">
        <f t="shared" si="53"/>
        <v>195</v>
      </c>
      <c r="R345" s="59">
        <f t="shared" si="54"/>
        <v>100</v>
      </c>
      <c r="S345" s="56">
        <f t="shared" si="55"/>
        <v>695</v>
      </c>
      <c r="T345" s="56">
        <f>0</f>
        <v>0</v>
      </c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</row>
    <row r="346" spans="1:30" ht="15.75">
      <c r="A346" s="14">
        <v>51835</v>
      </c>
      <c r="B346" s="68">
        <v>30</v>
      </c>
      <c r="C346" s="56">
        <f>122.58</f>
        <v>122.58</v>
      </c>
      <c r="D346" s="56">
        <f>297.941</f>
        <v>297.94099999999997</v>
      </c>
      <c r="E346" s="64">
        <f>89.177</f>
        <v>89.177000000000007</v>
      </c>
      <c r="F346" s="56">
        <f>240.302-40-60-100</f>
        <v>40.301999999999992</v>
      </c>
      <c r="G346" s="59">
        <v>40</v>
      </c>
      <c r="H346" s="56">
        <f>60+100</f>
        <v>160</v>
      </c>
      <c r="I346" s="56">
        <f t="shared" si="48"/>
        <v>0</v>
      </c>
      <c r="J346" s="59">
        <v>100</v>
      </c>
      <c r="K346" s="59">
        <v>300</v>
      </c>
      <c r="L346" s="56">
        <f t="shared" si="52"/>
        <v>1150</v>
      </c>
      <c r="M346" s="66">
        <v>600</v>
      </c>
      <c r="N346" s="56">
        <f>100</f>
        <v>100</v>
      </c>
      <c r="O346" s="59">
        <v>240</v>
      </c>
      <c r="P346" s="59">
        <v>40</v>
      </c>
      <c r="Q346" s="59">
        <f t="shared" si="53"/>
        <v>315</v>
      </c>
      <c r="R346" s="59">
        <f t="shared" si="54"/>
        <v>100</v>
      </c>
      <c r="S346" s="56">
        <f t="shared" si="55"/>
        <v>695</v>
      </c>
      <c r="T346" s="56">
        <f>50</f>
        <v>50</v>
      </c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</row>
    <row r="347" spans="1:30" ht="15.75">
      <c r="A347" s="14">
        <v>51866</v>
      </c>
      <c r="B347" s="68">
        <v>31</v>
      </c>
      <c r="C347" s="56">
        <f>122.58</f>
        <v>122.58</v>
      </c>
      <c r="D347" s="56">
        <f>297.941</f>
        <v>297.94099999999997</v>
      </c>
      <c r="E347" s="64">
        <f>89.177</f>
        <v>89.177000000000007</v>
      </c>
      <c r="F347" s="56">
        <f>240.302-40-60-100</f>
        <v>40.301999999999992</v>
      </c>
      <c r="G347" s="59">
        <v>40</v>
      </c>
      <c r="H347" s="56">
        <f>60+100</f>
        <v>160</v>
      </c>
      <c r="I347" s="56">
        <f t="shared" si="48"/>
        <v>0</v>
      </c>
      <c r="J347" s="59">
        <v>100</v>
      </c>
      <c r="K347" s="59">
        <v>300</v>
      </c>
      <c r="L347" s="56">
        <f t="shared" si="52"/>
        <v>1150</v>
      </c>
      <c r="M347" s="66">
        <v>600</v>
      </c>
      <c r="N347" s="56">
        <f>100</f>
        <v>100</v>
      </c>
      <c r="O347" s="59">
        <v>240</v>
      </c>
      <c r="P347" s="59">
        <v>40</v>
      </c>
      <c r="Q347" s="59">
        <f t="shared" si="53"/>
        <v>315</v>
      </c>
      <c r="R347" s="59">
        <f t="shared" si="54"/>
        <v>100</v>
      </c>
      <c r="S347" s="56">
        <f t="shared" si="55"/>
        <v>695</v>
      </c>
      <c r="T347" s="56">
        <f>50</f>
        <v>50</v>
      </c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</row>
    <row r="348" spans="1:30" ht="15.75">
      <c r="A348" s="14">
        <v>51897</v>
      </c>
      <c r="B348" s="68">
        <v>31</v>
      </c>
      <c r="C348" s="56">
        <f>122.58</f>
        <v>122.58</v>
      </c>
      <c r="D348" s="56">
        <f>297.941</f>
        <v>297.94099999999997</v>
      </c>
      <c r="E348" s="64">
        <f>89.177</f>
        <v>89.177000000000007</v>
      </c>
      <c r="F348" s="56">
        <f>240.302-40-60-100</f>
        <v>40.301999999999992</v>
      </c>
      <c r="G348" s="59">
        <v>40</v>
      </c>
      <c r="H348" s="56">
        <f>60+100</f>
        <v>160</v>
      </c>
      <c r="I348" s="56">
        <f t="shared" si="48"/>
        <v>0</v>
      </c>
      <c r="J348" s="59">
        <v>100</v>
      </c>
      <c r="K348" s="59">
        <v>300</v>
      </c>
      <c r="L348" s="56">
        <f t="shared" si="52"/>
        <v>1150</v>
      </c>
      <c r="M348" s="66">
        <v>600</v>
      </c>
      <c r="N348" s="56">
        <f>100</f>
        <v>100</v>
      </c>
      <c r="O348" s="59">
        <v>240</v>
      </c>
      <c r="P348" s="59">
        <v>40</v>
      </c>
      <c r="Q348" s="59">
        <f t="shared" si="53"/>
        <v>315</v>
      </c>
      <c r="R348" s="59">
        <f t="shared" si="54"/>
        <v>100</v>
      </c>
      <c r="S348" s="56">
        <f t="shared" si="55"/>
        <v>695</v>
      </c>
      <c r="T348" s="56">
        <f>50</f>
        <v>50</v>
      </c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</row>
    <row r="349" spans="1:30" ht="15.75">
      <c r="A349" s="14">
        <v>51925</v>
      </c>
      <c r="B349" s="68">
        <v>28</v>
      </c>
      <c r="C349" s="56">
        <f>122.58</f>
        <v>122.58</v>
      </c>
      <c r="D349" s="56">
        <f>297.941</f>
        <v>297.94099999999997</v>
      </c>
      <c r="E349" s="64">
        <f>89.177</f>
        <v>89.177000000000007</v>
      </c>
      <c r="F349" s="56">
        <f>240.302-40-60-100</f>
        <v>40.301999999999992</v>
      </c>
      <c r="G349" s="59">
        <v>40</v>
      </c>
      <c r="H349" s="56">
        <f>60+100</f>
        <v>160</v>
      </c>
      <c r="I349" s="56">
        <f t="shared" si="48"/>
        <v>0</v>
      </c>
      <c r="J349" s="59">
        <v>100</v>
      </c>
      <c r="K349" s="59">
        <v>300</v>
      </c>
      <c r="L349" s="56">
        <f t="shared" si="52"/>
        <v>1150</v>
      </c>
      <c r="M349" s="66">
        <v>600</v>
      </c>
      <c r="N349" s="56">
        <f>100</f>
        <v>100</v>
      </c>
      <c r="O349" s="59">
        <v>240</v>
      </c>
      <c r="P349" s="59">
        <v>40</v>
      </c>
      <c r="Q349" s="59">
        <f t="shared" si="53"/>
        <v>315</v>
      </c>
      <c r="R349" s="59">
        <f t="shared" si="54"/>
        <v>100</v>
      </c>
      <c r="S349" s="56">
        <f t="shared" si="55"/>
        <v>695</v>
      </c>
      <c r="T349" s="56">
        <f>50</f>
        <v>50</v>
      </c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</row>
    <row r="350" spans="1:30" ht="15.75">
      <c r="A350" s="14">
        <v>51956</v>
      </c>
      <c r="B350" s="68">
        <v>31</v>
      </c>
      <c r="C350" s="56">
        <f>122.58</f>
        <v>122.58</v>
      </c>
      <c r="D350" s="56">
        <f>297.941</f>
        <v>297.94099999999997</v>
      </c>
      <c r="E350" s="64">
        <f>89.177</f>
        <v>89.177000000000007</v>
      </c>
      <c r="F350" s="56">
        <f>240.302-40-60-100</f>
        <v>40.301999999999992</v>
      </c>
      <c r="G350" s="59">
        <v>40</v>
      </c>
      <c r="H350" s="56">
        <f>60+100</f>
        <v>160</v>
      </c>
      <c r="I350" s="56">
        <f t="shared" si="48"/>
        <v>0</v>
      </c>
      <c r="J350" s="59">
        <v>100</v>
      </c>
      <c r="K350" s="59">
        <v>300</v>
      </c>
      <c r="L350" s="56">
        <f t="shared" si="52"/>
        <v>1150</v>
      </c>
      <c r="M350" s="66">
        <v>600</v>
      </c>
      <c r="N350" s="56">
        <f>100</f>
        <v>100</v>
      </c>
      <c r="O350" s="59">
        <v>240</v>
      </c>
      <c r="P350" s="59">
        <v>40</v>
      </c>
      <c r="Q350" s="59">
        <f t="shared" si="53"/>
        <v>315</v>
      </c>
      <c r="R350" s="59">
        <f t="shared" si="54"/>
        <v>100</v>
      </c>
      <c r="S350" s="56">
        <f t="shared" si="55"/>
        <v>695</v>
      </c>
      <c r="T350" s="56">
        <f>50</f>
        <v>50</v>
      </c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</row>
    <row r="351" spans="1:30" ht="15.75">
      <c r="A351" s="14">
        <v>51986</v>
      </c>
      <c r="B351" s="68">
        <v>30</v>
      </c>
      <c r="C351" s="56">
        <f>141.293</f>
        <v>141.29300000000001</v>
      </c>
      <c r="D351" s="56">
        <f>267.993</f>
        <v>267.99299999999999</v>
      </c>
      <c r="E351" s="64">
        <f>115.016</f>
        <v>115.01600000000001</v>
      </c>
      <c r="F351" s="56">
        <f>314.698-40-25-60-100</f>
        <v>89.697999999999979</v>
      </c>
      <c r="G351" s="59">
        <v>40</v>
      </c>
      <c r="H351" s="56">
        <f t="shared" ref="H351:H357" si="57">25+60+100</f>
        <v>185</v>
      </c>
      <c r="I351" s="56">
        <f t="shared" si="48"/>
        <v>0</v>
      </c>
      <c r="J351" s="59">
        <v>100</v>
      </c>
      <c r="K351" s="59">
        <v>300</v>
      </c>
      <c r="L351" s="56">
        <f t="shared" si="52"/>
        <v>1239</v>
      </c>
      <c r="M351" s="66">
        <v>600</v>
      </c>
      <c r="N351" s="56">
        <f>100</f>
        <v>100</v>
      </c>
      <c r="O351" s="59">
        <v>240</v>
      </c>
      <c r="P351" s="59">
        <v>160</v>
      </c>
      <c r="Q351" s="59">
        <f t="shared" si="53"/>
        <v>195</v>
      </c>
      <c r="R351" s="59">
        <f t="shared" si="54"/>
        <v>100</v>
      </c>
      <c r="S351" s="56">
        <f t="shared" si="55"/>
        <v>695</v>
      </c>
      <c r="T351" s="56">
        <f>50</f>
        <v>50</v>
      </c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</row>
    <row r="352" spans="1:30" ht="15.75">
      <c r="A352" s="14">
        <v>52017</v>
      </c>
      <c r="B352" s="68">
        <v>31</v>
      </c>
      <c r="C352" s="56">
        <f>194.205</f>
        <v>194.20500000000001</v>
      </c>
      <c r="D352" s="56">
        <f>267.466</f>
        <v>267.46600000000001</v>
      </c>
      <c r="E352" s="64">
        <f>133.845</f>
        <v>133.845</v>
      </c>
      <c r="F352" s="56">
        <f>278.484-40-25-60-100</f>
        <v>53.48399999999998</v>
      </c>
      <c r="G352" s="59">
        <v>40</v>
      </c>
      <c r="H352" s="56">
        <f t="shared" si="57"/>
        <v>185</v>
      </c>
      <c r="I352" s="56">
        <f t="shared" si="48"/>
        <v>0</v>
      </c>
      <c r="J352" s="59">
        <v>100</v>
      </c>
      <c r="K352" s="59">
        <v>300</v>
      </c>
      <c r="L352" s="56">
        <f t="shared" si="52"/>
        <v>1274</v>
      </c>
      <c r="M352" s="66">
        <v>600</v>
      </c>
      <c r="N352" s="56">
        <f>75</f>
        <v>75</v>
      </c>
      <c r="O352" s="59">
        <v>240</v>
      </c>
      <c r="P352" s="59">
        <v>160</v>
      </c>
      <c r="Q352" s="59">
        <f t="shared" si="53"/>
        <v>195</v>
      </c>
      <c r="R352" s="59">
        <f t="shared" si="54"/>
        <v>100</v>
      </c>
      <c r="S352" s="56">
        <f t="shared" si="55"/>
        <v>695</v>
      </c>
      <c r="T352" s="56">
        <f>50</f>
        <v>50</v>
      </c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</row>
    <row r="353" spans="1:30" ht="15.75">
      <c r="A353" s="14">
        <v>52047</v>
      </c>
      <c r="B353" s="68">
        <v>30</v>
      </c>
      <c r="C353" s="56">
        <f>194.205</f>
        <v>194.20500000000001</v>
      </c>
      <c r="D353" s="56">
        <f>267.466</f>
        <v>267.46600000000001</v>
      </c>
      <c r="E353" s="64">
        <f>133.845</f>
        <v>133.845</v>
      </c>
      <c r="F353" s="56">
        <f>278.484-40-25-60-100</f>
        <v>53.48399999999998</v>
      </c>
      <c r="G353" s="59">
        <v>40</v>
      </c>
      <c r="H353" s="56">
        <f t="shared" si="57"/>
        <v>185</v>
      </c>
      <c r="I353" s="56">
        <f t="shared" si="48"/>
        <v>0</v>
      </c>
      <c r="J353" s="59">
        <v>100</v>
      </c>
      <c r="K353" s="59">
        <v>300</v>
      </c>
      <c r="L353" s="56">
        <f t="shared" si="52"/>
        <v>1274</v>
      </c>
      <c r="M353" s="66">
        <v>600</v>
      </c>
      <c r="N353" s="56">
        <f>30</f>
        <v>30</v>
      </c>
      <c r="O353" s="59">
        <v>240</v>
      </c>
      <c r="P353" s="59">
        <v>160</v>
      </c>
      <c r="Q353" s="59">
        <f t="shared" si="53"/>
        <v>195</v>
      </c>
      <c r="R353" s="59">
        <f t="shared" si="54"/>
        <v>100</v>
      </c>
      <c r="S353" s="56">
        <f t="shared" si="55"/>
        <v>695</v>
      </c>
      <c r="T353" s="56">
        <f>50</f>
        <v>50</v>
      </c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</row>
    <row r="354" spans="1:30" ht="15.75">
      <c r="A354" s="14">
        <v>52078</v>
      </c>
      <c r="B354" s="68">
        <v>31</v>
      </c>
      <c r="C354" s="56">
        <f>194.205</f>
        <v>194.20500000000001</v>
      </c>
      <c r="D354" s="56">
        <f>267.466</f>
        <v>267.46600000000001</v>
      </c>
      <c r="E354" s="64">
        <f>133.845</f>
        <v>133.845</v>
      </c>
      <c r="F354" s="56">
        <f>278.484-40-25-60-100</f>
        <v>53.48399999999998</v>
      </c>
      <c r="G354" s="59">
        <v>40</v>
      </c>
      <c r="H354" s="56">
        <f t="shared" si="57"/>
        <v>185</v>
      </c>
      <c r="I354" s="56">
        <f t="shared" si="48"/>
        <v>0</v>
      </c>
      <c r="J354" s="59">
        <v>100</v>
      </c>
      <c r="K354" s="59">
        <v>300</v>
      </c>
      <c r="L354" s="56">
        <f t="shared" si="52"/>
        <v>1274</v>
      </c>
      <c r="M354" s="66">
        <v>600</v>
      </c>
      <c r="N354" s="56">
        <f>30</f>
        <v>30</v>
      </c>
      <c r="O354" s="59">
        <v>240</v>
      </c>
      <c r="P354" s="59">
        <v>160</v>
      </c>
      <c r="Q354" s="59">
        <f t="shared" si="53"/>
        <v>195</v>
      </c>
      <c r="R354" s="59">
        <f t="shared" si="54"/>
        <v>100</v>
      </c>
      <c r="S354" s="56">
        <f t="shared" si="55"/>
        <v>695</v>
      </c>
      <c r="T354" s="56">
        <f>0</f>
        <v>0</v>
      </c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</row>
    <row r="355" spans="1:30" ht="15.75">
      <c r="A355" s="14">
        <v>52109</v>
      </c>
      <c r="B355" s="68">
        <v>31</v>
      </c>
      <c r="C355" s="56">
        <f>194.205</f>
        <v>194.20500000000001</v>
      </c>
      <c r="D355" s="56">
        <f>267.466</f>
        <v>267.46600000000001</v>
      </c>
      <c r="E355" s="64">
        <f>133.845</f>
        <v>133.845</v>
      </c>
      <c r="F355" s="56">
        <f>278.484-40-25-60-100</f>
        <v>53.48399999999998</v>
      </c>
      <c r="G355" s="59">
        <v>40</v>
      </c>
      <c r="H355" s="56">
        <f t="shared" si="57"/>
        <v>185</v>
      </c>
      <c r="I355" s="56">
        <f t="shared" si="48"/>
        <v>0</v>
      </c>
      <c r="J355" s="59">
        <v>100</v>
      </c>
      <c r="K355" s="59">
        <v>300</v>
      </c>
      <c r="L355" s="56">
        <f t="shared" si="52"/>
        <v>1274</v>
      </c>
      <c r="M355" s="66">
        <v>600</v>
      </c>
      <c r="N355" s="56">
        <f>30</f>
        <v>30</v>
      </c>
      <c r="O355" s="59">
        <v>240</v>
      </c>
      <c r="P355" s="59">
        <v>160</v>
      </c>
      <c r="Q355" s="59">
        <f t="shared" si="53"/>
        <v>195</v>
      </c>
      <c r="R355" s="59">
        <f t="shared" si="54"/>
        <v>100</v>
      </c>
      <c r="S355" s="56">
        <f t="shared" si="55"/>
        <v>695</v>
      </c>
      <c r="T355" s="56">
        <f>0</f>
        <v>0</v>
      </c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</row>
    <row r="356" spans="1:30" ht="15.75">
      <c r="A356" s="14">
        <v>52139</v>
      </c>
      <c r="B356" s="68">
        <v>30</v>
      </c>
      <c r="C356" s="56">
        <f>194.205</f>
        <v>194.20500000000001</v>
      </c>
      <c r="D356" s="56">
        <f>267.466</f>
        <v>267.46600000000001</v>
      </c>
      <c r="E356" s="64">
        <f>133.845</f>
        <v>133.845</v>
      </c>
      <c r="F356" s="56">
        <f>278.484-40-25-60-100</f>
        <v>53.48399999999998</v>
      </c>
      <c r="G356" s="59">
        <v>40</v>
      </c>
      <c r="H356" s="56">
        <f t="shared" si="57"/>
        <v>185</v>
      </c>
      <c r="I356" s="56">
        <f t="shared" si="48"/>
        <v>0</v>
      </c>
      <c r="J356" s="59">
        <v>100</v>
      </c>
      <c r="K356" s="59">
        <v>300</v>
      </c>
      <c r="L356" s="56">
        <f t="shared" si="52"/>
        <v>1274</v>
      </c>
      <c r="M356" s="66">
        <v>600</v>
      </c>
      <c r="N356" s="56">
        <f>30</f>
        <v>30</v>
      </c>
      <c r="O356" s="59">
        <v>240</v>
      </c>
      <c r="P356" s="59">
        <v>160</v>
      </c>
      <c r="Q356" s="59">
        <f t="shared" si="53"/>
        <v>195</v>
      </c>
      <c r="R356" s="59">
        <f t="shared" si="54"/>
        <v>100</v>
      </c>
      <c r="S356" s="56">
        <f t="shared" si="55"/>
        <v>695</v>
      </c>
      <c r="T356" s="56">
        <f>0</f>
        <v>0</v>
      </c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</row>
    <row r="357" spans="1:30" ht="15.75">
      <c r="A357" s="14">
        <v>52170</v>
      </c>
      <c r="B357" s="68">
        <v>31</v>
      </c>
      <c r="C357" s="56">
        <f>131.881</f>
        <v>131.881</v>
      </c>
      <c r="D357" s="56">
        <f>277.167</f>
        <v>277.16699999999997</v>
      </c>
      <c r="E357" s="64">
        <f>79.08</f>
        <v>79.08</v>
      </c>
      <c r="F357" s="56">
        <f>350.872-40-25-60-100</f>
        <v>125.87200000000001</v>
      </c>
      <c r="G357" s="59">
        <v>40</v>
      </c>
      <c r="H357" s="56">
        <f t="shared" si="57"/>
        <v>185</v>
      </c>
      <c r="I357" s="56">
        <f t="shared" si="48"/>
        <v>0</v>
      </c>
      <c r="J357" s="59">
        <v>100</v>
      </c>
      <c r="K357" s="59">
        <v>300</v>
      </c>
      <c r="L357" s="56">
        <f t="shared" si="52"/>
        <v>1239</v>
      </c>
      <c r="M357" s="66">
        <v>600</v>
      </c>
      <c r="N357" s="56">
        <f>75</f>
        <v>75</v>
      </c>
      <c r="O357" s="59">
        <v>240</v>
      </c>
      <c r="P357" s="59">
        <v>160</v>
      </c>
      <c r="Q357" s="59">
        <f t="shared" si="53"/>
        <v>195</v>
      </c>
      <c r="R357" s="59">
        <f t="shared" si="54"/>
        <v>100</v>
      </c>
      <c r="S357" s="56">
        <f t="shared" si="55"/>
        <v>695</v>
      </c>
      <c r="T357" s="56">
        <f>0</f>
        <v>0</v>
      </c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</row>
    <row r="358" spans="1:30" ht="15.75">
      <c r="A358" s="14">
        <v>52200</v>
      </c>
      <c r="B358" s="68">
        <v>30</v>
      </c>
      <c r="C358" s="56">
        <f>122.58</f>
        <v>122.58</v>
      </c>
      <c r="D358" s="56">
        <f>297.941</f>
        <v>297.94099999999997</v>
      </c>
      <c r="E358" s="64">
        <f>89.177</f>
        <v>89.177000000000007</v>
      </c>
      <c r="F358" s="56">
        <f>240.302-40-60-100</f>
        <v>40.301999999999992</v>
      </c>
      <c r="G358" s="59">
        <v>40</v>
      </c>
      <c r="H358" s="56">
        <f>60+100</f>
        <v>160</v>
      </c>
      <c r="I358" s="56">
        <f t="shared" si="48"/>
        <v>0</v>
      </c>
      <c r="J358" s="59">
        <v>100</v>
      </c>
      <c r="K358" s="59">
        <v>300</v>
      </c>
      <c r="L358" s="56">
        <f t="shared" si="52"/>
        <v>1150</v>
      </c>
      <c r="M358" s="66">
        <v>600</v>
      </c>
      <c r="N358" s="56">
        <f>100</f>
        <v>100</v>
      </c>
      <c r="O358" s="59">
        <v>240</v>
      </c>
      <c r="P358" s="59">
        <v>40</v>
      </c>
      <c r="Q358" s="59">
        <f t="shared" si="53"/>
        <v>315</v>
      </c>
      <c r="R358" s="59">
        <f t="shared" si="54"/>
        <v>100</v>
      </c>
      <c r="S358" s="56">
        <f t="shared" si="55"/>
        <v>695</v>
      </c>
      <c r="T358" s="56">
        <f>50</f>
        <v>50</v>
      </c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</row>
    <row r="359" spans="1:30" ht="15.75">
      <c r="A359" s="14">
        <v>52231</v>
      </c>
      <c r="B359" s="68">
        <v>31</v>
      </c>
      <c r="C359" s="56">
        <f>122.58</f>
        <v>122.58</v>
      </c>
      <c r="D359" s="56">
        <f>297.941</f>
        <v>297.94099999999997</v>
      </c>
      <c r="E359" s="64">
        <f>89.177</f>
        <v>89.177000000000007</v>
      </c>
      <c r="F359" s="56">
        <f>240.302-40-60-100</f>
        <v>40.301999999999992</v>
      </c>
      <c r="G359" s="59">
        <v>40</v>
      </c>
      <c r="H359" s="56">
        <f>60+100</f>
        <v>160</v>
      </c>
      <c r="I359" s="56">
        <f t="shared" si="48"/>
        <v>0</v>
      </c>
      <c r="J359" s="59">
        <v>100</v>
      </c>
      <c r="K359" s="59">
        <v>300</v>
      </c>
      <c r="L359" s="56">
        <f t="shared" si="52"/>
        <v>1150</v>
      </c>
      <c r="M359" s="66">
        <v>600</v>
      </c>
      <c r="N359" s="56">
        <f>100</f>
        <v>100</v>
      </c>
      <c r="O359" s="59">
        <v>240</v>
      </c>
      <c r="P359" s="59">
        <v>40</v>
      </c>
      <c r="Q359" s="59">
        <f t="shared" si="53"/>
        <v>315</v>
      </c>
      <c r="R359" s="59">
        <f t="shared" si="54"/>
        <v>100</v>
      </c>
      <c r="S359" s="56">
        <f t="shared" si="55"/>
        <v>695</v>
      </c>
      <c r="T359" s="56">
        <f>50</f>
        <v>50</v>
      </c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</row>
    <row r="360" spans="1:30" ht="15.75">
      <c r="A360" s="14">
        <v>52262</v>
      </c>
      <c r="B360" s="68">
        <v>31</v>
      </c>
      <c r="C360" s="56">
        <f>122.58</f>
        <v>122.58</v>
      </c>
      <c r="D360" s="56">
        <f>297.941</f>
        <v>297.94099999999997</v>
      </c>
      <c r="E360" s="64">
        <f>89.177</f>
        <v>89.177000000000007</v>
      </c>
      <c r="F360" s="56">
        <f>240.302-40-60-100</f>
        <v>40.301999999999992</v>
      </c>
      <c r="G360" s="59">
        <v>40</v>
      </c>
      <c r="H360" s="56">
        <f>60+100</f>
        <v>160</v>
      </c>
      <c r="I360" s="56">
        <f t="shared" ref="I360:I423" si="58">400-J360-K360</f>
        <v>0</v>
      </c>
      <c r="J360" s="59">
        <v>100</v>
      </c>
      <c r="K360" s="59">
        <v>300</v>
      </c>
      <c r="L360" s="56">
        <f t="shared" si="52"/>
        <v>1150</v>
      </c>
      <c r="M360" s="66">
        <v>600</v>
      </c>
      <c r="N360" s="56">
        <f>100</f>
        <v>100</v>
      </c>
      <c r="O360" s="59">
        <v>240</v>
      </c>
      <c r="P360" s="59">
        <v>40</v>
      </c>
      <c r="Q360" s="59">
        <f t="shared" si="53"/>
        <v>315</v>
      </c>
      <c r="R360" s="59">
        <f t="shared" si="54"/>
        <v>100</v>
      </c>
      <c r="S360" s="56">
        <f t="shared" si="55"/>
        <v>695</v>
      </c>
      <c r="T360" s="56">
        <f>50</f>
        <v>50</v>
      </c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</row>
    <row r="361" spans="1:30" ht="15.75">
      <c r="A361" s="14">
        <v>52290</v>
      </c>
      <c r="B361" s="68">
        <v>28</v>
      </c>
      <c r="C361" s="56">
        <f>122.58</f>
        <v>122.58</v>
      </c>
      <c r="D361" s="56">
        <f>297.941</f>
        <v>297.94099999999997</v>
      </c>
      <c r="E361" s="64">
        <f>89.177</f>
        <v>89.177000000000007</v>
      </c>
      <c r="F361" s="56">
        <f>240.302-40-60-100</f>
        <v>40.301999999999992</v>
      </c>
      <c r="G361" s="59">
        <v>40</v>
      </c>
      <c r="H361" s="56">
        <f>60+100</f>
        <v>160</v>
      </c>
      <c r="I361" s="56">
        <f t="shared" si="58"/>
        <v>0</v>
      </c>
      <c r="J361" s="59">
        <v>100</v>
      </c>
      <c r="K361" s="59">
        <v>300</v>
      </c>
      <c r="L361" s="56">
        <f t="shared" si="52"/>
        <v>1150</v>
      </c>
      <c r="M361" s="66">
        <v>600</v>
      </c>
      <c r="N361" s="56">
        <f>100</f>
        <v>100</v>
      </c>
      <c r="O361" s="59">
        <v>240</v>
      </c>
      <c r="P361" s="59">
        <v>40</v>
      </c>
      <c r="Q361" s="59">
        <f t="shared" si="53"/>
        <v>315</v>
      </c>
      <c r="R361" s="59">
        <f t="shared" si="54"/>
        <v>100</v>
      </c>
      <c r="S361" s="56">
        <f t="shared" si="55"/>
        <v>695</v>
      </c>
      <c r="T361" s="56">
        <f>50</f>
        <v>50</v>
      </c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</row>
    <row r="362" spans="1:30" ht="15.75">
      <c r="A362" s="14">
        <v>52321</v>
      </c>
      <c r="B362" s="68">
        <v>31</v>
      </c>
      <c r="C362" s="56">
        <f>122.58</f>
        <v>122.58</v>
      </c>
      <c r="D362" s="56">
        <f>297.941</f>
        <v>297.94099999999997</v>
      </c>
      <c r="E362" s="64">
        <f>89.177</f>
        <v>89.177000000000007</v>
      </c>
      <c r="F362" s="56">
        <f>240.302-40-60-100</f>
        <v>40.301999999999992</v>
      </c>
      <c r="G362" s="59">
        <v>40</v>
      </c>
      <c r="H362" s="56">
        <f>60+100</f>
        <v>160</v>
      </c>
      <c r="I362" s="56">
        <f t="shared" si="58"/>
        <v>0</v>
      </c>
      <c r="J362" s="59">
        <v>100</v>
      </c>
      <c r="K362" s="59">
        <v>300</v>
      </c>
      <c r="L362" s="56">
        <f t="shared" si="52"/>
        <v>1150</v>
      </c>
      <c r="M362" s="66">
        <v>600</v>
      </c>
      <c r="N362" s="56">
        <f>100</f>
        <v>100</v>
      </c>
      <c r="O362" s="59">
        <v>240</v>
      </c>
      <c r="P362" s="59">
        <v>40</v>
      </c>
      <c r="Q362" s="59">
        <f t="shared" si="53"/>
        <v>315</v>
      </c>
      <c r="R362" s="59">
        <f t="shared" si="54"/>
        <v>100</v>
      </c>
      <c r="S362" s="56">
        <f t="shared" si="55"/>
        <v>695</v>
      </c>
      <c r="T362" s="56">
        <f>50</f>
        <v>50</v>
      </c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</row>
    <row r="363" spans="1:30" ht="15.75">
      <c r="A363" s="14">
        <v>52351</v>
      </c>
      <c r="B363" s="68">
        <v>30</v>
      </c>
      <c r="C363" s="56">
        <f>141.293</f>
        <v>141.29300000000001</v>
      </c>
      <c r="D363" s="56">
        <f>267.993</f>
        <v>267.99299999999999</v>
      </c>
      <c r="E363" s="64">
        <f>115.016</f>
        <v>115.01600000000001</v>
      </c>
      <c r="F363" s="56">
        <f>314.698-40-25-60-100</f>
        <v>89.697999999999979</v>
      </c>
      <c r="G363" s="59">
        <v>40</v>
      </c>
      <c r="H363" s="56">
        <f t="shared" ref="H363:H369" si="59">25+60+100</f>
        <v>185</v>
      </c>
      <c r="I363" s="56">
        <f t="shared" si="58"/>
        <v>0</v>
      </c>
      <c r="J363" s="59">
        <v>100</v>
      </c>
      <c r="K363" s="59">
        <v>300</v>
      </c>
      <c r="L363" s="56">
        <f t="shared" si="52"/>
        <v>1239</v>
      </c>
      <c r="M363" s="66">
        <v>600</v>
      </c>
      <c r="N363" s="56">
        <f>100</f>
        <v>100</v>
      </c>
      <c r="O363" s="59">
        <v>240</v>
      </c>
      <c r="P363" s="59">
        <v>160</v>
      </c>
      <c r="Q363" s="59">
        <f t="shared" si="53"/>
        <v>195</v>
      </c>
      <c r="R363" s="59">
        <f t="shared" si="54"/>
        <v>100</v>
      </c>
      <c r="S363" s="56">
        <f t="shared" si="55"/>
        <v>695</v>
      </c>
      <c r="T363" s="56">
        <f>50</f>
        <v>50</v>
      </c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</row>
    <row r="364" spans="1:30" ht="15.75">
      <c r="A364" s="14">
        <v>52382</v>
      </c>
      <c r="B364" s="68">
        <v>31</v>
      </c>
      <c r="C364" s="56">
        <f>194.205</f>
        <v>194.20500000000001</v>
      </c>
      <c r="D364" s="56">
        <f>267.466</f>
        <v>267.46600000000001</v>
      </c>
      <c r="E364" s="64">
        <f>133.845</f>
        <v>133.845</v>
      </c>
      <c r="F364" s="56">
        <f>278.484-40-25-60-100</f>
        <v>53.48399999999998</v>
      </c>
      <c r="G364" s="59">
        <v>40</v>
      </c>
      <c r="H364" s="56">
        <f t="shared" si="59"/>
        <v>185</v>
      </c>
      <c r="I364" s="56">
        <f t="shared" si="58"/>
        <v>0</v>
      </c>
      <c r="J364" s="59">
        <v>100</v>
      </c>
      <c r="K364" s="59">
        <v>300</v>
      </c>
      <c r="L364" s="56">
        <f t="shared" si="52"/>
        <v>1274</v>
      </c>
      <c r="M364" s="66">
        <v>600</v>
      </c>
      <c r="N364" s="56">
        <f>75</f>
        <v>75</v>
      </c>
      <c r="O364" s="59">
        <v>240</v>
      </c>
      <c r="P364" s="59">
        <v>160</v>
      </c>
      <c r="Q364" s="59">
        <f t="shared" si="53"/>
        <v>195</v>
      </c>
      <c r="R364" s="59">
        <f t="shared" si="54"/>
        <v>100</v>
      </c>
      <c r="S364" s="56">
        <f t="shared" si="55"/>
        <v>695</v>
      </c>
      <c r="T364" s="56">
        <f>50</f>
        <v>50</v>
      </c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</row>
    <row r="365" spans="1:30" ht="15.75">
      <c r="A365" s="14">
        <v>52412</v>
      </c>
      <c r="B365" s="68">
        <v>30</v>
      </c>
      <c r="C365" s="56">
        <f>194.205</f>
        <v>194.20500000000001</v>
      </c>
      <c r="D365" s="56">
        <f>267.466</f>
        <v>267.46600000000001</v>
      </c>
      <c r="E365" s="64">
        <f>133.845</f>
        <v>133.845</v>
      </c>
      <c r="F365" s="56">
        <f>278.484-40-25-60-100</f>
        <v>53.48399999999998</v>
      </c>
      <c r="G365" s="59">
        <v>40</v>
      </c>
      <c r="H365" s="56">
        <f t="shared" si="59"/>
        <v>185</v>
      </c>
      <c r="I365" s="56">
        <f t="shared" si="58"/>
        <v>0</v>
      </c>
      <c r="J365" s="59">
        <v>100</v>
      </c>
      <c r="K365" s="59">
        <v>300</v>
      </c>
      <c r="L365" s="56">
        <f t="shared" si="52"/>
        <v>1274</v>
      </c>
      <c r="M365" s="66">
        <v>600</v>
      </c>
      <c r="N365" s="56">
        <f>30</f>
        <v>30</v>
      </c>
      <c r="O365" s="59">
        <v>240</v>
      </c>
      <c r="P365" s="59">
        <v>160</v>
      </c>
      <c r="Q365" s="59">
        <f t="shared" si="53"/>
        <v>195</v>
      </c>
      <c r="R365" s="59">
        <f t="shared" si="54"/>
        <v>100</v>
      </c>
      <c r="S365" s="56">
        <f t="shared" si="55"/>
        <v>695</v>
      </c>
      <c r="T365" s="56">
        <f>50</f>
        <v>50</v>
      </c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</row>
    <row r="366" spans="1:30" ht="15.75">
      <c r="A366" s="14">
        <v>52443</v>
      </c>
      <c r="B366" s="68">
        <v>31</v>
      </c>
      <c r="C366" s="56">
        <f>194.205</f>
        <v>194.20500000000001</v>
      </c>
      <c r="D366" s="56">
        <f>267.466</f>
        <v>267.46600000000001</v>
      </c>
      <c r="E366" s="64">
        <f>133.845</f>
        <v>133.845</v>
      </c>
      <c r="F366" s="56">
        <f>278.484-40-25-60-100</f>
        <v>53.48399999999998</v>
      </c>
      <c r="G366" s="59">
        <v>40</v>
      </c>
      <c r="H366" s="56">
        <f t="shared" si="59"/>
        <v>185</v>
      </c>
      <c r="I366" s="56">
        <f t="shared" si="58"/>
        <v>0</v>
      </c>
      <c r="J366" s="59">
        <v>100</v>
      </c>
      <c r="K366" s="59">
        <v>300</v>
      </c>
      <c r="L366" s="56">
        <f t="shared" si="52"/>
        <v>1274</v>
      </c>
      <c r="M366" s="66">
        <v>600</v>
      </c>
      <c r="N366" s="56">
        <f>30</f>
        <v>30</v>
      </c>
      <c r="O366" s="59">
        <v>240</v>
      </c>
      <c r="P366" s="59">
        <v>160</v>
      </c>
      <c r="Q366" s="59">
        <f t="shared" si="53"/>
        <v>195</v>
      </c>
      <c r="R366" s="59">
        <f t="shared" si="54"/>
        <v>100</v>
      </c>
      <c r="S366" s="56">
        <f t="shared" si="55"/>
        <v>695</v>
      </c>
      <c r="T366" s="56">
        <f>0</f>
        <v>0</v>
      </c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</row>
    <row r="367" spans="1:30" ht="15.75">
      <c r="A367" s="14">
        <v>52474</v>
      </c>
      <c r="B367" s="68">
        <v>31</v>
      </c>
      <c r="C367" s="56">
        <f>194.205</f>
        <v>194.20500000000001</v>
      </c>
      <c r="D367" s="56">
        <f>267.466</f>
        <v>267.46600000000001</v>
      </c>
      <c r="E367" s="64">
        <f>133.845</f>
        <v>133.845</v>
      </c>
      <c r="F367" s="56">
        <f>278.484-40-25-60-100</f>
        <v>53.48399999999998</v>
      </c>
      <c r="G367" s="59">
        <v>40</v>
      </c>
      <c r="H367" s="56">
        <f t="shared" si="59"/>
        <v>185</v>
      </c>
      <c r="I367" s="56">
        <f t="shared" si="58"/>
        <v>0</v>
      </c>
      <c r="J367" s="59">
        <v>100</v>
      </c>
      <c r="K367" s="59">
        <v>300</v>
      </c>
      <c r="L367" s="56">
        <f t="shared" si="52"/>
        <v>1274</v>
      </c>
      <c r="M367" s="66">
        <v>600</v>
      </c>
      <c r="N367" s="56">
        <f>30</f>
        <v>30</v>
      </c>
      <c r="O367" s="59">
        <v>240</v>
      </c>
      <c r="P367" s="59">
        <v>160</v>
      </c>
      <c r="Q367" s="59">
        <f t="shared" si="53"/>
        <v>195</v>
      </c>
      <c r="R367" s="59">
        <f t="shared" si="54"/>
        <v>100</v>
      </c>
      <c r="S367" s="56">
        <f t="shared" si="55"/>
        <v>695</v>
      </c>
      <c r="T367" s="56">
        <f>0</f>
        <v>0</v>
      </c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</row>
    <row r="368" spans="1:30" ht="15.75">
      <c r="A368" s="14">
        <v>52504</v>
      </c>
      <c r="B368" s="68">
        <v>30</v>
      </c>
      <c r="C368" s="56">
        <f>194.205</f>
        <v>194.20500000000001</v>
      </c>
      <c r="D368" s="56">
        <f>267.466</f>
        <v>267.46600000000001</v>
      </c>
      <c r="E368" s="64">
        <f>133.845</f>
        <v>133.845</v>
      </c>
      <c r="F368" s="56">
        <f>278.484-40-25-60-100</f>
        <v>53.48399999999998</v>
      </c>
      <c r="G368" s="59">
        <v>40</v>
      </c>
      <c r="H368" s="56">
        <f t="shared" si="59"/>
        <v>185</v>
      </c>
      <c r="I368" s="56">
        <f t="shared" si="58"/>
        <v>0</v>
      </c>
      <c r="J368" s="59">
        <v>100</v>
      </c>
      <c r="K368" s="59">
        <v>300</v>
      </c>
      <c r="L368" s="56">
        <f t="shared" si="52"/>
        <v>1274</v>
      </c>
      <c r="M368" s="66">
        <v>600</v>
      </c>
      <c r="N368" s="56">
        <f>30</f>
        <v>30</v>
      </c>
      <c r="O368" s="59">
        <v>240</v>
      </c>
      <c r="P368" s="59">
        <v>160</v>
      </c>
      <c r="Q368" s="59">
        <f t="shared" si="53"/>
        <v>195</v>
      </c>
      <c r="R368" s="59">
        <f t="shared" si="54"/>
        <v>100</v>
      </c>
      <c r="S368" s="56">
        <f t="shared" si="55"/>
        <v>695</v>
      </c>
      <c r="T368" s="56">
        <f>0</f>
        <v>0</v>
      </c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</row>
    <row r="369" spans="1:30" ht="15.75">
      <c r="A369" s="14">
        <v>52535</v>
      </c>
      <c r="B369" s="68">
        <v>31</v>
      </c>
      <c r="C369" s="56">
        <f>131.881</f>
        <v>131.881</v>
      </c>
      <c r="D369" s="56">
        <f>277.167</f>
        <v>277.16699999999997</v>
      </c>
      <c r="E369" s="64">
        <f>79.08</f>
        <v>79.08</v>
      </c>
      <c r="F369" s="56">
        <f>350.872-40-25-60-100</f>
        <v>125.87200000000001</v>
      </c>
      <c r="G369" s="59">
        <v>40</v>
      </c>
      <c r="H369" s="56">
        <f t="shared" si="59"/>
        <v>185</v>
      </c>
      <c r="I369" s="56">
        <f t="shared" si="58"/>
        <v>0</v>
      </c>
      <c r="J369" s="59">
        <v>100</v>
      </c>
      <c r="K369" s="59">
        <v>300</v>
      </c>
      <c r="L369" s="56">
        <f t="shared" si="52"/>
        <v>1239</v>
      </c>
      <c r="M369" s="66">
        <v>600</v>
      </c>
      <c r="N369" s="56">
        <f>75</f>
        <v>75</v>
      </c>
      <c r="O369" s="59">
        <v>240</v>
      </c>
      <c r="P369" s="59">
        <v>160</v>
      </c>
      <c r="Q369" s="59">
        <f t="shared" si="53"/>
        <v>195</v>
      </c>
      <c r="R369" s="59">
        <f t="shared" si="54"/>
        <v>100</v>
      </c>
      <c r="S369" s="56">
        <f t="shared" si="55"/>
        <v>695</v>
      </c>
      <c r="T369" s="56">
        <f>0</f>
        <v>0</v>
      </c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</row>
    <row r="370" spans="1:30" ht="15.75">
      <c r="A370" s="14">
        <v>52565</v>
      </c>
      <c r="B370" s="68">
        <v>30</v>
      </c>
      <c r="C370" s="56">
        <f>122.58</f>
        <v>122.58</v>
      </c>
      <c r="D370" s="56">
        <f>297.941</f>
        <v>297.94099999999997</v>
      </c>
      <c r="E370" s="64">
        <f>89.177</f>
        <v>89.177000000000007</v>
      </c>
      <c r="F370" s="56">
        <f>240.302-40-60-100</f>
        <v>40.301999999999992</v>
      </c>
      <c r="G370" s="59">
        <v>40</v>
      </c>
      <c r="H370" s="56">
        <f>60+100</f>
        <v>160</v>
      </c>
      <c r="I370" s="56">
        <f t="shared" si="58"/>
        <v>0</v>
      </c>
      <c r="J370" s="59">
        <v>100</v>
      </c>
      <c r="K370" s="59">
        <v>300</v>
      </c>
      <c r="L370" s="56">
        <f t="shared" si="52"/>
        <v>1150</v>
      </c>
      <c r="M370" s="66">
        <v>600</v>
      </c>
      <c r="N370" s="56">
        <f>100</f>
        <v>100</v>
      </c>
      <c r="O370" s="59">
        <v>240</v>
      </c>
      <c r="P370" s="59">
        <v>40</v>
      </c>
      <c r="Q370" s="59">
        <f t="shared" si="53"/>
        <v>315</v>
      </c>
      <c r="R370" s="59">
        <f t="shared" si="54"/>
        <v>100</v>
      </c>
      <c r="S370" s="56">
        <f t="shared" si="55"/>
        <v>695</v>
      </c>
      <c r="T370" s="56">
        <f>50</f>
        <v>50</v>
      </c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</row>
    <row r="371" spans="1:30" ht="15.75">
      <c r="A371" s="14">
        <v>52596</v>
      </c>
      <c r="B371" s="68">
        <v>31</v>
      </c>
      <c r="C371" s="56">
        <f>122.58</f>
        <v>122.58</v>
      </c>
      <c r="D371" s="56">
        <f>297.941</f>
        <v>297.94099999999997</v>
      </c>
      <c r="E371" s="64">
        <f>89.177</f>
        <v>89.177000000000007</v>
      </c>
      <c r="F371" s="56">
        <f>240.302-40-60-100</f>
        <v>40.301999999999992</v>
      </c>
      <c r="G371" s="59">
        <v>40</v>
      </c>
      <c r="H371" s="56">
        <f>60+100</f>
        <v>160</v>
      </c>
      <c r="I371" s="56">
        <f t="shared" si="58"/>
        <v>0</v>
      </c>
      <c r="J371" s="59">
        <v>100</v>
      </c>
      <c r="K371" s="59">
        <v>300</v>
      </c>
      <c r="L371" s="56">
        <f t="shared" si="52"/>
        <v>1150</v>
      </c>
      <c r="M371" s="66">
        <v>600</v>
      </c>
      <c r="N371" s="56">
        <f>100</f>
        <v>100</v>
      </c>
      <c r="O371" s="59">
        <v>240</v>
      </c>
      <c r="P371" s="59">
        <v>40</v>
      </c>
      <c r="Q371" s="59">
        <f t="shared" si="53"/>
        <v>315</v>
      </c>
      <c r="R371" s="59">
        <f t="shared" si="54"/>
        <v>100</v>
      </c>
      <c r="S371" s="56">
        <f t="shared" si="55"/>
        <v>695</v>
      </c>
      <c r="T371" s="56">
        <f>50</f>
        <v>50</v>
      </c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</row>
    <row r="372" spans="1:30" ht="15.75">
      <c r="A372" s="14">
        <v>52627</v>
      </c>
      <c r="B372" s="68">
        <v>31</v>
      </c>
      <c r="C372" s="56">
        <f>122.58</f>
        <v>122.58</v>
      </c>
      <c r="D372" s="56">
        <f>297.941</f>
        <v>297.94099999999997</v>
      </c>
      <c r="E372" s="64">
        <f>89.177</f>
        <v>89.177000000000007</v>
      </c>
      <c r="F372" s="56">
        <f>240.302-40-60-100</f>
        <v>40.301999999999992</v>
      </c>
      <c r="G372" s="59">
        <v>40</v>
      </c>
      <c r="H372" s="56">
        <f>60+100</f>
        <v>160</v>
      </c>
      <c r="I372" s="56">
        <f t="shared" si="58"/>
        <v>0</v>
      </c>
      <c r="J372" s="59">
        <v>100</v>
      </c>
      <c r="K372" s="59">
        <v>300</v>
      </c>
      <c r="L372" s="56">
        <f t="shared" si="52"/>
        <v>1150</v>
      </c>
      <c r="M372" s="66">
        <v>600</v>
      </c>
      <c r="N372" s="56">
        <f>100</f>
        <v>100</v>
      </c>
      <c r="O372" s="59">
        <v>240</v>
      </c>
      <c r="P372" s="59">
        <v>40</v>
      </c>
      <c r="Q372" s="59">
        <f t="shared" si="53"/>
        <v>315</v>
      </c>
      <c r="R372" s="59">
        <f t="shared" si="54"/>
        <v>100</v>
      </c>
      <c r="S372" s="56">
        <f t="shared" si="55"/>
        <v>695</v>
      </c>
      <c r="T372" s="56">
        <f>50</f>
        <v>50</v>
      </c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</row>
    <row r="373" spans="1:30" ht="15.75">
      <c r="A373" s="14">
        <v>52655</v>
      </c>
      <c r="B373" s="68">
        <v>29</v>
      </c>
      <c r="C373" s="56">
        <f>122.58</f>
        <v>122.58</v>
      </c>
      <c r="D373" s="56">
        <f>297.941</f>
        <v>297.94099999999997</v>
      </c>
      <c r="E373" s="64">
        <f>89.177</f>
        <v>89.177000000000007</v>
      </c>
      <c r="F373" s="56">
        <f>240.302-40-60-100</f>
        <v>40.301999999999992</v>
      </c>
      <c r="G373" s="59">
        <v>40</v>
      </c>
      <c r="H373" s="56">
        <f>60+100</f>
        <v>160</v>
      </c>
      <c r="I373" s="56">
        <f t="shared" si="58"/>
        <v>0</v>
      </c>
      <c r="J373" s="59">
        <v>100</v>
      </c>
      <c r="K373" s="59">
        <v>300</v>
      </c>
      <c r="L373" s="56">
        <f t="shared" si="52"/>
        <v>1150</v>
      </c>
      <c r="M373" s="66">
        <v>600</v>
      </c>
      <c r="N373" s="56">
        <f>100</f>
        <v>100</v>
      </c>
      <c r="O373" s="59">
        <v>240</v>
      </c>
      <c r="P373" s="59">
        <v>40</v>
      </c>
      <c r="Q373" s="59">
        <f t="shared" si="53"/>
        <v>315</v>
      </c>
      <c r="R373" s="59">
        <f t="shared" si="54"/>
        <v>100</v>
      </c>
      <c r="S373" s="56">
        <f t="shared" si="55"/>
        <v>695</v>
      </c>
      <c r="T373" s="56">
        <f>50</f>
        <v>50</v>
      </c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</row>
    <row r="374" spans="1:30" ht="15.75">
      <c r="A374" s="14">
        <v>52687</v>
      </c>
      <c r="B374" s="68">
        <v>31</v>
      </c>
      <c r="C374" s="56">
        <f>122.58</f>
        <v>122.58</v>
      </c>
      <c r="D374" s="56">
        <f>297.941</f>
        <v>297.94099999999997</v>
      </c>
      <c r="E374" s="64">
        <f>89.177</f>
        <v>89.177000000000007</v>
      </c>
      <c r="F374" s="56">
        <f>240.302-40-60-100</f>
        <v>40.301999999999992</v>
      </c>
      <c r="G374" s="59">
        <v>40</v>
      </c>
      <c r="H374" s="56">
        <f>60+100</f>
        <v>160</v>
      </c>
      <c r="I374" s="56">
        <f t="shared" si="58"/>
        <v>0</v>
      </c>
      <c r="J374" s="59">
        <v>100</v>
      </c>
      <c r="K374" s="59">
        <v>300</v>
      </c>
      <c r="L374" s="56">
        <f t="shared" si="52"/>
        <v>1150</v>
      </c>
      <c r="M374" s="66">
        <v>600</v>
      </c>
      <c r="N374" s="56">
        <f>100</f>
        <v>100</v>
      </c>
      <c r="O374" s="59">
        <v>240</v>
      </c>
      <c r="P374" s="59">
        <v>40</v>
      </c>
      <c r="Q374" s="59">
        <f t="shared" si="53"/>
        <v>315</v>
      </c>
      <c r="R374" s="59">
        <f t="shared" si="54"/>
        <v>100</v>
      </c>
      <c r="S374" s="56">
        <f t="shared" si="55"/>
        <v>695</v>
      </c>
      <c r="T374" s="56">
        <f>50</f>
        <v>50</v>
      </c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</row>
    <row r="375" spans="1:30" ht="15.75">
      <c r="A375" s="14">
        <v>52717</v>
      </c>
      <c r="B375" s="68">
        <v>30</v>
      </c>
      <c r="C375" s="56">
        <f>141.293</f>
        <v>141.29300000000001</v>
      </c>
      <c r="D375" s="56">
        <f>267.993</f>
        <v>267.99299999999999</v>
      </c>
      <c r="E375" s="64">
        <f>115.016</f>
        <v>115.01600000000001</v>
      </c>
      <c r="F375" s="56">
        <f>314.698-40-25-60-100</f>
        <v>89.697999999999979</v>
      </c>
      <c r="G375" s="59">
        <v>40</v>
      </c>
      <c r="H375" s="56">
        <f t="shared" ref="H375:H381" si="60">25+60+100</f>
        <v>185</v>
      </c>
      <c r="I375" s="56">
        <f t="shared" si="58"/>
        <v>0</v>
      </c>
      <c r="J375" s="59">
        <v>100</v>
      </c>
      <c r="K375" s="59">
        <v>300</v>
      </c>
      <c r="L375" s="56">
        <f t="shared" si="52"/>
        <v>1239</v>
      </c>
      <c r="M375" s="66">
        <v>600</v>
      </c>
      <c r="N375" s="56">
        <f>100</f>
        <v>100</v>
      </c>
      <c r="O375" s="59">
        <v>240</v>
      </c>
      <c r="P375" s="59">
        <v>160</v>
      </c>
      <c r="Q375" s="59">
        <f t="shared" si="53"/>
        <v>195</v>
      </c>
      <c r="R375" s="59">
        <f t="shared" si="54"/>
        <v>100</v>
      </c>
      <c r="S375" s="56">
        <f t="shared" si="55"/>
        <v>695</v>
      </c>
      <c r="T375" s="56">
        <f>50</f>
        <v>50</v>
      </c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</row>
    <row r="376" spans="1:30" ht="15.75">
      <c r="A376" s="14">
        <v>52748</v>
      </c>
      <c r="B376" s="68">
        <v>31</v>
      </c>
      <c r="C376" s="56">
        <f>194.205</f>
        <v>194.20500000000001</v>
      </c>
      <c r="D376" s="56">
        <f>267.466</f>
        <v>267.46600000000001</v>
      </c>
      <c r="E376" s="64">
        <f>133.845</f>
        <v>133.845</v>
      </c>
      <c r="F376" s="56">
        <f>278.484-40-25-60-100</f>
        <v>53.48399999999998</v>
      </c>
      <c r="G376" s="59">
        <v>40</v>
      </c>
      <c r="H376" s="56">
        <f t="shared" si="60"/>
        <v>185</v>
      </c>
      <c r="I376" s="56">
        <f t="shared" si="58"/>
        <v>0</v>
      </c>
      <c r="J376" s="59">
        <v>100</v>
      </c>
      <c r="K376" s="59">
        <v>300</v>
      </c>
      <c r="L376" s="56">
        <f t="shared" si="52"/>
        <v>1274</v>
      </c>
      <c r="M376" s="66">
        <v>600</v>
      </c>
      <c r="N376" s="56">
        <f>75</f>
        <v>75</v>
      </c>
      <c r="O376" s="59">
        <v>240</v>
      </c>
      <c r="P376" s="59">
        <v>160</v>
      </c>
      <c r="Q376" s="59">
        <f t="shared" si="53"/>
        <v>195</v>
      </c>
      <c r="R376" s="59">
        <f t="shared" si="54"/>
        <v>100</v>
      </c>
      <c r="S376" s="56">
        <f t="shared" si="55"/>
        <v>695</v>
      </c>
      <c r="T376" s="56">
        <f>50</f>
        <v>50</v>
      </c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</row>
    <row r="377" spans="1:30" ht="15.75">
      <c r="A377" s="14">
        <v>52778</v>
      </c>
      <c r="B377" s="68">
        <v>30</v>
      </c>
      <c r="C377" s="56">
        <f>194.205</f>
        <v>194.20500000000001</v>
      </c>
      <c r="D377" s="56">
        <f>267.466</f>
        <v>267.46600000000001</v>
      </c>
      <c r="E377" s="64">
        <f>133.845</f>
        <v>133.845</v>
      </c>
      <c r="F377" s="56">
        <f>278.484-40-25-60-100</f>
        <v>53.48399999999998</v>
      </c>
      <c r="G377" s="59">
        <v>40</v>
      </c>
      <c r="H377" s="56">
        <f t="shared" si="60"/>
        <v>185</v>
      </c>
      <c r="I377" s="56">
        <f t="shared" si="58"/>
        <v>0</v>
      </c>
      <c r="J377" s="59">
        <v>100</v>
      </c>
      <c r="K377" s="59">
        <v>300</v>
      </c>
      <c r="L377" s="56">
        <f t="shared" si="52"/>
        <v>1274</v>
      </c>
      <c r="M377" s="66">
        <v>600</v>
      </c>
      <c r="N377" s="56">
        <f>30</f>
        <v>30</v>
      </c>
      <c r="O377" s="59">
        <v>240</v>
      </c>
      <c r="P377" s="59">
        <v>160</v>
      </c>
      <c r="Q377" s="59">
        <f t="shared" si="53"/>
        <v>195</v>
      </c>
      <c r="R377" s="59">
        <f t="shared" si="54"/>
        <v>100</v>
      </c>
      <c r="S377" s="56">
        <f t="shared" si="55"/>
        <v>695</v>
      </c>
      <c r="T377" s="56">
        <f>50</f>
        <v>50</v>
      </c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</row>
    <row r="378" spans="1:30" ht="15.75">
      <c r="A378" s="14">
        <v>52809</v>
      </c>
      <c r="B378" s="68">
        <v>31</v>
      </c>
      <c r="C378" s="56">
        <f>194.205</f>
        <v>194.20500000000001</v>
      </c>
      <c r="D378" s="56">
        <f>267.466</f>
        <v>267.46600000000001</v>
      </c>
      <c r="E378" s="64">
        <f>133.845</f>
        <v>133.845</v>
      </c>
      <c r="F378" s="56">
        <f>278.484-40-25-60-100</f>
        <v>53.48399999999998</v>
      </c>
      <c r="G378" s="59">
        <v>40</v>
      </c>
      <c r="H378" s="56">
        <f t="shared" si="60"/>
        <v>185</v>
      </c>
      <c r="I378" s="56">
        <f t="shared" si="58"/>
        <v>0</v>
      </c>
      <c r="J378" s="59">
        <v>100</v>
      </c>
      <c r="K378" s="59">
        <v>300</v>
      </c>
      <c r="L378" s="56">
        <f t="shared" si="52"/>
        <v>1274</v>
      </c>
      <c r="M378" s="66">
        <v>600</v>
      </c>
      <c r="N378" s="56">
        <f>30</f>
        <v>30</v>
      </c>
      <c r="O378" s="59">
        <v>240</v>
      </c>
      <c r="P378" s="59">
        <v>160</v>
      </c>
      <c r="Q378" s="59">
        <f t="shared" si="53"/>
        <v>195</v>
      </c>
      <c r="R378" s="59">
        <f t="shared" si="54"/>
        <v>100</v>
      </c>
      <c r="S378" s="56">
        <f t="shared" si="55"/>
        <v>695</v>
      </c>
      <c r="T378" s="56">
        <f>0</f>
        <v>0</v>
      </c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</row>
    <row r="379" spans="1:30" ht="15.75">
      <c r="A379" s="14">
        <v>52840</v>
      </c>
      <c r="B379" s="68">
        <v>31</v>
      </c>
      <c r="C379" s="56">
        <f>194.205</f>
        <v>194.20500000000001</v>
      </c>
      <c r="D379" s="56">
        <f>267.466</f>
        <v>267.46600000000001</v>
      </c>
      <c r="E379" s="64">
        <f>133.845</f>
        <v>133.845</v>
      </c>
      <c r="F379" s="56">
        <f>278.484-40-25-60-100</f>
        <v>53.48399999999998</v>
      </c>
      <c r="G379" s="59">
        <v>40</v>
      </c>
      <c r="H379" s="56">
        <f t="shared" si="60"/>
        <v>185</v>
      </c>
      <c r="I379" s="56">
        <f t="shared" si="58"/>
        <v>0</v>
      </c>
      <c r="J379" s="59">
        <v>100</v>
      </c>
      <c r="K379" s="59">
        <v>300</v>
      </c>
      <c r="L379" s="56">
        <f t="shared" si="52"/>
        <v>1274</v>
      </c>
      <c r="M379" s="66">
        <v>600</v>
      </c>
      <c r="N379" s="56">
        <f>30</f>
        <v>30</v>
      </c>
      <c r="O379" s="59">
        <v>240</v>
      </c>
      <c r="P379" s="59">
        <v>160</v>
      </c>
      <c r="Q379" s="59">
        <f t="shared" si="53"/>
        <v>195</v>
      </c>
      <c r="R379" s="59">
        <f t="shared" si="54"/>
        <v>100</v>
      </c>
      <c r="S379" s="56">
        <f t="shared" si="55"/>
        <v>695</v>
      </c>
      <c r="T379" s="56">
        <f>0</f>
        <v>0</v>
      </c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</row>
    <row r="380" spans="1:30" ht="15.75">
      <c r="A380" s="14">
        <v>52870</v>
      </c>
      <c r="B380" s="68">
        <v>30</v>
      </c>
      <c r="C380" s="56">
        <f>194.205</f>
        <v>194.20500000000001</v>
      </c>
      <c r="D380" s="56">
        <f>267.466</f>
        <v>267.46600000000001</v>
      </c>
      <c r="E380" s="64">
        <f>133.845</f>
        <v>133.845</v>
      </c>
      <c r="F380" s="56">
        <f>278.484-40-25-60-100</f>
        <v>53.48399999999998</v>
      </c>
      <c r="G380" s="59">
        <v>40</v>
      </c>
      <c r="H380" s="56">
        <f t="shared" si="60"/>
        <v>185</v>
      </c>
      <c r="I380" s="56">
        <f t="shared" si="58"/>
        <v>0</v>
      </c>
      <c r="J380" s="59">
        <v>100</v>
      </c>
      <c r="K380" s="59">
        <v>300</v>
      </c>
      <c r="L380" s="56">
        <f t="shared" si="52"/>
        <v>1274</v>
      </c>
      <c r="M380" s="66">
        <v>600</v>
      </c>
      <c r="N380" s="56">
        <f>30</f>
        <v>30</v>
      </c>
      <c r="O380" s="59">
        <v>240</v>
      </c>
      <c r="P380" s="59">
        <v>160</v>
      </c>
      <c r="Q380" s="59">
        <f t="shared" si="53"/>
        <v>195</v>
      </c>
      <c r="R380" s="59">
        <f t="shared" si="54"/>
        <v>100</v>
      </c>
      <c r="S380" s="56">
        <f t="shared" si="55"/>
        <v>695</v>
      </c>
      <c r="T380" s="56">
        <f>0</f>
        <v>0</v>
      </c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</row>
    <row r="381" spans="1:30" ht="15.75">
      <c r="A381" s="14">
        <v>52901</v>
      </c>
      <c r="B381" s="68">
        <v>31</v>
      </c>
      <c r="C381" s="56">
        <f>131.881</f>
        <v>131.881</v>
      </c>
      <c r="D381" s="56">
        <f>277.167</f>
        <v>277.16699999999997</v>
      </c>
      <c r="E381" s="64">
        <f>79.08</f>
        <v>79.08</v>
      </c>
      <c r="F381" s="56">
        <f>350.872-40-25-60-100</f>
        <v>125.87200000000001</v>
      </c>
      <c r="G381" s="59">
        <v>40</v>
      </c>
      <c r="H381" s="56">
        <f t="shared" si="60"/>
        <v>185</v>
      </c>
      <c r="I381" s="56">
        <f t="shared" si="58"/>
        <v>0</v>
      </c>
      <c r="J381" s="59">
        <v>100</v>
      </c>
      <c r="K381" s="59">
        <v>300</v>
      </c>
      <c r="L381" s="56">
        <f t="shared" si="52"/>
        <v>1239</v>
      </c>
      <c r="M381" s="66">
        <v>600</v>
      </c>
      <c r="N381" s="56">
        <f>75</f>
        <v>75</v>
      </c>
      <c r="O381" s="59">
        <v>240</v>
      </c>
      <c r="P381" s="59">
        <v>160</v>
      </c>
      <c r="Q381" s="59">
        <f t="shared" si="53"/>
        <v>195</v>
      </c>
      <c r="R381" s="59">
        <f t="shared" si="54"/>
        <v>100</v>
      </c>
      <c r="S381" s="56">
        <f t="shared" si="55"/>
        <v>695</v>
      </c>
      <c r="T381" s="56">
        <f>0</f>
        <v>0</v>
      </c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</row>
    <row r="382" spans="1:30" ht="15.75">
      <c r="A382" s="14">
        <v>52931</v>
      </c>
      <c r="B382" s="68">
        <v>30</v>
      </c>
      <c r="C382" s="56">
        <f>122.58</f>
        <v>122.58</v>
      </c>
      <c r="D382" s="56">
        <f>297.941</f>
        <v>297.94099999999997</v>
      </c>
      <c r="E382" s="64">
        <f>89.177</f>
        <v>89.177000000000007</v>
      </c>
      <c r="F382" s="56">
        <f>240.302-40-60-100</f>
        <v>40.301999999999992</v>
      </c>
      <c r="G382" s="59">
        <v>40</v>
      </c>
      <c r="H382" s="56">
        <f>60+100</f>
        <v>160</v>
      </c>
      <c r="I382" s="56">
        <f t="shared" si="58"/>
        <v>0</v>
      </c>
      <c r="J382" s="59">
        <v>100</v>
      </c>
      <c r="K382" s="59">
        <v>300</v>
      </c>
      <c r="L382" s="56">
        <f t="shared" si="52"/>
        <v>1150</v>
      </c>
      <c r="M382" s="66">
        <v>600</v>
      </c>
      <c r="N382" s="56">
        <f>100</f>
        <v>100</v>
      </c>
      <c r="O382" s="59">
        <v>240</v>
      </c>
      <c r="P382" s="59">
        <v>40</v>
      </c>
      <c r="Q382" s="59">
        <f t="shared" si="53"/>
        <v>315</v>
      </c>
      <c r="R382" s="59">
        <f t="shared" si="54"/>
        <v>100</v>
      </c>
      <c r="S382" s="56">
        <f t="shared" si="55"/>
        <v>695</v>
      </c>
      <c r="T382" s="56">
        <f>50</f>
        <v>50</v>
      </c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</row>
    <row r="383" spans="1:30" ht="15.75">
      <c r="A383" s="14">
        <v>52962</v>
      </c>
      <c r="B383" s="68">
        <v>31</v>
      </c>
      <c r="C383" s="56">
        <f>122.58</f>
        <v>122.58</v>
      </c>
      <c r="D383" s="56">
        <f>297.941</f>
        <v>297.94099999999997</v>
      </c>
      <c r="E383" s="64">
        <f>89.177</f>
        <v>89.177000000000007</v>
      </c>
      <c r="F383" s="56">
        <f>240.302-40-60-100</f>
        <v>40.301999999999992</v>
      </c>
      <c r="G383" s="59">
        <v>40</v>
      </c>
      <c r="H383" s="56">
        <f>60+100</f>
        <v>160</v>
      </c>
      <c r="I383" s="56">
        <f t="shared" si="58"/>
        <v>0</v>
      </c>
      <c r="J383" s="59">
        <v>100</v>
      </c>
      <c r="K383" s="59">
        <v>300</v>
      </c>
      <c r="L383" s="56">
        <f t="shared" si="52"/>
        <v>1150</v>
      </c>
      <c r="M383" s="66">
        <v>600</v>
      </c>
      <c r="N383" s="56">
        <f>100</f>
        <v>100</v>
      </c>
      <c r="O383" s="59">
        <v>240</v>
      </c>
      <c r="P383" s="59">
        <v>40</v>
      </c>
      <c r="Q383" s="59">
        <f t="shared" si="53"/>
        <v>315</v>
      </c>
      <c r="R383" s="59">
        <f t="shared" si="54"/>
        <v>100</v>
      </c>
      <c r="S383" s="56">
        <f t="shared" si="55"/>
        <v>695</v>
      </c>
      <c r="T383" s="56">
        <f>50</f>
        <v>50</v>
      </c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</row>
    <row r="384" spans="1:30" ht="15.75">
      <c r="A384" s="14">
        <v>52993</v>
      </c>
      <c r="B384" s="68">
        <v>31</v>
      </c>
      <c r="C384" s="56">
        <f>122.58</f>
        <v>122.58</v>
      </c>
      <c r="D384" s="56">
        <f>297.941</f>
        <v>297.94099999999997</v>
      </c>
      <c r="E384" s="64">
        <f>89.177</f>
        <v>89.177000000000007</v>
      </c>
      <c r="F384" s="56">
        <f>240.302-40-60-100</f>
        <v>40.301999999999992</v>
      </c>
      <c r="G384" s="59">
        <v>40</v>
      </c>
      <c r="H384" s="56">
        <f>60+100</f>
        <v>160</v>
      </c>
      <c r="I384" s="56">
        <f t="shared" si="58"/>
        <v>0</v>
      </c>
      <c r="J384" s="59">
        <v>100</v>
      </c>
      <c r="K384" s="59">
        <v>300</v>
      </c>
      <c r="L384" s="56">
        <f t="shared" si="52"/>
        <v>1150</v>
      </c>
      <c r="M384" s="66">
        <v>600</v>
      </c>
      <c r="N384" s="56">
        <f>100</f>
        <v>100</v>
      </c>
      <c r="O384" s="59">
        <v>240</v>
      </c>
      <c r="P384" s="59">
        <v>40</v>
      </c>
      <c r="Q384" s="59">
        <f t="shared" si="53"/>
        <v>315</v>
      </c>
      <c r="R384" s="59">
        <f t="shared" si="54"/>
        <v>100</v>
      </c>
      <c r="S384" s="56">
        <f t="shared" si="55"/>
        <v>695</v>
      </c>
      <c r="T384" s="56">
        <f>50</f>
        <v>50</v>
      </c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</row>
    <row r="385" spans="1:30" ht="15.75">
      <c r="A385" s="14">
        <v>53021</v>
      </c>
      <c r="B385" s="68">
        <v>28</v>
      </c>
      <c r="C385" s="56">
        <f>122.58</f>
        <v>122.58</v>
      </c>
      <c r="D385" s="56">
        <f>297.941</f>
        <v>297.94099999999997</v>
      </c>
      <c r="E385" s="64">
        <f>89.177</f>
        <v>89.177000000000007</v>
      </c>
      <c r="F385" s="56">
        <f>240.302-40-60-100</f>
        <v>40.301999999999992</v>
      </c>
      <c r="G385" s="59">
        <v>40</v>
      </c>
      <c r="H385" s="56">
        <f>60+100</f>
        <v>160</v>
      </c>
      <c r="I385" s="56">
        <f t="shared" si="58"/>
        <v>0</v>
      </c>
      <c r="J385" s="59">
        <v>100</v>
      </c>
      <c r="K385" s="59">
        <v>300</v>
      </c>
      <c r="L385" s="56">
        <f t="shared" si="52"/>
        <v>1150</v>
      </c>
      <c r="M385" s="66">
        <v>600</v>
      </c>
      <c r="N385" s="56">
        <f>100</f>
        <v>100</v>
      </c>
      <c r="O385" s="59">
        <v>240</v>
      </c>
      <c r="P385" s="59">
        <v>40</v>
      </c>
      <c r="Q385" s="59">
        <f t="shared" si="53"/>
        <v>315</v>
      </c>
      <c r="R385" s="59">
        <f t="shared" si="54"/>
        <v>100</v>
      </c>
      <c r="S385" s="56">
        <f t="shared" si="55"/>
        <v>695</v>
      </c>
      <c r="T385" s="56">
        <f>50</f>
        <v>50</v>
      </c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</row>
    <row r="386" spans="1:30" ht="15.75">
      <c r="A386" s="14">
        <v>53052</v>
      </c>
      <c r="B386" s="68">
        <v>31</v>
      </c>
      <c r="C386" s="56">
        <f>122.58</f>
        <v>122.58</v>
      </c>
      <c r="D386" s="56">
        <f>297.941</f>
        <v>297.94099999999997</v>
      </c>
      <c r="E386" s="64">
        <f>89.177</f>
        <v>89.177000000000007</v>
      </c>
      <c r="F386" s="56">
        <f>240.302-40-60-100</f>
        <v>40.301999999999992</v>
      </c>
      <c r="G386" s="59">
        <v>40</v>
      </c>
      <c r="H386" s="56">
        <f>60+100</f>
        <v>160</v>
      </c>
      <c r="I386" s="56">
        <f t="shared" si="58"/>
        <v>0</v>
      </c>
      <c r="J386" s="59">
        <v>100</v>
      </c>
      <c r="K386" s="59">
        <v>300</v>
      </c>
      <c r="L386" s="56">
        <f t="shared" si="52"/>
        <v>1150</v>
      </c>
      <c r="M386" s="66">
        <v>600</v>
      </c>
      <c r="N386" s="56">
        <f>100</f>
        <v>100</v>
      </c>
      <c r="O386" s="59">
        <v>240</v>
      </c>
      <c r="P386" s="59">
        <v>40</v>
      </c>
      <c r="Q386" s="59">
        <f t="shared" si="53"/>
        <v>315</v>
      </c>
      <c r="R386" s="59">
        <f t="shared" si="54"/>
        <v>100</v>
      </c>
      <c r="S386" s="56">
        <f t="shared" si="55"/>
        <v>695</v>
      </c>
      <c r="T386" s="56">
        <f>50</f>
        <v>50</v>
      </c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</row>
    <row r="387" spans="1:30" ht="15.75">
      <c r="A387" s="14">
        <v>53082</v>
      </c>
      <c r="B387" s="68">
        <v>30</v>
      </c>
      <c r="C387" s="56">
        <f>141.293</f>
        <v>141.29300000000001</v>
      </c>
      <c r="D387" s="56">
        <f>267.993</f>
        <v>267.99299999999999</v>
      </c>
      <c r="E387" s="64">
        <f>115.016</f>
        <v>115.01600000000001</v>
      </c>
      <c r="F387" s="56">
        <f>314.698-40-25-60-100</f>
        <v>89.697999999999979</v>
      </c>
      <c r="G387" s="59">
        <v>40</v>
      </c>
      <c r="H387" s="56">
        <f t="shared" ref="H387:H393" si="61">25+60+100</f>
        <v>185</v>
      </c>
      <c r="I387" s="56">
        <f t="shared" si="58"/>
        <v>0</v>
      </c>
      <c r="J387" s="59">
        <v>100</v>
      </c>
      <c r="K387" s="59">
        <v>300</v>
      </c>
      <c r="L387" s="56">
        <f t="shared" si="52"/>
        <v>1239</v>
      </c>
      <c r="M387" s="66">
        <v>600</v>
      </c>
      <c r="N387" s="56">
        <f>100</f>
        <v>100</v>
      </c>
      <c r="O387" s="59">
        <v>240</v>
      </c>
      <c r="P387" s="59">
        <v>160</v>
      </c>
      <c r="Q387" s="59">
        <f t="shared" si="53"/>
        <v>195</v>
      </c>
      <c r="R387" s="59">
        <f t="shared" si="54"/>
        <v>100</v>
      </c>
      <c r="S387" s="56">
        <f t="shared" si="55"/>
        <v>695</v>
      </c>
      <c r="T387" s="56">
        <f>50</f>
        <v>50</v>
      </c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</row>
    <row r="388" spans="1:30" ht="15.75">
      <c r="A388" s="14">
        <v>53113</v>
      </c>
      <c r="B388" s="68">
        <v>31</v>
      </c>
      <c r="C388" s="56">
        <f>194.205</f>
        <v>194.20500000000001</v>
      </c>
      <c r="D388" s="56">
        <f>267.466</f>
        <v>267.46600000000001</v>
      </c>
      <c r="E388" s="64">
        <f>133.845</f>
        <v>133.845</v>
      </c>
      <c r="F388" s="56">
        <f>278.484-40-25-60-100</f>
        <v>53.48399999999998</v>
      </c>
      <c r="G388" s="59">
        <v>40</v>
      </c>
      <c r="H388" s="56">
        <f t="shared" si="61"/>
        <v>185</v>
      </c>
      <c r="I388" s="56">
        <f t="shared" si="58"/>
        <v>0</v>
      </c>
      <c r="J388" s="59">
        <v>100</v>
      </c>
      <c r="K388" s="59">
        <v>300</v>
      </c>
      <c r="L388" s="56">
        <f t="shared" si="52"/>
        <v>1274</v>
      </c>
      <c r="M388" s="66">
        <v>600</v>
      </c>
      <c r="N388" s="56">
        <f>75</f>
        <v>75</v>
      </c>
      <c r="O388" s="59">
        <v>240</v>
      </c>
      <c r="P388" s="59">
        <v>160</v>
      </c>
      <c r="Q388" s="59">
        <f t="shared" si="53"/>
        <v>195</v>
      </c>
      <c r="R388" s="59">
        <f t="shared" si="54"/>
        <v>100</v>
      </c>
      <c r="S388" s="56">
        <f t="shared" si="55"/>
        <v>695</v>
      </c>
      <c r="T388" s="56">
        <f>50</f>
        <v>50</v>
      </c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</row>
    <row r="389" spans="1:30" ht="15.75">
      <c r="A389" s="14">
        <v>53143</v>
      </c>
      <c r="B389" s="68">
        <v>30</v>
      </c>
      <c r="C389" s="56">
        <f>194.205</f>
        <v>194.20500000000001</v>
      </c>
      <c r="D389" s="56">
        <f>267.466</f>
        <v>267.46600000000001</v>
      </c>
      <c r="E389" s="64">
        <f>133.845</f>
        <v>133.845</v>
      </c>
      <c r="F389" s="56">
        <f>278.484-40-25-60-100</f>
        <v>53.48399999999998</v>
      </c>
      <c r="G389" s="59">
        <v>40</v>
      </c>
      <c r="H389" s="56">
        <f t="shared" si="61"/>
        <v>185</v>
      </c>
      <c r="I389" s="56">
        <f t="shared" si="58"/>
        <v>0</v>
      </c>
      <c r="J389" s="59">
        <v>100</v>
      </c>
      <c r="K389" s="59">
        <v>300</v>
      </c>
      <c r="L389" s="56">
        <f t="shared" si="52"/>
        <v>1274</v>
      </c>
      <c r="M389" s="66">
        <v>600</v>
      </c>
      <c r="N389" s="56">
        <f>30</f>
        <v>30</v>
      </c>
      <c r="O389" s="59">
        <v>240</v>
      </c>
      <c r="P389" s="59">
        <v>160</v>
      </c>
      <c r="Q389" s="59">
        <f t="shared" si="53"/>
        <v>195</v>
      </c>
      <c r="R389" s="59">
        <f t="shared" si="54"/>
        <v>100</v>
      </c>
      <c r="S389" s="56">
        <f t="shared" si="55"/>
        <v>695</v>
      </c>
      <c r="T389" s="56">
        <f>50</f>
        <v>50</v>
      </c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</row>
    <row r="390" spans="1:30" ht="15.75">
      <c r="A390" s="14">
        <v>53174</v>
      </c>
      <c r="B390" s="68">
        <v>31</v>
      </c>
      <c r="C390" s="56">
        <f>194.205</f>
        <v>194.20500000000001</v>
      </c>
      <c r="D390" s="56">
        <f>267.466</f>
        <v>267.46600000000001</v>
      </c>
      <c r="E390" s="64">
        <f>133.845</f>
        <v>133.845</v>
      </c>
      <c r="F390" s="56">
        <f>278.484-40-25-60-100</f>
        <v>53.48399999999998</v>
      </c>
      <c r="G390" s="59">
        <v>40</v>
      </c>
      <c r="H390" s="56">
        <f t="shared" si="61"/>
        <v>185</v>
      </c>
      <c r="I390" s="56">
        <f t="shared" si="58"/>
        <v>0</v>
      </c>
      <c r="J390" s="59">
        <v>100</v>
      </c>
      <c r="K390" s="59">
        <v>300</v>
      </c>
      <c r="L390" s="56">
        <f t="shared" si="52"/>
        <v>1274</v>
      </c>
      <c r="M390" s="66">
        <v>600</v>
      </c>
      <c r="N390" s="56">
        <f>30</f>
        <v>30</v>
      </c>
      <c r="O390" s="59">
        <v>240</v>
      </c>
      <c r="P390" s="59">
        <v>160</v>
      </c>
      <c r="Q390" s="59">
        <f t="shared" si="53"/>
        <v>195</v>
      </c>
      <c r="R390" s="59">
        <f t="shared" si="54"/>
        <v>100</v>
      </c>
      <c r="S390" s="56">
        <f t="shared" si="55"/>
        <v>695</v>
      </c>
      <c r="T390" s="56">
        <f>0</f>
        <v>0</v>
      </c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</row>
    <row r="391" spans="1:30" ht="15.75">
      <c r="A391" s="14">
        <v>53205</v>
      </c>
      <c r="B391" s="68">
        <v>31</v>
      </c>
      <c r="C391" s="56">
        <f>194.205</f>
        <v>194.20500000000001</v>
      </c>
      <c r="D391" s="56">
        <f>267.466</f>
        <v>267.46600000000001</v>
      </c>
      <c r="E391" s="64">
        <f>133.845</f>
        <v>133.845</v>
      </c>
      <c r="F391" s="56">
        <f>278.484-40-25-60-100</f>
        <v>53.48399999999998</v>
      </c>
      <c r="G391" s="59">
        <v>40</v>
      </c>
      <c r="H391" s="56">
        <f t="shared" si="61"/>
        <v>185</v>
      </c>
      <c r="I391" s="56">
        <f t="shared" si="58"/>
        <v>0</v>
      </c>
      <c r="J391" s="59">
        <v>100</v>
      </c>
      <c r="K391" s="59">
        <v>300</v>
      </c>
      <c r="L391" s="56">
        <f t="shared" si="52"/>
        <v>1274</v>
      </c>
      <c r="M391" s="66">
        <v>600</v>
      </c>
      <c r="N391" s="56">
        <f>30</f>
        <v>30</v>
      </c>
      <c r="O391" s="59">
        <v>240</v>
      </c>
      <c r="P391" s="59">
        <v>160</v>
      </c>
      <c r="Q391" s="59">
        <f t="shared" si="53"/>
        <v>195</v>
      </c>
      <c r="R391" s="59">
        <f t="shared" si="54"/>
        <v>100</v>
      </c>
      <c r="S391" s="56">
        <f t="shared" si="55"/>
        <v>695</v>
      </c>
      <c r="T391" s="56">
        <f>0</f>
        <v>0</v>
      </c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</row>
    <row r="392" spans="1:30" ht="15.75">
      <c r="A392" s="14">
        <v>53235</v>
      </c>
      <c r="B392" s="68">
        <v>30</v>
      </c>
      <c r="C392" s="56">
        <f>194.205</f>
        <v>194.20500000000001</v>
      </c>
      <c r="D392" s="56">
        <f>267.466</f>
        <v>267.46600000000001</v>
      </c>
      <c r="E392" s="64">
        <f>133.845</f>
        <v>133.845</v>
      </c>
      <c r="F392" s="56">
        <f>278.484-40-25-60-100</f>
        <v>53.48399999999998</v>
      </c>
      <c r="G392" s="59">
        <v>40</v>
      </c>
      <c r="H392" s="56">
        <f t="shared" si="61"/>
        <v>185</v>
      </c>
      <c r="I392" s="56">
        <f t="shared" si="58"/>
        <v>0</v>
      </c>
      <c r="J392" s="59">
        <v>100</v>
      </c>
      <c r="K392" s="59">
        <v>300</v>
      </c>
      <c r="L392" s="56">
        <f t="shared" si="52"/>
        <v>1274</v>
      </c>
      <c r="M392" s="66">
        <v>600</v>
      </c>
      <c r="N392" s="56">
        <f>30</f>
        <v>30</v>
      </c>
      <c r="O392" s="59">
        <v>240</v>
      </c>
      <c r="P392" s="59">
        <v>160</v>
      </c>
      <c r="Q392" s="59">
        <f t="shared" si="53"/>
        <v>195</v>
      </c>
      <c r="R392" s="59">
        <f t="shared" si="54"/>
        <v>100</v>
      </c>
      <c r="S392" s="56">
        <f t="shared" si="55"/>
        <v>695</v>
      </c>
      <c r="T392" s="56">
        <f>0</f>
        <v>0</v>
      </c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</row>
    <row r="393" spans="1:30" ht="15.75">
      <c r="A393" s="14">
        <v>53266</v>
      </c>
      <c r="B393" s="68">
        <v>31</v>
      </c>
      <c r="C393" s="56">
        <f>131.881</f>
        <v>131.881</v>
      </c>
      <c r="D393" s="56">
        <f>277.167</f>
        <v>277.16699999999997</v>
      </c>
      <c r="E393" s="64">
        <f>79.08</f>
        <v>79.08</v>
      </c>
      <c r="F393" s="56">
        <f>350.872-40-25-60-100</f>
        <v>125.87200000000001</v>
      </c>
      <c r="G393" s="59">
        <v>40</v>
      </c>
      <c r="H393" s="56">
        <f t="shared" si="61"/>
        <v>185</v>
      </c>
      <c r="I393" s="56">
        <f t="shared" si="58"/>
        <v>0</v>
      </c>
      <c r="J393" s="59">
        <v>100</v>
      </c>
      <c r="K393" s="59">
        <v>300</v>
      </c>
      <c r="L393" s="56">
        <f t="shared" si="52"/>
        <v>1239</v>
      </c>
      <c r="M393" s="66">
        <v>600</v>
      </c>
      <c r="N393" s="56">
        <f>75</f>
        <v>75</v>
      </c>
      <c r="O393" s="59">
        <v>240</v>
      </c>
      <c r="P393" s="59">
        <v>160</v>
      </c>
      <c r="Q393" s="59">
        <f t="shared" si="53"/>
        <v>195</v>
      </c>
      <c r="R393" s="59">
        <f t="shared" si="54"/>
        <v>100</v>
      </c>
      <c r="S393" s="56">
        <f t="shared" si="55"/>
        <v>695</v>
      </c>
      <c r="T393" s="56">
        <f>0</f>
        <v>0</v>
      </c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</row>
    <row r="394" spans="1:30" ht="15.75">
      <c r="A394" s="14">
        <v>53296</v>
      </c>
      <c r="B394" s="68">
        <v>30</v>
      </c>
      <c r="C394" s="56">
        <f>122.58</f>
        <v>122.58</v>
      </c>
      <c r="D394" s="56">
        <f>297.941</f>
        <v>297.94099999999997</v>
      </c>
      <c r="E394" s="64">
        <f>89.177</f>
        <v>89.177000000000007</v>
      </c>
      <c r="F394" s="56">
        <f>240.302-40-60-100</f>
        <v>40.301999999999992</v>
      </c>
      <c r="G394" s="59">
        <v>40</v>
      </c>
      <c r="H394" s="56">
        <f>60+100</f>
        <v>160</v>
      </c>
      <c r="I394" s="56">
        <f t="shared" si="58"/>
        <v>0</v>
      </c>
      <c r="J394" s="59">
        <v>100</v>
      </c>
      <c r="K394" s="59">
        <v>300</v>
      </c>
      <c r="L394" s="56">
        <f t="shared" si="52"/>
        <v>1150</v>
      </c>
      <c r="M394" s="66">
        <v>600</v>
      </c>
      <c r="N394" s="56">
        <f>100</f>
        <v>100</v>
      </c>
      <c r="O394" s="59">
        <v>240</v>
      </c>
      <c r="P394" s="59">
        <v>40</v>
      </c>
      <c r="Q394" s="59">
        <f t="shared" si="53"/>
        <v>315</v>
      </c>
      <c r="R394" s="59">
        <f t="shared" si="54"/>
        <v>100</v>
      </c>
      <c r="S394" s="56">
        <f t="shared" si="55"/>
        <v>695</v>
      </c>
      <c r="T394" s="56">
        <f>50</f>
        <v>50</v>
      </c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</row>
    <row r="395" spans="1:30" ht="15.75">
      <c r="A395" s="14">
        <v>53327</v>
      </c>
      <c r="B395" s="68">
        <v>31</v>
      </c>
      <c r="C395" s="56">
        <f>122.58</f>
        <v>122.58</v>
      </c>
      <c r="D395" s="56">
        <f>297.941</f>
        <v>297.94099999999997</v>
      </c>
      <c r="E395" s="64">
        <f>89.177</f>
        <v>89.177000000000007</v>
      </c>
      <c r="F395" s="56">
        <f>240.302-40-60-100</f>
        <v>40.301999999999992</v>
      </c>
      <c r="G395" s="59">
        <v>40</v>
      </c>
      <c r="H395" s="56">
        <f>60+100</f>
        <v>160</v>
      </c>
      <c r="I395" s="56">
        <f t="shared" si="58"/>
        <v>0</v>
      </c>
      <c r="J395" s="59">
        <v>100</v>
      </c>
      <c r="K395" s="59">
        <v>300</v>
      </c>
      <c r="L395" s="56">
        <f t="shared" si="52"/>
        <v>1150</v>
      </c>
      <c r="M395" s="66">
        <v>600</v>
      </c>
      <c r="N395" s="56">
        <f>100</f>
        <v>100</v>
      </c>
      <c r="O395" s="59">
        <v>240</v>
      </c>
      <c r="P395" s="59">
        <v>40</v>
      </c>
      <c r="Q395" s="59">
        <f t="shared" si="53"/>
        <v>315</v>
      </c>
      <c r="R395" s="59">
        <f t="shared" si="54"/>
        <v>100</v>
      </c>
      <c r="S395" s="56">
        <f t="shared" si="55"/>
        <v>695</v>
      </c>
      <c r="T395" s="56">
        <f>50</f>
        <v>50</v>
      </c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</row>
    <row r="396" spans="1:30" ht="15.75">
      <c r="A396" s="14">
        <v>53358</v>
      </c>
      <c r="B396" s="68">
        <v>31</v>
      </c>
      <c r="C396" s="56">
        <f>122.58</f>
        <v>122.58</v>
      </c>
      <c r="D396" s="56">
        <f>297.941</f>
        <v>297.94099999999997</v>
      </c>
      <c r="E396" s="64">
        <f>89.177</f>
        <v>89.177000000000007</v>
      </c>
      <c r="F396" s="56">
        <f>240.302-40-60-100</f>
        <v>40.301999999999992</v>
      </c>
      <c r="G396" s="59">
        <v>40</v>
      </c>
      <c r="H396" s="56">
        <f>60+100</f>
        <v>160</v>
      </c>
      <c r="I396" s="56">
        <f t="shared" si="58"/>
        <v>0</v>
      </c>
      <c r="J396" s="59">
        <v>100</v>
      </c>
      <c r="K396" s="59">
        <v>300</v>
      </c>
      <c r="L396" s="56">
        <f t="shared" si="52"/>
        <v>1150</v>
      </c>
      <c r="M396" s="66">
        <v>600</v>
      </c>
      <c r="N396" s="56">
        <f>100</f>
        <v>100</v>
      </c>
      <c r="O396" s="59">
        <v>240</v>
      </c>
      <c r="P396" s="59">
        <v>40</v>
      </c>
      <c r="Q396" s="59">
        <f t="shared" si="53"/>
        <v>315</v>
      </c>
      <c r="R396" s="59">
        <f t="shared" si="54"/>
        <v>100</v>
      </c>
      <c r="S396" s="56">
        <f t="shared" si="55"/>
        <v>695</v>
      </c>
      <c r="T396" s="56">
        <f>50</f>
        <v>50</v>
      </c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</row>
    <row r="397" spans="1:30" ht="15.75">
      <c r="A397" s="14">
        <v>53386</v>
      </c>
      <c r="B397" s="68">
        <v>28</v>
      </c>
      <c r="C397" s="56">
        <f>122.58</f>
        <v>122.58</v>
      </c>
      <c r="D397" s="56">
        <f>297.941</f>
        <v>297.94099999999997</v>
      </c>
      <c r="E397" s="64">
        <f>89.177</f>
        <v>89.177000000000007</v>
      </c>
      <c r="F397" s="56">
        <f>240.302-40-60-100</f>
        <v>40.301999999999992</v>
      </c>
      <c r="G397" s="59">
        <v>40</v>
      </c>
      <c r="H397" s="56">
        <f>60+100</f>
        <v>160</v>
      </c>
      <c r="I397" s="56">
        <f t="shared" si="58"/>
        <v>0</v>
      </c>
      <c r="J397" s="59">
        <v>100</v>
      </c>
      <c r="K397" s="59">
        <v>300</v>
      </c>
      <c r="L397" s="56">
        <f t="shared" si="52"/>
        <v>1150</v>
      </c>
      <c r="M397" s="66">
        <v>600</v>
      </c>
      <c r="N397" s="56">
        <f>100</f>
        <v>100</v>
      </c>
      <c r="O397" s="59">
        <v>240</v>
      </c>
      <c r="P397" s="59">
        <v>40</v>
      </c>
      <c r="Q397" s="59">
        <f t="shared" si="53"/>
        <v>315</v>
      </c>
      <c r="R397" s="59">
        <f t="shared" si="54"/>
        <v>100</v>
      </c>
      <c r="S397" s="56">
        <f t="shared" si="55"/>
        <v>695</v>
      </c>
      <c r="T397" s="56">
        <f>50</f>
        <v>50</v>
      </c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</row>
    <row r="398" spans="1:30" ht="15.75">
      <c r="A398" s="14">
        <v>53417</v>
      </c>
      <c r="B398" s="68">
        <v>31</v>
      </c>
      <c r="C398" s="56">
        <f>122.58</f>
        <v>122.58</v>
      </c>
      <c r="D398" s="56">
        <f>297.941</f>
        <v>297.94099999999997</v>
      </c>
      <c r="E398" s="64">
        <f>89.177</f>
        <v>89.177000000000007</v>
      </c>
      <c r="F398" s="56">
        <f>240.302-40-60-100</f>
        <v>40.301999999999992</v>
      </c>
      <c r="G398" s="59">
        <v>40</v>
      </c>
      <c r="H398" s="56">
        <f>60+100</f>
        <v>160</v>
      </c>
      <c r="I398" s="56">
        <f t="shared" si="58"/>
        <v>0</v>
      </c>
      <c r="J398" s="59">
        <v>100</v>
      </c>
      <c r="K398" s="59">
        <v>300</v>
      </c>
      <c r="L398" s="56">
        <f t="shared" si="52"/>
        <v>1150</v>
      </c>
      <c r="M398" s="66">
        <v>600</v>
      </c>
      <c r="N398" s="56">
        <f>100</f>
        <v>100</v>
      </c>
      <c r="O398" s="59">
        <v>240</v>
      </c>
      <c r="P398" s="59">
        <v>40</v>
      </c>
      <c r="Q398" s="59">
        <f t="shared" si="53"/>
        <v>315</v>
      </c>
      <c r="R398" s="59">
        <f t="shared" si="54"/>
        <v>100</v>
      </c>
      <c r="S398" s="56">
        <f t="shared" si="55"/>
        <v>695</v>
      </c>
      <c r="T398" s="56">
        <f>50</f>
        <v>50</v>
      </c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</row>
    <row r="399" spans="1:30" ht="15.75">
      <c r="A399" s="14">
        <v>53447</v>
      </c>
      <c r="B399" s="68">
        <v>30</v>
      </c>
      <c r="C399" s="56">
        <f>141.293</f>
        <v>141.29300000000001</v>
      </c>
      <c r="D399" s="56">
        <f>267.993</f>
        <v>267.99299999999999</v>
      </c>
      <c r="E399" s="64">
        <f>115.016</f>
        <v>115.01600000000001</v>
      </c>
      <c r="F399" s="56">
        <f>314.698-40-25-60-100</f>
        <v>89.697999999999979</v>
      </c>
      <c r="G399" s="59">
        <v>40</v>
      </c>
      <c r="H399" s="56">
        <f t="shared" ref="H399:H405" si="62">25+60+100</f>
        <v>185</v>
      </c>
      <c r="I399" s="56">
        <f t="shared" si="58"/>
        <v>0</v>
      </c>
      <c r="J399" s="59">
        <v>100</v>
      </c>
      <c r="K399" s="59">
        <v>300</v>
      </c>
      <c r="L399" s="56">
        <f t="shared" si="52"/>
        <v>1239</v>
      </c>
      <c r="M399" s="66">
        <v>600</v>
      </c>
      <c r="N399" s="56">
        <f>100</f>
        <v>100</v>
      </c>
      <c r="O399" s="59">
        <v>240</v>
      </c>
      <c r="P399" s="59">
        <v>160</v>
      </c>
      <c r="Q399" s="59">
        <f t="shared" si="53"/>
        <v>195</v>
      </c>
      <c r="R399" s="59">
        <f t="shared" si="54"/>
        <v>100</v>
      </c>
      <c r="S399" s="56">
        <f t="shared" si="55"/>
        <v>695</v>
      </c>
      <c r="T399" s="56">
        <f>50</f>
        <v>50</v>
      </c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</row>
    <row r="400" spans="1:30" ht="15.75">
      <c r="A400" s="14">
        <v>53478</v>
      </c>
      <c r="B400" s="68">
        <v>31</v>
      </c>
      <c r="C400" s="56">
        <f>194.205</f>
        <v>194.20500000000001</v>
      </c>
      <c r="D400" s="56">
        <f>267.466</f>
        <v>267.46600000000001</v>
      </c>
      <c r="E400" s="64">
        <f>133.845</f>
        <v>133.845</v>
      </c>
      <c r="F400" s="56">
        <f>278.484-40-25-60-100</f>
        <v>53.48399999999998</v>
      </c>
      <c r="G400" s="59">
        <v>40</v>
      </c>
      <c r="H400" s="56">
        <f t="shared" si="62"/>
        <v>185</v>
      </c>
      <c r="I400" s="56">
        <f t="shared" si="58"/>
        <v>0</v>
      </c>
      <c r="J400" s="59">
        <v>100</v>
      </c>
      <c r="K400" s="59">
        <v>300</v>
      </c>
      <c r="L400" s="56">
        <f t="shared" si="52"/>
        <v>1274</v>
      </c>
      <c r="M400" s="66">
        <v>600</v>
      </c>
      <c r="N400" s="56">
        <f>75</f>
        <v>75</v>
      </c>
      <c r="O400" s="59">
        <v>240</v>
      </c>
      <c r="P400" s="59">
        <v>160</v>
      </c>
      <c r="Q400" s="59">
        <f t="shared" si="53"/>
        <v>195</v>
      </c>
      <c r="R400" s="59">
        <f t="shared" si="54"/>
        <v>100</v>
      </c>
      <c r="S400" s="56">
        <f t="shared" si="55"/>
        <v>695</v>
      </c>
      <c r="T400" s="56">
        <f>50</f>
        <v>50</v>
      </c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</row>
    <row r="401" spans="1:30" ht="15.75">
      <c r="A401" s="14">
        <v>53508</v>
      </c>
      <c r="B401" s="68">
        <v>30</v>
      </c>
      <c r="C401" s="56">
        <f>194.205</f>
        <v>194.20500000000001</v>
      </c>
      <c r="D401" s="56">
        <f>267.466</f>
        <v>267.46600000000001</v>
      </c>
      <c r="E401" s="64">
        <f>133.845</f>
        <v>133.845</v>
      </c>
      <c r="F401" s="56">
        <f>278.484-40-25-60-100</f>
        <v>53.48399999999998</v>
      </c>
      <c r="G401" s="59">
        <v>40</v>
      </c>
      <c r="H401" s="56">
        <f t="shared" si="62"/>
        <v>185</v>
      </c>
      <c r="I401" s="56">
        <f t="shared" si="58"/>
        <v>0</v>
      </c>
      <c r="J401" s="59">
        <v>100</v>
      </c>
      <c r="K401" s="59">
        <v>300</v>
      </c>
      <c r="L401" s="56">
        <f t="shared" ref="L401:L464" si="63">SUM(C401:K401)</f>
        <v>1274</v>
      </c>
      <c r="M401" s="66">
        <v>600</v>
      </c>
      <c r="N401" s="56">
        <f>30</f>
        <v>30</v>
      </c>
      <c r="O401" s="59">
        <v>240</v>
      </c>
      <c r="P401" s="59">
        <v>160</v>
      </c>
      <c r="Q401" s="59">
        <f t="shared" ref="Q401:Q464" si="64">695-R401-O401-P401</f>
        <v>195</v>
      </c>
      <c r="R401" s="59">
        <f t="shared" ref="R401:R464" si="65">200-J401</f>
        <v>100</v>
      </c>
      <c r="S401" s="56">
        <f t="shared" ref="S401:S464" si="66">SUM(O401:R401)</f>
        <v>695</v>
      </c>
      <c r="T401" s="56">
        <f>50</f>
        <v>50</v>
      </c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</row>
    <row r="402" spans="1:30" ht="15.75">
      <c r="A402" s="14">
        <v>53539</v>
      </c>
      <c r="B402" s="68">
        <v>31</v>
      </c>
      <c r="C402" s="56">
        <f>194.205</f>
        <v>194.20500000000001</v>
      </c>
      <c r="D402" s="56">
        <f>267.466</f>
        <v>267.46600000000001</v>
      </c>
      <c r="E402" s="64">
        <f>133.845</f>
        <v>133.845</v>
      </c>
      <c r="F402" s="56">
        <f>278.484-40-25-60-100</f>
        <v>53.48399999999998</v>
      </c>
      <c r="G402" s="59">
        <v>40</v>
      </c>
      <c r="H402" s="56">
        <f t="shared" si="62"/>
        <v>185</v>
      </c>
      <c r="I402" s="56">
        <f t="shared" si="58"/>
        <v>0</v>
      </c>
      <c r="J402" s="59">
        <v>100</v>
      </c>
      <c r="K402" s="59">
        <v>300</v>
      </c>
      <c r="L402" s="56">
        <f t="shared" si="63"/>
        <v>1274</v>
      </c>
      <c r="M402" s="66">
        <v>600</v>
      </c>
      <c r="N402" s="56">
        <f>30</f>
        <v>30</v>
      </c>
      <c r="O402" s="59">
        <v>240</v>
      </c>
      <c r="P402" s="59">
        <v>160</v>
      </c>
      <c r="Q402" s="59">
        <f t="shared" si="64"/>
        <v>195</v>
      </c>
      <c r="R402" s="59">
        <f t="shared" si="65"/>
        <v>100</v>
      </c>
      <c r="S402" s="56">
        <f t="shared" si="66"/>
        <v>695</v>
      </c>
      <c r="T402" s="56">
        <f>0</f>
        <v>0</v>
      </c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</row>
    <row r="403" spans="1:30" ht="15.75">
      <c r="A403" s="14">
        <v>53570</v>
      </c>
      <c r="B403" s="68">
        <v>31</v>
      </c>
      <c r="C403" s="56">
        <f>194.205</f>
        <v>194.20500000000001</v>
      </c>
      <c r="D403" s="56">
        <f>267.466</f>
        <v>267.46600000000001</v>
      </c>
      <c r="E403" s="64">
        <f>133.845</f>
        <v>133.845</v>
      </c>
      <c r="F403" s="56">
        <f>278.484-40-25-60-100</f>
        <v>53.48399999999998</v>
      </c>
      <c r="G403" s="59">
        <v>40</v>
      </c>
      <c r="H403" s="56">
        <f t="shared" si="62"/>
        <v>185</v>
      </c>
      <c r="I403" s="56">
        <f t="shared" si="58"/>
        <v>0</v>
      </c>
      <c r="J403" s="59">
        <v>100</v>
      </c>
      <c r="K403" s="59">
        <v>300</v>
      </c>
      <c r="L403" s="56">
        <f t="shared" si="63"/>
        <v>1274</v>
      </c>
      <c r="M403" s="66">
        <v>600</v>
      </c>
      <c r="N403" s="56">
        <f>30</f>
        <v>30</v>
      </c>
      <c r="O403" s="59">
        <v>240</v>
      </c>
      <c r="P403" s="59">
        <v>160</v>
      </c>
      <c r="Q403" s="59">
        <f t="shared" si="64"/>
        <v>195</v>
      </c>
      <c r="R403" s="59">
        <f t="shared" si="65"/>
        <v>100</v>
      </c>
      <c r="S403" s="56">
        <f t="shared" si="66"/>
        <v>695</v>
      </c>
      <c r="T403" s="56">
        <f>0</f>
        <v>0</v>
      </c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</row>
    <row r="404" spans="1:30" ht="15.75">
      <c r="A404" s="14">
        <v>53600</v>
      </c>
      <c r="B404" s="68">
        <v>30</v>
      </c>
      <c r="C404" s="56">
        <f>194.205</f>
        <v>194.20500000000001</v>
      </c>
      <c r="D404" s="56">
        <f>267.466</f>
        <v>267.46600000000001</v>
      </c>
      <c r="E404" s="64">
        <f>133.845</f>
        <v>133.845</v>
      </c>
      <c r="F404" s="56">
        <f>278.484-40-25-60-100</f>
        <v>53.48399999999998</v>
      </c>
      <c r="G404" s="59">
        <v>40</v>
      </c>
      <c r="H404" s="56">
        <f t="shared" si="62"/>
        <v>185</v>
      </c>
      <c r="I404" s="56">
        <f t="shared" si="58"/>
        <v>0</v>
      </c>
      <c r="J404" s="59">
        <v>100</v>
      </c>
      <c r="K404" s="59">
        <v>300</v>
      </c>
      <c r="L404" s="56">
        <f t="shared" si="63"/>
        <v>1274</v>
      </c>
      <c r="M404" s="66">
        <v>600</v>
      </c>
      <c r="N404" s="56">
        <f>30</f>
        <v>30</v>
      </c>
      <c r="O404" s="59">
        <v>240</v>
      </c>
      <c r="P404" s="59">
        <v>160</v>
      </c>
      <c r="Q404" s="59">
        <f t="shared" si="64"/>
        <v>195</v>
      </c>
      <c r="R404" s="59">
        <f t="shared" si="65"/>
        <v>100</v>
      </c>
      <c r="S404" s="56">
        <f t="shared" si="66"/>
        <v>695</v>
      </c>
      <c r="T404" s="56">
        <f>0</f>
        <v>0</v>
      </c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</row>
    <row r="405" spans="1:30" ht="15.75">
      <c r="A405" s="14">
        <v>53631</v>
      </c>
      <c r="B405" s="68">
        <v>31</v>
      </c>
      <c r="C405" s="56">
        <f>131.881</f>
        <v>131.881</v>
      </c>
      <c r="D405" s="56">
        <f>277.167</f>
        <v>277.16699999999997</v>
      </c>
      <c r="E405" s="64">
        <f>79.08</f>
        <v>79.08</v>
      </c>
      <c r="F405" s="56">
        <f>350.872-40-25-60-100</f>
        <v>125.87200000000001</v>
      </c>
      <c r="G405" s="59">
        <v>40</v>
      </c>
      <c r="H405" s="56">
        <f t="shared" si="62"/>
        <v>185</v>
      </c>
      <c r="I405" s="56">
        <f t="shared" si="58"/>
        <v>0</v>
      </c>
      <c r="J405" s="59">
        <v>100</v>
      </c>
      <c r="K405" s="59">
        <v>300</v>
      </c>
      <c r="L405" s="56">
        <f t="shared" si="63"/>
        <v>1239</v>
      </c>
      <c r="M405" s="66">
        <v>600</v>
      </c>
      <c r="N405" s="56">
        <f>75</f>
        <v>75</v>
      </c>
      <c r="O405" s="59">
        <v>240</v>
      </c>
      <c r="P405" s="59">
        <v>160</v>
      </c>
      <c r="Q405" s="59">
        <f t="shared" si="64"/>
        <v>195</v>
      </c>
      <c r="R405" s="59">
        <f t="shared" si="65"/>
        <v>100</v>
      </c>
      <c r="S405" s="56">
        <f t="shared" si="66"/>
        <v>695</v>
      </c>
      <c r="T405" s="56">
        <f>0</f>
        <v>0</v>
      </c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</row>
    <row r="406" spans="1:30" ht="15.75">
      <c r="A406" s="14">
        <v>53661</v>
      </c>
      <c r="B406" s="68">
        <v>30</v>
      </c>
      <c r="C406" s="56">
        <f>122.58</f>
        <v>122.58</v>
      </c>
      <c r="D406" s="56">
        <f>297.941</f>
        <v>297.94099999999997</v>
      </c>
      <c r="E406" s="64">
        <f>89.177</f>
        <v>89.177000000000007</v>
      </c>
      <c r="F406" s="56">
        <f>240.302-40-60-100</f>
        <v>40.301999999999992</v>
      </c>
      <c r="G406" s="59">
        <v>40</v>
      </c>
      <c r="H406" s="56">
        <f>60+100</f>
        <v>160</v>
      </c>
      <c r="I406" s="56">
        <f t="shared" si="58"/>
        <v>0</v>
      </c>
      <c r="J406" s="59">
        <v>100</v>
      </c>
      <c r="K406" s="59">
        <v>300</v>
      </c>
      <c r="L406" s="56">
        <f t="shared" si="63"/>
        <v>1150</v>
      </c>
      <c r="M406" s="66">
        <v>600</v>
      </c>
      <c r="N406" s="56">
        <f>100</f>
        <v>100</v>
      </c>
      <c r="O406" s="59">
        <v>240</v>
      </c>
      <c r="P406" s="59">
        <v>40</v>
      </c>
      <c r="Q406" s="59">
        <f t="shared" si="64"/>
        <v>315</v>
      </c>
      <c r="R406" s="59">
        <f t="shared" si="65"/>
        <v>100</v>
      </c>
      <c r="S406" s="56">
        <f t="shared" si="66"/>
        <v>695</v>
      </c>
      <c r="T406" s="56">
        <f>50</f>
        <v>50</v>
      </c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</row>
    <row r="407" spans="1:30" ht="15.75">
      <c r="A407" s="14">
        <v>53692</v>
      </c>
      <c r="B407" s="68">
        <v>31</v>
      </c>
      <c r="C407" s="56">
        <f>122.58</f>
        <v>122.58</v>
      </c>
      <c r="D407" s="56">
        <f>297.941</f>
        <v>297.94099999999997</v>
      </c>
      <c r="E407" s="64">
        <f>89.177</f>
        <v>89.177000000000007</v>
      </c>
      <c r="F407" s="56">
        <f>240.302-40-60-100</f>
        <v>40.301999999999992</v>
      </c>
      <c r="G407" s="59">
        <v>40</v>
      </c>
      <c r="H407" s="56">
        <f>60+100</f>
        <v>160</v>
      </c>
      <c r="I407" s="56">
        <f t="shared" si="58"/>
        <v>0</v>
      </c>
      <c r="J407" s="59">
        <v>100</v>
      </c>
      <c r="K407" s="59">
        <v>300</v>
      </c>
      <c r="L407" s="56">
        <f t="shared" si="63"/>
        <v>1150</v>
      </c>
      <c r="M407" s="66">
        <v>600</v>
      </c>
      <c r="N407" s="56">
        <f>100</f>
        <v>100</v>
      </c>
      <c r="O407" s="59">
        <v>240</v>
      </c>
      <c r="P407" s="59">
        <v>40</v>
      </c>
      <c r="Q407" s="59">
        <f t="shared" si="64"/>
        <v>315</v>
      </c>
      <c r="R407" s="59">
        <f t="shared" si="65"/>
        <v>100</v>
      </c>
      <c r="S407" s="56">
        <f t="shared" si="66"/>
        <v>695</v>
      </c>
      <c r="T407" s="56">
        <f>50</f>
        <v>50</v>
      </c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</row>
    <row r="408" spans="1:30" ht="15.75">
      <c r="A408" s="14">
        <v>53723</v>
      </c>
      <c r="B408" s="68">
        <v>31</v>
      </c>
      <c r="C408" s="56">
        <f>122.58</f>
        <v>122.58</v>
      </c>
      <c r="D408" s="56">
        <f>297.941</f>
        <v>297.94099999999997</v>
      </c>
      <c r="E408" s="64">
        <f>89.177</f>
        <v>89.177000000000007</v>
      </c>
      <c r="F408" s="56">
        <f>240.302-40-60-100</f>
        <v>40.301999999999992</v>
      </c>
      <c r="G408" s="59">
        <v>40</v>
      </c>
      <c r="H408" s="56">
        <f>60+100</f>
        <v>160</v>
      </c>
      <c r="I408" s="56">
        <f t="shared" si="58"/>
        <v>0</v>
      </c>
      <c r="J408" s="59">
        <v>100</v>
      </c>
      <c r="K408" s="59">
        <v>300</v>
      </c>
      <c r="L408" s="56">
        <f t="shared" si="63"/>
        <v>1150</v>
      </c>
      <c r="M408" s="66">
        <v>600</v>
      </c>
      <c r="N408" s="56">
        <f>100</f>
        <v>100</v>
      </c>
      <c r="O408" s="59">
        <v>240</v>
      </c>
      <c r="P408" s="59">
        <v>40</v>
      </c>
      <c r="Q408" s="59">
        <f t="shared" si="64"/>
        <v>315</v>
      </c>
      <c r="R408" s="59">
        <f t="shared" si="65"/>
        <v>100</v>
      </c>
      <c r="S408" s="56">
        <f t="shared" si="66"/>
        <v>695</v>
      </c>
      <c r="T408" s="56">
        <f>50</f>
        <v>50</v>
      </c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</row>
    <row r="409" spans="1:30" ht="15.75">
      <c r="A409" s="14">
        <v>53751</v>
      </c>
      <c r="B409" s="68">
        <v>28</v>
      </c>
      <c r="C409" s="56">
        <f>122.58</f>
        <v>122.58</v>
      </c>
      <c r="D409" s="56">
        <f>297.941</f>
        <v>297.94099999999997</v>
      </c>
      <c r="E409" s="64">
        <f>89.177</f>
        <v>89.177000000000007</v>
      </c>
      <c r="F409" s="56">
        <f>240.302-40-60-100</f>
        <v>40.301999999999992</v>
      </c>
      <c r="G409" s="59">
        <v>40</v>
      </c>
      <c r="H409" s="56">
        <f>60+100</f>
        <v>160</v>
      </c>
      <c r="I409" s="56">
        <f t="shared" si="58"/>
        <v>0</v>
      </c>
      <c r="J409" s="59">
        <v>100</v>
      </c>
      <c r="K409" s="59">
        <v>300</v>
      </c>
      <c r="L409" s="56">
        <f t="shared" si="63"/>
        <v>1150</v>
      </c>
      <c r="M409" s="66">
        <v>600</v>
      </c>
      <c r="N409" s="56">
        <f>100</f>
        <v>100</v>
      </c>
      <c r="O409" s="59">
        <v>240</v>
      </c>
      <c r="P409" s="59">
        <v>40</v>
      </c>
      <c r="Q409" s="59">
        <f t="shared" si="64"/>
        <v>315</v>
      </c>
      <c r="R409" s="59">
        <f t="shared" si="65"/>
        <v>100</v>
      </c>
      <c r="S409" s="56">
        <f t="shared" si="66"/>
        <v>695</v>
      </c>
      <c r="T409" s="56">
        <f>50</f>
        <v>50</v>
      </c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</row>
    <row r="410" spans="1:30" ht="15.75">
      <c r="A410" s="14">
        <v>53782</v>
      </c>
      <c r="B410" s="68">
        <v>31</v>
      </c>
      <c r="C410" s="56">
        <f>122.58</f>
        <v>122.58</v>
      </c>
      <c r="D410" s="56">
        <f>297.941</f>
        <v>297.94099999999997</v>
      </c>
      <c r="E410" s="64">
        <f>89.177</f>
        <v>89.177000000000007</v>
      </c>
      <c r="F410" s="56">
        <f>240.302-40-60-100</f>
        <v>40.301999999999992</v>
      </c>
      <c r="G410" s="59">
        <v>40</v>
      </c>
      <c r="H410" s="56">
        <f>60+100</f>
        <v>160</v>
      </c>
      <c r="I410" s="56">
        <f t="shared" si="58"/>
        <v>0</v>
      </c>
      <c r="J410" s="59">
        <v>100</v>
      </c>
      <c r="K410" s="59">
        <v>300</v>
      </c>
      <c r="L410" s="56">
        <f t="shared" si="63"/>
        <v>1150</v>
      </c>
      <c r="M410" s="66">
        <v>600</v>
      </c>
      <c r="N410" s="56">
        <f>100</f>
        <v>100</v>
      </c>
      <c r="O410" s="59">
        <v>240</v>
      </c>
      <c r="P410" s="59">
        <v>40</v>
      </c>
      <c r="Q410" s="59">
        <f t="shared" si="64"/>
        <v>315</v>
      </c>
      <c r="R410" s="59">
        <f t="shared" si="65"/>
        <v>100</v>
      </c>
      <c r="S410" s="56">
        <f t="shared" si="66"/>
        <v>695</v>
      </c>
      <c r="T410" s="56">
        <f>50</f>
        <v>50</v>
      </c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</row>
    <row r="411" spans="1:30" ht="15.75">
      <c r="A411" s="14">
        <v>53812</v>
      </c>
      <c r="B411" s="68">
        <v>30</v>
      </c>
      <c r="C411" s="56">
        <f>141.293</f>
        <v>141.29300000000001</v>
      </c>
      <c r="D411" s="56">
        <f>267.993</f>
        <v>267.99299999999999</v>
      </c>
      <c r="E411" s="64">
        <f>115.016</f>
        <v>115.01600000000001</v>
      </c>
      <c r="F411" s="56">
        <f>314.698-40-25-60-100</f>
        <v>89.697999999999979</v>
      </c>
      <c r="G411" s="59">
        <v>40</v>
      </c>
      <c r="H411" s="56">
        <f t="shared" ref="H411:H417" si="67">25+60+100</f>
        <v>185</v>
      </c>
      <c r="I411" s="56">
        <f t="shared" si="58"/>
        <v>0</v>
      </c>
      <c r="J411" s="59">
        <v>100</v>
      </c>
      <c r="K411" s="59">
        <v>300</v>
      </c>
      <c r="L411" s="56">
        <f t="shared" si="63"/>
        <v>1239</v>
      </c>
      <c r="M411" s="66">
        <v>600</v>
      </c>
      <c r="N411" s="56">
        <f>100</f>
        <v>100</v>
      </c>
      <c r="O411" s="59">
        <v>240</v>
      </c>
      <c r="P411" s="59">
        <v>160</v>
      </c>
      <c r="Q411" s="59">
        <f t="shared" si="64"/>
        <v>195</v>
      </c>
      <c r="R411" s="59">
        <f t="shared" si="65"/>
        <v>100</v>
      </c>
      <c r="S411" s="56">
        <f t="shared" si="66"/>
        <v>695</v>
      </c>
      <c r="T411" s="56">
        <f>50</f>
        <v>50</v>
      </c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</row>
    <row r="412" spans="1:30" ht="15.75">
      <c r="A412" s="14">
        <v>53843</v>
      </c>
      <c r="B412" s="68">
        <v>31</v>
      </c>
      <c r="C412" s="56">
        <f>194.205</f>
        <v>194.20500000000001</v>
      </c>
      <c r="D412" s="56">
        <f>267.466</f>
        <v>267.46600000000001</v>
      </c>
      <c r="E412" s="64">
        <f>133.845</f>
        <v>133.845</v>
      </c>
      <c r="F412" s="56">
        <f>278.484-40-25-60-100</f>
        <v>53.48399999999998</v>
      </c>
      <c r="G412" s="59">
        <v>40</v>
      </c>
      <c r="H412" s="56">
        <f t="shared" si="67"/>
        <v>185</v>
      </c>
      <c r="I412" s="56">
        <f t="shared" si="58"/>
        <v>0</v>
      </c>
      <c r="J412" s="59">
        <v>100</v>
      </c>
      <c r="K412" s="59">
        <v>300</v>
      </c>
      <c r="L412" s="56">
        <f t="shared" si="63"/>
        <v>1274</v>
      </c>
      <c r="M412" s="66">
        <v>600</v>
      </c>
      <c r="N412" s="56">
        <f>75</f>
        <v>75</v>
      </c>
      <c r="O412" s="59">
        <v>240</v>
      </c>
      <c r="P412" s="59">
        <v>160</v>
      </c>
      <c r="Q412" s="59">
        <f t="shared" si="64"/>
        <v>195</v>
      </c>
      <c r="R412" s="59">
        <f t="shared" si="65"/>
        <v>100</v>
      </c>
      <c r="S412" s="56">
        <f t="shared" si="66"/>
        <v>695</v>
      </c>
      <c r="T412" s="56">
        <f>50</f>
        <v>50</v>
      </c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</row>
    <row r="413" spans="1:30" ht="15.75">
      <c r="A413" s="14">
        <v>53873</v>
      </c>
      <c r="B413" s="68">
        <v>30</v>
      </c>
      <c r="C413" s="56">
        <f>194.205</f>
        <v>194.20500000000001</v>
      </c>
      <c r="D413" s="56">
        <f>267.466</f>
        <v>267.46600000000001</v>
      </c>
      <c r="E413" s="64">
        <f>133.845</f>
        <v>133.845</v>
      </c>
      <c r="F413" s="56">
        <f>278.484-40-25-60-100</f>
        <v>53.48399999999998</v>
      </c>
      <c r="G413" s="59">
        <v>40</v>
      </c>
      <c r="H413" s="56">
        <f t="shared" si="67"/>
        <v>185</v>
      </c>
      <c r="I413" s="56">
        <f t="shared" si="58"/>
        <v>0</v>
      </c>
      <c r="J413" s="59">
        <v>100</v>
      </c>
      <c r="K413" s="59">
        <v>300</v>
      </c>
      <c r="L413" s="56">
        <f t="shared" si="63"/>
        <v>1274</v>
      </c>
      <c r="M413" s="66">
        <v>600</v>
      </c>
      <c r="N413" s="56">
        <f>30</f>
        <v>30</v>
      </c>
      <c r="O413" s="59">
        <v>240</v>
      </c>
      <c r="P413" s="59">
        <v>160</v>
      </c>
      <c r="Q413" s="59">
        <f t="shared" si="64"/>
        <v>195</v>
      </c>
      <c r="R413" s="59">
        <f t="shared" si="65"/>
        <v>100</v>
      </c>
      <c r="S413" s="56">
        <f t="shared" si="66"/>
        <v>695</v>
      </c>
      <c r="T413" s="56">
        <f>50</f>
        <v>50</v>
      </c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</row>
    <row r="414" spans="1:30" ht="15.75">
      <c r="A414" s="14">
        <v>53904</v>
      </c>
      <c r="B414" s="68">
        <v>31</v>
      </c>
      <c r="C414" s="56">
        <f>194.205</f>
        <v>194.20500000000001</v>
      </c>
      <c r="D414" s="56">
        <f>267.466</f>
        <v>267.46600000000001</v>
      </c>
      <c r="E414" s="64">
        <f>133.845</f>
        <v>133.845</v>
      </c>
      <c r="F414" s="56">
        <f>278.484-40-25-60-100</f>
        <v>53.48399999999998</v>
      </c>
      <c r="G414" s="59">
        <v>40</v>
      </c>
      <c r="H414" s="56">
        <f t="shared" si="67"/>
        <v>185</v>
      </c>
      <c r="I414" s="56">
        <f t="shared" si="58"/>
        <v>0</v>
      </c>
      <c r="J414" s="59">
        <v>100</v>
      </c>
      <c r="K414" s="59">
        <v>300</v>
      </c>
      <c r="L414" s="56">
        <f t="shared" si="63"/>
        <v>1274</v>
      </c>
      <c r="M414" s="66">
        <v>600</v>
      </c>
      <c r="N414" s="56">
        <f>30</f>
        <v>30</v>
      </c>
      <c r="O414" s="59">
        <v>240</v>
      </c>
      <c r="P414" s="59">
        <v>160</v>
      </c>
      <c r="Q414" s="59">
        <f t="shared" si="64"/>
        <v>195</v>
      </c>
      <c r="R414" s="59">
        <f t="shared" si="65"/>
        <v>100</v>
      </c>
      <c r="S414" s="56">
        <f t="shared" si="66"/>
        <v>695</v>
      </c>
      <c r="T414" s="56">
        <f>0</f>
        <v>0</v>
      </c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</row>
    <row r="415" spans="1:30" ht="15.75">
      <c r="A415" s="14">
        <v>53935</v>
      </c>
      <c r="B415" s="68">
        <v>31</v>
      </c>
      <c r="C415" s="56">
        <f>194.205</f>
        <v>194.20500000000001</v>
      </c>
      <c r="D415" s="56">
        <f>267.466</f>
        <v>267.46600000000001</v>
      </c>
      <c r="E415" s="64">
        <f>133.845</f>
        <v>133.845</v>
      </c>
      <c r="F415" s="56">
        <f>278.484-40-25-60-100</f>
        <v>53.48399999999998</v>
      </c>
      <c r="G415" s="59">
        <v>40</v>
      </c>
      <c r="H415" s="56">
        <f t="shared" si="67"/>
        <v>185</v>
      </c>
      <c r="I415" s="56">
        <f t="shared" si="58"/>
        <v>0</v>
      </c>
      <c r="J415" s="59">
        <v>100</v>
      </c>
      <c r="K415" s="59">
        <v>300</v>
      </c>
      <c r="L415" s="56">
        <f t="shared" si="63"/>
        <v>1274</v>
      </c>
      <c r="M415" s="66">
        <v>600</v>
      </c>
      <c r="N415" s="56">
        <f>30</f>
        <v>30</v>
      </c>
      <c r="O415" s="59">
        <v>240</v>
      </c>
      <c r="P415" s="59">
        <v>160</v>
      </c>
      <c r="Q415" s="59">
        <f t="shared" si="64"/>
        <v>195</v>
      </c>
      <c r="R415" s="59">
        <f t="shared" si="65"/>
        <v>100</v>
      </c>
      <c r="S415" s="56">
        <f t="shared" si="66"/>
        <v>695</v>
      </c>
      <c r="T415" s="56">
        <f>0</f>
        <v>0</v>
      </c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</row>
    <row r="416" spans="1:30" ht="15.75">
      <c r="A416" s="14">
        <v>53965</v>
      </c>
      <c r="B416" s="68">
        <v>30</v>
      </c>
      <c r="C416" s="56">
        <f>194.205</f>
        <v>194.20500000000001</v>
      </c>
      <c r="D416" s="56">
        <f>267.466</f>
        <v>267.46600000000001</v>
      </c>
      <c r="E416" s="64">
        <f>133.845</f>
        <v>133.845</v>
      </c>
      <c r="F416" s="56">
        <f>278.484-40-25-60-100</f>
        <v>53.48399999999998</v>
      </c>
      <c r="G416" s="59">
        <v>40</v>
      </c>
      <c r="H416" s="56">
        <f t="shared" si="67"/>
        <v>185</v>
      </c>
      <c r="I416" s="56">
        <f t="shared" si="58"/>
        <v>0</v>
      </c>
      <c r="J416" s="59">
        <v>100</v>
      </c>
      <c r="K416" s="59">
        <v>300</v>
      </c>
      <c r="L416" s="56">
        <f t="shared" si="63"/>
        <v>1274</v>
      </c>
      <c r="M416" s="66">
        <v>600</v>
      </c>
      <c r="N416" s="56">
        <f>30</f>
        <v>30</v>
      </c>
      <c r="O416" s="59">
        <v>240</v>
      </c>
      <c r="P416" s="59">
        <v>160</v>
      </c>
      <c r="Q416" s="59">
        <f t="shared" si="64"/>
        <v>195</v>
      </c>
      <c r="R416" s="59">
        <f t="shared" si="65"/>
        <v>100</v>
      </c>
      <c r="S416" s="56">
        <f t="shared" si="66"/>
        <v>695</v>
      </c>
      <c r="T416" s="56">
        <f>0</f>
        <v>0</v>
      </c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</row>
    <row r="417" spans="1:30" ht="15.75">
      <c r="A417" s="14">
        <v>53996</v>
      </c>
      <c r="B417" s="68">
        <v>31</v>
      </c>
      <c r="C417" s="56">
        <f>131.881</f>
        <v>131.881</v>
      </c>
      <c r="D417" s="56">
        <f>277.167</f>
        <v>277.16699999999997</v>
      </c>
      <c r="E417" s="64">
        <f>79.08</f>
        <v>79.08</v>
      </c>
      <c r="F417" s="56">
        <f>350.872-40-25-60-100</f>
        <v>125.87200000000001</v>
      </c>
      <c r="G417" s="59">
        <v>40</v>
      </c>
      <c r="H417" s="56">
        <f t="shared" si="67"/>
        <v>185</v>
      </c>
      <c r="I417" s="56">
        <f t="shared" si="58"/>
        <v>0</v>
      </c>
      <c r="J417" s="59">
        <v>100</v>
      </c>
      <c r="K417" s="59">
        <v>300</v>
      </c>
      <c r="L417" s="56">
        <f t="shared" si="63"/>
        <v>1239</v>
      </c>
      <c r="M417" s="66">
        <v>600</v>
      </c>
      <c r="N417" s="56">
        <f>75</f>
        <v>75</v>
      </c>
      <c r="O417" s="59">
        <v>240</v>
      </c>
      <c r="P417" s="59">
        <v>160</v>
      </c>
      <c r="Q417" s="59">
        <f t="shared" si="64"/>
        <v>195</v>
      </c>
      <c r="R417" s="59">
        <f t="shared" si="65"/>
        <v>100</v>
      </c>
      <c r="S417" s="56">
        <f t="shared" si="66"/>
        <v>695</v>
      </c>
      <c r="T417" s="56">
        <f>0</f>
        <v>0</v>
      </c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</row>
    <row r="418" spans="1:30" ht="15.75">
      <c r="A418" s="14">
        <v>54026</v>
      </c>
      <c r="B418" s="68">
        <v>30</v>
      </c>
      <c r="C418" s="56">
        <f>122.58</f>
        <v>122.58</v>
      </c>
      <c r="D418" s="56">
        <f>297.941</f>
        <v>297.94099999999997</v>
      </c>
      <c r="E418" s="64">
        <f>89.177</f>
        <v>89.177000000000007</v>
      </c>
      <c r="F418" s="56">
        <f>240.302-40-60-100</f>
        <v>40.301999999999992</v>
      </c>
      <c r="G418" s="59">
        <v>40</v>
      </c>
      <c r="H418" s="56">
        <f>60+100</f>
        <v>160</v>
      </c>
      <c r="I418" s="56">
        <f t="shared" si="58"/>
        <v>0</v>
      </c>
      <c r="J418" s="59">
        <v>100</v>
      </c>
      <c r="K418" s="59">
        <v>300</v>
      </c>
      <c r="L418" s="56">
        <f t="shared" si="63"/>
        <v>1150</v>
      </c>
      <c r="M418" s="66">
        <v>600</v>
      </c>
      <c r="N418" s="56">
        <f>100</f>
        <v>100</v>
      </c>
      <c r="O418" s="59">
        <v>240</v>
      </c>
      <c r="P418" s="59">
        <v>40</v>
      </c>
      <c r="Q418" s="59">
        <f t="shared" si="64"/>
        <v>315</v>
      </c>
      <c r="R418" s="59">
        <f t="shared" si="65"/>
        <v>100</v>
      </c>
      <c r="S418" s="56">
        <f t="shared" si="66"/>
        <v>695</v>
      </c>
      <c r="T418" s="56">
        <f>50</f>
        <v>50</v>
      </c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</row>
    <row r="419" spans="1:30" ht="15.75">
      <c r="A419" s="14">
        <v>54057</v>
      </c>
      <c r="B419" s="68">
        <v>31</v>
      </c>
      <c r="C419" s="56">
        <f>122.58</f>
        <v>122.58</v>
      </c>
      <c r="D419" s="56">
        <f>297.941</f>
        <v>297.94099999999997</v>
      </c>
      <c r="E419" s="64">
        <f>89.177</f>
        <v>89.177000000000007</v>
      </c>
      <c r="F419" s="56">
        <f>240.302-40-60-100</f>
        <v>40.301999999999992</v>
      </c>
      <c r="G419" s="59">
        <v>40</v>
      </c>
      <c r="H419" s="56">
        <f>60+100</f>
        <v>160</v>
      </c>
      <c r="I419" s="56">
        <f t="shared" si="58"/>
        <v>0</v>
      </c>
      <c r="J419" s="59">
        <v>100</v>
      </c>
      <c r="K419" s="59">
        <v>300</v>
      </c>
      <c r="L419" s="56">
        <f t="shared" si="63"/>
        <v>1150</v>
      </c>
      <c r="M419" s="66">
        <v>600</v>
      </c>
      <c r="N419" s="56">
        <f>100</f>
        <v>100</v>
      </c>
      <c r="O419" s="59">
        <v>240</v>
      </c>
      <c r="P419" s="59">
        <v>40</v>
      </c>
      <c r="Q419" s="59">
        <f t="shared" si="64"/>
        <v>315</v>
      </c>
      <c r="R419" s="59">
        <f t="shared" si="65"/>
        <v>100</v>
      </c>
      <c r="S419" s="56">
        <f t="shared" si="66"/>
        <v>695</v>
      </c>
      <c r="T419" s="56">
        <f>50</f>
        <v>50</v>
      </c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</row>
    <row r="420" spans="1:30" ht="15.75">
      <c r="A420" s="14">
        <v>54088</v>
      </c>
      <c r="B420" s="68">
        <v>31</v>
      </c>
      <c r="C420" s="56">
        <f>122.58</f>
        <v>122.58</v>
      </c>
      <c r="D420" s="56">
        <f>297.941</f>
        <v>297.94099999999997</v>
      </c>
      <c r="E420" s="64">
        <f>89.177</f>
        <v>89.177000000000007</v>
      </c>
      <c r="F420" s="56">
        <f>240.302-40-60-100</f>
        <v>40.301999999999992</v>
      </c>
      <c r="G420" s="59">
        <v>40</v>
      </c>
      <c r="H420" s="56">
        <f>60+100</f>
        <v>160</v>
      </c>
      <c r="I420" s="56">
        <f t="shared" si="58"/>
        <v>0</v>
      </c>
      <c r="J420" s="59">
        <v>100</v>
      </c>
      <c r="K420" s="59">
        <v>300</v>
      </c>
      <c r="L420" s="56">
        <f t="shared" si="63"/>
        <v>1150</v>
      </c>
      <c r="M420" s="66">
        <v>600</v>
      </c>
      <c r="N420" s="56">
        <f>100</f>
        <v>100</v>
      </c>
      <c r="O420" s="59">
        <v>240</v>
      </c>
      <c r="P420" s="59">
        <v>40</v>
      </c>
      <c r="Q420" s="59">
        <f t="shared" si="64"/>
        <v>315</v>
      </c>
      <c r="R420" s="59">
        <f t="shared" si="65"/>
        <v>100</v>
      </c>
      <c r="S420" s="56">
        <f t="shared" si="66"/>
        <v>695</v>
      </c>
      <c r="T420" s="56">
        <f>50</f>
        <v>50</v>
      </c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</row>
    <row r="421" spans="1:30" ht="15.75">
      <c r="A421" s="14">
        <v>54116</v>
      </c>
      <c r="B421" s="68">
        <v>29</v>
      </c>
      <c r="C421" s="56">
        <f>122.58</f>
        <v>122.58</v>
      </c>
      <c r="D421" s="56">
        <f>297.941</f>
        <v>297.94099999999997</v>
      </c>
      <c r="E421" s="64">
        <f>89.177</f>
        <v>89.177000000000007</v>
      </c>
      <c r="F421" s="56">
        <f>240.302-40-60-100</f>
        <v>40.301999999999992</v>
      </c>
      <c r="G421" s="59">
        <v>40</v>
      </c>
      <c r="H421" s="56">
        <f>60+100</f>
        <v>160</v>
      </c>
      <c r="I421" s="56">
        <f t="shared" si="58"/>
        <v>0</v>
      </c>
      <c r="J421" s="59">
        <v>100</v>
      </c>
      <c r="K421" s="59">
        <v>300</v>
      </c>
      <c r="L421" s="56">
        <f t="shared" si="63"/>
        <v>1150</v>
      </c>
      <c r="M421" s="66">
        <v>600</v>
      </c>
      <c r="N421" s="56">
        <f>100</f>
        <v>100</v>
      </c>
      <c r="O421" s="59">
        <v>240</v>
      </c>
      <c r="P421" s="59">
        <v>40</v>
      </c>
      <c r="Q421" s="59">
        <f t="shared" si="64"/>
        <v>315</v>
      </c>
      <c r="R421" s="59">
        <f t="shared" si="65"/>
        <v>100</v>
      </c>
      <c r="S421" s="56">
        <f t="shared" si="66"/>
        <v>695</v>
      </c>
      <c r="T421" s="56">
        <f>50</f>
        <v>50</v>
      </c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</row>
    <row r="422" spans="1:30" ht="15.75">
      <c r="A422" s="14">
        <v>54148</v>
      </c>
      <c r="B422" s="68">
        <v>31</v>
      </c>
      <c r="C422" s="56">
        <f>122.58</f>
        <v>122.58</v>
      </c>
      <c r="D422" s="56">
        <f>297.941</f>
        <v>297.94099999999997</v>
      </c>
      <c r="E422" s="64">
        <f>89.177</f>
        <v>89.177000000000007</v>
      </c>
      <c r="F422" s="56">
        <f>240.302-40-60-100</f>
        <v>40.301999999999992</v>
      </c>
      <c r="G422" s="59">
        <v>40</v>
      </c>
      <c r="H422" s="56">
        <f>60+100</f>
        <v>160</v>
      </c>
      <c r="I422" s="56">
        <f t="shared" si="58"/>
        <v>0</v>
      </c>
      <c r="J422" s="59">
        <v>100</v>
      </c>
      <c r="K422" s="59">
        <v>300</v>
      </c>
      <c r="L422" s="56">
        <f t="shared" si="63"/>
        <v>1150</v>
      </c>
      <c r="M422" s="66">
        <v>600</v>
      </c>
      <c r="N422" s="56">
        <f>100</f>
        <v>100</v>
      </c>
      <c r="O422" s="59">
        <v>240</v>
      </c>
      <c r="P422" s="59">
        <v>40</v>
      </c>
      <c r="Q422" s="59">
        <f t="shared" si="64"/>
        <v>315</v>
      </c>
      <c r="R422" s="59">
        <f t="shared" si="65"/>
        <v>100</v>
      </c>
      <c r="S422" s="56">
        <f t="shared" si="66"/>
        <v>695</v>
      </c>
      <c r="T422" s="56">
        <f>50</f>
        <v>50</v>
      </c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</row>
    <row r="423" spans="1:30" ht="15.75">
      <c r="A423" s="14">
        <v>54178</v>
      </c>
      <c r="B423" s="68">
        <v>30</v>
      </c>
      <c r="C423" s="56">
        <f>141.293</f>
        <v>141.29300000000001</v>
      </c>
      <c r="D423" s="56">
        <f>267.993</f>
        <v>267.99299999999999</v>
      </c>
      <c r="E423" s="64">
        <f>115.016</f>
        <v>115.01600000000001</v>
      </c>
      <c r="F423" s="56">
        <f>314.698-40-25-60-100</f>
        <v>89.697999999999979</v>
      </c>
      <c r="G423" s="59">
        <v>40</v>
      </c>
      <c r="H423" s="56">
        <f t="shared" ref="H423:H429" si="68">25+60+100</f>
        <v>185</v>
      </c>
      <c r="I423" s="56">
        <f t="shared" si="58"/>
        <v>0</v>
      </c>
      <c r="J423" s="59">
        <v>100</v>
      </c>
      <c r="K423" s="59">
        <v>300</v>
      </c>
      <c r="L423" s="56">
        <f t="shared" si="63"/>
        <v>1239</v>
      </c>
      <c r="M423" s="66">
        <v>600</v>
      </c>
      <c r="N423" s="56">
        <f>100</f>
        <v>100</v>
      </c>
      <c r="O423" s="59">
        <v>240</v>
      </c>
      <c r="P423" s="59">
        <v>160</v>
      </c>
      <c r="Q423" s="59">
        <f t="shared" si="64"/>
        <v>195</v>
      </c>
      <c r="R423" s="59">
        <f t="shared" si="65"/>
        <v>100</v>
      </c>
      <c r="S423" s="56">
        <f t="shared" si="66"/>
        <v>695</v>
      </c>
      <c r="T423" s="56">
        <f>50</f>
        <v>50</v>
      </c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</row>
    <row r="424" spans="1:30" ht="15.75">
      <c r="A424" s="14">
        <v>54209</v>
      </c>
      <c r="B424" s="68">
        <v>31</v>
      </c>
      <c r="C424" s="56">
        <f>194.205</f>
        <v>194.20500000000001</v>
      </c>
      <c r="D424" s="56">
        <f>267.466</f>
        <v>267.46600000000001</v>
      </c>
      <c r="E424" s="64">
        <f>133.845</f>
        <v>133.845</v>
      </c>
      <c r="F424" s="56">
        <f>278.484-40-25-60-100</f>
        <v>53.48399999999998</v>
      </c>
      <c r="G424" s="59">
        <v>40</v>
      </c>
      <c r="H424" s="56">
        <f t="shared" si="68"/>
        <v>185</v>
      </c>
      <c r="I424" s="56">
        <f t="shared" ref="I424:I487" si="69">400-J424-K424</f>
        <v>0</v>
      </c>
      <c r="J424" s="59">
        <v>100</v>
      </c>
      <c r="K424" s="59">
        <v>300</v>
      </c>
      <c r="L424" s="56">
        <f t="shared" si="63"/>
        <v>1274</v>
      </c>
      <c r="M424" s="66">
        <v>600</v>
      </c>
      <c r="N424" s="56">
        <f>75</f>
        <v>75</v>
      </c>
      <c r="O424" s="59">
        <v>240</v>
      </c>
      <c r="P424" s="59">
        <v>160</v>
      </c>
      <c r="Q424" s="59">
        <f t="shared" si="64"/>
        <v>195</v>
      </c>
      <c r="R424" s="59">
        <f t="shared" si="65"/>
        <v>100</v>
      </c>
      <c r="S424" s="56">
        <f t="shared" si="66"/>
        <v>695</v>
      </c>
      <c r="T424" s="56">
        <f>50</f>
        <v>50</v>
      </c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</row>
    <row r="425" spans="1:30" ht="15.75">
      <c r="A425" s="14">
        <v>54239</v>
      </c>
      <c r="B425" s="68">
        <v>30</v>
      </c>
      <c r="C425" s="56">
        <f>194.205</f>
        <v>194.20500000000001</v>
      </c>
      <c r="D425" s="56">
        <f>267.466</f>
        <v>267.46600000000001</v>
      </c>
      <c r="E425" s="64">
        <f>133.845</f>
        <v>133.845</v>
      </c>
      <c r="F425" s="56">
        <f>278.484-40-25-60-100</f>
        <v>53.48399999999998</v>
      </c>
      <c r="G425" s="59">
        <v>40</v>
      </c>
      <c r="H425" s="56">
        <f t="shared" si="68"/>
        <v>185</v>
      </c>
      <c r="I425" s="56">
        <f t="shared" si="69"/>
        <v>0</v>
      </c>
      <c r="J425" s="59">
        <v>100</v>
      </c>
      <c r="K425" s="59">
        <v>300</v>
      </c>
      <c r="L425" s="56">
        <f t="shared" si="63"/>
        <v>1274</v>
      </c>
      <c r="M425" s="66">
        <v>600</v>
      </c>
      <c r="N425" s="56">
        <f>30</f>
        <v>30</v>
      </c>
      <c r="O425" s="59">
        <v>240</v>
      </c>
      <c r="P425" s="59">
        <v>160</v>
      </c>
      <c r="Q425" s="59">
        <f t="shared" si="64"/>
        <v>195</v>
      </c>
      <c r="R425" s="59">
        <f t="shared" si="65"/>
        <v>100</v>
      </c>
      <c r="S425" s="56">
        <f t="shared" si="66"/>
        <v>695</v>
      </c>
      <c r="T425" s="56">
        <f>50</f>
        <v>50</v>
      </c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</row>
    <row r="426" spans="1:30" ht="15.75">
      <c r="A426" s="14">
        <v>54270</v>
      </c>
      <c r="B426" s="68">
        <v>31</v>
      </c>
      <c r="C426" s="56">
        <f>194.205</f>
        <v>194.20500000000001</v>
      </c>
      <c r="D426" s="56">
        <f>267.466</f>
        <v>267.46600000000001</v>
      </c>
      <c r="E426" s="64">
        <f>133.845</f>
        <v>133.845</v>
      </c>
      <c r="F426" s="56">
        <f>278.484-40-25-60-100</f>
        <v>53.48399999999998</v>
      </c>
      <c r="G426" s="59">
        <v>40</v>
      </c>
      <c r="H426" s="56">
        <f t="shared" si="68"/>
        <v>185</v>
      </c>
      <c r="I426" s="56">
        <f t="shared" si="69"/>
        <v>0</v>
      </c>
      <c r="J426" s="59">
        <v>100</v>
      </c>
      <c r="K426" s="59">
        <v>300</v>
      </c>
      <c r="L426" s="56">
        <f t="shared" si="63"/>
        <v>1274</v>
      </c>
      <c r="M426" s="66">
        <v>600</v>
      </c>
      <c r="N426" s="56">
        <f>30</f>
        <v>30</v>
      </c>
      <c r="O426" s="59">
        <v>240</v>
      </c>
      <c r="P426" s="59">
        <v>160</v>
      </c>
      <c r="Q426" s="59">
        <f t="shared" si="64"/>
        <v>195</v>
      </c>
      <c r="R426" s="59">
        <f t="shared" si="65"/>
        <v>100</v>
      </c>
      <c r="S426" s="56">
        <f t="shared" si="66"/>
        <v>695</v>
      </c>
      <c r="T426" s="56">
        <f>0</f>
        <v>0</v>
      </c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</row>
    <row r="427" spans="1:30" ht="15.75">
      <c r="A427" s="14">
        <v>54301</v>
      </c>
      <c r="B427" s="68">
        <v>31</v>
      </c>
      <c r="C427" s="56">
        <f>194.205</f>
        <v>194.20500000000001</v>
      </c>
      <c r="D427" s="56">
        <f>267.466</f>
        <v>267.46600000000001</v>
      </c>
      <c r="E427" s="64">
        <f>133.845</f>
        <v>133.845</v>
      </c>
      <c r="F427" s="56">
        <f>278.484-40-25-60-100</f>
        <v>53.48399999999998</v>
      </c>
      <c r="G427" s="59">
        <v>40</v>
      </c>
      <c r="H427" s="56">
        <f t="shared" si="68"/>
        <v>185</v>
      </c>
      <c r="I427" s="56">
        <f t="shared" si="69"/>
        <v>0</v>
      </c>
      <c r="J427" s="59">
        <v>100</v>
      </c>
      <c r="K427" s="59">
        <v>300</v>
      </c>
      <c r="L427" s="56">
        <f t="shared" si="63"/>
        <v>1274</v>
      </c>
      <c r="M427" s="66">
        <v>600</v>
      </c>
      <c r="N427" s="56">
        <f>30</f>
        <v>30</v>
      </c>
      <c r="O427" s="59">
        <v>240</v>
      </c>
      <c r="P427" s="59">
        <v>160</v>
      </c>
      <c r="Q427" s="59">
        <f t="shared" si="64"/>
        <v>195</v>
      </c>
      <c r="R427" s="59">
        <f t="shared" si="65"/>
        <v>100</v>
      </c>
      <c r="S427" s="56">
        <f t="shared" si="66"/>
        <v>695</v>
      </c>
      <c r="T427" s="56">
        <f>0</f>
        <v>0</v>
      </c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</row>
    <row r="428" spans="1:30" ht="15.75">
      <c r="A428" s="14">
        <v>54331</v>
      </c>
      <c r="B428" s="68">
        <v>30</v>
      </c>
      <c r="C428" s="56">
        <f>194.205</f>
        <v>194.20500000000001</v>
      </c>
      <c r="D428" s="56">
        <f>267.466</f>
        <v>267.46600000000001</v>
      </c>
      <c r="E428" s="64">
        <f>133.845</f>
        <v>133.845</v>
      </c>
      <c r="F428" s="56">
        <f>278.484-40-25-60-100</f>
        <v>53.48399999999998</v>
      </c>
      <c r="G428" s="59">
        <v>40</v>
      </c>
      <c r="H428" s="56">
        <f t="shared" si="68"/>
        <v>185</v>
      </c>
      <c r="I428" s="56">
        <f t="shared" si="69"/>
        <v>0</v>
      </c>
      <c r="J428" s="59">
        <v>100</v>
      </c>
      <c r="K428" s="59">
        <v>300</v>
      </c>
      <c r="L428" s="56">
        <f t="shared" si="63"/>
        <v>1274</v>
      </c>
      <c r="M428" s="66">
        <v>600</v>
      </c>
      <c r="N428" s="56">
        <f>30</f>
        <v>30</v>
      </c>
      <c r="O428" s="59">
        <v>240</v>
      </c>
      <c r="P428" s="59">
        <v>160</v>
      </c>
      <c r="Q428" s="59">
        <f t="shared" si="64"/>
        <v>195</v>
      </c>
      <c r="R428" s="59">
        <f t="shared" si="65"/>
        <v>100</v>
      </c>
      <c r="S428" s="56">
        <f t="shared" si="66"/>
        <v>695</v>
      </c>
      <c r="T428" s="56">
        <f>0</f>
        <v>0</v>
      </c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</row>
    <row r="429" spans="1:30" ht="15.75">
      <c r="A429" s="14">
        <v>54362</v>
      </c>
      <c r="B429" s="68">
        <v>31</v>
      </c>
      <c r="C429" s="56">
        <f>131.881</f>
        <v>131.881</v>
      </c>
      <c r="D429" s="56">
        <f>277.167</f>
        <v>277.16699999999997</v>
      </c>
      <c r="E429" s="64">
        <f>79.08</f>
        <v>79.08</v>
      </c>
      <c r="F429" s="56">
        <f>350.872-40-25-60-100</f>
        <v>125.87200000000001</v>
      </c>
      <c r="G429" s="59">
        <v>40</v>
      </c>
      <c r="H429" s="56">
        <f t="shared" si="68"/>
        <v>185</v>
      </c>
      <c r="I429" s="56">
        <f t="shared" si="69"/>
        <v>0</v>
      </c>
      <c r="J429" s="59">
        <v>100</v>
      </c>
      <c r="K429" s="59">
        <v>300</v>
      </c>
      <c r="L429" s="56">
        <f t="shared" si="63"/>
        <v>1239</v>
      </c>
      <c r="M429" s="66">
        <v>600</v>
      </c>
      <c r="N429" s="56">
        <f>75</f>
        <v>75</v>
      </c>
      <c r="O429" s="59">
        <v>240</v>
      </c>
      <c r="P429" s="59">
        <v>160</v>
      </c>
      <c r="Q429" s="59">
        <f t="shared" si="64"/>
        <v>195</v>
      </c>
      <c r="R429" s="59">
        <f t="shared" si="65"/>
        <v>100</v>
      </c>
      <c r="S429" s="56">
        <f t="shared" si="66"/>
        <v>695</v>
      </c>
      <c r="T429" s="56">
        <f>0</f>
        <v>0</v>
      </c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</row>
    <row r="430" spans="1:30" ht="15.75">
      <c r="A430" s="14">
        <v>54392</v>
      </c>
      <c r="B430" s="68">
        <v>30</v>
      </c>
      <c r="C430" s="56">
        <f>122.58</f>
        <v>122.58</v>
      </c>
      <c r="D430" s="56">
        <f>297.941</f>
        <v>297.94099999999997</v>
      </c>
      <c r="E430" s="64">
        <f>89.177</f>
        <v>89.177000000000007</v>
      </c>
      <c r="F430" s="56">
        <f>240.302-40-60-100</f>
        <v>40.301999999999992</v>
      </c>
      <c r="G430" s="59">
        <v>40</v>
      </c>
      <c r="H430" s="56">
        <f>60+100</f>
        <v>160</v>
      </c>
      <c r="I430" s="56">
        <f t="shared" si="69"/>
        <v>0</v>
      </c>
      <c r="J430" s="59">
        <v>100</v>
      </c>
      <c r="K430" s="59">
        <v>300</v>
      </c>
      <c r="L430" s="56">
        <f t="shared" si="63"/>
        <v>1150</v>
      </c>
      <c r="M430" s="66">
        <v>600</v>
      </c>
      <c r="N430" s="56">
        <f>100</f>
        <v>100</v>
      </c>
      <c r="O430" s="59">
        <v>240</v>
      </c>
      <c r="P430" s="59">
        <v>40</v>
      </c>
      <c r="Q430" s="59">
        <f t="shared" si="64"/>
        <v>315</v>
      </c>
      <c r="R430" s="59">
        <f t="shared" si="65"/>
        <v>100</v>
      </c>
      <c r="S430" s="56">
        <f t="shared" si="66"/>
        <v>695</v>
      </c>
      <c r="T430" s="56">
        <f>50</f>
        <v>50</v>
      </c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</row>
    <row r="431" spans="1:30" ht="15.75">
      <c r="A431" s="14">
        <v>54423</v>
      </c>
      <c r="B431" s="68">
        <v>31</v>
      </c>
      <c r="C431" s="56">
        <f>122.58</f>
        <v>122.58</v>
      </c>
      <c r="D431" s="56">
        <f>297.941</f>
        <v>297.94099999999997</v>
      </c>
      <c r="E431" s="64">
        <f>89.177</f>
        <v>89.177000000000007</v>
      </c>
      <c r="F431" s="56">
        <f>240.302-40-60-100</f>
        <v>40.301999999999992</v>
      </c>
      <c r="G431" s="59">
        <v>40</v>
      </c>
      <c r="H431" s="56">
        <f>60+100</f>
        <v>160</v>
      </c>
      <c r="I431" s="56">
        <f t="shared" si="69"/>
        <v>0</v>
      </c>
      <c r="J431" s="59">
        <v>100</v>
      </c>
      <c r="K431" s="59">
        <v>300</v>
      </c>
      <c r="L431" s="56">
        <f t="shared" si="63"/>
        <v>1150</v>
      </c>
      <c r="M431" s="66">
        <v>600</v>
      </c>
      <c r="N431" s="56">
        <f>100</f>
        <v>100</v>
      </c>
      <c r="O431" s="59">
        <v>240</v>
      </c>
      <c r="P431" s="59">
        <v>40</v>
      </c>
      <c r="Q431" s="59">
        <f t="shared" si="64"/>
        <v>315</v>
      </c>
      <c r="R431" s="59">
        <f t="shared" si="65"/>
        <v>100</v>
      </c>
      <c r="S431" s="56">
        <f t="shared" si="66"/>
        <v>695</v>
      </c>
      <c r="T431" s="56">
        <f>50</f>
        <v>50</v>
      </c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</row>
    <row r="432" spans="1:30" ht="15.75">
      <c r="A432" s="14">
        <v>54454</v>
      </c>
      <c r="B432" s="68">
        <v>31</v>
      </c>
      <c r="C432" s="56">
        <f>122.58</f>
        <v>122.58</v>
      </c>
      <c r="D432" s="56">
        <f>297.941</f>
        <v>297.94099999999997</v>
      </c>
      <c r="E432" s="64">
        <f>89.177</f>
        <v>89.177000000000007</v>
      </c>
      <c r="F432" s="56">
        <f>240.302-40-60-100</f>
        <v>40.301999999999992</v>
      </c>
      <c r="G432" s="59">
        <v>40</v>
      </c>
      <c r="H432" s="56">
        <f>60+100</f>
        <v>160</v>
      </c>
      <c r="I432" s="56">
        <f t="shared" si="69"/>
        <v>0</v>
      </c>
      <c r="J432" s="59">
        <v>100</v>
      </c>
      <c r="K432" s="59">
        <v>300</v>
      </c>
      <c r="L432" s="56">
        <f t="shared" si="63"/>
        <v>1150</v>
      </c>
      <c r="M432" s="66">
        <v>600</v>
      </c>
      <c r="N432" s="56">
        <f>100</f>
        <v>100</v>
      </c>
      <c r="O432" s="59">
        <v>240</v>
      </c>
      <c r="P432" s="59">
        <v>40</v>
      </c>
      <c r="Q432" s="59">
        <f t="shared" si="64"/>
        <v>315</v>
      </c>
      <c r="R432" s="59">
        <f t="shared" si="65"/>
        <v>100</v>
      </c>
      <c r="S432" s="56">
        <f t="shared" si="66"/>
        <v>695</v>
      </c>
      <c r="T432" s="56">
        <f>50</f>
        <v>50</v>
      </c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</row>
    <row r="433" spans="1:30" ht="15.75">
      <c r="A433" s="14">
        <v>54482</v>
      </c>
      <c r="B433" s="68">
        <v>28</v>
      </c>
      <c r="C433" s="56">
        <f>122.58</f>
        <v>122.58</v>
      </c>
      <c r="D433" s="56">
        <f>297.941</f>
        <v>297.94099999999997</v>
      </c>
      <c r="E433" s="64">
        <f>89.177</f>
        <v>89.177000000000007</v>
      </c>
      <c r="F433" s="56">
        <f>240.302-40-60-100</f>
        <v>40.301999999999992</v>
      </c>
      <c r="G433" s="59">
        <v>40</v>
      </c>
      <c r="H433" s="56">
        <f>60+100</f>
        <v>160</v>
      </c>
      <c r="I433" s="56">
        <f t="shared" si="69"/>
        <v>0</v>
      </c>
      <c r="J433" s="59">
        <v>100</v>
      </c>
      <c r="K433" s="59">
        <v>300</v>
      </c>
      <c r="L433" s="56">
        <f t="shared" si="63"/>
        <v>1150</v>
      </c>
      <c r="M433" s="66">
        <v>600</v>
      </c>
      <c r="N433" s="56">
        <f>100</f>
        <v>100</v>
      </c>
      <c r="O433" s="59">
        <v>240</v>
      </c>
      <c r="P433" s="59">
        <v>40</v>
      </c>
      <c r="Q433" s="59">
        <f t="shared" si="64"/>
        <v>315</v>
      </c>
      <c r="R433" s="59">
        <f t="shared" si="65"/>
        <v>100</v>
      </c>
      <c r="S433" s="56">
        <f t="shared" si="66"/>
        <v>695</v>
      </c>
      <c r="T433" s="56">
        <f>50</f>
        <v>50</v>
      </c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</row>
    <row r="434" spans="1:30" ht="15.75">
      <c r="A434" s="14">
        <v>54513</v>
      </c>
      <c r="B434" s="68">
        <v>31</v>
      </c>
      <c r="C434" s="56">
        <f>122.58</f>
        <v>122.58</v>
      </c>
      <c r="D434" s="56">
        <f>297.941</f>
        <v>297.94099999999997</v>
      </c>
      <c r="E434" s="64">
        <f>89.177</f>
        <v>89.177000000000007</v>
      </c>
      <c r="F434" s="56">
        <f>240.302-40-60-100</f>
        <v>40.301999999999992</v>
      </c>
      <c r="G434" s="59">
        <v>40</v>
      </c>
      <c r="H434" s="56">
        <f>60+100</f>
        <v>160</v>
      </c>
      <c r="I434" s="56">
        <f t="shared" si="69"/>
        <v>0</v>
      </c>
      <c r="J434" s="59">
        <v>100</v>
      </c>
      <c r="K434" s="59">
        <v>300</v>
      </c>
      <c r="L434" s="56">
        <f t="shared" si="63"/>
        <v>1150</v>
      </c>
      <c r="M434" s="66">
        <v>600</v>
      </c>
      <c r="N434" s="56">
        <f>100</f>
        <v>100</v>
      </c>
      <c r="O434" s="59">
        <v>240</v>
      </c>
      <c r="P434" s="59">
        <v>40</v>
      </c>
      <c r="Q434" s="59">
        <f t="shared" si="64"/>
        <v>315</v>
      </c>
      <c r="R434" s="59">
        <f t="shared" si="65"/>
        <v>100</v>
      </c>
      <c r="S434" s="56">
        <f t="shared" si="66"/>
        <v>695</v>
      </c>
      <c r="T434" s="56">
        <f>50</f>
        <v>50</v>
      </c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</row>
    <row r="435" spans="1:30" ht="15.75">
      <c r="A435" s="14">
        <v>54543</v>
      </c>
      <c r="B435" s="68">
        <v>30</v>
      </c>
      <c r="C435" s="56">
        <f>141.293</f>
        <v>141.29300000000001</v>
      </c>
      <c r="D435" s="56">
        <f>267.993</f>
        <v>267.99299999999999</v>
      </c>
      <c r="E435" s="64">
        <f>115.016</f>
        <v>115.01600000000001</v>
      </c>
      <c r="F435" s="56">
        <f>314.698-40-25-60-100</f>
        <v>89.697999999999979</v>
      </c>
      <c r="G435" s="59">
        <v>40</v>
      </c>
      <c r="H435" s="56">
        <f t="shared" ref="H435:H441" si="70">25+60+100</f>
        <v>185</v>
      </c>
      <c r="I435" s="56">
        <f t="shared" si="69"/>
        <v>0</v>
      </c>
      <c r="J435" s="59">
        <v>100</v>
      </c>
      <c r="K435" s="59">
        <v>300</v>
      </c>
      <c r="L435" s="56">
        <f t="shared" si="63"/>
        <v>1239</v>
      </c>
      <c r="M435" s="66">
        <v>600</v>
      </c>
      <c r="N435" s="56">
        <f>100</f>
        <v>100</v>
      </c>
      <c r="O435" s="59">
        <v>240</v>
      </c>
      <c r="P435" s="59">
        <v>160</v>
      </c>
      <c r="Q435" s="59">
        <f t="shared" si="64"/>
        <v>195</v>
      </c>
      <c r="R435" s="59">
        <f t="shared" si="65"/>
        <v>100</v>
      </c>
      <c r="S435" s="56">
        <f t="shared" si="66"/>
        <v>695</v>
      </c>
      <c r="T435" s="56">
        <f>50</f>
        <v>50</v>
      </c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</row>
    <row r="436" spans="1:30" ht="15.75">
      <c r="A436" s="14">
        <v>54574</v>
      </c>
      <c r="B436" s="68">
        <v>31</v>
      </c>
      <c r="C436" s="56">
        <f>194.205</f>
        <v>194.20500000000001</v>
      </c>
      <c r="D436" s="56">
        <f>267.466</f>
        <v>267.46600000000001</v>
      </c>
      <c r="E436" s="64">
        <f>133.845</f>
        <v>133.845</v>
      </c>
      <c r="F436" s="56">
        <f>278.484-40-25-60-100</f>
        <v>53.48399999999998</v>
      </c>
      <c r="G436" s="59">
        <v>40</v>
      </c>
      <c r="H436" s="56">
        <f t="shared" si="70"/>
        <v>185</v>
      </c>
      <c r="I436" s="56">
        <f t="shared" si="69"/>
        <v>0</v>
      </c>
      <c r="J436" s="59">
        <v>100</v>
      </c>
      <c r="K436" s="59">
        <v>300</v>
      </c>
      <c r="L436" s="56">
        <f t="shared" si="63"/>
        <v>1274</v>
      </c>
      <c r="M436" s="66">
        <v>600</v>
      </c>
      <c r="N436" s="56">
        <f>75</f>
        <v>75</v>
      </c>
      <c r="O436" s="59">
        <v>240</v>
      </c>
      <c r="P436" s="59">
        <v>160</v>
      </c>
      <c r="Q436" s="59">
        <f t="shared" si="64"/>
        <v>195</v>
      </c>
      <c r="R436" s="59">
        <f t="shared" si="65"/>
        <v>100</v>
      </c>
      <c r="S436" s="56">
        <f t="shared" si="66"/>
        <v>695</v>
      </c>
      <c r="T436" s="56">
        <f>50</f>
        <v>50</v>
      </c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</row>
    <row r="437" spans="1:30" ht="15.75">
      <c r="A437" s="14">
        <v>54604</v>
      </c>
      <c r="B437" s="68">
        <v>30</v>
      </c>
      <c r="C437" s="56">
        <f>194.205</f>
        <v>194.20500000000001</v>
      </c>
      <c r="D437" s="56">
        <f>267.466</f>
        <v>267.46600000000001</v>
      </c>
      <c r="E437" s="64">
        <f>133.845</f>
        <v>133.845</v>
      </c>
      <c r="F437" s="56">
        <f>278.484-40-25-60-100</f>
        <v>53.48399999999998</v>
      </c>
      <c r="G437" s="59">
        <v>40</v>
      </c>
      <c r="H437" s="56">
        <f t="shared" si="70"/>
        <v>185</v>
      </c>
      <c r="I437" s="56">
        <f t="shared" si="69"/>
        <v>0</v>
      </c>
      <c r="J437" s="59">
        <v>100</v>
      </c>
      <c r="K437" s="59">
        <v>300</v>
      </c>
      <c r="L437" s="56">
        <f t="shared" si="63"/>
        <v>1274</v>
      </c>
      <c r="M437" s="66">
        <v>600</v>
      </c>
      <c r="N437" s="56">
        <f>30</f>
        <v>30</v>
      </c>
      <c r="O437" s="59">
        <v>240</v>
      </c>
      <c r="P437" s="59">
        <v>160</v>
      </c>
      <c r="Q437" s="59">
        <f t="shared" si="64"/>
        <v>195</v>
      </c>
      <c r="R437" s="59">
        <f t="shared" si="65"/>
        <v>100</v>
      </c>
      <c r="S437" s="56">
        <f t="shared" si="66"/>
        <v>695</v>
      </c>
      <c r="T437" s="56">
        <f>50</f>
        <v>50</v>
      </c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</row>
    <row r="438" spans="1:30" ht="15.75">
      <c r="A438" s="14">
        <v>54635</v>
      </c>
      <c r="B438" s="68">
        <v>31</v>
      </c>
      <c r="C438" s="56">
        <f>194.205</f>
        <v>194.20500000000001</v>
      </c>
      <c r="D438" s="56">
        <f>267.466</f>
        <v>267.46600000000001</v>
      </c>
      <c r="E438" s="64">
        <f>133.845</f>
        <v>133.845</v>
      </c>
      <c r="F438" s="56">
        <f>278.484-40-25-60-100</f>
        <v>53.48399999999998</v>
      </c>
      <c r="G438" s="59">
        <v>40</v>
      </c>
      <c r="H438" s="56">
        <f t="shared" si="70"/>
        <v>185</v>
      </c>
      <c r="I438" s="56">
        <f t="shared" si="69"/>
        <v>0</v>
      </c>
      <c r="J438" s="59">
        <v>100</v>
      </c>
      <c r="K438" s="59">
        <v>300</v>
      </c>
      <c r="L438" s="56">
        <f t="shared" si="63"/>
        <v>1274</v>
      </c>
      <c r="M438" s="66">
        <v>600</v>
      </c>
      <c r="N438" s="56">
        <f>30</f>
        <v>30</v>
      </c>
      <c r="O438" s="59">
        <v>240</v>
      </c>
      <c r="P438" s="59">
        <v>160</v>
      </c>
      <c r="Q438" s="59">
        <f t="shared" si="64"/>
        <v>195</v>
      </c>
      <c r="R438" s="59">
        <f t="shared" si="65"/>
        <v>100</v>
      </c>
      <c r="S438" s="56">
        <f t="shared" si="66"/>
        <v>695</v>
      </c>
      <c r="T438" s="56">
        <f>0</f>
        <v>0</v>
      </c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</row>
    <row r="439" spans="1:30" ht="15.75">
      <c r="A439" s="14">
        <v>54666</v>
      </c>
      <c r="B439" s="68">
        <v>31</v>
      </c>
      <c r="C439" s="56">
        <f>194.205</f>
        <v>194.20500000000001</v>
      </c>
      <c r="D439" s="56">
        <f>267.466</f>
        <v>267.46600000000001</v>
      </c>
      <c r="E439" s="64">
        <f>133.845</f>
        <v>133.845</v>
      </c>
      <c r="F439" s="56">
        <f>278.484-40-25-60-100</f>
        <v>53.48399999999998</v>
      </c>
      <c r="G439" s="59">
        <v>40</v>
      </c>
      <c r="H439" s="56">
        <f t="shared" si="70"/>
        <v>185</v>
      </c>
      <c r="I439" s="56">
        <f t="shared" si="69"/>
        <v>0</v>
      </c>
      <c r="J439" s="59">
        <v>100</v>
      </c>
      <c r="K439" s="59">
        <v>300</v>
      </c>
      <c r="L439" s="56">
        <f t="shared" si="63"/>
        <v>1274</v>
      </c>
      <c r="M439" s="66">
        <v>600</v>
      </c>
      <c r="N439" s="56">
        <f>30</f>
        <v>30</v>
      </c>
      <c r="O439" s="59">
        <v>240</v>
      </c>
      <c r="P439" s="59">
        <v>160</v>
      </c>
      <c r="Q439" s="59">
        <f t="shared" si="64"/>
        <v>195</v>
      </c>
      <c r="R439" s="59">
        <f t="shared" si="65"/>
        <v>100</v>
      </c>
      <c r="S439" s="56">
        <f t="shared" si="66"/>
        <v>695</v>
      </c>
      <c r="T439" s="56">
        <f>0</f>
        <v>0</v>
      </c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</row>
    <row r="440" spans="1:30" ht="15.75">
      <c r="A440" s="14">
        <v>54696</v>
      </c>
      <c r="B440" s="68">
        <v>30</v>
      </c>
      <c r="C440" s="56">
        <f>194.205</f>
        <v>194.20500000000001</v>
      </c>
      <c r="D440" s="56">
        <f>267.466</f>
        <v>267.46600000000001</v>
      </c>
      <c r="E440" s="64">
        <f>133.845</f>
        <v>133.845</v>
      </c>
      <c r="F440" s="56">
        <f>278.484-40-25-60-100</f>
        <v>53.48399999999998</v>
      </c>
      <c r="G440" s="59">
        <v>40</v>
      </c>
      <c r="H440" s="56">
        <f t="shared" si="70"/>
        <v>185</v>
      </c>
      <c r="I440" s="56">
        <f t="shared" si="69"/>
        <v>0</v>
      </c>
      <c r="J440" s="59">
        <v>100</v>
      </c>
      <c r="K440" s="59">
        <v>300</v>
      </c>
      <c r="L440" s="56">
        <f t="shared" si="63"/>
        <v>1274</v>
      </c>
      <c r="M440" s="66">
        <v>600</v>
      </c>
      <c r="N440" s="56">
        <f>30</f>
        <v>30</v>
      </c>
      <c r="O440" s="59">
        <v>240</v>
      </c>
      <c r="P440" s="59">
        <v>160</v>
      </c>
      <c r="Q440" s="59">
        <f t="shared" si="64"/>
        <v>195</v>
      </c>
      <c r="R440" s="59">
        <f t="shared" si="65"/>
        <v>100</v>
      </c>
      <c r="S440" s="56">
        <f t="shared" si="66"/>
        <v>695</v>
      </c>
      <c r="T440" s="56">
        <f>0</f>
        <v>0</v>
      </c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</row>
    <row r="441" spans="1:30" ht="15.75">
      <c r="A441" s="14">
        <v>54727</v>
      </c>
      <c r="B441" s="68">
        <v>31</v>
      </c>
      <c r="C441" s="56">
        <f>131.881</f>
        <v>131.881</v>
      </c>
      <c r="D441" s="56">
        <f>277.167</f>
        <v>277.16699999999997</v>
      </c>
      <c r="E441" s="64">
        <f>79.08</f>
        <v>79.08</v>
      </c>
      <c r="F441" s="56">
        <f>350.872-40-25-60-100</f>
        <v>125.87200000000001</v>
      </c>
      <c r="G441" s="59">
        <v>40</v>
      </c>
      <c r="H441" s="56">
        <f t="shared" si="70"/>
        <v>185</v>
      </c>
      <c r="I441" s="56">
        <f t="shared" si="69"/>
        <v>0</v>
      </c>
      <c r="J441" s="59">
        <v>100</v>
      </c>
      <c r="K441" s="59">
        <v>300</v>
      </c>
      <c r="L441" s="56">
        <f t="shared" si="63"/>
        <v>1239</v>
      </c>
      <c r="M441" s="66">
        <v>600</v>
      </c>
      <c r="N441" s="56">
        <f>75</f>
        <v>75</v>
      </c>
      <c r="O441" s="59">
        <v>240</v>
      </c>
      <c r="P441" s="59">
        <v>160</v>
      </c>
      <c r="Q441" s="59">
        <f t="shared" si="64"/>
        <v>195</v>
      </c>
      <c r="R441" s="59">
        <f t="shared" si="65"/>
        <v>100</v>
      </c>
      <c r="S441" s="56">
        <f t="shared" si="66"/>
        <v>695</v>
      </c>
      <c r="T441" s="56">
        <f>0</f>
        <v>0</v>
      </c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</row>
    <row r="442" spans="1:30" ht="15.75">
      <c r="A442" s="14">
        <v>54757</v>
      </c>
      <c r="B442" s="68">
        <v>30</v>
      </c>
      <c r="C442" s="56">
        <f>122.58</f>
        <v>122.58</v>
      </c>
      <c r="D442" s="56">
        <f>297.941</f>
        <v>297.94099999999997</v>
      </c>
      <c r="E442" s="64">
        <f>89.177</f>
        <v>89.177000000000007</v>
      </c>
      <c r="F442" s="56">
        <f>240.302-40-60-100</f>
        <v>40.301999999999992</v>
      </c>
      <c r="G442" s="59">
        <v>40</v>
      </c>
      <c r="H442" s="56">
        <f>60+100</f>
        <v>160</v>
      </c>
      <c r="I442" s="56">
        <f t="shared" si="69"/>
        <v>0</v>
      </c>
      <c r="J442" s="59">
        <v>100</v>
      </c>
      <c r="K442" s="59">
        <v>300</v>
      </c>
      <c r="L442" s="56">
        <f t="shared" si="63"/>
        <v>1150</v>
      </c>
      <c r="M442" s="66">
        <v>600</v>
      </c>
      <c r="N442" s="56">
        <f>100</f>
        <v>100</v>
      </c>
      <c r="O442" s="59">
        <v>240</v>
      </c>
      <c r="P442" s="59">
        <v>40</v>
      </c>
      <c r="Q442" s="59">
        <f t="shared" si="64"/>
        <v>315</v>
      </c>
      <c r="R442" s="59">
        <f t="shared" si="65"/>
        <v>100</v>
      </c>
      <c r="S442" s="56">
        <f t="shared" si="66"/>
        <v>695</v>
      </c>
      <c r="T442" s="56">
        <f>50</f>
        <v>50</v>
      </c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</row>
    <row r="443" spans="1:30" ht="15.75">
      <c r="A443" s="14">
        <v>54788</v>
      </c>
      <c r="B443" s="68">
        <v>31</v>
      </c>
      <c r="C443" s="56">
        <f>122.58</f>
        <v>122.58</v>
      </c>
      <c r="D443" s="56">
        <f>297.941</f>
        <v>297.94099999999997</v>
      </c>
      <c r="E443" s="64">
        <f>89.177</f>
        <v>89.177000000000007</v>
      </c>
      <c r="F443" s="56">
        <f>240.302-40-60-100</f>
        <v>40.301999999999992</v>
      </c>
      <c r="G443" s="59">
        <v>40</v>
      </c>
      <c r="H443" s="56">
        <f>60+100</f>
        <v>160</v>
      </c>
      <c r="I443" s="56">
        <f t="shared" si="69"/>
        <v>0</v>
      </c>
      <c r="J443" s="59">
        <v>100</v>
      </c>
      <c r="K443" s="59">
        <v>300</v>
      </c>
      <c r="L443" s="56">
        <f t="shared" si="63"/>
        <v>1150</v>
      </c>
      <c r="M443" s="66">
        <v>600</v>
      </c>
      <c r="N443" s="56">
        <f>100</f>
        <v>100</v>
      </c>
      <c r="O443" s="59">
        <v>240</v>
      </c>
      <c r="P443" s="59">
        <v>40</v>
      </c>
      <c r="Q443" s="59">
        <f t="shared" si="64"/>
        <v>315</v>
      </c>
      <c r="R443" s="59">
        <f t="shared" si="65"/>
        <v>100</v>
      </c>
      <c r="S443" s="56">
        <f t="shared" si="66"/>
        <v>695</v>
      </c>
      <c r="T443" s="56">
        <f>50</f>
        <v>50</v>
      </c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</row>
    <row r="444" spans="1:30" ht="15.75">
      <c r="A444" s="14">
        <v>54819</v>
      </c>
      <c r="B444" s="68">
        <v>31</v>
      </c>
      <c r="C444" s="56">
        <f>122.58</f>
        <v>122.58</v>
      </c>
      <c r="D444" s="56">
        <f>297.941</f>
        <v>297.94099999999997</v>
      </c>
      <c r="E444" s="64">
        <f>89.177</f>
        <v>89.177000000000007</v>
      </c>
      <c r="F444" s="56">
        <f>240.302-40-60-100</f>
        <v>40.301999999999992</v>
      </c>
      <c r="G444" s="59">
        <v>40</v>
      </c>
      <c r="H444" s="56">
        <f>60+100</f>
        <v>160</v>
      </c>
      <c r="I444" s="56">
        <f t="shared" si="69"/>
        <v>0</v>
      </c>
      <c r="J444" s="59">
        <v>100</v>
      </c>
      <c r="K444" s="59">
        <v>300</v>
      </c>
      <c r="L444" s="56">
        <f t="shared" si="63"/>
        <v>1150</v>
      </c>
      <c r="M444" s="66">
        <v>600</v>
      </c>
      <c r="N444" s="56">
        <f>100</f>
        <v>100</v>
      </c>
      <c r="O444" s="59">
        <v>240</v>
      </c>
      <c r="P444" s="59">
        <v>40</v>
      </c>
      <c r="Q444" s="59">
        <f t="shared" si="64"/>
        <v>315</v>
      </c>
      <c r="R444" s="59">
        <f t="shared" si="65"/>
        <v>100</v>
      </c>
      <c r="S444" s="56">
        <f t="shared" si="66"/>
        <v>695</v>
      </c>
      <c r="T444" s="56">
        <f>50</f>
        <v>50</v>
      </c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</row>
    <row r="445" spans="1:30" ht="15.75">
      <c r="A445" s="14">
        <v>54847</v>
      </c>
      <c r="B445" s="68">
        <v>28</v>
      </c>
      <c r="C445" s="56">
        <f>122.58</f>
        <v>122.58</v>
      </c>
      <c r="D445" s="56">
        <f>297.941</f>
        <v>297.94099999999997</v>
      </c>
      <c r="E445" s="64">
        <f>89.177</f>
        <v>89.177000000000007</v>
      </c>
      <c r="F445" s="56">
        <f>240.302-40-60-100</f>
        <v>40.301999999999992</v>
      </c>
      <c r="G445" s="59">
        <v>40</v>
      </c>
      <c r="H445" s="56">
        <f>60+100</f>
        <v>160</v>
      </c>
      <c r="I445" s="56">
        <f t="shared" si="69"/>
        <v>0</v>
      </c>
      <c r="J445" s="59">
        <v>100</v>
      </c>
      <c r="K445" s="59">
        <v>300</v>
      </c>
      <c r="L445" s="56">
        <f t="shared" si="63"/>
        <v>1150</v>
      </c>
      <c r="M445" s="66">
        <v>600</v>
      </c>
      <c r="N445" s="56">
        <f>100</f>
        <v>100</v>
      </c>
      <c r="O445" s="59">
        <v>240</v>
      </c>
      <c r="P445" s="59">
        <v>40</v>
      </c>
      <c r="Q445" s="59">
        <f t="shared" si="64"/>
        <v>315</v>
      </c>
      <c r="R445" s="59">
        <f t="shared" si="65"/>
        <v>100</v>
      </c>
      <c r="S445" s="56">
        <f t="shared" si="66"/>
        <v>695</v>
      </c>
      <c r="T445" s="56">
        <f>50</f>
        <v>50</v>
      </c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</row>
    <row r="446" spans="1:30" ht="15.75">
      <c r="A446" s="14">
        <v>54878</v>
      </c>
      <c r="B446" s="68">
        <v>31</v>
      </c>
      <c r="C446" s="56">
        <f>122.58</f>
        <v>122.58</v>
      </c>
      <c r="D446" s="56">
        <f>297.941</f>
        <v>297.94099999999997</v>
      </c>
      <c r="E446" s="64">
        <f>89.177</f>
        <v>89.177000000000007</v>
      </c>
      <c r="F446" s="56">
        <f>240.302-40-60-100</f>
        <v>40.301999999999992</v>
      </c>
      <c r="G446" s="59">
        <v>40</v>
      </c>
      <c r="H446" s="56">
        <f>60+100</f>
        <v>160</v>
      </c>
      <c r="I446" s="56">
        <f t="shared" si="69"/>
        <v>0</v>
      </c>
      <c r="J446" s="59">
        <v>100</v>
      </c>
      <c r="K446" s="59">
        <v>300</v>
      </c>
      <c r="L446" s="56">
        <f t="shared" si="63"/>
        <v>1150</v>
      </c>
      <c r="M446" s="66">
        <v>600</v>
      </c>
      <c r="N446" s="56">
        <f>100</f>
        <v>100</v>
      </c>
      <c r="O446" s="59">
        <v>240</v>
      </c>
      <c r="P446" s="59">
        <v>40</v>
      </c>
      <c r="Q446" s="59">
        <f t="shared" si="64"/>
        <v>315</v>
      </c>
      <c r="R446" s="59">
        <f t="shared" si="65"/>
        <v>100</v>
      </c>
      <c r="S446" s="56">
        <f t="shared" si="66"/>
        <v>695</v>
      </c>
      <c r="T446" s="56">
        <f>50</f>
        <v>50</v>
      </c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</row>
    <row r="447" spans="1:30" ht="15.75">
      <c r="A447" s="14">
        <v>54908</v>
      </c>
      <c r="B447" s="68">
        <v>30</v>
      </c>
      <c r="C447" s="56">
        <f>141.293</f>
        <v>141.29300000000001</v>
      </c>
      <c r="D447" s="56">
        <f>267.993</f>
        <v>267.99299999999999</v>
      </c>
      <c r="E447" s="64">
        <f>115.016</f>
        <v>115.01600000000001</v>
      </c>
      <c r="F447" s="56">
        <f>314.698-40-25-60-100</f>
        <v>89.697999999999979</v>
      </c>
      <c r="G447" s="59">
        <v>40</v>
      </c>
      <c r="H447" s="56">
        <f t="shared" ref="H447:H453" si="71">25+60+100</f>
        <v>185</v>
      </c>
      <c r="I447" s="56">
        <f t="shared" si="69"/>
        <v>0</v>
      </c>
      <c r="J447" s="59">
        <v>100</v>
      </c>
      <c r="K447" s="59">
        <v>300</v>
      </c>
      <c r="L447" s="56">
        <f t="shared" si="63"/>
        <v>1239</v>
      </c>
      <c r="M447" s="66">
        <v>600</v>
      </c>
      <c r="N447" s="56">
        <f>100</f>
        <v>100</v>
      </c>
      <c r="O447" s="59">
        <v>240</v>
      </c>
      <c r="P447" s="59">
        <v>160</v>
      </c>
      <c r="Q447" s="59">
        <f t="shared" si="64"/>
        <v>195</v>
      </c>
      <c r="R447" s="59">
        <f t="shared" si="65"/>
        <v>100</v>
      </c>
      <c r="S447" s="56">
        <f t="shared" si="66"/>
        <v>695</v>
      </c>
      <c r="T447" s="56">
        <f>50</f>
        <v>50</v>
      </c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</row>
    <row r="448" spans="1:30" ht="15.75">
      <c r="A448" s="14">
        <v>54939</v>
      </c>
      <c r="B448" s="68">
        <v>31</v>
      </c>
      <c r="C448" s="56">
        <f>194.205</f>
        <v>194.20500000000001</v>
      </c>
      <c r="D448" s="56">
        <f>267.466</f>
        <v>267.46600000000001</v>
      </c>
      <c r="E448" s="64">
        <f>133.845</f>
        <v>133.845</v>
      </c>
      <c r="F448" s="56">
        <f>278.484-40-25-60-100</f>
        <v>53.48399999999998</v>
      </c>
      <c r="G448" s="59">
        <v>40</v>
      </c>
      <c r="H448" s="56">
        <f t="shared" si="71"/>
        <v>185</v>
      </c>
      <c r="I448" s="56">
        <f t="shared" si="69"/>
        <v>0</v>
      </c>
      <c r="J448" s="59">
        <v>100</v>
      </c>
      <c r="K448" s="59">
        <v>300</v>
      </c>
      <c r="L448" s="56">
        <f t="shared" si="63"/>
        <v>1274</v>
      </c>
      <c r="M448" s="66">
        <v>600</v>
      </c>
      <c r="N448" s="56">
        <f>75</f>
        <v>75</v>
      </c>
      <c r="O448" s="59">
        <v>240</v>
      </c>
      <c r="P448" s="59">
        <v>160</v>
      </c>
      <c r="Q448" s="59">
        <f t="shared" si="64"/>
        <v>195</v>
      </c>
      <c r="R448" s="59">
        <f t="shared" si="65"/>
        <v>100</v>
      </c>
      <c r="S448" s="56">
        <f t="shared" si="66"/>
        <v>695</v>
      </c>
      <c r="T448" s="56">
        <f>50</f>
        <v>50</v>
      </c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</row>
    <row r="449" spans="1:30" ht="15.75">
      <c r="A449" s="14">
        <v>54969</v>
      </c>
      <c r="B449" s="68">
        <v>30</v>
      </c>
      <c r="C449" s="56">
        <f>194.205</f>
        <v>194.20500000000001</v>
      </c>
      <c r="D449" s="56">
        <f>267.466</f>
        <v>267.46600000000001</v>
      </c>
      <c r="E449" s="64">
        <f>133.845</f>
        <v>133.845</v>
      </c>
      <c r="F449" s="56">
        <f>278.484-40-25-60-100</f>
        <v>53.48399999999998</v>
      </c>
      <c r="G449" s="59">
        <v>40</v>
      </c>
      <c r="H449" s="56">
        <f t="shared" si="71"/>
        <v>185</v>
      </c>
      <c r="I449" s="56">
        <f t="shared" si="69"/>
        <v>0</v>
      </c>
      <c r="J449" s="59">
        <v>100</v>
      </c>
      <c r="K449" s="59">
        <v>300</v>
      </c>
      <c r="L449" s="56">
        <f t="shared" si="63"/>
        <v>1274</v>
      </c>
      <c r="M449" s="66">
        <v>600</v>
      </c>
      <c r="N449" s="56">
        <f>30</f>
        <v>30</v>
      </c>
      <c r="O449" s="59">
        <v>240</v>
      </c>
      <c r="P449" s="59">
        <v>160</v>
      </c>
      <c r="Q449" s="59">
        <f t="shared" si="64"/>
        <v>195</v>
      </c>
      <c r="R449" s="59">
        <f t="shared" si="65"/>
        <v>100</v>
      </c>
      <c r="S449" s="56">
        <f t="shared" si="66"/>
        <v>695</v>
      </c>
      <c r="T449" s="56">
        <f>50</f>
        <v>50</v>
      </c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</row>
    <row r="450" spans="1:30" ht="15.75">
      <c r="A450" s="14">
        <v>55000</v>
      </c>
      <c r="B450" s="68">
        <v>31</v>
      </c>
      <c r="C450" s="56">
        <f>194.205</f>
        <v>194.20500000000001</v>
      </c>
      <c r="D450" s="56">
        <f>267.466</f>
        <v>267.46600000000001</v>
      </c>
      <c r="E450" s="64">
        <f>133.845</f>
        <v>133.845</v>
      </c>
      <c r="F450" s="56">
        <f>278.484-40-25-60-100</f>
        <v>53.48399999999998</v>
      </c>
      <c r="G450" s="59">
        <v>40</v>
      </c>
      <c r="H450" s="56">
        <f t="shared" si="71"/>
        <v>185</v>
      </c>
      <c r="I450" s="56">
        <f t="shared" si="69"/>
        <v>0</v>
      </c>
      <c r="J450" s="59">
        <v>100</v>
      </c>
      <c r="K450" s="59">
        <v>300</v>
      </c>
      <c r="L450" s="56">
        <f t="shared" si="63"/>
        <v>1274</v>
      </c>
      <c r="M450" s="66">
        <v>600</v>
      </c>
      <c r="N450" s="56">
        <f>30</f>
        <v>30</v>
      </c>
      <c r="O450" s="59">
        <v>240</v>
      </c>
      <c r="P450" s="59">
        <v>160</v>
      </c>
      <c r="Q450" s="59">
        <f t="shared" si="64"/>
        <v>195</v>
      </c>
      <c r="R450" s="59">
        <f t="shared" si="65"/>
        <v>100</v>
      </c>
      <c r="S450" s="56">
        <f t="shared" si="66"/>
        <v>695</v>
      </c>
      <c r="T450" s="56">
        <f>0</f>
        <v>0</v>
      </c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</row>
    <row r="451" spans="1:30" ht="15.75">
      <c r="A451" s="14">
        <v>55031</v>
      </c>
      <c r="B451" s="68">
        <v>31</v>
      </c>
      <c r="C451" s="56">
        <f>194.205</f>
        <v>194.20500000000001</v>
      </c>
      <c r="D451" s="56">
        <f>267.466</f>
        <v>267.46600000000001</v>
      </c>
      <c r="E451" s="64">
        <f>133.845</f>
        <v>133.845</v>
      </c>
      <c r="F451" s="56">
        <f>278.484-40-25-60-100</f>
        <v>53.48399999999998</v>
      </c>
      <c r="G451" s="59">
        <v>40</v>
      </c>
      <c r="H451" s="56">
        <f t="shared" si="71"/>
        <v>185</v>
      </c>
      <c r="I451" s="56">
        <f t="shared" si="69"/>
        <v>0</v>
      </c>
      <c r="J451" s="59">
        <v>100</v>
      </c>
      <c r="K451" s="59">
        <v>300</v>
      </c>
      <c r="L451" s="56">
        <f t="shared" si="63"/>
        <v>1274</v>
      </c>
      <c r="M451" s="66">
        <v>600</v>
      </c>
      <c r="N451" s="56">
        <f>30</f>
        <v>30</v>
      </c>
      <c r="O451" s="59">
        <v>240</v>
      </c>
      <c r="P451" s="59">
        <v>160</v>
      </c>
      <c r="Q451" s="59">
        <f t="shared" si="64"/>
        <v>195</v>
      </c>
      <c r="R451" s="59">
        <f t="shared" si="65"/>
        <v>100</v>
      </c>
      <c r="S451" s="56">
        <f t="shared" si="66"/>
        <v>695</v>
      </c>
      <c r="T451" s="56">
        <f>0</f>
        <v>0</v>
      </c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</row>
    <row r="452" spans="1:30" ht="15.75">
      <c r="A452" s="14">
        <v>55061</v>
      </c>
      <c r="B452" s="68">
        <v>30</v>
      </c>
      <c r="C452" s="56">
        <f>194.205</f>
        <v>194.20500000000001</v>
      </c>
      <c r="D452" s="56">
        <f>267.466</f>
        <v>267.46600000000001</v>
      </c>
      <c r="E452" s="64">
        <f>133.845</f>
        <v>133.845</v>
      </c>
      <c r="F452" s="56">
        <f>278.484-40-25-60-100</f>
        <v>53.48399999999998</v>
      </c>
      <c r="G452" s="59">
        <v>40</v>
      </c>
      <c r="H452" s="56">
        <f t="shared" si="71"/>
        <v>185</v>
      </c>
      <c r="I452" s="56">
        <f t="shared" si="69"/>
        <v>0</v>
      </c>
      <c r="J452" s="59">
        <v>100</v>
      </c>
      <c r="K452" s="59">
        <v>300</v>
      </c>
      <c r="L452" s="56">
        <f t="shared" si="63"/>
        <v>1274</v>
      </c>
      <c r="M452" s="66">
        <v>600</v>
      </c>
      <c r="N452" s="56">
        <f>30</f>
        <v>30</v>
      </c>
      <c r="O452" s="59">
        <v>240</v>
      </c>
      <c r="P452" s="59">
        <v>160</v>
      </c>
      <c r="Q452" s="59">
        <f t="shared" si="64"/>
        <v>195</v>
      </c>
      <c r="R452" s="59">
        <f t="shared" si="65"/>
        <v>100</v>
      </c>
      <c r="S452" s="56">
        <f t="shared" si="66"/>
        <v>695</v>
      </c>
      <c r="T452" s="56">
        <f>0</f>
        <v>0</v>
      </c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</row>
    <row r="453" spans="1:30" ht="15.75">
      <c r="A453" s="14">
        <v>55092</v>
      </c>
      <c r="B453" s="68">
        <v>31</v>
      </c>
      <c r="C453" s="56">
        <f>131.881</f>
        <v>131.881</v>
      </c>
      <c r="D453" s="56">
        <f>277.167</f>
        <v>277.16699999999997</v>
      </c>
      <c r="E453" s="64">
        <f>79.08</f>
        <v>79.08</v>
      </c>
      <c r="F453" s="56">
        <f>350.872-40-25-60-100</f>
        <v>125.87200000000001</v>
      </c>
      <c r="G453" s="59">
        <v>40</v>
      </c>
      <c r="H453" s="56">
        <f t="shared" si="71"/>
        <v>185</v>
      </c>
      <c r="I453" s="56">
        <f t="shared" si="69"/>
        <v>0</v>
      </c>
      <c r="J453" s="59">
        <v>100</v>
      </c>
      <c r="K453" s="59">
        <v>300</v>
      </c>
      <c r="L453" s="56">
        <f t="shared" si="63"/>
        <v>1239</v>
      </c>
      <c r="M453" s="66">
        <v>600</v>
      </c>
      <c r="N453" s="56">
        <f>75</f>
        <v>75</v>
      </c>
      <c r="O453" s="59">
        <v>240</v>
      </c>
      <c r="P453" s="59">
        <v>160</v>
      </c>
      <c r="Q453" s="59">
        <f t="shared" si="64"/>
        <v>195</v>
      </c>
      <c r="R453" s="59">
        <f t="shared" si="65"/>
        <v>100</v>
      </c>
      <c r="S453" s="56">
        <f t="shared" si="66"/>
        <v>695</v>
      </c>
      <c r="T453" s="56">
        <f>0</f>
        <v>0</v>
      </c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</row>
    <row r="454" spans="1:30" ht="15.75">
      <c r="A454" s="14">
        <v>55122</v>
      </c>
      <c r="B454" s="68">
        <v>30</v>
      </c>
      <c r="C454" s="56">
        <f>122.58</f>
        <v>122.58</v>
      </c>
      <c r="D454" s="56">
        <f>297.941</f>
        <v>297.94099999999997</v>
      </c>
      <c r="E454" s="64">
        <f>89.177</f>
        <v>89.177000000000007</v>
      </c>
      <c r="F454" s="56">
        <f>240.302-40-60-100</f>
        <v>40.301999999999992</v>
      </c>
      <c r="G454" s="59">
        <v>40</v>
      </c>
      <c r="H454" s="56">
        <f>60+100</f>
        <v>160</v>
      </c>
      <c r="I454" s="56">
        <f t="shared" si="69"/>
        <v>0</v>
      </c>
      <c r="J454" s="59">
        <v>100</v>
      </c>
      <c r="K454" s="59">
        <v>300</v>
      </c>
      <c r="L454" s="56">
        <f t="shared" si="63"/>
        <v>1150</v>
      </c>
      <c r="M454" s="66">
        <v>600</v>
      </c>
      <c r="N454" s="56">
        <f>100</f>
        <v>100</v>
      </c>
      <c r="O454" s="59">
        <v>240</v>
      </c>
      <c r="P454" s="59">
        <v>40</v>
      </c>
      <c r="Q454" s="59">
        <f t="shared" si="64"/>
        <v>315</v>
      </c>
      <c r="R454" s="59">
        <f t="shared" si="65"/>
        <v>100</v>
      </c>
      <c r="S454" s="56">
        <f t="shared" si="66"/>
        <v>695</v>
      </c>
      <c r="T454" s="56">
        <f>50</f>
        <v>50</v>
      </c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</row>
    <row r="455" spans="1:30" ht="15.75">
      <c r="A455" s="14">
        <v>55153</v>
      </c>
      <c r="B455" s="68">
        <v>31</v>
      </c>
      <c r="C455" s="56">
        <f>122.58</f>
        <v>122.58</v>
      </c>
      <c r="D455" s="56">
        <f>297.941</f>
        <v>297.94099999999997</v>
      </c>
      <c r="E455" s="64">
        <f>89.177</f>
        <v>89.177000000000007</v>
      </c>
      <c r="F455" s="56">
        <f>240.302-40-60-100</f>
        <v>40.301999999999992</v>
      </c>
      <c r="G455" s="59">
        <v>40</v>
      </c>
      <c r="H455" s="56">
        <f>60+100</f>
        <v>160</v>
      </c>
      <c r="I455" s="56">
        <f t="shared" si="69"/>
        <v>0</v>
      </c>
      <c r="J455" s="59">
        <v>100</v>
      </c>
      <c r="K455" s="59">
        <v>300</v>
      </c>
      <c r="L455" s="56">
        <f t="shared" si="63"/>
        <v>1150</v>
      </c>
      <c r="M455" s="66">
        <v>600</v>
      </c>
      <c r="N455" s="56">
        <f>100</f>
        <v>100</v>
      </c>
      <c r="O455" s="59">
        <v>240</v>
      </c>
      <c r="P455" s="59">
        <v>40</v>
      </c>
      <c r="Q455" s="59">
        <f t="shared" si="64"/>
        <v>315</v>
      </c>
      <c r="R455" s="59">
        <f t="shared" si="65"/>
        <v>100</v>
      </c>
      <c r="S455" s="56">
        <f t="shared" si="66"/>
        <v>695</v>
      </c>
      <c r="T455" s="56">
        <f>50</f>
        <v>50</v>
      </c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</row>
    <row r="456" spans="1:30" ht="15.75">
      <c r="A456" s="14">
        <v>55184</v>
      </c>
      <c r="B456" s="68">
        <v>31</v>
      </c>
      <c r="C456" s="56">
        <f>122.58</f>
        <v>122.58</v>
      </c>
      <c r="D456" s="56">
        <f>297.941</f>
        <v>297.94099999999997</v>
      </c>
      <c r="E456" s="64">
        <f>89.177</f>
        <v>89.177000000000007</v>
      </c>
      <c r="F456" s="56">
        <f>240.302-40-60-100</f>
        <v>40.301999999999992</v>
      </c>
      <c r="G456" s="59">
        <v>40</v>
      </c>
      <c r="H456" s="56">
        <f>60+100</f>
        <v>160</v>
      </c>
      <c r="I456" s="56">
        <f t="shared" si="69"/>
        <v>0</v>
      </c>
      <c r="J456" s="59">
        <v>100</v>
      </c>
      <c r="K456" s="59">
        <v>300</v>
      </c>
      <c r="L456" s="56">
        <f t="shared" si="63"/>
        <v>1150</v>
      </c>
      <c r="M456" s="66">
        <v>600</v>
      </c>
      <c r="N456" s="56">
        <f>100</f>
        <v>100</v>
      </c>
      <c r="O456" s="59">
        <v>240</v>
      </c>
      <c r="P456" s="59">
        <v>40</v>
      </c>
      <c r="Q456" s="59">
        <f t="shared" si="64"/>
        <v>315</v>
      </c>
      <c r="R456" s="59">
        <f t="shared" si="65"/>
        <v>100</v>
      </c>
      <c r="S456" s="56">
        <f t="shared" si="66"/>
        <v>695</v>
      </c>
      <c r="T456" s="56">
        <f>50</f>
        <v>50</v>
      </c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</row>
    <row r="457" spans="1:30" ht="15.75">
      <c r="A457" s="14">
        <v>55212</v>
      </c>
      <c r="B457" s="68">
        <v>28</v>
      </c>
      <c r="C457" s="56">
        <f>122.58</f>
        <v>122.58</v>
      </c>
      <c r="D457" s="56">
        <f>297.941</f>
        <v>297.94099999999997</v>
      </c>
      <c r="E457" s="64">
        <f>89.177</f>
        <v>89.177000000000007</v>
      </c>
      <c r="F457" s="56">
        <f>240.302-40-60-100</f>
        <v>40.301999999999992</v>
      </c>
      <c r="G457" s="59">
        <v>40</v>
      </c>
      <c r="H457" s="56">
        <f>60+100</f>
        <v>160</v>
      </c>
      <c r="I457" s="56">
        <f t="shared" si="69"/>
        <v>0</v>
      </c>
      <c r="J457" s="59">
        <v>100</v>
      </c>
      <c r="K457" s="59">
        <v>300</v>
      </c>
      <c r="L457" s="56">
        <f t="shared" si="63"/>
        <v>1150</v>
      </c>
      <c r="M457" s="66">
        <v>600</v>
      </c>
      <c r="N457" s="56">
        <f>100</f>
        <v>100</v>
      </c>
      <c r="O457" s="59">
        <v>240</v>
      </c>
      <c r="P457" s="59">
        <v>40</v>
      </c>
      <c r="Q457" s="59">
        <f t="shared" si="64"/>
        <v>315</v>
      </c>
      <c r="R457" s="59">
        <f t="shared" si="65"/>
        <v>100</v>
      </c>
      <c r="S457" s="56">
        <f t="shared" si="66"/>
        <v>695</v>
      </c>
      <c r="T457" s="56">
        <f>50</f>
        <v>50</v>
      </c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</row>
    <row r="458" spans="1:30" ht="15.75">
      <c r="A458" s="14">
        <v>55243</v>
      </c>
      <c r="B458" s="68">
        <v>31</v>
      </c>
      <c r="C458" s="56">
        <f>122.58</f>
        <v>122.58</v>
      </c>
      <c r="D458" s="56">
        <f>297.941</f>
        <v>297.94099999999997</v>
      </c>
      <c r="E458" s="64">
        <f>89.177</f>
        <v>89.177000000000007</v>
      </c>
      <c r="F458" s="56">
        <f>240.302-40-60-100</f>
        <v>40.301999999999992</v>
      </c>
      <c r="G458" s="59">
        <v>40</v>
      </c>
      <c r="H458" s="56">
        <f>60+100</f>
        <v>160</v>
      </c>
      <c r="I458" s="56">
        <f t="shared" si="69"/>
        <v>0</v>
      </c>
      <c r="J458" s="59">
        <v>100</v>
      </c>
      <c r="K458" s="59">
        <v>300</v>
      </c>
      <c r="L458" s="56">
        <f t="shared" si="63"/>
        <v>1150</v>
      </c>
      <c r="M458" s="66">
        <v>600</v>
      </c>
      <c r="N458" s="56">
        <f>100</f>
        <v>100</v>
      </c>
      <c r="O458" s="59">
        <v>240</v>
      </c>
      <c r="P458" s="59">
        <v>40</v>
      </c>
      <c r="Q458" s="59">
        <f t="shared" si="64"/>
        <v>315</v>
      </c>
      <c r="R458" s="59">
        <f t="shared" si="65"/>
        <v>100</v>
      </c>
      <c r="S458" s="56">
        <f t="shared" si="66"/>
        <v>695</v>
      </c>
      <c r="T458" s="56">
        <f>50</f>
        <v>50</v>
      </c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</row>
    <row r="459" spans="1:30" ht="15.75">
      <c r="A459" s="14">
        <v>55273</v>
      </c>
      <c r="B459" s="68">
        <v>30</v>
      </c>
      <c r="C459" s="56">
        <f>141.293</f>
        <v>141.29300000000001</v>
      </c>
      <c r="D459" s="56">
        <f>267.993</f>
        <v>267.99299999999999</v>
      </c>
      <c r="E459" s="64">
        <f>115.016</f>
        <v>115.01600000000001</v>
      </c>
      <c r="F459" s="56">
        <f>314.698-40-25-60-100</f>
        <v>89.697999999999979</v>
      </c>
      <c r="G459" s="59">
        <v>40</v>
      </c>
      <c r="H459" s="56">
        <f t="shared" ref="H459:H465" si="72">25+60+100</f>
        <v>185</v>
      </c>
      <c r="I459" s="56">
        <f t="shared" si="69"/>
        <v>0</v>
      </c>
      <c r="J459" s="59">
        <v>100</v>
      </c>
      <c r="K459" s="59">
        <v>300</v>
      </c>
      <c r="L459" s="56">
        <f t="shared" si="63"/>
        <v>1239</v>
      </c>
      <c r="M459" s="66">
        <v>600</v>
      </c>
      <c r="N459" s="56">
        <f>100</f>
        <v>100</v>
      </c>
      <c r="O459" s="59">
        <v>240</v>
      </c>
      <c r="P459" s="59">
        <v>160</v>
      </c>
      <c r="Q459" s="59">
        <f t="shared" si="64"/>
        <v>195</v>
      </c>
      <c r="R459" s="59">
        <f t="shared" si="65"/>
        <v>100</v>
      </c>
      <c r="S459" s="56">
        <f t="shared" si="66"/>
        <v>695</v>
      </c>
      <c r="T459" s="56">
        <f>50</f>
        <v>50</v>
      </c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</row>
    <row r="460" spans="1:30" ht="15.75">
      <c r="A460" s="14">
        <v>55304</v>
      </c>
      <c r="B460" s="68">
        <v>31</v>
      </c>
      <c r="C460" s="56">
        <f>194.205</f>
        <v>194.20500000000001</v>
      </c>
      <c r="D460" s="56">
        <f>267.466</f>
        <v>267.46600000000001</v>
      </c>
      <c r="E460" s="64">
        <f>133.845</f>
        <v>133.845</v>
      </c>
      <c r="F460" s="56">
        <f>278.484-40-25-60-100</f>
        <v>53.48399999999998</v>
      </c>
      <c r="G460" s="59">
        <v>40</v>
      </c>
      <c r="H460" s="56">
        <f t="shared" si="72"/>
        <v>185</v>
      </c>
      <c r="I460" s="56">
        <f t="shared" si="69"/>
        <v>0</v>
      </c>
      <c r="J460" s="59">
        <v>100</v>
      </c>
      <c r="K460" s="59">
        <v>300</v>
      </c>
      <c r="L460" s="56">
        <f t="shared" si="63"/>
        <v>1274</v>
      </c>
      <c r="M460" s="66">
        <v>600</v>
      </c>
      <c r="N460" s="56">
        <f>75</f>
        <v>75</v>
      </c>
      <c r="O460" s="59">
        <v>240</v>
      </c>
      <c r="P460" s="59">
        <v>160</v>
      </c>
      <c r="Q460" s="59">
        <f t="shared" si="64"/>
        <v>195</v>
      </c>
      <c r="R460" s="59">
        <f t="shared" si="65"/>
        <v>100</v>
      </c>
      <c r="S460" s="56">
        <f t="shared" si="66"/>
        <v>695</v>
      </c>
      <c r="T460" s="56">
        <f>50</f>
        <v>50</v>
      </c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</row>
    <row r="461" spans="1:30" ht="15.75">
      <c r="A461" s="14">
        <v>55334</v>
      </c>
      <c r="B461" s="68">
        <v>30</v>
      </c>
      <c r="C461" s="56">
        <f>194.205</f>
        <v>194.20500000000001</v>
      </c>
      <c r="D461" s="56">
        <f>267.466</f>
        <v>267.46600000000001</v>
      </c>
      <c r="E461" s="64">
        <f>133.845</f>
        <v>133.845</v>
      </c>
      <c r="F461" s="56">
        <f>278.484-40-25-60-100</f>
        <v>53.48399999999998</v>
      </c>
      <c r="G461" s="59">
        <v>40</v>
      </c>
      <c r="H461" s="56">
        <f t="shared" si="72"/>
        <v>185</v>
      </c>
      <c r="I461" s="56">
        <f t="shared" si="69"/>
        <v>0</v>
      </c>
      <c r="J461" s="59">
        <v>100</v>
      </c>
      <c r="K461" s="59">
        <v>300</v>
      </c>
      <c r="L461" s="56">
        <f t="shared" si="63"/>
        <v>1274</v>
      </c>
      <c r="M461" s="66">
        <v>600</v>
      </c>
      <c r="N461" s="56">
        <f>30</f>
        <v>30</v>
      </c>
      <c r="O461" s="59">
        <v>240</v>
      </c>
      <c r="P461" s="59">
        <v>160</v>
      </c>
      <c r="Q461" s="59">
        <f t="shared" si="64"/>
        <v>195</v>
      </c>
      <c r="R461" s="59">
        <f t="shared" si="65"/>
        <v>100</v>
      </c>
      <c r="S461" s="56">
        <f t="shared" si="66"/>
        <v>695</v>
      </c>
      <c r="T461" s="56">
        <f>50</f>
        <v>50</v>
      </c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</row>
    <row r="462" spans="1:30" ht="15.75">
      <c r="A462" s="14">
        <v>55365</v>
      </c>
      <c r="B462" s="68">
        <v>31</v>
      </c>
      <c r="C462" s="56">
        <f>194.205</f>
        <v>194.20500000000001</v>
      </c>
      <c r="D462" s="56">
        <f>267.466</f>
        <v>267.46600000000001</v>
      </c>
      <c r="E462" s="64">
        <f>133.845</f>
        <v>133.845</v>
      </c>
      <c r="F462" s="56">
        <f>278.484-40-25-60-100</f>
        <v>53.48399999999998</v>
      </c>
      <c r="G462" s="59">
        <v>40</v>
      </c>
      <c r="H462" s="56">
        <f t="shared" si="72"/>
        <v>185</v>
      </c>
      <c r="I462" s="56">
        <f t="shared" si="69"/>
        <v>0</v>
      </c>
      <c r="J462" s="59">
        <v>100</v>
      </c>
      <c r="K462" s="59">
        <v>300</v>
      </c>
      <c r="L462" s="56">
        <f t="shared" si="63"/>
        <v>1274</v>
      </c>
      <c r="M462" s="66">
        <v>600</v>
      </c>
      <c r="N462" s="56">
        <f>30</f>
        <v>30</v>
      </c>
      <c r="O462" s="59">
        <v>240</v>
      </c>
      <c r="P462" s="59">
        <v>160</v>
      </c>
      <c r="Q462" s="59">
        <f t="shared" si="64"/>
        <v>195</v>
      </c>
      <c r="R462" s="59">
        <f t="shared" si="65"/>
        <v>100</v>
      </c>
      <c r="S462" s="56">
        <f t="shared" si="66"/>
        <v>695</v>
      </c>
      <c r="T462" s="56">
        <f>0</f>
        <v>0</v>
      </c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</row>
    <row r="463" spans="1:30" ht="15.75">
      <c r="A463" s="14">
        <v>55396</v>
      </c>
      <c r="B463" s="68">
        <v>31</v>
      </c>
      <c r="C463" s="56">
        <f>194.205</f>
        <v>194.20500000000001</v>
      </c>
      <c r="D463" s="56">
        <f>267.466</f>
        <v>267.46600000000001</v>
      </c>
      <c r="E463" s="64">
        <f>133.845</f>
        <v>133.845</v>
      </c>
      <c r="F463" s="56">
        <f>278.484-40-25-60-100</f>
        <v>53.48399999999998</v>
      </c>
      <c r="G463" s="59">
        <v>40</v>
      </c>
      <c r="H463" s="56">
        <f t="shared" si="72"/>
        <v>185</v>
      </c>
      <c r="I463" s="56">
        <f t="shared" si="69"/>
        <v>0</v>
      </c>
      <c r="J463" s="59">
        <v>100</v>
      </c>
      <c r="K463" s="59">
        <v>300</v>
      </c>
      <c r="L463" s="56">
        <f t="shared" si="63"/>
        <v>1274</v>
      </c>
      <c r="M463" s="66">
        <v>600</v>
      </c>
      <c r="N463" s="56">
        <f>30</f>
        <v>30</v>
      </c>
      <c r="O463" s="59">
        <v>240</v>
      </c>
      <c r="P463" s="59">
        <v>160</v>
      </c>
      <c r="Q463" s="59">
        <f t="shared" si="64"/>
        <v>195</v>
      </c>
      <c r="R463" s="59">
        <f t="shared" si="65"/>
        <v>100</v>
      </c>
      <c r="S463" s="56">
        <f t="shared" si="66"/>
        <v>695</v>
      </c>
      <c r="T463" s="56">
        <f>0</f>
        <v>0</v>
      </c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</row>
    <row r="464" spans="1:30" ht="15.75">
      <c r="A464" s="14">
        <v>55426</v>
      </c>
      <c r="B464" s="68">
        <v>30</v>
      </c>
      <c r="C464" s="56">
        <f>194.205</f>
        <v>194.20500000000001</v>
      </c>
      <c r="D464" s="56">
        <f>267.466</f>
        <v>267.46600000000001</v>
      </c>
      <c r="E464" s="64">
        <f>133.845</f>
        <v>133.845</v>
      </c>
      <c r="F464" s="56">
        <f>278.484-40-25-60-100</f>
        <v>53.48399999999998</v>
      </c>
      <c r="G464" s="59">
        <v>40</v>
      </c>
      <c r="H464" s="56">
        <f t="shared" si="72"/>
        <v>185</v>
      </c>
      <c r="I464" s="56">
        <f t="shared" si="69"/>
        <v>0</v>
      </c>
      <c r="J464" s="59">
        <v>100</v>
      </c>
      <c r="K464" s="59">
        <v>300</v>
      </c>
      <c r="L464" s="56">
        <f t="shared" si="63"/>
        <v>1274</v>
      </c>
      <c r="M464" s="66">
        <v>600</v>
      </c>
      <c r="N464" s="56">
        <f>30</f>
        <v>30</v>
      </c>
      <c r="O464" s="59">
        <v>240</v>
      </c>
      <c r="P464" s="59">
        <v>160</v>
      </c>
      <c r="Q464" s="59">
        <f t="shared" si="64"/>
        <v>195</v>
      </c>
      <c r="R464" s="59">
        <f t="shared" si="65"/>
        <v>100</v>
      </c>
      <c r="S464" s="56">
        <f t="shared" si="66"/>
        <v>695</v>
      </c>
      <c r="T464" s="56">
        <f>0</f>
        <v>0</v>
      </c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</row>
    <row r="465" spans="1:30" ht="15.75">
      <c r="A465" s="14">
        <v>55457</v>
      </c>
      <c r="B465" s="68">
        <v>31</v>
      </c>
      <c r="C465" s="56">
        <f>131.881</f>
        <v>131.881</v>
      </c>
      <c r="D465" s="56">
        <f>277.167</f>
        <v>277.16699999999997</v>
      </c>
      <c r="E465" s="64">
        <f>79.08</f>
        <v>79.08</v>
      </c>
      <c r="F465" s="56">
        <f>350.872-40-25-60-100</f>
        <v>125.87200000000001</v>
      </c>
      <c r="G465" s="59">
        <v>40</v>
      </c>
      <c r="H465" s="56">
        <f t="shared" si="72"/>
        <v>185</v>
      </c>
      <c r="I465" s="56">
        <f t="shared" si="69"/>
        <v>0</v>
      </c>
      <c r="J465" s="59">
        <v>100</v>
      </c>
      <c r="K465" s="59">
        <v>300</v>
      </c>
      <c r="L465" s="56">
        <f t="shared" ref="L465:L528" si="73">SUM(C465:K465)</f>
        <v>1239</v>
      </c>
      <c r="M465" s="66">
        <v>600</v>
      </c>
      <c r="N465" s="56">
        <f>75</f>
        <v>75</v>
      </c>
      <c r="O465" s="59">
        <v>240</v>
      </c>
      <c r="P465" s="59">
        <v>160</v>
      </c>
      <c r="Q465" s="59">
        <f t="shared" ref="Q465:Q528" si="74">695-R465-O465-P465</f>
        <v>195</v>
      </c>
      <c r="R465" s="59">
        <f t="shared" ref="R465:R528" si="75">200-J465</f>
        <v>100</v>
      </c>
      <c r="S465" s="56">
        <f t="shared" ref="S465:S528" si="76">SUM(O465:R465)</f>
        <v>695</v>
      </c>
      <c r="T465" s="56">
        <f>0</f>
        <v>0</v>
      </c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</row>
    <row r="466" spans="1:30" ht="15.75">
      <c r="A466" s="14">
        <v>55487</v>
      </c>
      <c r="B466" s="68">
        <v>30</v>
      </c>
      <c r="C466" s="56">
        <f>122.58</f>
        <v>122.58</v>
      </c>
      <c r="D466" s="56">
        <f>297.941</f>
        <v>297.94099999999997</v>
      </c>
      <c r="E466" s="64">
        <f>89.177</f>
        <v>89.177000000000007</v>
      </c>
      <c r="F466" s="56">
        <f>240.302-40-60-100</f>
        <v>40.301999999999992</v>
      </c>
      <c r="G466" s="59">
        <v>40</v>
      </c>
      <c r="H466" s="56">
        <f>60+100</f>
        <v>160</v>
      </c>
      <c r="I466" s="56">
        <f t="shared" si="69"/>
        <v>0</v>
      </c>
      <c r="J466" s="59">
        <v>100</v>
      </c>
      <c r="K466" s="59">
        <v>300</v>
      </c>
      <c r="L466" s="56">
        <f t="shared" si="73"/>
        <v>1150</v>
      </c>
      <c r="M466" s="66">
        <v>600</v>
      </c>
      <c r="N466" s="56">
        <f>100</f>
        <v>100</v>
      </c>
      <c r="O466" s="59">
        <v>240</v>
      </c>
      <c r="P466" s="59">
        <v>40</v>
      </c>
      <c r="Q466" s="59">
        <f t="shared" si="74"/>
        <v>315</v>
      </c>
      <c r="R466" s="59">
        <f t="shared" si="75"/>
        <v>100</v>
      </c>
      <c r="S466" s="56">
        <f t="shared" si="76"/>
        <v>695</v>
      </c>
      <c r="T466" s="56">
        <f>50</f>
        <v>50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</row>
    <row r="467" spans="1:30" ht="15.75">
      <c r="A467" s="14">
        <v>55518</v>
      </c>
      <c r="B467" s="68">
        <v>31</v>
      </c>
      <c r="C467" s="56">
        <f>122.58</f>
        <v>122.58</v>
      </c>
      <c r="D467" s="56">
        <f>297.941</f>
        <v>297.94099999999997</v>
      </c>
      <c r="E467" s="64">
        <f>89.177</f>
        <v>89.177000000000007</v>
      </c>
      <c r="F467" s="56">
        <f>240.302-40-60-100</f>
        <v>40.301999999999992</v>
      </c>
      <c r="G467" s="59">
        <v>40</v>
      </c>
      <c r="H467" s="56">
        <f>60+100</f>
        <v>160</v>
      </c>
      <c r="I467" s="56">
        <f t="shared" si="69"/>
        <v>0</v>
      </c>
      <c r="J467" s="59">
        <v>100</v>
      </c>
      <c r="K467" s="59">
        <v>300</v>
      </c>
      <c r="L467" s="56">
        <f t="shared" si="73"/>
        <v>1150</v>
      </c>
      <c r="M467" s="66">
        <v>600</v>
      </c>
      <c r="N467" s="56">
        <f>100</f>
        <v>100</v>
      </c>
      <c r="O467" s="59">
        <v>240</v>
      </c>
      <c r="P467" s="59">
        <v>40</v>
      </c>
      <c r="Q467" s="59">
        <f t="shared" si="74"/>
        <v>315</v>
      </c>
      <c r="R467" s="59">
        <f t="shared" si="75"/>
        <v>100</v>
      </c>
      <c r="S467" s="56">
        <f t="shared" si="76"/>
        <v>695</v>
      </c>
      <c r="T467" s="56">
        <f>50</f>
        <v>50</v>
      </c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</row>
    <row r="468" spans="1:30" ht="15.75">
      <c r="A468" s="14">
        <v>55549</v>
      </c>
      <c r="B468" s="68">
        <v>31</v>
      </c>
      <c r="C468" s="56">
        <f>122.58</f>
        <v>122.58</v>
      </c>
      <c r="D468" s="56">
        <f>297.941</f>
        <v>297.94099999999997</v>
      </c>
      <c r="E468" s="64">
        <f>89.177</f>
        <v>89.177000000000007</v>
      </c>
      <c r="F468" s="56">
        <f>240.302-40-60-100</f>
        <v>40.301999999999992</v>
      </c>
      <c r="G468" s="59">
        <v>40</v>
      </c>
      <c r="H468" s="56">
        <f>60+100</f>
        <v>160</v>
      </c>
      <c r="I468" s="56">
        <f t="shared" si="69"/>
        <v>0</v>
      </c>
      <c r="J468" s="59">
        <v>100</v>
      </c>
      <c r="K468" s="59">
        <v>300</v>
      </c>
      <c r="L468" s="56">
        <f t="shared" si="73"/>
        <v>1150</v>
      </c>
      <c r="M468" s="66">
        <v>600</v>
      </c>
      <c r="N468" s="56">
        <f>100</f>
        <v>100</v>
      </c>
      <c r="O468" s="59">
        <v>240</v>
      </c>
      <c r="P468" s="59">
        <v>40</v>
      </c>
      <c r="Q468" s="59">
        <f t="shared" si="74"/>
        <v>315</v>
      </c>
      <c r="R468" s="59">
        <f t="shared" si="75"/>
        <v>100</v>
      </c>
      <c r="S468" s="56">
        <f t="shared" si="76"/>
        <v>695</v>
      </c>
      <c r="T468" s="56">
        <f>50</f>
        <v>50</v>
      </c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</row>
    <row r="469" spans="1:30" ht="15.75">
      <c r="A469" s="14">
        <v>55577</v>
      </c>
      <c r="B469" s="68">
        <v>29</v>
      </c>
      <c r="C469" s="56">
        <f>122.58</f>
        <v>122.58</v>
      </c>
      <c r="D469" s="56">
        <f>297.941</f>
        <v>297.94099999999997</v>
      </c>
      <c r="E469" s="64">
        <f>89.177</f>
        <v>89.177000000000007</v>
      </c>
      <c r="F469" s="56">
        <f>240.302-40-60-100</f>
        <v>40.301999999999992</v>
      </c>
      <c r="G469" s="59">
        <v>40</v>
      </c>
      <c r="H469" s="56">
        <f>60+100</f>
        <v>160</v>
      </c>
      <c r="I469" s="56">
        <f t="shared" si="69"/>
        <v>0</v>
      </c>
      <c r="J469" s="59">
        <v>100</v>
      </c>
      <c r="K469" s="59">
        <v>300</v>
      </c>
      <c r="L469" s="56">
        <f t="shared" si="73"/>
        <v>1150</v>
      </c>
      <c r="M469" s="66">
        <v>600</v>
      </c>
      <c r="N469" s="56">
        <f>100</f>
        <v>100</v>
      </c>
      <c r="O469" s="59">
        <v>240</v>
      </c>
      <c r="P469" s="59">
        <v>40</v>
      </c>
      <c r="Q469" s="59">
        <f t="shared" si="74"/>
        <v>315</v>
      </c>
      <c r="R469" s="59">
        <f t="shared" si="75"/>
        <v>100</v>
      </c>
      <c r="S469" s="56">
        <f t="shared" si="76"/>
        <v>695</v>
      </c>
      <c r="T469" s="56">
        <f>50</f>
        <v>50</v>
      </c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</row>
    <row r="470" spans="1:30" ht="15.75">
      <c r="A470" s="14">
        <v>55609</v>
      </c>
      <c r="B470" s="68">
        <v>31</v>
      </c>
      <c r="C470" s="56">
        <f>122.58</f>
        <v>122.58</v>
      </c>
      <c r="D470" s="56">
        <f>297.941</f>
        <v>297.94099999999997</v>
      </c>
      <c r="E470" s="64">
        <f>89.177</f>
        <v>89.177000000000007</v>
      </c>
      <c r="F470" s="56">
        <f>240.302-40-60-100</f>
        <v>40.301999999999992</v>
      </c>
      <c r="G470" s="59">
        <v>40</v>
      </c>
      <c r="H470" s="56">
        <f>60+100</f>
        <v>160</v>
      </c>
      <c r="I470" s="56">
        <f t="shared" si="69"/>
        <v>0</v>
      </c>
      <c r="J470" s="59">
        <v>100</v>
      </c>
      <c r="K470" s="59">
        <v>300</v>
      </c>
      <c r="L470" s="56">
        <f t="shared" si="73"/>
        <v>1150</v>
      </c>
      <c r="M470" s="66">
        <v>600</v>
      </c>
      <c r="N470" s="56">
        <f>100</f>
        <v>100</v>
      </c>
      <c r="O470" s="59">
        <v>240</v>
      </c>
      <c r="P470" s="59">
        <v>40</v>
      </c>
      <c r="Q470" s="59">
        <f t="shared" si="74"/>
        <v>315</v>
      </c>
      <c r="R470" s="59">
        <f t="shared" si="75"/>
        <v>100</v>
      </c>
      <c r="S470" s="56">
        <f t="shared" si="76"/>
        <v>695</v>
      </c>
      <c r="T470" s="56">
        <f>50</f>
        <v>50</v>
      </c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</row>
    <row r="471" spans="1:30" ht="15.75">
      <c r="A471" s="14">
        <v>55639</v>
      </c>
      <c r="B471" s="68">
        <v>30</v>
      </c>
      <c r="C471" s="56">
        <f>141.293</f>
        <v>141.29300000000001</v>
      </c>
      <c r="D471" s="56">
        <f>267.993</f>
        <v>267.99299999999999</v>
      </c>
      <c r="E471" s="64">
        <f>115.016</f>
        <v>115.01600000000001</v>
      </c>
      <c r="F471" s="56">
        <f>314.698-40-25-60-100</f>
        <v>89.697999999999979</v>
      </c>
      <c r="G471" s="59">
        <v>40</v>
      </c>
      <c r="H471" s="56">
        <f t="shared" ref="H471:H477" si="77">25+60+100</f>
        <v>185</v>
      </c>
      <c r="I471" s="56">
        <f t="shared" si="69"/>
        <v>0</v>
      </c>
      <c r="J471" s="59">
        <v>100</v>
      </c>
      <c r="K471" s="59">
        <v>300</v>
      </c>
      <c r="L471" s="56">
        <f t="shared" si="73"/>
        <v>1239</v>
      </c>
      <c r="M471" s="66">
        <v>600</v>
      </c>
      <c r="N471" s="56">
        <f>100</f>
        <v>100</v>
      </c>
      <c r="O471" s="59">
        <v>240</v>
      </c>
      <c r="P471" s="59">
        <v>160</v>
      </c>
      <c r="Q471" s="59">
        <f t="shared" si="74"/>
        <v>195</v>
      </c>
      <c r="R471" s="59">
        <f t="shared" si="75"/>
        <v>100</v>
      </c>
      <c r="S471" s="56">
        <f t="shared" si="76"/>
        <v>695</v>
      </c>
      <c r="T471" s="56">
        <f>50</f>
        <v>50</v>
      </c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</row>
    <row r="472" spans="1:30" ht="15.75">
      <c r="A472" s="14">
        <v>55670</v>
      </c>
      <c r="B472" s="68">
        <v>31</v>
      </c>
      <c r="C472" s="56">
        <f>194.205</f>
        <v>194.20500000000001</v>
      </c>
      <c r="D472" s="56">
        <f>267.466</f>
        <v>267.46600000000001</v>
      </c>
      <c r="E472" s="64">
        <f>133.845</f>
        <v>133.845</v>
      </c>
      <c r="F472" s="56">
        <f>278.484-40-25-60-100</f>
        <v>53.48399999999998</v>
      </c>
      <c r="G472" s="59">
        <v>40</v>
      </c>
      <c r="H472" s="56">
        <f t="shared" si="77"/>
        <v>185</v>
      </c>
      <c r="I472" s="56">
        <f t="shared" si="69"/>
        <v>0</v>
      </c>
      <c r="J472" s="59">
        <v>100</v>
      </c>
      <c r="K472" s="59">
        <v>300</v>
      </c>
      <c r="L472" s="56">
        <f t="shared" si="73"/>
        <v>1274</v>
      </c>
      <c r="M472" s="66">
        <v>600</v>
      </c>
      <c r="N472" s="56">
        <f>75</f>
        <v>75</v>
      </c>
      <c r="O472" s="59">
        <v>240</v>
      </c>
      <c r="P472" s="59">
        <v>160</v>
      </c>
      <c r="Q472" s="59">
        <f t="shared" si="74"/>
        <v>195</v>
      </c>
      <c r="R472" s="59">
        <f t="shared" si="75"/>
        <v>100</v>
      </c>
      <c r="S472" s="56">
        <f t="shared" si="76"/>
        <v>695</v>
      </c>
      <c r="T472" s="56">
        <f>50</f>
        <v>50</v>
      </c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</row>
    <row r="473" spans="1:30" ht="15.75">
      <c r="A473" s="14">
        <v>55700</v>
      </c>
      <c r="B473" s="68">
        <v>30</v>
      </c>
      <c r="C473" s="56">
        <f>194.205</f>
        <v>194.20500000000001</v>
      </c>
      <c r="D473" s="56">
        <f>267.466</f>
        <v>267.46600000000001</v>
      </c>
      <c r="E473" s="64">
        <f>133.845</f>
        <v>133.845</v>
      </c>
      <c r="F473" s="56">
        <f>278.484-40-25-60-100</f>
        <v>53.48399999999998</v>
      </c>
      <c r="G473" s="59">
        <v>40</v>
      </c>
      <c r="H473" s="56">
        <f t="shared" si="77"/>
        <v>185</v>
      </c>
      <c r="I473" s="56">
        <f t="shared" si="69"/>
        <v>0</v>
      </c>
      <c r="J473" s="59">
        <v>100</v>
      </c>
      <c r="K473" s="59">
        <v>300</v>
      </c>
      <c r="L473" s="56">
        <f t="shared" si="73"/>
        <v>1274</v>
      </c>
      <c r="M473" s="66">
        <v>600</v>
      </c>
      <c r="N473" s="56">
        <f>30</f>
        <v>30</v>
      </c>
      <c r="O473" s="59">
        <v>240</v>
      </c>
      <c r="P473" s="59">
        <v>160</v>
      </c>
      <c r="Q473" s="59">
        <f t="shared" si="74"/>
        <v>195</v>
      </c>
      <c r="R473" s="59">
        <f t="shared" si="75"/>
        <v>100</v>
      </c>
      <c r="S473" s="56">
        <f t="shared" si="76"/>
        <v>695</v>
      </c>
      <c r="T473" s="56">
        <f>50</f>
        <v>50</v>
      </c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</row>
    <row r="474" spans="1:30" ht="15.75">
      <c r="A474" s="14">
        <v>55731</v>
      </c>
      <c r="B474" s="68">
        <v>31</v>
      </c>
      <c r="C474" s="56">
        <f>194.205</f>
        <v>194.20500000000001</v>
      </c>
      <c r="D474" s="56">
        <f>267.466</f>
        <v>267.46600000000001</v>
      </c>
      <c r="E474" s="64">
        <f>133.845</f>
        <v>133.845</v>
      </c>
      <c r="F474" s="56">
        <f>278.484-40-25-60-100</f>
        <v>53.48399999999998</v>
      </c>
      <c r="G474" s="59">
        <v>40</v>
      </c>
      <c r="H474" s="56">
        <f t="shared" si="77"/>
        <v>185</v>
      </c>
      <c r="I474" s="56">
        <f t="shared" si="69"/>
        <v>0</v>
      </c>
      <c r="J474" s="59">
        <v>100</v>
      </c>
      <c r="K474" s="59">
        <v>300</v>
      </c>
      <c r="L474" s="56">
        <f t="shared" si="73"/>
        <v>1274</v>
      </c>
      <c r="M474" s="66">
        <v>600</v>
      </c>
      <c r="N474" s="56">
        <f>30</f>
        <v>30</v>
      </c>
      <c r="O474" s="59">
        <v>240</v>
      </c>
      <c r="P474" s="59">
        <v>160</v>
      </c>
      <c r="Q474" s="59">
        <f t="shared" si="74"/>
        <v>195</v>
      </c>
      <c r="R474" s="59">
        <f t="shared" si="75"/>
        <v>100</v>
      </c>
      <c r="S474" s="56">
        <f t="shared" si="76"/>
        <v>695</v>
      </c>
      <c r="T474" s="56">
        <f>0</f>
        <v>0</v>
      </c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</row>
    <row r="475" spans="1:30" ht="15.75">
      <c r="A475" s="14">
        <v>55762</v>
      </c>
      <c r="B475" s="68">
        <v>31</v>
      </c>
      <c r="C475" s="56">
        <f>194.205</f>
        <v>194.20500000000001</v>
      </c>
      <c r="D475" s="56">
        <f>267.466</f>
        <v>267.46600000000001</v>
      </c>
      <c r="E475" s="64">
        <f>133.845</f>
        <v>133.845</v>
      </c>
      <c r="F475" s="56">
        <f>278.484-40-25-60-100</f>
        <v>53.48399999999998</v>
      </c>
      <c r="G475" s="59">
        <v>40</v>
      </c>
      <c r="H475" s="56">
        <f t="shared" si="77"/>
        <v>185</v>
      </c>
      <c r="I475" s="56">
        <f t="shared" si="69"/>
        <v>0</v>
      </c>
      <c r="J475" s="59">
        <v>100</v>
      </c>
      <c r="K475" s="59">
        <v>300</v>
      </c>
      <c r="L475" s="56">
        <f t="shared" si="73"/>
        <v>1274</v>
      </c>
      <c r="M475" s="66">
        <v>600</v>
      </c>
      <c r="N475" s="56">
        <f>30</f>
        <v>30</v>
      </c>
      <c r="O475" s="59">
        <v>240</v>
      </c>
      <c r="P475" s="59">
        <v>160</v>
      </c>
      <c r="Q475" s="59">
        <f t="shared" si="74"/>
        <v>195</v>
      </c>
      <c r="R475" s="59">
        <f t="shared" si="75"/>
        <v>100</v>
      </c>
      <c r="S475" s="56">
        <f t="shared" si="76"/>
        <v>695</v>
      </c>
      <c r="T475" s="56">
        <f>0</f>
        <v>0</v>
      </c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</row>
    <row r="476" spans="1:30" ht="15.75">
      <c r="A476" s="14">
        <v>55792</v>
      </c>
      <c r="B476" s="68">
        <v>30</v>
      </c>
      <c r="C476" s="56">
        <f>194.205</f>
        <v>194.20500000000001</v>
      </c>
      <c r="D476" s="56">
        <f>267.466</f>
        <v>267.46600000000001</v>
      </c>
      <c r="E476" s="64">
        <f>133.845</f>
        <v>133.845</v>
      </c>
      <c r="F476" s="56">
        <f>278.484-40-25-60-100</f>
        <v>53.48399999999998</v>
      </c>
      <c r="G476" s="59">
        <v>40</v>
      </c>
      <c r="H476" s="56">
        <f t="shared" si="77"/>
        <v>185</v>
      </c>
      <c r="I476" s="56">
        <f t="shared" si="69"/>
        <v>0</v>
      </c>
      <c r="J476" s="59">
        <v>100</v>
      </c>
      <c r="K476" s="59">
        <v>300</v>
      </c>
      <c r="L476" s="56">
        <f t="shared" si="73"/>
        <v>1274</v>
      </c>
      <c r="M476" s="66">
        <v>600</v>
      </c>
      <c r="N476" s="56">
        <f>30</f>
        <v>30</v>
      </c>
      <c r="O476" s="59">
        <v>240</v>
      </c>
      <c r="P476" s="59">
        <v>160</v>
      </c>
      <c r="Q476" s="59">
        <f t="shared" si="74"/>
        <v>195</v>
      </c>
      <c r="R476" s="59">
        <f t="shared" si="75"/>
        <v>100</v>
      </c>
      <c r="S476" s="56">
        <f t="shared" si="76"/>
        <v>695</v>
      </c>
      <c r="T476" s="56">
        <f>0</f>
        <v>0</v>
      </c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</row>
    <row r="477" spans="1:30" ht="15.75">
      <c r="A477" s="14">
        <v>55823</v>
      </c>
      <c r="B477" s="68">
        <v>31</v>
      </c>
      <c r="C477" s="56">
        <f>131.881</f>
        <v>131.881</v>
      </c>
      <c r="D477" s="56">
        <f>277.167</f>
        <v>277.16699999999997</v>
      </c>
      <c r="E477" s="64">
        <f>79.08</f>
        <v>79.08</v>
      </c>
      <c r="F477" s="56">
        <f>350.872-40-25-60-100</f>
        <v>125.87200000000001</v>
      </c>
      <c r="G477" s="59">
        <v>40</v>
      </c>
      <c r="H477" s="56">
        <f t="shared" si="77"/>
        <v>185</v>
      </c>
      <c r="I477" s="56">
        <f t="shared" si="69"/>
        <v>0</v>
      </c>
      <c r="J477" s="59">
        <v>100</v>
      </c>
      <c r="K477" s="59">
        <v>300</v>
      </c>
      <c r="L477" s="56">
        <f t="shared" si="73"/>
        <v>1239</v>
      </c>
      <c r="M477" s="66">
        <v>600</v>
      </c>
      <c r="N477" s="56">
        <f>75</f>
        <v>75</v>
      </c>
      <c r="O477" s="59">
        <v>240</v>
      </c>
      <c r="P477" s="59">
        <v>160</v>
      </c>
      <c r="Q477" s="59">
        <f t="shared" si="74"/>
        <v>195</v>
      </c>
      <c r="R477" s="59">
        <f t="shared" si="75"/>
        <v>100</v>
      </c>
      <c r="S477" s="56">
        <f t="shared" si="76"/>
        <v>695</v>
      </c>
      <c r="T477" s="56">
        <f>0</f>
        <v>0</v>
      </c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</row>
    <row r="478" spans="1:30" ht="15.75">
      <c r="A478" s="14">
        <v>55853</v>
      </c>
      <c r="B478" s="68">
        <v>30</v>
      </c>
      <c r="C478" s="56">
        <f>122.58</f>
        <v>122.58</v>
      </c>
      <c r="D478" s="56">
        <f>297.941</f>
        <v>297.94099999999997</v>
      </c>
      <c r="E478" s="64">
        <f>89.177</f>
        <v>89.177000000000007</v>
      </c>
      <c r="F478" s="56">
        <f>240.302-40-60-100</f>
        <v>40.301999999999992</v>
      </c>
      <c r="G478" s="59">
        <v>40</v>
      </c>
      <c r="H478" s="56">
        <f>60+100</f>
        <v>160</v>
      </c>
      <c r="I478" s="56">
        <f t="shared" si="69"/>
        <v>0</v>
      </c>
      <c r="J478" s="59">
        <v>100</v>
      </c>
      <c r="K478" s="59">
        <v>300</v>
      </c>
      <c r="L478" s="56">
        <f t="shared" si="73"/>
        <v>1150</v>
      </c>
      <c r="M478" s="66">
        <v>600</v>
      </c>
      <c r="N478" s="56">
        <f>100</f>
        <v>100</v>
      </c>
      <c r="O478" s="59">
        <v>240</v>
      </c>
      <c r="P478" s="59">
        <v>40</v>
      </c>
      <c r="Q478" s="59">
        <f t="shared" si="74"/>
        <v>315</v>
      </c>
      <c r="R478" s="59">
        <f t="shared" si="75"/>
        <v>100</v>
      </c>
      <c r="S478" s="56">
        <f t="shared" si="76"/>
        <v>695</v>
      </c>
      <c r="T478" s="56">
        <f>50</f>
        <v>50</v>
      </c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</row>
    <row r="479" spans="1:30" ht="15.75">
      <c r="A479" s="14">
        <v>55884</v>
      </c>
      <c r="B479" s="68">
        <v>31</v>
      </c>
      <c r="C479" s="56">
        <f>122.58</f>
        <v>122.58</v>
      </c>
      <c r="D479" s="56">
        <f>297.941</f>
        <v>297.94099999999997</v>
      </c>
      <c r="E479" s="64">
        <f>89.177</f>
        <v>89.177000000000007</v>
      </c>
      <c r="F479" s="56">
        <f>240.302-40-60-100</f>
        <v>40.301999999999992</v>
      </c>
      <c r="G479" s="59">
        <v>40</v>
      </c>
      <c r="H479" s="56">
        <f>60+100</f>
        <v>160</v>
      </c>
      <c r="I479" s="56">
        <f t="shared" si="69"/>
        <v>0</v>
      </c>
      <c r="J479" s="59">
        <v>100</v>
      </c>
      <c r="K479" s="59">
        <v>300</v>
      </c>
      <c r="L479" s="56">
        <f t="shared" si="73"/>
        <v>1150</v>
      </c>
      <c r="M479" s="66">
        <v>600</v>
      </c>
      <c r="N479" s="56">
        <f>100</f>
        <v>100</v>
      </c>
      <c r="O479" s="59">
        <v>240</v>
      </c>
      <c r="P479" s="59">
        <v>40</v>
      </c>
      <c r="Q479" s="59">
        <f t="shared" si="74"/>
        <v>315</v>
      </c>
      <c r="R479" s="59">
        <f t="shared" si="75"/>
        <v>100</v>
      </c>
      <c r="S479" s="56">
        <f t="shared" si="76"/>
        <v>695</v>
      </c>
      <c r="T479" s="56">
        <f>50</f>
        <v>50</v>
      </c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</row>
    <row r="480" spans="1:30" ht="15.75">
      <c r="A480" s="14">
        <v>55915</v>
      </c>
      <c r="B480" s="68">
        <v>31</v>
      </c>
      <c r="C480" s="56">
        <f>122.58</f>
        <v>122.58</v>
      </c>
      <c r="D480" s="56">
        <f>297.941</f>
        <v>297.94099999999997</v>
      </c>
      <c r="E480" s="64">
        <f>89.177</f>
        <v>89.177000000000007</v>
      </c>
      <c r="F480" s="56">
        <f>240.302-40-60-100</f>
        <v>40.301999999999992</v>
      </c>
      <c r="G480" s="59">
        <v>40</v>
      </c>
      <c r="H480" s="56">
        <f>60+100</f>
        <v>160</v>
      </c>
      <c r="I480" s="56">
        <f t="shared" si="69"/>
        <v>0</v>
      </c>
      <c r="J480" s="59">
        <v>100</v>
      </c>
      <c r="K480" s="59">
        <v>300</v>
      </c>
      <c r="L480" s="56">
        <f t="shared" si="73"/>
        <v>1150</v>
      </c>
      <c r="M480" s="66">
        <v>600</v>
      </c>
      <c r="N480" s="56">
        <f>100</f>
        <v>100</v>
      </c>
      <c r="O480" s="59">
        <v>240</v>
      </c>
      <c r="P480" s="59">
        <v>40</v>
      </c>
      <c r="Q480" s="59">
        <f t="shared" si="74"/>
        <v>315</v>
      </c>
      <c r="R480" s="59">
        <f t="shared" si="75"/>
        <v>100</v>
      </c>
      <c r="S480" s="56">
        <f t="shared" si="76"/>
        <v>695</v>
      </c>
      <c r="T480" s="56">
        <f>50</f>
        <v>50</v>
      </c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</row>
    <row r="481" spans="1:30" ht="15.75">
      <c r="A481" s="14">
        <v>55943</v>
      </c>
      <c r="B481" s="68">
        <v>28</v>
      </c>
      <c r="C481" s="56">
        <f>122.58</f>
        <v>122.58</v>
      </c>
      <c r="D481" s="56">
        <f>297.941</f>
        <v>297.94099999999997</v>
      </c>
      <c r="E481" s="64">
        <f>89.177</f>
        <v>89.177000000000007</v>
      </c>
      <c r="F481" s="56">
        <f>240.302-40-60-100</f>
        <v>40.301999999999992</v>
      </c>
      <c r="G481" s="59">
        <v>40</v>
      </c>
      <c r="H481" s="56">
        <f>60+100</f>
        <v>160</v>
      </c>
      <c r="I481" s="56">
        <f t="shared" si="69"/>
        <v>0</v>
      </c>
      <c r="J481" s="59">
        <v>100</v>
      </c>
      <c r="K481" s="59">
        <v>300</v>
      </c>
      <c r="L481" s="56">
        <f t="shared" si="73"/>
        <v>1150</v>
      </c>
      <c r="M481" s="66">
        <v>600</v>
      </c>
      <c r="N481" s="56">
        <f>100</f>
        <v>100</v>
      </c>
      <c r="O481" s="59">
        <v>240</v>
      </c>
      <c r="P481" s="59">
        <v>40</v>
      </c>
      <c r="Q481" s="59">
        <f t="shared" si="74"/>
        <v>315</v>
      </c>
      <c r="R481" s="59">
        <f t="shared" si="75"/>
        <v>100</v>
      </c>
      <c r="S481" s="56">
        <f t="shared" si="76"/>
        <v>695</v>
      </c>
      <c r="T481" s="56">
        <f>50</f>
        <v>50</v>
      </c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</row>
    <row r="482" spans="1:30" ht="15.75">
      <c r="A482" s="14">
        <v>55974</v>
      </c>
      <c r="B482" s="68">
        <v>31</v>
      </c>
      <c r="C482" s="56">
        <f>122.58</f>
        <v>122.58</v>
      </c>
      <c r="D482" s="56">
        <f>297.941</f>
        <v>297.94099999999997</v>
      </c>
      <c r="E482" s="64">
        <f>89.177</f>
        <v>89.177000000000007</v>
      </c>
      <c r="F482" s="56">
        <f>240.302-40-60-100</f>
        <v>40.301999999999992</v>
      </c>
      <c r="G482" s="59">
        <v>40</v>
      </c>
      <c r="H482" s="56">
        <f>60+100</f>
        <v>160</v>
      </c>
      <c r="I482" s="56">
        <f t="shared" si="69"/>
        <v>0</v>
      </c>
      <c r="J482" s="59">
        <v>100</v>
      </c>
      <c r="K482" s="59">
        <v>300</v>
      </c>
      <c r="L482" s="56">
        <f t="shared" si="73"/>
        <v>1150</v>
      </c>
      <c r="M482" s="66">
        <v>600</v>
      </c>
      <c r="N482" s="56">
        <f>100</f>
        <v>100</v>
      </c>
      <c r="O482" s="59">
        <v>240</v>
      </c>
      <c r="P482" s="59">
        <v>40</v>
      </c>
      <c r="Q482" s="59">
        <f t="shared" si="74"/>
        <v>315</v>
      </c>
      <c r="R482" s="59">
        <f t="shared" si="75"/>
        <v>100</v>
      </c>
      <c r="S482" s="56">
        <f t="shared" si="76"/>
        <v>695</v>
      </c>
      <c r="T482" s="56">
        <f>50</f>
        <v>50</v>
      </c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</row>
    <row r="483" spans="1:30" ht="15.75">
      <c r="A483" s="14">
        <v>56004</v>
      </c>
      <c r="B483" s="68">
        <v>30</v>
      </c>
      <c r="C483" s="56">
        <f>141.293</f>
        <v>141.29300000000001</v>
      </c>
      <c r="D483" s="56">
        <f>267.993</f>
        <v>267.99299999999999</v>
      </c>
      <c r="E483" s="64">
        <f>115.016</f>
        <v>115.01600000000001</v>
      </c>
      <c r="F483" s="56">
        <f>314.698-40-25-60-100</f>
        <v>89.697999999999979</v>
      </c>
      <c r="G483" s="59">
        <v>40</v>
      </c>
      <c r="H483" s="56">
        <f t="shared" ref="H483:H489" si="78">25+60+100</f>
        <v>185</v>
      </c>
      <c r="I483" s="56">
        <f t="shared" si="69"/>
        <v>0</v>
      </c>
      <c r="J483" s="59">
        <v>100</v>
      </c>
      <c r="K483" s="59">
        <v>300</v>
      </c>
      <c r="L483" s="56">
        <f t="shared" si="73"/>
        <v>1239</v>
      </c>
      <c r="M483" s="66">
        <v>600</v>
      </c>
      <c r="N483" s="56">
        <f>100</f>
        <v>100</v>
      </c>
      <c r="O483" s="59">
        <v>240</v>
      </c>
      <c r="P483" s="59">
        <v>160</v>
      </c>
      <c r="Q483" s="59">
        <f t="shared" si="74"/>
        <v>195</v>
      </c>
      <c r="R483" s="59">
        <f t="shared" si="75"/>
        <v>100</v>
      </c>
      <c r="S483" s="56">
        <f t="shared" si="76"/>
        <v>695</v>
      </c>
      <c r="T483" s="56">
        <f>50</f>
        <v>50</v>
      </c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</row>
    <row r="484" spans="1:30" ht="15.75">
      <c r="A484" s="14">
        <v>56035</v>
      </c>
      <c r="B484" s="68">
        <v>31</v>
      </c>
      <c r="C484" s="56">
        <f>194.205</f>
        <v>194.20500000000001</v>
      </c>
      <c r="D484" s="56">
        <f>267.466</f>
        <v>267.46600000000001</v>
      </c>
      <c r="E484" s="64">
        <f>133.845</f>
        <v>133.845</v>
      </c>
      <c r="F484" s="56">
        <f>278.484-40-25-60-100</f>
        <v>53.48399999999998</v>
      </c>
      <c r="G484" s="59">
        <v>40</v>
      </c>
      <c r="H484" s="56">
        <f t="shared" si="78"/>
        <v>185</v>
      </c>
      <c r="I484" s="56">
        <f t="shared" si="69"/>
        <v>0</v>
      </c>
      <c r="J484" s="59">
        <v>100</v>
      </c>
      <c r="K484" s="59">
        <v>300</v>
      </c>
      <c r="L484" s="56">
        <f t="shared" si="73"/>
        <v>1274</v>
      </c>
      <c r="M484" s="66">
        <v>600</v>
      </c>
      <c r="N484" s="56">
        <f>75</f>
        <v>75</v>
      </c>
      <c r="O484" s="59">
        <v>240</v>
      </c>
      <c r="P484" s="59">
        <v>160</v>
      </c>
      <c r="Q484" s="59">
        <f t="shared" si="74"/>
        <v>195</v>
      </c>
      <c r="R484" s="59">
        <f t="shared" si="75"/>
        <v>100</v>
      </c>
      <c r="S484" s="56">
        <f t="shared" si="76"/>
        <v>695</v>
      </c>
      <c r="T484" s="56">
        <f>50</f>
        <v>50</v>
      </c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</row>
    <row r="485" spans="1:30" ht="15.75">
      <c r="A485" s="14">
        <v>56065</v>
      </c>
      <c r="B485" s="68">
        <v>30</v>
      </c>
      <c r="C485" s="56">
        <f>194.205</f>
        <v>194.20500000000001</v>
      </c>
      <c r="D485" s="56">
        <f>267.466</f>
        <v>267.46600000000001</v>
      </c>
      <c r="E485" s="64">
        <f>133.845</f>
        <v>133.845</v>
      </c>
      <c r="F485" s="56">
        <f>278.484-40-25-60-100</f>
        <v>53.48399999999998</v>
      </c>
      <c r="G485" s="59">
        <v>40</v>
      </c>
      <c r="H485" s="56">
        <f t="shared" si="78"/>
        <v>185</v>
      </c>
      <c r="I485" s="56">
        <f t="shared" si="69"/>
        <v>0</v>
      </c>
      <c r="J485" s="59">
        <v>100</v>
      </c>
      <c r="K485" s="59">
        <v>300</v>
      </c>
      <c r="L485" s="56">
        <f t="shared" si="73"/>
        <v>1274</v>
      </c>
      <c r="M485" s="66">
        <v>600</v>
      </c>
      <c r="N485" s="56">
        <f>30</f>
        <v>30</v>
      </c>
      <c r="O485" s="59">
        <v>240</v>
      </c>
      <c r="P485" s="59">
        <v>160</v>
      </c>
      <c r="Q485" s="59">
        <f t="shared" si="74"/>
        <v>195</v>
      </c>
      <c r="R485" s="59">
        <f t="shared" si="75"/>
        <v>100</v>
      </c>
      <c r="S485" s="56">
        <f t="shared" si="76"/>
        <v>695</v>
      </c>
      <c r="T485" s="56">
        <f>50</f>
        <v>50</v>
      </c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</row>
    <row r="486" spans="1:30" ht="15.75">
      <c r="A486" s="14">
        <v>56096</v>
      </c>
      <c r="B486" s="68">
        <v>31</v>
      </c>
      <c r="C486" s="56">
        <f>194.205</f>
        <v>194.20500000000001</v>
      </c>
      <c r="D486" s="56">
        <f>267.466</f>
        <v>267.46600000000001</v>
      </c>
      <c r="E486" s="64">
        <f>133.845</f>
        <v>133.845</v>
      </c>
      <c r="F486" s="56">
        <f>278.484-40-25-60-100</f>
        <v>53.48399999999998</v>
      </c>
      <c r="G486" s="59">
        <v>40</v>
      </c>
      <c r="H486" s="56">
        <f t="shared" si="78"/>
        <v>185</v>
      </c>
      <c r="I486" s="56">
        <f t="shared" si="69"/>
        <v>0</v>
      </c>
      <c r="J486" s="59">
        <v>100</v>
      </c>
      <c r="K486" s="59">
        <v>300</v>
      </c>
      <c r="L486" s="56">
        <f t="shared" si="73"/>
        <v>1274</v>
      </c>
      <c r="M486" s="66">
        <v>600</v>
      </c>
      <c r="N486" s="56">
        <f>30</f>
        <v>30</v>
      </c>
      <c r="O486" s="59">
        <v>240</v>
      </c>
      <c r="P486" s="59">
        <v>160</v>
      </c>
      <c r="Q486" s="59">
        <f t="shared" si="74"/>
        <v>195</v>
      </c>
      <c r="R486" s="59">
        <f t="shared" si="75"/>
        <v>100</v>
      </c>
      <c r="S486" s="56">
        <f t="shared" si="76"/>
        <v>695</v>
      </c>
      <c r="T486" s="56">
        <f>0</f>
        <v>0</v>
      </c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</row>
    <row r="487" spans="1:30" ht="15.75">
      <c r="A487" s="14">
        <v>56127</v>
      </c>
      <c r="B487" s="68">
        <v>31</v>
      </c>
      <c r="C487" s="56">
        <f>194.205</f>
        <v>194.20500000000001</v>
      </c>
      <c r="D487" s="56">
        <f>267.466</f>
        <v>267.46600000000001</v>
      </c>
      <c r="E487" s="64">
        <f>133.845</f>
        <v>133.845</v>
      </c>
      <c r="F487" s="56">
        <f>278.484-40-25-60-100</f>
        <v>53.48399999999998</v>
      </c>
      <c r="G487" s="59">
        <v>40</v>
      </c>
      <c r="H487" s="56">
        <f t="shared" si="78"/>
        <v>185</v>
      </c>
      <c r="I487" s="56">
        <f t="shared" si="69"/>
        <v>0</v>
      </c>
      <c r="J487" s="59">
        <v>100</v>
      </c>
      <c r="K487" s="59">
        <v>300</v>
      </c>
      <c r="L487" s="56">
        <f t="shared" si="73"/>
        <v>1274</v>
      </c>
      <c r="M487" s="66">
        <v>600</v>
      </c>
      <c r="N487" s="56">
        <f>30</f>
        <v>30</v>
      </c>
      <c r="O487" s="59">
        <v>240</v>
      </c>
      <c r="P487" s="59">
        <v>160</v>
      </c>
      <c r="Q487" s="59">
        <f t="shared" si="74"/>
        <v>195</v>
      </c>
      <c r="R487" s="59">
        <f t="shared" si="75"/>
        <v>100</v>
      </c>
      <c r="S487" s="56">
        <f t="shared" si="76"/>
        <v>695</v>
      </c>
      <c r="T487" s="56">
        <f>0</f>
        <v>0</v>
      </c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</row>
    <row r="488" spans="1:30" ht="15.75">
      <c r="A488" s="14">
        <v>56157</v>
      </c>
      <c r="B488" s="68">
        <v>30</v>
      </c>
      <c r="C488" s="56">
        <f>194.205</f>
        <v>194.20500000000001</v>
      </c>
      <c r="D488" s="56">
        <f>267.466</f>
        <v>267.46600000000001</v>
      </c>
      <c r="E488" s="64">
        <f>133.845</f>
        <v>133.845</v>
      </c>
      <c r="F488" s="56">
        <f>278.484-40-25-60-100</f>
        <v>53.48399999999998</v>
      </c>
      <c r="G488" s="59">
        <v>40</v>
      </c>
      <c r="H488" s="56">
        <f t="shared" si="78"/>
        <v>185</v>
      </c>
      <c r="I488" s="56">
        <f t="shared" ref="I488:I551" si="79">400-J488-K488</f>
        <v>0</v>
      </c>
      <c r="J488" s="59">
        <v>100</v>
      </c>
      <c r="K488" s="59">
        <v>300</v>
      </c>
      <c r="L488" s="56">
        <f t="shared" si="73"/>
        <v>1274</v>
      </c>
      <c r="M488" s="66">
        <v>600</v>
      </c>
      <c r="N488" s="56">
        <f>30</f>
        <v>30</v>
      </c>
      <c r="O488" s="59">
        <v>240</v>
      </c>
      <c r="P488" s="59">
        <v>160</v>
      </c>
      <c r="Q488" s="59">
        <f t="shared" si="74"/>
        <v>195</v>
      </c>
      <c r="R488" s="59">
        <f t="shared" si="75"/>
        <v>100</v>
      </c>
      <c r="S488" s="56">
        <f t="shared" si="76"/>
        <v>695</v>
      </c>
      <c r="T488" s="56">
        <f>0</f>
        <v>0</v>
      </c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</row>
    <row r="489" spans="1:30" ht="15.75">
      <c r="A489" s="14">
        <v>56188</v>
      </c>
      <c r="B489" s="68">
        <v>31</v>
      </c>
      <c r="C489" s="56">
        <f>131.881</f>
        <v>131.881</v>
      </c>
      <c r="D489" s="56">
        <f>277.167</f>
        <v>277.16699999999997</v>
      </c>
      <c r="E489" s="64">
        <f>79.08</f>
        <v>79.08</v>
      </c>
      <c r="F489" s="56">
        <f>350.872-40-25-60-100</f>
        <v>125.87200000000001</v>
      </c>
      <c r="G489" s="59">
        <v>40</v>
      </c>
      <c r="H489" s="56">
        <f t="shared" si="78"/>
        <v>185</v>
      </c>
      <c r="I489" s="56">
        <f t="shared" si="79"/>
        <v>0</v>
      </c>
      <c r="J489" s="59">
        <v>100</v>
      </c>
      <c r="K489" s="59">
        <v>300</v>
      </c>
      <c r="L489" s="56">
        <f t="shared" si="73"/>
        <v>1239</v>
      </c>
      <c r="M489" s="66">
        <v>600</v>
      </c>
      <c r="N489" s="56">
        <f>75</f>
        <v>75</v>
      </c>
      <c r="O489" s="59">
        <v>240</v>
      </c>
      <c r="P489" s="59">
        <v>160</v>
      </c>
      <c r="Q489" s="59">
        <f t="shared" si="74"/>
        <v>195</v>
      </c>
      <c r="R489" s="59">
        <f t="shared" si="75"/>
        <v>100</v>
      </c>
      <c r="S489" s="56">
        <f t="shared" si="76"/>
        <v>695</v>
      </c>
      <c r="T489" s="56">
        <f>0</f>
        <v>0</v>
      </c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</row>
    <row r="490" spans="1:30" ht="15.75">
      <c r="A490" s="14">
        <v>56218</v>
      </c>
      <c r="B490" s="68">
        <v>30</v>
      </c>
      <c r="C490" s="56">
        <f>122.58</f>
        <v>122.58</v>
      </c>
      <c r="D490" s="56">
        <f>297.941</f>
        <v>297.94099999999997</v>
      </c>
      <c r="E490" s="64">
        <f>89.177</f>
        <v>89.177000000000007</v>
      </c>
      <c r="F490" s="56">
        <f>240.302-40-60-100</f>
        <v>40.301999999999992</v>
      </c>
      <c r="G490" s="59">
        <v>40</v>
      </c>
      <c r="H490" s="56">
        <f>60+100</f>
        <v>160</v>
      </c>
      <c r="I490" s="56">
        <f t="shared" si="79"/>
        <v>0</v>
      </c>
      <c r="J490" s="59">
        <v>100</v>
      </c>
      <c r="K490" s="59">
        <v>300</v>
      </c>
      <c r="L490" s="56">
        <f t="shared" si="73"/>
        <v>1150</v>
      </c>
      <c r="M490" s="66">
        <v>600</v>
      </c>
      <c r="N490" s="56">
        <f>100</f>
        <v>100</v>
      </c>
      <c r="O490" s="59">
        <v>240</v>
      </c>
      <c r="P490" s="59">
        <v>40</v>
      </c>
      <c r="Q490" s="59">
        <f t="shared" si="74"/>
        <v>315</v>
      </c>
      <c r="R490" s="59">
        <f t="shared" si="75"/>
        <v>100</v>
      </c>
      <c r="S490" s="56">
        <f t="shared" si="76"/>
        <v>695</v>
      </c>
      <c r="T490" s="56">
        <f>50</f>
        <v>50</v>
      </c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</row>
    <row r="491" spans="1:30" ht="15.75">
      <c r="A491" s="14">
        <v>56249</v>
      </c>
      <c r="B491" s="68">
        <v>31</v>
      </c>
      <c r="C491" s="56">
        <f>122.58</f>
        <v>122.58</v>
      </c>
      <c r="D491" s="56">
        <f>297.941</f>
        <v>297.94099999999997</v>
      </c>
      <c r="E491" s="64">
        <f>89.177</f>
        <v>89.177000000000007</v>
      </c>
      <c r="F491" s="56">
        <f>240.302-40-60-100</f>
        <v>40.301999999999992</v>
      </c>
      <c r="G491" s="59">
        <v>40</v>
      </c>
      <c r="H491" s="56">
        <f>60+100</f>
        <v>160</v>
      </c>
      <c r="I491" s="56">
        <f t="shared" si="79"/>
        <v>0</v>
      </c>
      <c r="J491" s="59">
        <v>100</v>
      </c>
      <c r="K491" s="59">
        <v>300</v>
      </c>
      <c r="L491" s="56">
        <f t="shared" si="73"/>
        <v>1150</v>
      </c>
      <c r="M491" s="66">
        <v>600</v>
      </c>
      <c r="N491" s="56">
        <f>100</f>
        <v>100</v>
      </c>
      <c r="O491" s="59">
        <v>240</v>
      </c>
      <c r="P491" s="59">
        <v>40</v>
      </c>
      <c r="Q491" s="59">
        <f t="shared" si="74"/>
        <v>315</v>
      </c>
      <c r="R491" s="59">
        <f t="shared" si="75"/>
        <v>100</v>
      </c>
      <c r="S491" s="56">
        <f t="shared" si="76"/>
        <v>695</v>
      </c>
      <c r="T491" s="56">
        <f>50</f>
        <v>50</v>
      </c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</row>
    <row r="492" spans="1:30" ht="15.75">
      <c r="A492" s="14">
        <v>56280</v>
      </c>
      <c r="B492" s="68">
        <v>31</v>
      </c>
      <c r="C492" s="56">
        <f>122.58</f>
        <v>122.58</v>
      </c>
      <c r="D492" s="56">
        <f>297.941</f>
        <v>297.94099999999997</v>
      </c>
      <c r="E492" s="64">
        <f>89.177</f>
        <v>89.177000000000007</v>
      </c>
      <c r="F492" s="56">
        <f>240.302-40-60-100</f>
        <v>40.301999999999992</v>
      </c>
      <c r="G492" s="59">
        <v>40</v>
      </c>
      <c r="H492" s="56">
        <f>60+100</f>
        <v>160</v>
      </c>
      <c r="I492" s="56">
        <f t="shared" si="79"/>
        <v>0</v>
      </c>
      <c r="J492" s="59">
        <v>100</v>
      </c>
      <c r="K492" s="59">
        <v>300</v>
      </c>
      <c r="L492" s="56">
        <f t="shared" si="73"/>
        <v>1150</v>
      </c>
      <c r="M492" s="66">
        <v>600</v>
      </c>
      <c r="N492" s="56">
        <f>100</f>
        <v>100</v>
      </c>
      <c r="O492" s="59">
        <v>240</v>
      </c>
      <c r="P492" s="59">
        <v>40</v>
      </c>
      <c r="Q492" s="59">
        <f t="shared" si="74"/>
        <v>315</v>
      </c>
      <c r="R492" s="59">
        <f t="shared" si="75"/>
        <v>100</v>
      </c>
      <c r="S492" s="56">
        <f t="shared" si="76"/>
        <v>695</v>
      </c>
      <c r="T492" s="56">
        <f>50</f>
        <v>50</v>
      </c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</row>
    <row r="493" spans="1:30" ht="15.75">
      <c r="A493" s="14">
        <v>56308</v>
      </c>
      <c r="B493" s="68">
        <v>28</v>
      </c>
      <c r="C493" s="56">
        <f>122.58</f>
        <v>122.58</v>
      </c>
      <c r="D493" s="56">
        <f>297.941</f>
        <v>297.94099999999997</v>
      </c>
      <c r="E493" s="64">
        <f>89.177</f>
        <v>89.177000000000007</v>
      </c>
      <c r="F493" s="56">
        <f>240.302-40-60-100</f>
        <v>40.301999999999992</v>
      </c>
      <c r="G493" s="59">
        <v>40</v>
      </c>
      <c r="H493" s="56">
        <f>60+100</f>
        <v>160</v>
      </c>
      <c r="I493" s="56">
        <f t="shared" si="79"/>
        <v>0</v>
      </c>
      <c r="J493" s="59">
        <v>100</v>
      </c>
      <c r="K493" s="59">
        <v>300</v>
      </c>
      <c r="L493" s="56">
        <f t="shared" si="73"/>
        <v>1150</v>
      </c>
      <c r="M493" s="66">
        <v>600</v>
      </c>
      <c r="N493" s="56">
        <f>100</f>
        <v>100</v>
      </c>
      <c r="O493" s="59">
        <v>240</v>
      </c>
      <c r="P493" s="59">
        <v>40</v>
      </c>
      <c r="Q493" s="59">
        <f t="shared" si="74"/>
        <v>315</v>
      </c>
      <c r="R493" s="59">
        <f t="shared" si="75"/>
        <v>100</v>
      </c>
      <c r="S493" s="56">
        <f t="shared" si="76"/>
        <v>695</v>
      </c>
      <c r="T493" s="56">
        <f>50</f>
        <v>50</v>
      </c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</row>
    <row r="494" spans="1:30" ht="15.75">
      <c r="A494" s="14">
        <v>56339</v>
      </c>
      <c r="B494" s="68">
        <v>31</v>
      </c>
      <c r="C494" s="56">
        <f>122.58</f>
        <v>122.58</v>
      </c>
      <c r="D494" s="56">
        <f>297.941</f>
        <v>297.94099999999997</v>
      </c>
      <c r="E494" s="64">
        <f>89.177</f>
        <v>89.177000000000007</v>
      </c>
      <c r="F494" s="56">
        <f>240.302-40-60-100</f>
        <v>40.301999999999992</v>
      </c>
      <c r="G494" s="59">
        <v>40</v>
      </c>
      <c r="H494" s="56">
        <f>60+100</f>
        <v>160</v>
      </c>
      <c r="I494" s="56">
        <f t="shared" si="79"/>
        <v>0</v>
      </c>
      <c r="J494" s="59">
        <v>100</v>
      </c>
      <c r="K494" s="59">
        <v>300</v>
      </c>
      <c r="L494" s="56">
        <f t="shared" si="73"/>
        <v>1150</v>
      </c>
      <c r="M494" s="66">
        <v>600</v>
      </c>
      <c r="N494" s="56">
        <f>100</f>
        <v>100</v>
      </c>
      <c r="O494" s="59">
        <v>240</v>
      </c>
      <c r="P494" s="59">
        <v>40</v>
      </c>
      <c r="Q494" s="59">
        <f t="shared" si="74"/>
        <v>315</v>
      </c>
      <c r="R494" s="59">
        <f t="shared" si="75"/>
        <v>100</v>
      </c>
      <c r="S494" s="56">
        <f t="shared" si="76"/>
        <v>695</v>
      </c>
      <c r="T494" s="56">
        <f>50</f>
        <v>50</v>
      </c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</row>
    <row r="495" spans="1:30" ht="15.75">
      <c r="A495" s="14">
        <v>56369</v>
      </c>
      <c r="B495" s="68">
        <v>30</v>
      </c>
      <c r="C495" s="56">
        <f>141.293</f>
        <v>141.29300000000001</v>
      </c>
      <c r="D495" s="56">
        <f>267.993</f>
        <v>267.99299999999999</v>
      </c>
      <c r="E495" s="64">
        <f>115.016</f>
        <v>115.01600000000001</v>
      </c>
      <c r="F495" s="56">
        <f>314.698-40-25-60-100</f>
        <v>89.697999999999979</v>
      </c>
      <c r="G495" s="59">
        <v>40</v>
      </c>
      <c r="H495" s="56">
        <f t="shared" ref="H495:H501" si="80">25+60+100</f>
        <v>185</v>
      </c>
      <c r="I495" s="56">
        <f t="shared" si="79"/>
        <v>0</v>
      </c>
      <c r="J495" s="59">
        <v>100</v>
      </c>
      <c r="K495" s="59">
        <v>300</v>
      </c>
      <c r="L495" s="56">
        <f t="shared" si="73"/>
        <v>1239</v>
      </c>
      <c r="M495" s="66">
        <v>600</v>
      </c>
      <c r="N495" s="56">
        <f>100</f>
        <v>100</v>
      </c>
      <c r="O495" s="59">
        <v>240</v>
      </c>
      <c r="P495" s="59">
        <v>160</v>
      </c>
      <c r="Q495" s="59">
        <f t="shared" si="74"/>
        <v>195</v>
      </c>
      <c r="R495" s="59">
        <f t="shared" si="75"/>
        <v>100</v>
      </c>
      <c r="S495" s="56">
        <f t="shared" si="76"/>
        <v>695</v>
      </c>
      <c r="T495" s="56">
        <f>50</f>
        <v>50</v>
      </c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</row>
    <row r="496" spans="1:30" ht="15.75">
      <c r="A496" s="14">
        <v>56400</v>
      </c>
      <c r="B496" s="68">
        <v>31</v>
      </c>
      <c r="C496" s="56">
        <f>194.205</f>
        <v>194.20500000000001</v>
      </c>
      <c r="D496" s="56">
        <f>267.466</f>
        <v>267.46600000000001</v>
      </c>
      <c r="E496" s="64">
        <f>133.845</f>
        <v>133.845</v>
      </c>
      <c r="F496" s="56">
        <f>278.484-40-25-60-100</f>
        <v>53.48399999999998</v>
      </c>
      <c r="G496" s="59">
        <v>40</v>
      </c>
      <c r="H496" s="56">
        <f t="shared" si="80"/>
        <v>185</v>
      </c>
      <c r="I496" s="56">
        <f t="shared" si="79"/>
        <v>0</v>
      </c>
      <c r="J496" s="59">
        <v>100</v>
      </c>
      <c r="K496" s="59">
        <v>300</v>
      </c>
      <c r="L496" s="56">
        <f t="shared" si="73"/>
        <v>1274</v>
      </c>
      <c r="M496" s="66">
        <v>600</v>
      </c>
      <c r="N496" s="56">
        <f>75</f>
        <v>75</v>
      </c>
      <c r="O496" s="59">
        <v>240</v>
      </c>
      <c r="P496" s="59">
        <v>160</v>
      </c>
      <c r="Q496" s="59">
        <f t="shared" si="74"/>
        <v>195</v>
      </c>
      <c r="R496" s="59">
        <f t="shared" si="75"/>
        <v>100</v>
      </c>
      <c r="S496" s="56">
        <f t="shared" si="76"/>
        <v>695</v>
      </c>
      <c r="T496" s="56">
        <f>50</f>
        <v>50</v>
      </c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</row>
    <row r="497" spans="1:30" ht="15.75">
      <c r="A497" s="14">
        <v>56430</v>
      </c>
      <c r="B497" s="68">
        <v>30</v>
      </c>
      <c r="C497" s="56">
        <f>194.205</f>
        <v>194.20500000000001</v>
      </c>
      <c r="D497" s="56">
        <f>267.466</f>
        <v>267.46600000000001</v>
      </c>
      <c r="E497" s="64">
        <f>133.845</f>
        <v>133.845</v>
      </c>
      <c r="F497" s="56">
        <f>278.484-40-25-60-100</f>
        <v>53.48399999999998</v>
      </c>
      <c r="G497" s="59">
        <v>40</v>
      </c>
      <c r="H497" s="56">
        <f t="shared" si="80"/>
        <v>185</v>
      </c>
      <c r="I497" s="56">
        <f t="shared" si="79"/>
        <v>0</v>
      </c>
      <c r="J497" s="59">
        <v>100</v>
      </c>
      <c r="K497" s="59">
        <v>300</v>
      </c>
      <c r="L497" s="56">
        <f t="shared" si="73"/>
        <v>1274</v>
      </c>
      <c r="M497" s="66">
        <v>600</v>
      </c>
      <c r="N497" s="56">
        <f>30</f>
        <v>30</v>
      </c>
      <c r="O497" s="59">
        <v>240</v>
      </c>
      <c r="P497" s="59">
        <v>160</v>
      </c>
      <c r="Q497" s="59">
        <f t="shared" si="74"/>
        <v>195</v>
      </c>
      <c r="R497" s="59">
        <f t="shared" si="75"/>
        <v>100</v>
      </c>
      <c r="S497" s="56">
        <f t="shared" si="76"/>
        <v>695</v>
      </c>
      <c r="T497" s="56">
        <f>50</f>
        <v>50</v>
      </c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</row>
    <row r="498" spans="1:30" ht="15.75">
      <c r="A498" s="14">
        <v>56461</v>
      </c>
      <c r="B498" s="68">
        <v>31</v>
      </c>
      <c r="C498" s="56">
        <f>194.205</f>
        <v>194.20500000000001</v>
      </c>
      <c r="D498" s="56">
        <f>267.466</f>
        <v>267.46600000000001</v>
      </c>
      <c r="E498" s="64">
        <f>133.845</f>
        <v>133.845</v>
      </c>
      <c r="F498" s="56">
        <f>278.484-40-25-60-100</f>
        <v>53.48399999999998</v>
      </c>
      <c r="G498" s="59">
        <v>40</v>
      </c>
      <c r="H498" s="56">
        <f t="shared" si="80"/>
        <v>185</v>
      </c>
      <c r="I498" s="56">
        <f t="shared" si="79"/>
        <v>0</v>
      </c>
      <c r="J498" s="59">
        <v>100</v>
      </c>
      <c r="K498" s="59">
        <v>300</v>
      </c>
      <c r="L498" s="56">
        <f t="shared" si="73"/>
        <v>1274</v>
      </c>
      <c r="M498" s="66">
        <v>600</v>
      </c>
      <c r="N498" s="56">
        <f>30</f>
        <v>30</v>
      </c>
      <c r="O498" s="59">
        <v>240</v>
      </c>
      <c r="P498" s="59">
        <v>160</v>
      </c>
      <c r="Q498" s="59">
        <f t="shared" si="74"/>
        <v>195</v>
      </c>
      <c r="R498" s="59">
        <f t="shared" si="75"/>
        <v>100</v>
      </c>
      <c r="S498" s="56">
        <f t="shared" si="76"/>
        <v>695</v>
      </c>
      <c r="T498" s="56">
        <f>0</f>
        <v>0</v>
      </c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</row>
    <row r="499" spans="1:30" ht="15.75">
      <c r="A499" s="14">
        <v>56492</v>
      </c>
      <c r="B499" s="68">
        <v>31</v>
      </c>
      <c r="C499" s="56">
        <f>194.205</f>
        <v>194.20500000000001</v>
      </c>
      <c r="D499" s="56">
        <f>267.466</f>
        <v>267.46600000000001</v>
      </c>
      <c r="E499" s="64">
        <f>133.845</f>
        <v>133.845</v>
      </c>
      <c r="F499" s="56">
        <f>278.484-40-25-60-100</f>
        <v>53.48399999999998</v>
      </c>
      <c r="G499" s="59">
        <v>40</v>
      </c>
      <c r="H499" s="56">
        <f t="shared" si="80"/>
        <v>185</v>
      </c>
      <c r="I499" s="56">
        <f t="shared" si="79"/>
        <v>0</v>
      </c>
      <c r="J499" s="59">
        <v>100</v>
      </c>
      <c r="K499" s="59">
        <v>300</v>
      </c>
      <c r="L499" s="56">
        <f t="shared" si="73"/>
        <v>1274</v>
      </c>
      <c r="M499" s="66">
        <v>600</v>
      </c>
      <c r="N499" s="56">
        <f>30</f>
        <v>30</v>
      </c>
      <c r="O499" s="59">
        <v>240</v>
      </c>
      <c r="P499" s="59">
        <v>160</v>
      </c>
      <c r="Q499" s="59">
        <f t="shared" si="74"/>
        <v>195</v>
      </c>
      <c r="R499" s="59">
        <f t="shared" si="75"/>
        <v>100</v>
      </c>
      <c r="S499" s="56">
        <f t="shared" si="76"/>
        <v>695</v>
      </c>
      <c r="T499" s="56">
        <f>0</f>
        <v>0</v>
      </c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</row>
    <row r="500" spans="1:30" ht="15.75">
      <c r="A500" s="14">
        <v>56522</v>
      </c>
      <c r="B500" s="68">
        <v>30</v>
      </c>
      <c r="C500" s="56">
        <f>194.205</f>
        <v>194.20500000000001</v>
      </c>
      <c r="D500" s="56">
        <f>267.466</f>
        <v>267.46600000000001</v>
      </c>
      <c r="E500" s="64">
        <f>133.845</f>
        <v>133.845</v>
      </c>
      <c r="F500" s="56">
        <f>278.484-40-25-60-100</f>
        <v>53.48399999999998</v>
      </c>
      <c r="G500" s="59">
        <v>40</v>
      </c>
      <c r="H500" s="56">
        <f t="shared" si="80"/>
        <v>185</v>
      </c>
      <c r="I500" s="56">
        <f t="shared" si="79"/>
        <v>0</v>
      </c>
      <c r="J500" s="59">
        <v>100</v>
      </c>
      <c r="K500" s="59">
        <v>300</v>
      </c>
      <c r="L500" s="56">
        <f t="shared" si="73"/>
        <v>1274</v>
      </c>
      <c r="M500" s="66">
        <v>600</v>
      </c>
      <c r="N500" s="56">
        <f>30</f>
        <v>30</v>
      </c>
      <c r="O500" s="59">
        <v>240</v>
      </c>
      <c r="P500" s="59">
        <v>160</v>
      </c>
      <c r="Q500" s="59">
        <f t="shared" si="74"/>
        <v>195</v>
      </c>
      <c r="R500" s="59">
        <f t="shared" si="75"/>
        <v>100</v>
      </c>
      <c r="S500" s="56">
        <f t="shared" si="76"/>
        <v>695</v>
      </c>
      <c r="T500" s="56">
        <f>0</f>
        <v>0</v>
      </c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</row>
    <row r="501" spans="1:30" ht="15.75">
      <c r="A501" s="14">
        <v>56553</v>
      </c>
      <c r="B501" s="68">
        <v>31</v>
      </c>
      <c r="C501" s="56">
        <f>131.881</f>
        <v>131.881</v>
      </c>
      <c r="D501" s="56">
        <f>277.167</f>
        <v>277.16699999999997</v>
      </c>
      <c r="E501" s="64">
        <f>79.08</f>
        <v>79.08</v>
      </c>
      <c r="F501" s="56">
        <f>350.872-40-25-60-100</f>
        <v>125.87200000000001</v>
      </c>
      <c r="G501" s="59">
        <v>40</v>
      </c>
      <c r="H501" s="56">
        <f t="shared" si="80"/>
        <v>185</v>
      </c>
      <c r="I501" s="56">
        <f t="shared" si="79"/>
        <v>0</v>
      </c>
      <c r="J501" s="59">
        <v>100</v>
      </c>
      <c r="K501" s="59">
        <v>300</v>
      </c>
      <c r="L501" s="56">
        <f t="shared" si="73"/>
        <v>1239</v>
      </c>
      <c r="M501" s="66">
        <v>600</v>
      </c>
      <c r="N501" s="56">
        <f>75</f>
        <v>75</v>
      </c>
      <c r="O501" s="59">
        <v>240</v>
      </c>
      <c r="P501" s="59">
        <v>160</v>
      </c>
      <c r="Q501" s="59">
        <f t="shared" si="74"/>
        <v>195</v>
      </c>
      <c r="R501" s="59">
        <f t="shared" si="75"/>
        <v>100</v>
      </c>
      <c r="S501" s="56">
        <f t="shared" si="76"/>
        <v>695</v>
      </c>
      <c r="T501" s="56">
        <f>0</f>
        <v>0</v>
      </c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</row>
    <row r="502" spans="1:30" ht="15.75">
      <c r="A502" s="14">
        <v>56583</v>
      </c>
      <c r="B502" s="68">
        <v>30</v>
      </c>
      <c r="C502" s="56">
        <f>122.58</f>
        <v>122.58</v>
      </c>
      <c r="D502" s="56">
        <f>297.941</f>
        <v>297.94099999999997</v>
      </c>
      <c r="E502" s="64">
        <f>89.177</f>
        <v>89.177000000000007</v>
      </c>
      <c r="F502" s="56">
        <f>240.302-40-60-100</f>
        <v>40.301999999999992</v>
      </c>
      <c r="G502" s="59">
        <v>40</v>
      </c>
      <c r="H502" s="56">
        <f>60+100</f>
        <v>160</v>
      </c>
      <c r="I502" s="56">
        <f t="shared" si="79"/>
        <v>0</v>
      </c>
      <c r="J502" s="59">
        <v>100</v>
      </c>
      <c r="K502" s="59">
        <v>300</v>
      </c>
      <c r="L502" s="56">
        <f t="shared" si="73"/>
        <v>1150</v>
      </c>
      <c r="M502" s="66">
        <v>600</v>
      </c>
      <c r="N502" s="56">
        <f>100</f>
        <v>100</v>
      </c>
      <c r="O502" s="59">
        <v>240</v>
      </c>
      <c r="P502" s="59">
        <v>40</v>
      </c>
      <c r="Q502" s="59">
        <f t="shared" si="74"/>
        <v>315</v>
      </c>
      <c r="R502" s="59">
        <f t="shared" si="75"/>
        <v>100</v>
      </c>
      <c r="S502" s="56">
        <f t="shared" si="76"/>
        <v>695</v>
      </c>
      <c r="T502" s="56">
        <f>50</f>
        <v>50</v>
      </c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</row>
    <row r="503" spans="1:30" ht="15.75">
      <c r="A503" s="14">
        <v>56614</v>
      </c>
      <c r="B503" s="68">
        <v>31</v>
      </c>
      <c r="C503" s="56">
        <f>122.58</f>
        <v>122.58</v>
      </c>
      <c r="D503" s="56">
        <f>297.941</f>
        <v>297.94099999999997</v>
      </c>
      <c r="E503" s="64">
        <f>89.177</f>
        <v>89.177000000000007</v>
      </c>
      <c r="F503" s="56">
        <f>240.302-40-60-100</f>
        <v>40.301999999999992</v>
      </c>
      <c r="G503" s="59">
        <v>40</v>
      </c>
      <c r="H503" s="56">
        <f>60+100</f>
        <v>160</v>
      </c>
      <c r="I503" s="56">
        <f t="shared" si="79"/>
        <v>0</v>
      </c>
      <c r="J503" s="59">
        <v>100</v>
      </c>
      <c r="K503" s="59">
        <v>300</v>
      </c>
      <c r="L503" s="56">
        <f t="shared" si="73"/>
        <v>1150</v>
      </c>
      <c r="M503" s="66">
        <v>600</v>
      </c>
      <c r="N503" s="56">
        <f>100</f>
        <v>100</v>
      </c>
      <c r="O503" s="59">
        <v>240</v>
      </c>
      <c r="P503" s="59">
        <v>40</v>
      </c>
      <c r="Q503" s="59">
        <f t="shared" si="74"/>
        <v>315</v>
      </c>
      <c r="R503" s="59">
        <f t="shared" si="75"/>
        <v>100</v>
      </c>
      <c r="S503" s="56">
        <f t="shared" si="76"/>
        <v>695</v>
      </c>
      <c r="T503" s="56">
        <f>50</f>
        <v>50</v>
      </c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</row>
    <row r="504" spans="1:30" ht="15.75">
      <c r="A504" s="13">
        <v>56645</v>
      </c>
      <c r="B504" s="67">
        <v>31</v>
      </c>
      <c r="C504" s="56">
        <f>122.58</f>
        <v>122.58</v>
      </c>
      <c r="D504" s="56">
        <f>297.941</f>
        <v>297.94099999999997</v>
      </c>
      <c r="E504" s="64">
        <f>89.177</f>
        <v>89.177000000000007</v>
      </c>
      <c r="F504" s="56">
        <f>240.302-40-60-100</f>
        <v>40.301999999999992</v>
      </c>
      <c r="G504" s="59">
        <v>40</v>
      </c>
      <c r="H504" s="56">
        <f>60+100</f>
        <v>160</v>
      </c>
      <c r="I504" s="56">
        <f t="shared" si="79"/>
        <v>0</v>
      </c>
      <c r="J504" s="59">
        <v>100</v>
      </c>
      <c r="K504" s="59">
        <v>300</v>
      </c>
      <c r="L504" s="56">
        <f t="shared" si="73"/>
        <v>1150</v>
      </c>
      <c r="M504" s="66">
        <v>600</v>
      </c>
      <c r="N504" s="56">
        <f>100</f>
        <v>100</v>
      </c>
      <c r="O504" s="59">
        <v>240</v>
      </c>
      <c r="P504" s="59">
        <v>40</v>
      </c>
      <c r="Q504" s="59">
        <f t="shared" si="74"/>
        <v>315</v>
      </c>
      <c r="R504" s="59">
        <f t="shared" si="75"/>
        <v>100</v>
      </c>
      <c r="S504" s="56">
        <f t="shared" si="76"/>
        <v>695</v>
      </c>
      <c r="T504" s="56">
        <f>50</f>
        <v>50</v>
      </c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</row>
    <row r="505" spans="1:30" ht="15.75">
      <c r="A505" s="13">
        <v>56673</v>
      </c>
      <c r="B505" s="67">
        <v>28</v>
      </c>
      <c r="C505" s="56">
        <f>122.58</f>
        <v>122.58</v>
      </c>
      <c r="D505" s="56">
        <f>297.941</f>
        <v>297.94099999999997</v>
      </c>
      <c r="E505" s="64">
        <f>89.177</f>
        <v>89.177000000000007</v>
      </c>
      <c r="F505" s="56">
        <f>240.302-40-60-100</f>
        <v>40.301999999999992</v>
      </c>
      <c r="G505" s="59">
        <v>40</v>
      </c>
      <c r="H505" s="56">
        <f>60+100</f>
        <v>160</v>
      </c>
      <c r="I505" s="56">
        <f t="shared" si="79"/>
        <v>0</v>
      </c>
      <c r="J505" s="59">
        <v>100</v>
      </c>
      <c r="K505" s="59">
        <v>300</v>
      </c>
      <c r="L505" s="56">
        <f t="shared" si="73"/>
        <v>1150</v>
      </c>
      <c r="M505" s="66">
        <v>600</v>
      </c>
      <c r="N505" s="56">
        <f>100</f>
        <v>100</v>
      </c>
      <c r="O505" s="59">
        <v>240</v>
      </c>
      <c r="P505" s="59">
        <v>40</v>
      </c>
      <c r="Q505" s="59">
        <f t="shared" si="74"/>
        <v>315</v>
      </c>
      <c r="R505" s="59">
        <f t="shared" si="75"/>
        <v>100</v>
      </c>
      <c r="S505" s="56">
        <f t="shared" si="76"/>
        <v>695</v>
      </c>
      <c r="T505" s="56">
        <f>50</f>
        <v>50</v>
      </c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</row>
    <row r="506" spans="1:30" ht="15.75">
      <c r="A506" s="13">
        <v>56704</v>
      </c>
      <c r="B506" s="67">
        <v>31</v>
      </c>
      <c r="C506" s="56">
        <f>122.58</f>
        <v>122.58</v>
      </c>
      <c r="D506" s="56">
        <f>297.941</f>
        <v>297.94099999999997</v>
      </c>
      <c r="E506" s="64">
        <f>89.177</f>
        <v>89.177000000000007</v>
      </c>
      <c r="F506" s="56">
        <f>240.302-40-60-100</f>
        <v>40.301999999999992</v>
      </c>
      <c r="G506" s="59">
        <v>40</v>
      </c>
      <c r="H506" s="56">
        <f>60+100</f>
        <v>160</v>
      </c>
      <c r="I506" s="56">
        <f t="shared" si="79"/>
        <v>0</v>
      </c>
      <c r="J506" s="59">
        <v>100</v>
      </c>
      <c r="K506" s="59">
        <v>300</v>
      </c>
      <c r="L506" s="56">
        <f t="shared" si="73"/>
        <v>1150</v>
      </c>
      <c r="M506" s="66">
        <v>600</v>
      </c>
      <c r="N506" s="56">
        <f>100</f>
        <v>100</v>
      </c>
      <c r="O506" s="59">
        <v>240</v>
      </c>
      <c r="P506" s="59">
        <v>40</v>
      </c>
      <c r="Q506" s="59">
        <f t="shared" si="74"/>
        <v>315</v>
      </c>
      <c r="R506" s="59">
        <f t="shared" si="75"/>
        <v>100</v>
      </c>
      <c r="S506" s="56">
        <f t="shared" si="76"/>
        <v>695</v>
      </c>
      <c r="T506" s="56">
        <f>50</f>
        <v>50</v>
      </c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</row>
    <row r="507" spans="1:30" ht="15.75">
      <c r="A507" s="13">
        <v>56734</v>
      </c>
      <c r="B507" s="67">
        <v>30</v>
      </c>
      <c r="C507" s="56">
        <f>141.293</f>
        <v>141.29300000000001</v>
      </c>
      <c r="D507" s="56">
        <f>267.993</f>
        <v>267.99299999999999</v>
      </c>
      <c r="E507" s="64">
        <f>115.016</f>
        <v>115.01600000000001</v>
      </c>
      <c r="F507" s="56">
        <f>314.698-40-25-60-100</f>
        <v>89.697999999999979</v>
      </c>
      <c r="G507" s="59">
        <v>40</v>
      </c>
      <c r="H507" s="56">
        <f t="shared" ref="H507:H513" si="81">25+60+100</f>
        <v>185</v>
      </c>
      <c r="I507" s="56">
        <f t="shared" si="79"/>
        <v>0</v>
      </c>
      <c r="J507" s="59">
        <v>100</v>
      </c>
      <c r="K507" s="59">
        <v>300</v>
      </c>
      <c r="L507" s="56">
        <f t="shared" si="73"/>
        <v>1239</v>
      </c>
      <c r="M507" s="66">
        <v>600</v>
      </c>
      <c r="N507" s="56">
        <f>100</f>
        <v>100</v>
      </c>
      <c r="O507" s="59">
        <v>240</v>
      </c>
      <c r="P507" s="59">
        <v>160</v>
      </c>
      <c r="Q507" s="59">
        <f t="shared" si="74"/>
        <v>195</v>
      </c>
      <c r="R507" s="59">
        <f t="shared" si="75"/>
        <v>100</v>
      </c>
      <c r="S507" s="56">
        <f t="shared" si="76"/>
        <v>695</v>
      </c>
      <c r="T507" s="56">
        <f>50</f>
        <v>50</v>
      </c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</row>
    <row r="508" spans="1:30" ht="15.75">
      <c r="A508" s="13">
        <v>56765</v>
      </c>
      <c r="B508" s="67">
        <v>31</v>
      </c>
      <c r="C508" s="56">
        <f>194.205</f>
        <v>194.20500000000001</v>
      </c>
      <c r="D508" s="56">
        <f>267.466</f>
        <v>267.46600000000001</v>
      </c>
      <c r="E508" s="64">
        <f>133.845</f>
        <v>133.845</v>
      </c>
      <c r="F508" s="56">
        <f>278.484-40-25-60-100</f>
        <v>53.48399999999998</v>
      </c>
      <c r="G508" s="59">
        <v>40</v>
      </c>
      <c r="H508" s="56">
        <f t="shared" si="81"/>
        <v>185</v>
      </c>
      <c r="I508" s="56">
        <f t="shared" si="79"/>
        <v>0</v>
      </c>
      <c r="J508" s="59">
        <v>100</v>
      </c>
      <c r="K508" s="59">
        <v>300</v>
      </c>
      <c r="L508" s="56">
        <f t="shared" si="73"/>
        <v>1274</v>
      </c>
      <c r="M508" s="66">
        <v>600</v>
      </c>
      <c r="N508" s="56">
        <f>75</f>
        <v>75</v>
      </c>
      <c r="O508" s="59">
        <v>240</v>
      </c>
      <c r="P508" s="59">
        <v>160</v>
      </c>
      <c r="Q508" s="59">
        <f t="shared" si="74"/>
        <v>195</v>
      </c>
      <c r="R508" s="59">
        <f t="shared" si="75"/>
        <v>100</v>
      </c>
      <c r="S508" s="56">
        <f t="shared" si="76"/>
        <v>695</v>
      </c>
      <c r="T508" s="56">
        <f>50</f>
        <v>50</v>
      </c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</row>
    <row r="509" spans="1:30" ht="15.75">
      <c r="A509" s="13">
        <v>56795</v>
      </c>
      <c r="B509" s="67">
        <v>30</v>
      </c>
      <c r="C509" s="56">
        <f>194.205</f>
        <v>194.20500000000001</v>
      </c>
      <c r="D509" s="56">
        <f>267.466</f>
        <v>267.46600000000001</v>
      </c>
      <c r="E509" s="64">
        <f>133.845</f>
        <v>133.845</v>
      </c>
      <c r="F509" s="56">
        <f>278.484-40-25-60-100</f>
        <v>53.48399999999998</v>
      </c>
      <c r="G509" s="59">
        <v>40</v>
      </c>
      <c r="H509" s="56">
        <f t="shared" si="81"/>
        <v>185</v>
      </c>
      <c r="I509" s="56">
        <f t="shared" si="79"/>
        <v>0</v>
      </c>
      <c r="J509" s="59">
        <v>100</v>
      </c>
      <c r="K509" s="59">
        <v>300</v>
      </c>
      <c r="L509" s="56">
        <f t="shared" si="73"/>
        <v>1274</v>
      </c>
      <c r="M509" s="66">
        <v>600</v>
      </c>
      <c r="N509" s="56">
        <f>30</f>
        <v>30</v>
      </c>
      <c r="O509" s="59">
        <v>240</v>
      </c>
      <c r="P509" s="59">
        <v>160</v>
      </c>
      <c r="Q509" s="59">
        <f t="shared" si="74"/>
        <v>195</v>
      </c>
      <c r="R509" s="59">
        <f t="shared" si="75"/>
        <v>100</v>
      </c>
      <c r="S509" s="56">
        <f t="shared" si="76"/>
        <v>695</v>
      </c>
      <c r="T509" s="56">
        <f>50</f>
        <v>50</v>
      </c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</row>
    <row r="510" spans="1:30" ht="15.75">
      <c r="A510" s="13">
        <v>56826</v>
      </c>
      <c r="B510" s="67">
        <v>31</v>
      </c>
      <c r="C510" s="56">
        <f>194.205</f>
        <v>194.20500000000001</v>
      </c>
      <c r="D510" s="56">
        <f>267.466</f>
        <v>267.46600000000001</v>
      </c>
      <c r="E510" s="64">
        <f>133.845</f>
        <v>133.845</v>
      </c>
      <c r="F510" s="56">
        <f>278.484-40-25-60-100</f>
        <v>53.48399999999998</v>
      </c>
      <c r="G510" s="59">
        <v>40</v>
      </c>
      <c r="H510" s="56">
        <f t="shared" si="81"/>
        <v>185</v>
      </c>
      <c r="I510" s="56">
        <f t="shared" si="79"/>
        <v>0</v>
      </c>
      <c r="J510" s="59">
        <v>100</v>
      </c>
      <c r="K510" s="59">
        <v>300</v>
      </c>
      <c r="L510" s="56">
        <f t="shared" si="73"/>
        <v>1274</v>
      </c>
      <c r="M510" s="66">
        <v>600</v>
      </c>
      <c r="N510" s="56">
        <f>30</f>
        <v>30</v>
      </c>
      <c r="O510" s="59">
        <v>240</v>
      </c>
      <c r="P510" s="59">
        <v>160</v>
      </c>
      <c r="Q510" s="59">
        <f t="shared" si="74"/>
        <v>195</v>
      </c>
      <c r="R510" s="59">
        <f t="shared" si="75"/>
        <v>100</v>
      </c>
      <c r="S510" s="56">
        <f t="shared" si="76"/>
        <v>695</v>
      </c>
      <c r="T510" s="56">
        <f>0</f>
        <v>0</v>
      </c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</row>
    <row r="511" spans="1:30" ht="15.75">
      <c r="A511" s="13">
        <v>56857</v>
      </c>
      <c r="B511" s="67">
        <v>31</v>
      </c>
      <c r="C511" s="56">
        <f>194.205</f>
        <v>194.20500000000001</v>
      </c>
      <c r="D511" s="56">
        <f>267.466</f>
        <v>267.46600000000001</v>
      </c>
      <c r="E511" s="64">
        <f>133.845</f>
        <v>133.845</v>
      </c>
      <c r="F511" s="56">
        <f>278.484-40-25-60-100</f>
        <v>53.48399999999998</v>
      </c>
      <c r="G511" s="59">
        <v>40</v>
      </c>
      <c r="H511" s="56">
        <f t="shared" si="81"/>
        <v>185</v>
      </c>
      <c r="I511" s="56">
        <f t="shared" si="79"/>
        <v>0</v>
      </c>
      <c r="J511" s="59">
        <v>100</v>
      </c>
      <c r="K511" s="59">
        <v>300</v>
      </c>
      <c r="L511" s="56">
        <f t="shared" si="73"/>
        <v>1274</v>
      </c>
      <c r="M511" s="66">
        <v>600</v>
      </c>
      <c r="N511" s="56">
        <f>30</f>
        <v>30</v>
      </c>
      <c r="O511" s="59">
        <v>240</v>
      </c>
      <c r="P511" s="59">
        <v>160</v>
      </c>
      <c r="Q511" s="59">
        <f t="shared" si="74"/>
        <v>195</v>
      </c>
      <c r="R511" s="59">
        <f t="shared" si="75"/>
        <v>100</v>
      </c>
      <c r="S511" s="56">
        <f t="shared" si="76"/>
        <v>695</v>
      </c>
      <c r="T511" s="56">
        <f>0</f>
        <v>0</v>
      </c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</row>
    <row r="512" spans="1:30" ht="15.75">
      <c r="A512" s="13">
        <v>56887</v>
      </c>
      <c r="B512" s="67">
        <v>30</v>
      </c>
      <c r="C512" s="56">
        <f>194.205</f>
        <v>194.20500000000001</v>
      </c>
      <c r="D512" s="56">
        <f>267.466</f>
        <v>267.46600000000001</v>
      </c>
      <c r="E512" s="64">
        <f>133.845</f>
        <v>133.845</v>
      </c>
      <c r="F512" s="56">
        <f>278.484-40-25-60-100</f>
        <v>53.48399999999998</v>
      </c>
      <c r="G512" s="59">
        <v>40</v>
      </c>
      <c r="H512" s="56">
        <f t="shared" si="81"/>
        <v>185</v>
      </c>
      <c r="I512" s="56">
        <f t="shared" si="79"/>
        <v>0</v>
      </c>
      <c r="J512" s="59">
        <v>100</v>
      </c>
      <c r="K512" s="59">
        <v>300</v>
      </c>
      <c r="L512" s="56">
        <f t="shared" si="73"/>
        <v>1274</v>
      </c>
      <c r="M512" s="66">
        <v>600</v>
      </c>
      <c r="N512" s="56">
        <f>30</f>
        <v>30</v>
      </c>
      <c r="O512" s="59">
        <v>240</v>
      </c>
      <c r="P512" s="59">
        <v>160</v>
      </c>
      <c r="Q512" s="59">
        <f t="shared" si="74"/>
        <v>195</v>
      </c>
      <c r="R512" s="59">
        <f t="shared" si="75"/>
        <v>100</v>
      </c>
      <c r="S512" s="56">
        <f t="shared" si="76"/>
        <v>695</v>
      </c>
      <c r="T512" s="56">
        <f>0</f>
        <v>0</v>
      </c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</row>
    <row r="513" spans="1:30" ht="15.75">
      <c r="A513" s="13">
        <v>56918</v>
      </c>
      <c r="B513" s="67">
        <v>31</v>
      </c>
      <c r="C513" s="56">
        <f>131.881</f>
        <v>131.881</v>
      </c>
      <c r="D513" s="56">
        <f>277.167</f>
        <v>277.16699999999997</v>
      </c>
      <c r="E513" s="64">
        <f>79.08</f>
        <v>79.08</v>
      </c>
      <c r="F513" s="56">
        <f>350.872-40-25-60-100</f>
        <v>125.87200000000001</v>
      </c>
      <c r="G513" s="59">
        <v>40</v>
      </c>
      <c r="H513" s="56">
        <f t="shared" si="81"/>
        <v>185</v>
      </c>
      <c r="I513" s="56">
        <f t="shared" si="79"/>
        <v>0</v>
      </c>
      <c r="J513" s="59">
        <v>100</v>
      </c>
      <c r="K513" s="59">
        <v>300</v>
      </c>
      <c r="L513" s="56">
        <f t="shared" si="73"/>
        <v>1239</v>
      </c>
      <c r="M513" s="66">
        <v>600</v>
      </c>
      <c r="N513" s="56">
        <f>75</f>
        <v>75</v>
      </c>
      <c r="O513" s="59">
        <v>240</v>
      </c>
      <c r="P513" s="59">
        <v>160</v>
      </c>
      <c r="Q513" s="59">
        <f t="shared" si="74"/>
        <v>195</v>
      </c>
      <c r="R513" s="59">
        <f t="shared" si="75"/>
        <v>100</v>
      </c>
      <c r="S513" s="56">
        <f t="shared" si="76"/>
        <v>695</v>
      </c>
      <c r="T513" s="56">
        <f>0</f>
        <v>0</v>
      </c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</row>
    <row r="514" spans="1:30" ht="15.75">
      <c r="A514" s="13">
        <v>56948</v>
      </c>
      <c r="B514" s="67">
        <v>30</v>
      </c>
      <c r="C514" s="56">
        <f>122.58</f>
        <v>122.58</v>
      </c>
      <c r="D514" s="56">
        <f>297.941</f>
        <v>297.94099999999997</v>
      </c>
      <c r="E514" s="64">
        <f>89.177</f>
        <v>89.177000000000007</v>
      </c>
      <c r="F514" s="56">
        <f>240.302-40-60-100</f>
        <v>40.301999999999992</v>
      </c>
      <c r="G514" s="59">
        <v>40</v>
      </c>
      <c r="H514" s="56">
        <f>60+100</f>
        <v>160</v>
      </c>
      <c r="I514" s="56">
        <f t="shared" si="79"/>
        <v>0</v>
      </c>
      <c r="J514" s="59">
        <v>100</v>
      </c>
      <c r="K514" s="59">
        <v>300</v>
      </c>
      <c r="L514" s="56">
        <f t="shared" si="73"/>
        <v>1150</v>
      </c>
      <c r="M514" s="66">
        <v>600</v>
      </c>
      <c r="N514" s="56">
        <f>100</f>
        <v>100</v>
      </c>
      <c r="O514" s="59">
        <v>240</v>
      </c>
      <c r="P514" s="59">
        <v>40</v>
      </c>
      <c r="Q514" s="59">
        <f t="shared" si="74"/>
        <v>315</v>
      </c>
      <c r="R514" s="59">
        <f t="shared" si="75"/>
        <v>100</v>
      </c>
      <c r="S514" s="56">
        <f t="shared" si="76"/>
        <v>695</v>
      </c>
      <c r="T514" s="56">
        <f>50</f>
        <v>50</v>
      </c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</row>
    <row r="515" spans="1:30" ht="15.75">
      <c r="A515" s="13">
        <v>56979</v>
      </c>
      <c r="B515" s="67">
        <v>31</v>
      </c>
      <c r="C515" s="56">
        <f>122.58</f>
        <v>122.58</v>
      </c>
      <c r="D515" s="56">
        <f>297.941</f>
        <v>297.94099999999997</v>
      </c>
      <c r="E515" s="64">
        <f>89.177</f>
        <v>89.177000000000007</v>
      </c>
      <c r="F515" s="56">
        <f>240.302-40-60-100</f>
        <v>40.301999999999992</v>
      </c>
      <c r="G515" s="59">
        <v>40</v>
      </c>
      <c r="H515" s="56">
        <f>60+100</f>
        <v>160</v>
      </c>
      <c r="I515" s="56">
        <f t="shared" si="79"/>
        <v>0</v>
      </c>
      <c r="J515" s="59">
        <v>100</v>
      </c>
      <c r="K515" s="59">
        <v>300</v>
      </c>
      <c r="L515" s="56">
        <f t="shared" si="73"/>
        <v>1150</v>
      </c>
      <c r="M515" s="66">
        <v>600</v>
      </c>
      <c r="N515" s="56">
        <f>100</f>
        <v>100</v>
      </c>
      <c r="O515" s="59">
        <v>240</v>
      </c>
      <c r="P515" s="59">
        <v>40</v>
      </c>
      <c r="Q515" s="59">
        <f t="shared" si="74"/>
        <v>315</v>
      </c>
      <c r="R515" s="59">
        <f t="shared" si="75"/>
        <v>100</v>
      </c>
      <c r="S515" s="56">
        <f t="shared" si="76"/>
        <v>695</v>
      </c>
      <c r="T515" s="56">
        <f>50</f>
        <v>50</v>
      </c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</row>
    <row r="516" spans="1:30" ht="15.75">
      <c r="A516" s="13">
        <v>57010</v>
      </c>
      <c r="B516" s="67">
        <v>31</v>
      </c>
      <c r="C516" s="56">
        <f>122.58</f>
        <v>122.58</v>
      </c>
      <c r="D516" s="56">
        <f>297.941</f>
        <v>297.94099999999997</v>
      </c>
      <c r="E516" s="64">
        <f>89.177</f>
        <v>89.177000000000007</v>
      </c>
      <c r="F516" s="56">
        <f>240.302-40-60-100</f>
        <v>40.301999999999992</v>
      </c>
      <c r="G516" s="59">
        <v>40</v>
      </c>
      <c r="H516" s="56">
        <f>60+100</f>
        <v>160</v>
      </c>
      <c r="I516" s="56">
        <f t="shared" si="79"/>
        <v>0</v>
      </c>
      <c r="J516" s="59">
        <v>100</v>
      </c>
      <c r="K516" s="59">
        <v>300</v>
      </c>
      <c r="L516" s="56">
        <f t="shared" si="73"/>
        <v>1150</v>
      </c>
      <c r="M516" s="66">
        <v>600</v>
      </c>
      <c r="N516" s="56">
        <f>100</f>
        <v>100</v>
      </c>
      <c r="O516" s="59">
        <v>240</v>
      </c>
      <c r="P516" s="59">
        <v>40</v>
      </c>
      <c r="Q516" s="59">
        <f t="shared" si="74"/>
        <v>315</v>
      </c>
      <c r="R516" s="59">
        <f t="shared" si="75"/>
        <v>100</v>
      </c>
      <c r="S516" s="56">
        <f t="shared" si="76"/>
        <v>695</v>
      </c>
      <c r="T516" s="56">
        <f>50</f>
        <v>50</v>
      </c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</row>
    <row r="517" spans="1:30" ht="15.75">
      <c r="A517" s="13">
        <v>57038</v>
      </c>
      <c r="B517" s="67">
        <v>29</v>
      </c>
      <c r="C517" s="56">
        <f>122.58</f>
        <v>122.58</v>
      </c>
      <c r="D517" s="56">
        <f>297.941</f>
        <v>297.94099999999997</v>
      </c>
      <c r="E517" s="64">
        <f>89.177</f>
        <v>89.177000000000007</v>
      </c>
      <c r="F517" s="56">
        <f>240.302-40-60-100</f>
        <v>40.301999999999992</v>
      </c>
      <c r="G517" s="59">
        <v>40</v>
      </c>
      <c r="H517" s="56">
        <f>60+100</f>
        <v>160</v>
      </c>
      <c r="I517" s="56">
        <f t="shared" si="79"/>
        <v>0</v>
      </c>
      <c r="J517" s="59">
        <v>100</v>
      </c>
      <c r="K517" s="59">
        <v>300</v>
      </c>
      <c r="L517" s="56">
        <f t="shared" si="73"/>
        <v>1150</v>
      </c>
      <c r="M517" s="66">
        <v>600</v>
      </c>
      <c r="N517" s="56">
        <f>100</f>
        <v>100</v>
      </c>
      <c r="O517" s="59">
        <v>240</v>
      </c>
      <c r="P517" s="59">
        <v>40</v>
      </c>
      <c r="Q517" s="59">
        <f t="shared" si="74"/>
        <v>315</v>
      </c>
      <c r="R517" s="59">
        <f t="shared" si="75"/>
        <v>100</v>
      </c>
      <c r="S517" s="56">
        <f t="shared" si="76"/>
        <v>695</v>
      </c>
      <c r="T517" s="56">
        <f>50</f>
        <v>50</v>
      </c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</row>
    <row r="518" spans="1:30" ht="15.75">
      <c r="A518" s="13">
        <v>57070</v>
      </c>
      <c r="B518" s="67">
        <v>31</v>
      </c>
      <c r="C518" s="56">
        <f>122.58</f>
        <v>122.58</v>
      </c>
      <c r="D518" s="56">
        <f>297.941</f>
        <v>297.94099999999997</v>
      </c>
      <c r="E518" s="64">
        <f>89.177</f>
        <v>89.177000000000007</v>
      </c>
      <c r="F518" s="56">
        <f>240.302-40-60-100</f>
        <v>40.301999999999992</v>
      </c>
      <c r="G518" s="59">
        <v>40</v>
      </c>
      <c r="H518" s="56">
        <f>60+100</f>
        <v>160</v>
      </c>
      <c r="I518" s="56">
        <f t="shared" si="79"/>
        <v>0</v>
      </c>
      <c r="J518" s="59">
        <v>100</v>
      </c>
      <c r="K518" s="59">
        <v>300</v>
      </c>
      <c r="L518" s="56">
        <f t="shared" si="73"/>
        <v>1150</v>
      </c>
      <c r="M518" s="66">
        <v>600</v>
      </c>
      <c r="N518" s="56">
        <f>100</f>
        <v>100</v>
      </c>
      <c r="O518" s="59">
        <v>240</v>
      </c>
      <c r="P518" s="59">
        <v>40</v>
      </c>
      <c r="Q518" s="59">
        <f t="shared" si="74"/>
        <v>315</v>
      </c>
      <c r="R518" s="59">
        <f t="shared" si="75"/>
        <v>100</v>
      </c>
      <c r="S518" s="56">
        <f t="shared" si="76"/>
        <v>695</v>
      </c>
      <c r="T518" s="56">
        <f>50</f>
        <v>50</v>
      </c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</row>
    <row r="519" spans="1:30" ht="15.75">
      <c r="A519" s="13">
        <v>57100</v>
      </c>
      <c r="B519" s="67">
        <v>30</v>
      </c>
      <c r="C519" s="56">
        <f>141.293</f>
        <v>141.29300000000001</v>
      </c>
      <c r="D519" s="56">
        <f>267.993</f>
        <v>267.99299999999999</v>
      </c>
      <c r="E519" s="64">
        <f>115.016</f>
        <v>115.01600000000001</v>
      </c>
      <c r="F519" s="56">
        <f>314.698-40-25-60-100</f>
        <v>89.697999999999979</v>
      </c>
      <c r="G519" s="59">
        <v>40</v>
      </c>
      <c r="H519" s="56">
        <f t="shared" ref="H519:H525" si="82">25+60+100</f>
        <v>185</v>
      </c>
      <c r="I519" s="56">
        <f t="shared" si="79"/>
        <v>0</v>
      </c>
      <c r="J519" s="59">
        <v>100</v>
      </c>
      <c r="K519" s="59">
        <v>300</v>
      </c>
      <c r="L519" s="56">
        <f t="shared" si="73"/>
        <v>1239</v>
      </c>
      <c r="M519" s="66">
        <v>600</v>
      </c>
      <c r="N519" s="56">
        <f>100</f>
        <v>100</v>
      </c>
      <c r="O519" s="59">
        <v>240</v>
      </c>
      <c r="P519" s="59">
        <v>160</v>
      </c>
      <c r="Q519" s="59">
        <f t="shared" si="74"/>
        <v>195</v>
      </c>
      <c r="R519" s="59">
        <f t="shared" si="75"/>
        <v>100</v>
      </c>
      <c r="S519" s="56">
        <f t="shared" si="76"/>
        <v>695</v>
      </c>
      <c r="T519" s="56">
        <f>50</f>
        <v>50</v>
      </c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</row>
    <row r="520" spans="1:30" ht="15.75">
      <c r="A520" s="13">
        <v>57131</v>
      </c>
      <c r="B520" s="67">
        <v>31</v>
      </c>
      <c r="C520" s="56">
        <f>194.205</f>
        <v>194.20500000000001</v>
      </c>
      <c r="D520" s="56">
        <f>267.466</f>
        <v>267.46600000000001</v>
      </c>
      <c r="E520" s="64">
        <f>133.845</f>
        <v>133.845</v>
      </c>
      <c r="F520" s="56">
        <f>278.484-40-25-60-100</f>
        <v>53.48399999999998</v>
      </c>
      <c r="G520" s="59">
        <v>40</v>
      </c>
      <c r="H520" s="56">
        <f t="shared" si="82"/>
        <v>185</v>
      </c>
      <c r="I520" s="56">
        <f t="shared" si="79"/>
        <v>0</v>
      </c>
      <c r="J520" s="59">
        <v>100</v>
      </c>
      <c r="K520" s="59">
        <v>300</v>
      </c>
      <c r="L520" s="56">
        <f t="shared" si="73"/>
        <v>1274</v>
      </c>
      <c r="M520" s="66">
        <v>600</v>
      </c>
      <c r="N520" s="56">
        <f>75</f>
        <v>75</v>
      </c>
      <c r="O520" s="59">
        <v>240</v>
      </c>
      <c r="P520" s="59">
        <v>160</v>
      </c>
      <c r="Q520" s="59">
        <f t="shared" si="74"/>
        <v>195</v>
      </c>
      <c r="R520" s="59">
        <f t="shared" si="75"/>
        <v>100</v>
      </c>
      <c r="S520" s="56">
        <f t="shared" si="76"/>
        <v>695</v>
      </c>
      <c r="T520" s="56">
        <f>50</f>
        <v>50</v>
      </c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</row>
    <row r="521" spans="1:30" ht="15.75">
      <c r="A521" s="13">
        <v>57161</v>
      </c>
      <c r="B521" s="67">
        <v>30</v>
      </c>
      <c r="C521" s="56">
        <f>194.205</f>
        <v>194.20500000000001</v>
      </c>
      <c r="D521" s="56">
        <f>267.466</f>
        <v>267.46600000000001</v>
      </c>
      <c r="E521" s="64">
        <f>133.845</f>
        <v>133.845</v>
      </c>
      <c r="F521" s="56">
        <f>278.484-40-25-60-100</f>
        <v>53.48399999999998</v>
      </c>
      <c r="G521" s="59">
        <v>40</v>
      </c>
      <c r="H521" s="56">
        <f t="shared" si="82"/>
        <v>185</v>
      </c>
      <c r="I521" s="56">
        <f t="shared" si="79"/>
        <v>0</v>
      </c>
      <c r="J521" s="59">
        <v>100</v>
      </c>
      <c r="K521" s="59">
        <v>300</v>
      </c>
      <c r="L521" s="56">
        <f t="shared" si="73"/>
        <v>1274</v>
      </c>
      <c r="M521" s="66">
        <v>600</v>
      </c>
      <c r="N521" s="56">
        <f>30</f>
        <v>30</v>
      </c>
      <c r="O521" s="59">
        <v>240</v>
      </c>
      <c r="P521" s="59">
        <v>160</v>
      </c>
      <c r="Q521" s="59">
        <f t="shared" si="74"/>
        <v>195</v>
      </c>
      <c r="R521" s="59">
        <f t="shared" si="75"/>
        <v>100</v>
      </c>
      <c r="S521" s="56">
        <f t="shared" si="76"/>
        <v>695</v>
      </c>
      <c r="T521" s="56">
        <f>50</f>
        <v>50</v>
      </c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</row>
    <row r="522" spans="1:30" ht="15.75">
      <c r="A522" s="13">
        <v>57192</v>
      </c>
      <c r="B522" s="67">
        <v>31</v>
      </c>
      <c r="C522" s="56">
        <f>194.205</f>
        <v>194.20500000000001</v>
      </c>
      <c r="D522" s="56">
        <f>267.466</f>
        <v>267.46600000000001</v>
      </c>
      <c r="E522" s="64">
        <f>133.845</f>
        <v>133.845</v>
      </c>
      <c r="F522" s="56">
        <f>278.484-40-25-60-100</f>
        <v>53.48399999999998</v>
      </c>
      <c r="G522" s="59">
        <v>40</v>
      </c>
      <c r="H522" s="56">
        <f t="shared" si="82"/>
        <v>185</v>
      </c>
      <c r="I522" s="56">
        <f t="shared" si="79"/>
        <v>0</v>
      </c>
      <c r="J522" s="59">
        <v>100</v>
      </c>
      <c r="K522" s="59">
        <v>300</v>
      </c>
      <c r="L522" s="56">
        <f t="shared" si="73"/>
        <v>1274</v>
      </c>
      <c r="M522" s="66">
        <v>600</v>
      </c>
      <c r="N522" s="56">
        <f>30</f>
        <v>30</v>
      </c>
      <c r="O522" s="59">
        <v>240</v>
      </c>
      <c r="P522" s="59">
        <v>160</v>
      </c>
      <c r="Q522" s="59">
        <f t="shared" si="74"/>
        <v>195</v>
      </c>
      <c r="R522" s="59">
        <f t="shared" si="75"/>
        <v>100</v>
      </c>
      <c r="S522" s="56">
        <f t="shared" si="76"/>
        <v>695</v>
      </c>
      <c r="T522" s="56">
        <f>0</f>
        <v>0</v>
      </c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</row>
    <row r="523" spans="1:30" ht="15.75">
      <c r="A523" s="13">
        <v>57223</v>
      </c>
      <c r="B523" s="67">
        <v>31</v>
      </c>
      <c r="C523" s="56">
        <f>194.205</f>
        <v>194.20500000000001</v>
      </c>
      <c r="D523" s="56">
        <f>267.466</f>
        <v>267.46600000000001</v>
      </c>
      <c r="E523" s="64">
        <f>133.845</f>
        <v>133.845</v>
      </c>
      <c r="F523" s="56">
        <f>278.484-40-25-60-100</f>
        <v>53.48399999999998</v>
      </c>
      <c r="G523" s="59">
        <v>40</v>
      </c>
      <c r="H523" s="56">
        <f t="shared" si="82"/>
        <v>185</v>
      </c>
      <c r="I523" s="56">
        <f t="shared" si="79"/>
        <v>0</v>
      </c>
      <c r="J523" s="59">
        <v>100</v>
      </c>
      <c r="K523" s="59">
        <v>300</v>
      </c>
      <c r="L523" s="56">
        <f t="shared" si="73"/>
        <v>1274</v>
      </c>
      <c r="M523" s="66">
        <v>600</v>
      </c>
      <c r="N523" s="56">
        <f>30</f>
        <v>30</v>
      </c>
      <c r="O523" s="59">
        <v>240</v>
      </c>
      <c r="P523" s="59">
        <v>160</v>
      </c>
      <c r="Q523" s="59">
        <f t="shared" si="74"/>
        <v>195</v>
      </c>
      <c r="R523" s="59">
        <f t="shared" si="75"/>
        <v>100</v>
      </c>
      <c r="S523" s="56">
        <f t="shared" si="76"/>
        <v>695</v>
      </c>
      <c r="T523" s="56">
        <f>0</f>
        <v>0</v>
      </c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</row>
    <row r="524" spans="1:30" ht="15.75">
      <c r="A524" s="13">
        <v>57253</v>
      </c>
      <c r="B524" s="67">
        <v>30</v>
      </c>
      <c r="C524" s="56">
        <f>194.205</f>
        <v>194.20500000000001</v>
      </c>
      <c r="D524" s="56">
        <f>267.466</f>
        <v>267.46600000000001</v>
      </c>
      <c r="E524" s="64">
        <f>133.845</f>
        <v>133.845</v>
      </c>
      <c r="F524" s="56">
        <f>278.484-40-25-60-100</f>
        <v>53.48399999999998</v>
      </c>
      <c r="G524" s="59">
        <v>40</v>
      </c>
      <c r="H524" s="56">
        <f t="shared" si="82"/>
        <v>185</v>
      </c>
      <c r="I524" s="56">
        <f t="shared" si="79"/>
        <v>0</v>
      </c>
      <c r="J524" s="59">
        <v>100</v>
      </c>
      <c r="K524" s="59">
        <v>300</v>
      </c>
      <c r="L524" s="56">
        <f t="shared" si="73"/>
        <v>1274</v>
      </c>
      <c r="M524" s="66">
        <v>600</v>
      </c>
      <c r="N524" s="56">
        <f>30</f>
        <v>30</v>
      </c>
      <c r="O524" s="59">
        <v>240</v>
      </c>
      <c r="P524" s="59">
        <v>160</v>
      </c>
      <c r="Q524" s="59">
        <f t="shared" si="74"/>
        <v>195</v>
      </c>
      <c r="R524" s="59">
        <f t="shared" si="75"/>
        <v>100</v>
      </c>
      <c r="S524" s="56">
        <f t="shared" si="76"/>
        <v>695</v>
      </c>
      <c r="T524" s="56">
        <f>0</f>
        <v>0</v>
      </c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</row>
    <row r="525" spans="1:30" ht="15.75">
      <c r="A525" s="13">
        <v>57284</v>
      </c>
      <c r="B525" s="67">
        <v>31</v>
      </c>
      <c r="C525" s="56">
        <f>131.881</f>
        <v>131.881</v>
      </c>
      <c r="D525" s="56">
        <f>277.167</f>
        <v>277.16699999999997</v>
      </c>
      <c r="E525" s="64">
        <f>79.08</f>
        <v>79.08</v>
      </c>
      <c r="F525" s="56">
        <f>350.872-40-25-60-100</f>
        <v>125.87200000000001</v>
      </c>
      <c r="G525" s="59">
        <v>40</v>
      </c>
      <c r="H525" s="56">
        <f t="shared" si="82"/>
        <v>185</v>
      </c>
      <c r="I525" s="56">
        <f t="shared" si="79"/>
        <v>0</v>
      </c>
      <c r="J525" s="59">
        <v>100</v>
      </c>
      <c r="K525" s="59">
        <v>300</v>
      </c>
      <c r="L525" s="56">
        <f t="shared" si="73"/>
        <v>1239</v>
      </c>
      <c r="M525" s="66">
        <v>600</v>
      </c>
      <c r="N525" s="56">
        <f>75</f>
        <v>75</v>
      </c>
      <c r="O525" s="59">
        <v>240</v>
      </c>
      <c r="P525" s="59">
        <v>160</v>
      </c>
      <c r="Q525" s="59">
        <f t="shared" si="74"/>
        <v>195</v>
      </c>
      <c r="R525" s="59">
        <f t="shared" si="75"/>
        <v>100</v>
      </c>
      <c r="S525" s="56">
        <f t="shared" si="76"/>
        <v>695</v>
      </c>
      <c r="T525" s="56">
        <f>0</f>
        <v>0</v>
      </c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</row>
    <row r="526" spans="1:30" ht="15.75">
      <c r="A526" s="13">
        <v>57314</v>
      </c>
      <c r="B526" s="67">
        <v>30</v>
      </c>
      <c r="C526" s="56">
        <f>122.58</f>
        <v>122.58</v>
      </c>
      <c r="D526" s="56">
        <f>297.941</f>
        <v>297.94099999999997</v>
      </c>
      <c r="E526" s="64">
        <f>89.177</f>
        <v>89.177000000000007</v>
      </c>
      <c r="F526" s="56">
        <f>240.302-40-60-100</f>
        <v>40.301999999999992</v>
      </c>
      <c r="G526" s="59">
        <v>40</v>
      </c>
      <c r="H526" s="56">
        <f>60+100</f>
        <v>160</v>
      </c>
      <c r="I526" s="56">
        <f t="shared" si="79"/>
        <v>0</v>
      </c>
      <c r="J526" s="59">
        <v>100</v>
      </c>
      <c r="K526" s="59">
        <v>300</v>
      </c>
      <c r="L526" s="56">
        <f t="shared" si="73"/>
        <v>1150</v>
      </c>
      <c r="M526" s="66">
        <v>600</v>
      </c>
      <c r="N526" s="56">
        <f>100</f>
        <v>100</v>
      </c>
      <c r="O526" s="59">
        <v>240</v>
      </c>
      <c r="P526" s="59">
        <v>40</v>
      </c>
      <c r="Q526" s="59">
        <f t="shared" si="74"/>
        <v>315</v>
      </c>
      <c r="R526" s="59">
        <f t="shared" si="75"/>
        <v>100</v>
      </c>
      <c r="S526" s="56">
        <f t="shared" si="76"/>
        <v>695</v>
      </c>
      <c r="T526" s="56">
        <f>50</f>
        <v>50</v>
      </c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</row>
    <row r="527" spans="1:30" ht="15.75">
      <c r="A527" s="13">
        <v>57345</v>
      </c>
      <c r="B527" s="67">
        <v>31</v>
      </c>
      <c r="C527" s="56">
        <f>122.58</f>
        <v>122.58</v>
      </c>
      <c r="D527" s="56">
        <f>297.941</f>
        <v>297.94099999999997</v>
      </c>
      <c r="E527" s="64">
        <f>89.177</f>
        <v>89.177000000000007</v>
      </c>
      <c r="F527" s="56">
        <f>240.302-40-60-100</f>
        <v>40.301999999999992</v>
      </c>
      <c r="G527" s="59">
        <v>40</v>
      </c>
      <c r="H527" s="56">
        <f>60+100</f>
        <v>160</v>
      </c>
      <c r="I527" s="56">
        <f t="shared" si="79"/>
        <v>0</v>
      </c>
      <c r="J527" s="59">
        <v>100</v>
      </c>
      <c r="K527" s="59">
        <v>300</v>
      </c>
      <c r="L527" s="56">
        <f t="shared" si="73"/>
        <v>1150</v>
      </c>
      <c r="M527" s="66">
        <v>600</v>
      </c>
      <c r="N527" s="56">
        <f>100</f>
        <v>100</v>
      </c>
      <c r="O527" s="59">
        <v>240</v>
      </c>
      <c r="P527" s="59">
        <v>40</v>
      </c>
      <c r="Q527" s="59">
        <f t="shared" si="74"/>
        <v>315</v>
      </c>
      <c r="R527" s="59">
        <f t="shared" si="75"/>
        <v>100</v>
      </c>
      <c r="S527" s="56">
        <f t="shared" si="76"/>
        <v>695</v>
      </c>
      <c r="T527" s="56">
        <f>50</f>
        <v>50</v>
      </c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</row>
    <row r="528" spans="1:30" ht="15.75">
      <c r="A528" s="13">
        <v>57376</v>
      </c>
      <c r="B528" s="67">
        <v>31</v>
      </c>
      <c r="C528" s="56">
        <f>122.58</f>
        <v>122.58</v>
      </c>
      <c r="D528" s="56">
        <f>297.941</f>
        <v>297.94099999999997</v>
      </c>
      <c r="E528" s="64">
        <f>89.177</f>
        <v>89.177000000000007</v>
      </c>
      <c r="F528" s="56">
        <f>240.302-40-60-100</f>
        <v>40.301999999999992</v>
      </c>
      <c r="G528" s="59">
        <v>40</v>
      </c>
      <c r="H528" s="56">
        <f>60+100</f>
        <v>160</v>
      </c>
      <c r="I528" s="56">
        <f t="shared" si="79"/>
        <v>0</v>
      </c>
      <c r="J528" s="59">
        <v>100</v>
      </c>
      <c r="K528" s="59">
        <v>300</v>
      </c>
      <c r="L528" s="56">
        <f t="shared" si="73"/>
        <v>1150</v>
      </c>
      <c r="M528" s="66">
        <v>600</v>
      </c>
      <c r="N528" s="56">
        <f>100</f>
        <v>100</v>
      </c>
      <c r="O528" s="59">
        <v>240</v>
      </c>
      <c r="P528" s="59">
        <v>40</v>
      </c>
      <c r="Q528" s="59">
        <f t="shared" si="74"/>
        <v>315</v>
      </c>
      <c r="R528" s="59">
        <f t="shared" si="75"/>
        <v>100</v>
      </c>
      <c r="S528" s="56">
        <f t="shared" si="76"/>
        <v>695</v>
      </c>
      <c r="T528" s="56">
        <f>50</f>
        <v>50</v>
      </c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</row>
    <row r="529" spans="1:30" ht="15.75">
      <c r="A529" s="13">
        <v>57404</v>
      </c>
      <c r="B529" s="67">
        <v>28</v>
      </c>
      <c r="C529" s="56">
        <f>122.58</f>
        <v>122.58</v>
      </c>
      <c r="D529" s="56">
        <f>297.941</f>
        <v>297.94099999999997</v>
      </c>
      <c r="E529" s="64">
        <f>89.177</f>
        <v>89.177000000000007</v>
      </c>
      <c r="F529" s="56">
        <f>240.302-40-60-100</f>
        <v>40.301999999999992</v>
      </c>
      <c r="G529" s="59">
        <v>40</v>
      </c>
      <c r="H529" s="56">
        <f>60+100</f>
        <v>160</v>
      </c>
      <c r="I529" s="56">
        <f t="shared" si="79"/>
        <v>0</v>
      </c>
      <c r="J529" s="59">
        <v>100</v>
      </c>
      <c r="K529" s="59">
        <v>300</v>
      </c>
      <c r="L529" s="56">
        <f t="shared" ref="L529:L592" si="83">SUM(C529:K529)</f>
        <v>1150</v>
      </c>
      <c r="M529" s="66">
        <v>600</v>
      </c>
      <c r="N529" s="56">
        <f>100</f>
        <v>100</v>
      </c>
      <c r="O529" s="59">
        <v>240</v>
      </c>
      <c r="P529" s="59">
        <v>40</v>
      </c>
      <c r="Q529" s="59">
        <f t="shared" ref="Q529:Q592" si="84">695-R529-O529-P529</f>
        <v>315</v>
      </c>
      <c r="R529" s="59">
        <f t="shared" ref="R529:R592" si="85">200-J529</f>
        <v>100</v>
      </c>
      <c r="S529" s="56">
        <f t="shared" ref="S529:S592" si="86">SUM(O529:R529)</f>
        <v>695</v>
      </c>
      <c r="T529" s="56">
        <f>50</f>
        <v>50</v>
      </c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</row>
    <row r="530" spans="1:30" ht="15.75">
      <c r="A530" s="13">
        <v>57435</v>
      </c>
      <c r="B530" s="67">
        <v>31</v>
      </c>
      <c r="C530" s="56">
        <f>122.58</f>
        <v>122.58</v>
      </c>
      <c r="D530" s="56">
        <f>297.941</f>
        <v>297.94099999999997</v>
      </c>
      <c r="E530" s="64">
        <f>89.177</f>
        <v>89.177000000000007</v>
      </c>
      <c r="F530" s="56">
        <f>240.302-40-60-100</f>
        <v>40.301999999999992</v>
      </c>
      <c r="G530" s="59">
        <v>40</v>
      </c>
      <c r="H530" s="56">
        <f>60+100</f>
        <v>160</v>
      </c>
      <c r="I530" s="56">
        <f t="shared" si="79"/>
        <v>0</v>
      </c>
      <c r="J530" s="59">
        <v>100</v>
      </c>
      <c r="K530" s="59">
        <v>300</v>
      </c>
      <c r="L530" s="56">
        <f t="shared" si="83"/>
        <v>1150</v>
      </c>
      <c r="M530" s="66">
        <v>600</v>
      </c>
      <c r="N530" s="56">
        <f>100</f>
        <v>100</v>
      </c>
      <c r="O530" s="59">
        <v>240</v>
      </c>
      <c r="P530" s="59">
        <v>40</v>
      </c>
      <c r="Q530" s="59">
        <f t="shared" si="84"/>
        <v>315</v>
      </c>
      <c r="R530" s="59">
        <f t="shared" si="85"/>
        <v>100</v>
      </c>
      <c r="S530" s="56">
        <f t="shared" si="86"/>
        <v>695</v>
      </c>
      <c r="T530" s="56">
        <f>50</f>
        <v>50</v>
      </c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</row>
    <row r="531" spans="1:30" ht="15.75">
      <c r="A531" s="13">
        <v>57465</v>
      </c>
      <c r="B531" s="67">
        <v>30</v>
      </c>
      <c r="C531" s="56">
        <f>141.293</f>
        <v>141.29300000000001</v>
      </c>
      <c r="D531" s="56">
        <f>267.993</f>
        <v>267.99299999999999</v>
      </c>
      <c r="E531" s="64">
        <f>115.016</f>
        <v>115.01600000000001</v>
      </c>
      <c r="F531" s="56">
        <f>314.698-40-25-60-100</f>
        <v>89.697999999999979</v>
      </c>
      <c r="G531" s="59">
        <v>40</v>
      </c>
      <c r="H531" s="56">
        <f t="shared" ref="H531:H537" si="87">25+60+100</f>
        <v>185</v>
      </c>
      <c r="I531" s="56">
        <f t="shared" si="79"/>
        <v>0</v>
      </c>
      <c r="J531" s="59">
        <v>100</v>
      </c>
      <c r="K531" s="59">
        <v>300</v>
      </c>
      <c r="L531" s="56">
        <f t="shared" si="83"/>
        <v>1239</v>
      </c>
      <c r="M531" s="66">
        <v>600</v>
      </c>
      <c r="N531" s="56">
        <f>100</f>
        <v>100</v>
      </c>
      <c r="O531" s="59">
        <v>240</v>
      </c>
      <c r="P531" s="59">
        <v>160</v>
      </c>
      <c r="Q531" s="59">
        <f t="shared" si="84"/>
        <v>195</v>
      </c>
      <c r="R531" s="59">
        <f t="shared" si="85"/>
        <v>100</v>
      </c>
      <c r="S531" s="56">
        <f t="shared" si="86"/>
        <v>695</v>
      </c>
      <c r="T531" s="56">
        <f>50</f>
        <v>50</v>
      </c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</row>
    <row r="532" spans="1:30" ht="15.75">
      <c r="A532" s="13">
        <v>57496</v>
      </c>
      <c r="B532" s="67">
        <v>31</v>
      </c>
      <c r="C532" s="56">
        <f>194.205</f>
        <v>194.20500000000001</v>
      </c>
      <c r="D532" s="56">
        <f>267.466</f>
        <v>267.46600000000001</v>
      </c>
      <c r="E532" s="64">
        <f>133.845</f>
        <v>133.845</v>
      </c>
      <c r="F532" s="56">
        <f>278.484-40-25-60-100</f>
        <v>53.48399999999998</v>
      </c>
      <c r="G532" s="59">
        <v>40</v>
      </c>
      <c r="H532" s="56">
        <f t="shared" si="87"/>
        <v>185</v>
      </c>
      <c r="I532" s="56">
        <f t="shared" si="79"/>
        <v>0</v>
      </c>
      <c r="J532" s="59">
        <v>100</v>
      </c>
      <c r="K532" s="59">
        <v>300</v>
      </c>
      <c r="L532" s="56">
        <f t="shared" si="83"/>
        <v>1274</v>
      </c>
      <c r="M532" s="66">
        <v>600</v>
      </c>
      <c r="N532" s="56">
        <f>75</f>
        <v>75</v>
      </c>
      <c r="O532" s="59">
        <v>240</v>
      </c>
      <c r="P532" s="59">
        <v>160</v>
      </c>
      <c r="Q532" s="59">
        <f t="shared" si="84"/>
        <v>195</v>
      </c>
      <c r="R532" s="59">
        <f t="shared" si="85"/>
        <v>100</v>
      </c>
      <c r="S532" s="56">
        <f t="shared" si="86"/>
        <v>695</v>
      </c>
      <c r="T532" s="56">
        <f>50</f>
        <v>50</v>
      </c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</row>
    <row r="533" spans="1:30" ht="15.75">
      <c r="A533" s="13">
        <v>57526</v>
      </c>
      <c r="B533" s="67">
        <v>30</v>
      </c>
      <c r="C533" s="56">
        <f>194.205</f>
        <v>194.20500000000001</v>
      </c>
      <c r="D533" s="56">
        <f>267.466</f>
        <v>267.46600000000001</v>
      </c>
      <c r="E533" s="64">
        <f>133.845</f>
        <v>133.845</v>
      </c>
      <c r="F533" s="56">
        <f>278.484-40-25-60-100</f>
        <v>53.48399999999998</v>
      </c>
      <c r="G533" s="59">
        <v>40</v>
      </c>
      <c r="H533" s="56">
        <f t="shared" si="87"/>
        <v>185</v>
      </c>
      <c r="I533" s="56">
        <f t="shared" si="79"/>
        <v>0</v>
      </c>
      <c r="J533" s="59">
        <v>100</v>
      </c>
      <c r="K533" s="59">
        <v>300</v>
      </c>
      <c r="L533" s="56">
        <f t="shared" si="83"/>
        <v>1274</v>
      </c>
      <c r="M533" s="66">
        <v>600</v>
      </c>
      <c r="N533" s="56">
        <f>30</f>
        <v>30</v>
      </c>
      <c r="O533" s="59">
        <v>240</v>
      </c>
      <c r="P533" s="59">
        <v>160</v>
      </c>
      <c r="Q533" s="59">
        <f t="shared" si="84"/>
        <v>195</v>
      </c>
      <c r="R533" s="59">
        <f t="shared" si="85"/>
        <v>100</v>
      </c>
      <c r="S533" s="56">
        <f t="shared" si="86"/>
        <v>695</v>
      </c>
      <c r="T533" s="56">
        <f>50</f>
        <v>50</v>
      </c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</row>
    <row r="534" spans="1:30" ht="15.75">
      <c r="A534" s="13">
        <v>57557</v>
      </c>
      <c r="B534" s="67">
        <v>31</v>
      </c>
      <c r="C534" s="56">
        <f>194.205</f>
        <v>194.20500000000001</v>
      </c>
      <c r="D534" s="56">
        <f>267.466</f>
        <v>267.46600000000001</v>
      </c>
      <c r="E534" s="64">
        <f>133.845</f>
        <v>133.845</v>
      </c>
      <c r="F534" s="56">
        <f>278.484-40-25-60-100</f>
        <v>53.48399999999998</v>
      </c>
      <c r="G534" s="59">
        <v>40</v>
      </c>
      <c r="H534" s="56">
        <f t="shared" si="87"/>
        <v>185</v>
      </c>
      <c r="I534" s="56">
        <f t="shared" si="79"/>
        <v>0</v>
      </c>
      <c r="J534" s="59">
        <v>100</v>
      </c>
      <c r="K534" s="59">
        <v>300</v>
      </c>
      <c r="L534" s="56">
        <f t="shared" si="83"/>
        <v>1274</v>
      </c>
      <c r="M534" s="66">
        <v>600</v>
      </c>
      <c r="N534" s="56">
        <f>30</f>
        <v>30</v>
      </c>
      <c r="O534" s="59">
        <v>240</v>
      </c>
      <c r="P534" s="59">
        <v>160</v>
      </c>
      <c r="Q534" s="59">
        <f t="shared" si="84"/>
        <v>195</v>
      </c>
      <c r="R534" s="59">
        <f t="shared" si="85"/>
        <v>100</v>
      </c>
      <c r="S534" s="56">
        <f t="shared" si="86"/>
        <v>695</v>
      </c>
      <c r="T534" s="56">
        <f>0</f>
        <v>0</v>
      </c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</row>
    <row r="535" spans="1:30" ht="15.75">
      <c r="A535" s="13">
        <v>57588</v>
      </c>
      <c r="B535" s="67">
        <v>31</v>
      </c>
      <c r="C535" s="56">
        <f>194.205</f>
        <v>194.20500000000001</v>
      </c>
      <c r="D535" s="56">
        <f>267.466</f>
        <v>267.46600000000001</v>
      </c>
      <c r="E535" s="64">
        <f>133.845</f>
        <v>133.845</v>
      </c>
      <c r="F535" s="56">
        <f>278.484-40-25-60-100</f>
        <v>53.48399999999998</v>
      </c>
      <c r="G535" s="59">
        <v>40</v>
      </c>
      <c r="H535" s="56">
        <f t="shared" si="87"/>
        <v>185</v>
      </c>
      <c r="I535" s="56">
        <f t="shared" si="79"/>
        <v>0</v>
      </c>
      <c r="J535" s="59">
        <v>100</v>
      </c>
      <c r="K535" s="59">
        <v>300</v>
      </c>
      <c r="L535" s="56">
        <f t="shared" si="83"/>
        <v>1274</v>
      </c>
      <c r="M535" s="66">
        <v>600</v>
      </c>
      <c r="N535" s="56">
        <f>30</f>
        <v>30</v>
      </c>
      <c r="O535" s="59">
        <v>240</v>
      </c>
      <c r="P535" s="59">
        <v>160</v>
      </c>
      <c r="Q535" s="59">
        <f t="shared" si="84"/>
        <v>195</v>
      </c>
      <c r="R535" s="59">
        <f t="shared" si="85"/>
        <v>100</v>
      </c>
      <c r="S535" s="56">
        <f t="shared" si="86"/>
        <v>695</v>
      </c>
      <c r="T535" s="56">
        <f>0</f>
        <v>0</v>
      </c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</row>
    <row r="536" spans="1:30" ht="15.75">
      <c r="A536" s="13">
        <v>57618</v>
      </c>
      <c r="B536" s="67">
        <v>30</v>
      </c>
      <c r="C536" s="56">
        <f>194.205</f>
        <v>194.20500000000001</v>
      </c>
      <c r="D536" s="56">
        <f>267.466</f>
        <v>267.46600000000001</v>
      </c>
      <c r="E536" s="64">
        <f>133.845</f>
        <v>133.845</v>
      </c>
      <c r="F536" s="56">
        <f>278.484-40-25-60-100</f>
        <v>53.48399999999998</v>
      </c>
      <c r="G536" s="59">
        <v>40</v>
      </c>
      <c r="H536" s="56">
        <f t="shared" si="87"/>
        <v>185</v>
      </c>
      <c r="I536" s="56">
        <f t="shared" si="79"/>
        <v>0</v>
      </c>
      <c r="J536" s="59">
        <v>100</v>
      </c>
      <c r="K536" s="59">
        <v>300</v>
      </c>
      <c r="L536" s="56">
        <f t="shared" si="83"/>
        <v>1274</v>
      </c>
      <c r="M536" s="66">
        <v>600</v>
      </c>
      <c r="N536" s="56">
        <f>30</f>
        <v>30</v>
      </c>
      <c r="O536" s="59">
        <v>240</v>
      </c>
      <c r="P536" s="59">
        <v>160</v>
      </c>
      <c r="Q536" s="59">
        <f t="shared" si="84"/>
        <v>195</v>
      </c>
      <c r="R536" s="59">
        <f t="shared" si="85"/>
        <v>100</v>
      </c>
      <c r="S536" s="56">
        <f t="shared" si="86"/>
        <v>695</v>
      </c>
      <c r="T536" s="56">
        <f>0</f>
        <v>0</v>
      </c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</row>
    <row r="537" spans="1:30" ht="15.75">
      <c r="A537" s="13">
        <v>57649</v>
      </c>
      <c r="B537" s="67">
        <v>31</v>
      </c>
      <c r="C537" s="56">
        <f>131.881</f>
        <v>131.881</v>
      </c>
      <c r="D537" s="56">
        <f>277.167</f>
        <v>277.16699999999997</v>
      </c>
      <c r="E537" s="64">
        <f>79.08</f>
        <v>79.08</v>
      </c>
      <c r="F537" s="56">
        <f>350.872-40-25-60-100</f>
        <v>125.87200000000001</v>
      </c>
      <c r="G537" s="59">
        <v>40</v>
      </c>
      <c r="H537" s="56">
        <f t="shared" si="87"/>
        <v>185</v>
      </c>
      <c r="I537" s="56">
        <f t="shared" si="79"/>
        <v>0</v>
      </c>
      <c r="J537" s="59">
        <v>100</v>
      </c>
      <c r="K537" s="59">
        <v>300</v>
      </c>
      <c r="L537" s="56">
        <f t="shared" si="83"/>
        <v>1239</v>
      </c>
      <c r="M537" s="66">
        <v>600</v>
      </c>
      <c r="N537" s="56">
        <f>75</f>
        <v>75</v>
      </c>
      <c r="O537" s="59">
        <v>240</v>
      </c>
      <c r="P537" s="59">
        <v>160</v>
      </c>
      <c r="Q537" s="59">
        <f t="shared" si="84"/>
        <v>195</v>
      </c>
      <c r="R537" s="59">
        <f t="shared" si="85"/>
        <v>100</v>
      </c>
      <c r="S537" s="56">
        <f t="shared" si="86"/>
        <v>695</v>
      </c>
      <c r="T537" s="56">
        <f>0</f>
        <v>0</v>
      </c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</row>
    <row r="538" spans="1:30" ht="15.75">
      <c r="A538" s="13">
        <v>57679</v>
      </c>
      <c r="B538" s="67">
        <v>30</v>
      </c>
      <c r="C538" s="56">
        <f>122.58</f>
        <v>122.58</v>
      </c>
      <c r="D538" s="56">
        <f>297.941</f>
        <v>297.94099999999997</v>
      </c>
      <c r="E538" s="64">
        <f>89.177</f>
        <v>89.177000000000007</v>
      </c>
      <c r="F538" s="56">
        <f>240.302-40-60-100</f>
        <v>40.301999999999992</v>
      </c>
      <c r="G538" s="59">
        <v>40</v>
      </c>
      <c r="H538" s="56">
        <f>60+100</f>
        <v>160</v>
      </c>
      <c r="I538" s="56">
        <f t="shared" si="79"/>
        <v>0</v>
      </c>
      <c r="J538" s="59">
        <v>100</v>
      </c>
      <c r="K538" s="59">
        <v>300</v>
      </c>
      <c r="L538" s="56">
        <f t="shared" si="83"/>
        <v>1150</v>
      </c>
      <c r="M538" s="66">
        <v>600</v>
      </c>
      <c r="N538" s="56">
        <f>100</f>
        <v>100</v>
      </c>
      <c r="O538" s="59">
        <v>240</v>
      </c>
      <c r="P538" s="59">
        <v>40</v>
      </c>
      <c r="Q538" s="59">
        <f t="shared" si="84"/>
        <v>315</v>
      </c>
      <c r="R538" s="59">
        <f t="shared" si="85"/>
        <v>100</v>
      </c>
      <c r="S538" s="56">
        <f t="shared" si="86"/>
        <v>695</v>
      </c>
      <c r="T538" s="56">
        <f>50</f>
        <v>50</v>
      </c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</row>
    <row r="539" spans="1:30" ht="15.75">
      <c r="A539" s="13">
        <v>57710</v>
      </c>
      <c r="B539" s="67">
        <v>31</v>
      </c>
      <c r="C539" s="56">
        <f>122.58</f>
        <v>122.58</v>
      </c>
      <c r="D539" s="56">
        <f>297.941</f>
        <v>297.94099999999997</v>
      </c>
      <c r="E539" s="64">
        <f>89.177</f>
        <v>89.177000000000007</v>
      </c>
      <c r="F539" s="56">
        <f>240.302-40-60-100</f>
        <v>40.301999999999992</v>
      </c>
      <c r="G539" s="59">
        <v>40</v>
      </c>
      <c r="H539" s="56">
        <f>60+100</f>
        <v>160</v>
      </c>
      <c r="I539" s="56">
        <f t="shared" si="79"/>
        <v>0</v>
      </c>
      <c r="J539" s="59">
        <v>100</v>
      </c>
      <c r="K539" s="59">
        <v>300</v>
      </c>
      <c r="L539" s="56">
        <f t="shared" si="83"/>
        <v>1150</v>
      </c>
      <c r="M539" s="66">
        <v>600</v>
      </c>
      <c r="N539" s="56">
        <f>100</f>
        <v>100</v>
      </c>
      <c r="O539" s="59">
        <v>240</v>
      </c>
      <c r="P539" s="59">
        <v>40</v>
      </c>
      <c r="Q539" s="59">
        <f t="shared" si="84"/>
        <v>315</v>
      </c>
      <c r="R539" s="59">
        <f t="shared" si="85"/>
        <v>100</v>
      </c>
      <c r="S539" s="56">
        <f t="shared" si="86"/>
        <v>695</v>
      </c>
      <c r="T539" s="56">
        <f>50</f>
        <v>50</v>
      </c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</row>
    <row r="540" spans="1:30" ht="15.75">
      <c r="A540" s="13">
        <v>57741</v>
      </c>
      <c r="B540" s="67">
        <v>31</v>
      </c>
      <c r="C540" s="56">
        <f>122.58</f>
        <v>122.58</v>
      </c>
      <c r="D540" s="56">
        <f>297.941</f>
        <v>297.94099999999997</v>
      </c>
      <c r="E540" s="64">
        <f>89.177</f>
        <v>89.177000000000007</v>
      </c>
      <c r="F540" s="56">
        <f>240.302-40-60-100</f>
        <v>40.301999999999992</v>
      </c>
      <c r="G540" s="59">
        <v>40</v>
      </c>
      <c r="H540" s="56">
        <f>60+100</f>
        <v>160</v>
      </c>
      <c r="I540" s="56">
        <f t="shared" si="79"/>
        <v>0</v>
      </c>
      <c r="J540" s="59">
        <v>100</v>
      </c>
      <c r="K540" s="59">
        <v>300</v>
      </c>
      <c r="L540" s="56">
        <f t="shared" si="83"/>
        <v>1150</v>
      </c>
      <c r="M540" s="66">
        <v>600</v>
      </c>
      <c r="N540" s="56">
        <f>100</f>
        <v>100</v>
      </c>
      <c r="O540" s="59">
        <v>240</v>
      </c>
      <c r="P540" s="59">
        <v>40</v>
      </c>
      <c r="Q540" s="59">
        <f t="shared" si="84"/>
        <v>315</v>
      </c>
      <c r="R540" s="59">
        <f t="shared" si="85"/>
        <v>100</v>
      </c>
      <c r="S540" s="56">
        <f t="shared" si="86"/>
        <v>695</v>
      </c>
      <c r="T540" s="56">
        <f>50</f>
        <v>50</v>
      </c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</row>
    <row r="541" spans="1:30" ht="15.75">
      <c r="A541" s="13">
        <v>57769</v>
      </c>
      <c r="B541" s="67">
        <v>28</v>
      </c>
      <c r="C541" s="56">
        <f>122.58</f>
        <v>122.58</v>
      </c>
      <c r="D541" s="56">
        <f>297.941</f>
        <v>297.94099999999997</v>
      </c>
      <c r="E541" s="64">
        <f>89.177</f>
        <v>89.177000000000007</v>
      </c>
      <c r="F541" s="56">
        <f>240.302-40-60-100</f>
        <v>40.301999999999992</v>
      </c>
      <c r="G541" s="59">
        <v>40</v>
      </c>
      <c r="H541" s="56">
        <f>60+100</f>
        <v>160</v>
      </c>
      <c r="I541" s="56">
        <f t="shared" si="79"/>
        <v>0</v>
      </c>
      <c r="J541" s="59">
        <v>100</v>
      </c>
      <c r="K541" s="59">
        <v>300</v>
      </c>
      <c r="L541" s="56">
        <f t="shared" si="83"/>
        <v>1150</v>
      </c>
      <c r="M541" s="66">
        <v>600</v>
      </c>
      <c r="N541" s="56">
        <f>100</f>
        <v>100</v>
      </c>
      <c r="O541" s="59">
        <v>240</v>
      </c>
      <c r="P541" s="59">
        <v>40</v>
      </c>
      <c r="Q541" s="59">
        <f t="shared" si="84"/>
        <v>315</v>
      </c>
      <c r="R541" s="59">
        <f t="shared" si="85"/>
        <v>100</v>
      </c>
      <c r="S541" s="56">
        <f t="shared" si="86"/>
        <v>695</v>
      </c>
      <c r="T541" s="56">
        <f>50</f>
        <v>50</v>
      </c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</row>
    <row r="542" spans="1:30" ht="15.75">
      <c r="A542" s="13">
        <v>57800</v>
      </c>
      <c r="B542" s="67">
        <v>31</v>
      </c>
      <c r="C542" s="56">
        <f>122.58</f>
        <v>122.58</v>
      </c>
      <c r="D542" s="56">
        <f>297.941</f>
        <v>297.94099999999997</v>
      </c>
      <c r="E542" s="64">
        <f>89.177</f>
        <v>89.177000000000007</v>
      </c>
      <c r="F542" s="56">
        <f>240.302-40-60-100</f>
        <v>40.301999999999992</v>
      </c>
      <c r="G542" s="59">
        <v>40</v>
      </c>
      <c r="H542" s="56">
        <f>60+100</f>
        <v>160</v>
      </c>
      <c r="I542" s="56">
        <f t="shared" si="79"/>
        <v>0</v>
      </c>
      <c r="J542" s="59">
        <v>100</v>
      </c>
      <c r="K542" s="59">
        <v>300</v>
      </c>
      <c r="L542" s="56">
        <f t="shared" si="83"/>
        <v>1150</v>
      </c>
      <c r="M542" s="66">
        <v>600</v>
      </c>
      <c r="N542" s="56">
        <f>100</f>
        <v>100</v>
      </c>
      <c r="O542" s="59">
        <v>240</v>
      </c>
      <c r="P542" s="59">
        <v>40</v>
      </c>
      <c r="Q542" s="59">
        <f t="shared" si="84"/>
        <v>315</v>
      </c>
      <c r="R542" s="59">
        <f t="shared" si="85"/>
        <v>100</v>
      </c>
      <c r="S542" s="56">
        <f t="shared" si="86"/>
        <v>695</v>
      </c>
      <c r="T542" s="56">
        <f>50</f>
        <v>50</v>
      </c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</row>
    <row r="543" spans="1:30" ht="15.75">
      <c r="A543" s="13">
        <v>57830</v>
      </c>
      <c r="B543" s="67">
        <v>30</v>
      </c>
      <c r="C543" s="56">
        <f>141.293</f>
        <v>141.29300000000001</v>
      </c>
      <c r="D543" s="56">
        <f>267.993</f>
        <v>267.99299999999999</v>
      </c>
      <c r="E543" s="64">
        <f>115.016</f>
        <v>115.01600000000001</v>
      </c>
      <c r="F543" s="56">
        <f>314.698-40-25-60-100</f>
        <v>89.697999999999979</v>
      </c>
      <c r="G543" s="59">
        <v>40</v>
      </c>
      <c r="H543" s="56">
        <f t="shared" ref="H543:H549" si="88">25+60+100</f>
        <v>185</v>
      </c>
      <c r="I543" s="56">
        <f t="shared" si="79"/>
        <v>0</v>
      </c>
      <c r="J543" s="59">
        <v>100</v>
      </c>
      <c r="K543" s="59">
        <v>300</v>
      </c>
      <c r="L543" s="56">
        <f t="shared" si="83"/>
        <v>1239</v>
      </c>
      <c r="M543" s="66">
        <v>600</v>
      </c>
      <c r="N543" s="56">
        <f>100</f>
        <v>100</v>
      </c>
      <c r="O543" s="59">
        <v>240</v>
      </c>
      <c r="P543" s="59">
        <v>160</v>
      </c>
      <c r="Q543" s="59">
        <f t="shared" si="84"/>
        <v>195</v>
      </c>
      <c r="R543" s="59">
        <f t="shared" si="85"/>
        <v>100</v>
      </c>
      <c r="S543" s="56">
        <f t="shared" si="86"/>
        <v>695</v>
      </c>
      <c r="T543" s="56">
        <f>50</f>
        <v>50</v>
      </c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</row>
    <row r="544" spans="1:30" ht="15.75">
      <c r="A544" s="13">
        <v>57861</v>
      </c>
      <c r="B544" s="67">
        <v>31</v>
      </c>
      <c r="C544" s="56">
        <f>194.205</f>
        <v>194.20500000000001</v>
      </c>
      <c r="D544" s="56">
        <f>267.466</f>
        <v>267.46600000000001</v>
      </c>
      <c r="E544" s="64">
        <f>133.845</f>
        <v>133.845</v>
      </c>
      <c r="F544" s="56">
        <f>278.484-40-25-60-100</f>
        <v>53.48399999999998</v>
      </c>
      <c r="G544" s="59">
        <v>40</v>
      </c>
      <c r="H544" s="56">
        <f t="shared" si="88"/>
        <v>185</v>
      </c>
      <c r="I544" s="56">
        <f t="shared" si="79"/>
        <v>0</v>
      </c>
      <c r="J544" s="59">
        <v>100</v>
      </c>
      <c r="K544" s="59">
        <v>300</v>
      </c>
      <c r="L544" s="56">
        <f t="shared" si="83"/>
        <v>1274</v>
      </c>
      <c r="M544" s="66">
        <v>600</v>
      </c>
      <c r="N544" s="56">
        <f>75</f>
        <v>75</v>
      </c>
      <c r="O544" s="59">
        <v>240</v>
      </c>
      <c r="P544" s="59">
        <v>160</v>
      </c>
      <c r="Q544" s="59">
        <f t="shared" si="84"/>
        <v>195</v>
      </c>
      <c r="R544" s="59">
        <f t="shared" si="85"/>
        <v>100</v>
      </c>
      <c r="S544" s="56">
        <f t="shared" si="86"/>
        <v>695</v>
      </c>
      <c r="T544" s="56">
        <f>50</f>
        <v>50</v>
      </c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</row>
    <row r="545" spans="1:30" ht="15.75">
      <c r="A545" s="13">
        <v>57891</v>
      </c>
      <c r="B545" s="67">
        <v>30</v>
      </c>
      <c r="C545" s="56">
        <f>194.205</f>
        <v>194.20500000000001</v>
      </c>
      <c r="D545" s="56">
        <f>267.466</f>
        <v>267.46600000000001</v>
      </c>
      <c r="E545" s="64">
        <f>133.845</f>
        <v>133.845</v>
      </c>
      <c r="F545" s="56">
        <f>278.484-40-25-60-100</f>
        <v>53.48399999999998</v>
      </c>
      <c r="G545" s="59">
        <v>40</v>
      </c>
      <c r="H545" s="56">
        <f t="shared" si="88"/>
        <v>185</v>
      </c>
      <c r="I545" s="56">
        <f t="shared" si="79"/>
        <v>0</v>
      </c>
      <c r="J545" s="59">
        <v>100</v>
      </c>
      <c r="K545" s="59">
        <v>300</v>
      </c>
      <c r="L545" s="56">
        <f t="shared" si="83"/>
        <v>1274</v>
      </c>
      <c r="M545" s="66">
        <v>600</v>
      </c>
      <c r="N545" s="56">
        <f>30</f>
        <v>30</v>
      </c>
      <c r="O545" s="59">
        <v>240</v>
      </c>
      <c r="P545" s="59">
        <v>160</v>
      </c>
      <c r="Q545" s="59">
        <f t="shared" si="84"/>
        <v>195</v>
      </c>
      <c r="R545" s="59">
        <f t="shared" si="85"/>
        <v>100</v>
      </c>
      <c r="S545" s="56">
        <f t="shared" si="86"/>
        <v>695</v>
      </c>
      <c r="T545" s="56">
        <f>50</f>
        <v>50</v>
      </c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</row>
    <row r="546" spans="1:30" ht="15.75">
      <c r="A546" s="13">
        <v>57922</v>
      </c>
      <c r="B546" s="67">
        <v>31</v>
      </c>
      <c r="C546" s="56">
        <f>194.205</f>
        <v>194.20500000000001</v>
      </c>
      <c r="D546" s="56">
        <f>267.466</f>
        <v>267.46600000000001</v>
      </c>
      <c r="E546" s="64">
        <f>133.845</f>
        <v>133.845</v>
      </c>
      <c r="F546" s="56">
        <f>278.484-40-25-60-100</f>
        <v>53.48399999999998</v>
      </c>
      <c r="G546" s="59">
        <v>40</v>
      </c>
      <c r="H546" s="56">
        <f t="shared" si="88"/>
        <v>185</v>
      </c>
      <c r="I546" s="56">
        <f t="shared" si="79"/>
        <v>0</v>
      </c>
      <c r="J546" s="59">
        <v>100</v>
      </c>
      <c r="K546" s="59">
        <v>300</v>
      </c>
      <c r="L546" s="56">
        <f t="shared" si="83"/>
        <v>1274</v>
      </c>
      <c r="M546" s="66">
        <v>600</v>
      </c>
      <c r="N546" s="56">
        <f>30</f>
        <v>30</v>
      </c>
      <c r="O546" s="59">
        <v>240</v>
      </c>
      <c r="P546" s="59">
        <v>160</v>
      </c>
      <c r="Q546" s="59">
        <f t="shared" si="84"/>
        <v>195</v>
      </c>
      <c r="R546" s="59">
        <f t="shared" si="85"/>
        <v>100</v>
      </c>
      <c r="S546" s="56">
        <f t="shared" si="86"/>
        <v>695</v>
      </c>
      <c r="T546" s="56">
        <f>0</f>
        <v>0</v>
      </c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</row>
    <row r="547" spans="1:30" ht="15.75">
      <c r="A547" s="13">
        <v>57953</v>
      </c>
      <c r="B547" s="67">
        <v>31</v>
      </c>
      <c r="C547" s="56">
        <f>194.205</f>
        <v>194.20500000000001</v>
      </c>
      <c r="D547" s="56">
        <f>267.466</f>
        <v>267.46600000000001</v>
      </c>
      <c r="E547" s="64">
        <f>133.845</f>
        <v>133.845</v>
      </c>
      <c r="F547" s="56">
        <f>278.484-40-25-60-100</f>
        <v>53.48399999999998</v>
      </c>
      <c r="G547" s="59">
        <v>40</v>
      </c>
      <c r="H547" s="56">
        <f t="shared" si="88"/>
        <v>185</v>
      </c>
      <c r="I547" s="56">
        <f t="shared" si="79"/>
        <v>0</v>
      </c>
      <c r="J547" s="59">
        <v>100</v>
      </c>
      <c r="K547" s="59">
        <v>300</v>
      </c>
      <c r="L547" s="56">
        <f t="shared" si="83"/>
        <v>1274</v>
      </c>
      <c r="M547" s="66">
        <v>600</v>
      </c>
      <c r="N547" s="56">
        <f>30</f>
        <v>30</v>
      </c>
      <c r="O547" s="59">
        <v>240</v>
      </c>
      <c r="P547" s="59">
        <v>160</v>
      </c>
      <c r="Q547" s="59">
        <f t="shared" si="84"/>
        <v>195</v>
      </c>
      <c r="R547" s="59">
        <f t="shared" si="85"/>
        <v>100</v>
      </c>
      <c r="S547" s="56">
        <f t="shared" si="86"/>
        <v>695</v>
      </c>
      <c r="T547" s="56">
        <f>0</f>
        <v>0</v>
      </c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</row>
    <row r="548" spans="1:30" ht="15.75">
      <c r="A548" s="13">
        <v>57983</v>
      </c>
      <c r="B548" s="67">
        <v>30</v>
      </c>
      <c r="C548" s="56">
        <f>194.205</f>
        <v>194.20500000000001</v>
      </c>
      <c r="D548" s="56">
        <f>267.466</f>
        <v>267.46600000000001</v>
      </c>
      <c r="E548" s="64">
        <f>133.845</f>
        <v>133.845</v>
      </c>
      <c r="F548" s="56">
        <f>278.484-40-25-60-100</f>
        <v>53.48399999999998</v>
      </c>
      <c r="G548" s="59">
        <v>40</v>
      </c>
      <c r="H548" s="56">
        <f t="shared" si="88"/>
        <v>185</v>
      </c>
      <c r="I548" s="56">
        <f t="shared" si="79"/>
        <v>0</v>
      </c>
      <c r="J548" s="59">
        <v>100</v>
      </c>
      <c r="K548" s="59">
        <v>300</v>
      </c>
      <c r="L548" s="56">
        <f t="shared" si="83"/>
        <v>1274</v>
      </c>
      <c r="M548" s="66">
        <v>600</v>
      </c>
      <c r="N548" s="56">
        <f>30</f>
        <v>30</v>
      </c>
      <c r="O548" s="59">
        <v>240</v>
      </c>
      <c r="P548" s="59">
        <v>160</v>
      </c>
      <c r="Q548" s="59">
        <f t="shared" si="84"/>
        <v>195</v>
      </c>
      <c r="R548" s="59">
        <f t="shared" si="85"/>
        <v>100</v>
      </c>
      <c r="S548" s="56">
        <f t="shared" si="86"/>
        <v>695</v>
      </c>
      <c r="T548" s="56">
        <f>0</f>
        <v>0</v>
      </c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</row>
    <row r="549" spans="1:30" ht="15.75">
      <c r="A549" s="13">
        <v>58014</v>
      </c>
      <c r="B549" s="67">
        <v>31</v>
      </c>
      <c r="C549" s="56">
        <f>131.881</f>
        <v>131.881</v>
      </c>
      <c r="D549" s="56">
        <f>277.167</f>
        <v>277.16699999999997</v>
      </c>
      <c r="E549" s="64">
        <f>79.08</f>
        <v>79.08</v>
      </c>
      <c r="F549" s="56">
        <f>350.872-40-25-60-100</f>
        <v>125.87200000000001</v>
      </c>
      <c r="G549" s="59">
        <v>40</v>
      </c>
      <c r="H549" s="56">
        <f t="shared" si="88"/>
        <v>185</v>
      </c>
      <c r="I549" s="56">
        <f t="shared" si="79"/>
        <v>0</v>
      </c>
      <c r="J549" s="59">
        <v>100</v>
      </c>
      <c r="K549" s="59">
        <v>300</v>
      </c>
      <c r="L549" s="56">
        <f t="shared" si="83"/>
        <v>1239</v>
      </c>
      <c r="M549" s="66">
        <v>600</v>
      </c>
      <c r="N549" s="56">
        <f>75</f>
        <v>75</v>
      </c>
      <c r="O549" s="59">
        <v>240</v>
      </c>
      <c r="P549" s="59">
        <v>160</v>
      </c>
      <c r="Q549" s="59">
        <f t="shared" si="84"/>
        <v>195</v>
      </c>
      <c r="R549" s="59">
        <f t="shared" si="85"/>
        <v>100</v>
      </c>
      <c r="S549" s="56">
        <f t="shared" si="86"/>
        <v>695</v>
      </c>
      <c r="T549" s="56">
        <f>0</f>
        <v>0</v>
      </c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</row>
    <row r="550" spans="1:30" ht="15.75">
      <c r="A550" s="13">
        <v>58044</v>
      </c>
      <c r="B550" s="67">
        <v>30</v>
      </c>
      <c r="C550" s="56">
        <f>122.58</f>
        <v>122.58</v>
      </c>
      <c r="D550" s="56">
        <f>297.941</f>
        <v>297.94099999999997</v>
      </c>
      <c r="E550" s="64">
        <f>89.177</f>
        <v>89.177000000000007</v>
      </c>
      <c r="F550" s="56">
        <f>240.302-40-60-100</f>
        <v>40.301999999999992</v>
      </c>
      <c r="G550" s="59">
        <v>40</v>
      </c>
      <c r="H550" s="56">
        <f>60+100</f>
        <v>160</v>
      </c>
      <c r="I550" s="56">
        <f t="shared" si="79"/>
        <v>0</v>
      </c>
      <c r="J550" s="59">
        <v>100</v>
      </c>
      <c r="K550" s="59">
        <v>300</v>
      </c>
      <c r="L550" s="56">
        <f t="shared" si="83"/>
        <v>1150</v>
      </c>
      <c r="M550" s="66">
        <v>600</v>
      </c>
      <c r="N550" s="56">
        <f>100</f>
        <v>100</v>
      </c>
      <c r="O550" s="59">
        <v>240</v>
      </c>
      <c r="P550" s="59">
        <v>40</v>
      </c>
      <c r="Q550" s="59">
        <f t="shared" si="84"/>
        <v>315</v>
      </c>
      <c r="R550" s="59">
        <f t="shared" si="85"/>
        <v>100</v>
      </c>
      <c r="S550" s="56">
        <f t="shared" si="86"/>
        <v>695</v>
      </c>
      <c r="T550" s="56">
        <f>50</f>
        <v>50</v>
      </c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</row>
    <row r="551" spans="1:30" ht="15.75">
      <c r="A551" s="13">
        <v>58075</v>
      </c>
      <c r="B551" s="67">
        <v>31</v>
      </c>
      <c r="C551" s="56">
        <f>122.58</f>
        <v>122.58</v>
      </c>
      <c r="D551" s="56">
        <f>297.941</f>
        <v>297.94099999999997</v>
      </c>
      <c r="E551" s="64">
        <f>89.177</f>
        <v>89.177000000000007</v>
      </c>
      <c r="F551" s="56">
        <f>240.302-40-60-100</f>
        <v>40.301999999999992</v>
      </c>
      <c r="G551" s="59">
        <v>40</v>
      </c>
      <c r="H551" s="56">
        <f>60+100</f>
        <v>160</v>
      </c>
      <c r="I551" s="56">
        <f t="shared" si="79"/>
        <v>0</v>
      </c>
      <c r="J551" s="59">
        <v>100</v>
      </c>
      <c r="K551" s="59">
        <v>300</v>
      </c>
      <c r="L551" s="56">
        <f t="shared" si="83"/>
        <v>1150</v>
      </c>
      <c r="M551" s="66">
        <v>600</v>
      </c>
      <c r="N551" s="56">
        <f>100</f>
        <v>100</v>
      </c>
      <c r="O551" s="59">
        <v>240</v>
      </c>
      <c r="P551" s="59">
        <v>40</v>
      </c>
      <c r="Q551" s="59">
        <f t="shared" si="84"/>
        <v>315</v>
      </c>
      <c r="R551" s="59">
        <f t="shared" si="85"/>
        <v>100</v>
      </c>
      <c r="S551" s="56">
        <f t="shared" si="86"/>
        <v>695</v>
      </c>
      <c r="T551" s="56">
        <f>50</f>
        <v>50</v>
      </c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</row>
    <row r="552" spans="1:30" ht="15.75">
      <c r="A552" s="13">
        <v>58106</v>
      </c>
      <c r="B552" s="67">
        <v>31</v>
      </c>
      <c r="C552" s="56">
        <f>122.58</f>
        <v>122.58</v>
      </c>
      <c r="D552" s="56">
        <f>297.941</f>
        <v>297.94099999999997</v>
      </c>
      <c r="E552" s="64">
        <f>89.177</f>
        <v>89.177000000000007</v>
      </c>
      <c r="F552" s="56">
        <f>240.302-40-60-100</f>
        <v>40.301999999999992</v>
      </c>
      <c r="G552" s="59">
        <v>40</v>
      </c>
      <c r="H552" s="56">
        <f>60+100</f>
        <v>160</v>
      </c>
      <c r="I552" s="56">
        <f t="shared" ref="I552:I615" si="89">400-J552-K552</f>
        <v>0</v>
      </c>
      <c r="J552" s="59">
        <v>100</v>
      </c>
      <c r="K552" s="59">
        <v>300</v>
      </c>
      <c r="L552" s="56">
        <f t="shared" si="83"/>
        <v>1150</v>
      </c>
      <c r="M552" s="66">
        <v>600</v>
      </c>
      <c r="N552" s="56">
        <f>100</f>
        <v>100</v>
      </c>
      <c r="O552" s="59">
        <v>240</v>
      </c>
      <c r="P552" s="59">
        <v>40</v>
      </c>
      <c r="Q552" s="59">
        <f t="shared" si="84"/>
        <v>315</v>
      </c>
      <c r="R552" s="59">
        <f t="shared" si="85"/>
        <v>100</v>
      </c>
      <c r="S552" s="56">
        <f t="shared" si="86"/>
        <v>695</v>
      </c>
      <c r="T552" s="56">
        <f>50</f>
        <v>50</v>
      </c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</row>
    <row r="553" spans="1:30" ht="15.75">
      <c r="A553" s="13">
        <v>58134</v>
      </c>
      <c r="B553" s="67">
        <v>28</v>
      </c>
      <c r="C553" s="56">
        <f>122.58</f>
        <v>122.58</v>
      </c>
      <c r="D553" s="56">
        <f>297.941</f>
        <v>297.94099999999997</v>
      </c>
      <c r="E553" s="64">
        <f>89.177</f>
        <v>89.177000000000007</v>
      </c>
      <c r="F553" s="56">
        <f>240.302-40-60-100</f>
        <v>40.301999999999992</v>
      </c>
      <c r="G553" s="59">
        <v>40</v>
      </c>
      <c r="H553" s="56">
        <f>60+100</f>
        <v>160</v>
      </c>
      <c r="I553" s="56">
        <f t="shared" si="89"/>
        <v>0</v>
      </c>
      <c r="J553" s="59">
        <v>100</v>
      </c>
      <c r="K553" s="59">
        <v>300</v>
      </c>
      <c r="L553" s="56">
        <f t="shared" si="83"/>
        <v>1150</v>
      </c>
      <c r="M553" s="66">
        <v>600</v>
      </c>
      <c r="N553" s="56">
        <f>100</f>
        <v>100</v>
      </c>
      <c r="O553" s="59">
        <v>240</v>
      </c>
      <c r="P553" s="59">
        <v>40</v>
      </c>
      <c r="Q553" s="59">
        <f t="shared" si="84"/>
        <v>315</v>
      </c>
      <c r="R553" s="59">
        <f t="shared" si="85"/>
        <v>100</v>
      </c>
      <c r="S553" s="56">
        <f t="shared" si="86"/>
        <v>695</v>
      </c>
      <c r="T553" s="56">
        <f>50</f>
        <v>50</v>
      </c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</row>
    <row r="554" spans="1:30" ht="15.75">
      <c r="A554" s="13">
        <v>58165</v>
      </c>
      <c r="B554" s="67">
        <v>31</v>
      </c>
      <c r="C554" s="56">
        <f>122.58</f>
        <v>122.58</v>
      </c>
      <c r="D554" s="56">
        <f>297.941</f>
        <v>297.94099999999997</v>
      </c>
      <c r="E554" s="64">
        <f>89.177</f>
        <v>89.177000000000007</v>
      </c>
      <c r="F554" s="56">
        <f>240.302-40-60-100</f>
        <v>40.301999999999992</v>
      </c>
      <c r="G554" s="59">
        <v>40</v>
      </c>
      <c r="H554" s="56">
        <f>60+100</f>
        <v>160</v>
      </c>
      <c r="I554" s="56">
        <f t="shared" si="89"/>
        <v>0</v>
      </c>
      <c r="J554" s="59">
        <v>100</v>
      </c>
      <c r="K554" s="59">
        <v>300</v>
      </c>
      <c r="L554" s="56">
        <f t="shared" si="83"/>
        <v>1150</v>
      </c>
      <c r="M554" s="66">
        <v>600</v>
      </c>
      <c r="N554" s="56">
        <f>100</f>
        <v>100</v>
      </c>
      <c r="O554" s="59">
        <v>240</v>
      </c>
      <c r="P554" s="59">
        <v>40</v>
      </c>
      <c r="Q554" s="59">
        <f t="shared" si="84"/>
        <v>315</v>
      </c>
      <c r="R554" s="59">
        <f t="shared" si="85"/>
        <v>100</v>
      </c>
      <c r="S554" s="56">
        <f t="shared" si="86"/>
        <v>695</v>
      </c>
      <c r="T554" s="56">
        <f>50</f>
        <v>50</v>
      </c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</row>
    <row r="555" spans="1:30" ht="15.75">
      <c r="A555" s="13">
        <v>58195</v>
      </c>
      <c r="B555" s="67">
        <v>30</v>
      </c>
      <c r="C555" s="56">
        <f>141.293</f>
        <v>141.29300000000001</v>
      </c>
      <c r="D555" s="56">
        <f>267.993</f>
        <v>267.99299999999999</v>
      </c>
      <c r="E555" s="64">
        <f>115.016</f>
        <v>115.01600000000001</v>
      </c>
      <c r="F555" s="56">
        <f>314.698-40-25-60-100</f>
        <v>89.697999999999979</v>
      </c>
      <c r="G555" s="59">
        <v>40</v>
      </c>
      <c r="H555" s="56">
        <f t="shared" ref="H555:H561" si="90">25+60+100</f>
        <v>185</v>
      </c>
      <c r="I555" s="56">
        <f t="shared" si="89"/>
        <v>0</v>
      </c>
      <c r="J555" s="59">
        <v>100</v>
      </c>
      <c r="K555" s="59">
        <v>300</v>
      </c>
      <c r="L555" s="56">
        <f t="shared" si="83"/>
        <v>1239</v>
      </c>
      <c r="M555" s="66">
        <v>600</v>
      </c>
      <c r="N555" s="56">
        <f>100</f>
        <v>100</v>
      </c>
      <c r="O555" s="59">
        <v>240</v>
      </c>
      <c r="P555" s="59">
        <v>160</v>
      </c>
      <c r="Q555" s="59">
        <f t="shared" si="84"/>
        <v>195</v>
      </c>
      <c r="R555" s="59">
        <f t="shared" si="85"/>
        <v>100</v>
      </c>
      <c r="S555" s="56">
        <f t="shared" si="86"/>
        <v>695</v>
      </c>
      <c r="T555" s="56">
        <f>50</f>
        <v>50</v>
      </c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</row>
    <row r="556" spans="1:30" ht="15.75">
      <c r="A556" s="13">
        <v>58226</v>
      </c>
      <c r="B556" s="67">
        <v>31</v>
      </c>
      <c r="C556" s="56">
        <f>194.205</f>
        <v>194.20500000000001</v>
      </c>
      <c r="D556" s="56">
        <f>267.466</f>
        <v>267.46600000000001</v>
      </c>
      <c r="E556" s="64">
        <f>133.845</f>
        <v>133.845</v>
      </c>
      <c r="F556" s="56">
        <f>278.484-40-25-60-100</f>
        <v>53.48399999999998</v>
      </c>
      <c r="G556" s="59">
        <v>40</v>
      </c>
      <c r="H556" s="56">
        <f t="shared" si="90"/>
        <v>185</v>
      </c>
      <c r="I556" s="56">
        <f t="shared" si="89"/>
        <v>0</v>
      </c>
      <c r="J556" s="59">
        <v>100</v>
      </c>
      <c r="K556" s="59">
        <v>300</v>
      </c>
      <c r="L556" s="56">
        <f t="shared" si="83"/>
        <v>1274</v>
      </c>
      <c r="M556" s="66">
        <v>600</v>
      </c>
      <c r="N556" s="56">
        <f>75</f>
        <v>75</v>
      </c>
      <c r="O556" s="59">
        <v>240</v>
      </c>
      <c r="P556" s="59">
        <v>160</v>
      </c>
      <c r="Q556" s="59">
        <f t="shared" si="84"/>
        <v>195</v>
      </c>
      <c r="R556" s="59">
        <f t="shared" si="85"/>
        <v>100</v>
      </c>
      <c r="S556" s="56">
        <f t="shared" si="86"/>
        <v>695</v>
      </c>
      <c r="T556" s="56">
        <f>50</f>
        <v>50</v>
      </c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</row>
    <row r="557" spans="1:30" ht="15.75">
      <c r="A557" s="13">
        <v>58256</v>
      </c>
      <c r="B557" s="67">
        <v>30</v>
      </c>
      <c r="C557" s="56">
        <f>194.205</f>
        <v>194.20500000000001</v>
      </c>
      <c r="D557" s="56">
        <f>267.466</f>
        <v>267.46600000000001</v>
      </c>
      <c r="E557" s="64">
        <f>133.845</f>
        <v>133.845</v>
      </c>
      <c r="F557" s="56">
        <f>278.484-40-25-60-100</f>
        <v>53.48399999999998</v>
      </c>
      <c r="G557" s="59">
        <v>40</v>
      </c>
      <c r="H557" s="56">
        <f t="shared" si="90"/>
        <v>185</v>
      </c>
      <c r="I557" s="56">
        <f t="shared" si="89"/>
        <v>0</v>
      </c>
      <c r="J557" s="59">
        <v>100</v>
      </c>
      <c r="K557" s="59">
        <v>300</v>
      </c>
      <c r="L557" s="56">
        <f t="shared" si="83"/>
        <v>1274</v>
      </c>
      <c r="M557" s="66">
        <v>600</v>
      </c>
      <c r="N557" s="56">
        <f>30</f>
        <v>30</v>
      </c>
      <c r="O557" s="59">
        <v>240</v>
      </c>
      <c r="P557" s="59">
        <v>160</v>
      </c>
      <c r="Q557" s="59">
        <f t="shared" si="84"/>
        <v>195</v>
      </c>
      <c r="R557" s="59">
        <f t="shared" si="85"/>
        <v>100</v>
      </c>
      <c r="S557" s="56">
        <f t="shared" si="86"/>
        <v>695</v>
      </c>
      <c r="T557" s="56">
        <f>50</f>
        <v>50</v>
      </c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</row>
    <row r="558" spans="1:30" ht="15.75">
      <c r="A558" s="13">
        <v>58287</v>
      </c>
      <c r="B558" s="67">
        <v>31</v>
      </c>
      <c r="C558" s="56">
        <f>194.205</f>
        <v>194.20500000000001</v>
      </c>
      <c r="D558" s="56">
        <f>267.466</f>
        <v>267.46600000000001</v>
      </c>
      <c r="E558" s="64">
        <f>133.845</f>
        <v>133.845</v>
      </c>
      <c r="F558" s="56">
        <f>278.484-40-25-60-100</f>
        <v>53.48399999999998</v>
      </c>
      <c r="G558" s="59">
        <v>40</v>
      </c>
      <c r="H558" s="56">
        <f t="shared" si="90"/>
        <v>185</v>
      </c>
      <c r="I558" s="56">
        <f t="shared" si="89"/>
        <v>0</v>
      </c>
      <c r="J558" s="59">
        <v>100</v>
      </c>
      <c r="K558" s="59">
        <v>300</v>
      </c>
      <c r="L558" s="56">
        <f t="shared" si="83"/>
        <v>1274</v>
      </c>
      <c r="M558" s="66">
        <v>600</v>
      </c>
      <c r="N558" s="56">
        <f>30</f>
        <v>30</v>
      </c>
      <c r="O558" s="59">
        <v>240</v>
      </c>
      <c r="P558" s="59">
        <v>160</v>
      </c>
      <c r="Q558" s="59">
        <f t="shared" si="84"/>
        <v>195</v>
      </c>
      <c r="R558" s="59">
        <f t="shared" si="85"/>
        <v>100</v>
      </c>
      <c r="S558" s="56">
        <f t="shared" si="86"/>
        <v>695</v>
      </c>
      <c r="T558" s="56">
        <f>0</f>
        <v>0</v>
      </c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</row>
    <row r="559" spans="1:30" ht="15.75">
      <c r="A559" s="13">
        <v>58318</v>
      </c>
      <c r="B559" s="67">
        <v>31</v>
      </c>
      <c r="C559" s="56">
        <f>194.205</f>
        <v>194.20500000000001</v>
      </c>
      <c r="D559" s="56">
        <f>267.466</f>
        <v>267.46600000000001</v>
      </c>
      <c r="E559" s="64">
        <f>133.845</f>
        <v>133.845</v>
      </c>
      <c r="F559" s="56">
        <f>278.484-40-25-60-100</f>
        <v>53.48399999999998</v>
      </c>
      <c r="G559" s="59">
        <v>40</v>
      </c>
      <c r="H559" s="56">
        <f t="shared" si="90"/>
        <v>185</v>
      </c>
      <c r="I559" s="56">
        <f t="shared" si="89"/>
        <v>0</v>
      </c>
      <c r="J559" s="59">
        <v>100</v>
      </c>
      <c r="K559" s="59">
        <v>300</v>
      </c>
      <c r="L559" s="56">
        <f t="shared" si="83"/>
        <v>1274</v>
      </c>
      <c r="M559" s="66">
        <v>600</v>
      </c>
      <c r="N559" s="56">
        <f>30</f>
        <v>30</v>
      </c>
      <c r="O559" s="59">
        <v>240</v>
      </c>
      <c r="P559" s="59">
        <v>160</v>
      </c>
      <c r="Q559" s="59">
        <f t="shared" si="84"/>
        <v>195</v>
      </c>
      <c r="R559" s="59">
        <f t="shared" si="85"/>
        <v>100</v>
      </c>
      <c r="S559" s="56">
        <f t="shared" si="86"/>
        <v>695</v>
      </c>
      <c r="T559" s="56">
        <f>0</f>
        <v>0</v>
      </c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</row>
    <row r="560" spans="1:30" ht="15.75">
      <c r="A560" s="13">
        <v>58348</v>
      </c>
      <c r="B560" s="67">
        <v>30</v>
      </c>
      <c r="C560" s="56">
        <f>194.205</f>
        <v>194.20500000000001</v>
      </c>
      <c r="D560" s="56">
        <f>267.466</f>
        <v>267.46600000000001</v>
      </c>
      <c r="E560" s="64">
        <f>133.845</f>
        <v>133.845</v>
      </c>
      <c r="F560" s="56">
        <f>278.484-40-25-60-100</f>
        <v>53.48399999999998</v>
      </c>
      <c r="G560" s="59">
        <v>40</v>
      </c>
      <c r="H560" s="56">
        <f t="shared" si="90"/>
        <v>185</v>
      </c>
      <c r="I560" s="56">
        <f t="shared" si="89"/>
        <v>0</v>
      </c>
      <c r="J560" s="59">
        <v>100</v>
      </c>
      <c r="K560" s="59">
        <v>300</v>
      </c>
      <c r="L560" s="56">
        <f t="shared" si="83"/>
        <v>1274</v>
      </c>
      <c r="M560" s="66">
        <v>600</v>
      </c>
      <c r="N560" s="56">
        <f>30</f>
        <v>30</v>
      </c>
      <c r="O560" s="59">
        <v>240</v>
      </c>
      <c r="P560" s="59">
        <v>160</v>
      </c>
      <c r="Q560" s="59">
        <f t="shared" si="84"/>
        <v>195</v>
      </c>
      <c r="R560" s="59">
        <f t="shared" si="85"/>
        <v>100</v>
      </c>
      <c r="S560" s="56">
        <f t="shared" si="86"/>
        <v>695</v>
      </c>
      <c r="T560" s="56">
        <f>0</f>
        <v>0</v>
      </c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</row>
    <row r="561" spans="1:30" ht="15.75">
      <c r="A561" s="13">
        <v>58379</v>
      </c>
      <c r="B561" s="67">
        <v>31</v>
      </c>
      <c r="C561" s="56">
        <f>131.881</f>
        <v>131.881</v>
      </c>
      <c r="D561" s="56">
        <f>277.167</f>
        <v>277.16699999999997</v>
      </c>
      <c r="E561" s="64">
        <f>79.08</f>
        <v>79.08</v>
      </c>
      <c r="F561" s="56">
        <f>350.872-40-25-60-100</f>
        <v>125.87200000000001</v>
      </c>
      <c r="G561" s="59">
        <v>40</v>
      </c>
      <c r="H561" s="56">
        <f t="shared" si="90"/>
        <v>185</v>
      </c>
      <c r="I561" s="56">
        <f t="shared" si="89"/>
        <v>0</v>
      </c>
      <c r="J561" s="59">
        <v>100</v>
      </c>
      <c r="K561" s="59">
        <v>300</v>
      </c>
      <c r="L561" s="56">
        <f t="shared" si="83"/>
        <v>1239</v>
      </c>
      <c r="M561" s="66">
        <v>600</v>
      </c>
      <c r="N561" s="56">
        <f>75</f>
        <v>75</v>
      </c>
      <c r="O561" s="59">
        <v>240</v>
      </c>
      <c r="P561" s="59">
        <v>160</v>
      </c>
      <c r="Q561" s="59">
        <f t="shared" si="84"/>
        <v>195</v>
      </c>
      <c r="R561" s="59">
        <f t="shared" si="85"/>
        <v>100</v>
      </c>
      <c r="S561" s="56">
        <f t="shared" si="86"/>
        <v>695</v>
      </c>
      <c r="T561" s="56">
        <f>0</f>
        <v>0</v>
      </c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</row>
    <row r="562" spans="1:30" ht="15.75">
      <c r="A562" s="13">
        <v>58409</v>
      </c>
      <c r="B562" s="67">
        <v>30</v>
      </c>
      <c r="C562" s="56">
        <f>122.58</f>
        <v>122.58</v>
      </c>
      <c r="D562" s="56">
        <f>297.941</f>
        <v>297.94099999999997</v>
      </c>
      <c r="E562" s="64">
        <f>89.177</f>
        <v>89.177000000000007</v>
      </c>
      <c r="F562" s="56">
        <f>240.302-40-60-100</f>
        <v>40.301999999999992</v>
      </c>
      <c r="G562" s="59">
        <v>40</v>
      </c>
      <c r="H562" s="56">
        <f>60+100</f>
        <v>160</v>
      </c>
      <c r="I562" s="56">
        <f t="shared" si="89"/>
        <v>0</v>
      </c>
      <c r="J562" s="59">
        <v>100</v>
      </c>
      <c r="K562" s="59">
        <v>300</v>
      </c>
      <c r="L562" s="56">
        <f t="shared" si="83"/>
        <v>1150</v>
      </c>
      <c r="M562" s="66">
        <v>600</v>
      </c>
      <c r="N562" s="56">
        <f>100</f>
        <v>100</v>
      </c>
      <c r="O562" s="59">
        <v>240</v>
      </c>
      <c r="P562" s="59">
        <v>40</v>
      </c>
      <c r="Q562" s="59">
        <f t="shared" si="84"/>
        <v>315</v>
      </c>
      <c r="R562" s="59">
        <f t="shared" si="85"/>
        <v>100</v>
      </c>
      <c r="S562" s="56">
        <f t="shared" si="86"/>
        <v>695</v>
      </c>
      <c r="T562" s="56">
        <f>50</f>
        <v>50</v>
      </c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</row>
    <row r="563" spans="1:30" ht="15.75">
      <c r="A563" s="13">
        <v>58440</v>
      </c>
      <c r="B563" s="67">
        <v>31</v>
      </c>
      <c r="C563" s="56">
        <f>122.58</f>
        <v>122.58</v>
      </c>
      <c r="D563" s="56">
        <f>297.941</f>
        <v>297.94099999999997</v>
      </c>
      <c r="E563" s="64">
        <f>89.177</f>
        <v>89.177000000000007</v>
      </c>
      <c r="F563" s="56">
        <f>240.302-40-60-100</f>
        <v>40.301999999999992</v>
      </c>
      <c r="G563" s="59">
        <v>40</v>
      </c>
      <c r="H563" s="56">
        <f>60+100</f>
        <v>160</v>
      </c>
      <c r="I563" s="56">
        <f t="shared" si="89"/>
        <v>0</v>
      </c>
      <c r="J563" s="59">
        <v>100</v>
      </c>
      <c r="K563" s="59">
        <v>300</v>
      </c>
      <c r="L563" s="56">
        <f t="shared" si="83"/>
        <v>1150</v>
      </c>
      <c r="M563" s="66">
        <v>600</v>
      </c>
      <c r="N563" s="56">
        <f>100</f>
        <v>100</v>
      </c>
      <c r="O563" s="59">
        <v>240</v>
      </c>
      <c r="P563" s="59">
        <v>40</v>
      </c>
      <c r="Q563" s="59">
        <f t="shared" si="84"/>
        <v>315</v>
      </c>
      <c r="R563" s="59">
        <f t="shared" si="85"/>
        <v>100</v>
      </c>
      <c r="S563" s="56">
        <f t="shared" si="86"/>
        <v>695</v>
      </c>
      <c r="T563" s="56">
        <f>50</f>
        <v>50</v>
      </c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</row>
    <row r="564" spans="1:30" ht="15.75">
      <c r="A564" s="13">
        <v>58471</v>
      </c>
      <c r="B564" s="67">
        <v>31</v>
      </c>
      <c r="C564" s="56">
        <f>122.58</f>
        <v>122.58</v>
      </c>
      <c r="D564" s="56">
        <f>297.941</f>
        <v>297.94099999999997</v>
      </c>
      <c r="E564" s="64">
        <f>89.177</f>
        <v>89.177000000000007</v>
      </c>
      <c r="F564" s="56">
        <f>240.302-40-60-100</f>
        <v>40.301999999999992</v>
      </c>
      <c r="G564" s="59">
        <v>40</v>
      </c>
      <c r="H564" s="56">
        <f>60+100</f>
        <v>160</v>
      </c>
      <c r="I564" s="56">
        <f t="shared" si="89"/>
        <v>0</v>
      </c>
      <c r="J564" s="59">
        <v>100</v>
      </c>
      <c r="K564" s="59">
        <v>300</v>
      </c>
      <c r="L564" s="56">
        <f t="shared" si="83"/>
        <v>1150</v>
      </c>
      <c r="M564" s="66">
        <v>600</v>
      </c>
      <c r="N564" s="56">
        <f>100</f>
        <v>100</v>
      </c>
      <c r="O564" s="59">
        <v>240</v>
      </c>
      <c r="P564" s="59">
        <v>40</v>
      </c>
      <c r="Q564" s="59">
        <f t="shared" si="84"/>
        <v>315</v>
      </c>
      <c r="R564" s="59">
        <f t="shared" si="85"/>
        <v>100</v>
      </c>
      <c r="S564" s="56">
        <f t="shared" si="86"/>
        <v>695</v>
      </c>
      <c r="T564" s="56">
        <f>50</f>
        <v>50</v>
      </c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</row>
    <row r="565" spans="1:30" ht="15.75">
      <c r="A565" s="13">
        <v>58499</v>
      </c>
      <c r="B565" s="67">
        <v>29</v>
      </c>
      <c r="C565" s="56">
        <f>122.58</f>
        <v>122.58</v>
      </c>
      <c r="D565" s="56">
        <f>297.941</f>
        <v>297.94099999999997</v>
      </c>
      <c r="E565" s="64">
        <f>89.177</f>
        <v>89.177000000000007</v>
      </c>
      <c r="F565" s="56">
        <f>240.302-40-60-100</f>
        <v>40.301999999999992</v>
      </c>
      <c r="G565" s="59">
        <v>40</v>
      </c>
      <c r="H565" s="56">
        <f>60+100</f>
        <v>160</v>
      </c>
      <c r="I565" s="56">
        <f t="shared" si="89"/>
        <v>0</v>
      </c>
      <c r="J565" s="59">
        <v>100</v>
      </c>
      <c r="K565" s="59">
        <v>300</v>
      </c>
      <c r="L565" s="56">
        <f t="shared" si="83"/>
        <v>1150</v>
      </c>
      <c r="M565" s="66">
        <v>600</v>
      </c>
      <c r="N565" s="56">
        <f>100</f>
        <v>100</v>
      </c>
      <c r="O565" s="59">
        <v>240</v>
      </c>
      <c r="P565" s="59">
        <v>40</v>
      </c>
      <c r="Q565" s="59">
        <f t="shared" si="84"/>
        <v>315</v>
      </c>
      <c r="R565" s="59">
        <f t="shared" si="85"/>
        <v>100</v>
      </c>
      <c r="S565" s="56">
        <f t="shared" si="86"/>
        <v>695</v>
      </c>
      <c r="T565" s="56">
        <f>50</f>
        <v>50</v>
      </c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</row>
    <row r="566" spans="1:30" ht="15.75">
      <c r="A566" s="13">
        <v>58531</v>
      </c>
      <c r="B566" s="67">
        <v>31</v>
      </c>
      <c r="C566" s="56">
        <f>122.58</f>
        <v>122.58</v>
      </c>
      <c r="D566" s="56">
        <f>297.941</f>
        <v>297.94099999999997</v>
      </c>
      <c r="E566" s="64">
        <f>89.177</f>
        <v>89.177000000000007</v>
      </c>
      <c r="F566" s="56">
        <f>240.302-40-60-100</f>
        <v>40.301999999999992</v>
      </c>
      <c r="G566" s="59">
        <v>40</v>
      </c>
      <c r="H566" s="56">
        <f>60+100</f>
        <v>160</v>
      </c>
      <c r="I566" s="56">
        <f t="shared" si="89"/>
        <v>0</v>
      </c>
      <c r="J566" s="59">
        <v>100</v>
      </c>
      <c r="K566" s="59">
        <v>300</v>
      </c>
      <c r="L566" s="56">
        <f t="shared" si="83"/>
        <v>1150</v>
      </c>
      <c r="M566" s="66">
        <v>600</v>
      </c>
      <c r="N566" s="56">
        <f>100</f>
        <v>100</v>
      </c>
      <c r="O566" s="59">
        <v>240</v>
      </c>
      <c r="P566" s="59">
        <v>40</v>
      </c>
      <c r="Q566" s="59">
        <f t="shared" si="84"/>
        <v>315</v>
      </c>
      <c r="R566" s="59">
        <f t="shared" si="85"/>
        <v>100</v>
      </c>
      <c r="S566" s="56">
        <f t="shared" si="86"/>
        <v>695</v>
      </c>
      <c r="T566" s="56">
        <f>50</f>
        <v>50</v>
      </c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</row>
    <row r="567" spans="1:30" ht="15.75">
      <c r="A567" s="13">
        <v>58561</v>
      </c>
      <c r="B567" s="67">
        <v>30</v>
      </c>
      <c r="C567" s="56">
        <f>141.293</f>
        <v>141.29300000000001</v>
      </c>
      <c r="D567" s="56">
        <f>267.993</f>
        <v>267.99299999999999</v>
      </c>
      <c r="E567" s="64">
        <f>115.016</f>
        <v>115.01600000000001</v>
      </c>
      <c r="F567" s="56">
        <f>314.698-40-25-60-100</f>
        <v>89.697999999999979</v>
      </c>
      <c r="G567" s="59">
        <v>40</v>
      </c>
      <c r="H567" s="56">
        <f t="shared" ref="H567:H573" si="91">25+60+100</f>
        <v>185</v>
      </c>
      <c r="I567" s="56">
        <f t="shared" si="89"/>
        <v>0</v>
      </c>
      <c r="J567" s="59">
        <v>100</v>
      </c>
      <c r="K567" s="59">
        <v>300</v>
      </c>
      <c r="L567" s="56">
        <f t="shared" si="83"/>
        <v>1239</v>
      </c>
      <c r="M567" s="66">
        <v>600</v>
      </c>
      <c r="N567" s="56">
        <f>100</f>
        <v>100</v>
      </c>
      <c r="O567" s="59">
        <v>240</v>
      </c>
      <c r="P567" s="59">
        <v>160</v>
      </c>
      <c r="Q567" s="59">
        <f t="shared" si="84"/>
        <v>195</v>
      </c>
      <c r="R567" s="59">
        <f t="shared" si="85"/>
        <v>100</v>
      </c>
      <c r="S567" s="56">
        <f t="shared" si="86"/>
        <v>695</v>
      </c>
      <c r="T567" s="56">
        <f>50</f>
        <v>50</v>
      </c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</row>
    <row r="568" spans="1:30" ht="15.75">
      <c r="A568" s="13">
        <v>58592</v>
      </c>
      <c r="B568" s="67">
        <v>31</v>
      </c>
      <c r="C568" s="56">
        <f>194.205</f>
        <v>194.20500000000001</v>
      </c>
      <c r="D568" s="56">
        <f>267.466</f>
        <v>267.46600000000001</v>
      </c>
      <c r="E568" s="64">
        <f>133.845</f>
        <v>133.845</v>
      </c>
      <c r="F568" s="56">
        <f>278.484-40-25-60-100</f>
        <v>53.48399999999998</v>
      </c>
      <c r="G568" s="59">
        <v>40</v>
      </c>
      <c r="H568" s="56">
        <f t="shared" si="91"/>
        <v>185</v>
      </c>
      <c r="I568" s="56">
        <f t="shared" si="89"/>
        <v>0</v>
      </c>
      <c r="J568" s="59">
        <v>100</v>
      </c>
      <c r="K568" s="59">
        <v>300</v>
      </c>
      <c r="L568" s="56">
        <f t="shared" si="83"/>
        <v>1274</v>
      </c>
      <c r="M568" s="66">
        <v>600</v>
      </c>
      <c r="N568" s="56">
        <f>75</f>
        <v>75</v>
      </c>
      <c r="O568" s="59">
        <v>240</v>
      </c>
      <c r="P568" s="59">
        <v>160</v>
      </c>
      <c r="Q568" s="59">
        <f t="shared" si="84"/>
        <v>195</v>
      </c>
      <c r="R568" s="59">
        <f t="shared" si="85"/>
        <v>100</v>
      </c>
      <c r="S568" s="56">
        <f t="shared" si="86"/>
        <v>695</v>
      </c>
      <c r="T568" s="56">
        <f>50</f>
        <v>50</v>
      </c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</row>
    <row r="569" spans="1:30" ht="15.75">
      <c r="A569" s="13">
        <v>58622</v>
      </c>
      <c r="B569" s="67">
        <v>30</v>
      </c>
      <c r="C569" s="56">
        <f>194.205</f>
        <v>194.20500000000001</v>
      </c>
      <c r="D569" s="56">
        <f>267.466</f>
        <v>267.46600000000001</v>
      </c>
      <c r="E569" s="64">
        <f>133.845</f>
        <v>133.845</v>
      </c>
      <c r="F569" s="56">
        <f>278.484-40-25-60-100</f>
        <v>53.48399999999998</v>
      </c>
      <c r="G569" s="59">
        <v>40</v>
      </c>
      <c r="H569" s="56">
        <f t="shared" si="91"/>
        <v>185</v>
      </c>
      <c r="I569" s="56">
        <f t="shared" si="89"/>
        <v>0</v>
      </c>
      <c r="J569" s="59">
        <v>100</v>
      </c>
      <c r="K569" s="59">
        <v>300</v>
      </c>
      <c r="L569" s="56">
        <f t="shared" si="83"/>
        <v>1274</v>
      </c>
      <c r="M569" s="66">
        <v>600</v>
      </c>
      <c r="N569" s="56">
        <f>30</f>
        <v>30</v>
      </c>
      <c r="O569" s="59">
        <v>240</v>
      </c>
      <c r="P569" s="59">
        <v>160</v>
      </c>
      <c r="Q569" s="59">
        <f t="shared" si="84"/>
        <v>195</v>
      </c>
      <c r="R569" s="59">
        <f t="shared" si="85"/>
        <v>100</v>
      </c>
      <c r="S569" s="56">
        <f t="shared" si="86"/>
        <v>695</v>
      </c>
      <c r="T569" s="56">
        <f>50</f>
        <v>50</v>
      </c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</row>
    <row r="570" spans="1:30" ht="15.75">
      <c r="A570" s="13">
        <v>58653</v>
      </c>
      <c r="B570" s="67">
        <v>31</v>
      </c>
      <c r="C570" s="56">
        <f>194.205</f>
        <v>194.20500000000001</v>
      </c>
      <c r="D570" s="56">
        <f>267.466</f>
        <v>267.46600000000001</v>
      </c>
      <c r="E570" s="64">
        <f>133.845</f>
        <v>133.845</v>
      </c>
      <c r="F570" s="56">
        <f>278.484-40-25-60-100</f>
        <v>53.48399999999998</v>
      </c>
      <c r="G570" s="59">
        <v>40</v>
      </c>
      <c r="H570" s="56">
        <f t="shared" si="91"/>
        <v>185</v>
      </c>
      <c r="I570" s="56">
        <f t="shared" si="89"/>
        <v>0</v>
      </c>
      <c r="J570" s="59">
        <v>100</v>
      </c>
      <c r="K570" s="59">
        <v>300</v>
      </c>
      <c r="L570" s="56">
        <f t="shared" si="83"/>
        <v>1274</v>
      </c>
      <c r="M570" s="66">
        <v>600</v>
      </c>
      <c r="N570" s="56">
        <f>30</f>
        <v>30</v>
      </c>
      <c r="O570" s="59">
        <v>240</v>
      </c>
      <c r="P570" s="59">
        <v>160</v>
      </c>
      <c r="Q570" s="59">
        <f t="shared" si="84"/>
        <v>195</v>
      </c>
      <c r="R570" s="59">
        <f t="shared" si="85"/>
        <v>100</v>
      </c>
      <c r="S570" s="56">
        <f t="shared" si="86"/>
        <v>695</v>
      </c>
      <c r="T570" s="56">
        <f>0</f>
        <v>0</v>
      </c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</row>
    <row r="571" spans="1:30" ht="15.75">
      <c r="A571" s="13">
        <v>58684</v>
      </c>
      <c r="B571" s="67">
        <v>31</v>
      </c>
      <c r="C571" s="56">
        <f>194.205</f>
        <v>194.20500000000001</v>
      </c>
      <c r="D571" s="56">
        <f>267.466</f>
        <v>267.46600000000001</v>
      </c>
      <c r="E571" s="64">
        <f>133.845</f>
        <v>133.845</v>
      </c>
      <c r="F571" s="56">
        <f>278.484-40-25-60-100</f>
        <v>53.48399999999998</v>
      </c>
      <c r="G571" s="59">
        <v>40</v>
      </c>
      <c r="H571" s="56">
        <f t="shared" si="91"/>
        <v>185</v>
      </c>
      <c r="I571" s="56">
        <f t="shared" si="89"/>
        <v>0</v>
      </c>
      <c r="J571" s="59">
        <v>100</v>
      </c>
      <c r="K571" s="59">
        <v>300</v>
      </c>
      <c r="L571" s="56">
        <f t="shared" si="83"/>
        <v>1274</v>
      </c>
      <c r="M571" s="66">
        <v>600</v>
      </c>
      <c r="N571" s="56">
        <f>30</f>
        <v>30</v>
      </c>
      <c r="O571" s="59">
        <v>240</v>
      </c>
      <c r="P571" s="59">
        <v>160</v>
      </c>
      <c r="Q571" s="59">
        <f t="shared" si="84"/>
        <v>195</v>
      </c>
      <c r="R571" s="59">
        <f t="shared" si="85"/>
        <v>100</v>
      </c>
      <c r="S571" s="56">
        <f t="shared" si="86"/>
        <v>695</v>
      </c>
      <c r="T571" s="56">
        <f>0</f>
        <v>0</v>
      </c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</row>
    <row r="572" spans="1:30" ht="15.75">
      <c r="A572" s="13">
        <v>58714</v>
      </c>
      <c r="B572" s="67">
        <v>30</v>
      </c>
      <c r="C572" s="56">
        <f>194.205</f>
        <v>194.20500000000001</v>
      </c>
      <c r="D572" s="56">
        <f>267.466</f>
        <v>267.46600000000001</v>
      </c>
      <c r="E572" s="64">
        <f>133.845</f>
        <v>133.845</v>
      </c>
      <c r="F572" s="56">
        <f>278.484-40-25-60-100</f>
        <v>53.48399999999998</v>
      </c>
      <c r="G572" s="59">
        <v>40</v>
      </c>
      <c r="H572" s="56">
        <f t="shared" si="91"/>
        <v>185</v>
      </c>
      <c r="I572" s="56">
        <f t="shared" si="89"/>
        <v>0</v>
      </c>
      <c r="J572" s="59">
        <v>100</v>
      </c>
      <c r="K572" s="59">
        <v>300</v>
      </c>
      <c r="L572" s="56">
        <f t="shared" si="83"/>
        <v>1274</v>
      </c>
      <c r="M572" s="66">
        <v>600</v>
      </c>
      <c r="N572" s="56">
        <f>30</f>
        <v>30</v>
      </c>
      <c r="O572" s="59">
        <v>240</v>
      </c>
      <c r="P572" s="59">
        <v>160</v>
      </c>
      <c r="Q572" s="59">
        <f t="shared" si="84"/>
        <v>195</v>
      </c>
      <c r="R572" s="59">
        <f t="shared" si="85"/>
        <v>100</v>
      </c>
      <c r="S572" s="56">
        <f t="shared" si="86"/>
        <v>695</v>
      </c>
      <c r="T572" s="56">
        <f>0</f>
        <v>0</v>
      </c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</row>
    <row r="573" spans="1:30" ht="15.75">
      <c r="A573" s="13">
        <v>58745</v>
      </c>
      <c r="B573" s="67">
        <v>31</v>
      </c>
      <c r="C573" s="56">
        <f>131.881</f>
        <v>131.881</v>
      </c>
      <c r="D573" s="56">
        <f>277.167</f>
        <v>277.16699999999997</v>
      </c>
      <c r="E573" s="64">
        <f>79.08</f>
        <v>79.08</v>
      </c>
      <c r="F573" s="56">
        <f>350.872-40-25-60-100</f>
        <v>125.87200000000001</v>
      </c>
      <c r="G573" s="59">
        <v>40</v>
      </c>
      <c r="H573" s="56">
        <f t="shared" si="91"/>
        <v>185</v>
      </c>
      <c r="I573" s="56">
        <f t="shared" si="89"/>
        <v>0</v>
      </c>
      <c r="J573" s="59">
        <v>100</v>
      </c>
      <c r="K573" s="59">
        <v>300</v>
      </c>
      <c r="L573" s="56">
        <f t="shared" si="83"/>
        <v>1239</v>
      </c>
      <c r="M573" s="66">
        <v>600</v>
      </c>
      <c r="N573" s="56">
        <f>75</f>
        <v>75</v>
      </c>
      <c r="O573" s="59">
        <v>240</v>
      </c>
      <c r="P573" s="59">
        <v>160</v>
      </c>
      <c r="Q573" s="59">
        <f t="shared" si="84"/>
        <v>195</v>
      </c>
      <c r="R573" s="59">
        <f t="shared" si="85"/>
        <v>100</v>
      </c>
      <c r="S573" s="56">
        <f t="shared" si="86"/>
        <v>695</v>
      </c>
      <c r="T573" s="56">
        <f>0</f>
        <v>0</v>
      </c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</row>
    <row r="574" spans="1:30" ht="15.75">
      <c r="A574" s="13">
        <v>58775</v>
      </c>
      <c r="B574" s="67">
        <v>30</v>
      </c>
      <c r="C574" s="56">
        <f>122.58</f>
        <v>122.58</v>
      </c>
      <c r="D574" s="56">
        <f>297.941</f>
        <v>297.94099999999997</v>
      </c>
      <c r="E574" s="64">
        <f>89.177</f>
        <v>89.177000000000007</v>
      </c>
      <c r="F574" s="56">
        <f>240.302-40-60-100</f>
        <v>40.301999999999992</v>
      </c>
      <c r="G574" s="59">
        <v>40</v>
      </c>
      <c r="H574" s="56">
        <f>60+100</f>
        <v>160</v>
      </c>
      <c r="I574" s="56">
        <f t="shared" si="89"/>
        <v>0</v>
      </c>
      <c r="J574" s="59">
        <v>100</v>
      </c>
      <c r="K574" s="59">
        <v>300</v>
      </c>
      <c r="L574" s="56">
        <f t="shared" si="83"/>
        <v>1150</v>
      </c>
      <c r="M574" s="66">
        <v>600</v>
      </c>
      <c r="N574" s="56">
        <f>100</f>
        <v>100</v>
      </c>
      <c r="O574" s="59">
        <v>240</v>
      </c>
      <c r="P574" s="59">
        <v>40</v>
      </c>
      <c r="Q574" s="59">
        <f t="shared" si="84"/>
        <v>315</v>
      </c>
      <c r="R574" s="59">
        <f t="shared" si="85"/>
        <v>100</v>
      </c>
      <c r="S574" s="56">
        <f t="shared" si="86"/>
        <v>695</v>
      </c>
      <c r="T574" s="56">
        <f>50</f>
        <v>50</v>
      </c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</row>
    <row r="575" spans="1:30" ht="15.75">
      <c r="A575" s="13">
        <v>58806</v>
      </c>
      <c r="B575" s="67">
        <v>31</v>
      </c>
      <c r="C575" s="56">
        <f>122.58</f>
        <v>122.58</v>
      </c>
      <c r="D575" s="56">
        <f>297.941</f>
        <v>297.94099999999997</v>
      </c>
      <c r="E575" s="64">
        <f>89.177</f>
        <v>89.177000000000007</v>
      </c>
      <c r="F575" s="56">
        <f>240.302-40-60-100</f>
        <v>40.301999999999992</v>
      </c>
      <c r="G575" s="59">
        <v>40</v>
      </c>
      <c r="H575" s="56">
        <f>60+100</f>
        <v>160</v>
      </c>
      <c r="I575" s="56">
        <f t="shared" si="89"/>
        <v>0</v>
      </c>
      <c r="J575" s="59">
        <v>100</v>
      </c>
      <c r="K575" s="59">
        <v>300</v>
      </c>
      <c r="L575" s="56">
        <f t="shared" si="83"/>
        <v>1150</v>
      </c>
      <c r="M575" s="66">
        <v>600</v>
      </c>
      <c r="N575" s="56">
        <f>100</f>
        <v>100</v>
      </c>
      <c r="O575" s="59">
        <v>240</v>
      </c>
      <c r="P575" s="59">
        <v>40</v>
      </c>
      <c r="Q575" s="59">
        <f t="shared" si="84"/>
        <v>315</v>
      </c>
      <c r="R575" s="59">
        <f t="shared" si="85"/>
        <v>100</v>
      </c>
      <c r="S575" s="56">
        <f t="shared" si="86"/>
        <v>695</v>
      </c>
      <c r="T575" s="56">
        <f>50</f>
        <v>50</v>
      </c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</row>
    <row r="576" spans="1:30" ht="15.75">
      <c r="A576" s="13">
        <v>58837</v>
      </c>
      <c r="B576" s="67">
        <v>31</v>
      </c>
      <c r="C576" s="56">
        <f>122.58</f>
        <v>122.58</v>
      </c>
      <c r="D576" s="56">
        <f>297.941</f>
        <v>297.94099999999997</v>
      </c>
      <c r="E576" s="64">
        <f>89.177</f>
        <v>89.177000000000007</v>
      </c>
      <c r="F576" s="56">
        <f>240.302-40-60-100</f>
        <v>40.301999999999992</v>
      </c>
      <c r="G576" s="59">
        <v>40</v>
      </c>
      <c r="H576" s="56">
        <f>60+100</f>
        <v>160</v>
      </c>
      <c r="I576" s="56">
        <f t="shared" si="89"/>
        <v>0</v>
      </c>
      <c r="J576" s="59">
        <v>100</v>
      </c>
      <c r="K576" s="59">
        <v>300</v>
      </c>
      <c r="L576" s="56">
        <f t="shared" si="83"/>
        <v>1150</v>
      </c>
      <c r="M576" s="66">
        <v>600</v>
      </c>
      <c r="N576" s="56">
        <f>100</f>
        <v>100</v>
      </c>
      <c r="O576" s="59">
        <v>240</v>
      </c>
      <c r="P576" s="59">
        <v>40</v>
      </c>
      <c r="Q576" s="59">
        <f t="shared" si="84"/>
        <v>315</v>
      </c>
      <c r="R576" s="59">
        <f t="shared" si="85"/>
        <v>100</v>
      </c>
      <c r="S576" s="56">
        <f t="shared" si="86"/>
        <v>695</v>
      </c>
      <c r="T576" s="56">
        <f>50</f>
        <v>50</v>
      </c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</row>
    <row r="577" spans="1:30" ht="15.75">
      <c r="A577" s="13">
        <v>58865</v>
      </c>
      <c r="B577" s="67">
        <v>28</v>
      </c>
      <c r="C577" s="56">
        <f>122.58</f>
        <v>122.58</v>
      </c>
      <c r="D577" s="56">
        <f>297.941</f>
        <v>297.94099999999997</v>
      </c>
      <c r="E577" s="64">
        <f>89.177</f>
        <v>89.177000000000007</v>
      </c>
      <c r="F577" s="56">
        <f>240.302-40-60-100</f>
        <v>40.301999999999992</v>
      </c>
      <c r="G577" s="59">
        <v>40</v>
      </c>
      <c r="H577" s="56">
        <f>60+100</f>
        <v>160</v>
      </c>
      <c r="I577" s="56">
        <f t="shared" si="89"/>
        <v>0</v>
      </c>
      <c r="J577" s="59">
        <v>100</v>
      </c>
      <c r="K577" s="59">
        <v>300</v>
      </c>
      <c r="L577" s="56">
        <f t="shared" si="83"/>
        <v>1150</v>
      </c>
      <c r="M577" s="66">
        <v>600</v>
      </c>
      <c r="N577" s="56">
        <f>100</f>
        <v>100</v>
      </c>
      <c r="O577" s="59">
        <v>240</v>
      </c>
      <c r="P577" s="59">
        <v>40</v>
      </c>
      <c r="Q577" s="59">
        <f t="shared" si="84"/>
        <v>315</v>
      </c>
      <c r="R577" s="59">
        <f t="shared" si="85"/>
        <v>100</v>
      </c>
      <c r="S577" s="56">
        <f t="shared" si="86"/>
        <v>695</v>
      </c>
      <c r="T577" s="56">
        <f>50</f>
        <v>50</v>
      </c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</row>
    <row r="578" spans="1:30" ht="15.75">
      <c r="A578" s="13">
        <v>58893</v>
      </c>
      <c r="B578" s="67">
        <v>31</v>
      </c>
      <c r="C578" s="56">
        <f>122.58</f>
        <v>122.58</v>
      </c>
      <c r="D578" s="56">
        <f>297.941</f>
        <v>297.94099999999997</v>
      </c>
      <c r="E578" s="64">
        <f>89.177</f>
        <v>89.177000000000007</v>
      </c>
      <c r="F578" s="56">
        <f>240.302-40-60-100</f>
        <v>40.301999999999992</v>
      </c>
      <c r="G578" s="59">
        <v>40</v>
      </c>
      <c r="H578" s="56">
        <f>60+100</f>
        <v>160</v>
      </c>
      <c r="I578" s="56">
        <f t="shared" si="89"/>
        <v>0</v>
      </c>
      <c r="J578" s="59">
        <v>100</v>
      </c>
      <c r="K578" s="59">
        <v>300</v>
      </c>
      <c r="L578" s="56">
        <f t="shared" si="83"/>
        <v>1150</v>
      </c>
      <c r="M578" s="66">
        <v>600</v>
      </c>
      <c r="N578" s="56">
        <f>100</f>
        <v>100</v>
      </c>
      <c r="O578" s="59">
        <v>240</v>
      </c>
      <c r="P578" s="59">
        <v>40</v>
      </c>
      <c r="Q578" s="59">
        <f t="shared" si="84"/>
        <v>315</v>
      </c>
      <c r="R578" s="59">
        <f t="shared" si="85"/>
        <v>100</v>
      </c>
      <c r="S578" s="56">
        <f t="shared" si="86"/>
        <v>695</v>
      </c>
      <c r="T578" s="56">
        <f>50</f>
        <v>50</v>
      </c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</row>
    <row r="579" spans="1:30" ht="15.75">
      <c r="A579" s="13">
        <v>58926</v>
      </c>
      <c r="B579" s="67">
        <v>30</v>
      </c>
      <c r="C579" s="56">
        <f>141.293</f>
        <v>141.29300000000001</v>
      </c>
      <c r="D579" s="56">
        <f>267.993</f>
        <v>267.99299999999999</v>
      </c>
      <c r="E579" s="64">
        <f>115.016</f>
        <v>115.01600000000001</v>
      </c>
      <c r="F579" s="56">
        <f>314.698-40-25-60-100</f>
        <v>89.697999999999979</v>
      </c>
      <c r="G579" s="59">
        <v>40</v>
      </c>
      <c r="H579" s="56">
        <f t="shared" ref="H579:H585" si="92">25+60+100</f>
        <v>185</v>
      </c>
      <c r="I579" s="56">
        <f t="shared" si="89"/>
        <v>0</v>
      </c>
      <c r="J579" s="59">
        <v>100</v>
      </c>
      <c r="K579" s="59">
        <v>300</v>
      </c>
      <c r="L579" s="56">
        <f t="shared" si="83"/>
        <v>1239</v>
      </c>
      <c r="M579" s="66">
        <v>600</v>
      </c>
      <c r="N579" s="56">
        <f>100</f>
        <v>100</v>
      </c>
      <c r="O579" s="59">
        <v>240</v>
      </c>
      <c r="P579" s="59">
        <v>160</v>
      </c>
      <c r="Q579" s="59">
        <f t="shared" si="84"/>
        <v>195</v>
      </c>
      <c r="R579" s="59">
        <f t="shared" si="85"/>
        <v>100</v>
      </c>
      <c r="S579" s="56">
        <f t="shared" si="86"/>
        <v>695</v>
      </c>
      <c r="T579" s="56">
        <f>50</f>
        <v>50</v>
      </c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</row>
    <row r="580" spans="1:30" ht="15.75">
      <c r="A580" s="13">
        <v>58957</v>
      </c>
      <c r="B580" s="67">
        <v>31</v>
      </c>
      <c r="C580" s="56">
        <f>194.205</f>
        <v>194.20500000000001</v>
      </c>
      <c r="D580" s="56">
        <f>267.466</f>
        <v>267.46600000000001</v>
      </c>
      <c r="E580" s="64">
        <f>133.845</f>
        <v>133.845</v>
      </c>
      <c r="F580" s="56">
        <f>278.484-40-25-60-100</f>
        <v>53.48399999999998</v>
      </c>
      <c r="G580" s="59">
        <v>40</v>
      </c>
      <c r="H580" s="56">
        <f t="shared" si="92"/>
        <v>185</v>
      </c>
      <c r="I580" s="56">
        <f t="shared" si="89"/>
        <v>0</v>
      </c>
      <c r="J580" s="59">
        <v>100</v>
      </c>
      <c r="K580" s="59">
        <v>300</v>
      </c>
      <c r="L580" s="56">
        <f t="shared" si="83"/>
        <v>1274</v>
      </c>
      <c r="M580" s="66">
        <v>600</v>
      </c>
      <c r="N580" s="56">
        <f>75</f>
        <v>75</v>
      </c>
      <c r="O580" s="59">
        <v>240</v>
      </c>
      <c r="P580" s="59">
        <v>160</v>
      </c>
      <c r="Q580" s="59">
        <f t="shared" si="84"/>
        <v>195</v>
      </c>
      <c r="R580" s="59">
        <f t="shared" si="85"/>
        <v>100</v>
      </c>
      <c r="S580" s="56">
        <f t="shared" si="86"/>
        <v>695</v>
      </c>
      <c r="T580" s="56">
        <f>50</f>
        <v>50</v>
      </c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</row>
    <row r="581" spans="1:30" ht="15.75">
      <c r="A581" s="13">
        <v>58987</v>
      </c>
      <c r="B581" s="67">
        <v>30</v>
      </c>
      <c r="C581" s="56">
        <f>194.205</f>
        <v>194.20500000000001</v>
      </c>
      <c r="D581" s="56">
        <f>267.466</f>
        <v>267.46600000000001</v>
      </c>
      <c r="E581" s="64">
        <f>133.845</f>
        <v>133.845</v>
      </c>
      <c r="F581" s="56">
        <f>278.484-40-25-60-100</f>
        <v>53.48399999999998</v>
      </c>
      <c r="G581" s="59">
        <v>40</v>
      </c>
      <c r="H581" s="56">
        <f t="shared" si="92"/>
        <v>185</v>
      </c>
      <c r="I581" s="56">
        <f t="shared" si="89"/>
        <v>0</v>
      </c>
      <c r="J581" s="59">
        <v>100</v>
      </c>
      <c r="K581" s="59">
        <v>300</v>
      </c>
      <c r="L581" s="56">
        <f t="shared" si="83"/>
        <v>1274</v>
      </c>
      <c r="M581" s="66">
        <v>600</v>
      </c>
      <c r="N581" s="56">
        <f>30</f>
        <v>30</v>
      </c>
      <c r="O581" s="59">
        <v>240</v>
      </c>
      <c r="P581" s="59">
        <v>160</v>
      </c>
      <c r="Q581" s="59">
        <f t="shared" si="84"/>
        <v>195</v>
      </c>
      <c r="R581" s="59">
        <f t="shared" si="85"/>
        <v>100</v>
      </c>
      <c r="S581" s="56">
        <f t="shared" si="86"/>
        <v>695</v>
      </c>
      <c r="T581" s="56">
        <f>50</f>
        <v>50</v>
      </c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</row>
    <row r="582" spans="1:30" ht="15.75">
      <c r="A582" s="13">
        <v>59018</v>
      </c>
      <c r="B582" s="67">
        <v>31</v>
      </c>
      <c r="C582" s="56">
        <f>194.205</f>
        <v>194.20500000000001</v>
      </c>
      <c r="D582" s="56">
        <f>267.466</f>
        <v>267.46600000000001</v>
      </c>
      <c r="E582" s="64">
        <f>133.845</f>
        <v>133.845</v>
      </c>
      <c r="F582" s="56">
        <f>278.484-40-25-60-100</f>
        <v>53.48399999999998</v>
      </c>
      <c r="G582" s="59">
        <v>40</v>
      </c>
      <c r="H582" s="56">
        <f t="shared" si="92"/>
        <v>185</v>
      </c>
      <c r="I582" s="56">
        <f t="shared" si="89"/>
        <v>0</v>
      </c>
      <c r="J582" s="59">
        <v>100</v>
      </c>
      <c r="K582" s="59">
        <v>300</v>
      </c>
      <c r="L582" s="56">
        <f t="shared" si="83"/>
        <v>1274</v>
      </c>
      <c r="M582" s="66">
        <v>600</v>
      </c>
      <c r="N582" s="56">
        <f>30</f>
        <v>30</v>
      </c>
      <c r="O582" s="59">
        <v>240</v>
      </c>
      <c r="P582" s="59">
        <v>160</v>
      </c>
      <c r="Q582" s="59">
        <f t="shared" si="84"/>
        <v>195</v>
      </c>
      <c r="R582" s="59">
        <f t="shared" si="85"/>
        <v>100</v>
      </c>
      <c r="S582" s="56">
        <f t="shared" si="86"/>
        <v>695</v>
      </c>
      <c r="T582" s="56">
        <f>0</f>
        <v>0</v>
      </c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</row>
    <row r="583" spans="1:30" ht="15.75">
      <c r="A583" s="13">
        <v>59049</v>
      </c>
      <c r="B583" s="67">
        <v>31</v>
      </c>
      <c r="C583" s="56">
        <f>194.205</f>
        <v>194.20500000000001</v>
      </c>
      <c r="D583" s="56">
        <f>267.466</f>
        <v>267.46600000000001</v>
      </c>
      <c r="E583" s="64">
        <f>133.845</f>
        <v>133.845</v>
      </c>
      <c r="F583" s="56">
        <f>278.484-40-25-60-100</f>
        <v>53.48399999999998</v>
      </c>
      <c r="G583" s="59">
        <v>40</v>
      </c>
      <c r="H583" s="56">
        <f t="shared" si="92"/>
        <v>185</v>
      </c>
      <c r="I583" s="56">
        <f t="shared" si="89"/>
        <v>0</v>
      </c>
      <c r="J583" s="59">
        <v>100</v>
      </c>
      <c r="K583" s="59">
        <v>300</v>
      </c>
      <c r="L583" s="56">
        <f t="shared" si="83"/>
        <v>1274</v>
      </c>
      <c r="M583" s="66">
        <v>600</v>
      </c>
      <c r="N583" s="56">
        <f>30</f>
        <v>30</v>
      </c>
      <c r="O583" s="59">
        <v>240</v>
      </c>
      <c r="P583" s="59">
        <v>160</v>
      </c>
      <c r="Q583" s="59">
        <f t="shared" si="84"/>
        <v>195</v>
      </c>
      <c r="R583" s="59">
        <f t="shared" si="85"/>
        <v>100</v>
      </c>
      <c r="S583" s="56">
        <f t="shared" si="86"/>
        <v>695</v>
      </c>
      <c r="T583" s="56">
        <f>0</f>
        <v>0</v>
      </c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</row>
    <row r="584" spans="1:30" ht="15.75">
      <c r="A584" s="13">
        <v>59079</v>
      </c>
      <c r="B584" s="67">
        <v>30</v>
      </c>
      <c r="C584" s="56">
        <f>194.205</f>
        <v>194.20500000000001</v>
      </c>
      <c r="D584" s="56">
        <f>267.466</f>
        <v>267.46600000000001</v>
      </c>
      <c r="E584" s="64">
        <f>133.845</f>
        <v>133.845</v>
      </c>
      <c r="F584" s="56">
        <f>278.484-40-25-60-100</f>
        <v>53.48399999999998</v>
      </c>
      <c r="G584" s="59">
        <v>40</v>
      </c>
      <c r="H584" s="56">
        <f t="shared" si="92"/>
        <v>185</v>
      </c>
      <c r="I584" s="56">
        <f t="shared" si="89"/>
        <v>0</v>
      </c>
      <c r="J584" s="59">
        <v>100</v>
      </c>
      <c r="K584" s="59">
        <v>300</v>
      </c>
      <c r="L584" s="56">
        <f t="shared" si="83"/>
        <v>1274</v>
      </c>
      <c r="M584" s="66">
        <v>600</v>
      </c>
      <c r="N584" s="56">
        <f>30</f>
        <v>30</v>
      </c>
      <c r="O584" s="59">
        <v>240</v>
      </c>
      <c r="P584" s="59">
        <v>160</v>
      </c>
      <c r="Q584" s="59">
        <f t="shared" si="84"/>
        <v>195</v>
      </c>
      <c r="R584" s="59">
        <f t="shared" si="85"/>
        <v>100</v>
      </c>
      <c r="S584" s="56">
        <f t="shared" si="86"/>
        <v>695</v>
      </c>
      <c r="T584" s="56">
        <f>0</f>
        <v>0</v>
      </c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</row>
    <row r="585" spans="1:30" ht="15.75">
      <c r="A585" s="13">
        <v>59110</v>
      </c>
      <c r="B585" s="67">
        <v>31</v>
      </c>
      <c r="C585" s="56">
        <f>131.881</f>
        <v>131.881</v>
      </c>
      <c r="D585" s="56">
        <f>277.167</f>
        <v>277.16699999999997</v>
      </c>
      <c r="E585" s="64">
        <f>79.08</f>
        <v>79.08</v>
      </c>
      <c r="F585" s="56">
        <f>350.872-40-25-60-100</f>
        <v>125.87200000000001</v>
      </c>
      <c r="G585" s="59">
        <v>40</v>
      </c>
      <c r="H585" s="56">
        <f t="shared" si="92"/>
        <v>185</v>
      </c>
      <c r="I585" s="56">
        <f t="shared" si="89"/>
        <v>0</v>
      </c>
      <c r="J585" s="59">
        <v>100</v>
      </c>
      <c r="K585" s="59">
        <v>300</v>
      </c>
      <c r="L585" s="56">
        <f t="shared" si="83"/>
        <v>1239</v>
      </c>
      <c r="M585" s="66">
        <v>600</v>
      </c>
      <c r="N585" s="56">
        <f>75</f>
        <v>75</v>
      </c>
      <c r="O585" s="59">
        <v>240</v>
      </c>
      <c r="P585" s="59">
        <v>160</v>
      </c>
      <c r="Q585" s="59">
        <f t="shared" si="84"/>
        <v>195</v>
      </c>
      <c r="R585" s="59">
        <f t="shared" si="85"/>
        <v>100</v>
      </c>
      <c r="S585" s="56">
        <f t="shared" si="86"/>
        <v>695</v>
      </c>
      <c r="T585" s="56">
        <f>0</f>
        <v>0</v>
      </c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</row>
    <row r="586" spans="1:30" ht="15.75">
      <c r="A586" s="13">
        <v>59140</v>
      </c>
      <c r="B586" s="67">
        <v>30</v>
      </c>
      <c r="C586" s="56">
        <f>122.58</f>
        <v>122.58</v>
      </c>
      <c r="D586" s="56">
        <f>297.941</f>
        <v>297.94099999999997</v>
      </c>
      <c r="E586" s="64">
        <f>89.177</f>
        <v>89.177000000000007</v>
      </c>
      <c r="F586" s="56">
        <f>240.302-40-60-100</f>
        <v>40.301999999999992</v>
      </c>
      <c r="G586" s="59">
        <v>40</v>
      </c>
      <c r="H586" s="56">
        <f>60+100</f>
        <v>160</v>
      </c>
      <c r="I586" s="56">
        <f t="shared" si="89"/>
        <v>0</v>
      </c>
      <c r="J586" s="59">
        <v>100</v>
      </c>
      <c r="K586" s="59">
        <v>300</v>
      </c>
      <c r="L586" s="56">
        <f t="shared" si="83"/>
        <v>1150</v>
      </c>
      <c r="M586" s="66">
        <v>600</v>
      </c>
      <c r="N586" s="56">
        <f>100</f>
        <v>100</v>
      </c>
      <c r="O586" s="59">
        <v>240</v>
      </c>
      <c r="P586" s="59">
        <v>40</v>
      </c>
      <c r="Q586" s="59">
        <f t="shared" si="84"/>
        <v>315</v>
      </c>
      <c r="R586" s="59">
        <f t="shared" si="85"/>
        <v>100</v>
      </c>
      <c r="S586" s="56">
        <f t="shared" si="86"/>
        <v>695</v>
      </c>
      <c r="T586" s="56">
        <f>50</f>
        <v>50</v>
      </c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</row>
    <row r="587" spans="1:30" ht="15.75">
      <c r="A587" s="13">
        <v>59171</v>
      </c>
      <c r="B587" s="67">
        <v>31</v>
      </c>
      <c r="C587" s="56">
        <f>122.58</f>
        <v>122.58</v>
      </c>
      <c r="D587" s="56">
        <f>297.941</f>
        <v>297.94099999999997</v>
      </c>
      <c r="E587" s="64">
        <f>89.177</f>
        <v>89.177000000000007</v>
      </c>
      <c r="F587" s="56">
        <f>240.302-40-60-100</f>
        <v>40.301999999999992</v>
      </c>
      <c r="G587" s="59">
        <v>40</v>
      </c>
      <c r="H587" s="56">
        <f>60+100</f>
        <v>160</v>
      </c>
      <c r="I587" s="56">
        <f t="shared" si="89"/>
        <v>0</v>
      </c>
      <c r="J587" s="59">
        <v>100</v>
      </c>
      <c r="K587" s="59">
        <v>300</v>
      </c>
      <c r="L587" s="56">
        <f t="shared" si="83"/>
        <v>1150</v>
      </c>
      <c r="M587" s="66">
        <v>600</v>
      </c>
      <c r="N587" s="56">
        <f>100</f>
        <v>100</v>
      </c>
      <c r="O587" s="59">
        <v>240</v>
      </c>
      <c r="P587" s="59">
        <v>40</v>
      </c>
      <c r="Q587" s="59">
        <f t="shared" si="84"/>
        <v>315</v>
      </c>
      <c r="R587" s="59">
        <f t="shared" si="85"/>
        <v>100</v>
      </c>
      <c r="S587" s="56">
        <f t="shared" si="86"/>
        <v>695</v>
      </c>
      <c r="T587" s="56">
        <f>50</f>
        <v>50</v>
      </c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</row>
    <row r="588" spans="1:30" ht="15.75">
      <c r="A588" s="13">
        <v>59202</v>
      </c>
      <c r="B588" s="67">
        <f t="shared" ref="B588:B651" si="93">EOMONTH(A588,0)-EOMONTH(A588,-1)</f>
        <v>31</v>
      </c>
      <c r="C588" s="56">
        <f>122.58</f>
        <v>122.58</v>
      </c>
      <c r="D588" s="56">
        <f>297.941</f>
        <v>297.94099999999997</v>
      </c>
      <c r="E588" s="64">
        <f>89.177</f>
        <v>89.177000000000007</v>
      </c>
      <c r="F588" s="56">
        <f>240.302-40-60-100</f>
        <v>40.301999999999992</v>
      </c>
      <c r="G588" s="59">
        <v>40</v>
      </c>
      <c r="H588" s="56">
        <f>60+100</f>
        <v>160</v>
      </c>
      <c r="I588" s="56">
        <f t="shared" si="89"/>
        <v>0</v>
      </c>
      <c r="J588" s="59">
        <v>100</v>
      </c>
      <c r="K588" s="59">
        <v>300</v>
      </c>
      <c r="L588" s="56">
        <f t="shared" si="83"/>
        <v>1150</v>
      </c>
      <c r="M588" s="66">
        <v>600</v>
      </c>
      <c r="N588" s="56">
        <f>100</f>
        <v>100</v>
      </c>
      <c r="O588" s="59">
        <v>240</v>
      </c>
      <c r="P588" s="59">
        <v>40</v>
      </c>
      <c r="Q588" s="59">
        <f t="shared" si="84"/>
        <v>315</v>
      </c>
      <c r="R588" s="59">
        <f t="shared" si="85"/>
        <v>100</v>
      </c>
      <c r="S588" s="56">
        <f t="shared" si="86"/>
        <v>695</v>
      </c>
      <c r="T588" s="56">
        <f>50</f>
        <v>50</v>
      </c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</row>
    <row r="589" spans="1:30" ht="15.75">
      <c r="A589" s="13">
        <v>59230</v>
      </c>
      <c r="B589" s="67">
        <f t="shared" si="93"/>
        <v>28</v>
      </c>
      <c r="C589" s="56">
        <f>122.58</f>
        <v>122.58</v>
      </c>
      <c r="D589" s="56">
        <f>297.941</f>
        <v>297.94099999999997</v>
      </c>
      <c r="E589" s="64">
        <f>89.177</f>
        <v>89.177000000000007</v>
      </c>
      <c r="F589" s="56">
        <f>240.302-40-60-100</f>
        <v>40.301999999999992</v>
      </c>
      <c r="G589" s="59">
        <v>40</v>
      </c>
      <c r="H589" s="56">
        <f>60+100</f>
        <v>160</v>
      </c>
      <c r="I589" s="56">
        <f t="shared" si="89"/>
        <v>0</v>
      </c>
      <c r="J589" s="59">
        <v>100</v>
      </c>
      <c r="K589" s="59">
        <v>300</v>
      </c>
      <c r="L589" s="56">
        <f t="shared" si="83"/>
        <v>1150</v>
      </c>
      <c r="M589" s="66">
        <v>600</v>
      </c>
      <c r="N589" s="56">
        <f>100</f>
        <v>100</v>
      </c>
      <c r="O589" s="59">
        <v>240</v>
      </c>
      <c r="P589" s="59">
        <v>40</v>
      </c>
      <c r="Q589" s="59">
        <f t="shared" si="84"/>
        <v>315</v>
      </c>
      <c r="R589" s="59">
        <f t="shared" si="85"/>
        <v>100</v>
      </c>
      <c r="S589" s="56">
        <f t="shared" si="86"/>
        <v>695</v>
      </c>
      <c r="T589" s="56">
        <f>50</f>
        <v>50</v>
      </c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</row>
    <row r="590" spans="1:30" ht="15.75">
      <c r="A590" s="13">
        <v>59261</v>
      </c>
      <c r="B590" s="67">
        <f t="shared" si="93"/>
        <v>31</v>
      </c>
      <c r="C590" s="56">
        <f>122.58</f>
        <v>122.58</v>
      </c>
      <c r="D590" s="56">
        <f>297.941</f>
        <v>297.94099999999997</v>
      </c>
      <c r="E590" s="64">
        <f>89.177</f>
        <v>89.177000000000007</v>
      </c>
      <c r="F590" s="56">
        <f>240.302-40-60-100</f>
        <v>40.301999999999992</v>
      </c>
      <c r="G590" s="59">
        <v>40</v>
      </c>
      <c r="H590" s="56">
        <f>60+100</f>
        <v>160</v>
      </c>
      <c r="I590" s="56">
        <f t="shared" si="89"/>
        <v>0</v>
      </c>
      <c r="J590" s="59">
        <v>100</v>
      </c>
      <c r="K590" s="59">
        <v>300</v>
      </c>
      <c r="L590" s="56">
        <f t="shared" si="83"/>
        <v>1150</v>
      </c>
      <c r="M590" s="66">
        <v>600</v>
      </c>
      <c r="N590" s="56">
        <f>100</f>
        <v>100</v>
      </c>
      <c r="O590" s="59">
        <v>240</v>
      </c>
      <c r="P590" s="59">
        <v>40</v>
      </c>
      <c r="Q590" s="59">
        <f t="shared" si="84"/>
        <v>315</v>
      </c>
      <c r="R590" s="59">
        <f t="shared" si="85"/>
        <v>100</v>
      </c>
      <c r="S590" s="56">
        <f t="shared" si="86"/>
        <v>695</v>
      </c>
      <c r="T590" s="56">
        <f>50</f>
        <v>50</v>
      </c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</row>
    <row r="591" spans="1:30" ht="15.75">
      <c r="A591" s="13">
        <v>59291</v>
      </c>
      <c r="B591" s="67">
        <f t="shared" si="93"/>
        <v>30</v>
      </c>
      <c r="C591" s="56">
        <f>141.293</f>
        <v>141.29300000000001</v>
      </c>
      <c r="D591" s="56">
        <f>267.993</f>
        <v>267.99299999999999</v>
      </c>
      <c r="E591" s="64">
        <f>115.016</f>
        <v>115.01600000000001</v>
      </c>
      <c r="F591" s="56">
        <f>314.698-40-25-60-100</f>
        <v>89.697999999999979</v>
      </c>
      <c r="G591" s="59">
        <v>40</v>
      </c>
      <c r="H591" s="56">
        <f t="shared" ref="H591:H597" si="94">25+60+100</f>
        <v>185</v>
      </c>
      <c r="I591" s="56">
        <f t="shared" si="89"/>
        <v>0</v>
      </c>
      <c r="J591" s="59">
        <v>100</v>
      </c>
      <c r="K591" s="59">
        <v>300</v>
      </c>
      <c r="L591" s="56">
        <f t="shared" si="83"/>
        <v>1239</v>
      </c>
      <c r="M591" s="66">
        <v>600</v>
      </c>
      <c r="N591" s="56">
        <f>100</f>
        <v>100</v>
      </c>
      <c r="O591" s="59">
        <v>240</v>
      </c>
      <c r="P591" s="59">
        <v>40</v>
      </c>
      <c r="Q591" s="59">
        <f t="shared" si="84"/>
        <v>315</v>
      </c>
      <c r="R591" s="59">
        <f t="shared" si="85"/>
        <v>100</v>
      </c>
      <c r="S591" s="56">
        <f t="shared" si="86"/>
        <v>695</v>
      </c>
      <c r="T591" s="56">
        <f>50</f>
        <v>50</v>
      </c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</row>
    <row r="592" spans="1:30" ht="15.75">
      <c r="A592" s="13">
        <v>59322</v>
      </c>
      <c r="B592" s="67">
        <f t="shared" si="93"/>
        <v>31</v>
      </c>
      <c r="C592" s="56">
        <f>194.205</f>
        <v>194.20500000000001</v>
      </c>
      <c r="D592" s="56">
        <f>267.466</f>
        <v>267.46600000000001</v>
      </c>
      <c r="E592" s="64">
        <f>133.845</f>
        <v>133.845</v>
      </c>
      <c r="F592" s="56">
        <f>278.484-40-25-60-100</f>
        <v>53.48399999999998</v>
      </c>
      <c r="G592" s="59">
        <v>40</v>
      </c>
      <c r="H592" s="56">
        <f t="shared" si="94"/>
        <v>185</v>
      </c>
      <c r="I592" s="56">
        <f t="shared" si="89"/>
        <v>0</v>
      </c>
      <c r="J592" s="59">
        <v>100</v>
      </c>
      <c r="K592" s="59">
        <v>300</v>
      </c>
      <c r="L592" s="56">
        <f t="shared" si="83"/>
        <v>1274</v>
      </c>
      <c r="M592" s="66">
        <v>600</v>
      </c>
      <c r="N592" s="56">
        <f>75</f>
        <v>75</v>
      </c>
      <c r="O592" s="59">
        <v>240</v>
      </c>
      <c r="P592" s="59">
        <v>40</v>
      </c>
      <c r="Q592" s="59">
        <f t="shared" si="84"/>
        <v>315</v>
      </c>
      <c r="R592" s="59">
        <f t="shared" si="85"/>
        <v>100</v>
      </c>
      <c r="S592" s="56">
        <f t="shared" si="86"/>
        <v>695</v>
      </c>
      <c r="T592" s="56">
        <f>50</f>
        <v>50</v>
      </c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</row>
    <row r="593" spans="1:30" ht="15.75">
      <c r="A593" s="13">
        <v>59352</v>
      </c>
      <c r="B593" s="67">
        <f t="shared" si="93"/>
        <v>30</v>
      </c>
      <c r="C593" s="56">
        <f>194.205</f>
        <v>194.20500000000001</v>
      </c>
      <c r="D593" s="56">
        <f>267.466</f>
        <v>267.46600000000001</v>
      </c>
      <c r="E593" s="64">
        <f>133.845</f>
        <v>133.845</v>
      </c>
      <c r="F593" s="56">
        <f>278.484-40-25-60-100</f>
        <v>53.48399999999998</v>
      </c>
      <c r="G593" s="59">
        <v>40</v>
      </c>
      <c r="H593" s="56">
        <f t="shared" si="94"/>
        <v>185</v>
      </c>
      <c r="I593" s="56">
        <f t="shared" si="89"/>
        <v>0</v>
      </c>
      <c r="J593" s="59">
        <v>100</v>
      </c>
      <c r="K593" s="59">
        <v>300</v>
      </c>
      <c r="L593" s="56">
        <f t="shared" ref="L593:L656" si="95">SUM(C593:K593)</f>
        <v>1274</v>
      </c>
      <c r="M593" s="66">
        <v>600</v>
      </c>
      <c r="N593" s="56">
        <f>30</f>
        <v>30</v>
      </c>
      <c r="O593" s="59">
        <v>240</v>
      </c>
      <c r="P593" s="59">
        <v>40</v>
      </c>
      <c r="Q593" s="59">
        <f t="shared" ref="Q593:Q656" si="96">695-R593-O593-P593</f>
        <v>315</v>
      </c>
      <c r="R593" s="59">
        <f t="shared" ref="R593:R656" si="97">200-J593</f>
        <v>100</v>
      </c>
      <c r="S593" s="56">
        <f t="shared" ref="S593:S656" si="98">SUM(O593:R593)</f>
        <v>695</v>
      </c>
      <c r="T593" s="56">
        <f>50</f>
        <v>50</v>
      </c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</row>
    <row r="594" spans="1:30" ht="15.75">
      <c r="A594" s="13">
        <v>59383</v>
      </c>
      <c r="B594" s="67">
        <f t="shared" si="93"/>
        <v>31</v>
      </c>
      <c r="C594" s="56">
        <f>194.205</f>
        <v>194.20500000000001</v>
      </c>
      <c r="D594" s="56">
        <f>267.466</f>
        <v>267.46600000000001</v>
      </c>
      <c r="E594" s="64">
        <f>133.845</f>
        <v>133.845</v>
      </c>
      <c r="F594" s="56">
        <f>278.484-40-25-60-100</f>
        <v>53.48399999999998</v>
      </c>
      <c r="G594" s="59">
        <v>40</v>
      </c>
      <c r="H594" s="56">
        <f t="shared" si="94"/>
        <v>185</v>
      </c>
      <c r="I594" s="56">
        <f t="shared" si="89"/>
        <v>0</v>
      </c>
      <c r="J594" s="59">
        <v>100</v>
      </c>
      <c r="K594" s="59">
        <v>300</v>
      </c>
      <c r="L594" s="56">
        <f t="shared" si="95"/>
        <v>1274</v>
      </c>
      <c r="M594" s="66">
        <v>600</v>
      </c>
      <c r="N594" s="56">
        <f>30</f>
        <v>30</v>
      </c>
      <c r="O594" s="59">
        <v>240</v>
      </c>
      <c r="P594" s="59">
        <v>40</v>
      </c>
      <c r="Q594" s="59">
        <f t="shared" si="96"/>
        <v>315</v>
      </c>
      <c r="R594" s="59">
        <f t="shared" si="97"/>
        <v>100</v>
      </c>
      <c r="S594" s="56">
        <f t="shared" si="98"/>
        <v>695</v>
      </c>
      <c r="T594" s="56">
        <f>0</f>
        <v>0</v>
      </c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</row>
    <row r="595" spans="1:30" ht="15.75">
      <c r="A595" s="13">
        <v>59414</v>
      </c>
      <c r="B595" s="67">
        <f t="shared" si="93"/>
        <v>31</v>
      </c>
      <c r="C595" s="56">
        <f>194.205</f>
        <v>194.20500000000001</v>
      </c>
      <c r="D595" s="56">
        <f>267.466</f>
        <v>267.46600000000001</v>
      </c>
      <c r="E595" s="64">
        <f>133.845</f>
        <v>133.845</v>
      </c>
      <c r="F595" s="56">
        <f>278.484-40-25-60-100</f>
        <v>53.48399999999998</v>
      </c>
      <c r="G595" s="59">
        <v>40</v>
      </c>
      <c r="H595" s="56">
        <f t="shared" si="94"/>
        <v>185</v>
      </c>
      <c r="I595" s="56">
        <f t="shared" si="89"/>
        <v>0</v>
      </c>
      <c r="J595" s="59">
        <v>100</v>
      </c>
      <c r="K595" s="59">
        <v>300</v>
      </c>
      <c r="L595" s="56">
        <f t="shared" si="95"/>
        <v>1274</v>
      </c>
      <c r="M595" s="66">
        <v>600</v>
      </c>
      <c r="N595" s="56">
        <f>30</f>
        <v>30</v>
      </c>
      <c r="O595" s="59">
        <v>240</v>
      </c>
      <c r="P595" s="59">
        <v>40</v>
      </c>
      <c r="Q595" s="59">
        <f t="shared" si="96"/>
        <v>315</v>
      </c>
      <c r="R595" s="59">
        <f t="shared" si="97"/>
        <v>100</v>
      </c>
      <c r="S595" s="56">
        <f t="shared" si="98"/>
        <v>695</v>
      </c>
      <c r="T595" s="56">
        <f>0</f>
        <v>0</v>
      </c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</row>
    <row r="596" spans="1:30" ht="15.75">
      <c r="A596" s="13">
        <v>59444</v>
      </c>
      <c r="B596" s="67">
        <f t="shared" si="93"/>
        <v>30</v>
      </c>
      <c r="C596" s="56">
        <f>194.205</f>
        <v>194.20500000000001</v>
      </c>
      <c r="D596" s="56">
        <f>267.466</f>
        <v>267.46600000000001</v>
      </c>
      <c r="E596" s="64">
        <f>133.845</f>
        <v>133.845</v>
      </c>
      <c r="F596" s="56">
        <f>278.484-40-25-60-100</f>
        <v>53.48399999999998</v>
      </c>
      <c r="G596" s="59">
        <v>40</v>
      </c>
      <c r="H596" s="56">
        <f t="shared" si="94"/>
        <v>185</v>
      </c>
      <c r="I596" s="56">
        <f t="shared" si="89"/>
        <v>0</v>
      </c>
      <c r="J596" s="59">
        <v>100</v>
      </c>
      <c r="K596" s="59">
        <v>300</v>
      </c>
      <c r="L596" s="56">
        <f t="shared" si="95"/>
        <v>1274</v>
      </c>
      <c r="M596" s="66">
        <v>600</v>
      </c>
      <c r="N596" s="56">
        <f>30</f>
        <v>30</v>
      </c>
      <c r="O596" s="59">
        <v>240</v>
      </c>
      <c r="P596" s="59">
        <v>40</v>
      </c>
      <c r="Q596" s="59">
        <f t="shared" si="96"/>
        <v>315</v>
      </c>
      <c r="R596" s="59">
        <f t="shared" si="97"/>
        <v>100</v>
      </c>
      <c r="S596" s="56">
        <f t="shared" si="98"/>
        <v>695</v>
      </c>
      <c r="T596" s="56">
        <f>0</f>
        <v>0</v>
      </c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</row>
    <row r="597" spans="1:30" ht="15.75">
      <c r="A597" s="13">
        <v>59475</v>
      </c>
      <c r="B597" s="67">
        <f t="shared" si="93"/>
        <v>31</v>
      </c>
      <c r="C597" s="56">
        <f>131.881</f>
        <v>131.881</v>
      </c>
      <c r="D597" s="56">
        <f>277.167</f>
        <v>277.16699999999997</v>
      </c>
      <c r="E597" s="64">
        <f>79.08</f>
        <v>79.08</v>
      </c>
      <c r="F597" s="56">
        <f>350.872-40-25-60-100</f>
        <v>125.87200000000001</v>
      </c>
      <c r="G597" s="59">
        <v>40</v>
      </c>
      <c r="H597" s="56">
        <f t="shared" si="94"/>
        <v>185</v>
      </c>
      <c r="I597" s="56">
        <f t="shared" si="89"/>
        <v>0</v>
      </c>
      <c r="J597" s="59">
        <v>100</v>
      </c>
      <c r="K597" s="59">
        <v>300</v>
      </c>
      <c r="L597" s="56">
        <f t="shared" si="95"/>
        <v>1239</v>
      </c>
      <c r="M597" s="66">
        <v>600</v>
      </c>
      <c r="N597" s="56">
        <f>75</f>
        <v>75</v>
      </c>
      <c r="O597" s="59">
        <v>240</v>
      </c>
      <c r="P597" s="59">
        <v>40</v>
      </c>
      <c r="Q597" s="59">
        <f t="shared" si="96"/>
        <v>315</v>
      </c>
      <c r="R597" s="59">
        <f t="shared" si="97"/>
        <v>100</v>
      </c>
      <c r="S597" s="56">
        <f t="shared" si="98"/>
        <v>695</v>
      </c>
      <c r="T597" s="56">
        <f>0</f>
        <v>0</v>
      </c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</row>
    <row r="598" spans="1:30" ht="15.75">
      <c r="A598" s="13">
        <v>59505</v>
      </c>
      <c r="B598" s="67">
        <f t="shared" si="93"/>
        <v>30</v>
      </c>
      <c r="C598" s="56">
        <f>122.58</f>
        <v>122.58</v>
      </c>
      <c r="D598" s="56">
        <f>297.941</f>
        <v>297.94099999999997</v>
      </c>
      <c r="E598" s="64">
        <f>89.177</f>
        <v>89.177000000000007</v>
      </c>
      <c r="F598" s="56">
        <f>240.302-40-60-100</f>
        <v>40.301999999999992</v>
      </c>
      <c r="G598" s="59">
        <v>40</v>
      </c>
      <c r="H598" s="56">
        <f>60+100</f>
        <v>160</v>
      </c>
      <c r="I598" s="56">
        <f t="shared" si="89"/>
        <v>0</v>
      </c>
      <c r="J598" s="59">
        <v>100</v>
      </c>
      <c r="K598" s="59">
        <v>300</v>
      </c>
      <c r="L598" s="56">
        <f t="shared" si="95"/>
        <v>1150</v>
      </c>
      <c r="M598" s="66">
        <v>600</v>
      </c>
      <c r="N598" s="56">
        <f>100</f>
        <v>100</v>
      </c>
      <c r="O598" s="59">
        <v>240</v>
      </c>
      <c r="P598" s="59">
        <v>40</v>
      </c>
      <c r="Q598" s="59">
        <f t="shared" si="96"/>
        <v>315</v>
      </c>
      <c r="R598" s="59">
        <f t="shared" si="97"/>
        <v>100</v>
      </c>
      <c r="S598" s="56">
        <f t="shared" si="98"/>
        <v>695</v>
      </c>
      <c r="T598" s="56">
        <f>50</f>
        <v>50</v>
      </c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</row>
    <row r="599" spans="1:30" ht="15.75">
      <c r="A599" s="13">
        <v>59536</v>
      </c>
      <c r="B599" s="67">
        <f t="shared" si="93"/>
        <v>31</v>
      </c>
      <c r="C599" s="56">
        <f>122.58</f>
        <v>122.58</v>
      </c>
      <c r="D599" s="56">
        <f>297.941</f>
        <v>297.94099999999997</v>
      </c>
      <c r="E599" s="64">
        <f>89.177</f>
        <v>89.177000000000007</v>
      </c>
      <c r="F599" s="56">
        <f>240.302-40-60-100</f>
        <v>40.301999999999992</v>
      </c>
      <c r="G599" s="59">
        <v>40</v>
      </c>
      <c r="H599" s="56">
        <f>60+100</f>
        <v>160</v>
      </c>
      <c r="I599" s="56">
        <f t="shared" si="89"/>
        <v>0</v>
      </c>
      <c r="J599" s="59">
        <v>100</v>
      </c>
      <c r="K599" s="59">
        <v>300</v>
      </c>
      <c r="L599" s="56">
        <f t="shared" si="95"/>
        <v>1150</v>
      </c>
      <c r="M599" s="66">
        <v>600</v>
      </c>
      <c r="N599" s="56">
        <f>100</f>
        <v>100</v>
      </c>
      <c r="O599" s="59">
        <v>240</v>
      </c>
      <c r="P599" s="59">
        <v>40</v>
      </c>
      <c r="Q599" s="59">
        <f t="shared" si="96"/>
        <v>315</v>
      </c>
      <c r="R599" s="59">
        <f t="shared" si="97"/>
        <v>100</v>
      </c>
      <c r="S599" s="56">
        <f t="shared" si="98"/>
        <v>695</v>
      </c>
      <c r="T599" s="56">
        <f>50</f>
        <v>50</v>
      </c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</row>
    <row r="600" spans="1:30" ht="15.75">
      <c r="A600" s="13">
        <v>59567</v>
      </c>
      <c r="B600" s="67">
        <f t="shared" si="93"/>
        <v>31</v>
      </c>
      <c r="C600" s="56">
        <f>122.58</f>
        <v>122.58</v>
      </c>
      <c r="D600" s="56">
        <f>297.941</f>
        <v>297.94099999999997</v>
      </c>
      <c r="E600" s="64">
        <f>89.177</f>
        <v>89.177000000000007</v>
      </c>
      <c r="F600" s="56">
        <f>240.302-40-60-100</f>
        <v>40.301999999999992</v>
      </c>
      <c r="G600" s="59">
        <v>40</v>
      </c>
      <c r="H600" s="56">
        <f>60+100</f>
        <v>160</v>
      </c>
      <c r="I600" s="56">
        <f t="shared" si="89"/>
        <v>0</v>
      </c>
      <c r="J600" s="59">
        <v>100</v>
      </c>
      <c r="K600" s="59">
        <v>300</v>
      </c>
      <c r="L600" s="56">
        <f t="shared" si="95"/>
        <v>1150</v>
      </c>
      <c r="M600" s="66">
        <v>600</v>
      </c>
      <c r="N600" s="56">
        <f>100</f>
        <v>100</v>
      </c>
      <c r="O600" s="59">
        <v>240</v>
      </c>
      <c r="P600" s="59">
        <v>40</v>
      </c>
      <c r="Q600" s="59">
        <f t="shared" si="96"/>
        <v>315</v>
      </c>
      <c r="R600" s="59">
        <f t="shared" si="97"/>
        <v>100</v>
      </c>
      <c r="S600" s="56">
        <f t="shared" si="98"/>
        <v>695</v>
      </c>
      <c r="T600" s="56">
        <f>50</f>
        <v>50</v>
      </c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</row>
    <row r="601" spans="1:30" ht="15.75">
      <c r="A601" s="13">
        <v>59595</v>
      </c>
      <c r="B601" s="67">
        <f t="shared" si="93"/>
        <v>28</v>
      </c>
      <c r="C601" s="56">
        <f>122.58</f>
        <v>122.58</v>
      </c>
      <c r="D601" s="56">
        <f>297.941</f>
        <v>297.94099999999997</v>
      </c>
      <c r="E601" s="64">
        <f>89.177</f>
        <v>89.177000000000007</v>
      </c>
      <c r="F601" s="56">
        <f>240.302-40-60-100</f>
        <v>40.301999999999992</v>
      </c>
      <c r="G601" s="59">
        <v>40</v>
      </c>
      <c r="H601" s="56">
        <f>60+100</f>
        <v>160</v>
      </c>
      <c r="I601" s="56">
        <f t="shared" si="89"/>
        <v>0</v>
      </c>
      <c r="J601" s="59">
        <v>100</v>
      </c>
      <c r="K601" s="59">
        <v>300</v>
      </c>
      <c r="L601" s="56">
        <f t="shared" si="95"/>
        <v>1150</v>
      </c>
      <c r="M601" s="66">
        <v>600</v>
      </c>
      <c r="N601" s="56">
        <f>100</f>
        <v>100</v>
      </c>
      <c r="O601" s="59">
        <v>240</v>
      </c>
      <c r="P601" s="59">
        <v>40</v>
      </c>
      <c r="Q601" s="59">
        <f t="shared" si="96"/>
        <v>315</v>
      </c>
      <c r="R601" s="59">
        <f t="shared" si="97"/>
        <v>100</v>
      </c>
      <c r="S601" s="56">
        <f t="shared" si="98"/>
        <v>695</v>
      </c>
      <c r="T601" s="56">
        <f>50</f>
        <v>50</v>
      </c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</row>
    <row r="602" spans="1:30" ht="15.75">
      <c r="A602" s="13">
        <v>59626</v>
      </c>
      <c r="B602" s="67">
        <f t="shared" si="93"/>
        <v>31</v>
      </c>
      <c r="C602" s="56">
        <f>122.58</f>
        <v>122.58</v>
      </c>
      <c r="D602" s="56">
        <f>297.941</f>
        <v>297.94099999999997</v>
      </c>
      <c r="E602" s="64">
        <f>89.177</f>
        <v>89.177000000000007</v>
      </c>
      <c r="F602" s="56">
        <f>240.302-40-60-100</f>
        <v>40.301999999999992</v>
      </c>
      <c r="G602" s="59">
        <v>40</v>
      </c>
      <c r="H602" s="56">
        <f>60+100</f>
        <v>160</v>
      </c>
      <c r="I602" s="56">
        <f t="shared" si="89"/>
        <v>0</v>
      </c>
      <c r="J602" s="59">
        <v>100</v>
      </c>
      <c r="K602" s="59">
        <v>300</v>
      </c>
      <c r="L602" s="56">
        <f t="shared" si="95"/>
        <v>1150</v>
      </c>
      <c r="M602" s="66">
        <v>600</v>
      </c>
      <c r="N602" s="56">
        <f>100</f>
        <v>100</v>
      </c>
      <c r="O602" s="59">
        <v>240</v>
      </c>
      <c r="P602" s="59">
        <v>40</v>
      </c>
      <c r="Q602" s="59">
        <f t="shared" si="96"/>
        <v>315</v>
      </c>
      <c r="R602" s="59">
        <f t="shared" si="97"/>
        <v>100</v>
      </c>
      <c r="S602" s="56">
        <f t="shared" si="98"/>
        <v>695</v>
      </c>
      <c r="T602" s="56">
        <f>50</f>
        <v>50</v>
      </c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</row>
    <row r="603" spans="1:30" ht="15.75">
      <c r="A603" s="13">
        <v>59656</v>
      </c>
      <c r="B603" s="67">
        <f t="shared" si="93"/>
        <v>30</v>
      </c>
      <c r="C603" s="56">
        <f>141.293</f>
        <v>141.29300000000001</v>
      </c>
      <c r="D603" s="56">
        <f>267.993</f>
        <v>267.99299999999999</v>
      </c>
      <c r="E603" s="64">
        <f>115.016</f>
        <v>115.01600000000001</v>
      </c>
      <c r="F603" s="56">
        <f>314.698-40-25-60-100</f>
        <v>89.697999999999979</v>
      </c>
      <c r="G603" s="59">
        <v>40</v>
      </c>
      <c r="H603" s="56">
        <f t="shared" ref="H603:H609" si="99">25+60+100</f>
        <v>185</v>
      </c>
      <c r="I603" s="56">
        <f t="shared" si="89"/>
        <v>0</v>
      </c>
      <c r="J603" s="59">
        <v>100</v>
      </c>
      <c r="K603" s="59">
        <v>300</v>
      </c>
      <c r="L603" s="56">
        <f t="shared" si="95"/>
        <v>1239</v>
      </c>
      <c r="M603" s="66">
        <v>600</v>
      </c>
      <c r="N603" s="56">
        <f>100</f>
        <v>100</v>
      </c>
      <c r="O603" s="59">
        <v>240</v>
      </c>
      <c r="P603" s="59">
        <v>40</v>
      </c>
      <c r="Q603" s="59">
        <f t="shared" si="96"/>
        <v>315</v>
      </c>
      <c r="R603" s="59">
        <f t="shared" si="97"/>
        <v>100</v>
      </c>
      <c r="S603" s="56">
        <f t="shared" si="98"/>
        <v>695</v>
      </c>
      <c r="T603" s="56">
        <f>50</f>
        <v>50</v>
      </c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</row>
    <row r="604" spans="1:30" ht="15.75">
      <c r="A604" s="13">
        <v>59687</v>
      </c>
      <c r="B604" s="67">
        <f t="shared" si="93"/>
        <v>31</v>
      </c>
      <c r="C604" s="56">
        <f>194.205</f>
        <v>194.20500000000001</v>
      </c>
      <c r="D604" s="56">
        <f>267.466</f>
        <v>267.46600000000001</v>
      </c>
      <c r="E604" s="64">
        <f>133.845</f>
        <v>133.845</v>
      </c>
      <c r="F604" s="56">
        <f>278.484-40-25-60-100</f>
        <v>53.48399999999998</v>
      </c>
      <c r="G604" s="59">
        <v>40</v>
      </c>
      <c r="H604" s="56">
        <f t="shared" si="99"/>
        <v>185</v>
      </c>
      <c r="I604" s="56">
        <f t="shared" si="89"/>
        <v>0</v>
      </c>
      <c r="J604" s="59">
        <v>100</v>
      </c>
      <c r="K604" s="59">
        <v>300</v>
      </c>
      <c r="L604" s="56">
        <f t="shared" si="95"/>
        <v>1274</v>
      </c>
      <c r="M604" s="66">
        <v>600</v>
      </c>
      <c r="N604" s="56">
        <f>75</f>
        <v>75</v>
      </c>
      <c r="O604" s="59">
        <v>240</v>
      </c>
      <c r="P604" s="59">
        <v>40</v>
      </c>
      <c r="Q604" s="59">
        <f t="shared" si="96"/>
        <v>315</v>
      </c>
      <c r="R604" s="59">
        <f t="shared" si="97"/>
        <v>100</v>
      </c>
      <c r="S604" s="56">
        <f t="shared" si="98"/>
        <v>695</v>
      </c>
      <c r="T604" s="56">
        <f>50</f>
        <v>50</v>
      </c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</row>
    <row r="605" spans="1:30" ht="15.75">
      <c r="A605" s="13">
        <v>59717</v>
      </c>
      <c r="B605" s="67">
        <f t="shared" si="93"/>
        <v>30</v>
      </c>
      <c r="C605" s="56">
        <f>194.205</f>
        <v>194.20500000000001</v>
      </c>
      <c r="D605" s="56">
        <f>267.466</f>
        <v>267.46600000000001</v>
      </c>
      <c r="E605" s="64">
        <f>133.845</f>
        <v>133.845</v>
      </c>
      <c r="F605" s="56">
        <f>278.484-40-25-60-100</f>
        <v>53.48399999999998</v>
      </c>
      <c r="G605" s="59">
        <v>40</v>
      </c>
      <c r="H605" s="56">
        <f t="shared" si="99"/>
        <v>185</v>
      </c>
      <c r="I605" s="56">
        <f t="shared" si="89"/>
        <v>0</v>
      </c>
      <c r="J605" s="59">
        <v>100</v>
      </c>
      <c r="K605" s="59">
        <v>300</v>
      </c>
      <c r="L605" s="56">
        <f t="shared" si="95"/>
        <v>1274</v>
      </c>
      <c r="M605" s="66">
        <v>600</v>
      </c>
      <c r="N605" s="56">
        <f>30</f>
        <v>30</v>
      </c>
      <c r="O605" s="59">
        <v>240</v>
      </c>
      <c r="P605" s="59">
        <v>40</v>
      </c>
      <c r="Q605" s="59">
        <f t="shared" si="96"/>
        <v>315</v>
      </c>
      <c r="R605" s="59">
        <f t="shared" si="97"/>
        <v>100</v>
      </c>
      <c r="S605" s="56">
        <f t="shared" si="98"/>
        <v>695</v>
      </c>
      <c r="T605" s="56">
        <f>50</f>
        <v>50</v>
      </c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</row>
    <row r="606" spans="1:30" ht="15.75">
      <c r="A606" s="13">
        <v>59748</v>
      </c>
      <c r="B606" s="67">
        <f t="shared" si="93"/>
        <v>31</v>
      </c>
      <c r="C606" s="56">
        <f>194.205</f>
        <v>194.20500000000001</v>
      </c>
      <c r="D606" s="56">
        <f>267.466</f>
        <v>267.46600000000001</v>
      </c>
      <c r="E606" s="64">
        <f>133.845</f>
        <v>133.845</v>
      </c>
      <c r="F606" s="56">
        <f>278.484-40-25-60-100</f>
        <v>53.48399999999998</v>
      </c>
      <c r="G606" s="59">
        <v>40</v>
      </c>
      <c r="H606" s="56">
        <f t="shared" si="99"/>
        <v>185</v>
      </c>
      <c r="I606" s="56">
        <f t="shared" si="89"/>
        <v>0</v>
      </c>
      <c r="J606" s="59">
        <v>100</v>
      </c>
      <c r="K606" s="59">
        <v>300</v>
      </c>
      <c r="L606" s="56">
        <f t="shared" si="95"/>
        <v>1274</v>
      </c>
      <c r="M606" s="66">
        <v>600</v>
      </c>
      <c r="N606" s="56">
        <f>30</f>
        <v>30</v>
      </c>
      <c r="O606" s="59">
        <v>240</v>
      </c>
      <c r="P606" s="59">
        <v>40</v>
      </c>
      <c r="Q606" s="59">
        <f t="shared" si="96"/>
        <v>315</v>
      </c>
      <c r="R606" s="59">
        <f t="shared" si="97"/>
        <v>100</v>
      </c>
      <c r="S606" s="56">
        <f t="shared" si="98"/>
        <v>695</v>
      </c>
      <c r="T606" s="56">
        <f>0</f>
        <v>0</v>
      </c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</row>
    <row r="607" spans="1:30" ht="15.75">
      <c r="A607" s="13">
        <v>59779</v>
      </c>
      <c r="B607" s="67">
        <f t="shared" si="93"/>
        <v>31</v>
      </c>
      <c r="C607" s="56">
        <f>194.205</f>
        <v>194.20500000000001</v>
      </c>
      <c r="D607" s="56">
        <f>267.466</f>
        <v>267.46600000000001</v>
      </c>
      <c r="E607" s="64">
        <f>133.845</f>
        <v>133.845</v>
      </c>
      <c r="F607" s="56">
        <f>278.484-40-25-60-100</f>
        <v>53.48399999999998</v>
      </c>
      <c r="G607" s="59">
        <v>40</v>
      </c>
      <c r="H607" s="56">
        <f t="shared" si="99"/>
        <v>185</v>
      </c>
      <c r="I607" s="56">
        <f t="shared" si="89"/>
        <v>0</v>
      </c>
      <c r="J607" s="59">
        <v>100</v>
      </c>
      <c r="K607" s="59">
        <v>300</v>
      </c>
      <c r="L607" s="56">
        <f t="shared" si="95"/>
        <v>1274</v>
      </c>
      <c r="M607" s="66">
        <v>600</v>
      </c>
      <c r="N607" s="56">
        <f>30</f>
        <v>30</v>
      </c>
      <c r="O607" s="59">
        <v>240</v>
      </c>
      <c r="P607" s="59">
        <v>40</v>
      </c>
      <c r="Q607" s="59">
        <f t="shared" si="96"/>
        <v>315</v>
      </c>
      <c r="R607" s="59">
        <f t="shared" si="97"/>
        <v>100</v>
      </c>
      <c r="S607" s="56">
        <f t="shared" si="98"/>
        <v>695</v>
      </c>
      <c r="T607" s="56">
        <f>0</f>
        <v>0</v>
      </c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</row>
    <row r="608" spans="1:30" ht="15.75">
      <c r="A608" s="13">
        <v>59809</v>
      </c>
      <c r="B608" s="67">
        <f t="shared" si="93"/>
        <v>30</v>
      </c>
      <c r="C608" s="56">
        <f>194.205</f>
        <v>194.20500000000001</v>
      </c>
      <c r="D608" s="56">
        <f>267.466</f>
        <v>267.46600000000001</v>
      </c>
      <c r="E608" s="64">
        <f>133.845</f>
        <v>133.845</v>
      </c>
      <c r="F608" s="56">
        <f>278.484-40-25-60-100</f>
        <v>53.48399999999998</v>
      </c>
      <c r="G608" s="59">
        <v>40</v>
      </c>
      <c r="H608" s="56">
        <f t="shared" si="99"/>
        <v>185</v>
      </c>
      <c r="I608" s="56">
        <f t="shared" si="89"/>
        <v>0</v>
      </c>
      <c r="J608" s="59">
        <v>100</v>
      </c>
      <c r="K608" s="59">
        <v>300</v>
      </c>
      <c r="L608" s="56">
        <f t="shared" si="95"/>
        <v>1274</v>
      </c>
      <c r="M608" s="66">
        <v>600</v>
      </c>
      <c r="N608" s="56">
        <f>30</f>
        <v>30</v>
      </c>
      <c r="O608" s="59">
        <v>240</v>
      </c>
      <c r="P608" s="59">
        <v>40</v>
      </c>
      <c r="Q608" s="59">
        <f t="shared" si="96"/>
        <v>315</v>
      </c>
      <c r="R608" s="59">
        <f t="shared" si="97"/>
        <v>100</v>
      </c>
      <c r="S608" s="56">
        <f t="shared" si="98"/>
        <v>695</v>
      </c>
      <c r="T608" s="56">
        <f>0</f>
        <v>0</v>
      </c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</row>
    <row r="609" spans="1:30" ht="15.75">
      <c r="A609" s="13">
        <v>59840</v>
      </c>
      <c r="B609" s="67">
        <f t="shared" si="93"/>
        <v>31</v>
      </c>
      <c r="C609" s="56">
        <f>131.881</f>
        <v>131.881</v>
      </c>
      <c r="D609" s="56">
        <f>277.167</f>
        <v>277.16699999999997</v>
      </c>
      <c r="E609" s="64">
        <f>79.08</f>
        <v>79.08</v>
      </c>
      <c r="F609" s="56">
        <f>350.872-40-25-60-100</f>
        <v>125.87200000000001</v>
      </c>
      <c r="G609" s="59">
        <v>40</v>
      </c>
      <c r="H609" s="56">
        <f t="shared" si="99"/>
        <v>185</v>
      </c>
      <c r="I609" s="56">
        <f t="shared" si="89"/>
        <v>0</v>
      </c>
      <c r="J609" s="59">
        <v>100</v>
      </c>
      <c r="K609" s="59">
        <v>300</v>
      </c>
      <c r="L609" s="56">
        <f t="shared" si="95"/>
        <v>1239</v>
      </c>
      <c r="M609" s="66">
        <v>600</v>
      </c>
      <c r="N609" s="56">
        <f>75</f>
        <v>75</v>
      </c>
      <c r="O609" s="59">
        <v>240</v>
      </c>
      <c r="P609" s="59">
        <v>40</v>
      </c>
      <c r="Q609" s="59">
        <f t="shared" si="96"/>
        <v>315</v>
      </c>
      <c r="R609" s="59">
        <f t="shared" si="97"/>
        <v>100</v>
      </c>
      <c r="S609" s="56">
        <f t="shared" si="98"/>
        <v>695</v>
      </c>
      <c r="T609" s="56">
        <f>0</f>
        <v>0</v>
      </c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</row>
    <row r="610" spans="1:30" ht="15.75">
      <c r="A610" s="13">
        <v>59870</v>
      </c>
      <c r="B610" s="67">
        <f t="shared" si="93"/>
        <v>30</v>
      </c>
      <c r="C610" s="56">
        <f>122.58</f>
        <v>122.58</v>
      </c>
      <c r="D610" s="56">
        <f>297.941</f>
        <v>297.94099999999997</v>
      </c>
      <c r="E610" s="64">
        <f>89.177</f>
        <v>89.177000000000007</v>
      </c>
      <c r="F610" s="56">
        <f>240.302-40-60-100</f>
        <v>40.301999999999992</v>
      </c>
      <c r="G610" s="59">
        <v>40</v>
      </c>
      <c r="H610" s="56">
        <f>60+100</f>
        <v>160</v>
      </c>
      <c r="I610" s="56">
        <f t="shared" si="89"/>
        <v>0</v>
      </c>
      <c r="J610" s="59">
        <v>100</v>
      </c>
      <c r="K610" s="59">
        <v>300</v>
      </c>
      <c r="L610" s="56">
        <f t="shared" si="95"/>
        <v>1150</v>
      </c>
      <c r="M610" s="66">
        <v>600</v>
      </c>
      <c r="N610" s="56">
        <f>100</f>
        <v>100</v>
      </c>
      <c r="O610" s="59">
        <v>240</v>
      </c>
      <c r="P610" s="59">
        <v>40</v>
      </c>
      <c r="Q610" s="59">
        <f t="shared" si="96"/>
        <v>315</v>
      </c>
      <c r="R610" s="59">
        <f t="shared" si="97"/>
        <v>100</v>
      </c>
      <c r="S610" s="56">
        <f t="shared" si="98"/>
        <v>695</v>
      </c>
      <c r="T610" s="56">
        <f>50</f>
        <v>50</v>
      </c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</row>
    <row r="611" spans="1:30" ht="15.75">
      <c r="A611" s="13">
        <v>59901</v>
      </c>
      <c r="B611" s="67">
        <f t="shared" si="93"/>
        <v>31</v>
      </c>
      <c r="C611" s="56">
        <f>122.58</f>
        <v>122.58</v>
      </c>
      <c r="D611" s="56">
        <f>297.941</f>
        <v>297.94099999999997</v>
      </c>
      <c r="E611" s="64">
        <f>89.177</f>
        <v>89.177000000000007</v>
      </c>
      <c r="F611" s="56">
        <f>240.302-40-60-100</f>
        <v>40.301999999999992</v>
      </c>
      <c r="G611" s="59">
        <v>40</v>
      </c>
      <c r="H611" s="56">
        <f>60+100</f>
        <v>160</v>
      </c>
      <c r="I611" s="56">
        <f t="shared" si="89"/>
        <v>0</v>
      </c>
      <c r="J611" s="59">
        <v>100</v>
      </c>
      <c r="K611" s="59">
        <v>300</v>
      </c>
      <c r="L611" s="56">
        <f t="shared" si="95"/>
        <v>1150</v>
      </c>
      <c r="M611" s="66">
        <v>600</v>
      </c>
      <c r="N611" s="56">
        <f>100</f>
        <v>100</v>
      </c>
      <c r="O611" s="59">
        <v>240</v>
      </c>
      <c r="P611" s="59">
        <v>40</v>
      </c>
      <c r="Q611" s="59">
        <f t="shared" si="96"/>
        <v>315</v>
      </c>
      <c r="R611" s="59">
        <f t="shared" si="97"/>
        <v>100</v>
      </c>
      <c r="S611" s="56">
        <f t="shared" si="98"/>
        <v>695</v>
      </c>
      <c r="T611" s="56">
        <f>50</f>
        <v>50</v>
      </c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</row>
    <row r="612" spans="1:30" ht="15.75">
      <c r="A612" s="13">
        <v>59932</v>
      </c>
      <c r="B612" s="67">
        <f t="shared" si="93"/>
        <v>31</v>
      </c>
      <c r="C612" s="56">
        <f>122.58</f>
        <v>122.58</v>
      </c>
      <c r="D612" s="56">
        <f>297.941</f>
        <v>297.94099999999997</v>
      </c>
      <c r="E612" s="64">
        <f>89.177</f>
        <v>89.177000000000007</v>
      </c>
      <c r="F612" s="56">
        <f>240.302-40-60-100</f>
        <v>40.301999999999992</v>
      </c>
      <c r="G612" s="59">
        <v>40</v>
      </c>
      <c r="H612" s="56">
        <f>60+100</f>
        <v>160</v>
      </c>
      <c r="I612" s="56">
        <f t="shared" si="89"/>
        <v>0</v>
      </c>
      <c r="J612" s="59">
        <v>100</v>
      </c>
      <c r="K612" s="59">
        <v>300</v>
      </c>
      <c r="L612" s="56">
        <f t="shared" si="95"/>
        <v>1150</v>
      </c>
      <c r="M612" s="66">
        <v>600</v>
      </c>
      <c r="N612" s="56">
        <f>100</f>
        <v>100</v>
      </c>
      <c r="O612" s="59">
        <v>240</v>
      </c>
      <c r="P612" s="59">
        <v>40</v>
      </c>
      <c r="Q612" s="59">
        <f t="shared" si="96"/>
        <v>315</v>
      </c>
      <c r="R612" s="59">
        <f t="shared" si="97"/>
        <v>100</v>
      </c>
      <c r="S612" s="56">
        <f t="shared" si="98"/>
        <v>695</v>
      </c>
      <c r="T612" s="56">
        <f>50</f>
        <v>50</v>
      </c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</row>
    <row r="613" spans="1:30" ht="15.75">
      <c r="A613" s="13">
        <v>59961</v>
      </c>
      <c r="B613" s="67">
        <f t="shared" si="93"/>
        <v>29</v>
      </c>
      <c r="C613" s="56">
        <f>122.58</f>
        <v>122.58</v>
      </c>
      <c r="D613" s="56">
        <f>297.941</f>
        <v>297.94099999999997</v>
      </c>
      <c r="E613" s="64">
        <f>89.177</f>
        <v>89.177000000000007</v>
      </c>
      <c r="F613" s="56">
        <f>240.302-40-60-100</f>
        <v>40.301999999999992</v>
      </c>
      <c r="G613" s="59">
        <v>40</v>
      </c>
      <c r="H613" s="56">
        <f>60+100</f>
        <v>160</v>
      </c>
      <c r="I613" s="56">
        <f t="shared" si="89"/>
        <v>0</v>
      </c>
      <c r="J613" s="59">
        <v>100</v>
      </c>
      <c r="K613" s="59">
        <v>300</v>
      </c>
      <c r="L613" s="56">
        <f t="shared" si="95"/>
        <v>1150</v>
      </c>
      <c r="M613" s="66">
        <v>600</v>
      </c>
      <c r="N613" s="56">
        <f>100</f>
        <v>100</v>
      </c>
      <c r="O613" s="59">
        <v>240</v>
      </c>
      <c r="P613" s="59">
        <v>40</v>
      </c>
      <c r="Q613" s="59">
        <f t="shared" si="96"/>
        <v>315</v>
      </c>
      <c r="R613" s="59">
        <f t="shared" si="97"/>
        <v>100</v>
      </c>
      <c r="S613" s="56">
        <f t="shared" si="98"/>
        <v>695</v>
      </c>
      <c r="T613" s="56">
        <f>50</f>
        <v>50</v>
      </c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</row>
    <row r="614" spans="1:30" ht="15.75">
      <c r="A614" s="13">
        <v>59992</v>
      </c>
      <c r="B614" s="67">
        <f t="shared" si="93"/>
        <v>31</v>
      </c>
      <c r="C614" s="56">
        <f>122.58</f>
        <v>122.58</v>
      </c>
      <c r="D614" s="56">
        <f>297.941</f>
        <v>297.94099999999997</v>
      </c>
      <c r="E614" s="64">
        <f>89.177</f>
        <v>89.177000000000007</v>
      </c>
      <c r="F614" s="56">
        <f>240.302-40-60-100</f>
        <v>40.301999999999992</v>
      </c>
      <c r="G614" s="59">
        <v>40</v>
      </c>
      <c r="H614" s="56">
        <f>60+100</f>
        <v>160</v>
      </c>
      <c r="I614" s="56">
        <f t="shared" si="89"/>
        <v>0</v>
      </c>
      <c r="J614" s="59">
        <v>100</v>
      </c>
      <c r="K614" s="59">
        <v>300</v>
      </c>
      <c r="L614" s="56">
        <f t="shared" si="95"/>
        <v>1150</v>
      </c>
      <c r="M614" s="66">
        <v>600</v>
      </c>
      <c r="N614" s="56">
        <f>100</f>
        <v>100</v>
      </c>
      <c r="O614" s="59">
        <v>240</v>
      </c>
      <c r="P614" s="59">
        <v>40</v>
      </c>
      <c r="Q614" s="59">
        <f t="shared" si="96"/>
        <v>315</v>
      </c>
      <c r="R614" s="59">
        <f t="shared" si="97"/>
        <v>100</v>
      </c>
      <c r="S614" s="56">
        <f t="shared" si="98"/>
        <v>695</v>
      </c>
      <c r="T614" s="56">
        <f>50</f>
        <v>50</v>
      </c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</row>
    <row r="615" spans="1:30" ht="15.75">
      <c r="A615" s="13">
        <v>60022</v>
      </c>
      <c r="B615" s="67">
        <f t="shared" si="93"/>
        <v>30</v>
      </c>
      <c r="C615" s="56">
        <f>141.293</f>
        <v>141.29300000000001</v>
      </c>
      <c r="D615" s="56">
        <f>267.993</f>
        <v>267.99299999999999</v>
      </c>
      <c r="E615" s="64">
        <f>115.016</f>
        <v>115.01600000000001</v>
      </c>
      <c r="F615" s="56">
        <f>314.698-40-25-60-100</f>
        <v>89.697999999999979</v>
      </c>
      <c r="G615" s="59">
        <v>40</v>
      </c>
      <c r="H615" s="56">
        <f t="shared" ref="H615:H621" si="100">25+60+100</f>
        <v>185</v>
      </c>
      <c r="I615" s="56">
        <f t="shared" si="89"/>
        <v>0</v>
      </c>
      <c r="J615" s="59">
        <v>100</v>
      </c>
      <c r="K615" s="59">
        <v>300</v>
      </c>
      <c r="L615" s="56">
        <f t="shared" si="95"/>
        <v>1239</v>
      </c>
      <c r="M615" s="66">
        <v>600</v>
      </c>
      <c r="N615" s="56">
        <f>100</f>
        <v>100</v>
      </c>
      <c r="O615" s="59">
        <v>240</v>
      </c>
      <c r="P615" s="59">
        <v>40</v>
      </c>
      <c r="Q615" s="59">
        <f t="shared" si="96"/>
        <v>315</v>
      </c>
      <c r="R615" s="59">
        <f t="shared" si="97"/>
        <v>100</v>
      </c>
      <c r="S615" s="56">
        <f t="shared" si="98"/>
        <v>695</v>
      </c>
      <c r="T615" s="56">
        <f>50</f>
        <v>50</v>
      </c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</row>
    <row r="616" spans="1:30" ht="15.75">
      <c r="A616" s="13">
        <v>60053</v>
      </c>
      <c r="B616" s="67">
        <f t="shared" si="93"/>
        <v>31</v>
      </c>
      <c r="C616" s="56">
        <f>194.205</f>
        <v>194.20500000000001</v>
      </c>
      <c r="D616" s="56">
        <f>267.466</f>
        <v>267.46600000000001</v>
      </c>
      <c r="E616" s="64">
        <f>133.845</f>
        <v>133.845</v>
      </c>
      <c r="F616" s="56">
        <f>278.484-40-25-60-100</f>
        <v>53.48399999999998</v>
      </c>
      <c r="G616" s="59">
        <v>40</v>
      </c>
      <c r="H616" s="56">
        <f t="shared" si="100"/>
        <v>185</v>
      </c>
      <c r="I616" s="56">
        <f t="shared" ref="I616:I679" si="101">400-J616-K616</f>
        <v>0</v>
      </c>
      <c r="J616" s="59">
        <v>100</v>
      </c>
      <c r="K616" s="59">
        <v>300</v>
      </c>
      <c r="L616" s="56">
        <f t="shared" si="95"/>
        <v>1274</v>
      </c>
      <c r="M616" s="66">
        <v>600</v>
      </c>
      <c r="N616" s="56">
        <f>75</f>
        <v>75</v>
      </c>
      <c r="O616" s="59">
        <v>240</v>
      </c>
      <c r="P616" s="59">
        <v>40</v>
      </c>
      <c r="Q616" s="59">
        <f t="shared" si="96"/>
        <v>315</v>
      </c>
      <c r="R616" s="59">
        <f t="shared" si="97"/>
        <v>100</v>
      </c>
      <c r="S616" s="56">
        <f t="shared" si="98"/>
        <v>695</v>
      </c>
      <c r="T616" s="56">
        <f>50</f>
        <v>50</v>
      </c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</row>
    <row r="617" spans="1:30" ht="15.75">
      <c r="A617" s="13">
        <v>60083</v>
      </c>
      <c r="B617" s="67">
        <f t="shared" si="93"/>
        <v>30</v>
      </c>
      <c r="C617" s="56">
        <f>194.205</f>
        <v>194.20500000000001</v>
      </c>
      <c r="D617" s="56">
        <f>267.466</f>
        <v>267.46600000000001</v>
      </c>
      <c r="E617" s="64">
        <f>133.845</f>
        <v>133.845</v>
      </c>
      <c r="F617" s="56">
        <f>278.484-40-25-60-100</f>
        <v>53.48399999999998</v>
      </c>
      <c r="G617" s="59">
        <v>40</v>
      </c>
      <c r="H617" s="56">
        <f t="shared" si="100"/>
        <v>185</v>
      </c>
      <c r="I617" s="56">
        <f t="shared" si="101"/>
        <v>0</v>
      </c>
      <c r="J617" s="59">
        <v>100</v>
      </c>
      <c r="K617" s="59">
        <v>300</v>
      </c>
      <c r="L617" s="56">
        <f t="shared" si="95"/>
        <v>1274</v>
      </c>
      <c r="M617" s="66">
        <v>600</v>
      </c>
      <c r="N617" s="56">
        <f>30</f>
        <v>30</v>
      </c>
      <c r="O617" s="59">
        <v>240</v>
      </c>
      <c r="P617" s="59">
        <v>40</v>
      </c>
      <c r="Q617" s="59">
        <f t="shared" si="96"/>
        <v>315</v>
      </c>
      <c r="R617" s="59">
        <f t="shared" si="97"/>
        <v>100</v>
      </c>
      <c r="S617" s="56">
        <f t="shared" si="98"/>
        <v>695</v>
      </c>
      <c r="T617" s="56">
        <f>50</f>
        <v>50</v>
      </c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</row>
    <row r="618" spans="1:30" ht="15.75">
      <c r="A618" s="13">
        <v>60114</v>
      </c>
      <c r="B618" s="67">
        <f t="shared" si="93"/>
        <v>31</v>
      </c>
      <c r="C618" s="56">
        <f>194.205</f>
        <v>194.20500000000001</v>
      </c>
      <c r="D618" s="56">
        <f>267.466</f>
        <v>267.46600000000001</v>
      </c>
      <c r="E618" s="64">
        <f>133.845</f>
        <v>133.845</v>
      </c>
      <c r="F618" s="56">
        <f>278.484-40-25-60-100</f>
        <v>53.48399999999998</v>
      </c>
      <c r="G618" s="59">
        <v>40</v>
      </c>
      <c r="H618" s="56">
        <f t="shared" si="100"/>
        <v>185</v>
      </c>
      <c r="I618" s="56">
        <f t="shared" si="101"/>
        <v>0</v>
      </c>
      <c r="J618" s="59">
        <v>100</v>
      </c>
      <c r="K618" s="59">
        <v>300</v>
      </c>
      <c r="L618" s="56">
        <f t="shared" si="95"/>
        <v>1274</v>
      </c>
      <c r="M618" s="66">
        <v>600</v>
      </c>
      <c r="N618" s="56">
        <f>30</f>
        <v>30</v>
      </c>
      <c r="O618" s="59">
        <v>240</v>
      </c>
      <c r="P618" s="59">
        <v>40</v>
      </c>
      <c r="Q618" s="59">
        <f t="shared" si="96"/>
        <v>315</v>
      </c>
      <c r="R618" s="59">
        <f t="shared" si="97"/>
        <v>100</v>
      </c>
      <c r="S618" s="56">
        <f t="shared" si="98"/>
        <v>695</v>
      </c>
      <c r="T618" s="56">
        <f>0</f>
        <v>0</v>
      </c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</row>
    <row r="619" spans="1:30" ht="15.75">
      <c r="A619" s="13">
        <v>60145</v>
      </c>
      <c r="B619" s="67">
        <f t="shared" si="93"/>
        <v>31</v>
      </c>
      <c r="C619" s="56">
        <f>194.205</f>
        <v>194.20500000000001</v>
      </c>
      <c r="D619" s="56">
        <f>267.466</f>
        <v>267.46600000000001</v>
      </c>
      <c r="E619" s="64">
        <f>133.845</f>
        <v>133.845</v>
      </c>
      <c r="F619" s="56">
        <f>278.484-40-25-60-100</f>
        <v>53.48399999999998</v>
      </c>
      <c r="G619" s="59">
        <v>40</v>
      </c>
      <c r="H619" s="56">
        <f t="shared" si="100"/>
        <v>185</v>
      </c>
      <c r="I619" s="56">
        <f t="shared" si="101"/>
        <v>0</v>
      </c>
      <c r="J619" s="59">
        <v>100</v>
      </c>
      <c r="K619" s="59">
        <v>300</v>
      </c>
      <c r="L619" s="56">
        <f t="shared" si="95"/>
        <v>1274</v>
      </c>
      <c r="M619" s="66">
        <v>600</v>
      </c>
      <c r="N619" s="56">
        <f>30</f>
        <v>30</v>
      </c>
      <c r="O619" s="59">
        <v>240</v>
      </c>
      <c r="P619" s="59">
        <v>40</v>
      </c>
      <c r="Q619" s="59">
        <f t="shared" si="96"/>
        <v>315</v>
      </c>
      <c r="R619" s="59">
        <f t="shared" si="97"/>
        <v>100</v>
      </c>
      <c r="S619" s="56">
        <f t="shared" si="98"/>
        <v>695</v>
      </c>
      <c r="T619" s="56">
        <f>0</f>
        <v>0</v>
      </c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</row>
    <row r="620" spans="1:30" ht="15.75">
      <c r="A620" s="13">
        <v>60175</v>
      </c>
      <c r="B620" s="67">
        <f t="shared" si="93"/>
        <v>30</v>
      </c>
      <c r="C620" s="56">
        <f>194.205</f>
        <v>194.20500000000001</v>
      </c>
      <c r="D620" s="56">
        <f>267.466</f>
        <v>267.46600000000001</v>
      </c>
      <c r="E620" s="64">
        <f>133.845</f>
        <v>133.845</v>
      </c>
      <c r="F620" s="56">
        <f>278.484-40-25-60-100</f>
        <v>53.48399999999998</v>
      </c>
      <c r="G620" s="59">
        <v>40</v>
      </c>
      <c r="H620" s="56">
        <f t="shared" si="100"/>
        <v>185</v>
      </c>
      <c r="I620" s="56">
        <f t="shared" si="101"/>
        <v>0</v>
      </c>
      <c r="J620" s="59">
        <v>100</v>
      </c>
      <c r="K620" s="59">
        <v>300</v>
      </c>
      <c r="L620" s="56">
        <f t="shared" si="95"/>
        <v>1274</v>
      </c>
      <c r="M620" s="66">
        <v>600</v>
      </c>
      <c r="N620" s="56">
        <f>30</f>
        <v>30</v>
      </c>
      <c r="O620" s="59">
        <v>240</v>
      </c>
      <c r="P620" s="59">
        <v>40</v>
      </c>
      <c r="Q620" s="59">
        <f t="shared" si="96"/>
        <v>315</v>
      </c>
      <c r="R620" s="59">
        <f t="shared" si="97"/>
        <v>100</v>
      </c>
      <c r="S620" s="56">
        <f t="shared" si="98"/>
        <v>695</v>
      </c>
      <c r="T620" s="56">
        <f>0</f>
        <v>0</v>
      </c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</row>
    <row r="621" spans="1:30" ht="15.75">
      <c r="A621" s="13">
        <v>60206</v>
      </c>
      <c r="B621" s="67">
        <f t="shared" si="93"/>
        <v>31</v>
      </c>
      <c r="C621" s="56">
        <f>131.881</f>
        <v>131.881</v>
      </c>
      <c r="D621" s="56">
        <f>277.167</f>
        <v>277.16699999999997</v>
      </c>
      <c r="E621" s="64">
        <f>79.08</f>
        <v>79.08</v>
      </c>
      <c r="F621" s="56">
        <f>350.872-40-25-60-100</f>
        <v>125.87200000000001</v>
      </c>
      <c r="G621" s="59">
        <v>40</v>
      </c>
      <c r="H621" s="56">
        <f t="shared" si="100"/>
        <v>185</v>
      </c>
      <c r="I621" s="56">
        <f t="shared" si="101"/>
        <v>0</v>
      </c>
      <c r="J621" s="59">
        <v>100</v>
      </c>
      <c r="K621" s="59">
        <v>300</v>
      </c>
      <c r="L621" s="56">
        <f t="shared" si="95"/>
        <v>1239</v>
      </c>
      <c r="M621" s="66">
        <v>600</v>
      </c>
      <c r="N621" s="56">
        <f>75</f>
        <v>75</v>
      </c>
      <c r="O621" s="59">
        <v>240</v>
      </c>
      <c r="P621" s="59">
        <v>40</v>
      </c>
      <c r="Q621" s="59">
        <f t="shared" si="96"/>
        <v>315</v>
      </c>
      <c r="R621" s="59">
        <f t="shared" si="97"/>
        <v>100</v>
      </c>
      <c r="S621" s="56">
        <f t="shared" si="98"/>
        <v>695</v>
      </c>
      <c r="T621" s="56">
        <f>0</f>
        <v>0</v>
      </c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</row>
    <row r="622" spans="1:30" ht="15.75">
      <c r="A622" s="13">
        <v>60236</v>
      </c>
      <c r="B622" s="67">
        <f t="shared" si="93"/>
        <v>30</v>
      </c>
      <c r="C622" s="56">
        <f>122.58</f>
        <v>122.58</v>
      </c>
      <c r="D622" s="56">
        <f>297.941</f>
        <v>297.94099999999997</v>
      </c>
      <c r="E622" s="64">
        <f>89.177</f>
        <v>89.177000000000007</v>
      </c>
      <c r="F622" s="56">
        <f>240.302-40-60-100</f>
        <v>40.301999999999992</v>
      </c>
      <c r="G622" s="59">
        <v>40</v>
      </c>
      <c r="H622" s="56">
        <f>60+100</f>
        <v>160</v>
      </c>
      <c r="I622" s="56">
        <f t="shared" si="101"/>
        <v>0</v>
      </c>
      <c r="J622" s="59">
        <v>100</v>
      </c>
      <c r="K622" s="59">
        <v>300</v>
      </c>
      <c r="L622" s="56">
        <f t="shared" si="95"/>
        <v>1150</v>
      </c>
      <c r="M622" s="66">
        <v>600</v>
      </c>
      <c r="N622" s="56">
        <f>100</f>
        <v>100</v>
      </c>
      <c r="O622" s="59">
        <v>240</v>
      </c>
      <c r="P622" s="59">
        <v>40</v>
      </c>
      <c r="Q622" s="59">
        <f t="shared" si="96"/>
        <v>315</v>
      </c>
      <c r="R622" s="59">
        <f t="shared" si="97"/>
        <v>100</v>
      </c>
      <c r="S622" s="56">
        <f t="shared" si="98"/>
        <v>695</v>
      </c>
      <c r="T622" s="56">
        <f>50</f>
        <v>50</v>
      </c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</row>
    <row r="623" spans="1:30" ht="15.75">
      <c r="A623" s="13">
        <v>60267</v>
      </c>
      <c r="B623" s="67">
        <f t="shared" si="93"/>
        <v>31</v>
      </c>
      <c r="C623" s="56">
        <f>122.58</f>
        <v>122.58</v>
      </c>
      <c r="D623" s="56">
        <f>297.941</f>
        <v>297.94099999999997</v>
      </c>
      <c r="E623" s="64">
        <f>89.177</f>
        <v>89.177000000000007</v>
      </c>
      <c r="F623" s="56">
        <f>240.302-40-60-100</f>
        <v>40.301999999999992</v>
      </c>
      <c r="G623" s="59">
        <v>40</v>
      </c>
      <c r="H623" s="56">
        <f>60+100</f>
        <v>160</v>
      </c>
      <c r="I623" s="56">
        <f t="shared" si="101"/>
        <v>0</v>
      </c>
      <c r="J623" s="59">
        <v>100</v>
      </c>
      <c r="K623" s="59">
        <v>300</v>
      </c>
      <c r="L623" s="56">
        <f t="shared" si="95"/>
        <v>1150</v>
      </c>
      <c r="M623" s="66">
        <v>600</v>
      </c>
      <c r="N623" s="56">
        <f>100</f>
        <v>100</v>
      </c>
      <c r="O623" s="59">
        <v>240</v>
      </c>
      <c r="P623" s="59">
        <v>40</v>
      </c>
      <c r="Q623" s="59">
        <f t="shared" si="96"/>
        <v>315</v>
      </c>
      <c r="R623" s="59">
        <f t="shared" si="97"/>
        <v>100</v>
      </c>
      <c r="S623" s="56">
        <f t="shared" si="98"/>
        <v>695</v>
      </c>
      <c r="T623" s="56">
        <f>50</f>
        <v>50</v>
      </c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</row>
    <row r="624" spans="1:30" ht="15.75">
      <c r="A624" s="13">
        <v>60298</v>
      </c>
      <c r="B624" s="67">
        <f t="shared" si="93"/>
        <v>31</v>
      </c>
      <c r="C624" s="56">
        <f>122.58</f>
        <v>122.58</v>
      </c>
      <c r="D624" s="56">
        <f>297.941</f>
        <v>297.94099999999997</v>
      </c>
      <c r="E624" s="64">
        <f>89.177</f>
        <v>89.177000000000007</v>
      </c>
      <c r="F624" s="56">
        <f>240.302-40-60-100</f>
        <v>40.301999999999992</v>
      </c>
      <c r="G624" s="59">
        <v>40</v>
      </c>
      <c r="H624" s="56">
        <f>60+100</f>
        <v>160</v>
      </c>
      <c r="I624" s="56">
        <f t="shared" si="101"/>
        <v>0</v>
      </c>
      <c r="J624" s="59">
        <v>100</v>
      </c>
      <c r="K624" s="59">
        <v>300</v>
      </c>
      <c r="L624" s="56">
        <f t="shared" si="95"/>
        <v>1150</v>
      </c>
      <c r="M624" s="66">
        <v>600</v>
      </c>
      <c r="N624" s="56">
        <f>100</f>
        <v>100</v>
      </c>
      <c r="O624" s="59">
        <v>240</v>
      </c>
      <c r="P624" s="59">
        <v>40</v>
      </c>
      <c r="Q624" s="59">
        <f t="shared" si="96"/>
        <v>315</v>
      </c>
      <c r="R624" s="59">
        <f t="shared" si="97"/>
        <v>100</v>
      </c>
      <c r="S624" s="56">
        <f t="shared" si="98"/>
        <v>695</v>
      </c>
      <c r="T624" s="56">
        <f>50</f>
        <v>50</v>
      </c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</row>
    <row r="625" spans="1:30" ht="15.75">
      <c r="A625" s="13">
        <v>60326</v>
      </c>
      <c r="B625" s="67">
        <f t="shared" si="93"/>
        <v>28</v>
      </c>
      <c r="C625" s="56">
        <f>122.58</f>
        <v>122.58</v>
      </c>
      <c r="D625" s="56">
        <f>297.941</f>
        <v>297.94099999999997</v>
      </c>
      <c r="E625" s="64">
        <f>89.177</f>
        <v>89.177000000000007</v>
      </c>
      <c r="F625" s="56">
        <f>240.302-40-60-100</f>
        <v>40.301999999999992</v>
      </c>
      <c r="G625" s="59">
        <v>40</v>
      </c>
      <c r="H625" s="56">
        <f>60+100</f>
        <v>160</v>
      </c>
      <c r="I625" s="56">
        <f t="shared" si="101"/>
        <v>0</v>
      </c>
      <c r="J625" s="59">
        <v>100</v>
      </c>
      <c r="K625" s="59">
        <v>300</v>
      </c>
      <c r="L625" s="56">
        <f t="shared" si="95"/>
        <v>1150</v>
      </c>
      <c r="M625" s="66">
        <v>600</v>
      </c>
      <c r="N625" s="56">
        <f>100</f>
        <v>100</v>
      </c>
      <c r="O625" s="59">
        <v>240</v>
      </c>
      <c r="P625" s="59">
        <v>40</v>
      </c>
      <c r="Q625" s="59">
        <f t="shared" si="96"/>
        <v>315</v>
      </c>
      <c r="R625" s="59">
        <f t="shared" si="97"/>
        <v>100</v>
      </c>
      <c r="S625" s="56">
        <f t="shared" si="98"/>
        <v>695</v>
      </c>
      <c r="T625" s="56">
        <f>50</f>
        <v>50</v>
      </c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</row>
    <row r="626" spans="1:30" ht="15.75">
      <c r="A626" s="13">
        <v>60357</v>
      </c>
      <c r="B626" s="67">
        <f t="shared" si="93"/>
        <v>31</v>
      </c>
      <c r="C626" s="56">
        <f>122.58</f>
        <v>122.58</v>
      </c>
      <c r="D626" s="56">
        <f>297.941</f>
        <v>297.94099999999997</v>
      </c>
      <c r="E626" s="64">
        <f>89.177</f>
        <v>89.177000000000007</v>
      </c>
      <c r="F626" s="56">
        <f>240.302-40-60-100</f>
        <v>40.301999999999992</v>
      </c>
      <c r="G626" s="59">
        <v>40</v>
      </c>
      <c r="H626" s="56">
        <f>60+100</f>
        <v>160</v>
      </c>
      <c r="I626" s="56">
        <f t="shared" si="101"/>
        <v>0</v>
      </c>
      <c r="J626" s="59">
        <v>100</v>
      </c>
      <c r="K626" s="59">
        <v>300</v>
      </c>
      <c r="L626" s="56">
        <f t="shared" si="95"/>
        <v>1150</v>
      </c>
      <c r="M626" s="66">
        <v>600</v>
      </c>
      <c r="N626" s="56">
        <f>100</f>
        <v>100</v>
      </c>
      <c r="O626" s="59">
        <v>240</v>
      </c>
      <c r="P626" s="59">
        <v>40</v>
      </c>
      <c r="Q626" s="59">
        <f t="shared" si="96"/>
        <v>315</v>
      </c>
      <c r="R626" s="59">
        <f t="shared" si="97"/>
        <v>100</v>
      </c>
      <c r="S626" s="56">
        <f t="shared" si="98"/>
        <v>695</v>
      </c>
      <c r="T626" s="56">
        <f>50</f>
        <v>50</v>
      </c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</row>
    <row r="627" spans="1:30" ht="15.75">
      <c r="A627" s="13">
        <v>60387</v>
      </c>
      <c r="B627" s="67">
        <f t="shared" si="93"/>
        <v>30</v>
      </c>
      <c r="C627" s="56">
        <f>141.293</f>
        <v>141.29300000000001</v>
      </c>
      <c r="D627" s="56">
        <f>267.993</f>
        <v>267.99299999999999</v>
      </c>
      <c r="E627" s="64">
        <f>115.016</f>
        <v>115.01600000000001</v>
      </c>
      <c r="F627" s="56">
        <f>314.698-40-25-60-100</f>
        <v>89.697999999999979</v>
      </c>
      <c r="G627" s="59">
        <v>40</v>
      </c>
      <c r="H627" s="56">
        <f t="shared" ref="H627:H633" si="102">25+60+100</f>
        <v>185</v>
      </c>
      <c r="I627" s="56">
        <f t="shared" si="101"/>
        <v>0</v>
      </c>
      <c r="J627" s="59">
        <v>100</v>
      </c>
      <c r="K627" s="59">
        <v>300</v>
      </c>
      <c r="L627" s="56">
        <f t="shared" si="95"/>
        <v>1239</v>
      </c>
      <c r="M627" s="66">
        <v>600</v>
      </c>
      <c r="N627" s="56">
        <f>100</f>
        <v>100</v>
      </c>
      <c r="O627" s="59">
        <v>240</v>
      </c>
      <c r="P627" s="59">
        <v>40</v>
      </c>
      <c r="Q627" s="59">
        <f t="shared" si="96"/>
        <v>315</v>
      </c>
      <c r="R627" s="59">
        <f t="shared" si="97"/>
        <v>100</v>
      </c>
      <c r="S627" s="56">
        <f t="shared" si="98"/>
        <v>695</v>
      </c>
      <c r="T627" s="56">
        <f>50</f>
        <v>50</v>
      </c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</row>
    <row r="628" spans="1:30" ht="15.75">
      <c r="A628" s="13">
        <v>60418</v>
      </c>
      <c r="B628" s="67">
        <f t="shared" si="93"/>
        <v>31</v>
      </c>
      <c r="C628" s="56">
        <f>194.205</f>
        <v>194.20500000000001</v>
      </c>
      <c r="D628" s="56">
        <f>267.466</f>
        <v>267.46600000000001</v>
      </c>
      <c r="E628" s="64">
        <f>133.845</f>
        <v>133.845</v>
      </c>
      <c r="F628" s="56">
        <f>278.484-40-25-60-100</f>
        <v>53.48399999999998</v>
      </c>
      <c r="G628" s="59">
        <v>40</v>
      </c>
      <c r="H628" s="56">
        <f t="shared" si="102"/>
        <v>185</v>
      </c>
      <c r="I628" s="56">
        <f t="shared" si="101"/>
        <v>0</v>
      </c>
      <c r="J628" s="59">
        <v>100</v>
      </c>
      <c r="K628" s="59">
        <v>300</v>
      </c>
      <c r="L628" s="56">
        <f t="shared" si="95"/>
        <v>1274</v>
      </c>
      <c r="M628" s="66">
        <v>600</v>
      </c>
      <c r="N628" s="56">
        <f>75</f>
        <v>75</v>
      </c>
      <c r="O628" s="59">
        <v>240</v>
      </c>
      <c r="P628" s="59">
        <v>40</v>
      </c>
      <c r="Q628" s="59">
        <f t="shared" si="96"/>
        <v>315</v>
      </c>
      <c r="R628" s="59">
        <f t="shared" si="97"/>
        <v>100</v>
      </c>
      <c r="S628" s="56">
        <f t="shared" si="98"/>
        <v>695</v>
      </c>
      <c r="T628" s="56">
        <f>50</f>
        <v>50</v>
      </c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</row>
    <row r="629" spans="1:30" ht="15.75">
      <c r="A629" s="13">
        <v>60448</v>
      </c>
      <c r="B629" s="67">
        <f t="shared" si="93"/>
        <v>30</v>
      </c>
      <c r="C629" s="56">
        <f>194.205</f>
        <v>194.20500000000001</v>
      </c>
      <c r="D629" s="56">
        <f>267.466</f>
        <v>267.46600000000001</v>
      </c>
      <c r="E629" s="64">
        <f>133.845</f>
        <v>133.845</v>
      </c>
      <c r="F629" s="56">
        <f>278.484-40-25-60-100</f>
        <v>53.48399999999998</v>
      </c>
      <c r="G629" s="59">
        <v>40</v>
      </c>
      <c r="H629" s="56">
        <f t="shared" si="102"/>
        <v>185</v>
      </c>
      <c r="I629" s="56">
        <f t="shared" si="101"/>
        <v>0</v>
      </c>
      <c r="J629" s="59">
        <v>100</v>
      </c>
      <c r="K629" s="59">
        <v>300</v>
      </c>
      <c r="L629" s="56">
        <f t="shared" si="95"/>
        <v>1274</v>
      </c>
      <c r="M629" s="66">
        <v>600</v>
      </c>
      <c r="N629" s="56">
        <f>30</f>
        <v>30</v>
      </c>
      <c r="O629" s="59">
        <v>240</v>
      </c>
      <c r="P629" s="59">
        <v>40</v>
      </c>
      <c r="Q629" s="59">
        <f t="shared" si="96"/>
        <v>315</v>
      </c>
      <c r="R629" s="59">
        <f t="shared" si="97"/>
        <v>100</v>
      </c>
      <c r="S629" s="56">
        <f t="shared" si="98"/>
        <v>695</v>
      </c>
      <c r="T629" s="56">
        <f>50</f>
        <v>50</v>
      </c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</row>
    <row r="630" spans="1:30" ht="15.75">
      <c r="A630" s="13">
        <v>60479</v>
      </c>
      <c r="B630" s="67">
        <f t="shared" si="93"/>
        <v>31</v>
      </c>
      <c r="C630" s="56">
        <f>194.205</f>
        <v>194.20500000000001</v>
      </c>
      <c r="D630" s="56">
        <f>267.466</f>
        <v>267.46600000000001</v>
      </c>
      <c r="E630" s="64">
        <f>133.845</f>
        <v>133.845</v>
      </c>
      <c r="F630" s="56">
        <f>278.484-40-25-60-100</f>
        <v>53.48399999999998</v>
      </c>
      <c r="G630" s="59">
        <v>40</v>
      </c>
      <c r="H630" s="56">
        <f t="shared" si="102"/>
        <v>185</v>
      </c>
      <c r="I630" s="56">
        <f t="shared" si="101"/>
        <v>0</v>
      </c>
      <c r="J630" s="59">
        <v>100</v>
      </c>
      <c r="K630" s="59">
        <v>300</v>
      </c>
      <c r="L630" s="56">
        <f t="shared" si="95"/>
        <v>1274</v>
      </c>
      <c r="M630" s="66">
        <v>600</v>
      </c>
      <c r="N630" s="56">
        <f>30</f>
        <v>30</v>
      </c>
      <c r="O630" s="59">
        <v>240</v>
      </c>
      <c r="P630" s="59">
        <v>40</v>
      </c>
      <c r="Q630" s="59">
        <f t="shared" si="96"/>
        <v>315</v>
      </c>
      <c r="R630" s="59">
        <f t="shared" si="97"/>
        <v>100</v>
      </c>
      <c r="S630" s="56">
        <f t="shared" si="98"/>
        <v>695</v>
      </c>
      <c r="T630" s="56">
        <f>0</f>
        <v>0</v>
      </c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</row>
    <row r="631" spans="1:30" ht="15.75">
      <c r="A631" s="13">
        <v>60510</v>
      </c>
      <c r="B631" s="67">
        <f t="shared" si="93"/>
        <v>31</v>
      </c>
      <c r="C631" s="56">
        <f>194.205</f>
        <v>194.20500000000001</v>
      </c>
      <c r="D631" s="56">
        <f>267.466</f>
        <v>267.46600000000001</v>
      </c>
      <c r="E631" s="64">
        <f>133.845</f>
        <v>133.845</v>
      </c>
      <c r="F631" s="56">
        <f>278.484-40-25-60-100</f>
        <v>53.48399999999998</v>
      </c>
      <c r="G631" s="59">
        <v>40</v>
      </c>
      <c r="H631" s="56">
        <f t="shared" si="102"/>
        <v>185</v>
      </c>
      <c r="I631" s="56">
        <f t="shared" si="101"/>
        <v>0</v>
      </c>
      <c r="J631" s="59">
        <v>100</v>
      </c>
      <c r="K631" s="59">
        <v>300</v>
      </c>
      <c r="L631" s="56">
        <f t="shared" si="95"/>
        <v>1274</v>
      </c>
      <c r="M631" s="66">
        <v>600</v>
      </c>
      <c r="N631" s="56">
        <f>30</f>
        <v>30</v>
      </c>
      <c r="O631" s="59">
        <v>240</v>
      </c>
      <c r="P631" s="59">
        <v>40</v>
      </c>
      <c r="Q631" s="59">
        <f t="shared" si="96"/>
        <v>315</v>
      </c>
      <c r="R631" s="59">
        <f t="shared" si="97"/>
        <v>100</v>
      </c>
      <c r="S631" s="56">
        <f t="shared" si="98"/>
        <v>695</v>
      </c>
      <c r="T631" s="56">
        <f>0</f>
        <v>0</v>
      </c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</row>
    <row r="632" spans="1:30" ht="15.75">
      <c r="A632" s="13">
        <v>60540</v>
      </c>
      <c r="B632" s="67">
        <f t="shared" si="93"/>
        <v>30</v>
      </c>
      <c r="C632" s="56">
        <f>194.205</f>
        <v>194.20500000000001</v>
      </c>
      <c r="D632" s="56">
        <f>267.466</f>
        <v>267.46600000000001</v>
      </c>
      <c r="E632" s="64">
        <f>133.845</f>
        <v>133.845</v>
      </c>
      <c r="F632" s="56">
        <f>278.484-40-25-60-100</f>
        <v>53.48399999999998</v>
      </c>
      <c r="G632" s="59">
        <v>40</v>
      </c>
      <c r="H632" s="56">
        <f t="shared" si="102"/>
        <v>185</v>
      </c>
      <c r="I632" s="56">
        <f t="shared" si="101"/>
        <v>0</v>
      </c>
      <c r="J632" s="59">
        <v>100</v>
      </c>
      <c r="K632" s="59">
        <v>300</v>
      </c>
      <c r="L632" s="56">
        <f t="shared" si="95"/>
        <v>1274</v>
      </c>
      <c r="M632" s="66">
        <v>600</v>
      </c>
      <c r="N632" s="56">
        <f>30</f>
        <v>30</v>
      </c>
      <c r="O632" s="59">
        <v>240</v>
      </c>
      <c r="P632" s="59">
        <v>40</v>
      </c>
      <c r="Q632" s="59">
        <f t="shared" si="96"/>
        <v>315</v>
      </c>
      <c r="R632" s="59">
        <f t="shared" si="97"/>
        <v>100</v>
      </c>
      <c r="S632" s="56">
        <f t="shared" si="98"/>
        <v>695</v>
      </c>
      <c r="T632" s="56">
        <f>0</f>
        <v>0</v>
      </c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</row>
    <row r="633" spans="1:30" ht="15.75">
      <c r="A633" s="13">
        <v>60571</v>
      </c>
      <c r="B633" s="67">
        <f t="shared" si="93"/>
        <v>31</v>
      </c>
      <c r="C633" s="56">
        <f>131.881</f>
        <v>131.881</v>
      </c>
      <c r="D633" s="56">
        <f>277.167</f>
        <v>277.16699999999997</v>
      </c>
      <c r="E633" s="64">
        <f>79.08</f>
        <v>79.08</v>
      </c>
      <c r="F633" s="56">
        <f>350.872-40-25-60-100</f>
        <v>125.87200000000001</v>
      </c>
      <c r="G633" s="59">
        <v>40</v>
      </c>
      <c r="H633" s="56">
        <f t="shared" si="102"/>
        <v>185</v>
      </c>
      <c r="I633" s="56">
        <f t="shared" si="101"/>
        <v>0</v>
      </c>
      <c r="J633" s="59">
        <v>100</v>
      </c>
      <c r="K633" s="59">
        <v>300</v>
      </c>
      <c r="L633" s="56">
        <f t="shared" si="95"/>
        <v>1239</v>
      </c>
      <c r="M633" s="66">
        <v>600</v>
      </c>
      <c r="N633" s="56">
        <f>75</f>
        <v>75</v>
      </c>
      <c r="O633" s="59">
        <v>240</v>
      </c>
      <c r="P633" s="59">
        <v>40</v>
      </c>
      <c r="Q633" s="59">
        <f t="shared" si="96"/>
        <v>315</v>
      </c>
      <c r="R633" s="59">
        <f t="shared" si="97"/>
        <v>100</v>
      </c>
      <c r="S633" s="56">
        <f t="shared" si="98"/>
        <v>695</v>
      </c>
      <c r="T633" s="56">
        <f>0</f>
        <v>0</v>
      </c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</row>
    <row r="634" spans="1:30" ht="15.75">
      <c r="A634" s="13">
        <v>60601</v>
      </c>
      <c r="B634" s="67">
        <f t="shared" si="93"/>
        <v>30</v>
      </c>
      <c r="C634" s="56">
        <f>122.58</f>
        <v>122.58</v>
      </c>
      <c r="D634" s="56">
        <f>297.941</f>
        <v>297.94099999999997</v>
      </c>
      <c r="E634" s="64">
        <f>89.177</f>
        <v>89.177000000000007</v>
      </c>
      <c r="F634" s="56">
        <f>240.302-40-60-100</f>
        <v>40.301999999999992</v>
      </c>
      <c r="G634" s="59">
        <v>40</v>
      </c>
      <c r="H634" s="56">
        <f>60+100</f>
        <v>160</v>
      </c>
      <c r="I634" s="56">
        <f t="shared" si="101"/>
        <v>0</v>
      </c>
      <c r="J634" s="59">
        <v>100</v>
      </c>
      <c r="K634" s="59">
        <v>300</v>
      </c>
      <c r="L634" s="56">
        <f t="shared" si="95"/>
        <v>1150</v>
      </c>
      <c r="M634" s="66">
        <v>600</v>
      </c>
      <c r="N634" s="56">
        <f>100</f>
        <v>100</v>
      </c>
      <c r="O634" s="59">
        <v>240</v>
      </c>
      <c r="P634" s="59">
        <v>40</v>
      </c>
      <c r="Q634" s="59">
        <f t="shared" si="96"/>
        <v>315</v>
      </c>
      <c r="R634" s="59">
        <f t="shared" si="97"/>
        <v>100</v>
      </c>
      <c r="S634" s="56">
        <f t="shared" si="98"/>
        <v>695</v>
      </c>
      <c r="T634" s="56">
        <f>50</f>
        <v>50</v>
      </c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</row>
    <row r="635" spans="1:30" ht="15.75">
      <c r="A635" s="13">
        <v>60632</v>
      </c>
      <c r="B635" s="67">
        <f t="shared" si="93"/>
        <v>31</v>
      </c>
      <c r="C635" s="56">
        <f>122.58</f>
        <v>122.58</v>
      </c>
      <c r="D635" s="56">
        <f>297.941</f>
        <v>297.94099999999997</v>
      </c>
      <c r="E635" s="64">
        <f>89.177</f>
        <v>89.177000000000007</v>
      </c>
      <c r="F635" s="56">
        <f>240.302-40-60-100</f>
        <v>40.301999999999992</v>
      </c>
      <c r="G635" s="59">
        <v>40</v>
      </c>
      <c r="H635" s="56">
        <f>60+100</f>
        <v>160</v>
      </c>
      <c r="I635" s="56">
        <f t="shared" si="101"/>
        <v>0</v>
      </c>
      <c r="J635" s="59">
        <v>100</v>
      </c>
      <c r="K635" s="59">
        <v>300</v>
      </c>
      <c r="L635" s="56">
        <f t="shared" si="95"/>
        <v>1150</v>
      </c>
      <c r="M635" s="66">
        <v>600</v>
      </c>
      <c r="N635" s="56">
        <f>100</f>
        <v>100</v>
      </c>
      <c r="O635" s="59">
        <v>240</v>
      </c>
      <c r="P635" s="59">
        <v>40</v>
      </c>
      <c r="Q635" s="59">
        <f t="shared" si="96"/>
        <v>315</v>
      </c>
      <c r="R635" s="59">
        <f t="shared" si="97"/>
        <v>100</v>
      </c>
      <c r="S635" s="56">
        <f t="shared" si="98"/>
        <v>695</v>
      </c>
      <c r="T635" s="56">
        <f>50</f>
        <v>50</v>
      </c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</row>
    <row r="636" spans="1:30" ht="15.75">
      <c r="A636" s="13">
        <v>60663</v>
      </c>
      <c r="B636" s="67">
        <f t="shared" si="93"/>
        <v>31</v>
      </c>
      <c r="C636" s="56">
        <f>122.58</f>
        <v>122.58</v>
      </c>
      <c r="D636" s="56">
        <f>297.941</f>
        <v>297.94099999999997</v>
      </c>
      <c r="E636" s="64">
        <f>89.177</f>
        <v>89.177000000000007</v>
      </c>
      <c r="F636" s="56">
        <f>240.302-40-60-100</f>
        <v>40.301999999999992</v>
      </c>
      <c r="G636" s="59">
        <v>40</v>
      </c>
      <c r="H636" s="56">
        <f>60+100</f>
        <v>160</v>
      </c>
      <c r="I636" s="56">
        <f t="shared" si="101"/>
        <v>0</v>
      </c>
      <c r="J636" s="59">
        <v>100</v>
      </c>
      <c r="K636" s="59">
        <v>300</v>
      </c>
      <c r="L636" s="56">
        <f t="shared" si="95"/>
        <v>1150</v>
      </c>
      <c r="M636" s="66">
        <v>600</v>
      </c>
      <c r="N636" s="56">
        <f>100</f>
        <v>100</v>
      </c>
      <c r="O636" s="59">
        <v>240</v>
      </c>
      <c r="P636" s="59">
        <v>40</v>
      </c>
      <c r="Q636" s="59">
        <f t="shared" si="96"/>
        <v>315</v>
      </c>
      <c r="R636" s="59">
        <f t="shared" si="97"/>
        <v>100</v>
      </c>
      <c r="S636" s="56">
        <f t="shared" si="98"/>
        <v>695</v>
      </c>
      <c r="T636" s="56">
        <f>50</f>
        <v>50</v>
      </c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</row>
    <row r="637" spans="1:30" ht="15.75">
      <c r="A637" s="13">
        <v>60691</v>
      </c>
      <c r="B637" s="67">
        <f t="shared" si="93"/>
        <v>28</v>
      </c>
      <c r="C637" s="56">
        <f>122.58</f>
        <v>122.58</v>
      </c>
      <c r="D637" s="56">
        <f>297.941</f>
        <v>297.94099999999997</v>
      </c>
      <c r="E637" s="64">
        <f>89.177</f>
        <v>89.177000000000007</v>
      </c>
      <c r="F637" s="56">
        <f>240.302-40-60-100</f>
        <v>40.301999999999992</v>
      </c>
      <c r="G637" s="59">
        <v>40</v>
      </c>
      <c r="H637" s="56">
        <f>60+100</f>
        <v>160</v>
      </c>
      <c r="I637" s="56">
        <f t="shared" si="101"/>
        <v>0</v>
      </c>
      <c r="J637" s="59">
        <v>100</v>
      </c>
      <c r="K637" s="59">
        <v>300</v>
      </c>
      <c r="L637" s="56">
        <f t="shared" si="95"/>
        <v>1150</v>
      </c>
      <c r="M637" s="66">
        <v>600</v>
      </c>
      <c r="N637" s="56">
        <f>100</f>
        <v>100</v>
      </c>
      <c r="O637" s="59">
        <v>240</v>
      </c>
      <c r="P637" s="59">
        <v>40</v>
      </c>
      <c r="Q637" s="59">
        <f t="shared" si="96"/>
        <v>315</v>
      </c>
      <c r="R637" s="59">
        <f t="shared" si="97"/>
        <v>100</v>
      </c>
      <c r="S637" s="56">
        <f t="shared" si="98"/>
        <v>695</v>
      </c>
      <c r="T637" s="56">
        <f>50</f>
        <v>50</v>
      </c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</row>
    <row r="638" spans="1:30" ht="15.75">
      <c r="A638" s="13">
        <v>60722</v>
      </c>
      <c r="B638" s="67">
        <f t="shared" si="93"/>
        <v>31</v>
      </c>
      <c r="C638" s="56">
        <f>122.58</f>
        <v>122.58</v>
      </c>
      <c r="D638" s="56">
        <f>297.941</f>
        <v>297.94099999999997</v>
      </c>
      <c r="E638" s="64">
        <f>89.177</f>
        <v>89.177000000000007</v>
      </c>
      <c r="F638" s="56">
        <f>240.302-40-60-100</f>
        <v>40.301999999999992</v>
      </c>
      <c r="G638" s="59">
        <v>40</v>
      </c>
      <c r="H638" s="56">
        <f>60+100</f>
        <v>160</v>
      </c>
      <c r="I638" s="56">
        <f t="shared" si="101"/>
        <v>0</v>
      </c>
      <c r="J638" s="59">
        <v>100</v>
      </c>
      <c r="K638" s="59">
        <v>300</v>
      </c>
      <c r="L638" s="56">
        <f t="shared" si="95"/>
        <v>1150</v>
      </c>
      <c r="M638" s="66">
        <v>600</v>
      </c>
      <c r="N638" s="56">
        <f>100</f>
        <v>100</v>
      </c>
      <c r="O638" s="59">
        <v>240</v>
      </c>
      <c r="P638" s="59">
        <v>40</v>
      </c>
      <c r="Q638" s="59">
        <f t="shared" si="96"/>
        <v>315</v>
      </c>
      <c r="R638" s="59">
        <f t="shared" si="97"/>
        <v>100</v>
      </c>
      <c r="S638" s="56">
        <f t="shared" si="98"/>
        <v>695</v>
      </c>
      <c r="T638" s="56">
        <f>50</f>
        <v>50</v>
      </c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</row>
    <row r="639" spans="1:30" ht="15.75">
      <c r="A639" s="13">
        <v>60752</v>
      </c>
      <c r="B639" s="67">
        <f t="shared" si="93"/>
        <v>30</v>
      </c>
      <c r="C639" s="56">
        <f>141.293</f>
        <v>141.29300000000001</v>
      </c>
      <c r="D639" s="56">
        <f>267.993</f>
        <v>267.99299999999999</v>
      </c>
      <c r="E639" s="64">
        <f>115.016</f>
        <v>115.01600000000001</v>
      </c>
      <c r="F639" s="56">
        <f>314.698-40-25-60-100</f>
        <v>89.697999999999979</v>
      </c>
      <c r="G639" s="59">
        <v>40</v>
      </c>
      <c r="H639" s="56">
        <f t="shared" ref="H639:H645" si="103">25+60+100</f>
        <v>185</v>
      </c>
      <c r="I639" s="56">
        <f t="shared" si="101"/>
        <v>0</v>
      </c>
      <c r="J639" s="59">
        <v>100</v>
      </c>
      <c r="K639" s="59">
        <v>300</v>
      </c>
      <c r="L639" s="56">
        <f t="shared" si="95"/>
        <v>1239</v>
      </c>
      <c r="M639" s="66">
        <v>600</v>
      </c>
      <c r="N639" s="56">
        <f>100</f>
        <v>100</v>
      </c>
      <c r="O639" s="59">
        <v>240</v>
      </c>
      <c r="P639" s="59">
        <v>40</v>
      </c>
      <c r="Q639" s="59">
        <f t="shared" si="96"/>
        <v>315</v>
      </c>
      <c r="R639" s="59">
        <f t="shared" si="97"/>
        <v>100</v>
      </c>
      <c r="S639" s="56">
        <f t="shared" si="98"/>
        <v>695</v>
      </c>
      <c r="T639" s="56">
        <f>50</f>
        <v>50</v>
      </c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</row>
    <row r="640" spans="1:30" ht="15.75">
      <c r="A640" s="13">
        <v>60783</v>
      </c>
      <c r="B640" s="67">
        <f t="shared" si="93"/>
        <v>31</v>
      </c>
      <c r="C640" s="56">
        <f>194.205</f>
        <v>194.20500000000001</v>
      </c>
      <c r="D640" s="56">
        <f>267.466</f>
        <v>267.46600000000001</v>
      </c>
      <c r="E640" s="64">
        <f>133.845</f>
        <v>133.845</v>
      </c>
      <c r="F640" s="56">
        <f>278.484-40-25-60-100</f>
        <v>53.48399999999998</v>
      </c>
      <c r="G640" s="59">
        <v>40</v>
      </c>
      <c r="H640" s="56">
        <f t="shared" si="103"/>
        <v>185</v>
      </c>
      <c r="I640" s="56">
        <f t="shared" si="101"/>
        <v>0</v>
      </c>
      <c r="J640" s="59">
        <v>100</v>
      </c>
      <c r="K640" s="59">
        <v>300</v>
      </c>
      <c r="L640" s="56">
        <f t="shared" si="95"/>
        <v>1274</v>
      </c>
      <c r="M640" s="66">
        <v>600</v>
      </c>
      <c r="N640" s="56">
        <f>75</f>
        <v>75</v>
      </c>
      <c r="O640" s="59">
        <v>240</v>
      </c>
      <c r="P640" s="59">
        <v>40</v>
      </c>
      <c r="Q640" s="59">
        <f t="shared" si="96"/>
        <v>315</v>
      </c>
      <c r="R640" s="59">
        <f t="shared" si="97"/>
        <v>100</v>
      </c>
      <c r="S640" s="56">
        <f t="shared" si="98"/>
        <v>695</v>
      </c>
      <c r="T640" s="56">
        <f>50</f>
        <v>50</v>
      </c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</row>
    <row r="641" spans="1:30" ht="15.75">
      <c r="A641" s="13">
        <v>60813</v>
      </c>
      <c r="B641" s="67">
        <f t="shared" si="93"/>
        <v>30</v>
      </c>
      <c r="C641" s="56">
        <f>194.205</f>
        <v>194.20500000000001</v>
      </c>
      <c r="D641" s="56">
        <f>267.466</f>
        <v>267.46600000000001</v>
      </c>
      <c r="E641" s="64">
        <f>133.845</f>
        <v>133.845</v>
      </c>
      <c r="F641" s="56">
        <f>278.484-40-25-60-100</f>
        <v>53.48399999999998</v>
      </c>
      <c r="G641" s="59">
        <v>40</v>
      </c>
      <c r="H641" s="56">
        <f t="shared" si="103"/>
        <v>185</v>
      </c>
      <c r="I641" s="56">
        <f t="shared" si="101"/>
        <v>0</v>
      </c>
      <c r="J641" s="59">
        <v>100</v>
      </c>
      <c r="K641" s="59">
        <v>300</v>
      </c>
      <c r="L641" s="56">
        <f t="shared" si="95"/>
        <v>1274</v>
      </c>
      <c r="M641" s="66">
        <v>600</v>
      </c>
      <c r="N641" s="56">
        <f>30</f>
        <v>30</v>
      </c>
      <c r="O641" s="59">
        <v>240</v>
      </c>
      <c r="P641" s="59">
        <v>40</v>
      </c>
      <c r="Q641" s="59">
        <f t="shared" si="96"/>
        <v>315</v>
      </c>
      <c r="R641" s="59">
        <f t="shared" si="97"/>
        <v>100</v>
      </c>
      <c r="S641" s="56">
        <f t="shared" si="98"/>
        <v>695</v>
      </c>
      <c r="T641" s="56">
        <f>50</f>
        <v>50</v>
      </c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</row>
    <row r="642" spans="1:30" ht="15.75">
      <c r="A642" s="13">
        <v>60844</v>
      </c>
      <c r="B642" s="67">
        <f t="shared" si="93"/>
        <v>31</v>
      </c>
      <c r="C642" s="56">
        <f>194.205</f>
        <v>194.20500000000001</v>
      </c>
      <c r="D642" s="56">
        <f>267.466</f>
        <v>267.46600000000001</v>
      </c>
      <c r="E642" s="64">
        <f>133.845</f>
        <v>133.845</v>
      </c>
      <c r="F642" s="56">
        <f>278.484-40-25-60-100</f>
        <v>53.48399999999998</v>
      </c>
      <c r="G642" s="59">
        <v>40</v>
      </c>
      <c r="H642" s="56">
        <f t="shared" si="103"/>
        <v>185</v>
      </c>
      <c r="I642" s="56">
        <f t="shared" si="101"/>
        <v>0</v>
      </c>
      <c r="J642" s="59">
        <v>100</v>
      </c>
      <c r="K642" s="59">
        <v>300</v>
      </c>
      <c r="L642" s="56">
        <f t="shared" si="95"/>
        <v>1274</v>
      </c>
      <c r="M642" s="66">
        <v>600</v>
      </c>
      <c r="N642" s="56">
        <f>30</f>
        <v>30</v>
      </c>
      <c r="O642" s="59">
        <v>240</v>
      </c>
      <c r="P642" s="59">
        <v>40</v>
      </c>
      <c r="Q642" s="59">
        <f t="shared" si="96"/>
        <v>315</v>
      </c>
      <c r="R642" s="59">
        <f t="shared" si="97"/>
        <v>100</v>
      </c>
      <c r="S642" s="56">
        <f t="shared" si="98"/>
        <v>695</v>
      </c>
      <c r="T642" s="56">
        <f>0</f>
        <v>0</v>
      </c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</row>
    <row r="643" spans="1:30" ht="15.75">
      <c r="A643" s="13">
        <v>60875</v>
      </c>
      <c r="B643" s="67">
        <f t="shared" si="93"/>
        <v>31</v>
      </c>
      <c r="C643" s="56">
        <f>194.205</f>
        <v>194.20500000000001</v>
      </c>
      <c r="D643" s="56">
        <f>267.466</f>
        <v>267.46600000000001</v>
      </c>
      <c r="E643" s="64">
        <f>133.845</f>
        <v>133.845</v>
      </c>
      <c r="F643" s="56">
        <f>278.484-40-25-60-100</f>
        <v>53.48399999999998</v>
      </c>
      <c r="G643" s="59">
        <v>40</v>
      </c>
      <c r="H643" s="56">
        <f t="shared" si="103"/>
        <v>185</v>
      </c>
      <c r="I643" s="56">
        <f t="shared" si="101"/>
        <v>0</v>
      </c>
      <c r="J643" s="59">
        <v>100</v>
      </c>
      <c r="K643" s="59">
        <v>300</v>
      </c>
      <c r="L643" s="56">
        <f t="shared" si="95"/>
        <v>1274</v>
      </c>
      <c r="M643" s="66">
        <v>600</v>
      </c>
      <c r="N643" s="56">
        <f>30</f>
        <v>30</v>
      </c>
      <c r="O643" s="59">
        <v>240</v>
      </c>
      <c r="P643" s="59">
        <v>40</v>
      </c>
      <c r="Q643" s="59">
        <f t="shared" si="96"/>
        <v>315</v>
      </c>
      <c r="R643" s="59">
        <f t="shared" si="97"/>
        <v>100</v>
      </c>
      <c r="S643" s="56">
        <f t="shared" si="98"/>
        <v>695</v>
      </c>
      <c r="T643" s="56">
        <f>0</f>
        <v>0</v>
      </c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</row>
    <row r="644" spans="1:30" ht="15.75">
      <c r="A644" s="13">
        <v>60905</v>
      </c>
      <c r="B644" s="67">
        <f t="shared" si="93"/>
        <v>30</v>
      </c>
      <c r="C644" s="56">
        <f>194.205</f>
        <v>194.20500000000001</v>
      </c>
      <c r="D644" s="56">
        <f>267.466</f>
        <v>267.46600000000001</v>
      </c>
      <c r="E644" s="64">
        <f>133.845</f>
        <v>133.845</v>
      </c>
      <c r="F644" s="56">
        <f>278.484-40-25-60-100</f>
        <v>53.48399999999998</v>
      </c>
      <c r="G644" s="59">
        <v>40</v>
      </c>
      <c r="H644" s="56">
        <f t="shared" si="103"/>
        <v>185</v>
      </c>
      <c r="I644" s="56">
        <f t="shared" si="101"/>
        <v>0</v>
      </c>
      <c r="J644" s="59">
        <v>100</v>
      </c>
      <c r="K644" s="59">
        <v>300</v>
      </c>
      <c r="L644" s="56">
        <f t="shared" si="95"/>
        <v>1274</v>
      </c>
      <c r="M644" s="66">
        <v>600</v>
      </c>
      <c r="N644" s="56">
        <f>30</f>
        <v>30</v>
      </c>
      <c r="O644" s="59">
        <v>240</v>
      </c>
      <c r="P644" s="59">
        <v>40</v>
      </c>
      <c r="Q644" s="59">
        <f t="shared" si="96"/>
        <v>315</v>
      </c>
      <c r="R644" s="59">
        <f t="shared" si="97"/>
        <v>100</v>
      </c>
      <c r="S644" s="56">
        <f t="shared" si="98"/>
        <v>695</v>
      </c>
      <c r="T644" s="56">
        <f>0</f>
        <v>0</v>
      </c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</row>
    <row r="645" spans="1:30" ht="15.75">
      <c r="A645" s="13">
        <v>60936</v>
      </c>
      <c r="B645" s="67">
        <f t="shared" si="93"/>
        <v>31</v>
      </c>
      <c r="C645" s="56">
        <f>131.881</f>
        <v>131.881</v>
      </c>
      <c r="D645" s="56">
        <f>277.167</f>
        <v>277.16699999999997</v>
      </c>
      <c r="E645" s="64">
        <f>79.08</f>
        <v>79.08</v>
      </c>
      <c r="F645" s="56">
        <f>350.872-40-25-60-100</f>
        <v>125.87200000000001</v>
      </c>
      <c r="G645" s="59">
        <v>40</v>
      </c>
      <c r="H645" s="56">
        <f t="shared" si="103"/>
        <v>185</v>
      </c>
      <c r="I645" s="56">
        <f t="shared" si="101"/>
        <v>0</v>
      </c>
      <c r="J645" s="59">
        <v>100</v>
      </c>
      <c r="K645" s="59">
        <v>300</v>
      </c>
      <c r="L645" s="56">
        <f t="shared" si="95"/>
        <v>1239</v>
      </c>
      <c r="M645" s="66">
        <v>600</v>
      </c>
      <c r="N645" s="56">
        <f>75</f>
        <v>75</v>
      </c>
      <c r="O645" s="59">
        <v>240</v>
      </c>
      <c r="P645" s="59">
        <v>40</v>
      </c>
      <c r="Q645" s="59">
        <f t="shared" si="96"/>
        <v>315</v>
      </c>
      <c r="R645" s="59">
        <f t="shared" si="97"/>
        <v>100</v>
      </c>
      <c r="S645" s="56">
        <f t="shared" si="98"/>
        <v>695</v>
      </c>
      <c r="T645" s="56">
        <f>0</f>
        <v>0</v>
      </c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</row>
    <row r="646" spans="1:30" ht="15.75">
      <c r="A646" s="13">
        <v>60966</v>
      </c>
      <c r="B646" s="67">
        <f t="shared" si="93"/>
        <v>30</v>
      </c>
      <c r="C646" s="56">
        <f>122.58</f>
        <v>122.58</v>
      </c>
      <c r="D646" s="56">
        <f>297.941</f>
        <v>297.94099999999997</v>
      </c>
      <c r="E646" s="64">
        <f>89.177</f>
        <v>89.177000000000007</v>
      </c>
      <c r="F646" s="56">
        <f>240.302-40-60-100</f>
        <v>40.301999999999992</v>
      </c>
      <c r="G646" s="59">
        <v>40</v>
      </c>
      <c r="H646" s="56">
        <f>60+100</f>
        <v>160</v>
      </c>
      <c r="I646" s="56">
        <f t="shared" si="101"/>
        <v>0</v>
      </c>
      <c r="J646" s="59">
        <v>100</v>
      </c>
      <c r="K646" s="59">
        <v>300</v>
      </c>
      <c r="L646" s="56">
        <f t="shared" si="95"/>
        <v>1150</v>
      </c>
      <c r="M646" s="66">
        <v>600</v>
      </c>
      <c r="N646" s="56">
        <f>100</f>
        <v>100</v>
      </c>
      <c r="O646" s="59">
        <v>240</v>
      </c>
      <c r="P646" s="59">
        <v>40</v>
      </c>
      <c r="Q646" s="59">
        <f t="shared" si="96"/>
        <v>315</v>
      </c>
      <c r="R646" s="59">
        <f t="shared" si="97"/>
        <v>100</v>
      </c>
      <c r="S646" s="56">
        <f t="shared" si="98"/>
        <v>695</v>
      </c>
      <c r="T646" s="56">
        <f>50</f>
        <v>50</v>
      </c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</row>
    <row r="647" spans="1:30" ht="15.75">
      <c r="A647" s="13">
        <v>60997</v>
      </c>
      <c r="B647" s="67">
        <f t="shared" si="93"/>
        <v>31</v>
      </c>
      <c r="C647" s="56">
        <f>122.58</f>
        <v>122.58</v>
      </c>
      <c r="D647" s="56">
        <f>297.941</f>
        <v>297.94099999999997</v>
      </c>
      <c r="E647" s="64">
        <f>89.177</f>
        <v>89.177000000000007</v>
      </c>
      <c r="F647" s="56">
        <f>240.302-40-60-100</f>
        <v>40.301999999999992</v>
      </c>
      <c r="G647" s="59">
        <v>40</v>
      </c>
      <c r="H647" s="56">
        <f>60+100</f>
        <v>160</v>
      </c>
      <c r="I647" s="56">
        <f t="shared" si="101"/>
        <v>0</v>
      </c>
      <c r="J647" s="59">
        <v>100</v>
      </c>
      <c r="K647" s="59">
        <v>300</v>
      </c>
      <c r="L647" s="56">
        <f t="shared" si="95"/>
        <v>1150</v>
      </c>
      <c r="M647" s="66">
        <v>600</v>
      </c>
      <c r="N647" s="56">
        <f>100</f>
        <v>100</v>
      </c>
      <c r="O647" s="59">
        <v>240</v>
      </c>
      <c r="P647" s="59">
        <v>40</v>
      </c>
      <c r="Q647" s="59">
        <f t="shared" si="96"/>
        <v>315</v>
      </c>
      <c r="R647" s="59">
        <f t="shared" si="97"/>
        <v>100</v>
      </c>
      <c r="S647" s="56">
        <f t="shared" si="98"/>
        <v>695</v>
      </c>
      <c r="T647" s="56">
        <f>50</f>
        <v>50</v>
      </c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</row>
    <row r="648" spans="1:30" ht="15.75">
      <c r="A648" s="13">
        <v>61028</v>
      </c>
      <c r="B648" s="67">
        <f t="shared" si="93"/>
        <v>31</v>
      </c>
      <c r="C648" s="56">
        <f>122.58</f>
        <v>122.58</v>
      </c>
      <c r="D648" s="56">
        <f>297.941</f>
        <v>297.94099999999997</v>
      </c>
      <c r="E648" s="64">
        <f>89.177</f>
        <v>89.177000000000007</v>
      </c>
      <c r="F648" s="56">
        <f>240.302-40-60-100</f>
        <v>40.301999999999992</v>
      </c>
      <c r="G648" s="59">
        <v>40</v>
      </c>
      <c r="H648" s="56">
        <f>60+100</f>
        <v>160</v>
      </c>
      <c r="I648" s="56">
        <f t="shared" si="101"/>
        <v>0</v>
      </c>
      <c r="J648" s="59">
        <v>100</v>
      </c>
      <c r="K648" s="59">
        <v>300</v>
      </c>
      <c r="L648" s="56">
        <f t="shared" si="95"/>
        <v>1150</v>
      </c>
      <c r="M648" s="66">
        <v>600</v>
      </c>
      <c r="N648" s="56">
        <f>100</f>
        <v>100</v>
      </c>
      <c r="O648" s="59">
        <v>240</v>
      </c>
      <c r="P648" s="59">
        <v>40</v>
      </c>
      <c r="Q648" s="59">
        <f t="shared" si="96"/>
        <v>315</v>
      </c>
      <c r="R648" s="59">
        <f t="shared" si="97"/>
        <v>100</v>
      </c>
      <c r="S648" s="56">
        <f t="shared" si="98"/>
        <v>695</v>
      </c>
      <c r="T648" s="56">
        <f>50</f>
        <v>50</v>
      </c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</row>
    <row r="649" spans="1:30" ht="15.75">
      <c r="A649" s="13">
        <v>61056</v>
      </c>
      <c r="B649" s="67">
        <f t="shared" si="93"/>
        <v>28</v>
      </c>
      <c r="C649" s="56">
        <f>122.58</f>
        <v>122.58</v>
      </c>
      <c r="D649" s="56">
        <f>297.941</f>
        <v>297.94099999999997</v>
      </c>
      <c r="E649" s="64">
        <f>89.177</f>
        <v>89.177000000000007</v>
      </c>
      <c r="F649" s="56">
        <f>240.302-40-60-100</f>
        <v>40.301999999999992</v>
      </c>
      <c r="G649" s="59">
        <v>40</v>
      </c>
      <c r="H649" s="56">
        <f>60+100</f>
        <v>160</v>
      </c>
      <c r="I649" s="56">
        <f t="shared" si="101"/>
        <v>0</v>
      </c>
      <c r="J649" s="59">
        <v>100</v>
      </c>
      <c r="K649" s="59">
        <v>300</v>
      </c>
      <c r="L649" s="56">
        <f t="shared" si="95"/>
        <v>1150</v>
      </c>
      <c r="M649" s="66">
        <v>600</v>
      </c>
      <c r="N649" s="56">
        <f>100</f>
        <v>100</v>
      </c>
      <c r="O649" s="59">
        <v>240</v>
      </c>
      <c r="P649" s="59">
        <v>40</v>
      </c>
      <c r="Q649" s="59">
        <f t="shared" si="96"/>
        <v>315</v>
      </c>
      <c r="R649" s="59">
        <f t="shared" si="97"/>
        <v>100</v>
      </c>
      <c r="S649" s="56">
        <f t="shared" si="98"/>
        <v>695</v>
      </c>
      <c r="T649" s="56">
        <f>50</f>
        <v>50</v>
      </c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</row>
    <row r="650" spans="1:30" ht="15.75">
      <c r="A650" s="13">
        <v>61087</v>
      </c>
      <c r="B650" s="67">
        <f t="shared" si="93"/>
        <v>31</v>
      </c>
      <c r="C650" s="56">
        <f>122.58</f>
        <v>122.58</v>
      </c>
      <c r="D650" s="56">
        <f>297.941</f>
        <v>297.94099999999997</v>
      </c>
      <c r="E650" s="64">
        <f>89.177</f>
        <v>89.177000000000007</v>
      </c>
      <c r="F650" s="56">
        <f>240.302-40-60-100</f>
        <v>40.301999999999992</v>
      </c>
      <c r="G650" s="59">
        <v>40</v>
      </c>
      <c r="H650" s="56">
        <f>60+100</f>
        <v>160</v>
      </c>
      <c r="I650" s="56">
        <f t="shared" si="101"/>
        <v>0</v>
      </c>
      <c r="J650" s="59">
        <v>100</v>
      </c>
      <c r="K650" s="59">
        <v>300</v>
      </c>
      <c r="L650" s="56">
        <f t="shared" si="95"/>
        <v>1150</v>
      </c>
      <c r="M650" s="66">
        <v>600</v>
      </c>
      <c r="N650" s="56">
        <f>100</f>
        <v>100</v>
      </c>
      <c r="O650" s="59">
        <v>240</v>
      </c>
      <c r="P650" s="59">
        <v>40</v>
      </c>
      <c r="Q650" s="59">
        <f t="shared" si="96"/>
        <v>315</v>
      </c>
      <c r="R650" s="59">
        <f t="shared" si="97"/>
        <v>100</v>
      </c>
      <c r="S650" s="56">
        <f t="shared" si="98"/>
        <v>695</v>
      </c>
      <c r="T650" s="56">
        <f>50</f>
        <v>50</v>
      </c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</row>
    <row r="651" spans="1:30" ht="15.75">
      <c r="A651" s="13">
        <v>61117</v>
      </c>
      <c r="B651" s="67">
        <f t="shared" si="93"/>
        <v>30</v>
      </c>
      <c r="C651" s="56">
        <f>141.293</f>
        <v>141.29300000000001</v>
      </c>
      <c r="D651" s="56">
        <f>267.993</f>
        <v>267.99299999999999</v>
      </c>
      <c r="E651" s="64">
        <f>115.016</f>
        <v>115.01600000000001</v>
      </c>
      <c r="F651" s="56">
        <f>314.698-40-25-60-100</f>
        <v>89.697999999999979</v>
      </c>
      <c r="G651" s="59">
        <v>40</v>
      </c>
      <c r="H651" s="56">
        <f t="shared" ref="H651:H657" si="104">25+60+100</f>
        <v>185</v>
      </c>
      <c r="I651" s="56">
        <f t="shared" si="101"/>
        <v>0</v>
      </c>
      <c r="J651" s="59">
        <v>100</v>
      </c>
      <c r="K651" s="59">
        <v>300</v>
      </c>
      <c r="L651" s="56">
        <f t="shared" si="95"/>
        <v>1239</v>
      </c>
      <c r="M651" s="66">
        <v>600</v>
      </c>
      <c r="N651" s="56">
        <f>100</f>
        <v>100</v>
      </c>
      <c r="O651" s="59">
        <v>240</v>
      </c>
      <c r="P651" s="59">
        <v>40</v>
      </c>
      <c r="Q651" s="59">
        <f t="shared" si="96"/>
        <v>315</v>
      </c>
      <c r="R651" s="59">
        <f t="shared" si="97"/>
        <v>100</v>
      </c>
      <c r="S651" s="56">
        <f t="shared" si="98"/>
        <v>695</v>
      </c>
      <c r="T651" s="56">
        <f>50</f>
        <v>50</v>
      </c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</row>
    <row r="652" spans="1:30" ht="15.75">
      <c r="A652" s="13">
        <v>61148</v>
      </c>
      <c r="B652" s="67">
        <f t="shared" ref="B652:B715" si="105">EOMONTH(A652,0)-EOMONTH(A652,-1)</f>
        <v>31</v>
      </c>
      <c r="C652" s="56">
        <f>194.205</f>
        <v>194.20500000000001</v>
      </c>
      <c r="D652" s="56">
        <f>267.466</f>
        <v>267.46600000000001</v>
      </c>
      <c r="E652" s="64">
        <f>133.845</f>
        <v>133.845</v>
      </c>
      <c r="F652" s="56">
        <f>278.484-40-25-60-100</f>
        <v>53.48399999999998</v>
      </c>
      <c r="G652" s="59">
        <v>40</v>
      </c>
      <c r="H652" s="56">
        <f t="shared" si="104"/>
        <v>185</v>
      </c>
      <c r="I652" s="56">
        <f t="shared" si="101"/>
        <v>0</v>
      </c>
      <c r="J652" s="59">
        <v>100</v>
      </c>
      <c r="K652" s="59">
        <v>300</v>
      </c>
      <c r="L652" s="56">
        <f t="shared" si="95"/>
        <v>1274</v>
      </c>
      <c r="M652" s="66">
        <v>600</v>
      </c>
      <c r="N652" s="56">
        <f>75</f>
        <v>75</v>
      </c>
      <c r="O652" s="59">
        <v>240</v>
      </c>
      <c r="P652" s="59">
        <v>40</v>
      </c>
      <c r="Q652" s="59">
        <f t="shared" si="96"/>
        <v>315</v>
      </c>
      <c r="R652" s="59">
        <f t="shared" si="97"/>
        <v>100</v>
      </c>
      <c r="S652" s="56">
        <f t="shared" si="98"/>
        <v>695</v>
      </c>
      <c r="T652" s="56">
        <f>50</f>
        <v>50</v>
      </c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</row>
    <row r="653" spans="1:30" ht="15.75">
      <c r="A653" s="13">
        <v>61178</v>
      </c>
      <c r="B653" s="67">
        <f t="shared" si="105"/>
        <v>30</v>
      </c>
      <c r="C653" s="56">
        <f>194.205</f>
        <v>194.20500000000001</v>
      </c>
      <c r="D653" s="56">
        <f>267.466</f>
        <v>267.46600000000001</v>
      </c>
      <c r="E653" s="64">
        <f>133.845</f>
        <v>133.845</v>
      </c>
      <c r="F653" s="56">
        <f>278.484-40-25-60-100</f>
        <v>53.48399999999998</v>
      </c>
      <c r="G653" s="59">
        <v>40</v>
      </c>
      <c r="H653" s="56">
        <f t="shared" si="104"/>
        <v>185</v>
      </c>
      <c r="I653" s="56">
        <f t="shared" si="101"/>
        <v>0</v>
      </c>
      <c r="J653" s="59">
        <v>100</v>
      </c>
      <c r="K653" s="59">
        <v>300</v>
      </c>
      <c r="L653" s="56">
        <f t="shared" si="95"/>
        <v>1274</v>
      </c>
      <c r="M653" s="66">
        <v>600</v>
      </c>
      <c r="N653" s="56">
        <f>30</f>
        <v>30</v>
      </c>
      <c r="O653" s="59">
        <v>240</v>
      </c>
      <c r="P653" s="59">
        <v>40</v>
      </c>
      <c r="Q653" s="59">
        <f t="shared" si="96"/>
        <v>315</v>
      </c>
      <c r="R653" s="59">
        <f t="shared" si="97"/>
        <v>100</v>
      </c>
      <c r="S653" s="56">
        <f t="shared" si="98"/>
        <v>695</v>
      </c>
      <c r="T653" s="56">
        <f>50</f>
        <v>50</v>
      </c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</row>
    <row r="654" spans="1:30" ht="15.75">
      <c r="A654" s="13">
        <v>61209</v>
      </c>
      <c r="B654" s="67">
        <f t="shared" si="105"/>
        <v>31</v>
      </c>
      <c r="C654" s="56">
        <f>194.205</f>
        <v>194.20500000000001</v>
      </c>
      <c r="D654" s="56">
        <f>267.466</f>
        <v>267.46600000000001</v>
      </c>
      <c r="E654" s="64">
        <f>133.845</f>
        <v>133.845</v>
      </c>
      <c r="F654" s="56">
        <f>278.484-40-25-60-100</f>
        <v>53.48399999999998</v>
      </c>
      <c r="G654" s="59">
        <v>40</v>
      </c>
      <c r="H654" s="56">
        <f t="shared" si="104"/>
        <v>185</v>
      </c>
      <c r="I654" s="56">
        <f t="shared" si="101"/>
        <v>0</v>
      </c>
      <c r="J654" s="59">
        <v>100</v>
      </c>
      <c r="K654" s="59">
        <v>300</v>
      </c>
      <c r="L654" s="56">
        <f t="shared" si="95"/>
        <v>1274</v>
      </c>
      <c r="M654" s="66">
        <v>600</v>
      </c>
      <c r="N654" s="56">
        <f>30</f>
        <v>30</v>
      </c>
      <c r="O654" s="59">
        <v>240</v>
      </c>
      <c r="P654" s="59">
        <v>40</v>
      </c>
      <c r="Q654" s="59">
        <f t="shared" si="96"/>
        <v>315</v>
      </c>
      <c r="R654" s="59">
        <f t="shared" si="97"/>
        <v>100</v>
      </c>
      <c r="S654" s="56">
        <f t="shared" si="98"/>
        <v>695</v>
      </c>
      <c r="T654" s="56">
        <f>0</f>
        <v>0</v>
      </c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</row>
    <row r="655" spans="1:30" ht="15.75">
      <c r="A655" s="13">
        <v>61240</v>
      </c>
      <c r="B655" s="67">
        <f t="shared" si="105"/>
        <v>31</v>
      </c>
      <c r="C655" s="56">
        <f>194.205</f>
        <v>194.20500000000001</v>
      </c>
      <c r="D655" s="56">
        <f>267.466</f>
        <v>267.46600000000001</v>
      </c>
      <c r="E655" s="64">
        <f>133.845</f>
        <v>133.845</v>
      </c>
      <c r="F655" s="56">
        <f>278.484-40-25-60-100</f>
        <v>53.48399999999998</v>
      </c>
      <c r="G655" s="59">
        <v>40</v>
      </c>
      <c r="H655" s="56">
        <f t="shared" si="104"/>
        <v>185</v>
      </c>
      <c r="I655" s="56">
        <f t="shared" si="101"/>
        <v>0</v>
      </c>
      <c r="J655" s="59">
        <v>100</v>
      </c>
      <c r="K655" s="59">
        <v>300</v>
      </c>
      <c r="L655" s="56">
        <f t="shared" si="95"/>
        <v>1274</v>
      </c>
      <c r="M655" s="66">
        <v>600</v>
      </c>
      <c r="N655" s="56">
        <f>30</f>
        <v>30</v>
      </c>
      <c r="O655" s="59">
        <v>240</v>
      </c>
      <c r="P655" s="59">
        <v>40</v>
      </c>
      <c r="Q655" s="59">
        <f t="shared" si="96"/>
        <v>315</v>
      </c>
      <c r="R655" s="59">
        <f t="shared" si="97"/>
        <v>100</v>
      </c>
      <c r="S655" s="56">
        <f t="shared" si="98"/>
        <v>695</v>
      </c>
      <c r="T655" s="56">
        <f>0</f>
        <v>0</v>
      </c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</row>
    <row r="656" spans="1:30" ht="15.75">
      <c r="A656" s="13">
        <v>61270</v>
      </c>
      <c r="B656" s="67">
        <f t="shared" si="105"/>
        <v>30</v>
      </c>
      <c r="C656" s="56">
        <f>194.205</f>
        <v>194.20500000000001</v>
      </c>
      <c r="D656" s="56">
        <f>267.466</f>
        <v>267.46600000000001</v>
      </c>
      <c r="E656" s="64">
        <f>133.845</f>
        <v>133.845</v>
      </c>
      <c r="F656" s="56">
        <f>278.484-40-25-60-100</f>
        <v>53.48399999999998</v>
      </c>
      <c r="G656" s="59">
        <v>40</v>
      </c>
      <c r="H656" s="56">
        <f t="shared" si="104"/>
        <v>185</v>
      </c>
      <c r="I656" s="56">
        <f t="shared" si="101"/>
        <v>0</v>
      </c>
      <c r="J656" s="59">
        <v>100</v>
      </c>
      <c r="K656" s="59">
        <v>300</v>
      </c>
      <c r="L656" s="56">
        <f t="shared" si="95"/>
        <v>1274</v>
      </c>
      <c r="M656" s="66">
        <v>600</v>
      </c>
      <c r="N656" s="56">
        <f>30</f>
        <v>30</v>
      </c>
      <c r="O656" s="59">
        <v>240</v>
      </c>
      <c r="P656" s="59">
        <v>40</v>
      </c>
      <c r="Q656" s="59">
        <f t="shared" si="96"/>
        <v>315</v>
      </c>
      <c r="R656" s="59">
        <f t="shared" si="97"/>
        <v>100</v>
      </c>
      <c r="S656" s="56">
        <f t="shared" si="98"/>
        <v>695</v>
      </c>
      <c r="T656" s="56">
        <f>0</f>
        <v>0</v>
      </c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</row>
    <row r="657" spans="1:30" ht="15.75">
      <c r="A657" s="13">
        <v>61301</v>
      </c>
      <c r="B657" s="67">
        <f t="shared" si="105"/>
        <v>31</v>
      </c>
      <c r="C657" s="56">
        <f>131.881</f>
        <v>131.881</v>
      </c>
      <c r="D657" s="56">
        <f>277.167</f>
        <v>277.16699999999997</v>
      </c>
      <c r="E657" s="64">
        <f>79.08</f>
        <v>79.08</v>
      </c>
      <c r="F657" s="56">
        <f>350.872-40-25-60-100</f>
        <v>125.87200000000001</v>
      </c>
      <c r="G657" s="59">
        <v>40</v>
      </c>
      <c r="H657" s="56">
        <f t="shared" si="104"/>
        <v>185</v>
      </c>
      <c r="I657" s="56">
        <f t="shared" si="101"/>
        <v>0</v>
      </c>
      <c r="J657" s="59">
        <v>100</v>
      </c>
      <c r="K657" s="59">
        <v>300</v>
      </c>
      <c r="L657" s="56">
        <f t="shared" ref="L657:L720" si="106">SUM(C657:K657)</f>
        <v>1239</v>
      </c>
      <c r="M657" s="66">
        <v>600</v>
      </c>
      <c r="N657" s="56">
        <f>75</f>
        <v>75</v>
      </c>
      <c r="O657" s="59">
        <v>240</v>
      </c>
      <c r="P657" s="59">
        <v>40</v>
      </c>
      <c r="Q657" s="59">
        <f t="shared" ref="Q657:Q720" si="107">695-R657-O657-P657</f>
        <v>315</v>
      </c>
      <c r="R657" s="59">
        <f t="shared" ref="R657:R720" si="108">200-J657</f>
        <v>100</v>
      </c>
      <c r="S657" s="56">
        <f t="shared" ref="S657:S720" si="109">SUM(O657:R657)</f>
        <v>695</v>
      </c>
      <c r="T657" s="56">
        <f>0</f>
        <v>0</v>
      </c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</row>
    <row r="658" spans="1:30" ht="15.75">
      <c r="A658" s="13">
        <v>61331</v>
      </c>
      <c r="B658" s="67">
        <f t="shared" si="105"/>
        <v>30</v>
      </c>
      <c r="C658" s="56">
        <f>122.58</f>
        <v>122.58</v>
      </c>
      <c r="D658" s="56">
        <f>297.941</f>
        <v>297.94099999999997</v>
      </c>
      <c r="E658" s="64">
        <f>89.177</f>
        <v>89.177000000000007</v>
      </c>
      <c r="F658" s="56">
        <f>240.302-40-60-100</f>
        <v>40.301999999999992</v>
      </c>
      <c r="G658" s="59">
        <v>40</v>
      </c>
      <c r="H658" s="56">
        <f>60+100</f>
        <v>160</v>
      </c>
      <c r="I658" s="56">
        <f t="shared" si="101"/>
        <v>0</v>
      </c>
      <c r="J658" s="59">
        <v>100</v>
      </c>
      <c r="K658" s="59">
        <v>300</v>
      </c>
      <c r="L658" s="56">
        <f t="shared" si="106"/>
        <v>1150</v>
      </c>
      <c r="M658" s="66">
        <v>600</v>
      </c>
      <c r="N658" s="56">
        <f>100</f>
        <v>100</v>
      </c>
      <c r="O658" s="59">
        <v>240</v>
      </c>
      <c r="P658" s="59">
        <v>40</v>
      </c>
      <c r="Q658" s="59">
        <f t="shared" si="107"/>
        <v>315</v>
      </c>
      <c r="R658" s="59">
        <f t="shared" si="108"/>
        <v>100</v>
      </c>
      <c r="S658" s="56">
        <f t="shared" si="109"/>
        <v>695</v>
      </c>
      <c r="T658" s="56">
        <f>50</f>
        <v>50</v>
      </c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</row>
    <row r="659" spans="1:30" ht="15.75">
      <c r="A659" s="13">
        <v>61362</v>
      </c>
      <c r="B659" s="67">
        <f t="shared" si="105"/>
        <v>31</v>
      </c>
      <c r="C659" s="56">
        <f>122.58</f>
        <v>122.58</v>
      </c>
      <c r="D659" s="56">
        <f>297.941</f>
        <v>297.94099999999997</v>
      </c>
      <c r="E659" s="64">
        <f>89.177</f>
        <v>89.177000000000007</v>
      </c>
      <c r="F659" s="56">
        <f>240.302-40-60-100</f>
        <v>40.301999999999992</v>
      </c>
      <c r="G659" s="59">
        <v>40</v>
      </c>
      <c r="H659" s="56">
        <f>60+100</f>
        <v>160</v>
      </c>
      <c r="I659" s="56">
        <f t="shared" si="101"/>
        <v>0</v>
      </c>
      <c r="J659" s="59">
        <v>100</v>
      </c>
      <c r="K659" s="59">
        <v>300</v>
      </c>
      <c r="L659" s="56">
        <f t="shared" si="106"/>
        <v>1150</v>
      </c>
      <c r="M659" s="66">
        <v>600</v>
      </c>
      <c r="N659" s="56">
        <f>100</f>
        <v>100</v>
      </c>
      <c r="O659" s="59">
        <v>240</v>
      </c>
      <c r="P659" s="59">
        <v>40</v>
      </c>
      <c r="Q659" s="59">
        <f t="shared" si="107"/>
        <v>315</v>
      </c>
      <c r="R659" s="59">
        <f t="shared" si="108"/>
        <v>100</v>
      </c>
      <c r="S659" s="56">
        <f t="shared" si="109"/>
        <v>695</v>
      </c>
      <c r="T659" s="56">
        <f>50</f>
        <v>50</v>
      </c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</row>
    <row r="660" spans="1:30" ht="15.75">
      <c r="A660" s="13">
        <v>61393</v>
      </c>
      <c r="B660" s="67">
        <f t="shared" si="105"/>
        <v>31</v>
      </c>
      <c r="C660" s="56">
        <f>122.58</f>
        <v>122.58</v>
      </c>
      <c r="D660" s="56">
        <f>297.941</f>
        <v>297.94099999999997</v>
      </c>
      <c r="E660" s="64">
        <f>89.177</f>
        <v>89.177000000000007</v>
      </c>
      <c r="F660" s="56">
        <f>240.302-40-60-100</f>
        <v>40.301999999999992</v>
      </c>
      <c r="G660" s="59">
        <v>40</v>
      </c>
      <c r="H660" s="56">
        <f>60+100</f>
        <v>160</v>
      </c>
      <c r="I660" s="56">
        <f t="shared" si="101"/>
        <v>0</v>
      </c>
      <c r="J660" s="59">
        <v>100</v>
      </c>
      <c r="K660" s="59">
        <v>300</v>
      </c>
      <c r="L660" s="56">
        <f t="shared" si="106"/>
        <v>1150</v>
      </c>
      <c r="M660" s="66">
        <v>600</v>
      </c>
      <c r="N660" s="56">
        <f>100</f>
        <v>100</v>
      </c>
      <c r="O660" s="59">
        <v>240</v>
      </c>
      <c r="P660" s="59">
        <v>40</v>
      </c>
      <c r="Q660" s="59">
        <f t="shared" si="107"/>
        <v>315</v>
      </c>
      <c r="R660" s="59">
        <f t="shared" si="108"/>
        <v>100</v>
      </c>
      <c r="S660" s="56">
        <f t="shared" si="109"/>
        <v>695</v>
      </c>
      <c r="T660" s="56">
        <f>50</f>
        <v>50</v>
      </c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</row>
    <row r="661" spans="1:30" ht="15.75">
      <c r="A661" s="13">
        <v>61422</v>
      </c>
      <c r="B661" s="67">
        <f t="shared" si="105"/>
        <v>29</v>
      </c>
      <c r="C661" s="56">
        <f>122.58</f>
        <v>122.58</v>
      </c>
      <c r="D661" s="56">
        <f>297.941</f>
        <v>297.94099999999997</v>
      </c>
      <c r="E661" s="64">
        <f>89.177</f>
        <v>89.177000000000007</v>
      </c>
      <c r="F661" s="56">
        <f>240.302-40-60-100</f>
        <v>40.301999999999992</v>
      </c>
      <c r="G661" s="59">
        <v>40</v>
      </c>
      <c r="H661" s="56">
        <f>60+100</f>
        <v>160</v>
      </c>
      <c r="I661" s="56">
        <f t="shared" si="101"/>
        <v>0</v>
      </c>
      <c r="J661" s="59">
        <v>100</v>
      </c>
      <c r="K661" s="59">
        <v>300</v>
      </c>
      <c r="L661" s="56">
        <f t="shared" si="106"/>
        <v>1150</v>
      </c>
      <c r="M661" s="66">
        <v>600</v>
      </c>
      <c r="N661" s="56">
        <f>100</f>
        <v>100</v>
      </c>
      <c r="O661" s="59">
        <v>240</v>
      </c>
      <c r="P661" s="59">
        <v>40</v>
      </c>
      <c r="Q661" s="59">
        <f t="shared" si="107"/>
        <v>315</v>
      </c>
      <c r="R661" s="59">
        <f t="shared" si="108"/>
        <v>100</v>
      </c>
      <c r="S661" s="56">
        <f t="shared" si="109"/>
        <v>695</v>
      </c>
      <c r="T661" s="56">
        <f>50</f>
        <v>50</v>
      </c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</row>
    <row r="662" spans="1:30" ht="15.75">
      <c r="A662" s="13">
        <v>61453</v>
      </c>
      <c r="B662" s="67">
        <f t="shared" si="105"/>
        <v>31</v>
      </c>
      <c r="C662" s="56">
        <f>122.58</f>
        <v>122.58</v>
      </c>
      <c r="D662" s="56">
        <f>297.941</f>
        <v>297.94099999999997</v>
      </c>
      <c r="E662" s="64">
        <f>89.177</f>
        <v>89.177000000000007</v>
      </c>
      <c r="F662" s="56">
        <f>240.302-40-60-100</f>
        <v>40.301999999999992</v>
      </c>
      <c r="G662" s="59">
        <v>40</v>
      </c>
      <c r="H662" s="56">
        <f>60+100</f>
        <v>160</v>
      </c>
      <c r="I662" s="56">
        <f t="shared" si="101"/>
        <v>0</v>
      </c>
      <c r="J662" s="59">
        <v>100</v>
      </c>
      <c r="K662" s="59">
        <v>300</v>
      </c>
      <c r="L662" s="56">
        <f t="shared" si="106"/>
        <v>1150</v>
      </c>
      <c r="M662" s="66">
        <v>600</v>
      </c>
      <c r="N662" s="56">
        <f>100</f>
        <v>100</v>
      </c>
      <c r="O662" s="59">
        <v>240</v>
      </c>
      <c r="P662" s="59">
        <v>40</v>
      </c>
      <c r="Q662" s="59">
        <f t="shared" si="107"/>
        <v>315</v>
      </c>
      <c r="R662" s="59">
        <f t="shared" si="108"/>
        <v>100</v>
      </c>
      <c r="S662" s="56">
        <f t="shared" si="109"/>
        <v>695</v>
      </c>
      <c r="T662" s="56">
        <f>50</f>
        <v>50</v>
      </c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</row>
    <row r="663" spans="1:30" ht="15.75">
      <c r="A663" s="13">
        <v>61483</v>
      </c>
      <c r="B663" s="67">
        <f t="shared" si="105"/>
        <v>30</v>
      </c>
      <c r="C663" s="56">
        <f>141.293</f>
        <v>141.29300000000001</v>
      </c>
      <c r="D663" s="56">
        <f>267.993</f>
        <v>267.99299999999999</v>
      </c>
      <c r="E663" s="64">
        <f>115.016</f>
        <v>115.01600000000001</v>
      </c>
      <c r="F663" s="56">
        <f>314.698-40-25-60-100</f>
        <v>89.697999999999979</v>
      </c>
      <c r="G663" s="59">
        <v>40</v>
      </c>
      <c r="H663" s="56">
        <f t="shared" ref="H663:H669" si="110">25+60+100</f>
        <v>185</v>
      </c>
      <c r="I663" s="56">
        <f t="shared" si="101"/>
        <v>0</v>
      </c>
      <c r="J663" s="59">
        <v>100</v>
      </c>
      <c r="K663" s="59">
        <v>300</v>
      </c>
      <c r="L663" s="56">
        <f t="shared" si="106"/>
        <v>1239</v>
      </c>
      <c r="M663" s="66">
        <v>600</v>
      </c>
      <c r="N663" s="56">
        <f>100</f>
        <v>100</v>
      </c>
      <c r="O663" s="59">
        <v>240</v>
      </c>
      <c r="P663" s="59">
        <v>40</v>
      </c>
      <c r="Q663" s="59">
        <f t="shared" si="107"/>
        <v>315</v>
      </c>
      <c r="R663" s="59">
        <f t="shared" si="108"/>
        <v>100</v>
      </c>
      <c r="S663" s="56">
        <f t="shared" si="109"/>
        <v>695</v>
      </c>
      <c r="T663" s="56">
        <f>50</f>
        <v>50</v>
      </c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</row>
    <row r="664" spans="1:30" ht="15.75">
      <c r="A664" s="13">
        <v>61514</v>
      </c>
      <c r="B664" s="67">
        <f t="shared" si="105"/>
        <v>31</v>
      </c>
      <c r="C664" s="56">
        <f>194.205</f>
        <v>194.20500000000001</v>
      </c>
      <c r="D664" s="56">
        <f>267.466</f>
        <v>267.46600000000001</v>
      </c>
      <c r="E664" s="64">
        <f>133.845</f>
        <v>133.845</v>
      </c>
      <c r="F664" s="56">
        <f>278.484-40-25-60-100</f>
        <v>53.48399999999998</v>
      </c>
      <c r="G664" s="59">
        <v>40</v>
      </c>
      <c r="H664" s="56">
        <f t="shared" si="110"/>
        <v>185</v>
      </c>
      <c r="I664" s="56">
        <f t="shared" si="101"/>
        <v>0</v>
      </c>
      <c r="J664" s="59">
        <v>100</v>
      </c>
      <c r="K664" s="59">
        <v>300</v>
      </c>
      <c r="L664" s="56">
        <f t="shared" si="106"/>
        <v>1274</v>
      </c>
      <c r="M664" s="66">
        <v>600</v>
      </c>
      <c r="N664" s="56">
        <f>75</f>
        <v>75</v>
      </c>
      <c r="O664" s="59">
        <v>240</v>
      </c>
      <c r="P664" s="59">
        <v>40</v>
      </c>
      <c r="Q664" s="59">
        <f t="shared" si="107"/>
        <v>315</v>
      </c>
      <c r="R664" s="59">
        <f t="shared" si="108"/>
        <v>100</v>
      </c>
      <c r="S664" s="56">
        <f t="shared" si="109"/>
        <v>695</v>
      </c>
      <c r="T664" s="56">
        <f>50</f>
        <v>50</v>
      </c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</row>
    <row r="665" spans="1:30" ht="15.75">
      <c r="A665" s="13">
        <v>61544</v>
      </c>
      <c r="B665" s="67">
        <f t="shared" si="105"/>
        <v>30</v>
      </c>
      <c r="C665" s="56">
        <f>194.205</f>
        <v>194.20500000000001</v>
      </c>
      <c r="D665" s="56">
        <f>267.466</f>
        <v>267.46600000000001</v>
      </c>
      <c r="E665" s="64">
        <f>133.845</f>
        <v>133.845</v>
      </c>
      <c r="F665" s="56">
        <f>278.484-40-25-60-100</f>
        <v>53.48399999999998</v>
      </c>
      <c r="G665" s="59">
        <v>40</v>
      </c>
      <c r="H665" s="56">
        <f t="shared" si="110"/>
        <v>185</v>
      </c>
      <c r="I665" s="56">
        <f t="shared" si="101"/>
        <v>0</v>
      </c>
      <c r="J665" s="59">
        <v>100</v>
      </c>
      <c r="K665" s="59">
        <v>300</v>
      </c>
      <c r="L665" s="56">
        <f t="shared" si="106"/>
        <v>1274</v>
      </c>
      <c r="M665" s="66">
        <v>600</v>
      </c>
      <c r="N665" s="56">
        <f>30</f>
        <v>30</v>
      </c>
      <c r="O665" s="59">
        <v>240</v>
      </c>
      <c r="P665" s="59">
        <v>40</v>
      </c>
      <c r="Q665" s="59">
        <f t="shared" si="107"/>
        <v>315</v>
      </c>
      <c r="R665" s="59">
        <f t="shared" si="108"/>
        <v>100</v>
      </c>
      <c r="S665" s="56">
        <f t="shared" si="109"/>
        <v>695</v>
      </c>
      <c r="T665" s="56">
        <f>50</f>
        <v>50</v>
      </c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</row>
    <row r="666" spans="1:30" ht="15.75">
      <c r="A666" s="13">
        <v>61575</v>
      </c>
      <c r="B666" s="67">
        <f t="shared" si="105"/>
        <v>31</v>
      </c>
      <c r="C666" s="56">
        <f>194.205</f>
        <v>194.20500000000001</v>
      </c>
      <c r="D666" s="56">
        <f>267.466</f>
        <v>267.46600000000001</v>
      </c>
      <c r="E666" s="64">
        <f>133.845</f>
        <v>133.845</v>
      </c>
      <c r="F666" s="56">
        <f>278.484-40-25-60-100</f>
        <v>53.48399999999998</v>
      </c>
      <c r="G666" s="59">
        <v>40</v>
      </c>
      <c r="H666" s="56">
        <f t="shared" si="110"/>
        <v>185</v>
      </c>
      <c r="I666" s="56">
        <f t="shared" si="101"/>
        <v>0</v>
      </c>
      <c r="J666" s="59">
        <v>100</v>
      </c>
      <c r="K666" s="59">
        <v>300</v>
      </c>
      <c r="L666" s="56">
        <f t="shared" si="106"/>
        <v>1274</v>
      </c>
      <c r="M666" s="66">
        <v>600</v>
      </c>
      <c r="N666" s="56">
        <f>30</f>
        <v>30</v>
      </c>
      <c r="O666" s="59">
        <v>240</v>
      </c>
      <c r="P666" s="59">
        <v>40</v>
      </c>
      <c r="Q666" s="59">
        <f t="shared" si="107"/>
        <v>315</v>
      </c>
      <c r="R666" s="59">
        <f t="shared" si="108"/>
        <v>100</v>
      </c>
      <c r="S666" s="56">
        <f t="shared" si="109"/>
        <v>695</v>
      </c>
      <c r="T666" s="56">
        <f>0</f>
        <v>0</v>
      </c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</row>
    <row r="667" spans="1:30" ht="15.75">
      <c r="A667" s="13">
        <v>61606</v>
      </c>
      <c r="B667" s="67">
        <f t="shared" si="105"/>
        <v>31</v>
      </c>
      <c r="C667" s="56">
        <f>194.205</f>
        <v>194.20500000000001</v>
      </c>
      <c r="D667" s="56">
        <f>267.466</f>
        <v>267.46600000000001</v>
      </c>
      <c r="E667" s="64">
        <f>133.845</f>
        <v>133.845</v>
      </c>
      <c r="F667" s="56">
        <f>278.484-40-25-60-100</f>
        <v>53.48399999999998</v>
      </c>
      <c r="G667" s="59">
        <v>40</v>
      </c>
      <c r="H667" s="56">
        <f t="shared" si="110"/>
        <v>185</v>
      </c>
      <c r="I667" s="56">
        <f t="shared" si="101"/>
        <v>0</v>
      </c>
      <c r="J667" s="59">
        <v>100</v>
      </c>
      <c r="K667" s="59">
        <v>300</v>
      </c>
      <c r="L667" s="56">
        <f t="shared" si="106"/>
        <v>1274</v>
      </c>
      <c r="M667" s="66">
        <v>600</v>
      </c>
      <c r="N667" s="56">
        <f>30</f>
        <v>30</v>
      </c>
      <c r="O667" s="59">
        <v>240</v>
      </c>
      <c r="P667" s="59">
        <v>40</v>
      </c>
      <c r="Q667" s="59">
        <f t="shared" si="107"/>
        <v>315</v>
      </c>
      <c r="R667" s="59">
        <f t="shared" si="108"/>
        <v>100</v>
      </c>
      <c r="S667" s="56">
        <f t="shared" si="109"/>
        <v>695</v>
      </c>
      <c r="T667" s="56">
        <f>0</f>
        <v>0</v>
      </c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</row>
    <row r="668" spans="1:30" ht="15.75">
      <c r="A668" s="13">
        <v>61636</v>
      </c>
      <c r="B668" s="67">
        <f t="shared" si="105"/>
        <v>30</v>
      </c>
      <c r="C668" s="56">
        <f>194.205</f>
        <v>194.20500000000001</v>
      </c>
      <c r="D668" s="56">
        <f>267.466</f>
        <v>267.46600000000001</v>
      </c>
      <c r="E668" s="64">
        <f>133.845</f>
        <v>133.845</v>
      </c>
      <c r="F668" s="56">
        <f>278.484-40-25-60-100</f>
        <v>53.48399999999998</v>
      </c>
      <c r="G668" s="59">
        <v>40</v>
      </c>
      <c r="H668" s="56">
        <f t="shared" si="110"/>
        <v>185</v>
      </c>
      <c r="I668" s="56">
        <f t="shared" si="101"/>
        <v>0</v>
      </c>
      <c r="J668" s="59">
        <v>100</v>
      </c>
      <c r="K668" s="59">
        <v>300</v>
      </c>
      <c r="L668" s="56">
        <f t="shared" si="106"/>
        <v>1274</v>
      </c>
      <c r="M668" s="66">
        <v>600</v>
      </c>
      <c r="N668" s="56">
        <f>30</f>
        <v>30</v>
      </c>
      <c r="O668" s="59">
        <v>240</v>
      </c>
      <c r="P668" s="59">
        <v>40</v>
      </c>
      <c r="Q668" s="59">
        <f t="shared" si="107"/>
        <v>315</v>
      </c>
      <c r="R668" s="59">
        <f t="shared" si="108"/>
        <v>100</v>
      </c>
      <c r="S668" s="56">
        <f t="shared" si="109"/>
        <v>695</v>
      </c>
      <c r="T668" s="56">
        <f>0</f>
        <v>0</v>
      </c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</row>
    <row r="669" spans="1:30" ht="15.75">
      <c r="A669" s="13">
        <v>61667</v>
      </c>
      <c r="B669" s="67">
        <f t="shared" si="105"/>
        <v>31</v>
      </c>
      <c r="C669" s="56">
        <f>131.881</f>
        <v>131.881</v>
      </c>
      <c r="D669" s="56">
        <f>277.167</f>
        <v>277.16699999999997</v>
      </c>
      <c r="E669" s="64">
        <f>79.08</f>
        <v>79.08</v>
      </c>
      <c r="F669" s="56">
        <f>350.872-40-25-60-100</f>
        <v>125.87200000000001</v>
      </c>
      <c r="G669" s="59">
        <v>40</v>
      </c>
      <c r="H669" s="56">
        <f t="shared" si="110"/>
        <v>185</v>
      </c>
      <c r="I669" s="56">
        <f t="shared" si="101"/>
        <v>0</v>
      </c>
      <c r="J669" s="59">
        <v>100</v>
      </c>
      <c r="K669" s="59">
        <v>300</v>
      </c>
      <c r="L669" s="56">
        <f t="shared" si="106"/>
        <v>1239</v>
      </c>
      <c r="M669" s="66">
        <v>600</v>
      </c>
      <c r="N669" s="56">
        <f>75</f>
        <v>75</v>
      </c>
      <c r="O669" s="59">
        <v>240</v>
      </c>
      <c r="P669" s="59">
        <v>40</v>
      </c>
      <c r="Q669" s="59">
        <f t="shared" si="107"/>
        <v>315</v>
      </c>
      <c r="R669" s="59">
        <f t="shared" si="108"/>
        <v>100</v>
      </c>
      <c r="S669" s="56">
        <f t="shared" si="109"/>
        <v>695</v>
      </c>
      <c r="T669" s="56">
        <f>0</f>
        <v>0</v>
      </c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</row>
    <row r="670" spans="1:30" ht="15.75">
      <c r="A670" s="13">
        <v>61697</v>
      </c>
      <c r="B670" s="67">
        <f t="shared" si="105"/>
        <v>30</v>
      </c>
      <c r="C670" s="56">
        <f>122.58</f>
        <v>122.58</v>
      </c>
      <c r="D670" s="56">
        <f>297.941</f>
        <v>297.94099999999997</v>
      </c>
      <c r="E670" s="64">
        <f>89.177</f>
        <v>89.177000000000007</v>
      </c>
      <c r="F670" s="56">
        <f>240.302-40-60-100</f>
        <v>40.301999999999992</v>
      </c>
      <c r="G670" s="59">
        <v>40</v>
      </c>
      <c r="H670" s="56">
        <f>60+100</f>
        <v>160</v>
      </c>
      <c r="I670" s="56">
        <f t="shared" si="101"/>
        <v>0</v>
      </c>
      <c r="J670" s="59">
        <v>100</v>
      </c>
      <c r="K670" s="59">
        <v>300</v>
      </c>
      <c r="L670" s="56">
        <f t="shared" si="106"/>
        <v>1150</v>
      </c>
      <c r="M670" s="66">
        <v>600</v>
      </c>
      <c r="N670" s="56">
        <f>100</f>
        <v>100</v>
      </c>
      <c r="O670" s="59">
        <v>240</v>
      </c>
      <c r="P670" s="59">
        <v>40</v>
      </c>
      <c r="Q670" s="59">
        <f t="shared" si="107"/>
        <v>315</v>
      </c>
      <c r="R670" s="59">
        <f t="shared" si="108"/>
        <v>100</v>
      </c>
      <c r="S670" s="56">
        <f t="shared" si="109"/>
        <v>695</v>
      </c>
      <c r="T670" s="56">
        <f>50</f>
        <v>50</v>
      </c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</row>
    <row r="671" spans="1:30" ht="15.75">
      <c r="A671" s="13">
        <v>61728</v>
      </c>
      <c r="B671" s="67">
        <f t="shared" si="105"/>
        <v>31</v>
      </c>
      <c r="C671" s="56">
        <f>122.58</f>
        <v>122.58</v>
      </c>
      <c r="D671" s="56">
        <f>297.941</f>
        <v>297.94099999999997</v>
      </c>
      <c r="E671" s="64">
        <f>89.177</f>
        <v>89.177000000000007</v>
      </c>
      <c r="F671" s="56">
        <f>240.302-40-60-100</f>
        <v>40.301999999999992</v>
      </c>
      <c r="G671" s="59">
        <v>40</v>
      </c>
      <c r="H671" s="56">
        <f>60+100</f>
        <v>160</v>
      </c>
      <c r="I671" s="56">
        <f t="shared" si="101"/>
        <v>0</v>
      </c>
      <c r="J671" s="59">
        <v>100</v>
      </c>
      <c r="K671" s="59">
        <v>300</v>
      </c>
      <c r="L671" s="56">
        <f t="shared" si="106"/>
        <v>1150</v>
      </c>
      <c r="M671" s="66">
        <v>600</v>
      </c>
      <c r="N671" s="56">
        <f>100</f>
        <v>100</v>
      </c>
      <c r="O671" s="59">
        <v>240</v>
      </c>
      <c r="P671" s="59">
        <v>40</v>
      </c>
      <c r="Q671" s="59">
        <f t="shared" si="107"/>
        <v>315</v>
      </c>
      <c r="R671" s="59">
        <f t="shared" si="108"/>
        <v>100</v>
      </c>
      <c r="S671" s="56">
        <f t="shared" si="109"/>
        <v>695</v>
      </c>
      <c r="T671" s="56">
        <f>50</f>
        <v>50</v>
      </c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</row>
    <row r="672" spans="1:30" ht="15.75">
      <c r="A672" s="13">
        <v>61759</v>
      </c>
      <c r="B672" s="67">
        <f t="shared" si="105"/>
        <v>31</v>
      </c>
      <c r="C672" s="56">
        <f>122.58</f>
        <v>122.58</v>
      </c>
      <c r="D672" s="56">
        <f>297.941</f>
        <v>297.94099999999997</v>
      </c>
      <c r="E672" s="64">
        <f>89.177</f>
        <v>89.177000000000007</v>
      </c>
      <c r="F672" s="56">
        <f>240.302-40-60-100</f>
        <v>40.301999999999992</v>
      </c>
      <c r="G672" s="59">
        <v>40</v>
      </c>
      <c r="H672" s="56">
        <f>60+100</f>
        <v>160</v>
      </c>
      <c r="I672" s="56">
        <f t="shared" si="101"/>
        <v>0</v>
      </c>
      <c r="J672" s="59">
        <v>100</v>
      </c>
      <c r="K672" s="59">
        <v>300</v>
      </c>
      <c r="L672" s="56">
        <f t="shared" si="106"/>
        <v>1150</v>
      </c>
      <c r="M672" s="66">
        <v>600</v>
      </c>
      <c r="N672" s="56">
        <f>100</f>
        <v>100</v>
      </c>
      <c r="O672" s="59">
        <v>240</v>
      </c>
      <c r="P672" s="59">
        <v>40</v>
      </c>
      <c r="Q672" s="59">
        <f t="shared" si="107"/>
        <v>315</v>
      </c>
      <c r="R672" s="59">
        <f t="shared" si="108"/>
        <v>100</v>
      </c>
      <c r="S672" s="56">
        <f t="shared" si="109"/>
        <v>695</v>
      </c>
      <c r="T672" s="56">
        <f>50</f>
        <v>50</v>
      </c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</row>
    <row r="673" spans="1:30" ht="15.75">
      <c r="A673" s="13">
        <v>61787</v>
      </c>
      <c r="B673" s="67">
        <f t="shared" si="105"/>
        <v>28</v>
      </c>
      <c r="C673" s="56">
        <f>122.58</f>
        <v>122.58</v>
      </c>
      <c r="D673" s="56">
        <f>297.941</f>
        <v>297.94099999999997</v>
      </c>
      <c r="E673" s="64">
        <f>89.177</f>
        <v>89.177000000000007</v>
      </c>
      <c r="F673" s="56">
        <f>240.302-40-60-100</f>
        <v>40.301999999999992</v>
      </c>
      <c r="G673" s="59">
        <v>40</v>
      </c>
      <c r="H673" s="56">
        <f>60+100</f>
        <v>160</v>
      </c>
      <c r="I673" s="56">
        <f t="shared" si="101"/>
        <v>0</v>
      </c>
      <c r="J673" s="59">
        <v>100</v>
      </c>
      <c r="K673" s="59">
        <v>300</v>
      </c>
      <c r="L673" s="56">
        <f t="shared" si="106"/>
        <v>1150</v>
      </c>
      <c r="M673" s="66">
        <v>600</v>
      </c>
      <c r="N673" s="56">
        <f>100</f>
        <v>100</v>
      </c>
      <c r="O673" s="59">
        <v>240</v>
      </c>
      <c r="P673" s="59">
        <v>40</v>
      </c>
      <c r="Q673" s="59">
        <f t="shared" si="107"/>
        <v>315</v>
      </c>
      <c r="R673" s="59">
        <f t="shared" si="108"/>
        <v>100</v>
      </c>
      <c r="S673" s="56">
        <f t="shared" si="109"/>
        <v>695</v>
      </c>
      <c r="T673" s="56">
        <f>50</f>
        <v>50</v>
      </c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</row>
    <row r="674" spans="1:30" ht="15.75">
      <c r="A674" s="13">
        <v>61818</v>
      </c>
      <c r="B674" s="67">
        <f t="shared" si="105"/>
        <v>31</v>
      </c>
      <c r="C674" s="56">
        <f>122.58</f>
        <v>122.58</v>
      </c>
      <c r="D674" s="56">
        <f>297.941</f>
        <v>297.94099999999997</v>
      </c>
      <c r="E674" s="64">
        <f>89.177</f>
        <v>89.177000000000007</v>
      </c>
      <c r="F674" s="56">
        <f>240.302-40-60-100</f>
        <v>40.301999999999992</v>
      </c>
      <c r="G674" s="59">
        <v>40</v>
      </c>
      <c r="H674" s="56">
        <f>60+100</f>
        <v>160</v>
      </c>
      <c r="I674" s="56">
        <f t="shared" si="101"/>
        <v>0</v>
      </c>
      <c r="J674" s="59">
        <v>100</v>
      </c>
      <c r="K674" s="59">
        <v>300</v>
      </c>
      <c r="L674" s="56">
        <f t="shared" si="106"/>
        <v>1150</v>
      </c>
      <c r="M674" s="66">
        <v>600</v>
      </c>
      <c r="N674" s="56">
        <f>100</f>
        <v>100</v>
      </c>
      <c r="O674" s="59">
        <v>240</v>
      </c>
      <c r="P674" s="59">
        <v>40</v>
      </c>
      <c r="Q674" s="59">
        <f t="shared" si="107"/>
        <v>315</v>
      </c>
      <c r="R674" s="59">
        <f t="shared" si="108"/>
        <v>100</v>
      </c>
      <c r="S674" s="56">
        <f t="shared" si="109"/>
        <v>695</v>
      </c>
      <c r="T674" s="56">
        <f>50</f>
        <v>50</v>
      </c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</row>
    <row r="675" spans="1:30" ht="15.75">
      <c r="A675" s="13">
        <v>61848</v>
      </c>
      <c r="B675" s="67">
        <f t="shared" si="105"/>
        <v>30</v>
      </c>
      <c r="C675" s="56">
        <f>141.293</f>
        <v>141.29300000000001</v>
      </c>
      <c r="D675" s="56">
        <f>267.993</f>
        <v>267.99299999999999</v>
      </c>
      <c r="E675" s="64">
        <f>115.016</f>
        <v>115.01600000000001</v>
      </c>
      <c r="F675" s="56">
        <f>314.698-40-25-60-100</f>
        <v>89.697999999999979</v>
      </c>
      <c r="G675" s="59">
        <v>40</v>
      </c>
      <c r="H675" s="56">
        <f t="shared" ref="H675:H681" si="111">25+60+100</f>
        <v>185</v>
      </c>
      <c r="I675" s="56">
        <f t="shared" si="101"/>
        <v>0</v>
      </c>
      <c r="J675" s="59">
        <v>100</v>
      </c>
      <c r="K675" s="59">
        <v>300</v>
      </c>
      <c r="L675" s="56">
        <f t="shared" si="106"/>
        <v>1239</v>
      </c>
      <c r="M675" s="66">
        <v>600</v>
      </c>
      <c r="N675" s="56">
        <f>100</f>
        <v>100</v>
      </c>
      <c r="O675" s="59">
        <v>240</v>
      </c>
      <c r="P675" s="59">
        <v>40</v>
      </c>
      <c r="Q675" s="59">
        <f t="shared" si="107"/>
        <v>315</v>
      </c>
      <c r="R675" s="59">
        <f t="shared" si="108"/>
        <v>100</v>
      </c>
      <c r="S675" s="56">
        <f t="shared" si="109"/>
        <v>695</v>
      </c>
      <c r="T675" s="56">
        <f>50</f>
        <v>50</v>
      </c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</row>
    <row r="676" spans="1:30" ht="15.75">
      <c r="A676" s="13">
        <v>61879</v>
      </c>
      <c r="B676" s="67">
        <f t="shared" si="105"/>
        <v>31</v>
      </c>
      <c r="C676" s="56">
        <f>194.205</f>
        <v>194.20500000000001</v>
      </c>
      <c r="D676" s="56">
        <f>267.466</f>
        <v>267.46600000000001</v>
      </c>
      <c r="E676" s="64">
        <f>133.845</f>
        <v>133.845</v>
      </c>
      <c r="F676" s="56">
        <f>278.484-40-25-60-100</f>
        <v>53.48399999999998</v>
      </c>
      <c r="G676" s="59">
        <v>40</v>
      </c>
      <c r="H676" s="56">
        <f t="shared" si="111"/>
        <v>185</v>
      </c>
      <c r="I676" s="56">
        <f t="shared" si="101"/>
        <v>0</v>
      </c>
      <c r="J676" s="59">
        <v>100</v>
      </c>
      <c r="K676" s="59">
        <v>300</v>
      </c>
      <c r="L676" s="56">
        <f t="shared" si="106"/>
        <v>1274</v>
      </c>
      <c r="M676" s="66">
        <v>600</v>
      </c>
      <c r="N676" s="56">
        <f>75</f>
        <v>75</v>
      </c>
      <c r="O676" s="59">
        <v>240</v>
      </c>
      <c r="P676" s="59">
        <v>40</v>
      </c>
      <c r="Q676" s="59">
        <f t="shared" si="107"/>
        <v>315</v>
      </c>
      <c r="R676" s="59">
        <f t="shared" si="108"/>
        <v>100</v>
      </c>
      <c r="S676" s="56">
        <f t="shared" si="109"/>
        <v>695</v>
      </c>
      <c r="T676" s="56">
        <f>50</f>
        <v>50</v>
      </c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</row>
    <row r="677" spans="1:30" ht="15.75">
      <c r="A677" s="13">
        <v>61909</v>
      </c>
      <c r="B677" s="67">
        <f t="shared" si="105"/>
        <v>30</v>
      </c>
      <c r="C677" s="56">
        <f>194.205</f>
        <v>194.20500000000001</v>
      </c>
      <c r="D677" s="56">
        <f>267.466</f>
        <v>267.46600000000001</v>
      </c>
      <c r="E677" s="64">
        <f>133.845</f>
        <v>133.845</v>
      </c>
      <c r="F677" s="56">
        <f>278.484-40-25-60-100</f>
        <v>53.48399999999998</v>
      </c>
      <c r="G677" s="59">
        <v>40</v>
      </c>
      <c r="H677" s="56">
        <f t="shared" si="111"/>
        <v>185</v>
      </c>
      <c r="I677" s="56">
        <f t="shared" si="101"/>
        <v>0</v>
      </c>
      <c r="J677" s="59">
        <v>100</v>
      </c>
      <c r="K677" s="59">
        <v>300</v>
      </c>
      <c r="L677" s="56">
        <f t="shared" si="106"/>
        <v>1274</v>
      </c>
      <c r="M677" s="66">
        <v>600</v>
      </c>
      <c r="N677" s="56">
        <f>30</f>
        <v>30</v>
      </c>
      <c r="O677" s="59">
        <v>240</v>
      </c>
      <c r="P677" s="59">
        <v>40</v>
      </c>
      <c r="Q677" s="59">
        <f t="shared" si="107"/>
        <v>315</v>
      </c>
      <c r="R677" s="59">
        <f t="shared" si="108"/>
        <v>100</v>
      </c>
      <c r="S677" s="56">
        <f t="shared" si="109"/>
        <v>695</v>
      </c>
      <c r="T677" s="56">
        <f>50</f>
        <v>50</v>
      </c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</row>
    <row r="678" spans="1:30" ht="15.75">
      <c r="A678" s="13">
        <v>61940</v>
      </c>
      <c r="B678" s="67">
        <f t="shared" si="105"/>
        <v>31</v>
      </c>
      <c r="C678" s="56">
        <f>194.205</f>
        <v>194.20500000000001</v>
      </c>
      <c r="D678" s="56">
        <f>267.466</f>
        <v>267.46600000000001</v>
      </c>
      <c r="E678" s="64">
        <f>133.845</f>
        <v>133.845</v>
      </c>
      <c r="F678" s="56">
        <f>278.484-40-25-60-100</f>
        <v>53.48399999999998</v>
      </c>
      <c r="G678" s="59">
        <v>40</v>
      </c>
      <c r="H678" s="56">
        <f t="shared" si="111"/>
        <v>185</v>
      </c>
      <c r="I678" s="56">
        <f t="shared" si="101"/>
        <v>0</v>
      </c>
      <c r="J678" s="59">
        <v>100</v>
      </c>
      <c r="K678" s="59">
        <v>300</v>
      </c>
      <c r="L678" s="56">
        <f t="shared" si="106"/>
        <v>1274</v>
      </c>
      <c r="M678" s="66">
        <v>600</v>
      </c>
      <c r="N678" s="56">
        <f>30</f>
        <v>30</v>
      </c>
      <c r="O678" s="59">
        <v>240</v>
      </c>
      <c r="P678" s="59">
        <v>40</v>
      </c>
      <c r="Q678" s="59">
        <f t="shared" si="107"/>
        <v>315</v>
      </c>
      <c r="R678" s="59">
        <f t="shared" si="108"/>
        <v>100</v>
      </c>
      <c r="S678" s="56">
        <f t="shared" si="109"/>
        <v>695</v>
      </c>
      <c r="T678" s="56">
        <f>0</f>
        <v>0</v>
      </c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</row>
    <row r="679" spans="1:30" ht="15.75">
      <c r="A679" s="13">
        <v>61971</v>
      </c>
      <c r="B679" s="67">
        <f t="shared" si="105"/>
        <v>31</v>
      </c>
      <c r="C679" s="56">
        <f>194.205</f>
        <v>194.20500000000001</v>
      </c>
      <c r="D679" s="56">
        <f>267.466</f>
        <v>267.46600000000001</v>
      </c>
      <c r="E679" s="64">
        <f>133.845</f>
        <v>133.845</v>
      </c>
      <c r="F679" s="56">
        <f>278.484-40-25-60-100</f>
        <v>53.48399999999998</v>
      </c>
      <c r="G679" s="59">
        <v>40</v>
      </c>
      <c r="H679" s="56">
        <f t="shared" si="111"/>
        <v>185</v>
      </c>
      <c r="I679" s="56">
        <f t="shared" si="101"/>
        <v>0</v>
      </c>
      <c r="J679" s="59">
        <v>100</v>
      </c>
      <c r="K679" s="59">
        <v>300</v>
      </c>
      <c r="L679" s="56">
        <f t="shared" si="106"/>
        <v>1274</v>
      </c>
      <c r="M679" s="66">
        <v>600</v>
      </c>
      <c r="N679" s="56">
        <f>30</f>
        <v>30</v>
      </c>
      <c r="O679" s="59">
        <v>240</v>
      </c>
      <c r="P679" s="59">
        <v>40</v>
      </c>
      <c r="Q679" s="59">
        <f t="shared" si="107"/>
        <v>315</v>
      </c>
      <c r="R679" s="59">
        <f t="shared" si="108"/>
        <v>100</v>
      </c>
      <c r="S679" s="56">
        <f t="shared" si="109"/>
        <v>695</v>
      </c>
      <c r="T679" s="56">
        <f>0</f>
        <v>0</v>
      </c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</row>
    <row r="680" spans="1:30" ht="15.75">
      <c r="A680" s="13">
        <v>62001</v>
      </c>
      <c r="B680" s="67">
        <f t="shared" si="105"/>
        <v>30</v>
      </c>
      <c r="C680" s="56">
        <f>194.205</f>
        <v>194.20500000000001</v>
      </c>
      <c r="D680" s="56">
        <f>267.466</f>
        <v>267.46600000000001</v>
      </c>
      <c r="E680" s="64">
        <f>133.845</f>
        <v>133.845</v>
      </c>
      <c r="F680" s="56">
        <f>278.484-40-25-60-100</f>
        <v>53.48399999999998</v>
      </c>
      <c r="G680" s="59">
        <v>40</v>
      </c>
      <c r="H680" s="56">
        <f t="shared" si="111"/>
        <v>185</v>
      </c>
      <c r="I680" s="56">
        <f t="shared" ref="I680:I743" si="112">400-J680-K680</f>
        <v>0</v>
      </c>
      <c r="J680" s="59">
        <v>100</v>
      </c>
      <c r="K680" s="59">
        <v>300</v>
      </c>
      <c r="L680" s="56">
        <f t="shared" si="106"/>
        <v>1274</v>
      </c>
      <c r="M680" s="66">
        <v>600</v>
      </c>
      <c r="N680" s="56">
        <f>30</f>
        <v>30</v>
      </c>
      <c r="O680" s="59">
        <v>240</v>
      </c>
      <c r="P680" s="59">
        <v>40</v>
      </c>
      <c r="Q680" s="59">
        <f t="shared" si="107"/>
        <v>315</v>
      </c>
      <c r="R680" s="59">
        <f t="shared" si="108"/>
        <v>100</v>
      </c>
      <c r="S680" s="56">
        <f t="shared" si="109"/>
        <v>695</v>
      </c>
      <c r="T680" s="56">
        <f>0</f>
        <v>0</v>
      </c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</row>
    <row r="681" spans="1:30" ht="15.75">
      <c r="A681" s="13">
        <v>62032</v>
      </c>
      <c r="B681" s="67">
        <f t="shared" si="105"/>
        <v>31</v>
      </c>
      <c r="C681" s="56">
        <f>131.881</f>
        <v>131.881</v>
      </c>
      <c r="D681" s="56">
        <f>277.167</f>
        <v>277.16699999999997</v>
      </c>
      <c r="E681" s="64">
        <f>79.08</f>
        <v>79.08</v>
      </c>
      <c r="F681" s="56">
        <f>350.872-40-25-60-100</f>
        <v>125.87200000000001</v>
      </c>
      <c r="G681" s="59">
        <v>40</v>
      </c>
      <c r="H681" s="56">
        <f t="shared" si="111"/>
        <v>185</v>
      </c>
      <c r="I681" s="56">
        <f t="shared" si="112"/>
        <v>0</v>
      </c>
      <c r="J681" s="59">
        <v>100</v>
      </c>
      <c r="K681" s="59">
        <v>300</v>
      </c>
      <c r="L681" s="56">
        <f t="shared" si="106"/>
        <v>1239</v>
      </c>
      <c r="M681" s="66">
        <v>600</v>
      </c>
      <c r="N681" s="56">
        <f>75</f>
        <v>75</v>
      </c>
      <c r="O681" s="59">
        <v>240</v>
      </c>
      <c r="P681" s="59">
        <v>40</v>
      </c>
      <c r="Q681" s="59">
        <f t="shared" si="107"/>
        <v>315</v>
      </c>
      <c r="R681" s="59">
        <f t="shared" si="108"/>
        <v>100</v>
      </c>
      <c r="S681" s="56">
        <f t="shared" si="109"/>
        <v>695</v>
      </c>
      <c r="T681" s="56">
        <f>0</f>
        <v>0</v>
      </c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</row>
    <row r="682" spans="1:30" ht="15.75">
      <c r="A682" s="13">
        <v>62062</v>
      </c>
      <c r="B682" s="67">
        <f t="shared" si="105"/>
        <v>30</v>
      </c>
      <c r="C682" s="56">
        <f>122.58</f>
        <v>122.58</v>
      </c>
      <c r="D682" s="56">
        <f>297.941</f>
        <v>297.94099999999997</v>
      </c>
      <c r="E682" s="64">
        <f>89.177</f>
        <v>89.177000000000007</v>
      </c>
      <c r="F682" s="56">
        <f>240.302-40-60-100</f>
        <v>40.301999999999992</v>
      </c>
      <c r="G682" s="59">
        <v>40</v>
      </c>
      <c r="H682" s="56">
        <f>60+100</f>
        <v>160</v>
      </c>
      <c r="I682" s="56">
        <f t="shared" si="112"/>
        <v>0</v>
      </c>
      <c r="J682" s="59">
        <v>100</v>
      </c>
      <c r="K682" s="59">
        <v>300</v>
      </c>
      <c r="L682" s="56">
        <f t="shared" si="106"/>
        <v>1150</v>
      </c>
      <c r="M682" s="66">
        <v>600</v>
      </c>
      <c r="N682" s="56">
        <f>100</f>
        <v>100</v>
      </c>
      <c r="O682" s="59">
        <v>240</v>
      </c>
      <c r="P682" s="59">
        <v>40</v>
      </c>
      <c r="Q682" s="59">
        <f t="shared" si="107"/>
        <v>315</v>
      </c>
      <c r="R682" s="59">
        <f t="shared" si="108"/>
        <v>100</v>
      </c>
      <c r="S682" s="56">
        <f t="shared" si="109"/>
        <v>695</v>
      </c>
      <c r="T682" s="56">
        <f>50</f>
        <v>50</v>
      </c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</row>
    <row r="683" spans="1:30" ht="15.75">
      <c r="A683" s="13">
        <v>62093</v>
      </c>
      <c r="B683" s="67">
        <f t="shared" si="105"/>
        <v>31</v>
      </c>
      <c r="C683" s="56">
        <f>122.58</f>
        <v>122.58</v>
      </c>
      <c r="D683" s="56">
        <f>297.941</f>
        <v>297.94099999999997</v>
      </c>
      <c r="E683" s="64">
        <f>89.177</f>
        <v>89.177000000000007</v>
      </c>
      <c r="F683" s="56">
        <f>240.302-40-60-100</f>
        <v>40.301999999999992</v>
      </c>
      <c r="G683" s="59">
        <v>40</v>
      </c>
      <c r="H683" s="56">
        <f>60+100</f>
        <v>160</v>
      </c>
      <c r="I683" s="56">
        <f t="shared" si="112"/>
        <v>0</v>
      </c>
      <c r="J683" s="59">
        <v>100</v>
      </c>
      <c r="K683" s="59">
        <v>300</v>
      </c>
      <c r="L683" s="56">
        <f t="shared" si="106"/>
        <v>1150</v>
      </c>
      <c r="M683" s="66">
        <v>600</v>
      </c>
      <c r="N683" s="56">
        <f>100</f>
        <v>100</v>
      </c>
      <c r="O683" s="59">
        <v>240</v>
      </c>
      <c r="P683" s="59">
        <v>40</v>
      </c>
      <c r="Q683" s="59">
        <f t="shared" si="107"/>
        <v>315</v>
      </c>
      <c r="R683" s="59">
        <f t="shared" si="108"/>
        <v>100</v>
      </c>
      <c r="S683" s="56">
        <f t="shared" si="109"/>
        <v>695</v>
      </c>
      <c r="T683" s="56">
        <f>50</f>
        <v>50</v>
      </c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</row>
    <row r="684" spans="1:30" ht="15.75">
      <c r="A684" s="13">
        <v>62124</v>
      </c>
      <c r="B684" s="67">
        <f t="shared" si="105"/>
        <v>31</v>
      </c>
      <c r="C684" s="56">
        <f>122.58</f>
        <v>122.58</v>
      </c>
      <c r="D684" s="56">
        <f>297.941</f>
        <v>297.94099999999997</v>
      </c>
      <c r="E684" s="64">
        <f>89.177</f>
        <v>89.177000000000007</v>
      </c>
      <c r="F684" s="56">
        <f>240.302-40-60-100</f>
        <v>40.301999999999992</v>
      </c>
      <c r="G684" s="59">
        <v>40</v>
      </c>
      <c r="H684" s="56">
        <f>60+100</f>
        <v>160</v>
      </c>
      <c r="I684" s="56">
        <f t="shared" si="112"/>
        <v>0</v>
      </c>
      <c r="J684" s="59">
        <v>100</v>
      </c>
      <c r="K684" s="59">
        <v>300</v>
      </c>
      <c r="L684" s="56">
        <f t="shared" si="106"/>
        <v>1150</v>
      </c>
      <c r="M684" s="66">
        <v>600</v>
      </c>
      <c r="N684" s="56">
        <f>100</f>
        <v>100</v>
      </c>
      <c r="O684" s="59">
        <v>240</v>
      </c>
      <c r="P684" s="59">
        <v>40</v>
      </c>
      <c r="Q684" s="59">
        <f t="shared" si="107"/>
        <v>315</v>
      </c>
      <c r="R684" s="59">
        <f t="shared" si="108"/>
        <v>100</v>
      </c>
      <c r="S684" s="56">
        <f t="shared" si="109"/>
        <v>695</v>
      </c>
      <c r="T684" s="56">
        <f>50</f>
        <v>50</v>
      </c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</row>
    <row r="685" spans="1:30" ht="15.75">
      <c r="A685" s="13">
        <v>62152</v>
      </c>
      <c r="B685" s="67">
        <f t="shared" si="105"/>
        <v>28</v>
      </c>
      <c r="C685" s="56">
        <f>122.58</f>
        <v>122.58</v>
      </c>
      <c r="D685" s="56">
        <f>297.941</f>
        <v>297.94099999999997</v>
      </c>
      <c r="E685" s="64">
        <f>89.177</f>
        <v>89.177000000000007</v>
      </c>
      <c r="F685" s="56">
        <f>240.302-40-60-100</f>
        <v>40.301999999999992</v>
      </c>
      <c r="G685" s="59">
        <v>40</v>
      </c>
      <c r="H685" s="56">
        <f>60+100</f>
        <v>160</v>
      </c>
      <c r="I685" s="56">
        <f t="shared" si="112"/>
        <v>0</v>
      </c>
      <c r="J685" s="59">
        <v>100</v>
      </c>
      <c r="K685" s="59">
        <v>300</v>
      </c>
      <c r="L685" s="56">
        <f t="shared" si="106"/>
        <v>1150</v>
      </c>
      <c r="M685" s="66">
        <v>600</v>
      </c>
      <c r="N685" s="56">
        <f>100</f>
        <v>100</v>
      </c>
      <c r="O685" s="59">
        <v>240</v>
      </c>
      <c r="P685" s="59">
        <v>40</v>
      </c>
      <c r="Q685" s="59">
        <f t="shared" si="107"/>
        <v>315</v>
      </c>
      <c r="R685" s="59">
        <f t="shared" si="108"/>
        <v>100</v>
      </c>
      <c r="S685" s="56">
        <f t="shared" si="109"/>
        <v>695</v>
      </c>
      <c r="T685" s="56">
        <f>50</f>
        <v>50</v>
      </c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</row>
    <row r="686" spans="1:30" ht="15.75">
      <c r="A686" s="13">
        <v>62183</v>
      </c>
      <c r="B686" s="67">
        <f t="shared" si="105"/>
        <v>31</v>
      </c>
      <c r="C686" s="56">
        <f>122.58</f>
        <v>122.58</v>
      </c>
      <c r="D686" s="56">
        <f>297.941</f>
        <v>297.94099999999997</v>
      </c>
      <c r="E686" s="64">
        <f>89.177</f>
        <v>89.177000000000007</v>
      </c>
      <c r="F686" s="56">
        <f>240.302-40-60-100</f>
        <v>40.301999999999992</v>
      </c>
      <c r="G686" s="59">
        <v>40</v>
      </c>
      <c r="H686" s="56">
        <f>60+100</f>
        <v>160</v>
      </c>
      <c r="I686" s="56">
        <f t="shared" si="112"/>
        <v>0</v>
      </c>
      <c r="J686" s="59">
        <v>100</v>
      </c>
      <c r="K686" s="59">
        <v>300</v>
      </c>
      <c r="L686" s="56">
        <f t="shared" si="106"/>
        <v>1150</v>
      </c>
      <c r="M686" s="66">
        <v>600</v>
      </c>
      <c r="N686" s="56">
        <f>100</f>
        <v>100</v>
      </c>
      <c r="O686" s="59">
        <v>240</v>
      </c>
      <c r="P686" s="59">
        <v>40</v>
      </c>
      <c r="Q686" s="59">
        <f t="shared" si="107"/>
        <v>315</v>
      </c>
      <c r="R686" s="59">
        <f t="shared" si="108"/>
        <v>100</v>
      </c>
      <c r="S686" s="56">
        <f t="shared" si="109"/>
        <v>695</v>
      </c>
      <c r="T686" s="56">
        <f>50</f>
        <v>50</v>
      </c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</row>
    <row r="687" spans="1:30" ht="15.75">
      <c r="A687" s="13">
        <v>62213</v>
      </c>
      <c r="B687" s="67">
        <f t="shared" si="105"/>
        <v>30</v>
      </c>
      <c r="C687" s="56">
        <f>141.293</f>
        <v>141.29300000000001</v>
      </c>
      <c r="D687" s="56">
        <f>267.993</f>
        <v>267.99299999999999</v>
      </c>
      <c r="E687" s="64">
        <f>115.016</f>
        <v>115.01600000000001</v>
      </c>
      <c r="F687" s="56">
        <f>314.698-40-25-60-100</f>
        <v>89.697999999999979</v>
      </c>
      <c r="G687" s="59">
        <v>40</v>
      </c>
      <c r="H687" s="56">
        <f t="shared" ref="H687:H693" si="113">25+60+100</f>
        <v>185</v>
      </c>
      <c r="I687" s="56">
        <f t="shared" si="112"/>
        <v>0</v>
      </c>
      <c r="J687" s="59">
        <v>100</v>
      </c>
      <c r="K687" s="59">
        <v>300</v>
      </c>
      <c r="L687" s="56">
        <f t="shared" si="106"/>
        <v>1239</v>
      </c>
      <c r="M687" s="66">
        <v>600</v>
      </c>
      <c r="N687" s="56">
        <f>100</f>
        <v>100</v>
      </c>
      <c r="O687" s="59">
        <v>240</v>
      </c>
      <c r="P687" s="59">
        <v>40</v>
      </c>
      <c r="Q687" s="59">
        <f t="shared" si="107"/>
        <v>315</v>
      </c>
      <c r="R687" s="59">
        <f t="shared" si="108"/>
        <v>100</v>
      </c>
      <c r="S687" s="56">
        <f t="shared" si="109"/>
        <v>695</v>
      </c>
      <c r="T687" s="56">
        <f>50</f>
        <v>50</v>
      </c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</row>
    <row r="688" spans="1:30" ht="15.75">
      <c r="A688" s="13">
        <v>62244</v>
      </c>
      <c r="B688" s="67">
        <f t="shared" si="105"/>
        <v>31</v>
      </c>
      <c r="C688" s="56">
        <f>194.205</f>
        <v>194.20500000000001</v>
      </c>
      <c r="D688" s="56">
        <f>267.466</f>
        <v>267.46600000000001</v>
      </c>
      <c r="E688" s="64">
        <f>133.845</f>
        <v>133.845</v>
      </c>
      <c r="F688" s="56">
        <f>278.484-40-25-60-100</f>
        <v>53.48399999999998</v>
      </c>
      <c r="G688" s="59">
        <v>40</v>
      </c>
      <c r="H688" s="56">
        <f t="shared" si="113"/>
        <v>185</v>
      </c>
      <c r="I688" s="56">
        <f t="shared" si="112"/>
        <v>0</v>
      </c>
      <c r="J688" s="59">
        <v>100</v>
      </c>
      <c r="K688" s="59">
        <v>300</v>
      </c>
      <c r="L688" s="56">
        <f t="shared" si="106"/>
        <v>1274</v>
      </c>
      <c r="M688" s="66">
        <v>600</v>
      </c>
      <c r="N688" s="56">
        <f>75</f>
        <v>75</v>
      </c>
      <c r="O688" s="59">
        <v>240</v>
      </c>
      <c r="P688" s="59">
        <v>40</v>
      </c>
      <c r="Q688" s="59">
        <f t="shared" si="107"/>
        <v>315</v>
      </c>
      <c r="R688" s="59">
        <f t="shared" si="108"/>
        <v>100</v>
      </c>
      <c r="S688" s="56">
        <f t="shared" si="109"/>
        <v>695</v>
      </c>
      <c r="T688" s="56">
        <f>50</f>
        <v>50</v>
      </c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</row>
    <row r="689" spans="1:30" ht="15.75">
      <c r="A689" s="13">
        <v>62274</v>
      </c>
      <c r="B689" s="67">
        <f t="shared" si="105"/>
        <v>30</v>
      </c>
      <c r="C689" s="56">
        <f>194.205</f>
        <v>194.20500000000001</v>
      </c>
      <c r="D689" s="56">
        <f>267.466</f>
        <v>267.46600000000001</v>
      </c>
      <c r="E689" s="64">
        <f>133.845</f>
        <v>133.845</v>
      </c>
      <c r="F689" s="56">
        <f>278.484-40-25-60-100</f>
        <v>53.48399999999998</v>
      </c>
      <c r="G689" s="59">
        <v>40</v>
      </c>
      <c r="H689" s="56">
        <f t="shared" si="113"/>
        <v>185</v>
      </c>
      <c r="I689" s="56">
        <f t="shared" si="112"/>
        <v>0</v>
      </c>
      <c r="J689" s="59">
        <v>100</v>
      </c>
      <c r="K689" s="59">
        <v>300</v>
      </c>
      <c r="L689" s="56">
        <f t="shared" si="106"/>
        <v>1274</v>
      </c>
      <c r="M689" s="66">
        <v>600</v>
      </c>
      <c r="N689" s="56">
        <f>30</f>
        <v>30</v>
      </c>
      <c r="O689" s="59">
        <v>240</v>
      </c>
      <c r="P689" s="59">
        <v>40</v>
      </c>
      <c r="Q689" s="59">
        <f t="shared" si="107"/>
        <v>315</v>
      </c>
      <c r="R689" s="59">
        <f t="shared" si="108"/>
        <v>100</v>
      </c>
      <c r="S689" s="56">
        <f t="shared" si="109"/>
        <v>695</v>
      </c>
      <c r="T689" s="56">
        <f>50</f>
        <v>50</v>
      </c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</row>
    <row r="690" spans="1:30" ht="15.75">
      <c r="A690" s="13">
        <v>62305</v>
      </c>
      <c r="B690" s="67">
        <f t="shared" si="105"/>
        <v>31</v>
      </c>
      <c r="C690" s="56">
        <f>194.205</f>
        <v>194.20500000000001</v>
      </c>
      <c r="D690" s="56">
        <f>267.466</f>
        <v>267.46600000000001</v>
      </c>
      <c r="E690" s="64">
        <f>133.845</f>
        <v>133.845</v>
      </c>
      <c r="F690" s="56">
        <f>278.484-40-25-60-100</f>
        <v>53.48399999999998</v>
      </c>
      <c r="G690" s="59">
        <v>40</v>
      </c>
      <c r="H690" s="56">
        <f t="shared" si="113"/>
        <v>185</v>
      </c>
      <c r="I690" s="56">
        <f t="shared" si="112"/>
        <v>0</v>
      </c>
      <c r="J690" s="59">
        <v>100</v>
      </c>
      <c r="K690" s="59">
        <v>300</v>
      </c>
      <c r="L690" s="56">
        <f t="shared" si="106"/>
        <v>1274</v>
      </c>
      <c r="M690" s="66">
        <v>600</v>
      </c>
      <c r="N690" s="56">
        <f>30</f>
        <v>30</v>
      </c>
      <c r="O690" s="59">
        <v>240</v>
      </c>
      <c r="P690" s="59">
        <v>40</v>
      </c>
      <c r="Q690" s="59">
        <f t="shared" si="107"/>
        <v>315</v>
      </c>
      <c r="R690" s="59">
        <f t="shared" si="108"/>
        <v>100</v>
      </c>
      <c r="S690" s="56">
        <f t="shared" si="109"/>
        <v>695</v>
      </c>
      <c r="T690" s="56">
        <f>0</f>
        <v>0</v>
      </c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</row>
    <row r="691" spans="1:30" ht="15.75">
      <c r="A691" s="13">
        <v>62336</v>
      </c>
      <c r="B691" s="67">
        <f t="shared" si="105"/>
        <v>31</v>
      </c>
      <c r="C691" s="56">
        <f>194.205</f>
        <v>194.20500000000001</v>
      </c>
      <c r="D691" s="56">
        <f>267.466</f>
        <v>267.46600000000001</v>
      </c>
      <c r="E691" s="64">
        <f>133.845</f>
        <v>133.845</v>
      </c>
      <c r="F691" s="56">
        <f>278.484-40-25-60-100</f>
        <v>53.48399999999998</v>
      </c>
      <c r="G691" s="59">
        <v>40</v>
      </c>
      <c r="H691" s="56">
        <f t="shared" si="113"/>
        <v>185</v>
      </c>
      <c r="I691" s="56">
        <f t="shared" si="112"/>
        <v>0</v>
      </c>
      <c r="J691" s="59">
        <v>100</v>
      </c>
      <c r="K691" s="59">
        <v>300</v>
      </c>
      <c r="L691" s="56">
        <f t="shared" si="106"/>
        <v>1274</v>
      </c>
      <c r="M691" s="66">
        <v>600</v>
      </c>
      <c r="N691" s="56">
        <f>30</f>
        <v>30</v>
      </c>
      <c r="O691" s="59">
        <v>240</v>
      </c>
      <c r="P691" s="59">
        <v>40</v>
      </c>
      <c r="Q691" s="59">
        <f t="shared" si="107"/>
        <v>315</v>
      </c>
      <c r="R691" s="59">
        <f t="shared" si="108"/>
        <v>100</v>
      </c>
      <c r="S691" s="56">
        <f t="shared" si="109"/>
        <v>695</v>
      </c>
      <c r="T691" s="56">
        <f>0</f>
        <v>0</v>
      </c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</row>
    <row r="692" spans="1:30" ht="15.75">
      <c r="A692" s="13">
        <v>62366</v>
      </c>
      <c r="B692" s="67">
        <f t="shared" si="105"/>
        <v>30</v>
      </c>
      <c r="C692" s="56">
        <f>194.205</f>
        <v>194.20500000000001</v>
      </c>
      <c r="D692" s="56">
        <f>267.466</f>
        <v>267.46600000000001</v>
      </c>
      <c r="E692" s="64">
        <f>133.845</f>
        <v>133.845</v>
      </c>
      <c r="F692" s="56">
        <f>278.484-40-25-60-100</f>
        <v>53.48399999999998</v>
      </c>
      <c r="G692" s="59">
        <v>40</v>
      </c>
      <c r="H692" s="56">
        <f t="shared" si="113"/>
        <v>185</v>
      </c>
      <c r="I692" s="56">
        <f t="shared" si="112"/>
        <v>0</v>
      </c>
      <c r="J692" s="59">
        <v>100</v>
      </c>
      <c r="K692" s="59">
        <v>300</v>
      </c>
      <c r="L692" s="56">
        <f t="shared" si="106"/>
        <v>1274</v>
      </c>
      <c r="M692" s="66">
        <v>600</v>
      </c>
      <c r="N692" s="56">
        <f>30</f>
        <v>30</v>
      </c>
      <c r="O692" s="59">
        <v>240</v>
      </c>
      <c r="P692" s="59">
        <v>40</v>
      </c>
      <c r="Q692" s="59">
        <f t="shared" si="107"/>
        <v>315</v>
      </c>
      <c r="R692" s="59">
        <f t="shared" si="108"/>
        <v>100</v>
      </c>
      <c r="S692" s="56">
        <f t="shared" si="109"/>
        <v>695</v>
      </c>
      <c r="T692" s="56">
        <f>0</f>
        <v>0</v>
      </c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</row>
    <row r="693" spans="1:30" ht="15.75">
      <c r="A693" s="13">
        <v>62397</v>
      </c>
      <c r="B693" s="67">
        <f t="shared" si="105"/>
        <v>31</v>
      </c>
      <c r="C693" s="56">
        <f>131.881</f>
        <v>131.881</v>
      </c>
      <c r="D693" s="56">
        <f>277.167</f>
        <v>277.16699999999997</v>
      </c>
      <c r="E693" s="64">
        <f>79.08</f>
        <v>79.08</v>
      </c>
      <c r="F693" s="56">
        <f>350.872-40-25-60-100</f>
        <v>125.87200000000001</v>
      </c>
      <c r="G693" s="59">
        <v>40</v>
      </c>
      <c r="H693" s="56">
        <f t="shared" si="113"/>
        <v>185</v>
      </c>
      <c r="I693" s="56">
        <f t="shared" si="112"/>
        <v>0</v>
      </c>
      <c r="J693" s="59">
        <v>100</v>
      </c>
      <c r="K693" s="59">
        <v>300</v>
      </c>
      <c r="L693" s="56">
        <f t="shared" si="106"/>
        <v>1239</v>
      </c>
      <c r="M693" s="66">
        <v>600</v>
      </c>
      <c r="N693" s="56">
        <f>75</f>
        <v>75</v>
      </c>
      <c r="O693" s="59">
        <v>240</v>
      </c>
      <c r="P693" s="59">
        <v>40</v>
      </c>
      <c r="Q693" s="59">
        <f t="shared" si="107"/>
        <v>315</v>
      </c>
      <c r="R693" s="59">
        <f t="shared" si="108"/>
        <v>100</v>
      </c>
      <c r="S693" s="56">
        <f t="shared" si="109"/>
        <v>695</v>
      </c>
      <c r="T693" s="56">
        <f>0</f>
        <v>0</v>
      </c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</row>
    <row r="694" spans="1:30" ht="15.75">
      <c r="A694" s="13">
        <v>62427</v>
      </c>
      <c r="B694" s="67">
        <f t="shared" si="105"/>
        <v>30</v>
      </c>
      <c r="C694" s="56">
        <f>122.58</f>
        <v>122.58</v>
      </c>
      <c r="D694" s="56">
        <f>297.941</f>
        <v>297.94099999999997</v>
      </c>
      <c r="E694" s="64">
        <f>89.177</f>
        <v>89.177000000000007</v>
      </c>
      <c r="F694" s="56">
        <f>240.302-40-60-100</f>
        <v>40.301999999999992</v>
      </c>
      <c r="G694" s="59">
        <v>40</v>
      </c>
      <c r="H694" s="56">
        <f>60+100</f>
        <v>160</v>
      </c>
      <c r="I694" s="56">
        <f t="shared" si="112"/>
        <v>0</v>
      </c>
      <c r="J694" s="59">
        <v>100</v>
      </c>
      <c r="K694" s="59">
        <v>300</v>
      </c>
      <c r="L694" s="56">
        <f t="shared" si="106"/>
        <v>1150</v>
      </c>
      <c r="M694" s="66">
        <v>600</v>
      </c>
      <c r="N694" s="56">
        <f>100</f>
        <v>100</v>
      </c>
      <c r="O694" s="59">
        <v>240</v>
      </c>
      <c r="P694" s="59">
        <v>40</v>
      </c>
      <c r="Q694" s="59">
        <f t="shared" si="107"/>
        <v>315</v>
      </c>
      <c r="R694" s="59">
        <f t="shared" si="108"/>
        <v>100</v>
      </c>
      <c r="S694" s="56">
        <f t="shared" si="109"/>
        <v>695</v>
      </c>
      <c r="T694" s="56">
        <f>50</f>
        <v>50</v>
      </c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</row>
    <row r="695" spans="1:30" ht="15.75">
      <c r="A695" s="13">
        <v>62458</v>
      </c>
      <c r="B695" s="67">
        <f t="shared" si="105"/>
        <v>31</v>
      </c>
      <c r="C695" s="56">
        <f>122.58</f>
        <v>122.58</v>
      </c>
      <c r="D695" s="56">
        <f>297.941</f>
        <v>297.94099999999997</v>
      </c>
      <c r="E695" s="64">
        <f>89.177</f>
        <v>89.177000000000007</v>
      </c>
      <c r="F695" s="56">
        <f>240.302-40-60-100</f>
        <v>40.301999999999992</v>
      </c>
      <c r="G695" s="59">
        <v>40</v>
      </c>
      <c r="H695" s="56">
        <f>60+100</f>
        <v>160</v>
      </c>
      <c r="I695" s="56">
        <f t="shared" si="112"/>
        <v>0</v>
      </c>
      <c r="J695" s="59">
        <v>100</v>
      </c>
      <c r="K695" s="59">
        <v>300</v>
      </c>
      <c r="L695" s="56">
        <f t="shared" si="106"/>
        <v>1150</v>
      </c>
      <c r="M695" s="66">
        <v>600</v>
      </c>
      <c r="N695" s="56">
        <f>100</f>
        <v>100</v>
      </c>
      <c r="O695" s="59">
        <v>240</v>
      </c>
      <c r="P695" s="59">
        <v>40</v>
      </c>
      <c r="Q695" s="59">
        <f t="shared" si="107"/>
        <v>315</v>
      </c>
      <c r="R695" s="59">
        <f t="shared" si="108"/>
        <v>100</v>
      </c>
      <c r="S695" s="56">
        <f t="shared" si="109"/>
        <v>695</v>
      </c>
      <c r="T695" s="56">
        <f>50</f>
        <v>50</v>
      </c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</row>
    <row r="696" spans="1:30" ht="15.75">
      <c r="A696" s="13">
        <v>62489</v>
      </c>
      <c r="B696" s="67">
        <f t="shared" si="105"/>
        <v>31</v>
      </c>
      <c r="C696" s="56">
        <f>122.58</f>
        <v>122.58</v>
      </c>
      <c r="D696" s="56">
        <f>297.941</f>
        <v>297.94099999999997</v>
      </c>
      <c r="E696" s="64">
        <f>89.177</f>
        <v>89.177000000000007</v>
      </c>
      <c r="F696" s="56">
        <f>240.302-40-60-100</f>
        <v>40.301999999999992</v>
      </c>
      <c r="G696" s="59">
        <v>40</v>
      </c>
      <c r="H696" s="56">
        <f>60+100</f>
        <v>160</v>
      </c>
      <c r="I696" s="56">
        <f t="shared" si="112"/>
        <v>0</v>
      </c>
      <c r="J696" s="59">
        <v>100</v>
      </c>
      <c r="K696" s="59">
        <v>300</v>
      </c>
      <c r="L696" s="56">
        <f t="shared" si="106"/>
        <v>1150</v>
      </c>
      <c r="M696" s="66">
        <v>600</v>
      </c>
      <c r="N696" s="56">
        <f>100</f>
        <v>100</v>
      </c>
      <c r="O696" s="59">
        <v>240</v>
      </c>
      <c r="P696" s="59">
        <v>40</v>
      </c>
      <c r="Q696" s="59">
        <f t="shared" si="107"/>
        <v>315</v>
      </c>
      <c r="R696" s="59">
        <f t="shared" si="108"/>
        <v>100</v>
      </c>
      <c r="S696" s="56">
        <f t="shared" si="109"/>
        <v>695</v>
      </c>
      <c r="T696" s="56">
        <f>50</f>
        <v>50</v>
      </c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</row>
    <row r="697" spans="1:30" ht="15.75">
      <c r="A697" s="13">
        <v>62517</v>
      </c>
      <c r="B697" s="67">
        <f t="shared" si="105"/>
        <v>28</v>
      </c>
      <c r="C697" s="56">
        <f>122.58</f>
        <v>122.58</v>
      </c>
      <c r="D697" s="56">
        <f>297.941</f>
        <v>297.94099999999997</v>
      </c>
      <c r="E697" s="64">
        <f>89.177</f>
        <v>89.177000000000007</v>
      </c>
      <c r="F697" s="56">
        <f>240.302-40-60-100</f>
        <v>40.301999999999992</v>
      </c>
      <c r="G697" s="59">
        <v>40</v>
      </c>
      <c r="H697" s="56">
        <f>60+100</f>
        <v>160</v>
      </c>
      <c r="I697" s="56">
        <f t="shared" si="112"/>
        <v>0</v>
      </c>
      <c r="J697" s="59">
        <v>100</v>
      </c>
      <c r="K697" s="59">
        <v>300</v>
      </c>
      <c r="L697" s="56">
        <f t="shared" si="106"/>
        <v>1150</v>
      </c>
      <c r="M697" s="66">
        <v>600</v>
      </c>
      <c r="N697" s="56">
        <f>100</f>
        <v>100</v>
      </c>
      <c r="O697" s="59">
        <v>240</v>
      </c>
      <c r="P697" s="59">
        <v>40</v>
      </c>
      <c r="Q697" s="59">
        <f t="shared" si="107"/>
        <v>315</v>
      </c>
      <c r="R697" s="59">
        <f t="shared" si="108"/>
        <v>100</v>
      </c>
      <c r="S697" s="56">
        <f t="shared" si="109"/>
        <v>695</v>
      </c>
      <c r="T697" s="56">
        <f>50</f>
        <v>50</v>
      </c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</row>
    <row r="698" spans="1:30" ht="15.75">
      <c r="A698" s="13">
        <v>62548</v>
      </c>
      <c r="B698" s="67">
        <f t="shared" si="105"/>
        <v>31</v>
      </c>
      <c r="C698" s="56">
        <f>122.58</f>
        <v>122.58</v>
      </c>
      <c r="D698" s="56">
        <f>297.941</f>
        <v>297.94099999999997</v>
      </c>
      <c r="E698" s="64">
        <f>89.177</f>
        <v>89.177000000000007</v>
      </c>
      <c r="F698" s="56">
        <f>240.302-40-60-100</f>
        <v>40.301999999999992</v>
      </c>
      <c r="G698" s="59">
        <v>40</v>
      </c>
      <c r="H698" s="56">
        <f>60+100</f>
        <v>160</v>
      </c>
      <c r="I698" s="56">
        <f t="shared" si="112"/>
        <v>0</v>
      </c>
      <c r="J698" s="59">
        <v>100</v>
      </c>
      <c r="K698" s="59">
        <v>300</v>
      </c>
      <c r="L698" s="56">
        <f t="shared" si="106"/>
        <v>1150</v>
      </c>
      <c r="M698" s="66">
        <v>600</v>
      </c>
      <c r="N698" s="56">
        <f>100</f>
        <v>100</v>
      </c>
      <c r="O698" s="59">
        <v>240</v>
      </c>
      <c r="P698" s="59">
        <v>40</v>
      </c>
      <c r="Q698" s="59">
        <f t="shared" si="107"/>
        <v>315</v>
      </c>
      <c r="R698" s="59">
        <f t="shared" si="108"/>
        <v>100</v>
      </c>
      <c r="S698" s="56">
        <f t="shared" si="109"/>
        <v>695</v>
      </c>
      <c r="T698" s="56">
        <f>50</f>
        <v>50</v>
      </c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</row>
    <row r="699" spans="1:30" ht="15.75">
      <c r="A699" s="13">
        <v>62578</v>
      </c>
      <c r="B699" s="67">
        <f t="shared" si="105"/>
        <v>30</v>
      </c>
      <c r="C699" s="56">
        <f>141.293</f>
        <v>141.29300000000001</v>
      </c>
      <c r="D699" s="56">
        <f>267.993</f>
        <v>267.99299999999999</v>
      </c>
      <c r="E699" s="64">
        <f>115.016</f>
        <v>115.01600000000001</v>
      </c>
      <c r="F699" s="56">
        <f>314.698-40-25-60-100</f>
        <v>89.697999999999979</v>
      </c>
      <c r="G699" s="59">
        <v>40</v>
      </c>
      <c r="H699" s="56">
        <f t="shared" ref="H699:H705" si="114">25+60+100</f>
        <v>185</v>
      </c>
      <c r="I699" s="56">
        <f t="shared" si="112"/>
        <v>0</v>
      </c>
      <c r="J699" s="59">
        <v>100</v>
      </c>
      <c r="K699" s="59">
        <v>300</v>
      </c>
      <c r="L699" s="56">
        <f t="shared" si="106"/>
        <v>1239</v>
      </c>
      <c r="M699" s="66">
        <v>600</v>
      </c>
      <c r="N699" s="56">
        <f>100</f>
        <v>100</v>
      </c>
      <c r="O699" s="59">
        <v>240</v>
      </c>
      <c r="P699" s="59">
        <v>40</v>
      </c>
      <c r="Q699" s="59">
        <f t="shared" si="107"/>
        <v>315</v>
      </c>
      <c r="R699" s="59">
        <f t="shared" si="108"/>
        <v>100</v>
      </c>
      <c r="S699" s="56">
        <f t="shared" si="109"/>
        <v>695</v>
      </c>
      <c r="T699" s="56">
        <f>50</f>
        <v>50</v>
      </c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</row>
    <row r="700" spans="1:30" ht="15.75">
      <c r="A700" s="13">
        <v>62609</v>
      </c>
      <c r="B700" s="67">
        <f t="shared" si="105"/>
        <v>31</v>
      </c>
      <c r="C700" s="56">
        <f>194.205</f>
        <v>194.20500000000001</v>
      </c>
      <c r="D700" s="56">
        <f>267.466</f>
        <v>267.46600000000001</v>
      </c>
      <c r="E700" s="64">
        <f>133.845</f>
        <v>133.845</v>
      </c>
      <c r="F700" s="56">
        <f>278.484-40-25-60-100</f>
        <v>53.48399999999998</v>
      </c>
      <c r="G700" s="59">
        <v>40</v>
      </c>
      <c r="H700" s="56">
        <f t="shared" si="114"/>
        <v>185</v>
      </c>
      <c r="I700" s="56">
        <f t="shared" si="112"/>
        <v>0</v>
      </c>
      <c r="J700" s="59">
        <v>100</v>
      </c>
      <c r="K700" s="59">
        <v>300</v>
      </c>
      <c r="L700" s="56">
        <f t="shared" si="106"/>
        <v>1274</v>
      </c>
      <c r="M700" s="66">
        <v>600</v>
      </c>
      <c r="N700" s="56">
        <f>75</f>
        <v>75</v>
      </c>
      <c r="O700" s="59">
        <v>240</v>
      </c>
      <c r="P700" s="59">
        <v>40</v>
      </c>
      <c r="Q700" s="59">
        <f t="shared" si="107"/>
        <v>315</v>
      </c>
      <c r="R700" s="59">
        <f t="shared" si="108"/>
        <v>100</v>
      </c>
      <c r="S700" s="56">
        <f t="shared" si="109"/>
        <v>695</v>
      </c>
      <c r="T700" s="56">
        <f>50</f>
        <v>50</v>
      </c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</row>
    <row r="701" spans="1:30" ht="15.75">
      <c r="A701" s="13">
        <v>62639</v>
      </c>
      <c r="B701" s="67">
        <f t="shared" si="105"/>
        <v>30</v>
      </c>
      <c r="C701" s="56">
        <f>194.205</f>
        <v>194.20500000000001</v>
      </c>
      <c r="D701" s="56">
        <f>267.466</f>
        <v>267.46600000000001</v>
      </c>
      <c r="E701" s="64">
        <f>133.845</f>
        <v>133.845</v>
      </c>
      <c r="F701" s="56">
        <f>278.484-40-25-60-100</f>
        <v>53.48399999999998</v>
      </c>
      <c r="G701" s="59">
        <v>40</v>
      </c>
      <c r="H701" s="56">
        <f t="shared" si="114"/>
        <v>185</v>
      </c>
      <c r="I701" s="56">
        <f t="shared" si="112"/>
        <v>0</v>
      </c>
      <c r="J701" s="59">
        <v>100</v>
      </c>
      <c r="K701" s="59">
        <v>300</v>
      </c>
      <c r="L701" s="56">
        <f t="shared" si="106"/>
        <v>1274</v>
      </c>
      <c r="M701" s="66">
        <v>600</v>
      </c>
      <c r="N701" s="56">
        <f>30</f>
        <v>30</v>
      </c>
      <c r="O701" s="59">
        <v>240</v>
      </c>
      <c r="P701" s="59">
        <v>40</v>
      </c>
      <c r="Q701" s="59">
        <f t="shared" si="107"/>
        <v>315</v>
      </c>
      <c r="R701" s="59">
        <f t="shared" si="108"/>
        <v>100</v>
      </c>
      <c r="S701" s="56">
        <f t="shared" si="109"/>
        <v>695</v>
      </c>
      <c r="T701" s="56">
        <f>50</f>
        <v>50</v>
      </c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</row>
    <row r="702" spans="1:30" ht="15.75">
      <c r="A702" s="13">
        <v>62670</v>
      </c>
      <c r="B702" s="67">
        <f t="shared" si="105"/>
        <v>31</v>
      </c>
      <c r="C702" s="56">
        <f>194.205</f>
        <v>194.20500000000001</v>
      </c>
      <c r="D702" s="56">
        <f>267.466</f>
        <v>267.46600000000001</v>
      </c>
      <c r="E702" s="64">
        <f>133.845</f>
        <v>133.845</v>
      </c>
      <c r="F702" s="56">
        <f>278.484-40-25-60-100</f>
        <v>53.48399999999998</v>
      </c>
      <c r="G702" s="59">
        <v>40</v>
      </c>
      <c r="H702" s="56">
        <f t="shared" si="114"/>
        <v>185</v>
      </c>
      <c r="I702" s="56">
        <f t="shared" si="112"/>
        <v>0</v>
      </c>
      <c r="J702" s="59">
        <v>100</v>
      </c>
      <c r="K702" s="59">
        <v>300</v>
      </c>
      <c r="L702" s="56">
        <f t="shared" si="106"/>
        <v>1274</v>
      </c>
      <c r="M702" s="66">
        <v>600</v>
      </c>
      <c r="N702" s="56">
        <f>30</f>
        <v>30</v>
      </c>
      <c r="O702" s="59">
        <v>240</v>
      </c>
      <c r="P702" s="59">
        <v>40</v>
      </c>
      <c r="Q702" s="59">
        <f t="shared" si="107"/>
        <v>315</v>
      </c>
      <c r="R702" s="59">
        <f t="shared" si="108"/>
        <v>100</v>
      </c>
      <c r="S702" s="56">
        <f t="shared" si="109"/>
        <v>695</v>
      </c>
      <c r="T702" s="56">
        <f>0</f>
        <v>0</v>
      </c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</row>
    <row r="703" spans="1:30" ht="15.75">
      <c r="A703" s="13">
        <v>62701</v>
      </c>
      <c r="B703" s="67">
        <f t="shared" si="105"/>
        <v>31</v>
      </c>
      <c r="C703" s="56">
        <f>194.205</f>
        <v>194.20500000000001</v>
      </c>
      <c r="D703" s="56">
        <f>267.466</f>
        <v>267.46600000000001</v>
      </c>
      <c r="E703" s="64">
        <f>133.845</f>
        <v>133.845</v>
      </c>
      <c r="F703" s="56">
        <f>278.484-40-25-60-100</f>
        <v>53.48399999999998</v>
      </c>
      <c r="G703" s="59">
        <v>40</v>
      </c>
      <c r="H703" s="56">
        <f t="shared" si="114"/>
        <v>185</v>
      </c>
      <c r="I703" s="56">
        <f t="shared" si="112"/>
        <v>0</v>
      </c>
      <c r="J703" s="59">
        <v>100</v>
      </c>
      <c r="K703" s="59">
        <v>300</v>
      </c>
      <c r="L703" s="56">
        <f t="shared" si="106"/>
        <v>1274</v>
      </c>
      <c r="M703" s="66">
        <v>600</v>
      </c>
      <c r="N703" s="56">
        <f>30</f>
        <v>30</v>
      </c>
      <c r="O703" s="59">
        <v>240</v>
      </c>
      <c r="P703" s="59">
        <v>40</v>
      </c>
      <c r="Q703" s="59">
        <f t="shared" si="107"/>
        <v>315</v>
      </c>
      <c r="R703" s="59">
        <f t="shared" si="108"/>
        <v>100</v>
      </c>
      <c r="S703" s="56">
        <f t="shared" si="109"/>
        <v>695</v>
      </c>
      <c r="T703" s="56">
        <f>0</f>
        <v>0</v>
      </c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</row>
    <row r="704" spans="1:30" ht="15.75">
      <c r="A704" s="13">
        <v>62731</v>
      </c>
      <c r="B704" s="67">
        <f t="shared" si="105"/>
        <v>30</v>
      </c>
      <c r="C704" s="56">
        <f>194.205</f>
        <v>194.20500000000001</v>
      </c>
      <c r="D704" s="56">
        <f>267.466</f>
        <v>267.46600000000001</v>
      </c>
      <c r="E704" s="64">
        <f>133.845</f>
        <v>133.845</v>
      </c>
      <c r="F704" s="56">
        <f>278.484-40-25-60-100</f>
        <v>53.48399999999998</v>
      </c>
      <c r="G704" s="59">
        <v>40</v>
      </c>
      <c r="H704" s="56">
        <f t="shared" si="114"/>
        <v>185</v>
      </c>
      <c r="I704" s="56">
        <f t="shared" si="112"/>
        <v>0</v>
      </c>
      <c r="J704" s="59">
        <v>100</v>
      </c>
      <c r="K704" s="59">
        <v>300</v>
      </c>
      <c r="L704" s="56">
        <f t="shared" si="106"/>
        <v>1274</v>
      </c>
      <c r="M704" s="66">
        <v>600</v>
      </c>
      <c r="N704" s="56">
        <f>30</f>
        <v>30</v>
      </c>
      <c r="O704" s="59">
        <v>240</v>
      </c>
      <c r="P704" s="59">
        <v>40</v>
      </c>
      <c r="Q704" s="59">
        <f t="shared" si="107"/>
        <v>315</v>
      </c>
      <c r="R704" s="59">
        <f t="shared" si="108"/>
        <v>100</v>
      </c>
      <c r="S704" s="56">
        <f t="shared" si="109"/>
        <v>695</v>
      </c>
      <c r="T704" s="56">
        <f>0</f>
        <v>0</v>
      </c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</row>
    <row r="705" spans="1:30" ht="15.75">
      <c r="A705" s="13">
        <v>62762</v>
      </c>
      <c r="B705" s="67">
        <f t="shared" si="105"/>
        <v>31</v>
      </c>
      <c r="C705" s="56">
        <f>131.881</f>
        <v>131.881</v>
      </c>
      <c r="D705" s="56">
        <f>277.167</f>
        <v>277.16699999999997</v>
      </c>
      <c r="E705" s="64">
        <f>79.08</f>
        <v>79.08</v>
      </c>
      <c r="F705" s="56">
        <f>350.872-40-25-60-100</f>
        <v>125.87200000000001</v>
      </c>
      <c r="G705" s="59">
        <v>40</v>
      </c>
      <c r="H705" s="56">
        <f t="shared" si="114"/>
        <v>185</v>
      </c>
      <c r="I705" s="56">
        <f t="shared" si="112"/>
        <v>0</v>
      </c>
      <c r="J705" s="59">
        <v>100</v>
      </c>
      <c r="K705" s="59">
        <v>300</v>
      </c>
      <c r="L705" s="56">
        <f t="shared" si="106"/>
        <v>1239</v>
      </c>
      <c r="M705" s="66">
        <v>600</v>
      </c>
      <c r="N705" s="56">
        <f>75</f>
        <v>75</v>
      </c>
      <c r="O705" s="59">
        <v>240</v>
      </c>
      <c r="P705" s="59">
        <v>40</v>
      </c>
      <c r="Q705" s="59">
        <f t="shared" si="107"/>
        <v>315</v>
      </c>
      <c r="R705" s="59">
        <f t="shared" si="108"/>
        <v>100</v>
      </c>
      <c r="S705" s="56">
        <f t="shared" si="109"/>
        <v>695</v>
      </c>
      <c r="T705" s="56">
        <f>0</f>
        <v>0</v>
      </c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</row>
    <row r="706" spans="1:30" ht="15.75">
      <c r="A706" s="13">
        <v>62792</v>
      </c>
      <c r="B706" s="67">
        <f t="shared" si="105"/>
        <v>30</v>
      </c>
      <c r="C706" s="56">
        <f>122.58</f>
        <v>122.58</v>
      </c>
      <c r="D706" s="56">
        <f>297.941</f>
        <v>297.94099999999997</v>
      </c>
      <c r="E706" s="64">
        <f>89.177</f>
        <v>89.177000000000007</v>
      </c>
      <c r="F706" s="56">
        <f>240.302-40-60-100</f>
        <v>40.301999999999992</v>
      </c>
      <c r="G706" s="59">
        <v>40</v>
      </c>
      <c r="H706" s="56">
        <f>60+100</f>
        <v>160</v>
      </c>
      <c r="I706" s="56">
        <f t="shared" si="112"/>
        <v>0</v>
      </c>
      <c r="J706" s="59">
        <v>100</v>
      </c>
      <c r="K706" s="59">
        <v>300</v>
      </c>
      <c r="L706" s="56">
        <f t="shared" si="106"/>
        <v>1150</v>
      </c>
      <c r="M706" s="66">
        <v>600</v>
      </c>
      <c r="N706" s="56">
        <f>100</f>
        <v>100</v>
      </c>
      <c r="O706" s="59">
        <v>240</v>
      </c>
      <c r="P706" s="59">
        <v>40</v>
      </c>
      <c r="Q706" s="59">
        <f t="shared" si="107"/>
        <v>315</v>
      </c>
      <c r="R706" s="59">
        <f t="shared" si="108"/>
        <v>100</v>
      </c>
      <c r="S706" s="56">
        <f t="shared" si="109"/>
        <v>695</v>
      </c>
      <c r="T706" s="56">
        <f>50</f>
        <v>50</v>
      </c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</row>
    <row r="707" spans="1:30" ht="15.75">
      <c r="A707" s="13">
        <v>62823</v>
      </c>
      <c r="B707" s="67">
        <f t="shared" si="105"/>
        <v>31</v>
      </c>
      <c r="C707" s="56">
        <f>122.58</f>
        <v>122.58</v>
      </c>
      <c r="D707" s="56">
        <f>297.941</f>
        <v>297.94099999999997</v>
      </c>
      <c r="E707" s="64">
        <f>89.177</f>
        <v>89.177000000000007</v>
      </c>
      <c r="F707" s="56">
        <f>240.302-40-60-100</f>
        <v>40.301999999999992</v>
      </c>
      <c r="G707" s="59">
        <v>40</v>
      </c>
      <c r="H707" s="56">
        <f>60+100</f>
        <v>160</v>
      </c>
      <c r="I707" s="56">
        <f t="shared" si="112"/>
        <v>0</v>
      </c>
      <c r="J707" s="59">
        <v>100</v>
      </c>
      <c r="K707" s="59">
        <v>300</v>
      </c>
      <c r="L707" s="56">
        <f t="shared" si="106"/>
        <v>1150</v>
      </c>
      <c r="M707" s="66">
        <v>600</v>
      </c>
      <c r="N707" s="56">
        <f>100</f>
        <v>100</v>
      </c>
      <c r="O707" s="59">
        <v>240</v>
      </c>
      <c r="P707" s="59">
        <v>40</v>
      </c>
      <c r="Q707" s="59">
        <f t="shared" si="107"/>
        <v>315</v>
      </c>
      <c r="R707" s="59">
        <f t="shared" si="108"/>
        <v>100</v>
      </c>
      <c r="S707" s="56">
        <f t="shared" si="109"/>
        <v>695</v>
      </c>
      <c r="T707" s="56">
        <f>50</f>
        <v>50</v>
      </c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</row>
    <row r="708" spans="1:30" ht="15.75">
      <c r="A708" s="13">
        <v>62854</v>
      </c>
      <c r="B708" s="67">
        <f t="shared" si="105"/>
        <v>31</v>
      </c>
      <c r="C708" s="56">
        <f>122.58</f>
        <v>122.58</v>
      </c>
      <c r="D708" s="56">
        <f>297.941</f>
        <v>297.94099999999997</v>
      </c>
      <c r="E708" s="64">
        <f>89.177</f>
        <v>89.177000000000007</v>
      </c>
      <c r="F708" s="56">
        <f>240.302-40-60-100</f>
        <v>40.301999999999992</v>
      </c>
      <c r="G708" s="59">
        <v>40</v>
      </c>
      <c r="H708" s="56">
        <f>60+100</f>
        <v>160</v>
      </c>
      <c r="I708" s="56">
        <f t="shared" si="112"/>
        <v>0</v>
      </c>
      <c r="J708" s="59">
        <v>100</v>
      </c>
      <c r="K708" s="59">
        <v>300</v>
      </c>
      <c r="L708" s="56">
        <f t="shared" si="106"/>
        <v>1150</v>
      </c>
      <c r="M708" s="66">
        <v>600</v>
      </c>
      <c r="N708" s="56">
        <f>100</f>
        <v>100</v>
      </c>
      <c r="O708" s="59">
        <v>240</v>
      </c>
      <c r="P708" s="59">
        <v>40</v>
      </c>
      <c r="Q708" s="59">
        <f t="shared" si="107"/>
        <v>315</v>
      </c>
      <c r="R708" s="59">
        <f t="shared" si="108"/>
        <v>100</v>
      </c>
      <c r="S708" s="56">
        <f t="shared" si="109"/>
        <v>695</v>
      </c>
      <c r="T708" s="56">
        <f>50</f>
        <v>50</v>
      </c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</row>
    <row r="709" spans="1:30" ht="15.75">
      <c r="A709" s="13">
        <v>62883</v>
      </c>
      <c r="B709" s="67">
        <f t="shared" si="105"/>
        <v>29</v>
      </c>
      <c r="C709" s="56">
        <f>122.58</f>
        <v>122.58</v>
      </c>
      <c r="D709" s="56">
        <f>297.941</f>
        <v>297.94099999999997</v>
      </c>
      <c r="E709" s="64">
        <f>89.177</f>
        <v>89.177000000000007</v>
      </c>
      <c r="F709" s="56">
        <f>240.302-40-60-100</f>
        <v>40.301999999999992</v>
      </c>
      <c r="G709" s="59">
        <v>40</v>
      </c>
      <c r="H709" s="56">
        <f>60+100</f>
        <v>160</v>
      </c>
      <c r="I709" s="56">
        <f t="shared" si="112"/>
        <v>0</v>
      </c>
      <c r="J709" s="59">
        <v>100</v>
      </c>
      <c r="K709" s="59">
        <v>300</v>
      </c>
      <c r="L709" s="56">
        <f t="shared" si="106"/>
        <v>1150</v>
      </c>
      <c r="M709" s="66">
        <v>600</v>
      </c>
      <c r="N709" s="56">
        <f>100</f>
        <v>100</v>
      </c>
      <c r="O709" s="59">
        <v>240</v>
      </c>
      <c r="P709" s="59">
        <v>40</v>
      </c>
      <c r="Q709" s="59">
        <f t="shared" si="107"/>
        <v>315</v>
      </c>
      <c r="R709" s="59">
        <f t="shared" si="108"/>
        <v>100</v>
      </c>
      <c r="S709" s="56">
        <f t="shared" si="109"/>
        <v>695</v>
      </c>
      <c r="T709" s="56">
        <f>50</f>
        <v>50</v>
      </c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</row>
    <row r="710" spans="1:30" ht="15.75">
      <c r="A710" s="13">
        <v>62914</v>
      </c>
      <c r="B710" s="67">
        <f t="shared" si="105"/>
        <v>31</v>
      </c>
      <c r="C710" s="56">
        <f>122.58</f>
        <v>122.58</v>
      </c>
      <c r="D710" s="56">
        <f>297.941</f>
        <v>297.94099999999997</v>
      </c>
      <c r="E710" s="64">
        <f>89.177</f>
        <v>89.177000000000007</v>
      </c>
      <c r="F710" s="56">
        <f>240.302-40-60-100</f>
        <v>40.301999999999992</v>
      </c>
      <c r="G710" s="59">
        <v>40</v>
      </c>
      <c r="H710" s="56">
        <f>60+100</f>
        <v>160</v>
      </c>
      <c r="I710" s="56">
        <f t="shared" si="112"/>
        <v>0</v>
      </c>
      <c r="J710" s="59">
        <v>100</v>
      </c>
      <c r="K710" s="59">
        <v>300</v>
      </c>
      <c r="L710" s="56">
        <f t="shared" si="106"/>
        <v>1150</v>
      </c>
      <c r="M710" s="66">
        <v>600</v>
      </c>
      <c r="N710" s="56">
        <f>100</f>
        <v>100</v>
      </c>
      <c r="O710" s="59">
        <v>240</v>
      </c>
      <c r="P710" s="59">
        <v>40</v>
      </c>
      <c r="Q710" s="59">
        <f t="shared" si="107"/>
        <v>315</v>
      </c>
      <c r="R710" s="59">
        <f t="shared" si="108"/>
        <v>100</v>
      </c>
      <c r="S710" s="56">
        <f t="shared" si="109"/>
        <v>695</v>
      </c>
      <c r="T710" s="56">
        <f>50</f>
        <v>50</v>
      </c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</row>
    <row r="711" spans="1:30" ht="15.75">
      <c r="A711" s="13">
        <v>62944</v>
      </c>
      <c r="B711" s="67">
        <f t="shared" si="105"/>
        <v>30</v>
      </c>
      <c r="C711" s="56">
        <f>141.293</f>
        <v>141.29300000000001</v>
      </c>
      <c r="D711" s="56">
        <f>267.993</f>
        <v>267.99299999999999</v>
      </c>
      <c r="E711" s="64">
        <f>115.016</f>
        <v>115.01600000000001</v>
      </c>
      <c r="F711" s="56">
        <f>314.698-40-25-60-100</f>
        <v>89.697999999999979</v>
      </c>
      <c r="G711" s="59">
        <v>40</v>
      </c>
      <c r="H711" s="56">
        <f t="shared" ref="H711:H717" si="115">25+60+100</f>
        <v>185</v>
      </c>
      <c r="I711" s="56">
        <f t="shared" si="112"/>
        <v>0</v>
      </c>
      <c r="J711" s="59">
        <v>100</v>
      </c>
      <c r="K711" s="59">
        <v>300</v>
      </c>
      <c r="L711" s="56">
        <f t="shared" si="106"/>
        <v>1239</v>
      </c>
      <c r="M711" s="66">
        <v>600</v>
      </c>
      <c r="N711" s="56">
        <f>100</f>
        <v>100</v>
      </c>
      <c r="O711" s="59">
        <v>240</v>
      </c>
      <c r="P711" s="59">
        <v>40</v>
      </c>
      <c r="Q711" s="59">
        <f t="shared" si="107"/>
        <v>315</v>
      </c>
      <c r="R711" s="59">
        <f t="shared" si="108"/>
        <v>100</v>
      </c>
      <c r="S711" s="56">
        <f t="shared" si="109"/>
        <v>695</v>
      </c>
      <c r="T711" s="56">
        <f>50</f>
        <v>50</v>
      </c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</row>
    <row r="712" spans="1:30" ht="15.75">
      <c r="A712" s="13">
        <v>62975</v>
      </c>
      <c r="B712" s="67">
        <f t="shared" si="105"/>
        <v>31</v>
      </c>
      <c r="C712" s="56">
        <f>194.205</f>
        <v>194.20500000000001</v>
      </c>
      <c r="D712" s="56">
        <f>267.466</f>
        <v>267.46600000000001</v>
      </c>
      <c r="E712" s="64">
        <f>133.845</f>
        <v>133.845</v>
      </c>
      <c r="F712" s="56">
        <f>278.484-40-25-60-100</f>
        <v>53.48399999999998</v>
      </c>
      <c r="G712" s="59">
        <v>40</v>
      </c>
      <c r="H712" s="56">
        <f t="shared" si="115"/>
        <v>185</v>
      </c>
      <c r="I712" s="56">
        <f t="shared" si="112"/>
        <v>0</v>
      </c>
      <c r="J712" s="59">
        <v>100</v>
      </c>
      <c r="K712" s="59">
        <v>300</v>
      </c>
      <c r="L712" s="56">
        <f t="shared" si="106"/>
        <v>1274</v>
      </c>
      <c r="M712" s="66">
        <v>600</v>
      </c>
      <c r="N712" s="56">
        <f>75</f>
        <v>75</v>
      </c>
      <c r="O712" s="59">
        <v>240</v>
      </c>
      <c r="P712" s="59">
        <v>40</v>
      </c>
      <c r="Q712" s="59">
        <f t="shared" si="107"/>
        <v>315</v>
      </c>
      <c r="R712" s="59">
        <f t="shared" si="108"/>
        <v>100</v>
      </c>
      <c r="S712" s="56">
        <f t="shared" si="109"/>
        <v>695</v>
      </c>
      <c r="T712" s="56">
        <f>50</f>
        <v>50</v>
      </c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</row>
    <row r="713" spans="1:30" ht="15.75">
      <c r="A713" s="13">
        <v>63005</v>
      </c>
      <c r="B713" s="67">
        <f t="shared" si="105"/>
        <v>30</v>
      </c>
      <c r="C713" s="56">
        <f>194.205</f>
        <v>194.20500000000001</v>
      </c>
      <c r="D713" s="56">
        <f>267.466</f>
        <v>267.46600000000001</v>
      </c>
      <c r="E713" s="64">
        <f>133.845</f>
        <v>133.845</v>
      </c>
      <c r="F713" s="56">
        <f>278.484-40-25-60-100</f>
        <v>53.48399999999998</v>
      </c>
      <c r="G713" s="59">
        <v>40</v>
      </c>
      <c r="H713" s="56">
        <f t="shared" si="115"/>
        <v>185</v>
      </c>
      <c r="I713" s="56">
        <f t="shared" si="112"/>
        <v>0</v>
      </c>
      <c r="J713" s="59">
        <v>100</v>
      </c>
      <c r="K713" s="59">
        <v>300</v>
      </c>
      <c r="L713" s="56">
        <f t="shared" si="106"/>
        <v>1274</v>
      </c>
      <c r="M713" s="66">
        <v>600</v>
      </c>
      <c r="N713" s="56">
        <f>30</f>
        <v>30</v>
      </c>
      <c r="O713" s="59">
        <v>240</v>
      </c>
      <c r="P713" s="59">
        <v>40</v>
      </c>
      <c r="Q713" s="59">
        <f t="shared" si="107"/>
        <v>315</v>
      </c>
      <c r="R713" s="59">
        <f t="shared" si="108"/>
        <v>100</v>
      </c>
      <c r="S713" s="56">
        <f t="shared" si="109"/>
        <v>695</v>
      </c>
      <c r="T713" s="56">
        <f>50</f>
        <v>50</v>
      </c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</row>
    <row r="714" spans="1:30" ht="15.75">
      <c r="A714" s="13">
        <v>63036</v>
      </c>
      <c r="B714" s="67">
        <f t="shared" si="105"/>
        <v>31</v>
      </c>
      <c r="C714" s="56">
        <f>194.205</f>
        <v>194.20500000000001</v>
      </c>
      <c r="D714" s="56">
        <f>267.466</f>
        <v>267.46600000000001</v>
      </c>
      <c r="E714" s="64">
        <f>133.845</f>
        <v>133.845</v>
      </c>
      <c r="F714" s="56">
        <f>278.484-40-25-60-100</f>
        <v>53.48399999999998</v>
      </c>
      <c r="G714" s="59">
        <v>40</v>
      </c>
      <c r="H714" s="56">
        <f t="shared" si="115"/>
        <v>185</v>
      </c>
      <c r="I714" s="56">
        <f t="shared" si="112"/>
        <v>0</v>
      </c>
      <c r="J714" s="59">
        <v>100</v>
      </c>
      <c r="K714" s="59">
        <v>300</v>
      </c>
      <c r="L714" s="56">
        <f t="shared" si="106"/>
        <v>1274</v>
      </c>
      <c r="M714" s="66">
        <v>600</v>
      </c>
      <c r="N714" s="56">
        <f>30</f>
        <v>30</v>
      </c>
      <c r="O714" s="59">
        <v>240</v>
      </c>
      <c r="P714" s="59">
        <v>40</v>
      </c>
      <c r="Q714" s="59">
        <f t="shared" si="107"/>
        <v>315</v>
      </c>
      <c r="R714" s="59">
        <f t="shared" si="108"/>
        <v>100</v>
      </c>
      <c r="S714" s="56">
        <f t="shared" si="109"/>
        <v>695</v>
      </c>
      <c r="T714" s="56">
        <f>0</f>
        <v>0</v>
      </c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</row>
    <row r="715" spans="1:30" ht="15.75">
      <c r="A715" s="13">
        <v>63067</v>
      </c>
      <c r="B715" s="67">
        <f t="shared" si="105"/>
        <v>31</v>
      </c>
      <c r="C715" s="56">
        <f>194.205</f>
        <v>194.20500000000001</v>
      </c>
      <c r="D715" s="56">
        <f>267.466</f>
        <v>267.46600000000001</v>
      </c>
      <c r="E715" s="64">
        <f>133.845</f>
        <v>133.845</v>
      </c>
      <c r="F715" s="56">
        <f>278.484-40-25-60-100</f>
        <v>53.48399999999998</v>
      </c>
      <c r="G715" s="59">
        <v>40</v>
      </c>
      <c r="H715" s="56">
        <f t="shared" si="115"/>
        <v>185</v>
      </c>
      <c r="I715" s="56">
        <f t="shared" si="112"/>
        <v>0</v>
      </c>
      <c r="J715" s="59">
        <v>100</v>
      </c>
      <c r="K715" s="59">
        <v>300</v>
      </c>
      <c r="L715" s="56">
        <f t="shared" si="106"/>
        <v>1274</v>
      </c>
      <c r="M715" s="66">
        <v>600</v>
      </c>
      <c r="N715" s="56">
        <f>30</f>
        <v>30</v>
      </c>
      <c r="O715" s="59">
        <v>240</v>
      </c>
      <c r="P715" s="59">
        <v>40</v>
      </c>
      <c r="Q715" s="59">
        <f t="shared" si="107"/>
        <v>315</v>
      </c>
      <c r="R715" s="59">
        <f t="shared" si="108"/>
        <v>100</v>
      </c>
      <c r="S715" s="56">
        <f t="shared" si="109"/>
        <v>695</v>
      </c>
      <c r="T715" s="56">
        <f>0</f>
        <v>0</v>
      </c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</row>
    <row r="716" spans="1:30" ht="15.75">
      <c r="A716" s="13">
        <v>63097</v>
      </c>
      <c r="B716" s="67">
        <f t="shared" ref="B716:B779" si="116">EOMONTH(A716,0)-EOMONTH(A716,-1)</f>
        <v>30</v>
      </c>
      <c r="C716" s="56">
        <f>194.205</f>
        <v>194.20500000000001</v>
      </c>
      <c r="D716" s="56">
        <f>267.466</f>
        <v>267.46600000000001</v>
      </c>
      <c r="E716" s="64">
        <f>133.845</f>
        <v>133.845</v>
      </c>
      <c r="F716" s="56">
        <f>278.484-40-25-60-100</f>
        <v>53.48399999999998</v>
      </c>
      <c r="G716" s="59">
        <v>40</v>
      </c>
      <c r="H716" s="56">
        <f t="shared" si="115"/>
        <v>185</v>
      </c>
      <c r="I716" s="56">
        <f t="shared" si="112"/>
        <v>0</v>
      </c>
      <c r="J716" s="59">
        <v>100</v>
      </c>
      <c r="K716" s="59">
        <v>300</v>
      </c>
      <c r="L716" s="56">
        <f t="shared" si="106"/>
        <v>1274</v>
      </c>
      <c r="M716" s="66">
        <v>600</v>
      </c>
      <c r="N716" s="56">
        <f>30</f>
        <v>30</v>
      </c>
      <c r="O716" s="59">
        <v>240</v>
      </c>
      <c r="P716" s="59">
        <v>40</v>
      </c>
      <c r="Q716" s="59">
        <f t="shared" si="107"/>
        <v>315</v>
      </c>
      <c r="R716" s="59">
        <f t="shared" si="108"/>
        <v>100</v>
      </c>
      <c r="S716" s="56">
        <f t="shared" si="109"/>
        <v>695</v>
      </c>
      <c r="T716" s="56">
        <f>0</f>
        <v>0</v>
      </c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</row>
    <row r="717" spans="1:30" ht="15.75">
      <c r="A717" s="13">
        <v>63128</v>
      </c>
      <c r="B717" s="67">
        <f t="shared" si="116"/>
        <v>31</v>
      </c>
      <c r="C717" s="56">
        <f>131.881</f>
        <v>131.881</v>
      </c>
      <c r="D717" s="56">
        <f>277.167</f>
        <v>277.16699999999997</v>
      </c>
      <c r="E717" s="64">
        <f>79.08</f>
        <v>79.08</v>
      </c>
      <c r="F717" s="56">
        <f>350.872-40-25-60-100</f>
        <v>125.87200000000001</v>
      </c>
      <c r="G717" s="59">
        <v>40</v>
      </c>
      <c r="H717" s="56">
        <f t="shared" si="115"/>
        <v>185</v>
      </c>
      <c r="I717" s="56">
        <f t="shared" si="112"/>
        <v>0</v>
      </c>
      <c r="J717" s="59">
        <v>100</v>
      </c>
      <c r="K717" s="59">
        <v>300</v>
      </c>
      <c r="L717" s="56">
        <f t="shared" si="106"/>
        <v>1239</v>
      </c>
      <c r="M717" s="66">
        <v>600</v>
      </c>
      <c r="N717" s="56">
        <f>75</f>
        <v>75</v>
      </c>
      <c r="O717" s="59">
        <v>240</v>
      </c>
      <c r="P717" s="59">
        <v>40</v>
      </c>
      <c r="Q717" s="59">
        <f t="shared" si="107"/>
        <v>315</v>
      </c>
      <c r="R717" s="59">
        <f t="shared" si="108"/>
        <v>100</v>
      </c>
      <c r="S717" s="56">
        <f t="shared" si="109"/>
        <v>695</v>
      </c>
      <c r="T717" s="56">
        <f>0</f>
        <v>0</v>
      </c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</row>
    <row r="718" spans="1:30" ht="15.75">
      <c r="A718" s="13">
        <v>63158</v>
      </c>
      <c r="B718" s="67">
        <f t="shared" si="116"/>
        <v>30</v>
      </c>
      <c r="C718" s="56">
        <f>122.58</f>
        <v>122.58</v>
      </c>
      <c r="D718" s="56">
        <f>297.941</f>
        <v>297.94099999999997</v>
      </c>
      <c r="E718" s="64">
        <f>89.177</f>
        <v>89.177000000000007</v>
      </c>
      <c r="F718" s="56">
        <f>240.302-40-60-100</f>
        <v>40.301999999999992</v>
      </c>
      <c r="G718" s="59">
        <v>40</v>
      </c>
      <c r="H718" s="56">
        <f>60+100</f>
        <v>160</v>
      </c>
      <c r="I718" s="56">
        <f t="shared" si="112"/>
        <v>0</v>
      </c>
      <c r="J718" s="59">
        <v>100</v>
      </c>
      <c r="K718" s="59">
        <v>300</v>
      </c>
      <c r="L718" s="56">
        <f t="shared" si="106"/>
        <v>1150</v>
      </c>
      <c r="M718" s="66">
        <v>600</v>
      </c>
      <c r="N718" s="56">
        <f>100</f>
        <v>100</v>
      </c>
      <c r="O718" s="59">
        <v>240</v>
      </c>
      <c r="P718" s="59">
        <v>40</v>
      </c>
      <c r="Q718" s="59">
        <f t="shared" si="107"/>
        <v>315</v>
      </c>
      <c r="R718" s="59">
        <f t="shared" si="108"/>
        <v>100</v>
      </c>
      <c r="S718" s="56">
        <f t="shared" si="109"/>
        <v>695</v>
      </c>
      <c r="T718" s="56">
        <f>50</f>
        <v>50</v>
      </c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</row>
    <row r="719" spans="1:30" ht="15.75">
      <c r="A719" s="13">
        <v>63189</v>
      </c>
      <c r="B719" s="67">
        <f t="shared" si="116"/>
        <v>31</v>
      </c>
      <c r="C719" s="56">
        <f>122.58</f>
        <v>122.58</v>
      </c>
      <c r="D719" s="56">
        <f>297.941</f>
        <v>297.94099999999997</v>
      </c>
      <c r="E719" s="64">
        <f>89.177</f>
        <v>89.177000000000007</v>
      </c>
      <c r="F719" s="56">
        <f>240.302-40-60-100</f>
        <v>40.301999999999992</v>
      </c>
      <c r="G719" s="59">
        <v>40</v>
      </c>
      <c r="H719" s="56">
        <f>60+100</f>
        <v>160</v>
      </c>
      <c r="I719" s="56">
        <f t="shared" si="112"/>
        <v>0</v>
      </c>
      <c r="J719" s="59">
        <v>100</v>
      </c>
      <c r="K719" s="59">
        <v>300</v>
      </c>
      <c r="L719" s="56">
        <f t="shared" si="106"/>
        <v>1150</v>
      </c>
      <c r="M719" s="66">
        <v>600</v>
      </c>
      <c r="N719" s="56">
        <f>100</f>
        <v>100</v>
      </c>
      <c r="O719" s="59">
        <v>240</v>
      </c>
      <c r="P719" s="59">
        <v>40</v>
      </c>
      <c r="Q719" s="59">
        <f t="shared" si="107"/>
        <v>315</v>
      </c>
      <c r="R719" s="59">
        <f t="shared" si="108"/>
        <v>100</v>
      </c>
      <c r="S719" s="56">
        <f t="shared" si="109"/>
        <v>695</v>
      </c>
      <c r="T719" s="56">
        <f>50</f>
        <v>50</v>
      </c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</row>
    <row r="720" spans="1:30" ht="15.75">
      <c r="A720" s="13">
        <v>63220</v>
      </c>
      <c r="B720" s="67">
        <f t="shared" si="116"/>
        <v>31</v>
      </c>
      <c r="C720" s="56">
        <f>122.58</f>
        <v>122.58</v>
      </c>
      <c r="D720" s="56">
        <f>297.941</f>
        <v>297.94099999999997</v>
      </c>
      <c r="E720" s="64">
        <f>89.177</f>
        <v>89.177000000000007</v>
      </c>
      <c r="F720" s="56">
        <f>240.302-40-60-100</f>
        <v>40.301999999999992</v>
      </c>
      <c r="G720" s="59">
        <v>40</v>
      </c>
      <c r="H720" s="56">
        <f>60+100</f>
        <v>160</v>
      </c>
      <c r="I720" s="56">
        <f t="shared" si="112"/>
        <v>0</v>
      </c>
      <c r="J720" s="59">
        <v>100</v>
      </c>
      <c r="K720" s="59">
        <v>300</v>
      </c>
      <c r="L720" s="56">
        <f t="shared" si="106"/>
        <v>1150</v>
      </c>
      <c r="M720" s="66">
        <v>600</v>
      </c>
      <c r="N720" s="56">
        <f>100</f>
        <v>100</v>
      </c>
      <c r="O720" s="59">
        <v>240</v>
      </c>
      <c r="P720" s="59">
        <v>40</v>
      </c>
      <c r="Q720" s="59">
        <f t="shared" si="107"/>
        <v>315</v>
      </c>
      <c r="R720" s="59">
        <f t="shared" si="108"/>
        <v>100</v>
      </c>
      <c r="S720" s="56">
        <f t="shared" si="109"/>
        <v>695</v>
      </c>
      <c r="T720" s="56">
        <f>50</f>
        <v>50</v>
      </c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</row>
    <row r="721" spans="1:30" ht="15.75">
      <c r="A721" s="13">
        <v>63248</v>
      </c>
      <c r="B721" s="67">
        <f t="shared" si="116"/>
        <v>28</v>
      </c>
      <c r="C721" s="56">
        <f>122.58</f>
        <v>122.58</v>
      </c>
      <c r="D721" s="56">
        <f>297.941</f>
        <v>297.94099999999997</v>
      </c>
      <c r="E721" s="64">
        <f>89.177</f>
        <v>89.177000000000007</v>
      </c>
      <c r="F721" s="56">
        <f>240.302-40-60-100</f>
        <v>40.301999999999992</v>
      </c>
      <c r="G721" s="59">
        <v>40</v>
      </c>
      <c r="H721" s="56">
        <f>60+100</f>
        <v>160</v>
      </c>
      <c r="I721" s="56">
        <f t="shared" si="112"/>
        <v>0</v>
      </c>
      <c r="J721" s="59">
        <v>100</v>
      </c>
      <c r="K721" s="59">
        <v>300</v>
      </c>
      <c r="L721" s="56">
        <f t="shared" ref="L721:L784" si="117">SUM(C721:K721)</f>
        <v>1150</v>
      </c>
      <c r="M721" s="66">
        <v>600</v>
      </c>
      <c r="N721" s="56">
        <f>100</f>
        <v>100</v>
      </c>
      <c r="O721" s="59">
        <v>240</v>
      </c>
      <c r="P721" s="59">
        <v>40</v>
      </c>
      <c r="Q721" s="59">
        <f t="shared" ref="Q721:Q784" si="118">695-R721-O721-P721</f>
        <v>315</v>
      </c>
      <c r="R721" s="59">
        <f t="shared" ref="R721:R784" si="119">200-J721</f>
        <v>100</v>
      </c>
      <c r="S721" s="56">
        <f t="shared" ref="S721:S784" si="120">SUM(O721:R721)</f>
        <v>695</v>
      </c>
      <c r="T721" s="56">
        <f>50</f>
        <v>50</v>
      </c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</row>
    <row r="722" spans="1:30" ht="15.75">
      <c r="A722" s="13">
        <v>63279</v>
      </c>
      <c r="B722" s="67">
        <f t="shared" si="116"/>
        <v>31</v>
      </c>
      <c r="C722" s="56">
        <f>122.58</f>
        <v>122.58</v>
      </c>
      <c r="D722" s="56">
        <f>297.941</f>
        <v>297.94099999999997</v>
      </c>
      <c r="E722" s="64">
        <f>89.177</f>
        <v>89.177000000000007</v>
      </c>
      <c r="F722" s="56">
        <f>240.302-40-60-100</f>
        <v>40.301999999999992</v>
      </c>
      <c r="G722" s="59">
        <v>40</v>
      </c>
      <c r="H722" s="56">
        <f>60+100</f>
        <v>160</v>
      </c>
      <c r="I722" s="56">
        <f t="shared" si="112"/>
        <v>0</v>
      </c>
      <c r="J722" s="59">
        <v>100</v>
      </c>
      <c r="K722" s="59">
        <v>300</v>
      </c>
      <c r="L722" s="56">
        <f t="shared" si="117"/>
        <v>1150</v>
      </c>
      <c r="M722" s="66">
        <v>600</v>
      </c>
      <c r="N722" s="56">
        <f>100</f>
        <v>100</v>
      </c>
      <c r="O722" s="59">
        <v>240</v>
      </c>
      <c r="P722" s="59">
        <v>40</v>
      </c>
      <c r="Q722" s="59">
        <f t="shared" si="118"/>
        <v>315</v>
      </c>
      <c r="R722" s="59">
        <f t="shared" si="119"/>
        <v>100</v>
      </c>
      <c r="S722" s="56">
        <f t="shared" si="120"/>
        <v>695</v>
      </c>
      <c r="T722" s="56">
        <f>50</f>
        <v>50</v>
      </c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</row>
    <row r="723" spans="1:30" ht="15.75">
      <c r="A723" s="13">
        <v>63309</v>
      </c>
      <c r="B723" s="67">
        <f t="shared" si="116"/>
        <v>30</v>
      </c>
      <c r="C723" s="56">
        <f>141.293</f>
        <v>141.29300000000001</v>
      </c>
      <c r="D723" s="56">
        <f>267.993</f>
        <v>267.99299999999999</v>
      </c>
      <c r="E723" s="64">
        <f>115.016</f>
        <v>115.01600000000001</v>
      </c>
      <c r="F723" s="56">
        <f>314.698-40-25-60-100</f>
        <v>89.697999999999979</v>
      </c>
      <c r="G723" s="59">
        <v>40</v>
      </c>
      <c r="H723" s="56">
        <f t="shared" ref="H723:H729" si="121">25+60+100</f>
        <v>185</v>
      </c>
      <c r="I723" s="56">
        <f t="shared" si="112"/>
        <v>0</v>
      </c>
      <c r="J723" s="59">
        <v>100</v>
      </c>
      <c r="K723" s="59">
        <v>300</v>
      </c>
      <c r="L723" s="56">
        <f t="shared" si="117"/>
        <v>1239</v>
      </c>
      <c r="M723" s="66">
        <v>600</v>
      </c>
      <c r="N723" s="56">
        <f>100</f>
        <v>100</v>
      </c>
      <c r="O723" s="59">
        <v>240</v>
      </c>
      <c r="P723" s="59">
        <v>40</v>
      </c>
      <c r="Q723" s="59">
        <f t="shared" si="118"/>
        <v>315</v>
      </c>
      <c r="R723" s="59">
        <f t="shared" si="119"/>
        <v>100</v>
      </c>
      <c r="S723" s="56">
        <f t="shared" si="120"/>
        <v>695</v>
      </c>
      <c r="T723" s="56">
        <f>50</f>
        <v>50</v>
      </c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</row>
    <row r="724" spans="1:30" ht="15.75">
      <c r="A724" s="13">
        <v>63340</v>
      </c>
      <c r="B724" s="67">
        <f t="shared" si="116"/>
        <v>31</v>
      </c>
      <c r="C724" s="56">
        <f>194.205</f>
        <v>194.20500000000001</v>
      </c>
      <c r="D724" s="56">
        <f>267.466</f>
        <v>267.46600000000001</v>
      </c>
      <c r="E724" s="64">
        <f>133.845</f>
        <v>133.845</v>
      </c>
      <c r="F724" s="56">
        <f>278.484-40-25-60-100</f>
        <v>53.48399999999998</v>
      </c>
      <c r="G724" s="59">
        <v>40</v>
      </c>
      <c r="H724" s="56">
        <f t="shared" si="121"/>
        <v>185</v>
      </c>
      <c r="I724" s="56">
        <f t="shared" si="112"/>
        <v>0</v>
      </c>
      <c r="J724" s="59">
        <v>100</v>
      </c>
      <c r="K724" s="59">
        <v>300</v>
      </c>
      <c r="L724" s="56">
        <f t="shared" si="117"/>
        <v>1274</v>
      </c>
      <c r="M724" s="66">
        <v>600</v>
      </c>
      <c r="N724" s="56">
        <f>75</f>
        <v>75</v>
      </c>
      <c r="O724" s="59">
        <v>240</v>
      </c>
      <c r="P724" s="59">
        <v>40</v>
      </c>
      <c r="Q724" s="59">
        <f t="shared" si="118"/>
        <v>315</v>
      </c>
      <c r="R724" s="59">
        <f t="shared" si="119"/>
        <v>100</v>
      </c>
      <c r="S724" s="56">
        <f t="shared" si="120"/>
        <v>695</v>
      </c>
      <c r="T724" s="56">
        <f>50</f>
        <v>50</v>
      </c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</row>
    <row r="725" spans="1:30" ht="15.75">
      <c r="A725" s="13">
        <v>63370</v>
      </c>
      <c r="B725" s="67">
        <f t="shared" si="116"/>
        <v>30</v>
      </c>
      <c r="C725" s="56">
        <f>194.205</f>
        <v>194.20500000000001</v>
      </c>
      <c r="D725" s="56">
        <f>267.466</f>
        <v>267.46600000000001</v>
      </c>
      <c r="E725" s="64">
        <f>133.845</f>
        <v>133.845</v>
      </c>
      <c r="F725" s="56">
        <f>278.484-40-25-60-100</f>
        <v>53.48399999999998</v>
      </c>
      <c r="G725" s="59">
        <v>40</v>
      </c>
      <c r="H725" s="56">
        <f t="shared" si="121"/>
        <v>185</v>
      </c>
      <c r="I725" s="56">
        <f t="shared" si="112"/>
        <v>0</v>
      </c>
      <c r="J725" s="59">
        <v>100</v>
      </c>
      <c r="K725" s="59">
        <v>300</v>
      </c>
      <c r="L725" s="56">
        <f t="shared" si="117"/>
        <v>1274</v>
      </c>
      <c r="M725" s="66">
        <v>600</v>
      </c>
      <c r="N725" s="56">
        <f>30</f>
        <v>30</v>
      </c>
      <c r="O725" s="59">
        <v>240</v>
      </c>
      <c r="P725" s="59">
        <v>40</v>
      </c>
      <c r="Q725" s="59">
        <f t="shared" si="118"/>
        <v>315</v>
      </c>
      <c r="R725" s="59">
        <f t="shared" si="119"/>
        <v>100</v>
      </c>
      <c r="S725" s="56">
        <f t="shared" si="120"/>
        <v>695</v>
      </c>
      <c r="T725" s="56">
        <f>50</f>
        <v>50</v>
      </c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</row>
    <row r="726" spans="1:30" ht="15.75">
      <c r="A726" s="13">
        <v>63401</v>
      </c>
      <c r="B726" s="67">
        <f t="shared" si="116"/>
        <v>31</v>
      </c>
      <c r="C726" s="56">
        <f>194.205</f>
        <v>194.20500000000001</v>
      </c>
      <c r="D726" s="56">
        <f>267.466</f>
        <v>267.46600000000001</v>
      </c>
      <c r="E726" s="64">
        <f>133.845</f>
        <v>133.845</v>
      </c>
      <c r="F726" s="56">
        <f>278.484-40-25-60-100</f>
        <v>53.48399999999998</v>
      </c>
      <c r="G726" s="59">
        <v>40</v>
      </c>
      <c r="H726" s="56">
        <f t="shared" si="121"/>
        <v>185</v>
      </c>
      <c r="I726" s="56">
        <f t="shared" si="112"/>
        <v>0</v>
      </c>
      <c r="J726" s="59">
        <v>100</v>
      </c>
      <c r="K726" s="59">
        <v>300</v>
      </c>
      <c r="L726" s="56">
        <f t="shared" si="117"/>
        <v>1274</v>
      </c>
      <c r="M726" s="66">
        <v>600</v>
      </c>
      <c r="N726" s="56">
        <f>30</f>
        <v>30</v>
      </c>
      <c r="O726" s="59">
        <v>240</v>
      </c>
      <c r="P726" s="59">
        <v>40</v>
      </c>
      <c r="Q726" s="59">
        <f t="shared" si="118"/>
        <v>315</v>
      </c>
      <c r="R726" s="59">
        <f t="shared" si="119"/>
        <v>100</v>
      </c>
      <c r="S726" s="56">
        <f t="shared" si="120"/>
        <v>695</v>
      </c>
      <c r="T726" s="56">
        <f>0</f>
        <v>0</v>
      </c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</row>
    <row r="727" spans="1:30" ht="15.75">
      <c r="A727" s="13">
        <v>63432</v>
      </c>
      <c r="B727" s="67">
        <f t="shared" si="116"/>
        <v>31</v>
      </c>
      <c r="C727" s="56">
        <f>194.205</f>
        <v>194.20500000000001</v>
      </c>
      <c r="D727" s="56">
        <f>267.466</f>
        <v>267.46600000000001</v>
      </c>
      <c r="E727" s="64">
        <f>133.845</f>
        <v>133.845</v>
      </c>
      <c r="F727" s="56">
        <f>278.484-40-25-60-100</f>
        <v>53.48399999999998</v>
      </c>
      <c r="G727" s="59">
        <v>40</v>
      </c>
      <c r="H727" s="56">
        <f t="shared" si="121"/>
        <v>185</v>
      </c>
      <c r="I727" s="56">
        <f t="shared" si="112"/>
        <v>0</v>
      </c>
      <c r="J727" s="59">
        <v>100</v>
      </c>
      <c r="K727" s="59">
        <v>300</v>
      </c>
      <c r="L727" s="56">
        <f t="shared" si="117"/>
        <v>1274</v>
      </c>
      <c r="M727" s="66">
        <v>600</v>
      </c>
      <c r="N727" s="56">
        <f>30</f>
        <v>30</v>
      </c>
      <c r="O727" s="59">
        <v>240</v>
      </c>
      <c r="P727" s="59">
        <v>40</v>
      </c>
      <c r="Q727" s="59">
        <f t="shared" si="118"/>
        <v>315</v>
      </c>
      <c r="R727" s="59">
        <f t="shared" si="119"/>
        <v>100</v>
      </c>
      <c r="S727" s="56">
        <f t="shared" si="120"/>
        <v>695</v>
      </c>
      <c r="T727" s="56">
        <f>0</f>
        <v>0</v>
      </c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</row>
    <row r="728" spans="1:30" ht="15.75">
      <c r="A728" s="13">
        <v>63462</v>
      </c>
      <c r="B728" s="67">
        <f t="shared" si="116"/>
        <v>30</v>
      </c>
      <c r="C728" s="56">
        <f>194.205</f>
        <v>194.20500000000001</v>
      </c>
      <c r="D728" s="56">
        <f>267.466</f>
        <v>267.46600000000001</v>
      </c>
      <c r="E728" s="64">
        <f>133.845</f>
        <v>133.845</v>
      </c>
      <c r="F728" s="56">
        <f>278.484-40-25-60-100</f>
        <v>53.48399999999998</v>
      </c>
      <c r="G728" s="59">
        <v>40</v>
      </c>
      <c r="H728" s="56">
        <f t="shared" si="121"/>
        <v>185</v>
      </c>
      <c r="I728" s="56">
        <f t="shared" si="112"/>
        <v>0</v>
      </c>
      <c r="J728" s="59">
        <v>100</v>
      </c>
      <c r="K728" s="59">
        <v>300</v>
      </c>
      <c r="L728" s="56">
        <f t="shared" si="117"/>
        <v>1274</v>
      </c>
      <c r="M728" s="66">
        <v>600</v>
      </c>
      <c r="N728" s="56">
        <f>30</f>
        <v>30</v>
      </c>
      <c r="O728" s="59">
        <v>240</v>
      </c>
      <c r="P728" s="59">
        <v>40</v>
      </c>
      <c r="Q728" s="59">
        <f t="shared" si="118"/>
        <v>315</v>
      </c>
      <c r="R728" s="59">
        <f t="shared" si="119"/>
        <v>100</v>
      </c>
      <c r="S728" s="56">
        <f t="shared" si="120"/>
        <v>695</v>
      </c>
      <c r="T728" s="56">
        <f>0</f>
        <v>0</v>
      </c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</row>
    <row r="729" spans="1:30" ht="15.75">
      <c r="A729" s="13">
        <v>63493</v>
      </c>
      <c r="B729" s="67">
        <f t="shared" si="116"/>
        <v>31</v>
      </c>
      <c r="C729" s="56">
        <f>131.881</f>
        <v>131.881</v>
      </c>
      <c r="D729" s="56">
        <f>277.167</f>
        <v>277.16699999999997</v>
      </c>
      <c r="E729" s="64">
        <f>79.08</f>
        <v>79.08</v>
      </c>
      <c r="F729" s="56">
        <f>350.872-40-25-60-100</f>
        <v>125.87200000000001</v>
      </c>
      <c r="G729" s="59">
        <v>40</v>
      </c>
      <c r="H729" s="56">
        <f t="shared" si="121"/>
        <v>185</v>
      </c>
      <c r="I729" s="56">
        <f t="shared" si="112"/>
        <v>0</v>
      </c>
      <c r="J729" s="59">
        <v>100</v>
      </c>
      <c r="K729" s="59">
        <v>300</v>
      </c>
      <c r="L729" s="56">
        <f t="shared" si="117"/>
        <v>1239</v>
      </c>
      <c r="M729" s="66">
        <v>600</v>
      </c>
      <c r="N729" s="56">
        <f>75</f>
        <v>75</v>
      </c>
      <c r="O729" s="59">
        <v>240</v>
      </c>
      <c r="P729" s="59">
        <v>40</v>
      </c>
      <c r="Q729" s="59">
        <f t="shared" si="118"/>
        <v>315</v>
      </c>
      <c r="R729" s="59">
        <f t="shared" si="119"/>
        <v>100</v>
      </c>
      <c r="S729" s="56">
        <f t="shared" si="120"/>
        <v>695</v>
      </c>
      <c r="T729" s="56">
        <f>0</f>
        <v>0</v>
      </c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</row>
    <row r="730" spans="1:30" ht="15.75">
      <c r="A730" s="13">
        <v>63523</v>
      </c>
      <c r="B730" s="67">
        <f t="shared" si="116"/>
        <v>30</v>
      </c>
      <c r="C730" s="56">
        <f>122.58</f>
        <v>122.58</v>
      </c>
      <c r="D730" s="56">
        <f>297.941</f>
        <v>297.94099999999997</v>
      </c>
      <c r="E730" s="64">
        <f>89.177</f>
        <v>89.177000000000007</v>
      </c>
      <c r="F730" s="56">
        <f>240.302-40-60-100</f>
        <v>40.301999999999992</v>
      </c>
      <c r="G730" s="59">
        <v>40</v>
      </c>
      <c r="H730" s="56">
        <f>60+100</f>
        <v>160</v>
      </c>
      <c r="I730" s="56">
        <f t="shared" si="112"/>
        <v>0</v>
      </c>
      <c r="J730" s="59">
        <v>100</v>
      </c>
      <c r="K730" s="59">
        <v>300</v>
      </c>
      <c r="L730" s="56">
        <f t="shared" si="117"/>
        <v>1150</v>
      </c>
      <c r="M730" s="66">
        <v>600</v>
      </c>
      <c r="N730" s="56">
        <f>100</f>
        <v>100</v>
      </c>
      <c r="O730" s="59">
        <v>240</v>
      </c>
      <c r="P730" s="59">
        <v>40</v>
      </c>
      <c r="Q730" s="59">
        <f t="shared" si="118"/>
        <v>315</v>
      </c>
      <c r="R730" s="59">
        <f t="shared" si="119"/>
        <v>100</v>
      </c>
      <c r="S730" s="56">
        <f t="shared" si="120"/>
        <v>695</v>
      </c>
      <c r="T730" s="56">
        <f>50</f>
        <v>50</v>
      </c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</row>
    <row r="731" spans="1:30" ht="15.75">
      <c r="A731" s="13">
        <v>63554</v>
      </c>
      <c r="B731" s="67">
        <f t="shared" si="116"/>
        <v>31</v>
      </c>
      <c r="C731" s="56">
        <f>122.58</f>
        <v>122.58</v>
      </c>
      <c r="D731" s="56">
        <f>297.941</f>
        <v>297.94099999999997</v>
      </c>
      <c r="E731" s="64">
        <f>89.177</f>
        <v>89.177000000000007</v>
      </c>
      <c r="F731" s="56">
        <f>240.302-40-60-100</f>
        <v>40.301999999999992</v>
      </c>
      <c r="G731" s="59">
        <v>40</v>
      </c>
      <c r="H731" s="56">
        <f>60+100</f>
        <v>160</v>
      </c>
      <c r="I731" s="56">
        <f t="shared" si="112"/>
        <v>0</v>
      </c>
      <c r="J731" s="59">
        <v>100</v>
      </c>
      <c r="K731" s="59">
        <v>300</v>
      </c>
      <c r="L731" s="56">
        <f t="shared" si="117"/>
        <v>1150</v>
      </c>
      <c r="M731" s="66">
        <v>600</v>
      </c>
      <c r="N731" s="56">
        <f>100</f>
        <v>100</v>
      </c>
      <c r="O731" s="59">
        <v>240</v>
      </c>
      <c r="P731" s="59">
        <v>40</v>
      </c>
      <c r="Q731" s="59">
        <f t="shared" si="118"/>
        <v>315</v>
      </c>
      <c r="R731" s="59">
        <f t="shared" si="119"/>
        <v>100</v>
      </c>
      <c r="S731" s="56">
        <f t="shared" si="120"/>
        <v>695</v>
      </c>
      <c r="T731" s="56">
        <f>50</f>
        <v>50</v>
      </c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</row>
    <row r="732" spans="1:30" ht="15.75">
      <c r="A732" s="13">
        <v>63585</v>
      </c>
      <c r="B732" s="67">
        <f t="shared" si="116"/>
        <v>31</v>
      </c>
      <c r="C732" s="56">
        <f>122.58</f>
        <v>122.58</v>
      </c>
      <c r="D732" s="56">
        <f>297.941</f>
        <v>297.94099999999997</v>
      </c>
      <c r="E732" s="64">
        <f>89.177</f>
        <v>89.177000000000007</v>
      </c>
      <c r="F732" s="56">
        <f>240.302-40-60-100</f>
        <v>40.301999999999992</v>
      </c>
      <c r="G732" s="59">
        <v>40</v>
      </c>
      <c r="H732" s="56">
        <f>60+100</f>
        <v>160</v>
      </c>
      <c r="I732" s="56">
        <f t="shared" si="112"/>
        <v>0</v>
      </c>
      <c r="J732" s="59">
        <v>100</v>
      </c>
      <c r="K732" s="59">
        <v>300</v>
      </c>
      <c r="L732" s="56">
        <f t="shared" si="117"/>
        <v>1150</v>
      </c>
      <c r="M732" s="66">
        <v>600</v>
      </c>
      <c r="N732" s="56">
        <f>100</f>
        <v>100</v>
      </c>
      <c r="O732" s="59">
        <v>240</v>
      </c>
      <c r="P732" s="59">
        <v>40</v>
      </c>
      <c r="Q732" s="59">
        <f t="shared" si="118"/>
        <v>315</v>
      </c>
      <c r="R732" s="59">
        <f t="shared" si="119"/>
        <v>100</v>
      </c>
      <c r="S732" s="56">
        <f t="shared" si="120"/>
        <v>695</v>
      </c>
      <c r="T732" s="56">
        <f>50</f>
        <v>50</v>
      </c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</row>
    <row r="733" spans="1:30" ht="15.75">
      <c r="A733" s="13">
        <v>63613</v>
      </c>
      <c r="B733" s="67">
        <f t="shared" si="116"/>
        <v>28</v>
      </c>
      <c r="C733" s="56">
        <f>122.58</f>
        <v>122.58</v>
      </c>
      <c r="D733" s="56">
        <f>297.941</f>
        <v>297.94099999999997</v>
      </c>
      <c r="E733" s="64">
        <f>89.177</f>
        <v>89.177000000000007</v>
      </c>
      <c r="F733" s="56">
        <f>240.302-40-60-100</f>
        <v>40.301999999999992</v>
      </c>
      <c r="G733" s="59">
        <v>40</v>
      </c>
      <c r="H733" s="56">
        <f>60+100</f>
        <v>160</v>
      </c>
      <c r="I733" s="56">
        <f t="shared" si="112"/>
        <v>0</v>
      </c>
      <c r="J733" s="59">
        <v>100</v>
      </c>
      <c r="K733" s="59">
        <v>300</v>
      </c>
      <c r="L733" s="56">
        <f t="shared" si="117"/>
        <v>1150</v>
      </c>
      <c r="M733" s="66">
        <v>600</v>
      </c>
      <c r="N733" s="56">
        <f>100</f>
        <v>100</v>
      </c>
      <c r="O733" s="59">
        <v>240</v>
      </c>
      <c r="P733" s="59">
        <v>40</v>
      </c>
      <c r="Q733" s="59">
        <f t="shared" si="118"/>
        <v>315</v>
      </c>
      <c r="R733" s="59">
        <f t="shared" si="119"/>
        <v>100</v>
      </c>
      <c r="S733" s="56">
        <f t="shared" si="120"/>
        <v>695</v>
      </c>
      <c r="T733" s="56">
        <f>50</f>
        <v>50</v>
      </c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</row>
    <row r="734" spans="1:30" ht="15.75">
      <c r="A734" s="13">
        <v>63644</v>
      </c>
      <c r="B734" s="67">
        <f t="shared" si="116"/>
        <v>31</v>
      </c>
      <c r="C734" s="56">
        <f>122.58</f>
        <v>122.58</v>
      </c>
      <c r="D734" s="56">
        <f>297.941</f>
        <v>297.94099999999997</v>
      </c>
      <c r="E734" s="64">
        <f>89.177</f>
        <v>89.177000000000007</v>
      </c>
      <c r="F734" s="56">
        <f>240.302-40-60-100</f>
        <v>40.301999999999992</v>
      </c>
      <c r="G734" s="59">
        <v>40</v>
      </c>
      <c r="H734" s="56">
        <f>60+100</f>
        <v>160</v>
      </c>
      <c r="I734" s="56">
        <f t="shared" si="112"/>
        <v>0</v>
      </c>
      <c r="J734" s="59">
        <v>100</v>
      </c>
      <c r="K734" s="59">
        <v>300</v>
      </c>
      <c r="L734" s="56">
        <f t="shared" si="117"/>
        <v>1150</v>
      </c>
      <c r="M734" s="66">
        <v>600</v>
      </c>
      <c r="N734" s="56">
        <f>100</f>
        <v>100</v>
      </c>
      <c r="O734" s="59">
        <v>240</v>
      </c>
      <c r="P734" s="59">
        <v>40</v>
      </c>
      <c r="Q734" s="59">
        <f t="shared" si="118"/>
        <v>315</v>
      </c>
      <c r="R734" s="59">
        <f t="shared" si="119"/>
        <v>100</v>
      </c>
      <c r="S734" s="56">
        <f t="shared" si="120"/>
        <v>695</v>
      </c>
      <c r="T734" s="56">
        <f>50</f>
        <v>50</v>
      </c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</row>
    <row r="735" spans="1:30" ht="15.75">
      <c r="A735" s="13">
        <v>63674</v>
      </c>
      <c r="B735" s="67">
        <f t="shared" si="116"/>
        <v>30</v>
      </c>
      <c r="C735" s="56">
        <f>141.293</f>
        <v>141.29300000000001</v>
      </c>
      <c r="D735" s="56">
        <f>267.993</f>
        <v>267.99299999999999</v>
      </c>
      <c r="E735" s="64">
        <f>115.016</f>
        <v>115.01600000000001</v>
      </c>
      <c r="F735" s="56">
        <f>314.698-40-25-60-100</f>
        <v>89.697999999999979</v>
      </c>
      <c r="G735" s="59">
        <v>40</v>
      </c>
      <c r="H735" s="56">
        <f t="shared" ref="H735:H741" si="122">25+60+100</f>
        <v>185</v>
      </c>
      <c r="I735" s="56">
        <f t="shared" si="112"/>
        <v>0</v>
      </c>
      <c r="J735" s="59">
        <v>100</v>
      </c>
      <c r="K735" s="59">
        <v>300</v>
      </c>
      <c r="L735" s="56">
        <f t="shared" si="117"/>
        <v>1239</v>
      </c>
      <c r="M735" s="66">
        <v>600</v>
      </c>
      <c r="N735" s="56">
        <f>100</f>
        <v>100</v>
      </c>
      <c r="O735" s="59">
        <v>240</v>
      </c>
      <c r="P735" s="59">
        <v>40</v>
      </c>
      <c r="Q735" s="59">
        <f t="shared" si="118"/>
        <v>315</v>
      </c>
      <c r="R735" s="59">
        <f t="shared" si="119"/>
        <v>100</v>
      </c>
      <c r="S735" s="56">
        <f t="shared" si="120"/>
        <v>695</v>
      </c>
      <c r="T735" s="56">
        <f>50</f>
        <v>50</v>
      </c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</row>
    <row r="736" spans="1:30" ht="15.75">
      <c r="A736" s="13">
        <v>63705</v>
      </c>
      <c r="B736" s="67">
        <f t="shared" si="116"/>
        <v>31</v>
      </c>
      <c r="C736" s="56">
        <f>194.205</f>
        <v>194.20500000000001</v>
      </c>
      <c r="D736" s="56">
        <f>267.466</f>
        <v>267.46600000000001</v>
      </c>
      <c r="E736" s="64">
        <f>133.845</f>
        <v>133.845</v>
      </c>
      <c r="F736" s="56">
        <f>278.484-40-25-60-100</f>
        <v>53.48399999999998</v>
      </c>
      <c r="G736" s="59">
        <v>40</v>
      </c>
      <c r="H736" s="56">
        <f t="shared" si="122"/>
        <v>185</v>
      </c>
      <c r="I736" s="56">
        <f t="shared" si="112"/>
        <v>0</v>
      </c>
      <c r="J736" s="59">
        <v>100</v>
      </c>
      <c r="K736" s="59">
        <v>300</v>
      </c>
      <c r="L736" s="56">
        <f t="shared" si="117"/>
        <v>1274</v>
      </c>
      <c r="M736" s="66">
        <v>600</v>
      </c>
      <c r="N736" s="56">
        <f>75</f>
        <v>75</v>
      </c>
      <c r="O736" s="59">
        <v>240</v>
      </c>
      <c r="P736" s="59">
        <v>40</v>
      </c>
      <c r="Q736" s="59">
        <f t="shared" si="118"/>
        <v>315</v>
      </c>
      <c r="R736" s="59">
        <f t="shared" si="119"/>
        <v>100</v>
      </c>
      <c r="S736" s="56">
        <f t="shared" si="120"/>
        <v>695</v>
      </c>
      <c r="T736" s="56">
        <f>50</f>
        <v>50</v>
      </c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</row>
    <row r="737" spans="1:30" ht="15.75">
      <c r="A737" s="13">
        <v>63735</v>
      </c>
      <c r="B737" s="67">
        <f t="shared" si="116"/>
        <v>30</v>
      </c>
      <c r="C737" s="56">
        <f>194.205</f>
        <v>194.20500000000001</v>
      </c>
      <c r="D737" s="56">
        <f>267.466</f>
        <v>267.46600000000001</v>
      </c>
      <c r="E737" s="64">
        <f>133.845</f>
        <v>133.845</v>
      </c>
      <c r="F737" s="56">
        <f>278.484-40-25-60-100</f>
        <v>53.48399999999998</v>
      </c>
      <c r="G737" s="59">
        <v>40</v>
      </c>
      <c r="H737" s="56">
        <f t="shared" si="122"/>
        <v>185</v>
      </c>
      <c r="I737" s="56">
        <f t="shared" si="112"/>
        <v>0</v>
      </c>
      <c r="J737" s="59">
        <v>100</v>
      </c>
      <c r="K737" s="59">
        <v>300</v>
      </c>
      <c r="L737" s="56">
        <f t="shared" si="117"/>
        <v>1274</v>
      </c>
      <c r="M737" s="66">
        <v>600</v>
      </c>
      <c r="N737" s="56">
        <f>30</f>
        <v>30</v>
      </c>
      <c r="O737" s="59">
        <v>240</v>
      </c>
      <c r="P737" s="59">
        <v>40</v>
      </c>
      <c r="Q737" s="59">
        <f t="shared" si="118"/>
        <v>315</v>
      </c>
      <c r="R737" s="59">
        <f t="shared" si="119"/>
        <v>100</v>
      </c>
      <c r="S737" s="56">
        <f t="shared" si="120"/>
        <v>695</v>
      </c>
      <c r="T737" s="56">
        <f>50</f>
        <v>50</v>
      </c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</row>
    <row r="738" spans="1:30" ht="15.75">
      <c r="A738" s="13">
        <v>63766</v>
      </c>
      <c r="B738" s="67">
        <f t="shared" si="116"/>
        <v>31</v>
      </c>
      <c r="C738" s="56">
        <f>194.205</f>
        <v>194.20500000000001</v>
      </c>
      <c r="D738" s="56">
        <f>267.466</f>
        <v>267.46600000000001</v>
      </c>
      <c r="E738" s="64">
        <f>133.845</f>
        <v>133.845</v>
      </c>
      <c r="F738" s="56">
        <f>278.484-40-25-60-100</f>
        <v>53.48399999999998</v>
      </c>
      <c r="G738" s="59">
        <v>40</v>
      </c>
      <c r="H738" s="56">
        <f t="shared" si="122"/>
        <v>185</v>
      </c>
      <c r="I738" s="56">
        <f t="shared" si="112"/>
        <v>0</v>
      </c>
      <c r="J738" s="59">
        <v>100</v>
      </c>
      <c r="K738" s="59">
        <v>300</v>
      </c>
      <c r="L738" s="56">
        <f t="shared" si="117"/>
        <v>1274</v>
      </c>
      <c r="M738" s="66">
        <v>600</v>
      </c>
      <c r="N738" s="56">
        <f>30</f>
        <v>30</v>
      </c>
      <c r="O738" s="59">
        <v>240</v>
      </c>
      <c r="P738" s="59">
        <v>40</v>
      </c>
      <c r="Q738" s="59">
        <f t="shared" si="118"/>
        <v>315</v>
      </c>
      <c r="R738" s="59">
        <f t="shared" si="119"/>
        <v>100</v>
      </c>
      <c r="S738" s="56">
        <f t="shared" si="120"/>
        <v>695</v>
      </c>
      <c r="T738" s="56">
        <f>0</f>
        <v>0</v>
      </c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</row>
    <row r="739" spans="1:30" ht="15.75">
      <c r="A739" s="13">
        <v>63797</v>
      </c>
      <c r="B739" s="67">
        <f t="shared" si="116"/>
        <v>31</v>
      </c>
      <c r="C739" s="56">
        <f>194.205</f>
        <v>194.20500000000001</v>
      </c>
      <c r="D739" s="56">
        <f>267.466</f>
        <v>267.46600000000001</v>
      </c>
      <c r="E739" s="64">
        <f>133.845</f>
        <v>133.845</v>
      </c>
      <c r="F739" s="56">
        <f>278.484-40-25-60-100</f>
        <v>53.48399999999998</v>
      </c>
      <c r="G739" s="59">
        <v>40</v>
      </c>
      <c r="H739" s="56">
        <f t="shared" si="122"/>
        <v>185</v>
      </c>
      <c r="I739" s="56">
        <f t="shared" si="112"/>
        <v>0</v>
      </c>
      <c r="J739" s="59">
        <v>100</v>
      </c>
      <c r="K739" s="59">
        <v>300</v>
      </c>
      <c r="L739" s="56">
        <f t="shared" si="117"/>
        <v>1274</v>
      </c>
      <c r="M739" s="66">
        <v>600</v>
      </c>
      <c r="N739" s="56">
        <f>30</f>
        <v>30</v>
      </c>
      <c r="O739" s="59">
        <v>240</v>
      </c>
      <c r="P739" s="59">
        <v>40</v>
      </c>
      <c r="Q739" s="59">
        <f t="shared" si="118"/>
        <v>315</v>
      </c>
      <c r="R739" s="59">
        <f t="shared" si="119"/>
        <v>100</v>
      </c>
      <c r="S739" s="56">
        <f t="shared" si="120"/>
        <v>695</v>
      </c>
      <c r="T739" s="56">
        <f>0</f>
        <v>0</v>
      </c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</row>
    <row r="740" spans="1:30" ht="15.75">
      <c r="A740" s="13">
        <v>63827</v>
      </c>
      <c r="B740" s="67">
        <f t="shared" si="116"/>
        <v>30</v>
      </c>
      <c r="C740" s="56">
        <f>194.205</f>
        <v>194.20500000000001</v>
      </c>
      <c r="D740" s="56">
        <f>267.466</f>
        <v>267.46600000000001</v>
      </c>
      <c r="E740" s="64">
        <f>133.845</f>
        <v>133.845</v>
      </c>
      <c r="F740" s="56">
        <f>278.484-40-25-60-100</f>
        <v>53.48399999999998</v>
      </c>
      <c r="G740" s="59">
        <v>40</v>
      </c>
      <c r="H740" s="56">
        <f t="shared" si="122"/>
        <v>185</v>
      </c>
      <c r="I740" s="56">
        <f t="shared" si="112"/>
        <v>0</v>
      </c>
      <c r="J740" s="59">
        <v>100</v>
      </c>
      <c r="K740" s="59">
        <v>300</v>
      </c>
      <c r="L740" s="56">
        <f t="shared" si="117"/>
        <v>1274</v>
      </c>
      <c r="M740" s="66">
        <v>600</v>
      </c>
      <c r="N740" s="56">
        <f>30</f>
        <v>30</v>
      </c>
      <c r="O740" s="59">
        <v>240</v>
      </c>
      <c r="P740" s="59">
        <v>40</v>
      </c>
      <c r="Q740" s="59">
        <f t="shared" si="118"/>
        <v>315</v>
      </c>
      <c r="R740" s="59">
        <f t="shared" si="119"/>
        <v>100</v>
      </c>
      <c r="S740" s="56">
        <f t="shared" si="120"/>
        <v>695</v>
      </c>
      <c r="T740" s="56">
        <f>0</f>
        <v>0</v>
      </c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</row>
    <row r="741" spans="1:30" ht="15.75">
      <c r="A741" s="13">
        <v>63858</v>
      </c>
      <c r="B741" s="67">
        <f t="shared" si="116"/>
        <v>31</v>
      </c>
      <c r="C741" s="56">
        <f>131.881</f>
        <v>131.881</v>
      </c>
      <c r="D741" s="56">
        <f>277.167</f>
        <v>277.16699999999997</v>
      </c>
      <c r="E741" s="64">
        <f>79.08</f>
        <v>79.08</v>
      </c>
      <c r="F741" s="56">
        <f>350.872-40-25-60-100</f>
        <v>125.87200000000001</v>
      </c>
      <c r="G741" s="59">
        <v>40</v>
      </c>
      <c r="H741" s="56">
        <f t="shared" si="122"/>
        <v>185</v>
      </c>
      <c r="I741" s="56">
        <f t="shared" si="112"/>
        <v>0</v>
      </c>
      <c r="J741" s="59">
        <v>100</v>
      </c>
      <c r="K741" s="59">
        <v>300</v>
      </c>
      <c r="L741" s="56">
        <f t="shared" si="117"/>
        <v>1239</v>
      </c>
      <c r="M741" s="66">
        <v>600</v>
      </c>
      <c r="N741" s="56">
        <f>75</f>
        <v>75</v>
      </c>
      <c r="O741" s="59">
        <v>240</v>
      </c>
      <c r="P741" s="59">
        <v>40</v>
      </c>
      <c r="Q741" s="59">
        <f t="shared" si="118"/>
        <v>315</v>
      </c>
      <c r="R741" s="59">
        <f t="shared" si="119"/>
        <v>100</v>
      </c>
      <c r="S741" s="56">
        <f t="shared" si="120"/>
        <v>695</v>
      </c>
      <c r="T741" s="56">
        <f>0</f>
        <v>0</v>
      </c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</row>
    <row r="742" spans="1:30" ht="15.75">
      <c r="A742" s="13">
        <v>63888</v>
      </c>
      <c r="B742" s="67">
        <f t="shared" si="116"/>
        <v>30</v>
      </c>
      <c r="C742" s="56">
        <f>122.58</f>
        <v>122.58</v>
      </c>
      <c r="D742" s="56">
        <f>297.941</f>
        <v>297.94099999999997</v>
      </c>
      <c r="E742" s="64">
        <f>89.177</f>
        <v>89.177000000000007</v>
      </c>
      <c r="F742" s="56">
        <f>240.302-40-60-100</f>
        <v>40.301999999999992</v>
      </c>
      <c r="G742" s="59">
        <v>40</v>
      </c>
      <c r="H742" s="56">
        <f>60+100</f>
        <v>160</v>
      </c>
      <c r="I742" s="56">
        <f t="shared" si="112"/>
        <v>0</v>
      </c>
      <c r="J742" s="59">
        <v>100</v>
      </c>
      <c r="K742" s="59">
        <v>300</v>
      </c>
      <c r="L742" s="56">
        <f t="shared" si="117"/>
        <v>1150</v>
      </c>
      <c r="M742" s="66">
        <v>600</v>
      </c>
      <c r="N742" s="56">
        <f>100</f>
        <v>100</v>
      </c>
      <c r="O742" s="59">
        <v>240</v>
      </c>
      <c r="P742" s="59">
        <v>40</v>
      </c>
      <c r="Q742" s="59">
        <f t="shared" si="118"/>
        <v>315</v>
      </c>
      <c r="R742" s="59">
        <f t="shared" si="119"/>
        <v>100</v>
      </c>
      <c r="S742" s="56">
        <f t="shared" si="120"/>
        <v>695</v>
      </c>
      <c r="T742" s="56">
        <f>50</f>
        <v>50</v>
      </c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</row>
    <row r="743" spans="1:30" ht="15.75">
      <c r="A743" s="13">
        <v>63919</v>
      </c>
      <c r="B743" s="67">
        <f t="shared" si="116"/>
        <v>31</v>
      </c>
      <c r="C743" s="56">
        <f>122.58</f>
        <v>122.58</v>
      </c>
      <c r="D743" s="56">
        <f>297.941</f>
        <v>297.94099999999997</v>
      </c>
      <c r="E743" s="64">
        <f>89.177</f>
        <v>89.177000000000007</v>
      </c>
      <c r="F743" s="56">
        <f>240.302-40-60-100</f>
        <v>40.301999999999992</v>
      </c>
      <c r="G743" s="59">
        <v>40</v>
      </c>
      <c r="H743" s="56">
        <f>60+100</f>
        <v>160</v>
      </c>
      <c r="I743" s="56">
        <f t="shared" si="112"/>
        <v>0</v>
      </c>
      <c r="J743" s="59">
        <v>100</v>
      </c>
      <c r="K743" s="59">
        <v>300</v>
      </c>
      <c r="L743" s="56">
        <f t="shared" si="117"/>
        <v>1150</v>
      </c>
      <c r="M743" s="66">
        <v>600</v>
      </c>
      <c r="N743" s="56">
        <f>100</f>
        <v>100</v>
      </c>
      <c r="O743" s="59">
        <v>240</v>
      </c>
      <c r="P743" s="59">
        <v>40</v>
      </c>
      <c r="Q743" s="59">
        <f t="shared" si="118"/>
        <v>315</v>
      </c>
      <c r="R743" s="59">
        <f t="shared" si="119"/>
        <v>100</v>
      </c>
      <c r="S743" s="56">
        <f t="shared" si="120"/>
        <v>695</v>
      </c>
      <c r="T743" s="56">
        <f>50</f>
        <v>50</v>
      </c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</row>
    <row r="744" spans="1:30" ht="15.75">
      <c r="A744" s="13">
        <v>63950</v>
      </c>
      <c r="B744" s="67">
        <f t="shared" si="116"/>
        <v>31</v>
      </c>
      <c r="C744" s="56">
        <f>122.58</f>
        <v>122.58</v>
      </c>
      <c r="D744" s="56">
        <f>297.941</f>
        <v>297.94099999999997</v>
      </c>
      <c r="E744" s="64">
        <f>89.177</f>
        <v>89.177000000000007</v>
      </c>
      <c r="F744" s="56">
        <f>240.302-40-60-100</f>
        <v>40.301999999999992</v>
      </c>
      <c r="G744" s="59">
        <v>40</v>
      </c>
      <c r="H744" s="56">
        <f>60+100</f>
        <v>160</v>
      </c>
      <c r="I744" s="56">
        <f t="shared" ref="I744:I807" si="123">400-J744-K744</f>
        <v>0</v>
      </c>
      <c r="J744" s="59">
        <v>100</v>
      </c>
      <c r="K744" s="59">
        <v>300</v>
      </c>
      <c r="L744" s="56">
        <f t="shared" si="117"/>
        <v>1150</v>
      </c>
      <c r="M744" s="66">
        <v>600</v>
      </c>
      <c r="N744" s="56">
        <f>100</f>
        <v>100</v>
      </c>
      <c r="O744" s="59">
        <v>240</v>
      </c>
      <c r="P744" s="59">
        <v>40</v>
      </c>
      <c r="Q744" s="59">
        <f t="shared" si="118"/>
        <v>315</v>
      </c>
      <c r="R744" s="59">
        <f t="shared" si="119"/>
        <v>100</v>
      </c>
      <c r="S744" s="56">
        <f t="shared" si="120"/>
        <v>695</v>
      </c>
      <c r="T744" s="56">
        <f>50</f>
        <v>50</v>
      </c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</row>
    <row r="745" spans="1:30" ht="15.75">
      <c r="A745" s="13">
        <v>63978</v>
      </c>
      <c r="B745" s="67">
        <f t="shared" si="116"/>
        <v>28</v>
      </c>
      <c r="C745" s="56">
        <f>122.58</f>
        <v>122.58</v>
      </c>
      <c r="D745" s="56">
        <f>297.941</f>
        <v>297.94099999999997</v>
      </c>
      <c r="E745" s="64">
        <f>89.177</f>
        <v>89.177000000000007</v>
      </c>
      <c r="F745" s="56">
        <f>240.302-40-60-100</f>
        <v>40.301999999999992</v>
      </c>
      <c r="G745" s="59">
        <v>40</v>
      </c>
      <c r="H745" s="56">
        <f>60+100</f>
        <v>160</v>
      </c>
      <c r="I745" s="56">
        <f t="shared" si="123"/>
        <v>0</v>
      </c>
      <c r="J745" s="59">
        <v>100</v>
      </c>
      <c r="K745" s="59">
        <v>300</v>
      </c>
      <c r="L745" s="56">
        <f t="shared" si="117"/>
        <v>1150</v>
      </c>
      <c r="M745" s="66">
        <v>600</v>
      </c>
      <c r="N745" s="56">
        <f>100</f>
        <v>100</v>
      </c>
      <c r="O745" s="59">
        <v>240</v>
      </c>
      <c r="P745" s="59">
        <v>40</v>
      </c>
      <c r="Q745" s="59">
        <f t="shared" si="118"/>
        <v>315</v>
      </c>
      <c r="R745" s="59">
        <f t="shared" si="119"/>
        <v>100</v>
      </c>
      <c r="S745" s="56">
        <f t="shared" si="120"/>
        <v>695</v>
      </c>
      <c r="T745" s="56">
        <f>50</f>
        <v>50</v>
      </c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</row>
    <row r="746" spans="1:30" ht="15.75">
      <c r="A746" s="13">
        <v>64009</v>
      </c>
      <c r="B746" s="67">
        <f t="shared" si="116"/>
        <v>31</v>
      </c>
      <c r="C746" s="56">
        <f>122.58</f>
        <v>122.58</v>
      </c>
      <c r="D746" s="56">
        <f>297.941</f>
        <v>297.94099999999997</v>
      </c>
      <c r="E746" s="64">
        <f>89.177</f>
        <v>89.177000000000007</v>
      </c>
      <c r="F746" s="56">
        <f>240.302-40-60-100</f>
        <v>40.301999999999992</v>
      </c>
      <c r="G746" s="59">
        <v>40</v>
      </c>
      <c r="H746" s="56">
        <f>60+100</f>
        <v>160</v>
      </c>
      <c r="I746" s="56">
        <f t="shared" si="123"/>
        <v>0</v>
      </c>
      <c r="J746" s="59">
        <v>100</v>
      </c>
      <c r="K746" s="59">
        <v>300</v>
      </c>
      <c r="L746" s="56">
        <f t="shared" si="117"/>
        <v>1150</v>
      </c>
      <c r="M746" s="66">
        <v>600</v>
      </c>
      <c r="N746" s="56">
        <f>100</f>
        <v>100</v>
      </c>
      <c r="O746" s="59">
        <v>240</v>
      </c>
      <c r="P746" s="59">
        <v>40</v>
      </c>
      <c r="Q746" s="59">
        <f t="shared" si="118"/>
        <v>315</v>
      </c>
      <c r="R746" s="59">
        <f t="shared" si="119"/>
        <v>100</v>
      </c>
      <c r="S746" s="56">
        <f t="shared" si="120"/>
        <v>695</v>
      </c>
      <c r="T746" s="56">
        <f>50</f>
        <v>50</v>
      </c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</row>
    <row r="747" spans="1:30" ht="15.75">
      <c r="A747" s="13">
        <v>64039</v>
      </c>
      <c r="B747" s="67">
        <f t="shared" si="116"/>
        <v>30</v>
      </c>
      <c r="C747" s="56">
        <f>141.293</f>
        <v>141.29300000000001</v>
      </c>
      <c r="D747" s="56">
        <f>267.993</f>
        <v>267.99299999999999</v>
      </c>
      <c r="E747" s="64">
        <f>115.016</f>
        <v>115.01600000000001</v>
      </c>
      <c r="F747" s="56">
        <f>314.698-40-25-60-100</f>
        <v>89.697999999999979</v>
      </c>
      <c r="G747" s="59">
        <v>40</v>
      </c>
      <c r="H747" s="56">
        <f t="shared" ref="H747:H753" si="124">25+60+100</f>
        <v>185</v>
      </c>
      <c r="I747" s="56">
        <f t="shared" si="123"/>
        <v>0</v>
      </c>
      <c r="J747" s="59">
        <v>100</v>
      </c>
      <c r="K747" s="59">
        <v>300</v>
      </c>
      <c r="L747" s="56">
        <f t="shared" si="117"/>
        <v>1239</v>
      </c>
      <c r="M747" s="66">
        <v>600</v>
      </c>
      <c r="N747" s="56">
        <f>100</f>
        <v>100</v>
      </c>
      <c r="O747" s="59">
        <v>240</v>
      </c>
      <c r="P747" s="59">
        <v>40</v>
      </c>
      <c r="Q747" s="59">
        <f t="shared" si="118"/>
        <v>315</v>
      </c>
      <c r="R747" s="59">
        <f t="shared" si="119"/>
        <v>100</v>
      </c>
      <c r="S747" s="56">
        <f t="shared" si="120"/>
        <v>695</v>
      </c>
      <c r="T747" s="56">
        <f>50</f>
        <v>50</v>
      </c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</row>
    <row r="748" spans="1:30" ht="15.75">
      <c r="A748" s="13">
        <v>64070</v>
      </c>
      <c r="B748" s="67">
        <f t="shared" si="116"/>
        <v>31</v>
      </c>
      <c r="C748" s="56">
        <f>194.205</f>
        <v>194.20500000000001</v>
      </c>
      <c r="D748" s="56">
        <f>267.466</f>
        <v>267.46600000000001</v>
      </c>
      <c r="E748" s="64">
        <f>133.845</f>
        <v>133.845</v>
      </c>
      <c r="F748" s="56">
        <f>278.484-40-25-60-100</f>
        <v>53.48399999999998</v>
      </c>
      <c r="G748" s="59">
        <v>40</v>
      </c>
      <c r="H748" s="56">
        <f t="shared" si="124"/>
        <v>185</v>
      </c>
      <c r="I748" s="56">
        <f t="shared" si="123"/>
        <v>0</v>
      </c>
      <c r="J748" s="59">
        <v>100</v>
      </c>
      <c r="K748" s="59">
        <v>300</v>
      </c>
      <c r="L748" s="56">
        <f t="shared" si="117"/>
        <v>1274</v>
      </c>
      <c r="M748" s="66">
        <v>600</v>
      </c>
      <c r="N748" s="56">
        <f>75</f>
        <v>75</v>
      </c>
      <c r="O748" s="59">
        <v>240</v>
      </c>
      <c r="P748" s="59">
        <v>40</v>
      </c>
      <c r="Q748" s="59">
        <f t="shared" si="118"/>
        <v>315</v>
      </c>
      <c r="R748" s="59">
        <f t="shared" si="119"/>
        <v>100</v>
      </c>
      <c r="S748" s="56">
        <f t="shared" si="120"/>
        <v>695</v>
      </c>
      <c r="T748" s="56">
        <f>50</f>
        <v>50</v>
      </c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</row>
    <row r="749" spans="1:30" ht="15.75">
      <c r="A749" s="13">
        <v>64100</v>
      </c>
      <c r="B749" s="67">
        <f t="shared" si="116"/>
        <v>30</v>
      </c>
      <c r="C749" s="56">
        <f>194.205</f>
        <v>194.20500000000001</v>
      </c>
      <c r="D749" s="56">
        <f>267.466</f>
        <v>267.46600000000001</v>
      </c>
      <c r="E749" s="64">
        <f>133.845</f>
        <v>133.845</v>
      </c>
      <c r="F749" s="56">
        <f>278.484-40-25-60-100</f>
        <v>53.48399999999998</v>
      </c>
      <c r="G749" s="59">
        <v>40</v>
      </c>
      <c r="H749" s="56">
        <f t="shared" si="124"/>
        <v>185</v>
      </c>
      <c r="I749" s="56">
        <f t="shared" si="123"/>
        <v>0</v>
      </c>
      <c r="J749" s="59">
        <v>100</v>
      </c>
      <c r="K749" s="59">
        <v>300</v>
      </c>
      <c r="L749" s="56">
        <f t="shared" si="117"/>
        <v>1274</v>
      </c>
      <c r="M749" s="66">
        <v>600</v>
      </c>
      <c r="N749" s="56">
        <f>30</f>
        <v>30</v>
      </c>
      <c r="O749" s="59">
        <v>240</v>
      </c>
      <c r="P749" s="59">
        <v>40</v>
      </c>
      <c r="Q749" s="59">
        <f t="shared" si="118"/>
        <v>315</v>
      </c>
      <c r="R749" s="59">
        <f t="shared" si="119"/>
        <v>100</v>
      </c>
      <c r="S749" s="56">
        <f t="shared" si="120"/>
        <v>695</v>
      </c>
      <c r="T749" s="56">
        <f>50</f>
        <v>50</v>
      </c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</row>
    <row r="750" spans="1:30" ht="15.75">
      <c r="A750" s="13">
        <v>64131</v>
      </c>
      <c r="B750" s="67">
        <f t="shared" si="116"/>
        <v>31</v>
      </c>
      <c r="C750" s="56">
        <f>194.205</f>
        <v>194.20500000000001</v>
      </c>
      <c r="D750" s="56">
        <f>267.466</f>
        <v>267.46600000000001</v>
      </c>
      <c r="E750" s="64">
        <f>133.845</f>
        <v>133.845</v>
      </c>
      <c r="F750" s="56">
        <f>278.484-40-25-60-100</f>
        <v>53.48399999999998</v>
      </c>
      <c r="G750" s="59">
        <v>40</v>
      </c>
      <c r="H750" s="56">
        <f t="shared" si="124"/>
        <v>185</v>
      </c>
      <c r="I750" s="56">
        <f t="shared" si="123"/>
        <v>0</v>
      </c>
      <c r="J750" s="59">
        <v>100</v>
      </c>
      <c r="K750" s="59">
        <v>300</v>
      </c>
      <c r="L750" s="56">
        <f t="shared" si="117"/>
        <v>1274</v>
      </c>
      <c r="M750" s="66">
        <v>600</v>
      </c>
      <c r="N750" s="56">
        <f>30</f>
        <v>30</v>
      </c>
      <c r="O750" s="59">
        <v>240</v>
      </c>
      <c r="P750" s="59">
        <v>40</v>
      </c>
      <c r="Q750" s="59">
        <f t="shared" si="118"/>
        <v>315</v>
      </c>
      <c r="R750" s="59">
        <f t="shared" si="119"/>
        <v>100</v>
      </c>
      <c r="S750" s="56">
        <f t="shared" si="120"/>
        <v>695</v>
      </c>
      <c r="T750" s="56">
        <f>0</f>
        <v>0</v>
      </c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</row>
    <row r="751" spans="1:30" ht="15.75">
      <c r="A751" s="13">
        <v>64162</v>
      </c>
      <c r="B751" s="67">
        <f t="shared" si="116"/>
        <v>31</v>
      </c>
      <c r="C751" s="56">
        <f>194.205</f>
        <v>194.20500000000001</v>
      </c>
      <c r="D751" s="56">
        <f>267.466</f>
        <v>267.46600000000001</v>
      </c>
      <c r="E751" s="64">
        <f>133.845</f>
        <v>133.845</v>
      </c>
      <c r="F751" s="56">
        <f>278.484-40-25-60-100</f>
        <v>53.48399999999998</v>
      </c>
      <c r="G751" s="59">
        <v>40</v>
      </c>
      <c r="H751" s="56">
        <f t="shared" si="124"/>
        <v>185</v>
      </c>
      <c r="I751" s="56">
        <f t="shared" si="123"/>
        <v>0</v>
      </c>
      <c r="J751" s="59">
        <v>100</v>
      </c>
      <c r="K751" s="59">
        <v>300</v>
      </c>
      <c r="L751" s="56">
        <f t="shared" si="117"/>
        <v>1274</v>
      </c>
      <c r="M751" s="66">
        <v>600</v>
      </c>
      <c r="N751" s="56">
        <f>30</f>
        <v>30</v>
      </c>
      <c r="O751" s="59">
        <v>240</v>
      </c>
      <c r="P751" s="59">
        <v>40</v>
      </c>
      <c r="Q751" s="59">
        <f t="shared" si="118"/>
        <v>315</v>
      </c>
      <c r="R751" s="59">
        <f t="shared" si="119"/>
        <v>100</v>
      </c>
      <c r="S751" s="56">
        <f t="shared" si="120"/>
        <v>695</v>
      </c>
      <c r="T751" s="56">
        <f>0</f>
        <v>0</v>
      </c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</row>
    <row r="752" spans="1:30" ht="15.75">
      <c r="A752" s="13">
        <v>64192</v>
      </c>
      <c r="B752" s="67">
        <f t="shared" si="116"/>
        <v>30</v>
      </c>
      <c r="C752" s="56">
        <f>194.205</f>
        <v>194.20500000000001</v>
      </c>
      <c r="D752" s="56">
        <f>267.466</f>
        <v>267.46600000000001</v>
      </c>
      <c r="E752" s="64">
        <f>133.845</f>
        <v>133.845</v>
      </c>
      <c r="F752" s="56">
        <f>278.484-40-25-60-100</f>
        <v>53.48399999999998</v>
      </c>
      <c r="G752" s="59">
        <v>40</v>
      </c>
      <c r="H752" s="56">
        <f t="shared" si="124"/>
        <v>185</v>
      </c>
      <c r="I752" s="56">
        <f t="shared" si="123"/>
        <v>0</v>
      </c>
      <c r="J752" s="59">
        <v>100</v>
      </c>
      <c r="K752" s="59">
        <v>300</v>
      </c>
      <c r="L752" s="56">
        <f t="shared" si="117"/>
        <v>1274</v>
      </c>
      <c r="M752" s="66">
        <v>600</v>
      </c>
      <c r="N752" s="56">
        <f>30</f>
        <v>30</v>
      </c>
      <c r="O752" s="59">
        <v>240</v>
      </c>
      <c r="P752" s="59">
        <v>40</v>
      </c>
      <c r="Q752" s="59">
        <f t="shared" si="118"/>
        <v>315</v>
      </c>
      <c r="R752" s="59">
        <f t="shared" si="119"/>
        <v>100</v>
      </c>
      <c r="S752" s="56">
        <f t="shared" si="120"/>
        <v>695</v>
      </c>
      <c r="T752" s="56">
        <f>0</f>
        <v>0</v>
      </c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</row>
    <row r="753" spans="1:30" ht="15.75">
      <c r="A753" s="13">
        <v>64223</v>
      </c>
      <c r="B753" s="67">
        <f t="shared" si="116"/>
        <v>31</v>
      </c>
      <c r="C753" s="56">
        <f>131.881</f>
        <v>131.881</v>
      </c>
      <c r="D753" s="56">
        <f>277.167</f>
        <v>277.16699999999997</v>
      </c>
      <c r="E753" s="64">
        <f>79.08</f>
        <v>79.08</v>
      </c>
      <c r="F753" s="56">
        <f>350.872-40-25-60-100</f>
        <v>125.87200000000001</v>
      </c>
      <c r="G753" s="59">
        <v>40</v>
      </c>
      <c r="H753" s="56">
        <f t="shared" si="124"/>
        <v>185</v>
      </c>
      <c r="I753" s="56">
        <f t="shared" si="123"/>
        <v>0</v>
      </c>
      <c r="J753" s="59">
        <v>100</v>
      </c>
      <c r="K753" s="59">
        <v>300</v>
      </c>
      <c r="L753" s="56">
        <f t="shared" si="117"/>
        <v>1239</v>
      </c>
      <c r="M753" s="66">
        <v>600</v>
      </c>
      <c r="N753" s="56">
        <f>75</f>
        <v>75</v>
      </c>
      <c r="O753" s="59">
        <v>240</v>
      </c>
      <c r="P753" s="59">
        <v>40</v>
      </c>
      <c r="Q753" s="59">
        <f t="shared" si="118"/>
        <v>315</v>
      </c>
      <c r="R753" s="59">
        <f t="shared" si="119"/>
        <v>100</v>
      </c>
      <c r="S753" s="56">
        <f t="shared" si="120"/>
        <v>695</v>
      </c>
      <c r="T753" s="56">
        <f>0</f>
        <v>0</v>
      </c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</row>
    <row r="754" spans="1:30" ht="15.75">
      <c r="A754" s="13">
        <v>64253</v>
      </c>
      <c r="B754" s="67">
        <f t="shared" si="116"/>
        <v>30</v>
      </c>
      <c r="C754" s="56">
        <f>122.58</f>
        <v>122.58</v>
      </c>
      <c r="D754" s="56">
        <f>297.941</f>
        <v>297.94099999999997</v>
      </c>
      <c r="E754" s="64">
        <f>89.177</f>
        <v>89.177000000000007</v>
      </c>
      <c r="F754" s="56">
        <f>240.302-40-60-100</f>
        <v>40.301999999999992</v>
      </c>
      <c r="G754" s="59">
        <v>40</v>
      </c>
      <c r="H754" s="56">
        <f>60+100</f>
        <v>160</v>
      </c>
      <c r="I754" s="56">
        <f t="shared" si="123"/>
        <v>0</v>
      </c>
      <c r="J754" s="59">
        <v>100</v>
      </c>
      <c r="K754" s="59">
        <v>300</v>
      </c>
      <c r="L754" s="56">
        <f t="shared" si="117"/>
        <v>1150</v>
      </c>
      <c r="M754" s="66">
        <v>600</v>
      </c>
      <c r="N754" s="56">
        <f>100</f>
        <v>100</v>
      </c>
      <c r="O754" s="59">
        <v>240</v>
      </c>
      <c r="P754" s="59">
        <v>40</v>
      </c>
      <c r="Q754" s="59">
        <f t="shared" si="118"/>
        <v>315</v>
      </c>
      <c r="R754" s="59">
        <f t="shared" si="119"/>
        <v>100</v>
      </c>
      <c r="S754" s="56">
        <f t="shared" si="120"/>
        <v>695</v>
      </c>
      <c r="T754" s="56">
        <f>50</f>
        <v>50</v>
      </c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</row>
    <row r="755" spans="1:30" ht="15.75">
      <c r="A755" s="13">
        <v>64284</v>
      </c>
      <c r="B755" s="67">
        <f t="shared" si="116"/>
        <v>31</v>
      </c>
      <c r="C755" s="56">
        <f>122.58</f>
        <v>122.58</v>
      </c>
      <c r="D755" s="56">
        <f>297.941</f>
        <v>297.94099999999997</v>
      </c>
      <c r="E755" s="64">
        <f>89.177</f>
        <v>89.177000000000007</v>
      </c>
      <c r="F755" s="56">
        <f>240.302-40-60-100</f>
        <v>40.301999999999992</v>
      </c>
      <c r="G755" s="59">
        <v>40</v>
      </c>
      <c r="H755" s="56">
        <f>60+100</f>
        <v>160</v>
      </c>
      <c r="I755" s="56">
        <f t="shared" si="123"/>
        <v>0</v>
      </c>
      <c r="J755" s="59">
        <v>100</v>
      </c>
      <c r="K755" s="59">
        <v>300</v>
      </c>
      <c r="L755" s="56">
        <f t="shared" si="117"/>
        <v>1150</v>
      </c>
      <c r="M755" s="66">
        <v>600</v>
      </c>
      <c r="N755" s="56">
        <f>100</f>
        <v>100</v>
      </c>
      <c r="O755" s="59">
        <v>240</v>
      </c>
      <c r="P755" s="59">
        <v>40</v>
      </c>
      <c r="Q755" s="59">
        <f t="shared" si="118"/>
        <v>315</v>
      </c>
      <c r="R755" s="59">
        <f t="shared" si="119"/>
        <v>100</v>
      </c>
      <c r="S755" s="56">
        <f t="shared" si="120"/>
        <v>695</v>
      </c>
      <c r="T755" s="56">
        <f>50</f>
        <v>50</v>
      </c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</row>
    <row r="756" spans="1:30" ht="15.75">
      <c r="A756" s="13">
        <v>64315</v>
      </c>
      <c r="B756" s="67">
        <f t="shared" si="116"/>
        <v>31</v>
      </c>
      <c r="C756" s="56">
        <f>122.58</f>
        <v>122.58</v>
      </c>
      <c r="D756" s="56">
        <f>297.941</f>
        <v>297.94099999999997</v>
      </c>
      <c r="E756" s="64">
        <f>89.177</f>
        <v>89.177000000000007</v>
      </c>
      <c r="F756" s="56">
        <f>240.302-40-60-100</f>
        <v>40.301999999999992</v>
      </c>
      <c r="G756" s="59">
        <v>40</v>
      </c>
      <c r="H756" s="56">
        <f>60+100</f>
        <v>160</v>
      </c>
      <c r="I756" s="56">
        <f t="shared" si="123"/>
        <v>0</v>
      </c>
      <c r="J756" s="59">
        <v>100</v>
      </c>
      <c r="K756" s="59">
        <v>300</v>
      </c>
      <c r="L756" s="56">
        <f t="shared" si="117"/>
        <v>1150</v>
      </c>
      <c r="M756" s="66">
        <v>600</v>
      </c>
      <c r="N756" s="56">
        <f>100</f>
        <v>100</v>
      </c>
      <c r="O756" s="59">
        <v>240</v>
      </c>
      <c r="P756" s="59">
        <v>40</v>
      </c>
      <c r="Q756" s="59">
        <f t="shared" si="118"/>
        <v>315</v>
      </c>
      <c r="R756" s="59">
        <f t="shared" si="119"/>
        <v>100</v>
      </c>
      <c r="S756" s="56">
        <f t="shared" si="120"/>
        <v>695</v>
      </c>
      <c r="T756" s="56">
        <f>50</f>
        <v>50</v>
      </c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</row>
    <row r="757" spans="1:30" ht="15.75">
      <c r="A757" s="13">
        <v>64344</v>
      </c>
      <c r="B757" s="67">
        <f t="shared" si="116"/>
        <v>29</v>
      </c>
      <c r="C757" s="56">
        <f>122.58</f>
        <v>122.58</v>
      </c>
      <c r="D757" s="56">
        <f>297.941</f>
        <v>297.94099999999997</v>
      </c>
      <c r="E757" s="64">
        <f>89.177</f>
        <v>89.177000000000007</v>
      </c>
      <c r="F757" s="56">
        <f>240.302-40-60-100</f>
        <v>40.301999999999992</v>
      </c>
      <c r="G757" s="59">
        <v>40</v>
      </c>
      <c r="H757" s="56">
        <f>60+100</f>
        <v>160</v>
      </c>
      <c r="I757" s="56">
        <f t="shared" si="123"/>
        <v>0</v>
      </c>
      <c r="J757" s="59">
        <v>100</v>
      </c>
      <c r="K757" s="59">
        <v>300</v>
      </c>
      <c r="L757" s="56">
        <f t="shared" si="117"/>
        <v>1150</v>
      </c>
      <c r="M757" s="66">
        <v>600</v>
      </c>
      <c r="N757" s="56">
        <f>100</f>
        <v>100</v>
      </c>
      <c r="O757" s="59">
        <v>240</v>
      </c>
      <c r="P757" s="59">
        <v>40</v>
      </c>
      <c r="Q757" s="59">
        <f t="shared" si="118"/>
        <v>315</v>
      </c>
      <c r="R757" s="59">
        <f t="shared" si="119"/>
        <v>100</v>
      </c>
      <c r="S757" s="56">
        <f t="shared" si="120"/>
        <v>695</v>
      </c>
      <c r="T757" s="56">
        <f>50</f>
        <v>50</v>
      </c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</row>
    <row r="758" spans="1:30" ht="15.75">
      <c r="A758" s="13">
        <v>64375</v>
      </c>
      <c r="B758" s="67">
        <f t="shared" si="116"/>
        <v>31</v>
      </c>
      <c r="C758" s="56">
        <f>122.58</f>
        <v>122.58</v>
      </c>
      <c r="D758" s="56">
        <f>297.941</f>
        <v>297.94099999999997</v>
      </c>
      <c r="E758" s="64">
        <f>89.177</f>
        <v>89.177000000000007</v>
      </c>
      <c r="F758" s="56">
        <f>240.302-40-60-100</f>
        <v>40.301999999999992</v>
      </c>
      <c r="G758" s="59">
        <v>40</v>
      </c>
      <c r="H758" s="56">
        <f>60+100</f>
        <v>160</v>
      </c>
      <c r="I758" s="56">
        <f t="shared" si="123"/>
        <v>0</v>
      </c>
      <c r="J758" s="59">
        <v>100</v>
      </c>
      <c r="K758" s="59">
        <v>300</v>
      </c>
      <c r="L758" s="56">
        <f t="shared" si="117"/>
        <v>1150</v>
      </c>
      <c r="M758" s="66">
        <v>600</v>
      </c>
      <c r="N758" s="56">
        <f>100</f>
        <v>100</v>
      </c>
      <c r="O758" s="59">
        <v>240</v>
      </c>
      <c r="P758" s="59">
        <v>40</v>
      </c>
      <c r="Q758" s="59">
        <f t="shared" si="118"/>
        <v>315</v>
      </c>
      <c r="R758" s="59">
        <f t="shared" si="119"/>
        <v>100</v>
      </c>
      <c r="S758" s="56">
        <f t="shared" si="120"/>
        <v>695</v>
      </c>
      <c r="T758" s="56">
        <f>50</f>
        <v>50</v>
      </c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</row>
    <row r="759" spans="1:30" ht="15.75">
      <c r="A759" s="13">
        <v>64405</v>
      </c>
      <c r="B759" s="67">
        <f t="shared" si="116"/>
        <v>30</v>
      </c>
      <c r="C759" s="56">
        <f>141.293</f>
        <v>141.29300000000001</v>
      </c>
      <c r="D759" s="56">
        <f>267.993</f>
        <v>267.99299999999999</v>
      </c>
      <c r="E759" s="64">
        <f>115.016</f>
        <v>115.01600000000001</v>
      </c>
      <c r="F759" s="56">
        <f>314.698-40-25-60-100</f>
        <v>89.697999999999979</v>
      </c>
      <c r="G759" s="59">
        <v>40</v>
      </c>
      <c r="H759" s="56">
        <f t="shared" ref="H759:H765" si="125">25+60+100</f>
        <v>185</v>
      </c>
      <c r="I759" s="56">
        <f t="shared" si="123"/>
        <v>0</v>
      </c>
      <c r="J759" s="59">
        <v>100</v>
      </c>
      <c r="K759" s="59">
        <v>300</v>
      </c>
      <c r="L759" s="56">
        <f t="shared" si="117"/>
        <v>1239</v>
      </c>
      <c r="M759" s="66">
        <v>600</v>
      </c>
      <c r="N759" s="56">
        <f>100</f>
        <v>100</v>
      </c>
      <c r="O759" s="59">
        <v>240</v>
      </c>
      <c r="P759" s="59">
        <v>40</v>
      </c>
      <c r="Q759" s="59">
        <f t="shared" si="118"/>
        <v>315</v>
      </c>
      <c r="R759" s="59">
        <f t="shared" si="119"/>
        <v>100</v>
      </c>
      <c r="S759" s="56">
        <f t="shared" si="120"/>
        <v>695</v>
      </c>
      <c r="T759" s="56">
        <f>50</f>
        <v>50</v>
      </c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</row>
    <row r="760" spans="1:30" ht="15.75">
      <c r="A760" s="13">
        <v>64436</v>
      </c>
      <c r="B760" s="67">
        <f t="shared" si="116"/>
        <v>31</v>
      </c>
      <c r="C760" s="56">
        <f>194.205</f>
        <v>194.20500000000001</v>
      </c>
      <c r="D760" s="56">
        <f>267.466</f>
        <v>267.46600000000001</v>
      </c>
      <c r="E760" s="64">
        <f>133.845</f>
        <v>133.845</v>
      </c>
      <c r="F760" s="56">
        <f>278.484-40-25-60-100</f>
        <v>53.48399999999998</v>
      </c>
      <c r="G760" s="59">
        <v>40</v>
      </c>
      <c r="H760" s="56">
        <f t="shared" si="125"/>
        <v>185</v>
      </c>
      <c r="I760" s="56">
        <f t="shared" si="123"/>
        <v>0</v>
      </c>
      <c r="J760" s="59">
        <v>100</v>
      </c>
      <c r="K760" s="59">
        <v>300</v>
      </c>
      <c r="L760" s="56">
        <f t="shared" si="117"/>
        <v>1274</v>
      </c>
      <c r="M760" s="66">
        <v>600</v>
      </c>
      <c r="N760" s="56">
        <f>75</f>
        <v>75</v>
      </c>
      <c r="O760" s="59">
        <v>240</v>
      </c>
      <c r="P760" s="59">
        <v>40</v>
      </c>
      <c r="Q760" s="59">
        <f t="shared" si="118"/>
        <v>315</v>
      </c>
      <c r="R760" s="59">
        <f t="shared" si="119"/>
        <v>100</v>
      </c>
      <c r="S760" s="56">
        <f t="shared" si="120"/>
        <v>695</v>
      </c>
      <c r="T760" s="56">
        <f>50</f>
        <v>50</v>
      </c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</row>
    <row r="761" spans="1:30" ht="15.75">
      <c r="A761" s="13">
        <v>64466</v>
      </c>
      <c r="B761" s="67">
        <f t="shared" si="116"/>
        <v>30</v>
      </c>
      <c r="C761" s="56">
        <f>194.205</f>
        <v>194.20500000000001</v>
      </c>
      <c r="D761" s="56">
        <f>267.466</f>
        <v>267.46600000000001</v>
      </c>
      <c r="E761" s="64">
        <f>133.845</f>
        <v>133.845</v>
      </c>
      <c r="F761" s="56">
        <f>278.484-40-25-60-100</f>
        <v>53.48399999999998</v>
      </c>
      <c r="G761" s="59">
        <v>40</v>
      </c>
      <c r="H761" s="56">
        <f t="shared" si="125"/>
        <v>185</v>
      </c>
      <c r="I761" s="56">
        <f t="shared" si="123"/>
        <v>0</v>
      </c>
      <c r="J761" s="59">
        <v>100</v>
      </c>
      <c r="K761" s="59">
        <v>300</v>
      </c>
      <c r="L761" s="56">
        <f t="shared" si="117"/>
        <v>1274</v>
      </c>
      <c r="M761" s="66">
        <v>600</v>
      </c>
      <c r="N761" s="56">
        <f>30</f>
        <v>30</v>
      </c>
      <c r="O761" s="59">
        <v>240</v>
      </c>
      <c r="P761" s="59">
        <v>40</v>
      </c>
      <c r="Q761" s="59">
        <f t="shared" si="118"/>
        <v>315</v>
      </c>
      <c r="R761" s="59">
        <f t="shared" si="119"/>
        <v>100</v>
      </c>
      <c r="S761" s="56">
        <f t="shared" si="120"/>
        <v>695</v>
      </c>
      <c r="T761" s="56">
        <f>50</f>
        <v>50</v>
      </c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</row>
    <row r="762" spans="1:30" ht="15.75">
      <c r="A762" s="13">
        <v>64497</v>
      </c>
      <c r="B762" s="67">
        <f t="shared" si="116"/>
        <v>31</v>
      </c>
      <c r="C762" s="56">
        <f>194.205</f>
        <v>194.20500000000001</v>
      </c>
      <c r="D762" s="56">
        <f>267.466</f>
        <v>267.46600000000001</v>
      </c>
      <c r="E762" s="64">
        <f>133.845</f>
        <v>133.845</v>
      </c>
      <c r="F762" s="56">
        <f>278.484-40-25-60-100</f>
        <v>53.48399999999998</v>
      </c>
      <c r="G762" s="59">
        <v>40</v>
      </c>
      <c r="H762" s="56">
        <f t="shared" si="125"/>
        <v>185</v>
      </c>
      <c r="I762" s="56">
        <f t="shared" si="123"/>
        <v>0</v>
      </c>
      <c r="J762" s="59">
        <v>100</v>
      </c>
      <c r="K762" s="59">
        <v>300</v>
      </c>
      <c r="L762" s="56">
        <f t="shared" si="117"/>
        <v>1274</v>
      </c>
      <c r="M762" s="66">
        <v>600</v>
      </c>
      <c r="N762" s="56">
        <f>30</f>
        <v>30</v>
      </c>
      <c r="O762" s="59">
        <v>240</v>
      </c>
      <c r="P762" s="59">
        <v>40</v>
      </c>
      <c r="Q762" s="59">
        <f t="shared" si="118"/>
        <v>315</v>
      </c>
      <c r="R762" s="59">
        <f t="shared" si="119"/>
        <v>100</v>
      </c>
      <c r="S762" s="56">
        <f t="shared" si="120"/>
        <v>695</v>
      </c>
      <c r="T762" s="56">
        <f>0</f>
        <v>0</v>
      </c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</row>
    <row r="763" spans="1:30" ht="15.75">
      <c r="A763" s="13">
        <v>64528</v>
      </c>
      <c r="B763" s="67">
        <f t="shared" si="116"/>
        <v>31</v>
      </c>
      <c r="C763" s="56">
        <f>194.205</f>
        <v>194.20500000000001</v>
      </c>
      <c r="D763" s="56">
        <f>267.466</f>
        <v>267.46600000000001</v>
      </c>
      <c r="E763" s="64">
        <f>133.845</f>
        <v>133.845</v>
      </c>
      <c r="F763" s="56">
        <f>278.484-40-25-60-100</f>
        <v>53.48399999999998</v>
      </c>
      <c r="G763" s="59">
        <v>40</v>
      </c>
      <c r="H763" s="56">
        <f t="shared" si="125"/>
        <v>185</v>
      </c>
      <c r="I763" s="56">
        <f t="shared" si="123"/>
        <v>0</v>
      </c>
      <c r="J763" s="59">
        <v>100</v>
      </c>
      <c r="K763" s="59">
        <v>300</v>
      </c>
      <c r="L763" s="56">
        <f t="shared" si="117"/>
        <v>1274</v>
      </c>
      <c r="M763" s="66">
        <v>600</v>
      </c>
      <c r="N763" s="56">
        <f>30</f>
        <v>30</v>
      </c>
      <c r="O763" s="59">
        <v>240</v>
      </c>
      <c r="P763" s="59">
        <v>40</v>
      </c>
      <c r="Q763" s="59">
        <f t="shared" si="118"/>
        <v>315</v>
      </c>
      <c r="R763" s="59">
        <f t="shared" si="119"/>
        <v>100</v>
      </c>
      <c r="S763" s="56">
        <f t="shared" si="120"/>
        <v>695</v>
      </c>
      <c r="T763" s="56">
        <f>0</f>
        <v>0</v>
      </c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</row>
    <row r="764" spans="1:30" ht="15.75">
      <c r="A764" s="13">
        <v>64558</v>
      </c>
      <c r="B764" s="67">
        <f t="shared" si="116"/>
        <v>30</v>
      </c>
      <c r="C764" s="56">
        <f>194.205</f>
        <v>194.20500000000001</v>
      </c>
      <c r="D764" s="56">
        <f>267.466</f>
        <v>267.46600000000001</v>
      </c>
      <c r="E764" s="64">
        <f>133.845</f>
        <v>133.845</v>
      </c>
      <c r="F764" s="56">
        <f>278.484-40-25-60-100</f>
        <v>53.48399999999998</v>
      </c>
      <c r="G764" s="59">
        <v>40</v>
      </c>
      <c r="H764" s="56">
        <f t="shared" si="125"/>
        <v>185</v>
      </c>
      <c r="I764" s="56">
        <f t="shared" si="123"/>
        <v>0</v>
      </c>
      <c r="J764" s="59">
        <v>100</v>
      </c>
      <c r="K764" s="59">
        <v>300</v>
      </c>
      <c r="L764" s="56">
        <f t="shared" si="117"/>
        <v>1274</v>
      </c>
      <c r="M764" s="66">
        <v>600</v>
      </c>
      <c r="N764" s="56">
        <f>30</f>
        <v>30</v>
      </c>
      <c r="O764" s="59">
        <v>240</v>
      </c>
      <c r="P764" s="59">
        <v>40</v>
      </c>
      <c r="Q764" s="59">
        <f t="shared" si="118"/>
        <v>315</v>
      </c>
      <c r="R764" s="59">
        <f t="shared" si="119"/>
        <v>100</v>
      </c>
      <c r="S764" s="56">
        <f t="shared" si="120"/>
        <v>695</v>
      </c>
      <c r="T764" s="56">
        <f>0</f>
        <v>0</v>
      </c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</row>
    <row r="765" spans="1:30" ht="15.75">
      <c r="A765" s="13">
        <v>64589</v>
      </c>
      <c r="B765" s="67">
        <f t="shared" si="116"/>
        <v>31</v>
      </c>
      <c r="C765" s="56">
        <f>131.881</f>
        <v>131.881</v>
      </c>
      <c r="D765" s="56">
        <f>277.167</f>
        <v>277.16699999999997</v>
      </c>
      <c r="E765" s="64">
        <f>79.08</f>
        <v>79.08</v>
      </c>
      <c r="F765" s="56">
        <f>350.872-40-25-60-100</f>
        <v>125.87200000000001</v>
      </c>
      <c r="G765" s="59">
        <v>40</v>
      </c>
      <c r="H765" s="56">
        <f t="shared" si="125"/>
        <v>185</v>
      </c>
      <c r="I765" s="56">
        <f t="shared" si="123"/>
        <v>0</v>
      </c>
      <c r="J765" s="59">
        <v>100</v>
      </c>
      <c r="K765" s="59">
        <v>300</v>
      </c>
      <c r="L765" s="56">
        <f t="shared" si="117"/>
        <v>1239</v>
      </c>
      <c r="M765" s="66">
        <v>600</v>
      </c>
      <c r="N765" s="56">
        <f>75</f>
        <v>75</v>
      </c>
      <c r="O765" s="59">
        <v>240</v>
      </c>
      <c r="P765" s="59">
        <v>40</v>
      </c>
      <c r="Q765" s="59">
        <f t="shared" si="118"/>
        <v>315</v>
      </c>
      <c r="R765" s="59">
        <f t="shared" si="119"/>
        <v>100</v>
      </c>
      <c r="S765" s="56">
        <f t="shared" si="120"/>
        <v>695</v>
      </c>
      <c r="T765" s="56">
        <f>0</f>
        <v>0</v>
      </c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</row>
    <row r="766" spans="1:30" ht="15.75">
      <c r="A766" s="13">
        <v>64619</v>
      </c>
      <c r="B766" s="67">
        <f t="shared" si="116"/>
        <v>30</v>
      </c>
      <c r="C766" s="56">
        <f>122.58</f>
        <v>122.58</v>
      </c>
      <c r="D766" s="56">
        <f>297.941</f>
        <v>297.94099999999997</v>
      </c>
      <c r="E766" s="64">
        <f>89.177</f>
        <v>89.177000000000007</v>
      </c>
      <c r="F766" s="56">
        <f>240.302-40-60-100</f>
        <v>40.301999999999992</v>
      </c>
      <c r="G766" s="59">
        <v>40</v>
      </c>
      <c r="H766" s="56">
        <f>60+100</f>
        <v>160</v>
      </c>
      <c r="I766" s="56">
        <f t="shared" si="123"/>
        <v>0</v>
      </c>
      <c r="J766" s="59">
        <v>100</v>
      </c>
      <c r="K766" s="59">
        <v>300</v>
      </c>
      <c r="L766" s="56">
        <f t="shared" si="117"/>
        <v>1150</v>
      </c>
      <c r="M766" s="66">
        <v>600</v>
      </c>
      <c r="N766" s="56">
        <f>100</f>
        <v>100</v>
      </c>
      <c r="O766" s="59">
        <v>240</v>
      </c>
      <c r="P766" s="59">
        <v>40</v>
      </c>
      <c r="Q766" s="59">
        <f t="shared" si="118"/>
        <v>315</v>
      </c>
      <c r="R766" s="59">
        <f t="shared" si="119"/>
        <v>100</v>
      </c>
      <c r="S766" s="56">
        <f t="shared" si="120"/>
        <v>695</v>
      </c>
      <c r="T766" s="56">
        <f>50</f>
        <v>50</v>
      </c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</row>
    <row r="767" spans="1:30" ht="15.75">
      <c r="A767" s="13">
        <v>64650</v>
      </c>
      <c r="B767" s="67">
        <f t="shared" si="116"/>
        <v>31</v>
      </c>
      <c r="C767" s="56">
        <f>122.58</f>
        <v>122.58</v>
      </c>
      <c r="D767" s="56">
        <f>297.941</f>
        <v>297.94099999999997</v>
      </c>
      <c r="E767" s="64">
        <f>89.177</f>
        <v>89.177000000000007</v>
      </c>
      <c r="F767" s="56">
        <f>240.302-40-60-100</f>
        <v>40.301999999999992</v>
      </c>
      <c r="G767" s="59">
        <v>40</v>
      </c>
      <c r="H767" s="56">
        <f>60+100</f>
        <v>160</v>
      </c>
      <c r="I767" s="56">
        <f t="shared" si="123"/>
        <v>0</v>
      </c>
      <c r="J767" s="59">
        <v>100</v>
      </c>
      <c r="K767" s="59">
        <v>300</v>
      </c>
      <c r="L767" s="56">
        <f t="shared" si="117"/>
        <v>1150</v>
      </c>
      <c r="M767" s="66">
        <v>600</v>
      </c>
      <c r="N767" s="56">
        <f>100</f>
        <v>100</v>
      </c>
      <c r="O767" s="59">
        <v>240</v>
      </c>
      <c r="P767" s="59">
        <v>40</v>
      </c>
      <c r="Q767" s="59">
        <f t="shared" si="118"/>
        <v>315</v>
      </c>
      <c r="R767" s="59">
        <f t="shared" si="119"/>
        <v>100</v>
      </c>
      <c r="S767" s="56">
        <f t="shared" si="120"/>
        <v>695</v>
      </c>
      <c r="T767" s="56">
        <f>50</f>
        <v>50</v>
      </c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</row>
    <row r="768" spans="1:30" ht="15.75">
      <c r="A768" s="13">
        <v>64681</v>
      </c>
      <c r="B768" s="67">
        <f t="shared" si="116"/>
        <v>31</v>
      </c>
      <c r="C768" s="56">
        <f>122.58</f>
        <v>122.58</v>
      </c>
      <c r="D768" s="56">
        <f>297.941</f>
        <v>297.94099999999997</v>
      </c>
      <c r="E768" s="64">
        <f>89.177</f>
        <v>89.177000000000007</v>
      </c>
      <c r="F768" s="56">
        <f>240.302-40-60-100</f>
        <v>40.301999999999992</v>
      </c>
      <c r="G768" s="59">
        <v>40</v>
      </c>
      <c r="H768" s="56">
        <f>60+100</f>
        <v>160</v>
      </c>
      <c r="I768" s="56">
        <f t="shared" si="123"/>
        <v>0</v>
      </c>
      <c r="J768" s="59">
        <v>100</v>
      </c>
      <c r="K768" s="59">
        <v>300</v>
      </c>
      <c r="L768" s="56">
        <f t="shared" si="117"/>
        <v>1150</v>
      </c>
      <c r="M768" s="66">
        <v>600</v>
      </c>
      <c r="N768" s="56">
        <f>100</f>
        <v>100</v>
      </c>
      <c r="O768" s="59">
        <v>240</v>
      </c>
      <c r="P768" s="59">
        <v>40</v>
      </c>
      <c r="Q768" s="59">
        <f t="shared" si="118"/>
        <v>315</v>
      </c>
      <c r="R768" s="59">
        <f t="shared" si="119"/>
        <v>100</v>
      </c>
      <c r="S768" s="56">
        <f t="shared" si="120"/>
        <v>695</v>
      </c>
      <c r="T768" s="56">
        <f>50</f>
        <v>50</v>
      </c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</row>
    <row r="769" spans="1:30" ht="15.75">
      <c r="A769" s="13">
        <v>64709</v>
      </c>
      <c r="B769" s="67">
        <f t="shared" si="116"/>
        <v>28</v>
      </c>
      <c r="C769" s="56">
        <f>122.58</f>
        <v>122.58</v>
      </c>
      <c r="D769" s="56">
        <f>297.941</f>
        <v>297.94099999999997</v>
      </c>
      <c r="E769" s="64">
        <f>89.177</f>
        <v>89.177000000000007</v>
      </c>
      <c r="F769" s="56">
        <f>240.302-40-60-100</f>
        <v>40.301999999999992</v>
      </c>
      <c r="G769" s="59">
        <v>40</v>
      </c>
      <c r="H769" s="56">
        <f>60+100</f>
        <v>160</v>
      </c>
      <c r="I769" s="56">
        <f t="shared" si="123"/>
        <v>0</v>
      </c>
      <c r="J769" s="59">
        <v>100</v>
      </c>
      <c r="K769" s="59">
        <v>300</v>
      </c>
      <c r="L769" s="56">
        <f t="shared" si="117"/>
        <v>1150</v>
      </c>
      <c r="M769" s="66">
        <v>600</v>
      </c>
      <c r="N769" s="56">
        <f>100</f>
        <v>100</v>
      </c>
      <c r="O769" s="59">
        <v>240</v>
      </c>
      <c r="P769" s="59">
        <v>40</v>
      </c>
      <c r="Q769" s="59">
        <f t="shared" si="118"/>
        <v>315</v>
      </c>
      <c r="R769" s="59">
        <f t="shared" si="119"/>
        <v>100</v>
      </c>
      <c r="S769" s="56">
        <f t="shared" si="120"/>
        <v>695</v>
      </c>
      <c r="T769" s="56">
        <f>50</f>
        <v>50</v>
      </c>
      <c r="U769" s="57"/>
      <c r="V769" s="57"/>
      <c r="W769" s="57"/>
      <c r="X769" s="57"/>
      <c r="Y769" s="57"/>
      <c r="Z769" s="57"/>
      <c r="AA769" s="57"/>
      <c r="AB769" s="57"/>
      <c r="AC769" s="57"/>
      <c r="AD769" s="57"/>
    </row>
    <row r="770" spans="1:30" ht="15.75">
      <c r="A770" s="13">
        <v>64740</v>
      </c>
      <c r="B770" s="67">
        <f t="shared" si="116"/>
        <v>31</v>
      </c>
      <c r="C770" s="56">
        <f>122.58</f>
        <v>122.58</v>
      </c>
      <c r="D770" s="56">
        <f>297.941</f>
        <v>297.94099999999997</v>
      </c>
      <c r="E770" s="64">
        <f>89.177</f>
        <v>89.177000000000007</v>
      </c>
      <c r="F770" s="56">
        <f>240.302-40-60-100</f>
        <v>40.301999999999992</v>
      </c>
      <c r="G770" s="59">
        <v>40</v>
      </c>
      <c r="H770" s="56">
        <f>60+100</f>
        <v>160</v>
      </c>
      <c r="I770" s="56">
        <f t="shared" si="123"/>
        <v>0</v>
      </c>
      <c r="J770" s="59">
        <v>100</v>
      </c>
      <c r="K770" s="59">
        <v>300</v>
      </c>
      <c r="L770" s="56">
        <f t="shared" si="117"/>
        <v>1150</v>
      </c>
      <c r="M770" s="66">
        <v>600</v>
      </c>
      <c r="N770" s="56">
        <f>100</f>
        <v>100</v>
      </c>
      <c r="O770" s="59">
        <v>240</v>
      </c>
      <c r="P770" s="59">
        <v>40</v>
      </c>
      <c r="Q770" s="59">
        <f t="shared" si="118"/>
        <v>315</v>
      </c>
      <c r="R770" s="59">
        <f t="shared" si="119"/>
        <v>100</v>
      </c>
      <c r="S770" s="56">
        <f t="shared" si="120"/>
        <v>695</v>
      </c>
      <c r="T770" s="56">
        <f>50</f>
        <v>50</v>
      </c>
      <c r="U770" s="57"/>
      <c r="V770" s="57"/>
      <c r="W770" s="57"/>
      <c r="X770" s="57"/>
      <c r="Y770" s="57"/>
      <c r="Z770" s="57"/>
      <c r="AA770" s="57"/>
      <c r="AB770" s="57"/>
      <c r="AC770" s="57"/>
      <c r="AD770" s="57"/>
    </row>
    <row r="771" spans="1:30" ht="15.75">
      <c r="A771" s="13">
        <v>64770</v>
      </c>
      <c r="B771" s="67">
        <f t="shared" si="116"/>
        <v>30</v>
      </c>
      <c r="C771" s="56">
        <f>141.293</f>
        <v>141.29300000000001</v>
      </c>
      <c r="D771" s="56">
        <f>267.993</f>
        <v>267.99299999999999</v>
      </c>
      <c r="E771" s="64">
        <f>115.016</f>
        <v>115.01600000000001</v>
      </c>
      <c r="F771" s="56">
        <f>314.698-40-25-60-100</f>
        <v>89.697999999999979</v>
      </c>
      <c r="G771" s="59">
        <v>40</v>
      </c>
      <c r="H771" s="56">
        <f t="shared" ref="H771:H777" si="126">25+60+100</f>
        <v>185</v>
      </c>
      <c r="I771" s="56">
        <f t="shared" si="123"/>
        <v>0</v>
      </c>
      <c r="J771" s="59">
        <v>100</v>
      </c>
      <c r="K771" s="59">
        <v>300</v>
      </c>
      <c r="L771" s="56">
        <f t="shared" si="117"/>
        <v>1239</v>
      </c>
      <c r="M771" s="66">
        <v>600</v>
      </c>
      <c r="N771" s="56">
        <f>100</f>
        <v>100</v>
      </c>
      <c r="O771" s="59">
        <v>240</v>
      </c>
      <c r="P771" s="59">
        <v>40</v>
      </c>
      <c r="Q771" s="59">
        <f t="shared" si="118"/>
        <v>315</v>
      </c>
      <c r="R771" s="59">
        <f t="shared" si="119"/>
        <v>100</v>
      </c>
      <c r="S771" s="56">
        <f t="shared" si="120"/>
        <v>695</v>
      </c>
      <c r="T771" s="56">
        <f>50</f>
        <v>50</v>
      </c>
      <c r="U771" s="57"/>
      <c r="V771" s="57"/>
      <c r="W771" s="57"/>
      <c r="X771" s="57"/>
      <c r="Y771" s="57"/>
      <c r="Z771" s="57"/>
      <c r="AA771" s="57"/>
      <c r="AB771" s="57"/>
      <c r="AC771" s="57"/>
      <c r="AD771" s="57"/>
    </row>
    <row r="772" spans="1:30" ht="15.75">
      <c r="A772" s="13">
        <v>64801</v>
      </c>
      <c r="B772" s="67">
        <f t="shared" si="116"/>
        <v>31</v>
      </c>
      <c r="C772" s="56">
        <f>194.205</f>
        <v>194.20500000000001</v>
      </c>
      <c r="D772" s="56">
        <f>267.466</f>
        <v>267.46600000000001</v>
      </c>
      <c r="E772" s="64">
        <f>133.845</f>
        <v>133.845</v>
      </c>
      <c r="F772" s="56">
        <f>278.484-40-25-60-100</f>
        <v>53.48399999999998</v>
      </c>
      <c r="G772" s="59">
        <v>40</v>
      </c>
      <c r="H772" s="56">
        <f t="shared" si="126"/>
        <v>185</v>
      </c>
      <c r="I772" s="56">
        <f t="shared" si="123"/>
        <v>0</v>
      </c>
      <c r="J772" s="59">
        <v>100</v>
      </c>
      <c r="K772" s="59">
        <v>300</v>
      </c>
      <c r="L772" s="56">
        <f t="shared" si="117"/>
        <v>1274</v>
      </c>
      <c r="M772" s="66">
        <v>600</v>
      </c>
      <c r="N772" s="56">
        <f>75</f>
        <v>75</v>
      </c>
      <c r="O772" s="59">
        <v>240</v>
      </c>
      <c r="P772" s="59">
        <v>40</v>
      </c>
      <c r="Q772" s="59">
        <f t="shared" si="118"/>
        <v>315</v>
      </c>
      <c r="R772" s="59">
        <f t="shared" si="119"/>
        <v>100</v>
      </c>
      <c r="S772" s="56">
        <f t="shared" si="120"/>
        <v>695</v>
      </c>
      <c r="T772" s="56">
        <f>50</f>
        <v>50</v>
      </c>
      <c r="U772" s="57"/>
      <c r="V772" s="57"/>
      <c r="W772" s="57"/>
      <c r="X772" s="57"/>
      <c r="Y772" s="57"/>
      <c r="Z772" s="57"/>
      <c r="AA772" s="57"/>
      <c r="AB772" s="57"/>
      <c r="AC772" s="57"/>
      <c r="AD772" s="57"/>
    </row>
    <row r="773" spans="1:30" ht="15.75">
      <c r="A773" s="13">
        <v>64831</v>
      </c>
      <c r="B773" s="67">
        <f t="shared" si="116"/>
        <v>30</v>
      </c>
      <c r="C773" s="56">
        <f>194.205</f>
        <v>194.20500000000001</v>
      </c>
      <c r="D773" s="56">
        <f>267.466</f>
        <v>267.46600000000001</v>
      </c>
      <c r="E773" s="64">
        <f>133.845</f>
        <v>133.845</v>
      </c>
      <c r="F773" s="56">
        <f>278.484-40-25-60-100</f>
        <v>53.48399999999998</v>
      </c>
      <c r="G773" s="59">
        <v>40</v>
      </c>
      <c r="H773" s="56">
        <f t="shared" si="126"/>
        <v>185</v>
      </c>
      <c r="I773" s="56">
        <f t="shared" si="123"/>
        <v>0</v>
      </c>
      <c r="J773" s="59">
        <v>100</v>
      </c>
      <c r="K773" s="59">
        <v>300</v>
      </c>
      <c r="L773" s="56">
        <f t="shared" si="117"/>
        <v>1274</v>
      </c>
      <c r="M773" s="66">
        <v>600</v>
      </c>
      <c r="N773" s="56">
        <f>30</f>
        <v>30</v>
      </c>
      <c r="O773" s="59">
        <v>240</v>
      </c>
      <c r="P773" s="59">
        <v>40</v>
      </c>
      <c r="Q773" s="59">
        <f t="shared" si="118"/>
        <v>315</v>
      </c>
      <c r="R773" s="59">
        <f t="shared" si="119"/>
        <v>100</v>
      </c>
      <c r="S773" s="56">
        <f t="shared" si="120"/>
        <v>695</v>
      </c>
      <c r="T773" s="56">
        <f>50</f>
        <v>50</v>
      </c>
      <c r="U773" s="57"/>
      <c r="V773" s="57"/>
      <c r="W773" s="57"/>
      <c r="X773" s="57"/>
      <c r="Y773" s="57"/>
      <c r="Z773" s="57"/>
      <c r="AA773" s="57"/>
      <c r="AB773" s="57"/>
      <c r="AC773" s="57"/>
      <c r="AD773" s="57"/>
    </row>
    <row r="774" spans="1:30" ht="15.75">
      <c r="A774" s="13">
        <v>64862</v>
      </c>
      <c r="B774" s="67">
        <f t="shared" si="116"/>
        <v>31</v>
      </c>
      <c r="C774" s="56">
        <f>194.205</f>
        <v>194.20500000000001</v>
      </c>
      <c r="D774" s="56">
        <f>267.466</f>
        <v>267.46600000000001</v>
      </c>
      <c r="E774" s="64">
        <f>133.845</f>
        <v>133.845</v>
      </c>
      <c r="F774" s="56">
        <f>278.484-40-25-60-100</f>
        <v>53.48399999999998</v>
      </c>
      <c r="G774" s="59">
        <v>40</v>
      </c>
      <c r="H774" s="56">
        <f t="shared" si="126"/>
        <v>185</v>
      </c>
      <c r="I774" s="56">
        <f t="shared" si="123"/>
        <v>0</v>
      </c>
      <c r="J774" s="59">
        <v>100</v>
      </c>
      <c r="K774" s="59">
        <v>300</v>
      </c>
      <c r="L774" s="56">
        <f t="shared" si="117"/>
        <v>1274</v>
      </c>
      <c r="M774" s="66">
        <v>600</v>
      </c>
      <c r="N774" s="56">
        <f>30</f>
        <v>30</v>
      </c>
      <c r="O774" s="59">
        <v>240</v>
      </c>
      <c r="P774" s="59">
        <v>40</v>
      </c>
      <c r="Q774" s="59">
        <f t="shared" si="118"/>
        <v>315</v>
      </c>
      <c r="R774" s="59">
        <f t="shared" si="119"/>
        <v>100</v>
      </c>
      <c r="S774" s="56">
        <f t="shared" si="120"/>
        <v>695</v>
      </c>
      <c r="T774" s="56">
        <f>0</f>
        <v>0</v>
      </c>
      <c r="U774" s="57"/>
      <c r="V774" s="57"/>
      <c r="W774" s="57"/>
      <c r="X774" s="57"/>
      <c r="Y774" s="57"/>
      <c r="Z774" s="57"/>
      <c r="AA774" s="57"/>
      <c r="AB774" s="57"/>
      <c r="AC774" s="57"/>
      <c r="AD774" s="57"/>
    </row>
    <row r="775" spans="1:30" ht="15.75">
      <c r="A775" s="13">
        <v>64893</v>
      </c>
      <c r="B775" s="67">
        <f t="shared" si="116"/>
        <v>31</v>
      </c>
      <c r="C775" s="56">
        <f>194.205</f>
        <v>194.20500000000001</v>
      </c>
      <c r="D775" s="56">
        <f>267.466</f>
        <v>267.46600000000001</v>
      </c>
      <c r="E775" s="64">
        <f>133.845</f>
        <v>133.845</v>
      </c>
      <c r="F775" s="56">
        <f>278.484-40-25-60-100</f>
        <v>53.48399999999998</v>
      </c>
      <c r="G775" s="59">
        <v>40</v>
      </c>
      <c r="H775" s="56">
        <f t="shared" si="126"/>
        <v>185</v>
      </c>
      <c r="I775" s="56">
        <f t="shared" si="123"/>
        <v>0</v>
      </c>
      <c r="J775" s="59">
        <v>100</v>
      </c>
      <c r="K775" s="59">
        <v>300</v>
      </c>
      <c r="L775" s="56">
        <f t="shared" si="117"/>
        <v>1274</v>
      </c>
      <c r="M775" s="66">
        <v>600</v>
      </c>
      <c r="N775" s="56">
        <f>30</f>
        <v>30</v>
      </c>
      <c r="O775" s="59">
        <v>240</v>
      </c>
      <c r="P775" s="59">
        <v>40</v>
      </c>
      <c r="Q775" s="59">
        <f t="shared" si="118"/>
        <v>315</v>
      </c>
      <c r="R775" s="59">
        <f t="shared" si="119"/>
        <v>100</v>
      </c>
      <c r="S775" s="56">
        <f t="shared" si="120"/>
        <v>695</v>
      </c>
      <c r="T775" s="56">
        <f>0</f>
        <v>0</v>
      </c>
      <c r="U775" s="57"/>
      <c r="V775" s="57"/>
      <c r="W775" s="57"/>
      <c r="X775" s="57"/>
      <c r="Y775" s="57"/>
      <c r="Z775" s="57"/>
      <c r="AA775" s="57"/>
      <c r="AB775" s="57"/>
      <c r="AC775" s="57"/>
      <c r="AD775" s="57"/>
    </row>
    <row r="776" spans="1:30" ht="15.75">
      <c r="A776" s="13">
        <v>64923</v>
      </c>
      <c r="B776" s="67">
        <f t="shared" si="116"/>
        <v>30</v>
      </c>
      <c r="C776" s="56">
        <f>194.205</f>
        <v>194.20500000000001</v>
      </c>
      <c r="D776" s="56">
        <f>267.466</f>
        <v>267.46600000000001</v>
      </c>
      <c r="E776" s="64">
        <f>133.845</f>
        <v>133.845</v>
      </c>
      <c r="F776" s="56">
        <f>278.484-40-25-60-100</f>
        <v>53.48399999999998</v>
      </c>
      <c r="G776" s="59">
        <v>40</v>
      </c>
      <c r="H776" s="56">
        <f t="shared" si="126"/>
        <v>185</v>
      </c>
      <c r="I776" s="56">
        <f t="shared" si="123"/>
        <v>0</v>
      </c>
      <c r="J776" s="59">
        <v>100</v>
      </c>
      <c r="K776" s="59">
        <v>300</v>
      </c>
      <c r="L776" s="56">
        <f t="shared" si="117"/>
        <v>1274</v>
      </c>
      <c r="M776" s="66">
        <v>600</v>
      </c>
      <c r="N776" s="56">
        <f>30</f>
        <v>30</v>
      </c>
      <c r="O776" s="59">
        <v>240</v>
      </c>
      <c r="P776" s="59">
        <v>40</v>
      </c>
      <c r="Q776" s="59">
        <f t="shared" si="118"/>
        <v>315</v>
      </c>
      <c r="R776" s="59">
        <f t="shared" si="119"/>
        <v>100</v>
      </c>
      <c r="S776" s="56">
        <f t="shared" si="120"/>
        <v>695</v>
      </c>
      <c r="T776" s="56">
        <f>0</f>
        <v>0</v>
      </c>
      <c r="U776" s="57"/>
      <c r="V776" s="57"/>
      <c r="W776" s="57"/>
      <c r="X776" s="57"/>
      <c r="Y776" s="57"/>
      <c r="Z776" s="57"/>
      <c r="AA776" s="57"/>
      <c r="AB776" s="57"/>
      <c r="AC776" s="57"/>
      <c r="AD776" s="57"/>
    </row>
    <row r="777" spans="1:30" ht="15.75">
      <c r="A777" s="13">
        <v>64954</v>
      </c>
      <c r="B777" s="67">
        <f t="shared" si="116"/>
        <v>31</v>
      </c>
      <c r="C777" s="56">
        <f>131.881</f>
        <v>131.881</v>
      </c>
      <c r="D777" s="56">
        <f>277.167</f>
        <v>277.16699999999997</v>
      </c>
      <c r="E777" s="64">
        <f>79.08</f>
        <v>79.08</v>
      </c>
      <c r="F777" s="56">
        <f>350.872-40-25-60-100</f>
        <v>125.87200000000001</v>
      </c>
      <c r="G777" s="59">
        <v>40</v>
      </c>
      <c r="H777" s="56">
        <f t="shared" si="126"/>
        <v>185</v>
      </c>
      <c r="I777" s="56">
        <f t="shared" si="123"/>
        <v>0</v>
      </c>
      <c r="J777" s="59">
        <v>100</v>
      </c>
      <c r="K777" s="59">
        <v>300</v>
      </c>
      <c r="L777" s="56">
        <f t="shared" si="117"/>
        <v>1239</v>
      </c>
      <c r="M777" s="66">
        <v>600</v>
      </c>
      <c r="N777" s="56">
        <f>75</f>
        <v>75</v>
      </c>
      <c r="O777" s="59">
        <v>240</v>
      </c>
      <c r="P777" s="59">
        <v>40</v>
      </c>
      <c r="Q777" s="59">
        <f t="shared" si="118"/>
        <v>315</v>
      </c>
      <c r="R777" s="59">
        <f t="shared" si="119"/>
        <v>100</v>
      </c>
      <c r="S777" s="56">
        <f t="shared" si="120"/>
        <v>695</v>
      </c>
      <c r="T777" s="56">
        <f>0</f>
        <v>0</v>
      </c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</row>
    <row r="778" spans="1:30" ht="15.75">
      <c r="A778" s="13">
        <v>64984</v>
      </c>
      <c r="B778" s="67">
        <f t="shared" si="116"/>
        <v>30</v>
      </c>
      <c r="C778" s="56">
        <f>122.58</f>
        <v>122.58</v>
      </c>
      <c r="D778" s="56">
        <f>297.941</f>
        <v>297.94099999999997</v>
      </c>
      <c r="E778" s="64">
        <f>89.177</f>
        <v>89.177000000000007</v>
      </c>
      <c r="F778" s="56">
        <f>240.302-40-60-100</f>
        <v>40.301999999999992</v>
      </c>
      <c r="G778" s="59">
        <v>40</v>
      </c>
      <c r="H778" s="56">
        <f>60+100</f>
        <v>160</v>
      </c>
      <c r="I778" s="56">
        <f t="shared" si="123"/>
        <v>0</v>
      </c>
      <c r="J778" s="59">
        <v>100</v>
      </c>
      <c r="K778" s="59">
        <v>300</v>
      </c>
      <c r="L778" s="56">
        <f t="shared" si="117"/>
        <v>1150</v>
      </c>
      <c r="M778" s="66">
        <v>600</v>
      </c>
      <c r="N778" s="56">
        <f>100</f>
        <v>100</v>
      </c>
      <c r="O778" s="59">
        <v>240</v>
      </c>
      <c r="P778" s="59">
        <v>40</v>
      </c>
      <c r="Q778" s="59">
        <f t="shared" si="118"/>
        <v>315</v>
      </c>
      <c r="R778" s="59">
        <f t="shared" si="119"/>
        <v>100</v>
      </c>
      <c r="S778" s="56">
        <f t="shared" si="120"/>
        <v>695</v>
      </c>
      <c r="T778" s="56">
        <f>50</f>
        <v>50</v>
      </c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</row>
    <row r="779" spans="1:30" ht="15.75">
      <c r="A779" s="13">
        <v>65015</v>
      </c>
      <c r="B779" s="67">
        <f t="shared" si="116"/>
        <v>31</v>
      </c>
      <c r="C779" s="56">
        <f>122.58</f>
        <v>122.58</v>
      </c>
      <c r="D779" s="56">
        <f>297.941</f>
        <v>297.94099999999997</v>
      </c>
      <c r="E779" s="64">
        <f>89.177</f>
        <v>89.177000000000007</v>
      </c>
      <c r="F779" s="56">
        <f>240.302-40-60-100</f>
        <v>40.301999999999992</v>
      </c>
      <c r="G779" s="59">
        <v>40</v>
      </c>
      <c r="H779" s="56">
        <f>60+100</f>
        <v>160</v>
      </c>
      <c r="I779" s="56">
        <f t="shared" si="123"/>
        <v>0</v>
      </c>
      <c r="J779" s="59">
        <v>100</v>
      </c>
      <c r="K779" s="59">
        <v>300</v>
      </c>
      <c r="L779" s="56">
        <f t="shared" si="117"/>
        <v>1150</v>
      </c>
      <c r="M779" s="66">
        <v>600</v>
      </c>
      <c r="N779" s="56">
        <f>100</f>
        <v>100</v>
      </c>
      <c r="O779" s="59">
        <v>240</v>
      </c>
      <c r="P779" s="59">
        <v>40</v>
      </c>
      <c r="Q779" s="59">
        <f t="shared" si="118"/>
        <v>315</v>
      </c>
      <c r="R779" s="59">
        <f t="shared" si="119"/>
        <v>100</v>
      </c>
      <c r="S779" s="56">
        <f t="shared" si="120"/>
        <v>695</v>
      </c>
      <c r="T779" s="56">
        <f>50</f>
        <v>50</v>
      </c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</row>
    <row r="780" spans="1:30" ht="15.75">
      <c r="A780" s="13">
        <v>65046</v>
      </c>
      <c r="B780" s="67">
        <f t="shared" ref="B780:B843" si="127">EOMONTH(A780,0)-EOMONTH(A780,-1)</f>
        <v>31</v>
      </c>
      <c r="C780" s="56">
        <f>122.58</f>
        <v>122.58</v>
      </c>
      <c r="D780" s="56">
        <f>297.941</f>
        <v>297.94099999999997</v>
      </c>
      <c r="E780" s="64">
        <f>89.177</f>
        <v>89.177000000000007</v>
      </c>
      <c r="F780" s="56">
        <f>240.302-40-60-100</f>
        <v>40.301999999999992</v>
      </c>
      <c r="G780" s="59">
        <v>40</v>
      </c>
      <c r="H780" s="56">
        <f>60+100</f>
        <v>160</v>
      </c>
      <c r="I780" s="56">
        <f t="shared" si="123"/>
        <v>0</v>
      </c>
      <c r="J780" s="59">
        <v>100</v>
      </c>
      <c r="K780" s="59">
        <v>300</v>
      </c>
      <c r="L780" s="56">
        <f t="shared" si="117"/>
        <v>1150</v>
      </c>
      <c r="M780" s="66">
        <v>600</v>
      </c>
      <c r="N780" s="56">
        <f>100</f>
        <v>100</v>
      </c>
      <c r="O780" s="59">
        <v>240</v>
      </c>
      <c r="P780" s="59">
        <v>40</v>
      </c>
      <c r="Q780" s="59">
        <f t="shared" si="118"/>
        <v>315</v>
      </c>
      <c r="R780" s="59">
        <f t="shared" si="119"/>
        <v>100</v>
      </c>
      <c r="S780" s="56">
        <f t="shared" si="120"/>
        <v>695</v>
      </c>
      <c r="T780" s="56">
        <f>50</f>
        <v>50</v>
      </c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</row>
    <row r="781" spans="1:30" ht="15.75">
      <c r="A781" s="13">
        <v>65074</v>
      </c>
      <c r="B781" s="67">
        <f t="shared" si="127"/>
        <v>28</v>
      </c>
      <c r="C781" s="56">
        <f>122.58</f>
        <v>122.58</v>
      </c>
      <c r="D781" s="56">
        <f>297.941</f>
        <v>297.94099999999997</v>
      </c>
      <c r="E781" s="64">
        <f>89.177</f>
        <v>89.177000000000007</v>
      </c>
      <c r="F781" s="56">
        <f>240.302-40-60-100</f>
        <v>40.301999999999992</v>
      </c>
      <c r="G781" s="59">
        <v>40</v>
      </c>
      <c r="H781" s="56">
        <f>60+100</f>
        <v>160</v>
      </c>
      <c r="I781" s="56">
        <f t="shared" si="123"/>
        <v>0</v>
      </c>
      <c r="J781" s="59">
        <v>100</v>
      </c>
      <c r="K781" s="59">
        <v>300</v>
      </c>
      <c r="L781" s="56">
        <f t="shared" si="117"/>
        <v>1150</v>
      </c>
      <c r="M781" s="66">
        <v>600</v>
      </c>
      <c r="N781" s="56">
        <f>100</f>
        <v>100</v>
      </c>
      <c r="O781" s="59">
        <v>240</v>
      </c>
      <c r="P781" s="59">
        <v>40</v>
      </c>
      <c r="Q781" s="59">
        <f t="shared" si="118"/>
        <v>315</v>
      </c>
      <c r="R781" s="59">
        <f t="shared" si="119"/>
        <v>100</v>
      </c>
      <c r="S781" s="56">
        <f t="shared" si="120"/>
        <v>695</v>
      </c>
      <c r="T781" s="56">
        <f>50</f>
        <v>50</v>
      </c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</row>
    <row r="782" spans="1:30" ht="15.75">
      <c r="A782" s="13">
        <v>65105</v>
      </c>
      <c r="B782" s="67">
        <f t="shared" si="127"/>
        <v>31</v>
      </c>
      <c r="C782" s="56">
        <f>122.58</f>
        <v>122.58</v>
      </c>
      <c r="D782" s="56">
        <f>297.941</f>
        <v>297.94099999999997</v>
      </c>
      <c r="E782" s="64">
        <f>89.177</f>
        <v>89.177000000000007</v>
      </c>
      <c r="F782" s="56">
        <f>240.302-40-60-100</f>
        <v>40.301999999999992</v>
      </c>
      <c r="G782" s="59">
        <v>40</v>
      </c>
      <c r="H782" s="56">
        <f>60+100</f>
        <v>160</v>
      </c>
      <c r="I782" s="56">
        <f t="shared" si="123"/>
        <v>0</v>
      </c>
      <c r="J782" s="59">
        <v>100</v>
      </c>
      <c r="K782" s="59">
        <v>300</v>
      </c>
      <c r="L782" s="56">
        <f t="shared" si="117"/>
        <v>1150</v>
      </c>
      <c r="M782" s="66">
        <v>600</v>
      </c>
      <c r="N782" s="56">
        <f>100</f>
        <v>100</v>
      </c>
      <c r="O782" s="59">
        <v>240</v>
      </c>
      <c r="P782" s="59">
        <v>40</v>
      </c>
      <c r="Q782" s="59">
        <f t="shared" si="118"/>
        <v>315</v>
      </c>
      <c r="R782" s="59">
        <f t="shared" si="119"/>
        <v>100</v>
      </c>
      <c r="S782" s="56">
        <f t="shared" si="120"/>
        <v>695</v>
      </c>
      <c r="T782" s="56">
        <f>50</f>
        <v>50</v>
      </c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</row>
    <row r="783" spans="1:30" ht="15.75">
      <c r="A783" s="13">
        <v>65135</v>
      </c>
      <c r="B783" s="67">
        <f t="shared" si="127"/>
        <v>30</v>
      </c>
      <c r="C783" s="56">
        <f>141.293</f>
        <v>141.29300000000001</v>
      </c>
      <c r="D783" s="56">
        <f>267.993</f>
        <v>267.99299999999999</v>
      </c>
      <c r="E783" s="64">
        <f>115.016</f>
        <v>115.01600000000001</v>
      </c>
      <c r="F783" s="56">
        <f>314.698-40-25-60-100</f>
        <v>89.697999999999979</v>
      </c>
      <c r="G783" s="59">
        <v>40</v>
      </c>
      <c r="H783" s="56">
        <f t="shared" ref="H783:H789" si="128">25+60+100</f>
        <v>185</v>
      </c>
      <c r="I783" s="56">
        <f t="shared" si="123"/>
        <v>0</v>
      </c>
      <c r="J783" s="59">
        <v>100</v>
      </c>
      <c r="K783" s="59">
        <v>300</v>
      </c>
      <c r="L783" s="56">
        <f t="shared" si="117"/>
        <v>1239</v>
      </c>
      <c r="M783" s="66">
        <v>600</v>
      </c>
      <c r="N783" s="56">
        <f>100</f>
        <v>100</v>
      </c>
      <c r="O783" s="59">
        <v>240</v>
      </c>
      <c r="P783" s="59">
        <v>40</v>
      </c>
      <c r="Q783" s="59">
        <f t="shared" si="118"/>
        <v>315</v>
      </c>
      <c r="R783" s="59">
        <f t="shared" si="119"/>
        <v>100</v>
      </c>
      <c r="S783" s="56">
        <f t="shared" si="120"/>
        <v>695</v>
      </c>
      <c r="T783" s="56">
        <f>50</f>
        <v>50</v>
      </c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</row>
    <row r="784" spans="1:30" ht="15.75">
      <c r="A784" s="13">
        <v>65166</v>
      </c>
      <c r="B784" s="67">
        <f t="shared" si="127"/>
        <v>31</v>
      </c>
      <c r="C784" s="56">
        <f>194.205</f>
        <v>194.20500000000001</v>
      </c>
      <c r="D784" s="56">
        <f>267.466</f>
        <v>267.46600000000001</v>
      </c>
      <c r="E784" s="64">
        <f>133.845</f>
        <v>133.845</v>
      </c>
      <c r="F784" s="56">
        <f>278.484-40-25-60-100</f>
        <v>53.48399999999998</v>
      </c>
      <c r="G784" s="59">
        <v>40</v>
      </c>
      <c r="H784" s="56">
        <f t="shared" si="128"/>
        <v>185</v>
      </c>
      <c r="I784" s="56">
        <f t="shared" si="123"/>
        <v>0</v>
      </c>
      <c r="J784" s="59">
        <v>100</v>
      </c>
      <c r="K784" s="59">
        <v>300</v>
      </c>
      <c r="L784" s="56">
        <f t="shared" si="117"/>
        <v>1274</v>
      </c>
      <c r="M784" s="66">
        <v>600</v>
      </c>
      <c r="N784" s="56">
        <f>75</f>
        <v>75</v>
      </c>
      <c r="O784" s="59">
        <v>240</v>
      </c>
      <c r="P784" s="59">
        <v>40</v>
      </c>
      <c r="Q784" s="59">
        <f t="shared" si="118"/>
        <v>315</v>
      </c>
      <c r="R784" s="59">
        <f t="shared" si="119"/>
        <v>100</v>
      </c>
      <c r="S784" s="56">
        <f t="shared" si="120"/>
        <v>695</v>
      </c>
      <c r="T784" s="56">
        <f>50</f>
        <v>50</v>
      </c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</row>
    <row r="785" spans="1:30" ht="15.75">
      <c r="A785" s="13">
        <v>65196</v>
      </c>
      <c r="B785" s="67">
        <f t="shared" si="127"/>
        <v>30</v>
      </c>
      <c r="C785" s="56">
        <f>194.205</f>
        <v>194.20500000000001</v>
      </c>
      <c r="D785" s="56">
        <f>267.466</f>
        <v>267.46600000000001</v>
      </c>
      <c r="E785" s="64">
        <f>133.845</f>
        <v>133.845</v>
      </c>
      <c r="F785" s="56">
        <f>278.484-40-25-60-100</f>
        <v>53.48399999999998</v>
      </c>
      <c r="G785" s="59">
        <v>40</v>
      </c>
      <c r="H785" s="56">
        <f t="shared" si="128"/>
        <v>185</v>
      </c>
      <c r="I785" s="56">
        <f t="shared" si="123"/>
        <v>0</v>
      </c>
      <c r="J785" s="59">
        <v>100</v>
      </c>
      <c r="K785" s="59">
        <v>300</v>
      </c>
      <c r="L785" s="56">
        <f t="shared" ref="L785:L848" si="129">SUM(C785:K785)</f>
        <v>1274</v>
      </c>
      <c r="M785" s="66">
        <v>600</v>
      </c>
      <c r="N785" s="56">
        <f>30</f>
        <v>30</v>
      </c>
      <c r="O785" s="59">
        <v>240</v>
      </c>
      <c r="P785" s="59">
        <v>40</v>
      </c>
      <c r="Q785" s="59">
        <f t="shared" ref="Q785:Q848" si="130">695-R785-O785-P785</f>
        <v>315</v>
      </c>
      <c r="R785" s="59">
        <f t="shared" ref="R785:R848" si="131">200-J785</f>
        <v>100</v>
      </c>
      <c r="S785" s="56">
        <f t="shared" ref="S785:S848" si="132">SUM(O785:R785)</f>
        <v>695</v>
      </c>
      <c r="T785" s="56">
        <f>50</f>
        <v>50</v>
      </c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</row>
    <row r="786" spans="1:30" ht="15.75">
      <c r="A786" s="13">
        <v>65227</v>
      </c>
      <c r="B786" s="67">
        <f t="shared" si="127"/>
        <v>31</v>
      </c>
      <c r="C786" s="56">
        <f>194.205</f>
        <v>194.20500000000001</v>
      </c>
      <c r="D786" s="56">
        <f>267.466</f>
        <v>267.46600000000001</v>
      </c>
      <c r="E786" s="64">
        <f>133.845</f>
        <v>133.845</v>
      </c>
      <c r="F786" s="56">
        <f>278.484-40-25-60-100</f>
        <v>53.48399999999998</v>
      </c>
      <c r="G786" s="59">
        <v>40</v>
      </c>
      <c r="H786" s="56">
        <f t="shared" si="128"/>
        <v>185</v>
      </c>
      <c r="I786" s="56">
        <f t="shared" si="123"/>
        <v>0</v>
      </c>
      <c r="J786" s="59">
        <v>100</v>
      </c>
      <c r="K786" s="59">
        <v>300</v>
      </c>
      <c r="L786" s="56">
        <f t="shared" si="129"/>
        <v>1274</v>
      </c>
      <c r="M786" s="66">
        <v>600</v>
      </c>
      <c r="N786" s="56">
        <f>30</f>
        <v>30</v>
      </c>
      <c r="O786" s="59">
        <v>240</v>
      </c>
      <c r="P786" s="59">
        <v>40</v>
      </c>
      <c r="Q786" s="59">
        <f t="shared" si="130"/>
        <v>315</v>
      </c>
      <c r="R786" s="59">
        <f t="shared" si="131"/>
        <v>100</v>
      </c>
      <c r="S786" s="56">
        <f t="shared" si="132"/>
        <v>695</v>
      </c>
      <c r="T786" s="56">
        <f>0</f>
        <v>0</v>
      </c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</row>
    <row r="787" spans="1:30" ht="15.75">
      <c r="A787" s="13">
        <v>65258</v>
      </c>
      <c r="B787" s="67">
        <f t="shared" si="127"/>
        <v>31</v>
      </c>
      <c r="C787" s="56">
        <f>194.205</f>
        <v>194.20500000000001</v>
      </c>
      <c r="D787" s="56">
        <f>267.466</f>
        <v>267.46600000000001</v>
      </c>
      <c r="E787" s="64">
        <f>133.845</f>
        <v>133.845</v>
      </c>
      <c r="F787" s="56">
        <f>278.484-40-25-60-100</f>
        <v>53.48399999999998</v>
      </c>
      <c r="G787" s="59">
        <v>40</v>
      </c>
      <c r="H787" s="56">
        <f t="shared" si="128"/>
        <v>185</v>
      </c>
      <c r="I787" s="56">
        <f t="shared" si="123"/>
        <v>0</v>
      </c>
      <c r="J787" s="59">
        <v>100</v>
      </c>
      <c r="K787" s="59">
        <v>300</v>
      </c>
      <c r="L787" s="56">
        <f t="shared" si="129"/>
        <v>1274</v>
      </c>
      <c r="M787" s="66">
        <v>600</v>
      </c>
      <c r="N787" s="56">
        <f>30</f>
        <v>30</v>
      </c>
      <c r="O787" s="59">
        <v>240</v>
      </c>
      <c r="P787" s="59">
        <v>40</v>
      </c>
      <c r="Q787" s="59">
        <f t="shared" si="130"/>
        <v>315</v>
      </c>
      <c r="R787" s="59">
        <f t="shared" si="131"/>
        <v>100</v>
      </c>
      <c r="S787" s="56">
        <f t="shared" si="132"/>
        <v>695</v>
      </c>
      <c r="T787" s="56">
        <f>0</f>
        <v>0</v>
      </c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</row>
    <row r="788" spans="1:30" ht="15.75">
      <c r="A788" s="13">
        <v>65288</v>
      </c>
      <c r="B788" s="67">
        <f t="shared" si="127"/>
        <v>30</v>
      </c>
      <c r="C788" s="56">
        <f>194.205</f>
        <v>194.20500000000001</v>
      </c>
      <c r="D788" s="56">
        <f>267.466</f>
        <v>267.46600000000001</v>
      </c>
      <c r="E788" s="64">
        <f>133.845</f>
        <v>133.845</v>
      </c>
      <c r="F788" s="56">
        <f>278.484-40-25-60-100</f>
        <v>53.48399999999998</v>
      </c>
      <c r="G788" s="59">
        <v>40</v>
      </c>
      <c r="H788" s="56">
        <f t="shared" si="128"/>
        <v>185</v>
      </c>
      <c r="I788" s="56">
        <f t="shared" si="123"/>
        <v>0</v>
      </c>
      <c r="J788" s="59">
        <v>100</v>
      </c>
      <c r="K788" s="59">
        <v>300</v>
      </c>
      <c r="L788" s="56">
        <f t="shared" si="129"/>
        <v>1274</v>
      </c>
      <c r="M788" s="66">
        <v>600</v>
      </c>
      <c r="N788" s="56">
        <f>30</f>
        <v>30</v>
      </c>
      <c r="O788" s="59">
        <v>240</v>
      </c>
      <c r="P788" s="59">
        <v>40</v>
      </c>
      <c r="Q788" s="59">
        <f t="shared" si="130"/>
        <v>315</v>
      </c>
      <c r="R788" s="59">
        <f t="shared" si="131"/>
        <v>100</v>
      </c>
      <c r="S788" s="56">
        <f t="shared" si="132"/>
        <v>695</v>
      </c>
      <c r="T788" s="56">
        <f>0</f>
        <v>0</v>
      </c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</row>
    <row r="789" spans="1:30" ht="15.75">
      <c r="A789" s="13">
        <v>65319</v>
      </c>
      <c r="B789" s="67">
        <f t="shared" si="127"/>
        <v>31</v>
      </c>
      <c r="C789" s="56">
        <f>131.881</f>
        <v>131.881</v>
      </c>
      <c r="D789" s="56">
        <f>277.167</f>
        <v>277.16699999999997</v>
      </c>
      <c r="E789" s="64">
        <f>79.08</f>
        <v>79.08</v>
      </c>
      <c r="F789" s="56">
        <f>350.872-40-25-60-100</f>
        <v>125.87200000000001</v>
      </c>
      <c r="G789" s="59">
        <v>40</v>
      </c>
      <c r="H789" s="56">
        <f t="shared" si="128"/>
        <v>185</v>
      </c>
      <c r="I789" s="56">
        <f t="shared" si="123"/>
        <v>0</v>
      </c>
      <c r="J789" s="59">
        <v>100</v>
      </c>
      <c r="K789" s="59">
        <v>300</v>
      </c>
      <c r="L789" s="56">
        <f t="shared" si="129"/>
        <v>1239</v>
      </c>
      <c r="M789" s="66">
        <v>600</v>
      </c>
      <c r="N789" s="56">
        <f>75</f>
        <v>75</v>
      </c>
      <c r="O789" s="59">
        <v>240</v>
      </c>
      <c r="P789" s="59">
        <v>40</v>
      </c>
      <c r="Q789" s="59">
        <f t="shared" si="130"/>
        <v>315</v>
      </c>
      <c r="R789" s="59">
        <f t="shared" si="131"/>
        <v>100</v>
      </c>
      <c r="S789" s="56">
        <f t="shared" si="132"/>
        <v>695</v>
      </c>
      <c r="T789" s="56">
        <f>0</f>
        <v>0</v>
      </c>
      <c r="U789" s="57"/>
      <c r="V789" s="57"/>
      <c r="W789" s="57"/>
      <c r="X789" s="57"/>
      <c r="Y789" s="57"/>
      <c r="Z789" s="57"/>
      <c r="AA789" s="57"/>
      <c r="AB789" s="57"/>
      <c r="AC789" s="57"/>
      <c r="AD789" s="57"/>
    </row>
    <row r="790" spans="1:30" ht="15.75">
      <c r="A790" s="13">
        <v>65349</v>
      </c>
      <c r="B790" s="67">
        <f t="shared" si="127"/>
        <v>30</v>
      </c>
      <c r="C790" s="56">
        <f>122.58</f>
        <v>122.58</v>
      </c>
      <c r="D790" s="56">
        <f>297.941</f>
        <v>297.94099999999997</v>
      </c>
      <c r="E790" s="64">
        <f>89.177</f>
        <v>89.177000000000007</v>
      </c>
      <c r="F790" s="56">
        <f>240.302-40-60-100</f>
        <v>40.301999999999992</v>
      </c>
      <c r="G790" s="59">
        <v>40</v>
      </c>
      <c r="H790" s="56">
        <f>60+100</f>
        <v>160</v>
      </c>
      <c r="I790" s="56">
        <f t="shared" si="123"/>
        <v>0</v>
      </c>
      <c r="J790" s="59">
        <v>100</v>
      </c>
      <c r="K790" s="59">
        <v>300</v>
      </c>
      <c r="L790" s="56">
        <f t="shared" si="129"/>
        <v>1150</v>
      </c>
      <c r="M790" s="66">
        <v>600</v>
      </c>
      <c r="N790" s="56">
        <f>100</f>
        <v>100</v>
      </c>
      <c r="O790" s="59">
        <v>240</v>
      </c>
      <c r="P790" s="59">
        <v>40</v>
      </c>
      <c r="Q790" s="59">
        <f t="shared" si="130"/>
        <v>315</v>
      </c>
      <c r="R790" s="59">
        <f t="shared" si="131"/>
        <v>100</v>
      </c>
      <c r="S790" s="56">
        <f t="shared" si="132"/>
        <v>695</v>
      </c>
      <c r="T790" s="56">
        <f>50</f>
        <v>50</v>
      </c>
      <c r="U790" s="57"/>
      <c r="V790" s="57"/>
      <c r="W790" s="57"/>
      <c r="X790" s="57"/>
      <c r="Y790" s="57"/>
      <c r="Z790" s="57"/>
      <c r="AA790" s="57"/>
      <c r="AB790" s="57"/>
      <c r="AC790" s="57"/>
      <c r="AD790" s="57"/>
    </row>
    <row r="791" spans="1:30" ht="15.75">
      <c r="A791" s="13">
        <v>65380</v>
      </c>
      <c r="B791" s="67">
        <f t="shared" si="127"/>
        <v>31</v>
      </c>
      <c r="C791" s="56">
        <f>122.58</f>
        <v>122.58</v>
      </c>
      <c r="D791" s="56">
        <f>297.941</f>
        <v>297.94099999999997</v>
      </c>
      <c r="E791" s="64">
        <f>89.177</f>
        <v>89.177000000000007</v>
      </c>
      <c r="F791" s="56">
        <f>240.302-40-60-100</f>
        <v>40.301999999999992</v>
      </c>
      <c r="G791" s="59">
        <v>40</v>
      </c>
      <c r="H791" s="56">
        <f>60+100</f>
        <v>160</v>
      </c>
      <c r="I791" s="56">
        <f t="shared" si="123"/>
        <v>0</v>
      </c>
      <c r="J791" s="59">
        <v>100</v>
      </c>
      <c r="K791" s="59">
        <v>300</v>
      </c>
      <c r="L791" s="56">
        <f t="shared" si="129"/>
        <v>1150</v>
      </c>
      <c r="M791" s="66">
        <v>600</v>
      </c>
      <c r="N791" s="56">
        <f>100</f>
        <v>100</v>
      </c>
      <c r="O791" s="59">
        <v>240</v>
      </c>
      <c r="P791" s="59">
        <v>40</v>
      </c>
      <c r="Q791" s="59">
        <f t="shared" si="130"/>
        <v>315</v>
      </c>
      <c r="R791" s="59">
        <f t="shared" si="131"/>
        <v>100</v>
      </c>
      <c r="S791" s="56">
        <f t="shared" si="132"/>
        <v>695</v>
      </c>
      <c r="T791" s="56">
        <f>50</f>
        <v>50</v>
      </c>
      <c r="U791" s="57"/>
      <c r="V791" s="57"/>
      <c r="W791" s="57"/>
      <c r="X791" s="57"/>
      <c r="Y791" s="57"/>
      <c r="Z791" s="57"/>
      <c r="AA791" s="57"/>
      <c r="AB791" s="57"/>
      <c r="AC791" s="57"/>
      <c r="AD791" s="57"/>
    </row>
    <row r="792" spans="1:30" ht="15.75">
      <c r="A792" s="13">
        <v>65411</v>
      </c>
      <c r="B792" s="67">
        <f t="shared" si="127"/>
        <v>31</v>
      </c>
      <c r="C792" s="56">
        <f>122.58</f>
        <v>122.58</v>
      </c>
      <c r="D792" s="56">
        <f>297.941</f>
        <v>297.94099999999997</v>
      </c>
      <c r="E792" s="64">
        <f>89.177</f>
        <v>89.177000000000007</v>
      </c>
      <c r="F792" s="56">
        <f>240.302-40-60-100</f>
        <v>40.301999999999992</v>
      </c>
      <c r="G792" s="59">
        <v>40</v>
      </c>
      <c r="H792" s="56">
        <f>60+100</f>
        <v>160</v>
      </c>
      <c r="I792" s="56">
        <f t="shared" si="123"/>
        <v>0</v>
      </c>
      <c r="J792" s="59">
        <v>100</v>
      </c>
      <c r="K792" s="59">
        <v>300</v>
      </c>
      <c r="L792" s="56">
        <f t="shared" si="129"/>
        <v>1150</v>
      </c>
      <c r="M792" s="66">
        <v>600</v>
      </c>
      <c r="N792" s="56">
        <f>100</f>
        <v>100</v>
      </c>
      <c r="O792" s="59">
        <v>240</v>
      </c>
      <c r="P792" s="59">
        <v>40</v>
      </c>
      <c r="Q792" s="59">
        <f t="shared" si="130"/>
        <v>315</v>
      </c>
      <c r="R792" s="59">
        <f t="shared" si="131"/>
        <v>100</v>
      </c>
      <c r="S792" s="56">
        <f t="shared" si="132"/>
        <v>695</v>
      </c>
      <c r="T792" s="56">
        <f>50</f>
        <v>50</v>
      </c>
      <c r="U792" s="57"/>
      <c r="V792" s="57"/>
      <c r="W792" s="57"/>
      <c r="X792" s="57"/>
      <c r="Y792" s="57"/>
      <c r="Z792" s="57"/>
      <c r="AA792" s="57"/>
      <c r="AB792" s="57"/>
      <c r="AC792" s="57"/>
      <c r="AD792" s="57"/>
    </row>
    <row r="793" spans="1:30" ht="15.75">
      <c r="A793" s="13">
        <v>65439</v>
      </c>
      <c r="B793" s="67">
        <f t="shared" si="127"/>
        <v>28</v>
      </c>
      <c r="C793" s="56">
        <f>122.58</f>
        <v>122.58</v>
      </c>
      <c r="D793" s="56">
        <f>297.941</f>
        <v>297.94099999999997</v>
      </c>
      <c r="E793" s="64">
        <f>89.177</f>
        <v>89.177000000000007</v>
      </c>
      <c r="F793" s="56">
        <f>240.302-40-60-100</f>
        <v>40.301999999999992</v>
      </c>
      <c r="G793" s="59">
        <v>40</v>
      </c>
      <c r="H793" s="56">
        <f>60+100</f>
        <v>160</v>
      </c>
      <c r="I793" s="56">
        <f t="shared" si="123"/>
        <v>0</v>
      </c>
      <c r="J793" s="59">
        <v>100</v>
      </c>
      <c r="K793" s="59">
        <v>300</v>
      </c>
      <c r="L793" s="56">
        <f t="shared" si="129"/>
        <v>1150</v>
      </c>
      <c r="M793" s="66">
        <v>600</v>
      </c>
      <c r="N793" s="56">
        <f>100</f>
        <v>100</v>
      </c>
      <c r="O793" s="59">
        <v>240</v>
      </c>
      <c r="P793" s="59">
        <v>40</v>
      </c>
      <c r="Q793" s="59">
        <f t="shared" si="130"/>
        <v>315</v>
      </c>
      <c r="R793" s="59">
        <f t="shared" si="131"/>
        <v>100</v>
      </c>
      <c r="S793" s="56">
        <f t="shared" si="132"/>
        <v>695</v>
      </c>
      <c r="T793" s="56">
        <f>50</f>
        <v>50</v>
      </c>
      <c r="U793" s="57"/>
      <c r="V793" s="57"/>
      <c r="W793" s="57"/>
      <c r="X793" s="57"/>
      <c r="Y793" s="57"/>
      <c r="Z793" s="57"/>
      <c r="AA793" s="57"/>
      <c r="AB793" s="57"/>
      <c r="AC793" s="57"/>
      <c r="AD793" s="57"/>
    </row>
    <row r="794" spans="1:30" ht="15.75">
      <c r="A794" s="13">
        <v>65470</v>
      </c>
      <c r="B794" s="67">
        <f t="shared" si="127"/>
        <v>31</v>
      </c>
      <c r="C794" s="56">
        <f>122.58</f>
        <v>122.58</v>
      </c>
      <c r="D794" s="56">
        <f>297.941</f>
        <v>297.94099999999997</v>
      </c>
      <c r="E794" s="64">
        <f>89.177</f>
        <v>89.177000000000007</v>
      </c>
      <c r="F794" s="56">
        <f>240.302-40-60-100</f>
        <v>40.301999999999992</v>
      </c>
      <c r="G794" s="59">
        <v>40</v>
      </c>
      <c r="H794" s="56">
        <f>60+100</f>
        <v>160</v>
      </c>
      <c r="I794" s="56">
        <f t="shared" si="123"/>
        <v>0</v>
      </c>
      <c r="J794" s="59">
        <v>100</v>
      </c>
      <c r="K794" s="59">
        <v>300</v>
      </c>
      <c r="L794" s="56">
        <f t="shared" si="129"/>
        <v>1150</v>
      </c>
      <c r="M794" s="66">
        <v>600</v>
      </c>
      <c r="N794" s="56">
        <f>100</f>
        <v>100</v>
      </c>
      <c r="O794" s="59">
        <v>240</v>
      </c>
      <c r="P794" s="59">
        <v>40</v>
      </c>
      <c r="Q794" s="59">
        <f t="shared" si="130"/>
        <v>315</v>
      </c>
      <c r="R794" s="59">
        <f t="shared" si="131"/>
        <v>100</v>
      </c>
      <c r="S794" s="56">
        <f t="shared" si="132"/>
        <v>695</v>
      </c>
      <c r="T794" s="56">
        <f>50</f>
        <v>50</v>
      </c>
      <c r="U794" s="57"/>
      <c r="V794" s="57"/>
      <c r="W794" s="57"/>
      <c r="X794" s="57"/>
      <c r="Y794" s="57"/>
      <c r="Z794" s="57"/>
      <c r="AA794" s="57"/>
      <c r="AB794" s="57"/>
      <c r="AC794" s="57"/>
      <c r="AD794" s="57"/>
    </row>
    <row r="795" spans="1:30" ht="15.75">
      <c r="A795" s="13">
        <v>65500</v>
      </c>
      <c r="B795" s="67">
        <f t="shared" si="127"/>
        <v>30</v>
      </c>
      <c r="C795" s="56">
        <f>141.293</f>
        <v>141.29300000000001</v>
      </c>
      <c r="D795" s="56">
        <f>267.993</f>
        <v>267.99299999999999</v>
      </c>
      <c r="E795" s="64">
        <f>115.016</f>
        <v>115.01600000000001</v>
      </c>
      <c r="F795" s="56">
        <f>314.698-40-25-60-100</f>
        <v>89.697999999999979</v>
      </c>
      <c r="G795" s="59">
        <v>40</v>
      </c>
      <c r="H795" s="56">
        <f t="shared" ref="H795:H801" si="133">25+60+100</f>
        <v>185</v>
      </c>
      <c r="I795" s="56">
        <f t="shared" si="123"/>
        <v>0</v>
      </c>
      <c r="J795" s="59">
        <v>100</v>
      </c>
      <c r="K795" s="59">
        <v>300</v>
      </c>
      <c r="L795" s="56">
        <f t="shared" si="129"/>
        <v>1239</v>
      </c>
      <c r="M795" s="66">
        <v>600</v>
      </c>
      <c r="N795" s="56">
        <f>100</f>
        <v>100</v>
      </c>
      <c r="O795" s="59">
        <v>240</v>
      </c>
      <c r="P795" s="59">
        <v>40</v>
      </c>
      <c r="Q795" s="59">
        <f t="shared" si="130"/>
        <v>315</v>
      </c>
      <c r="R795" s="59">
        <f t="shared" si="131"/>
        <v>100</v>
      </c>
      <c r="S795" s="56">
        <f t="shared" si="132"/>
        <v>695</v>
      </c>
      <c r="T795" s="56">
        <f>50</f>
        <v>50</v>
      </c>
      <c r="U795" s="57"/>
      <c r="V795" s="57"/>
      <c r="W795" s="57"/>
      <c r="X795" s="57"/>
      <c r="Y795" s="57"/>
      <c r="Z795" s="57"/>
      <c r="AA795" s="57"/>
      <c r="AB795" s="57"/>
      <c r="AC795" s="57"/>
      <c r="AD795" s="57"/>
    </row>
    <row r="796" spans="1:30" ht="15.75">
      <c r="A796" s="13">
        <v>65531</v>
      </c>
      <c r="B796" s="67">
        <f t="shared" si="127"/>
        <v>31</v>
      </c>
      <c r="C796" s="56">
        <f>194.205</f>
        <v>194.20500000000001</v>
      </c>
      <c r="D796" s="56">
        <f>267.466</f>
        <v>267.46600000000001</v>
      </c>
      <c r="E796" s="64">
        <f>133.845</f>
        <v>133.845</v>
      </c>
      <c r="F796" s="56">
        <f>278.484-40-25-60-100</f>
        <v>53.48399999999998</v>
      </c>
      <c r="G796" s="59">
        <v>40</v>
      </c>
      <c r="H796" s="56">
        <f t="shared" si="133"/>
        <v>185</v>
      </c>
      <c r="I796" s="56">
        <f t="shared" si="123"/>
        <v>0</v>
      </c>
      <c r="J796" s="59">
        <v>100</v>
      </c>
      <c r="K796" s="59">
        <v>300</v>
      </c>
      <c r="L796" s="56">
        <f t="shared" si="129"/>
        <v>1274</v>
      </c>
      <c r="M796" s="66">
        <v>600</v>
      </c>
      <c r="N796" s="56">
        <f>75</f>
        <v>75</v>
      </c>
      <c r="O796" s="59">
        <v>240</v>
      </c>
      <c r="P796" s="59">
        <v>40</v>
      </c>
      <c r="Q796" s="59">
        <f t="shared" si="130"/>
        <v>315</v>
      </c>
      <c r="R796" s="59">
        <f t="shared" si="131"/>
        <v>100</v>
      </c>
      <c r="S796" s="56">
        <f t="shared" si="132"/>
        <v>695</v>
      </c>
      <c r="T796" s="56">
        <f>50</f>
        <v>50</v>
      </c>
      <c r="U796" s="57"/>
      <c r="V796" s="57"/>
      <c r="W796" s="57"/>
      <c r="X796" s="57"/>
      <c r="Y796" s="57"/>
      <c r="Z796" s="57"/>
      <c r="AA796" s="57"/>
      <c r="AB796" s="57"/>
      <c r="AC796" s="57"/>
      <c r="AD796" s="57"/>
    </row>
    <row r="797" spans="1:30" ht="15.75">
      <c r="A797" s="13">
        <v>65561</v>
      </c>
      <c r="B797" s="67">
        <f t="shared" si="127"/>
        <v>30</v>
      </c>
      <c r="C797" s="56">
        <f>194.205</f>
        <v>194.20500000000001</v>
      </c>
      <c r="D797" s="56">
        <f>267.466</f>
        <v>267.46600000000001</v>
      </c>
      <c r="E797" s="64">
        <f>133.845</f>
        <v>133.845</v>
      </c>
      <c r="F797" s="56">
        <f>278.484-40-25-60-100</f>
        <v>53.48399999999998</v>
      </c>
      <c r="G797" s="59">
        <v>40</v>
      </c>
      <c r="H797" s="56">
        <f t="shared" si="133"/>
        <v>185</v>
      </c>
      <c r="I797" s="56">
        <f t="shared" si="123"/>
        <v>0</v>
      </c>
      <c r="J797" s="59">
        <v>100</v>
      </c>
      <c r="K797" s="59">
        <v>300</v>
      </c>
      <c r="L797" s="56">
        <f t="shared" si="129"/>
        <v>1274</v>
      </c>
      <c r="M797" s="66">
        <v>600</v>
      </c>
      <c r="N797" s="56">
        <f>30</f>
        <v>30</v>
      </c>
      <c r="O797" s="59">
        <v>240</v>
      </c>
      <c r="P797" s="59">
        <v>40</v>
      </c>
      <c r="Q797" s="59">
        <f t="shared" si="130"/>
        <v>315</v>
      </c>
      <c r="R797" s="59">
        <f t="shared" si="131"/>
        <v>100</v>
      </c>
      <c r="S797" s="56">
        <f t="shared" si="132"/>
        <v>695</v>
      </c>
      <c r="T797" s="56">
        <f>50</f>
        <v>50</v>
      </c>
      <c r="U797" s="57"/>
      <c r="V797" s="57"/>
      <c r="W797" s="57"/>
      <c r="X797" s="57"/>
      <c r="Y797" s="57"/>
      <c r="Z797" s="57"/>
      <c r="AA797" s="57"/>
      <c r="AB797" s="57"/>
      <c r="AC797" s="57"/>
      <c r="AD797" s="57"/>
    </row>
    <row r="798" spans="1:30" ht="15.75">
      <c r="A798" s="13">
        <v>65592</v>
      </c>
      <c r="B798" s="67">
        <f t="shared" si="127"/>
        <v>31</v>
      </c>
      <c r="C798" s="56">
        <f>194.205</f>
        <v>194.20500000000001</v>
      </c>
      <c r="D798" s="56">
        <f>267.466</f>
        <v>267.46600000000001</v>
      </c>
      <c r="E798" s="64">
        <f>133.845</f>
        <v>133.845</v>
      </c>
      <c r="F798" s="56">
        <f>278.484-40-25-60-100</f>
        <v>53.48399999999998</v>
      </c>
      <c r="G798" s="59">
        <v>40</v>
      </c>
      <c r="H798" s="56">
        <f t="shared" si="133"/>
        <v>185</v>
      </c>
      <c r="I798" s="56">
        <f t="shared" si="123"/>
        <v>0</v>
      </c>
      <c r="J798" s="59">
        <v>100</v>
      </c>
      <c r="K798" s="59">
        <v>300</v>
      </c>
      <c r="L798" s="56">
        <f t="shared" si="129"/>
        <v>1274</v>
      </c>
      <c r="M798" s="66">
        <v>600</v>
      </c>
      <c r="N798" s="56">
        <f>30</f>
        <v>30</v>
      </c>
      <c r="O798" s="59">
        <v>240</v>
      </c>
      <c r="P798" s="59">
        <v>40</v>
      </c>
      <c r="Q798" s="59">
        <f t="shared" si="130"/>
        <v>315</v>
      </c>
      <c r="R798" s="59">
        <f t="shared" si="131"/>
        <v>100</v>
      </c>
      <c r="S798" s="56">
        <f t="shared" si="132"/>
        <v>695</v>
      </c>
      <c r="T798" s="56">
        <f>0</f>
        <v>0</v>
      </c>
      <c r="U798" s="57"/>
      <c r="V798" s="57"/>
      <c r="W798" s="57"/>
      <c r="X798" s="57"/>
      <c r="Y798" s="57"/>
      <c r="Z798" s="57"/>
      <c r="AA798" s="57"/>
      <c r="AB798" s="57"/>
      <c r="AC798" s="57"/>
      <c r="AD798" s="57"/>
    </row>
    <row r="799" spans="1:30" ht="15.75">
      <c r="A799" s="13">
        <v>65623</v>
      </c>
      <c r="B799" s="67">
        <f t="shared" si="127"/>
        <v>31</v>
      </c>
      <c r="C799" s="56">
        <f>194.205</f>
        <v>194.20500000000001</v>
      </c>
      <c r="D799" s="56">
        <f>267.466</f>
        <v>267.46600000000001</v>
      </c>
      <c r="E799" s="64">
        <f>133.845</f>
        <v>133.845</v>
      </c>
      <c r="F799" s="56">
        <f>278.484-40-25-60-100</f>
        <v>53.48399999999998</v>
      </c>
      <c r="G799" s="59">
        <v>40</v>
      </c>
      <c r="H799" s="56">
        <f t="shared" si="133"/>
        <v>185</v>
      </c>
      <c r="I799" s="56">
        <f t="shared" si="123"/>
        <v>0</v>
      </c>
      <c r="J799" s="59">
        <v>100</v>
      </c>
      <c r="K799" s="59">
        <v>300</v>
      </c>
      <c r="L799" s="56">
        <f t="shared" si="129"/>
        <v>1274</v>
      </c>
      <c r="M799" s="66">
        <v>600</v>
      </c>
      <c r="N799" s="56">
        <f>30</f>
        <v>30</v>
      </c>
      <c r="O799" s="59">
        <v>240</v>
      </c>
      <c r="P799" s="59">
        <v>40</v>
      </c>
      <c r="Q799" s="59">
        <f t="shared" si="130"/>
        <v>315</v>
      </c>
      <c r="R799" s="59">
        <f t="shared" si="131"/>
        <v>100</v>
      </c>
      <c r="S799" s="56">
        <f t="shared" si="132"/>
        <v>695</v>
      </c>
      <c r="T799" s="56">
        <f>0</f>
        <v>0</v>
      </c>
      <c r="U799" s="57"/>
      <c r="V799" s="57"/>
      <c r="W799" s="57"/>
      <c r="X799" s="57"/>
      <c r="Y799" s="57"/>
      <c r="Z799" s="57"/>
      <c r="AA799" s="57"/>
      <c r="AB799" s="57"/>
      <c r="AC799" s="57"/>
      <c r="AD799" s="57"/>
    </row>
    <row r="800" spans="1:30" ht="15.75">
      <c r="A800" s="13">
        <v>65653</v>
      </c>
      <c r="B800" s="67">
        <f t="shared" si="127"/>
        <v>30</v>
      </c>
      <c r="C800" s="56">
        <f>194.205</f>
        <v>194.20500000000001</v>
      </c>
      <c r="D800" s="56">
        <f>267.466</f>
        <v>267.46600000000001</v>
      </c>
      <c r="E800" s="64">
        <f>133.845</f>
        <v>133.845</v>
      </c>
      <c r="F800" s="56">
        <f>278.484-40-25-60-100</f>
        <v>53.48399999999998</v>
      </c>
      <c r="G800" s="59">
        <v>40</v>
      </c>
      <c r="H800" s="56">
        <f t="shared" si="133"/>
        <v>185</v>
      </c>
      <c r="I800" s="56">
        <f t="shared" si="123"/>
        <v>0</v>
      </c>
      <c r="J800" s="59">
        <v>100</v>
      </c>
      <c r="K800" s="59">
        <v>300</v>
      </c>
      <c r="L800" s="56">
        <f t="shared" si="129"/>
        <v>1274</v>
      </c>
      <c r="M800" s="66">
        <v>600</v>
      </c>
      <c r="N800" s="56">
        <f>30</f>
        <v>30</v>
      </c>
      <c r="O800" s="59">
        <v>240</v>
      </c>
      <c r="P800" s="59">
        <v>40</v>
      </c>
      <c r="Q800" s="59">
        <f t="shared" si="130"/>
        <v>315</v>
      </c>
      <c r="R800" s="59">
        <f t="shared" si="131"/>
        <v>100</v>
      </c>
      <c r="S800" s="56">
        <f t="shared" si="132"/>
        <v>695</v>
      </c>
      <c r="T800" s="56">
        <f>0</f>
        <v>0</v>
      </c>
      <c r="U800" s="57"/>
      <c r="V800" s="57"/>
      <c r="W800" s="57"/>
      <c r="X800" s="57"/>
      <c r="Y800" s="57"/>
      <c r="Z800" s="57"/>
      <c r="AA800" s="57"/>
      <c r="AB800" s="57"/>
      <c r="AC800" s="57"/>
      <c r="AD800" s="57"/>
    </row>
    <row r="801" spans="1:30" ht="15.75">
      <c r="A801" s="13">
        <v>65684</v>
      </c>
      <c r="B801" s="67">
        <f t="shared" si="127"/>
        <v>31</v>
      </c>
      <c r="C801" s="56">
        <f>131.881</f>
        <v>131.881</v>
      </c>
      <c r="D801" s="56">
        <f>277.167</f>
        <v>277.16699999999997</v>
      </c>
      <c r="E801" s="64">
        <f>79.08</f>
        <v>79.08</v>
      </c>
      <c r="F801" s="56">
        <f>350.872-40-25-60-100</f>
        <v>125.87200000000001</v>
      </c>
      <c r="G801" s="59">
        <v>40</v>
      </c>
      <c r="H801" s="56">
        <f t="shared" si="133"/>
        <v>185</v>
      </c>
      <c r="I801" s="56">
        <f t="shared" si="123"/>
        <v>0</v>
      </c>
      <c r="J801" s="59">
        <v>100</v>
      </c>
      <c r="K801" s="59">
        <v>300</v>
      </c>
      <c r="L801" s="56">
        <f t="shared" si="129"/>
        <v>1239</v>
      </c>
      <c r="M801" s="66">
        <v>600</v>
      </c>
      <c r="N801" s="56">
        <f>75</f>
        <v>75</v>
      </c>
      <c r="O801" s="59">
        <v>240</v>
      </c>
      <c r="P801" s="59">
        <v>40</v>
      </c>
      <c r="Q801" s="59">
        <f t="shared" si="130"/>
        <v>315</v>
      </c>
      <c r="R801" s="59">
        <f t="shared" si="131"/>
        <v>100</v>
      </c>
      <c r="S801" s="56">
        <f t="shared" si="132"/>
        <v>695</v>
      </c>
      <c r="T801" s="56">
        <f>0</f>
        <v>0</v>
      </c>
      <c r="U801" s="57"/>
      <c r="V801" s="57"/>
      <c r="W801" s="57"/>
      <c r="X801" s="57"/>
      <c r="Y801" s="57"/>
      <c r="Z801" s="57"/>
      <c r="AA801" s="57"/>
      <c r="AB801" s="57"/>
      <c r="AC801" s="57"/>
      <c r="AD801" s="57"/>
    </row>
    <row r="802" spans="1:30" ht="15.75">
      <c r="A802" s="13">
        <v>65714</v>
      </c>
      <c r="B802" s="67">
        <f t="shared" si="127"/>
        <v>30</v>
      </c>
      <c r="C802" s="56">
        <f>122.58</f>
        <v>122.58</v>
      </c>
      <c r="D802" s="56">
        <f>297.941</f>
        <v>297.94099999999997</v>
      </c>
      <c r="E802" s="64">
        <f>89.177</f>
        <v>89.177000000000007</v>
      </c>
      <c r="F802" s="56">
        <f>240.302-40-60-100</f>
        <v>40.301999999999992</v>
      </c>
      <c r="G802" s="59">
        <v>40</v>
      </c>
      <c r="H802" s="56">
        <f>60+100</f>
        <v>160</v>
      </c>
      <c r="I802" s="56">
        <f t="shared" si="123"/>
        <v>0</v>
      </c>
      <c r="J802" s="59">
        <v>100</v>
      </c>
      <c r="K802" s="59">
        <v>300</v>
      </c>
      <c r="L802" s="56">
        <f t="shared" si="129"/>
        <v>1150</v>
      </c>
      <c r="M802" s="66">
        <v>600</v>
      </c>
      <c r="N802" s="56">
        <f>100</f>
        <v>100</v>
      </c>
      <c r="O802" s="59">
        <v>240</v>
      </c>
      <c r="P802" s="59">
        <v>40</v>
      </c>
      <c r="Q802" s="59">
        <f t="shared" si="130"/>
        <v>315</v>
      </c>
      <c r="R802" s="59">
        <f t="shared" si="131"/>
        <v>100</v>
      </c>
      <c r="S802" s="56">
        <f t="shared" si="132"/>
        <v>695</v>
      </c>
      <c r="T802" s="56">
        <f>50</f>
        <v>50</v>
      </c>
      <c r="U802" s="57"/>
      <c r="V802" s="57"/>
      <c r="W802" s="57"/>
      <c r="X802" s="57"/>
      <c r="Y802" s="57"/>
      <c r="Z802" s="57"/>
      <c r="AA802" s="57"/>
      <c r="AB802" s="57"/>
      <c r="AC802" s="57"/>
      <c r="AD802" s="57"/>
    </row>
    <row r="803" spans="1:30" ht="15.75">
      <c r="A803" s="13">
        <v>65745</v>
      </c>
      <c r="B803" s="67">
        <f t="shared" si="127"/>
        <v>31</v>
      </c>
      <c r="C803" s="56">
        <f>122.58</f>
        <v>122.58</v>
      </c>
      <c r="D803" s="56">
        <f>297.941</f>
        <v>297.94099999999997</v>
      </c>
      <c r="E803" s="64">
        <f>89.177</f>
        <v>89.177000000000007</v>
      </c>
      <c r="F803" s="56">
        <f>240.302-40-60-100</f>
        <v>40.301999999999992</v>
      </c>
      <c r="G803" s="59">
        <v>40</v>
      </c>
      <c r="H803" s="56">
        <f>60+100</f>
        <v>160</v>
      </c>
      <c r="I803" s="56">
        <f t="shared" si="123"/>
        <v>0</v>
      </c>
      <c r="J803" s="59">
        <v>100</v>
      </c>
      <c r="K803" s="59">
        <v>300</v>
      </c>
      <c r="L803" s="56">
        <f t="shared" si="129"/>
        <v>1150</v>
      </c>
      <c r="M803" s="66">
        <v>600</v>
      </c>
      <c r="N803" s="56">
        <f>100</f>
        <v>100</v>
      </c>
      <c r="O803" s="59">
        <v>240</v>
      </c>
      <c r="P803" s="59">
        <v>40</v>
      </c>
      <c r="Q803" s="59">
        <f t="shared" si="130"/>
        <v>315</v>
      </c>
      <c r="R803" s="59">
        <f t="shared" si="131"/>
        <v>100</v>
      </c>
      <c r="S803" s="56">
        <f t="shared" si="132"/>
        <v>695</v>
      </c>
      <c r="T803" s="56">
        <f>50</f>
        <v>50</v>
      </c>
      <c r="U803" s="57"/>
      <c r="V803" s="57"/>
      <c r="W803" s="57"/>
      <c r="X803" s="57"/>
      <c r="Y803" s="57"/>
      <c r="Z803" s="57"/>
      <c r="AA803" s="57"/>
      <c r="AB803" s="57"/>
      <c r="AC803" s="57"/>
      <c r="AD803" s="57"/>
    </row>
    <row r="804" spans="1:30" ht="15.75">
      <c r="A804" s="13">
        <v>65776</v>
      </c>
      <c r="B804" s="67">
        <f t="shared" si="127"/>
        <v>31</v>
      </c>
      <c r="C804" s="56">
        <f>122.58</f>
        <v>122.58</v>
      </c>
      <c r="D804" s="56">
        <f>297.941</f>
        <v>297.94099999999997</v>
      </c>
      <c r="E804" s="64">
        <f>89.177</f>
        <v>89.177000000000007</v>
      </c>
      <c r="F804" s="56">
        <f>240.302-40-60-100</f>
        <v>40.301999999999992</v>
      </c>
      <c r="G804" s="59">
        <v>40</v>
      </c>
      <c r="H804" s="56">
        <f>60+100</f>
        <v>160</v>
      </c>
      <c r="I804" s="56">
        <f t="shared" si="123"/>
        <v>0</v>
      </c>
      <c r="J804" s="59">
        <v>100</v>
      </c>
      <c r="K804" s="59">
        <v>300</v>
      </c>
      <c r="L804" s="56">
        <f t="shared" si="129"/>
        <v>1150</v>
      </c>
      <c r="M804" s="66">
        <v>600</v>
      </c>
      <c r="N804" s="56">
        <f>100</f>
        <v>100</v>
      </c>
      <c r="O804" s="59">
        <v>240</v>
      </c>
      <c r="P804" s="59">
        <v>40</v>
      </c>
      <c r="Q804" s="59">
        <f t="shared" si="130"/>
        <v>315</v>
      </c>
      <c r="R804" s="59">
        <f t="shared" si="131"/>
        <v>100</v>
      </c>
      <c r="S804" s="56">
        <f t="shared" si="132"/>
        <v>695</v>
      </c>
      <c r="T804" s="56">
        <f>50</f>
        <v>50</v>
      </c>
      <c r="U804" s="57"/>
      <c r="V804" s="57"/>
      <c r="W804" s="57"/>
      <c r="X804" s="57"/>
      <c r="Y804" s="57"/>
      <c r="Z804" s="57"/>
      <c r="AA804" s="57"/>
      <c r="AB804" s="57"/>
      <c r="AC804" s="57"/>
      <c r="AD804" s="57"/>
    </row>
    <row r="805" spans="1:30" ht="15.75">
      <c r="A805" s="13">
        <v>65805</v>
      </c>
      <c r="B805" s="67">
        <f t="shared" si="127"/>
        <v>29</v>
      </c>
      <c r="C805" s="56">
        <f>122.58</f>
        <v>122.58</v>
      </c>
      <c r="D805" s="56">
        <f>297.941</f>
        <v>297.94099999999997</v>
      </c>
      <c r="E805" s="64">
        <f>89.177</f>
        <v>89.177000000000007</v>
      </c>
      <c r="F805" s="56">
        <f>240.302-40-60-100</f>
        <v>40.301999999999992</v>
      </c>
      <c r="G805" s="59">
        <v>40</v>
      </c>
      <c r="H805" s="56">
        <f>60+100</f>
        <v>160</v>
      </c>
      <c r="I805" s="56">
        <f t="shared" si="123"/>
        <v>0</v>
      </c>
      <c r="J805" s="59">
        <v>100</v>
      </c>
      <c r="K805" s="59">
        <v>300</v>
      </c>
      <c r="L805" s="56">
        <f t="shared" si="129"/>
        <v>1150</v>
      </c>
      <c r="M805" s="66">
        <v>600</v>
      </c>
      <c r="N805" s="56">
        <f>100</f>
        <v>100</v>
      </c>
      <c r="O805" s="59">
        <v>240</v>
      </c>
      <c r="P805" s="59">
        <v>40</v>
      </c>
      <c r="Q805" s="59">
        <f t="shared" si="130"/>
        <v>315</v>
      </c>
      <c r="R805" s="59">
        <f t="shared" si="131"/>
        <v>100</v>
      </c>
      <c r="S805" s="56">
        <f t="shared" si="132"/>
        <v>695</v>
      </c>
      <c r="T805" s="56">
        <f>50</f>
        <v>50</v>
      </c>
      <c r="U805" s="57"/>
      <c r="V805" s="57"/>
      <c r="W805" s="57"/>
      <c r="X805" s="57"/>
      <c r="Y805" s="57"/>
      <c r="Z805" s="57"/>
      <c r="AA805" s="57"/>
      <c r="AB805" s="57"/>
      <c r="AC805" s="57"/>
      <c r="AD805" s="57"/>
    </row>
    <row r="806" spans="1:30" ht="15.75">
      <c r="A806" s="13">
        <v>65836</v>
      </c>
      <c r="B806" s="67">
        <f t="shared" si="127"/>
        <v>31</v>
      </c>
      <c r="C806" s="56">
        <f>122.58</f>
        <v>122.58</v>
      </c>
      <c r="D806" s="56">
        <f>297.941</f>
        <v>297.94099999999997</v>
      </c>
      <c r="E806" s="64">
        <f>89.177</f>
        <v>89.177000000000007</v>
      </c>
      <c r="F806" s="56">
        <f>240.302-40-60-100</f>
        <v>40.301999999999992</v>
      </c>
      <c r="G806" s="59">
        <v>40</v>
      </c>
      <c r="H806" s="56">
        <f>60+100</f>
        <v>160</v>
      </c>
      <c r="I806" s="56">
        <f t="shared" si="123"/>
        <v>0</v>
      </c>
      <c r="J806" s="59">
        <v>100</v>
      </c>
      <c r="K806" s="59">
        <v>300</v>
      </c>
      <c r="L806" s="56">
        <f t="shared" si="129"/>
        <v>1150</v>
      </c>
      <c r="M806" s="66">
        <v>600</v>
      </c>
      <c r="N806" s="56">
        <f>100</f>
        <v>100</v>
      </c>
      <c r="O806" s="59">
        <v>240</v>
      </c>
      <c r="P806" s="59">
        <v>40</v>
      </c>
      <c r="Q806" s="59">
        <f t="shared" si="130"/>
        <v>315</v>
      </c>
      <c r="R806" s="59">
        <f t="shared" si="131"/>
        <v>100</v>
      </c>
      <c r="S806" s="56">
        <f t="shared" si="132"/>
        <v>695</v>
      </c>
      <c r="T806" s="56">
        <f>50</f>
        <v>50</v>
      </c>
      <c r="U806" s="57"/>
      <c r="V806" s="57"/>
      <c r="W806" s="57"/>
      <c r="X806" s="57"/>
      <c r="Y806" s="57"/>
      <c r="Z806" s="57"/>
      <c r="AA806" s="57"/>
      <c r="AB806" s="57"/>
      <c r="AC806" s="57"/>
      <c r="AD806" s="57"/>
    </row>
    <row r="807" spans="1:30" ht="15.75">
      <c r="A807" s="13">
        <v>65866</v>
      </c>
      <c r="B807" s="67">
        <f t="shared" si="127"/>
        <v>30</v>
      </c>
      <c r="C807" s="56">
        <f>141.293</f>
        <v>141.29300000000001</v>
      </c>
      <c r="D807" s="56">
        <f>267.993</f>
        <v>267.99299999999999</v>
      </c>
      <c r="E807" s="64">
        <f>115.016</f>
        <v>115.01600000000001</v>
      </c>
      <c r="F807" s="56">
        <f>314.698-40-25-60-100</f>
        <v>89.697999999999979</v>
      </c>
      <c r="G807" s="59">
        <v>40</v>
      </c>
      <c r="H807" s="56">
        <f t="shared" ref="H807:H813" si="134">25+60+100</f>
        <v>185</v>
      </c>
      <c r="I807" s="56">
        <f t="shared" si="123"/>
        <v>0</v>
      </c>
      <c r="J807" s="59">
        <v>100</v>
      </c>
      <c r="K807" s="59">
        <v>300</v>
      </c>
      <c r="L807" s="56">
        <f t="shared" si="129"/>
        <v>1239</v>
      </c>
      <c r="M807" s="66">
        <v>600</v>
      </c>
      <c r="N807" s="56">
        <f>100</f>
        <v>100</v>
      </c>
      <c r="O807" s="59">
        <v>240</v>
      </c>
      <c r="P807" s="59">
        <v>40</v>
      </c>
      <c r="Q807" s="59">
        <f t="shared" si="130"/>
        <v>315</v>
      </c>
      <c r="R807" s="59">
        <f t="shared" si="131"/>
        <v>100</v>
      </c>
      <c r="S807" s="56">
        <f t="shared" si="132"/>
        <v>695</v>
      </c>
      <c r="T807" s="56">
        <f>50</f>
        <v>50</v>
      </c>
      <c r="U807" s="57"/>
      <c r="V807" s="57"/>
      <c r="W807" s="57"/>
      <c r="X807" s="57"/>
      <c r="Y807" s="57"/>
      <c r="Z807" s="57"/>
      <c r="AA807" s="57"/>
      <c r="AB807" s="57"/>
      <c r="AC807" s="57"/>
      <c r="AD807" s="57"/>
    </row>
    <row r="808" spans="1:30" ht="15.75">
      <c r="A808" s="13">
        <v>65897</v>
      </c>
      <c r="B808" s="67">
        <f t="shared" si="127"/>
        <v>31</v>
      </c>
      <c r="C808" s="56">
        <f>194.205</f>
        <v>194.20500000000001</v>
      </c>
      <c r="D808" s="56">
        <f>267.466</f>
        <v>267.46600000000001</v>
      </c>
      <c r="E808" s="64">
        <f>133.845</f>
        <v>133.845</v>
      </c>
      <c r="F808" s="56">
        <f>278.484-40-25-60-100</f>
        <v>53.48399999999998</v>
      </c>
      <c r="G808" s="59">
        <v>40</v>
      </c>
      <c r="H808" s="56">
        <f t="shared" si="134"/>
        <v>185</v>
      </c>
      <c r="I808" s="56">
        <f t="shared" ref="I808:I871" si="135">400-J808-K808</f>
        <v>0</v>
      </c>
      <c r="J808" s="59">
        <v>100</v>
      </c>
      <c r="K808" s="59">
        <v>300</v>
      </c>
      <c r="L808" s="56">
        <f t="shared" si="129"/>
        <v>1274</v>
      </c>
      <c r="M808" s="66">
        <v>600</v>
      </c>
      <c r="N808" s="56">
        <f>75</f>
        <v>75</v>
      </c>
      <c r="O808" s="59">
        <v>240</v>
      </c>
      <c r="P808" s="59">
        <v>40</v>
      </c>
      <c r="Q808" s="59">
        <f t="shared" si="130"/>
        <v>315</v>
      </c>
      <c r="R808" s="59">
        <f t="shared" si="131"/>
        <v>100</v>
      </c>
      <c r="S808" s="56">
        <f t="shared" si="132"/>
        <v>695</v>
      </c>
      <c r="T808" s="56">
        <f>50</f>
        <v>50</v>
      </c>
      <c r="U808" s="57"/>
      <c r="V808" s="57"/>
      <c r="W808" s="57"/>
      <c r="X808" s="57"/>
      <c r="Y808" s="57"/>
      <c r="Z808" s="57"/>
      <c r="AA808" s="57"/>
      <c r="AB808" s="57"/>
      <c r="AC808" s="57"/>
      <c r="AD808" s="57"/>
    </row>
    <row r="809" spans="1:30" ht="15.75">
      <c r="A809" s="13">
        <v>65927</v>
      </c>
      <c r="B809" s="67">
        <f t="shared" si="127"/>
        <v>30</v>
      </c>
      <c r="C809" s="56">
        <f>194.205</f>
        <v>194.20500000000001</v>
      </c>
      <c r="D809" s="56">
        <f>267.466</f>
        <v>267.46600000000001</v>
      </c>
      <c r="E809" s="64">
        <f>133.845</f>
        <v>133.845</v>
      </c>
      <c r="F809" s="56">
        <f>278.484-40-25-60-100</f>
        <v>53.48399999999998</v>
      </c>
      <c r="G809" s="59">
        <v>40</v>
      </c>
      <c r="H809" s="56">
        <f t="shared" si="134"/>
        <v>185</v>
      </c>
      <c r="I809" s="56">
        <f t="shared" si="135"/>
        <v>0</v>
      </c>
      <c r="J809" s="59">
        <v>100</v>
      </c>
      <c r="K809" s="59">
        <v>300</v>
      </c>
      <c r="L809" s="56">
        <f t="shared" si="129"/>
        <v>1274</v>
      </c>
      <c r="M809" s="66">
        <v>600</v>
      </c>
      <c r="N809" s="56">
        <f>30</f>
        <v>30</v>
      </c>
      <c r="O809" s="59">
        <v>240</v>
      </c>
      <c r="P809" s="59">
        <v>40</v>
      </c>
      <c r="Q809" s="59">
        <f t="shared" si="130"/>
        <v>315</v>
      </c>
      <c r="R809" s="59">
        <f t="shared" si="131"/>
        <v>100</v>
      </c>
      <c r="S809" s="56">
        <f t="shared" si="132"/>
        <v>695</v>
      </c>
      <c r="T809" s="56">
        <f>50</f>
        <v>50</v>
      </c>
      <c r="U809" s="57"/>
      <c r="V809" s="57"/>
      <c r="W809" s="57"/>
      <c r="X809" s="57"/>
      <c r="Y809" s="57"/>
      <c r="Z809" s="57"/>
      <c r="AA809" s="57"/>
      <c r="AB809" s="57"/>
      <c r="AC809" s="57"/>
      <c r="AD809" s="57"/>
    </row>
    <row r="810" spans="1:30" ht="15.75">
      <c r="A810" s="13">
        <v>65958</v>
      </c>
      <c r="B810" s="67">
        <f t="shared" si="127"/>
        <v>31</v>
      </c>
      <c r="C810" s="56">
        <f>194.205</f>
        <v>194.20500000000001</v>
      </c>
      <c r="D810" s="56">
        <f>267.466</f>
        <v>267.46600000000001</v>
      </c>
      <c r="E810" s="64">
        <f>133.845</f>
        <v>133.845</v>
      </c>
      <c r="F810" s="56">
        <f>278.484-40-25-60-100</f>
        <v>53.48399999999998</v>
      </c>
      <c r="G810" s="59">
        <v>40</v>
      </c>
      <c r="H810" s="56">
        <f t="shared" si="134"/>
        <v>185</v>
      </c>
      <c r="I810" s="56">
        <f t="shared" si="135"/>
        <v>0</v>
      </c>
      <c r="J810" s="59">
        <v>100</v>
      </c>
      <c r="K810" s="59">
        <v>300</v>
      </c>
      <c r="L810" s="56">
        <f t="shared" si="129"/>
        <v>1274</v>
      </c>
      <c r="M810" s="66">
        <v>600</v>
      </c>
      <c r="N810" s="56">
        <f>30</f>
        <v>30</v>
      </c>
      <c r="O810" s="59">
        <v>240</v>
      </c>
      <c r="P810" s="59">
        <v>40</v>
      </c>
      <c r="Q810" s="59">
        <f t="shared" si="130"/>
        <v>315</v>
      </c>
      <c r="R810" s="59">
        <f t="shared" si="131"/>
        <v>100</v>
      </c>
      <c r="S810" s="56">
        <f t="shared" si="132"/>
        <v>695</v>
      </c>
      <c r="T810" s="56">
        <f>0</f>
        <v>0</v>
      </c>
      <c r="U810" s="57"/>
      <c r="V810" s="57"/>
      <c r="W810" s="57"/>
      <c r="X810" s="57"/>
      <c r="Y810" s="57"/>
      <c r="Z810" s="57"/>
      <c r="AA810" s="57"/>
      <c r="AB810" s="57"/>
      <c r="AC810" s="57"/>
      <c r="AD810" s="57"/>
    </row>
    <row r="811" spans="1:30" ht="15.75">
      <c r="A811" s="13">
        <v>65989</v>
      </c>
      <c r="B811" s="67">
        <f t="shared" si="127"/>
        <v>31</v>
      </c>
      <c r="C811" s="56">
        <f>194.205</f>
        <v>194.20500000000001</v>
      </c>
      <c r="D811" s="56">
        <f>267.466</f>
        <v>267.46600000000001</v>
      </c>
      <c r="E811" s="64">
        <f>133.845</f>
        <v>133.845</v>
      </c>
      <c r="F811" s="56">
        <f>278.484-40-25-60-100</f>
        <v>53.48399999999998</v>
      </c>
      <c r="G811" s="59">
        <v>40</v>
      </c>
      <c r="H811" s="56">
        <f t="shared" si="134"/>
        <v>185</v>
      </c>
      <c r="I811" s="56">
        <f t="shared" si="135"/>
        <v>0</v>
      </c>
      <c r="J811" s="59">
        <v>100</v>
      </c>
      <c r="K811" s="59">
        <v>300</v>
      </c>
      <c r="L811" s="56">
        <f t="shared" si="129"/>
        <v>1274</v>
      </c>
      <c r="M811" s="66">
        <v>600</v>
      </c>
      <c r="N811" s="56">
        <f>30</f>
        <v>30</v>
      </c>
      <c r="O811" s="59">
        <v>240</v>
      </c>
      <c r="P811" s="59">
        <v>40</v>
      </c>
      <c r="Q811" s="59">
        <f t="shared" si="130"/>
        <v>315</v>
      </c>
      <c r="R811" s="59">
        <f t="shared" si="131"/>
        <v>100</v>
      </c>
      <c r="S811" s="56">
        <f t="shared" si="132"/>
        <v>695</v>
      </c>
      <c r="T811" s="56">
        <f>0</f>
        <v>0</v>
      </c>
      <c r="U811" s="57"/>
      <c r="V811" s="57"/>
      <c r="W811" s="57"/>
      <c r="X811" s="57"/>
      <c r="Y811" s="57"/>
      <c r="Z811" s="57"/>
      <c r="AA811" s="57"/>
      <c r="AB811" s="57"/>
      <c r="AC811" s="57"/>
      <c r="AD811" s="57"/>
    </row>
    <row r="812" spans="1:30" ht="15.75">
      <c r="A812" s="13">
        <v>66019</v>
      </c>
      <c r="B812" s="67">
        <f t="shared" si="127"/>
        <v>30</v>
      </c>
      <c r="C812" s="56">
        <f>194.205</f>
        <v>194.20500000000001</v>
      </c>
      <c r="D812" s="56">
        <f>267.466</f>
        <v>267.46600000000001</v>
      </c>
      <c r="E812" s="64">
        <f>133.845</f>
        <v>133.845</v>
      </c>
      <c r="F812" s="56">
        <f>278.484-40-25-60-100</f>
        <v>53.48399999999998</v>
      </c>
      <c r="G812" s="59">
        <v>40</v>
      </c>
      <c r="H812" s="56">
        <f t="shared" si="134"/>
        <v>185</v>
      </c>
      <c r="I812" s="56">
        <f t="shared" si="135"/>
        <v>0</v>
      </c>
      <c r="J812" s="59">
        <v>100</v>
      </c>
      <c r="K812" s="59">
        <v>300</v>
      </c>
      <c r="L812" s="56">
        <f t="shared" si="129"/>
        <v>1274</v>
      </c>
      <c r="M812" s="66">
        <v>600</v>
      </c>
      <c r="N812" s="56">
        <f>30</f>
        <v>30</v>
      </c>
      <c r="O812" s="59">
        <v>240</v>
      </c>
      <c r="P812" s="59">
        <v>40</v>
      </c>
      <c r="Q812" s="59">
        <f t="shared" si="130"/>
        <v>315</v>
      </c>
      <c r="R812" s="59">
        <f t="shared" si="131"/>
        <v>100</v>
      </c>
      <c r="S812" s="56">
        <f t="shared" si="132"/>
        <v>695</v>
      </c>
      <c r="T812" s="56">
        <f>0</f>
        <v>0</v>
      </c>
      <c r="U812" s="57"/>
      <c r="V812" s="57"/>
      <c r="W812" s="57"/>
      <c r="X812" s="57"/>
      <c r="Y812" s="57"/>
      <c r="Z812" s="57"/>
      <c r="AA812" s="57"/>
      <c r="AB812" s="57"/>
      <c r="AC812" s="57"/>
      <c r="AD812" s="57"/>
    </row>
    <row r="813" spans="1:30" ht="15.75">
      <c r="A813" s="13">
        <v>66050</v>
      </c>
      <c r="B813" s="67">
        <f t="shared" si="127"/>
        <v>31</v>
      </c>
      <c r="C813" s="56">
        <f>131.881</f>
        <v>131.881</v>
      </c>
      <c r="D813" s="56">
        <f>277.167</f>
        <v>277.16699999999997</v>
      </c>
      <c r="E813" s="64">
        <f>79.08</f>
        <v>79.08</v>
      </c>
      <c r="F813" s="56">
        <f>350.872-40-25-60-100</f>
        <v>125.87200000000001</v>
      </c>
      <c r="G813" s="59">
        <v>40</v>
      </c>
      <c r="H813" s="56">
        <f t="shared" si="134"/>
        <v>185</v>
      </c>
      <c r="I813" s="56">
        <f t="shared" si="135"/>
        <v>0</v>
      </c>
      <c r="J813" s="59">
        <v>100</v>
      </c>
      <c r="K813" s="59">
        <v>300</v>
      </c>
      <c r="L813" s="56">
        <f t="shared" si="129"/>
        <v>1239</v>
      </c>
      <c r="M813" s="66">
        <v>600</v>
      </c>
      <c r="N813" s="56">
        <f>75</f>
        <v>75</v>
      </c>
      <c r="O813" s="59">
        <v>240</v>
      </c>
      <c r="P813" s="59">
        <v>40</v>
      </c>
      <c r="Q813" s="59">
        <f t="shared" si="130"/>
        <v>315</v>
      </c>
      <c r="R813" s="59">
        <f t="shared" si="131"/>
        <v>100</v>
      </c>
      <c r="S813" s="56">
        <f t="shared" si="132"/>
        <v>695</v>
      </c>
      <c r="T813" s="56">
        <f>0</f>
        <v>0</v>
      </c>
      <c r="U813" s="57"/>
      <c r="V813" s="57"/>
      <c r="W813" s="57"/>
      <c r="X813" s="57"/>
      <c r="Y813" s="57"/>
      <c r="Z813" s="57"/>
      <c r="AA813" s="57"/>
      <c r="AB813" s="57"/>
      <c r="AC813" s="57"/>
      <c r="AD813" s="57"/>
    </row>
    <row r="814" spans="1:30" ht="15.75">
      <c r="A814" s="13">
        <v>66080</v>
      </c>
      <c r="B814" s="67">
        <f t="shared" si="127"/>
        <v>30</v>
      </c>
      <c r="C814" s="56">
        <f>122.58</f>
        <v>122.58</v>
      </c>
      <c r="D814" s="56">
        <f>297.941</f>
        <v>297.94099999999997</v>
      </c>
      <c r="E814" s="64">
        <f>89.177</f>
        <v>89.177000000000007</v>
      </c>
      <c r="F814" s="56">
        <f>240.302-40-60-100</f>
        <v>40.301999999999992</v>
      </c>
      <c r="G814" s="59">
        <v>40</v>
      </c>
      <c r="H814" s="56">
        <f>60+100</f>
        <v>160</v>
      </c>
      <c r="I814" s="56">
        <f t="shared" si="135"/>
        <v>0</v>
      </c>
      <c r="J814" s="59">
        <v>100</v>
      </c>
      <c r="K814" s="59">
        <v>300</v>
      </c>
      <c r="L814" s="56">
        <f t="shared" si="129"/>
        <v>1150</v>
      </c>
      <c r="M814" s="66">
        <v>600</v>
      </c>
      <c r="N814" s="56">
        <f>100</f>
        <v>100</v>
      </c>
      <c r="O814" s="59">
        <v>240</v>
      </c>
      <c r="P814" s="59">
        <v>40</v>
      </c>
      <c r="Q814" s="59">
        <f t="shared" si="130"/>
        <v>315</v>
      </c>
      <c r="R814" s="59">
        <f t="shared" si="131"/>
        <v>100</v>
      </c>
      <c r="S814" s="56">
        <f t="shared" si="132"/>
        <v>695</v>
      </c>
      <c r="T814" s="56">
        <f>50</f>
        <v>50</v>
      </c>
      <c r="U814" s="57"/>
      <c r="V814" s="57"/>
      <c r="W814" s="57"/>
      <c r="X814" s="57"/>
      <c r="Y814" s="57"/>
      <c r="Z814" s="57"/>
      <c r="AA814" s="57"/>
      <c r="AB814" s="57"/>
      <c r="AC814" s="57"/>
      <c r="AD814" s="57"/>
    </row>
    <row r="815" spans="1:30" ht="15.75">
      <c r="A815" s="13">
        <v>66111</v>
      </c>
      <c r="B815" s="67">
        <f t="shared" si="127"/>
        <v>31</v>
      </c>
      <c r="C815" s="56">
        <f>122.58</f>
        <v>122.58</v>
      </c>
      <c r="D815" s="56">
        <f>297.941</f>
        <v>297.94099999999997</v>
      </c>
      <c r="E815" s="64">
        <f>89.177</f>
        <v>89.177000000000007</v>
      </c>
      <c r="F815" s="56">
        <f>240.302-40-60-100</f>
        <v>40.301999999999992</v>
      </c>
      <c r="G815" s="59">
        <v>40</v>
      </c>
      <c r="H815" s="56">
        <f>60+100</f>
        <v>160</v>
      </c>
      <c r="I815" s="56">
        <f t="shared" si="135"/>
        <v>0</v>
      </c>
      <c r="J815" s="59">
        <v>100</v>
      </c>
      <c r="K815" s="59">
        <v>300</v>
      </c>
      <c r="L815" s="56">
        <f t="shared" si="129"/>
        <v>1150</v>
      </c>
      <c r="M815" s="66">
        <v>600</v>
      </c>
      <c r="N815" s="56">
        <f>100</f>
        <v>100</v>
      </c>
      <c r="O815" s="59">
        <v>240</v>
      </c>
      <c r="P815" s="59">
        <v>40</v>
      </c>
      <c r="Q815" s="59">
        <f t="shared" si="130"/>
        <v>315</v>
      </c>
      <c r="R815" s="59">
        <f t="shared" si="131"/>
        <v>100</v>
      </c>
      <c r="S815" s="56">
        <f t="shared" si="132"/>
        <v>695</v>
      </c>
      <c r="T815" s="56">
        <f>50</f>
        <v>50</v>
      </c>
      <c r="U815" s="57"/>
      <c r="V815" s="57"/>
      <c r="W815" s="57"/>
      <c r="X815" s="57"/>
      <c r="Y815" s="57"/>
      <c r="Z815" s="57"/>
      <c r="AA815" s="57"/>
      <c r="AB815" s="57"/>
      <c r="AC815" s="57"/>
      <c r="AD815" s="57"/>
    </row>
    <row r="816" spans="1:30" ht="15.75">
      <c r="A816" s="13">
        <v>66142</v>
      </c>
      <c r="B816" s="67">
        <f t="shared" si="127"/>
        <v>31</v>
      </c>
      <c r="C816" s="56">
        <f>122.58</f>
        <v>122.58</v>
      </c>
      <c r="D816" s="56">
        <f>297.941</f>
        <v>297.94099999999997</v>
      </c>
      <c r="E816" s="64">
        <f>89.177</f>
        <v>89.177000000000007</v>
      </c>
      <c r="F816" s="56">
        <f>240.302-40-60-100</f>
        <v>40.301999999999992</v>
      </c>
      <c r="G816" s="59">
        <v>40</v>
      </c>
      <c r="H816" s="56">
        <f>60+100</f>
        <v>160</v>
      </c>
      <c r="I816" s="56">
        <f t="shared" si="135"/>
        <v>0</v>
      </c>
      <c r="J816" s="59">
        <v>100</v>
      </c>
      <c r="K816" s="59">
        <v>300</v>
      </c>
      <c r="L816" s="56">
        <f t="shared" si="129"/>
        <v>1150</v>
      </c>
      <c r="M816" s="66">
        <v>600</v>
      </c>
      <c r="N816" s="56">
        <f>100</f>
        <v>100</v>
      </c>
      <c r="O816" s="59">
        <v>240</v>
      </c>
      <c r="P816" s="59">
        <v>40</v>
      </c>
      <c r="Q816" s="59">
        <f t="shared" si="130"/>
        <v>315</v>
      </c>
      <c r="R816" s="59">
        <f t="shared" si="131"/>
        <v>100</v>
      </c>
      <c r="S816" s="56">
        <f t="shared" si="132"/>
        <v>695</v>
      </c>
      <c r="T816" s="56">
        <f>50</f>
        <v>50</v>
      </c>
      <c r="U816" s="57"/>
      <c r="V816" s="57"/>
      <c r="W816" s="57"/>
      <c r="X816" s="57"/>
      <c r="Y816" s="57"/>
      <c r="Z816" s="57"/>
      <c r="AA816" s="57"/>
      <c r="AB816" s="57"/>
      <c r="AC816" s="57"/>
      <c r="AD816" s="57"/>
    </row>
    <row r="817" spans="1:30" ht="15.75">
      <c r="A817" s="13">
        <v>66170</v>
      </c>
      <c r="B817" s="67">
        <f t="shared" si="127"/>
        <v>28</v>
      </c>
      <c r="C817" s="56">
        <f>122.58</f>
        <v>122.58</v>
      </c>
      <c r="D817" s="56">
        <f>297.941</f>
        <v>297.94099999999997</v>
      </c>
      <c r="E817" s="64">
        <f>89.177</f>
        <v>89.177000000000007</v>
      </c>
      <c r="F817" s="56">
        <f>240.302-40-60-100</f>
        <v>40.301999999999992</v>
      </c>
      <c r="G817" s="59">
        <v>40</v>
      </c>
      <c r="H817" s="56">
        <f>60+100</f>
        <v>160</v>
      </c>
      <c r="I817" s="56">
        <f t="shared" si="135"/>
        <v>0</v>
      </c>
      <c r="J817" s="59">
        <v>100</v>
      </c>
      <c r="K817" s="59">
        <v>300</v>
      </c>
      <c r="L817" s="56">
        <f t="shared" si="129"/>
        <v>1150</v>
      </c>
      <c r="M817" s="66">
        <v>600</v>
      </c>
      <c r="N817" s="56">
        <f>100</f>
        <v>100</v>
      </c>
      <c r="O817" s="59">
        <v>240</v>
      </c>
      <c r="P817" s="59">
        <v>40</v>
      </c>
      <c r="Q817" s="59">
        <f t="shared" si="130"/>
        <v>315</v>
      </c>
      <c r="R817" s="59">
        <f t="shared" si="131"/>
        <v>100</v>
      </c>
      <c r="S817" s="56">
        <f t="shared" si="132"/>
        <v>695</v>
      </c>
      <c r="T817" s="56">
        <f>50</f>
        <v>50</v>
      </c>
      <c r="U817" s="57"/>
      <c r="V817" s="57"/>
      <c r="W817" s="57"/>
      <c r="X817" s="57"/>
      <c r="Y817" s="57"/>
      <c r="Z817" s="57"/>
      <c r="AA817" s="57"/>
      <c r="AB817" s="57"/>
      <c r="AC817" s="57"/>
      <c r="AD817" s="57"/>
    </row>
    <row r="818" spans="1:30" ht="15.75">
      <c r="A818" s="13">
        <v>66201</v>
      </c>
      <c r="B818" s="67">
        <f t="shared" si="127"/>
        <v>31</v>
      </c>
      <c r="C818" s="56">
        <f>122.58</f>
        <v>122.58</v>
      </c>
      <c r="D818" s="56">
        <f>297.941</f>
        <v>297.94099999999997</v>
      </c>
      <c r="E818" s="64">
        <f>89.177</f>
        <v>89.177000000000007</v>
      </c>
      <c r="F818" s="56">
        <f>240.302-40-60-100</f>
        <v>40.301999999999992</v>
      </c>
      <c r="G818" s="59">
        <v>40</v>
      </c>
      <c r="H818" s="56">
        <f>60+100</f>
        <v>160</v>
      </c>
      <c r="I818" s="56">
        <f t="shared" si="135"/>
        <v>0</v>
      </c>
      <c r="J818" s="59">
        <v>100</v>
      </c>
      <c r="K818" s="59">
        <v>300</v>
      </c>
      <c r="L818" s="56">
        <f t="shared" si="129"/>
        <v>1150</v>
      </c>
      <c r="M818" s="66">
        <v>600</v>
      </c>
      <c r="N818" s="56">
        <f>100</f>
        <v>100</v>
      </c>
      <c r="O818" s="59">
        <v>240</v>
      </c>
      <c r="P818" s="59">
        <v>40</v>
      </c>
      <c r="Q818" s="59">
        <f t="shared" si="130"/>
        <v>315</v>
      </c>
      <c r="R818" s="59">
        <f t="shared" si="131"/>
        <v>100</v>
      </c>
      <c r="S818" s="56">
        <f t="shared" si="132"/>
        <v>695</v>
      </c>
      <c r="T818" s="56">
        <f>50</f>
        <v>50</v>
      </c>
      <c r="U818" s="57"/>
      <c r="V818" s="57"/>
      <c r="W818" s="57"/>
      <c r="X818" s="57"/>
      <c r="Y818" s="57"/>
      <c r="Z818" s="57"/>
      <c r="AA818" s="57"/>
      <c r="AB818" s="57"/>
      <c r="AC818" s="57"/>
      <c r="AD818" s="57"/>
    </row>
    <row r="819" spans="1:30" ht="15.75">
      <c r="A819" s="13">
        <v>66231</v>
      </c>
      <c r="B819" s="67">
        <f t="shared" si="127"/>
        <v>30</v>
      </c>
      <c r="C819" s="56">
        <f>141.293</f>
        <v>141.29300000000001</v>
      </c>
      <c r="D819" s="56">
        <f>267.993</f>
        <v>267.99299999999999</v>
      </c>
      <c r="E819" s="64">
        <f>115.016</f>
        <v>115.01600000000001</v>
      </c>
      <c r="F819" s="56">
        <f>314.698-40-25-60-100</f>
        <v>89.697999999999979</v>
      </c>
      <c r="G819" s="59">
        <v>40</v>
      </c>
      <c r="H819" s="56">
        <f t="shared" ref="H819:H825" si="136">25+60+100</f>
        <v>185</v>
      </c>
      <c r="I819" s="56">
        <f t="shared" si="135"/>
        <v>0</v>
      </c>
      <c r="J819" s="59">
        <v>100</v>
      </c>
      <c r="K819" s="59">
        <v>300</v>
      </c>
      <c r="L819" s="56">
        <f t="shared" si="129"/>
        <v>1239</v>
      </c>
      <c r="M819" s="66">
        <v>600</v>
      </c>
      <c r="N819" s="56">
        <f>100</f>
        <v>100</v>
      </c>
      <c r="O819" s="59">
        <v>240</v>
      </c>
      <c r="P819" s="59">
        <v>40</v>
      </c>
      <c r="Q819" s="59">
        <f t="shared" si="130"/>
        <v>315</v>
      </c>
      <c r="R819" s="59">
        <f t="shared" si="131"/>
        <v>100</v>
      </c>
      <c r="S819" s="56">
        <f t="shared" si="132"/>
        <v>695</v>
      </c>
      <c r="T819" s="56">
        <f>50</f>
        <v>50</v>
      </c>
      <c r="U819" s="57"/>
      <c r="V819" s="57"/>
      <c r="W819" s="57"/>
      <c r="X819" s="57"/>
      <c r="Y819" s="57"/>
      <c r="Z819" s="57"/>
      <c r="AA819" s="57"/>
      <c r="AB819" s="57"/>
      <c r="AC819" s="57"/>
      <c r="AD819" s="57"/>
    </row>
    <row r="820" spans="1:30" ht="15.75">
      <c r="A820" s="13">
        <v>66262</v>
      </c>
      <c r="B820" s="67">
        <f t="shared" si="127"/>
        <v>31</v>
      </c>
      <c r="C820" s="56">
        <f>194.205</f>
        <v>194.20500000000001</v>
      </c>
      <c r="D820" s="56">
        <f>267.466</f>
        <v>267.46600000000001</v>
      </c>
      <c r="E820" s="64">
        <f>133.845</f>
        <v>133.845</v>
      </c>
      <c r="F820" s="56">
        <f>278.484-40-25-60-100</f>
        <v>53.48399999999998</v>
      </c>
      <c r="G820" s="59">
        <v>40</v>
      </c>
      <c r="H820" s="56">
        <f t="shared" si="136"/>
        <v>185</v>
      </c>
      <c r="I820" s="56">
        <f t="shared" si="135"/>
        <v>0</v>
      </c>
      <c r="J820" s="59">
        <v>100</v>
      </c>
      <c r="K820" s="59">
        <v>300</v>
      </c>
      <c r="L820" s="56">
        <f t="shared" si="129"/>
        <v>1274</v>
      </c>
      <c r="M820" s="66">
        <v>600</v>
      </c>
      <c r="N820" s="56">
        <f>75</f>
        <v>75</v>
      </c>
      <c r="O820" s="59">
        <v>240</v>
      </c>
      <c r="P820" s="59">
        <v>40</v>
      </c>
      <c r="Q820" s="59">
        <f t="shared" si="130"/>
        <v>315</v>
      </c>
      <c r="R820" s="59">
        <f t="shared" si="131"/>
        <v>100</v>
      </c>
      <c r="S820" s="56">
        <f t="shared" si="132"/>
        <v>695</v>
      </c>
      <c r="T820" s="56">
        <f>50</f>
        <v>50</v>
      </c>
      <c r="U820" s="57"/>
      <c r="V820" s="57"/>
      <c r="W820" s="57"/>
      <c r="X820" s="57"/>
      <c r="Y820" s="57"/>
      <c r="Z820" s="57"/>
      <c r="AA820" s="57"/>
      <c r="AB820" s="57"/>
      <c r="AC820" s="57"/>
      <c r="AD820" s="57"/>
    </row>
    <row r="821" spans="1:30" ht="15.75">
      <c r="A821" s="13">
        <v>66292</v>
      </c>
      <c r="B821" s="67">
        <f t="shared" si="127"/>
        <v>30</v>
      </c>
      <c r="C821" s="56">
        <f>194.205</f>
        <v>194.20500000000001</v>
      </c>
      <c r="D821" s="56">
        <f>267.466</f>
        <v>267.46600000000001</v>
      </c>
      <c r="E821" s="64">
        <f>133.845</f>
        <v>133.845</v>
      </c>
      <c r="F821" s="56">
        <f>278.484-40-25-60-100</f>
        <v>53.48399999999998</v>
      </c>
      <c r="G821" s="59">
        <v>40</v>
      </c>
      <c r="H821" s="56">
        <f t="shared" si="136"/>
        <v>185</v>
      </c>
      <c r="I821" s="56">
        <f t="shared" si="135"/>
        <v>0</v>
      </c>
      <c r="J821" s="59">
        <v>100</v>
      </c>
      <c r="K821" s="59">
        <v>300</v>
      </c>
      <c r="L821" s="56">
        <f t="shared" si="129"/>
        <v>1274</v>
      </c>
      <c r="M821" s="66">
        <v>600</v>
      </c>
      <c r="N821" s="56">
        <f>30</f>
        <v>30</v>
      </c>
      <c r="O821" s="59">
        <v>240</v>
      </c>
      <c r="P821" s="59">
        <v>40</v>
      </c>
      <c r="Q821" s="59">
        <f t="shared" si="130"/>
        <v>315</v>
      </c>
      <c r="R821" s="59">
        <f t="shared" si="131"/>
        <v>100</v>
      </c>
      <c r="S821" s="56">
        <f t="shared" si="132"/>
        <v>695</v>
      </c>
      <c r="T821" s="56">
        <f>50</f>
        <v>50</v>
      </c>
      <c r="U821" s="57"/>
      <c r="V821" s="57"/>
      <c r="W821" s="57"/>
      <c r="X821" s="57"/>
      <c r="Y821" s="57"/>
      <c r="Z821" s="57"/>
      <c r="AA821" s="57"/>
      <c r="AB821" s="57"/>
      <c r="AC821" s="57"/>
      <c r="AD821" s="57"/>
    </row>
    <row r="822" spans="1:30" ht="15.75">
      <c r="A822" s="13">
        <v>66323</v>
      </c>
      <c r="B822" s="67">
        <f t="shared" si="127"/>
        <v>31</v>
      </c>
      <c r="C822" s="56">
        <f>194.205</f>
        <v>194.20500000000001</v>
      </c>
      <c r="D822" s="56">
        <f>267.466</f>
        <v>267.46600000000001</v>
      </c>
      <c r="E822" s="64">
        <f>133.845</f>
        <v>133.845</v>
      </c>
      <c r="F822" s="56">
        <f>278.484-40-25-60-100</f>
        <v>53.48399999999998</v>
      </c>
      <c r="G822" s="59">
        <v>40</v>
      </c>
      <c r="H822" s="56">
        <f t="shared" si="136"/>
        <v>185</v>
      </c>
      <c r="I822" s="56">
        <f t="shared" si="135"/>
        <v>0</v>
      </c>
      <c r="J822" s="59">
        <v>100</v>
      </c>
      <c r="K822" s="59">
        <v>300</v>
      </c>
      <c r="L822" s="56">
        <f t="shared" si="129"/>
        <v>1274</v>
      </c>
      <c r="M822" s="66">
        <v>600</v>
      </c>
      <c r="N822" s="56">
        <f>30</f>
        <v>30</v>
      </c>
      <c r="O822" s="59">
        <v>240</v>
      </c>
      <c r="P822" s="59">
        <v>40</v>
      </c>
      <c r="Q822" s="59">
        <f t="shared" si="130"/>
        <v>315</v>
      </c>
      <c r="R822" s="59">
        <f t="shared" si="131"/>
        <v>100</v>
      </c>
      <c r="S822" s="56">
        <f t="shared" si="132"/>
        <v>695</v>
      </c>
      <c r="T822" s="56">
        <f>0</f>
        <v>0</v>
      </c>
      <c r="U822" s="57"/>
      <c r="V822" s="57"/>
      <c r="W822" s="57"/>
      <c r="X822" s="57"/>
      <c r="Y822" s="57"/>
      <c r="Z822" s="57"/>
      <c r="AA822" s="57"/>
      <c r="AB822" s="57"/>
      <c r="AC822" s="57"/>
      <c r="AD822" s="57"/>
    </row>
    <row r="823" spans="1:30" ht="15.75">
      <c r="A823" s="13">
        <v>66354</v>
      </c>
      <c r="B823" s="67">
        <f t="shared" si="127"/>
        <v>31</v>
      </c>
      <c r="C823" s="56">
        <f>194.205</f>
        <v>194.20500000000001</v>
      </c>
      <c r="D823" s="56">
        <f>267.466</f>
        <v>267.46600000000001</v>
      </c>
      <c r="E823" s="64">
        <f>133.845</f>
        <v>133.845</v>
      </c>
      <c r="F823" s="56">
        <f>278.484-40-25-60-100</f>
        <v>53.48399999999998</v>
      </c>
      <c r="G823" s="59">
        <v>40</v>
      </c>
      <c r="H823" s="56">
        <f t="shared" si="136"/>
        <v>185</v>
      </c>
      <c r="I823" s="56">
        <f t="shared" si="135"/>
        <v>0</v>
      </c>
      <c r="J823" s="59">
        <v>100</v>
      </c>
      <c r="K823" s="59">
        <v>300</v>
      </c>
      <c r="L823" s="56">
        <f t="shared" si="129"/>
        <v>1274</v>
      </c>
      <c r="M823" s="66">
        <v>600</v>
      </c>
      <c r="N823" s="56">
        <f>30</f>
        <v>30</v>
      </c>
      <c r="O823" s="59">
        <v>240</v>
      </c>
      <c r="P823" s="59">
        <v>40</v>
      </c>
      <c r="Q823" s="59">
        <f t="shared" si="130"/>
        <v>315</v>
      </c>
      <c r="R823" s="59">
        <f t="shared" si="131"/>
        <v>100</v>
      </c>
      <c r="S823" s="56">
        <f t="shared" si="132"/>
        <v>695</v>
      </c>
      <c r="T823" s="56">
        <f>0</f>
        <v>0</v>
      </c>
      <c r="U823" s="57"/>
      <c r="V823" s="57"/>
      <c r="W823" s="57"/>
      <c r="X823" s="57"/>
      <c r="Y823" s="57"/>
      <c r="Z823" s="57"/>
      <c r="AA823" s="57"/>
      <c r="AB823" s="57"/>
      <c r="AC823" s="57"/>
      <c r="AD823" s="57"/>
    </row>
    <row r="824" spans="1:30" ht="15.75">
      <c r="A824" s="13">
        <v>66384</v>
      </c>
      <c r="B824" s="67">
        <f t="shared" si="127"/>
        <v>30</v>
      </c>
      <c r="C824" s="56">
        <f>194.205</f>
        <v>194.20500000000001</v>
      </c>
      <c r="D824" s="56">
        <f>267.466</f>
        <v>267.46600000000001</v>
      </c>
      <c r="E824" s="64">
        <f>133.845</f>
        <v>133.845</v>
      </c>
      <c r="F824" s="56">
        <f>278.484-40-25-60-100</f>
        <v>53.48399999999998</v>
      </c>
      <c r="G824" s="59">
        <v>40</v>
      </c>
      <c r="H824" s="56">
        <f t="shared" si="136"/>
        <v>185</v>
      </c>
      <c r="I824" s="56">
        <f t="shared" si="135"/>
        <v>0</v>
      </c>
      <c r="J824" s="59">
        <v>100</v>
      </c>
      <c r="K824" s="59">
        <v>300</v>
      </c>
      <c r="L824" s="56">
        <f t="shared" si="129"/>
        <v>1274</v>
      </c>
      <c r="M824" s="66">
        <v>600</v>
      </c>
      <c r="N824" s="56">
        <f>30</f>
        <v>30</v>
      </c>
      <c r="O824" s="59">
        <v>240</v>
      </c>
      <c r="P824" s="59">
        <v>40</v>
      </c>
      <c r="Q824" s="59">
        <f t="shared" si="130"/>
        <v>315</v>
      </c>
      <c r="R824" s="59">
        <f t="shared" si="131"/>
        <v>100</v>
      </c>
      <c r="S824" s="56">
        <f t="shared" si="132"/>
        <v>695</v>
      </c>
      <c r="T824" s="56">
        <f>0</f>
        <v>0</v>
      </c>
      <c r="U824" s="57"/>
      <c r="V824" s="57"/>
      <c r="W824" s="57"/>
      <c r="X824" s="57"/>
      <c r="Y824" s="57"/>
      <c r="Z824" s="57"/>
      <c r="AA824" s="57"/>
      <c r="AB824" s="57"/>
      <c r="AC824" s="57"/>
      <c r="AD824" s="57"/>
    </row>
    <row r="825" spans="1:30" ht="15.75">
      <c r="A825" s="13">
        <v>66415</v>
      </c>
      <c r="B825" s="67">
        <f t="shared" si="127"/>
        <v>31</v>
      </c>
      <c r="C825" s="56">
        <f>131.881</f>
        <v>131.881</v>
      </c>
      <c r="D825" s="56">
        <f>277.167</f>
        <v>277.16699999999997</v>
      </c>
      <c r="E825" s="64">
        <f>79.08</f>
        <v>79.08</v>
      </c>
      <c r="F825" s="56">
        <f>350.872-40-25-60-100</f>
        <v>125.87200000000001</v>
      </c>
      <c r="G825" s="59">
        <v>40</v>
      </c>
      <c r="H825" s="56">
        <f t="shared" si="136"/>
        <v>185</v>
      </c>
      <c r="I825" s="56">
        <f t="shared" si="135"/>
        <v>0</v>
      </c>
      <c r="J825" s="59">
        <v>100</v>
      </c>
      <c r="K825" s="59">
        <v>300</v>
      </c>
      <c r="L825" s="56">
        <f t="shared" si="129"/>
        <v>1239</v>
      </c>
      <c r="M825" s="66">
        <v>600</v>
      </c>
      <c r="N825" s="56">
        <f>75</f>
        <v>75</v>
      </c>
      <c r="O825" s="59">
        <v>240</v>
      </c>
      <c r="P825" s="59">
        <v>40</v>
      </c>
      <c r="Q825" s="59">
        <f t="shared" si="130"/>
        <v>315</v>
      </c>
      <c r="R825" s="59">
        <f t="shared" si="131"/>
        <v>100</v>
      </c>
      <c r="S825" s="56">
        <f t="shared" si="132"/>
        <v>695</v>
      </c>
      <c r="T825" s="56">
        <f>0</f>
        <v>0</v>
      </c>
      <c r="U825" s="57"/>
      <c r="V825" s="57"/>
      <c r="W825" s="57"/>
      <c r="X825" s="57"/>
      <c r="Y825" s="57"/>
      <c r="Z825" s="57"/>
      <c r="AA825" s="57"/>
      <c r="AB825" s="57"/>
      <c r="AC825" s="57"/>
      <c r="AD825" s="57"/>
    </row>
    <row r="826" spans="1:30" ht="15.75">
      <c r="A826" s="13">
        <v>66445</v>
      </c>
      <c r="B826" s="67">
        <f t="shared" si="127"/>
        <v>30</v>
      </c>
      <c r="C826" s="56">
        <f>122.58</f>
        <v>122.58</v>
      </c>
      <c r="D826" s="56">
        <f>297.941</f>
        <v>297.94099999999997</v>
      </c>
      <c r="E826" s="64">
        <f>89.177</f>
        <v>89.177000000000007</v>
      </c>
      <c r="F826" s="56">
        <f>240.302-40-60-100</f>
        <v>40.301999999999992</v>
      </c>
      <c r="G826" s="59">
        <v>40</v>
      </c>
      <c r="H826" s="56">
        <f>60+100</f>
        <v>160</v>
      </c>
      <c r="I826" s="56">
        <f t="shared" si="135"/>
        <v>0</v>
      </c>
      <c r="J826" s="59">
        <v>100</v>
      </c>
      <c r="K826" s="59">
        <v>300</v>
      </c>
      <c r="L826" s="56">
        <f t="shared" si="129"/>
        <v>1150</v>
      </c>
      <c r="M826" s="66">
        <v>600</v>
      </c>
      <c r="N826" s="56">
        <f>100</f>
        <v>100</v>
      </c>
      <c r="O826" s="59">
        <v>240</v>
      </c>
      <c r="P826" s="59">
        <v>40</v>
      </c>
      <c r="Q826" s="59">
        <f t="shared" si="130"/>
        <v>315</v>
      </c>
      <c r="R826" s="59">
        <f t="shared" si="131"/>
        <v>100</v>
      </c>
      <c r="S826" s="56">
        <f t="shared" si="132"/>
        <v>695</v>
      </c>
      <c r="T826" s="56">
        <f>50</f>
        <v>50</v>
      </c>
      <c r="U826" s="57"/>
      <c r="V826" s="57"/>
      <c r="W826" s="57"/>
      <c r="X826" s="57"/>
      <c r="Y826" s="57"/>
      <c r="Z826" s="57"/>
      <c r="AA826" s="57"/>
      <c r="AB826" s="57"/>
      <c r="AC826" s="57"/>
      <c r="AD826" s="57"/>
    </row>
    <row r="827" spans="1:30" ht="15.75">
      <c r="A827" s="13">
        <v>66476</v>
      </c>
      <c r="B827" s="67">
        <f t="shared" si="127"/>
        <v>31</v>
      </c>
      <c r="C827" s="56">
        <f>122.58</f>
        <v>122.58</v>
      </c>
      <c r="D827" s="56">
        <f>297.941</f>
        <v>297.94099999999997</v>
      </c>
      <c r="E827" s="64">
        <f>89.177</f>
        <v>89.177000000000007</v>
      </c>
      <c r="F827" s="56">
        <f>240.302-40-60-100</f>
        <v>40.301999999999992</v>
      </c>
      <c r="G827" s="59">
        <v>40</v>
      </c>
      <c r="H827" s="56">
        <f>60+100</f>
        <v>160</v>
      </c>
      <c r="I827" s="56">
        <f t="shared" si="135"/>
        <v>0</v>
      </c>
      <c r="J827" s="59">
        <v>100</v>
      </c>
      <c r="K827" s="59">
        <v>300</v>
      </c>
      <c r="L827" s="56">
        <f t="shared" si="129"/>
        <v>1150</v>
      </c>
      <c r="M827" s="66">
        <v>600</v>
      </c>
      <c r="N827" s="56">
        <f>100</f>
        <v>100</v>
      </c>
      <c r="O827" s="59">
        <v>240</v>
      </c>
      <c r="P827" s="59">
        <v>40</v>
      </c>
      <c r="Q827" s="59">
        <f t="shared" si="130"/>
        <v>315</v>
      </c>
      <c r="R827" s="59">
        <f t="shared" si="131"/>
        <v>100</v>
      </c>
      <c r="S827" s="56">
        <f t="shared" si="132"/>
        <v>695</v>
      </c>
      <c r="T827" s="56">
        <f>50</f>
        <v>50</v>
      </c>
      <c r="U827" s="57"/>
      <c r="V827" s="57"/>
      <c r="W827" s="57"/>
      <c r="X827" s="57"/>
      <c r="Y827" s="57"/>
      <c r="Z827" s="57"/>
      <c r="AA827" s="57"/>
      <c r="AB827" s="57"/>
      <c r="AC827" s="57"/>
      <c r="AD827" s="57"/>
    </row>
    <row r="828" spans="1:30" ht="15.75">
      <c r="A828" s="13">
        <v>66507</v>
      </c>
      <c r="B828" s="67">
        <f t="shared" si="127"/>
        <v>31</v>
      </c>
      <c r="C828" s="56">
        <f>122.58</f>
        <v>122.58</v>
      </c>
      <c r="D828" s="56">
        <f>297.941</f>
        <v>297.94099999999997</v>
      </c>
      <c r="E828" s="64">
        <f>89.177</f>
        <v>89.177000000000007</v>
      </c>
      <c r="F828" s="56">
        <f>240.302-40-60-100</f>
        <v>40.301999999999992</v>
      </c>
      <c r="G828" s="59">
        <v>40</v>
      </c>
      <c r="H828" s="56">
        <f>60+100</f>
        <v>160</v>
      </c>
      <c r="I828" s="56">
        <f t="shared" si="135"/>
        <v>0</v>
      </c>
      <c r="J828" s="59">
        <v>100</v>
      </c>
      <c r="K828" s="59">
        <v>300</v>
      </c>
      <c r="L828" s="56">
        <f t="shared" si="129"/>
        <v>1150</v>
      </c>
      <c r="M828" s="66">
        <v>600</v>
      </c>
      <c r="N828" s="56">
        <f>100</f>
        <v>100</v>
      </c>
      <c r="O828" s="59">
        <v>240</v>
      </c>
      <c r="P828" s="59">
        <v>40</v>
      </c>
      <c r="Q828" s="59">
        <f t="shared" si="130"/>
        <v>315</v>
      </c>
      <c r="R828" s="59">
        <f t="shared" si="131"/>
        <v>100</v>
      </c>
      <c r="S828" s="56">
        <f t="shared" si="132"/>
        <v>695</v>
      </c>
      <c r="T828" s="56">
        <f>50</f>
        <v>50</v>
      </c>
      <c r="U828" s="57"/>
      <c r="V828" s="57"/>
      <c r="W828" s="57"/>
      <c r="X828" s="57"/>
      <c r="Y828" s="57"/>
      <c r="Z828" s="57"/>
      <c r="AA828" s="57"/>
      <c r="AB828" s="57"/>
      <c r="AC828" s="57"/>
      <c r="AD828" s="57"/>
    </row>
    <row r="829" spans="1:30" ht="15.75">
      <c r="A829" s="13">
        <v>66535</v>
      </c>
      <c r="B829" s="67">
        <f t="shared" si="127"/>
        <v>28</v>
      </c>
      <c r="C829" s="56">
        <f>122.58</f>
        <v>122.58</v>
      </c>
      <c r="D829" s="56">
        <f>297.941</f>
        <v>297.94099999999997</v>
      </c>
      <c r="E829" s="64">
        <f>89.177</f>
        <v>89.177000000000007</v>
      </c>
      <c r="F829" s="56">
        <f>240.302-40-60-100</f>
        <v>40.301999999999992</v>
      </c>
      <c r="G829" s="59">
        <v>40</v>
      </c>
      <c r="H829" s="56">
        <f>60+100</f>
        <v>160</v>
      </c>
      <c r="I829" s="56">
        <f t="shared" si="135"/>
        <v>0</v>
      </c>
      <c r="J829" s="59">
        <v>100</v>
      </c>
      <c r="K829" s="59">
        <v>300</v>
      </c>
      <c r="L829" s="56">
        <f t="shared" si="129"/>
        <v>1150</v>
      </c>
      <c r="M829" s="66">
        <v>600</v>
      </c>
      <c r="N829" s="56">
        <f>100</f>
        <v>100</v>
      </c>
      <c r="O829" s="59">
        <v>240</v>
      </c>
      <c r="P829" s="59">
        <v>40</v>
      </c>
      <c r="Q829" s="59">
        <f t="shared" si="130"/>
        <v>315</v>
      </c>
      <c r="R829" s="59">
        <f t="shared" si="131"/>
        <v>100</v>
      </c>
      <c r="S829" s="56">
        <f t="shared" si="132"/>
        <v>695</v>
      </c>
      <c r="T829" s="56">
        <f>50</f>
        <v>50</v>
      </c>
      <c r="U829" s="57"/>
      <c r="V829" s="57"/>
      <c r="W829" s="57"/>
      <c r="X829" s="57"/>
      <c r="Y829" s="57"/>
      <c r="Z829" s="57"/>
      <c r="AA829" s="57"/>
      <c r="AB829" s="57"/>
      <c r="AC829" s="57"/>
      <c r="AD829" s="57"/>
    </row>
    <row r="830" spans="1:30" ht="15.75">
      <c r="A830" s="13">
        <v>66566</v>
      </c>
      <c r="B830" s="67">
        <f t="shared" si="127"/>
        <v>31</v>
      </c>
      <c r="C830" s="56">
        <f>122.58</f>
        <v>122.58</v>
      </c>
      <c r="D830" s="56">
        <f>297.941</f>
        <v>297.94099999999997</v>
      </c>
      <c r="E830" s="64">
        <f>89.177</f>
        <v>89.177000000000007</v>
      </c>
      <c r="F830" s="56">
        <f>240.302-40-60-100</f>
        <v>40.301999999999992</v>
      </c>
      <c r="G830" s="59">
        <v>40</v>
      </c>
      <c r="H830" s="56">
        <f>60+100</f>
        <v>160</v>
      </c>
      <c r="I830" s="56">
        <f t="shared" si="135"/>
        <v>0</v>
      </c>
      <c r="J830" s="59">
        <v>100</v>
      </c>
      <c r="K830" s="59">
        <v>300</v>
      </c>
      <c r="L830" s="56">
        <f t="shared" si="129"/>
        <v>1150</v>
      </c>
      <c r="M830" s="66">
        <v>600</v>
      </c>
      <c r="N830" s="56">
        <f>100</f>
        <v>100</v>
      </c>
      <c r="O830" s="59">
        <v>240</v>
      </c>
      <c r="P830" s="59">
        <v>40</v>
      </c>
      <c r="Q830" s="59">
        <f t="shared" si="130"/>
        <v>315</v>
      </c>
      <c r="R830" s="59">
        <f t="shared" si="131"/>
        <v>100</v>
      </c>
      <c r="S830" s="56">
        <f t="shared" si="132"/>
        <v>695</v>
      </c>
      <c r="T830" s="56">
        <f>50</f>
        <v>50</v>
      </c>
      <c r="U830" s="57"/>
      <c r="V830" s="57"/>
      <c r="W830" s="57"/>
      <c r="X830" s="57"/>
      <c r="Y830" s="57"/>
      <c r="Z830" s="57"/>
      <c r="AA830" s="57"/>
      <c r="AB830" s="57"/>
      <c r="AC830" s="57"/>
      <c r="AD830" s="57"/>
    </row>
    <row r="831" spans="1:30" ht="15.75">
      <c r="A831" s="13">
        <v>66596</v>
      </c>
      <c r="B831" s="67">
        <f t="shared" si="127"/>
        <v>30</v>
      </c>
      <c r="C831" s="56">
        <f>141.293</f>
        <v>141.29300000000001</v>
      </c>
      <c r="D831" s="56">
        <f>267.993</f>
        <v>267.99299999999999</v>
      </c>
      <c r="E831" s="64">
        <f>115.016</f>
        <v>115.01600000000001</v>
      </c>
      <c r="F831" s="56">
        <f>314.698-40-25-60-100</f>
        <v>89.697999999999979</v>
      </c>
      <c r="G831" s="59">
        <v>40</v>
      </c>
      <c r="H831" s="56">
        <f t="shared" ref="H831:H837" si="137">25+60+100</f>
        <v>185</v>
      </c>
      <c r="I831" s="56">
        <f t="shared" si="135"/>
        <v>0</v>
      </c>
      <c r="J831" s="59">
        <v>100</v>
      </c>
      <c r="K831" s="59">
        <v>300</v>
      </c>
      <c r="L831" s="56">
        <f t="shared" si="129"/>
        <v>1239</v>
      </c>
      <c r="M831" s="66">
        <v>600</v>
      </c>
      <c r="N831" s="56">
        <f>100</f>
        <v>100</v>
      </c>
      <c r="O831" s="59">
        <v>240</v>
      </c>
      <c r="P831" s="59">
        <v>40</v>
      </c>
      <c r="Q831" s="59">
        <f t="shared" si="130"/>
        <v>315</v>
      </c>
      <c r="R831" s="59">
        <f t="shared" si="131"/>
        <v>100</v>
      </c>
      <c r="S831" s="56">
        <f t="shared" si="132"/>
        <v>695</v>
      </c>
      <c r="T831" s="56">
        <f>50</f>
        <v>50</v>
      </c>
      <c r="U831" s="57"/>
      <c r="V831" s="57"/>
      <c r="W831" s="57"/>
      <c r="X831" s="57"/>
      <c r="Y831" s="57"/>
      <c r="Z831" s="57"/>
      <c r="AA831" s="57"/>
      <c r="AB831" s="57"/>
      <c r="AC831" s="57"/>
      <c r="AD831" s="57"/>
    </row>
    <row r="832" spans="1:30" ht="15.75">
      <c r="A832" s="13">
        <v>66627</v>
      </c>
      <c r="B832" s="67">
        <f t="shared" si="127"/>
        <v>31</v>
      </c>
      <c r="C832" s="56">
        <f>194.205</f>
        <v>194.20500000000001</v>
      </c>
      <c r="D832" s="56">
        <f>267.466</f>
        <v>267.46600000000001</v>
      </c>
      <c r="E832" s="64">
        <f>133.845</f>
        <v>133.845</v>
      </c>
      <c r="F832" s="56">
        <f>278.484-40-25-60-100</f>
        <v>53.48399999999998</v>
      </c>
      <c r="G832" s="59">
        <v>40</v>
      </c>
      <c r="H832" s="56">
        <f t="shared" si="137"/>
        <v>185</v>
      </c>
      <c r="I832" s="56">
        <f t="shared" si="135"/>
        <v>0</v>
      </c>
      <c r="J832" s="59">
        <v>100</v>
      </c>
      <c r="K832" s="59">
        <v>300</v>
      </c>
      <c r="L832" s="56">
        <f t="shared" si="129"/>
        <v>1274</v>
      </c>
      <c r="M832" s="66">
        <v>600</v>
      </c>
      <c r="N832" s="56">
        <f>75</f>
        <v>75</v>
      </c>
      <c r="O832" s="59">
        <v>240</v>
      </c>
      <c r="P832" s="59">
        <v>40</v>
      </c>
      <c r="Q832" s="59">
        <f t="shared" si="130"/>
        <v>315</v>
      </c>
      <c r="R832" s="59">
        <f t="shared" si="131"/>
        <v>100</v>
      </c>
      <c r="S832" s="56">
        <f t="shared" si="132"/>
        <v>695</v>
      </c>
      <c r="T832" s="56">
        <f>50</f>
        <v>50</v>
      </c>
      <c r="U832" s="57"/>
      <c r="V832" s="57"/>
      <c r="W832" s="57"/>
      <c r="X832" s="57"/>
      <c r="Y832" s="57"/>
      <c r="Z832" s="57"/>
      <c r="AA832" s="57"/>
      <c r="AB832" s="57"/>
      <c r="AC832" s="57"/>
      <c r="AD832" s="57"/>
    </row>
    <row r="833" spans="1:30" ht="15.75">
      <c r="A833" s="13">
        <v>66657</v>
      </c>
      <c r="B833" s="67">
        <f t="shared" si="127"/>
        <v>30</v>
      </c>
      <c r="C833" s="56">
        <f>194.205</f>
        <v>194.20500000000001</v>
      </c>
      <c r="D833" s="56">
        <f>267.466</f>
        <v>267.46600000000001</v>
      </c>
      <c r="E833" s="64">
        <f>133.845</f>
        <v>133.845</v>
      </c>
      <c r="F833" s="56">
        <f>278.484-40-25-60-100</f>
        <v>53.48399999999998</v>
      </c>
      <c r="G833" s="59">
        <v>40</v>
      </c>
      <c r="H833" s="56">
        <f t="shared" si="137"/>
        <v>185</v>
      </c>
      <c r="I833" s="56">
        <f t="shared" si="135"/>
        <v>0</v>
      </c>
      <c r="J833" s="59">
        <v>100</v>
      </c>
      <c r="K833" s="59">
        <v>300</v>
      </c>
      <c r="L833" s="56">
        <f t="shared" si="129"/>
        <v>1274</v>
      </c>
      <c r="M833" s="66">
        <v>600</v>
      </c>
      <c r="N833" s="56">
        <f>30</f>
        <v>30</v>
      </c>
      <c r="O833" s="59">
        <v>240</v>
      </c>
      <c r="P833" s="59">
        <v>40</v>
      </c>
      <c r="Q833" s="59">
        <f t="shared" si="130"/>
        <v>315</v>
      </c>
      <c r="R833" s="59">
        <f t="shared" si="131"/>
        <v>100</v>
      </c>
      <c r="S833" s="56">
        <f t="shared" si="132"/>
        <v>695</v>
      </c>
      <c r="T833" s="56">
        <f>50</f>
        <v>50</v>
      </c>
      <c r="U833" s="57"/>
      <c r="V833" s="57"/>
      <c r="W833" s="57"/>
      <c r="X833" s="57"/>
      <c r="Y833" s="57"/>
      <c r="Z833" s="57"/>
      <c r="AA833" s="57"/>
      <c r="AB833" s="57"/>
      <c r="AC833" s="57"/>
      <c r="AD833" s="57"/>
    </row>
    <row r="834" spans="1:30" ht="15.75">
      <c r="A834" s="13">
        <v>66688</v>
      </c>
      <c r="B834" s="67">
        <f t="shared" si="127"/>
        <v>31</v>
      </c>
      <c r="C834" s="56">
        <f>194.205</f>
        <v>194.20500000000001</v>
      </c>
      <c r="D834" s="56">
        <f>267.466</f>
        <v>267.46600000000001</v>
      </c>
      <c r="E834" s="64">
        <f>133.845</f>
        <v>133.845</v>
      </c>
      <c r="F834" s="56">
        <f>278.484-40-25-60-100</f>
        <v>53.48399999999998</v>
      </c>
      <c r="G834" s="59">
        <v>40</v>
      </c>
      <c r="H834" s="56">
        <f t="shared" si="137"/>
        <v>185</v>
      </c>
      <c r="I834" s="56">
        <f t="shared" si="135"/>
        <v>0</v>
      </c>
      <c r="J834" s="59">
        <v>100</v>
      </c>
      <c r="K834" s="59">
        <v>300</v>
      </c>
      <c r="L834" s="56">
        <f t="shared" si="129"/>
        <v>1274</v>
      </c>
      <c r="M834" s="66">
        <v>600</v>
      </c>
      <c r="N834" s="56">
        <f>30</f>
        <v>30</v>
      </c>
      <c r="O834" s="59">
        <v>240</v>
      </c>
      <c r="P834" s="59">
        <v>40</v>
      </c>
      <c r="Q834" s="59">
        <f t="shared" si="130"/>
        <v>315</v>
      </c>
      <c r="R834" s="59">
        <f t="shared" si="131"/>
        <v>100</v>
      </c>
      <c r="S834" s="56">
        <f t="shared" si="132"/>
        <v>695</v>
      </c>
      <c r="T834" s="56">
        <f>0</f>
        <v>0</v>
      </c>
      <c r="U834" s="57"/>
      <c r="V834" s="57"/>
      <c r="W834" s="57"/>
      <c r="X834" s="57"/>
      <c r="Y834" s="57"/>
      <c r="Z834" s="57"/>
      <c r="AA834" s="57"/>
      <c r="AB834" s="57"/>
      <c r="AC834" s="57"/>
      <c r="AD834" s="57"/>
    </row>
    <row r="835" spans="1:30" ht="15.75">
      <c r="A835" s="13">
        <v>66719</v>
      </c>
      <c r="B835" s="67">
        <f t="shared" si="127"/>
        <v>31</v>
      </c>
      <c r="C835" s="56">
        <f>194.205</f>
        <v>194.20500000000001</v>
      </c>
      <c r="D835" s="56">
        <f>267.466</f>
        <v>267.46600000000001</v>
      </c>
      <c r="E835" s="64">
        <f>133.845</f>
        <v>133.845</v>
      </c>
      <c r="F835" s="56">
        <f>278.484-40-25-60-100</f>
        <v>53.48399999999998</v>
      </c>
      <c r="G835" s="59">
        <v>40</v>
      </c>
      <c r="H835" s="56">
        <f t="shared" si="137"/>
        <v>185</v>
      </c>
      <c r="I835" s="56">
        <f t="shared" si="135"/>
        <v>0</v>
      </c>
      <c r="J835" s="59">
        <v>100</v>
      </c>
      <c r="K835" s="59">
        <v>300</v>
      </c>
      <c r="L835" s="56">
        <f t="shared" si="129"/>
        <v>1274</v>
      </c>
      <c r="M835" s="66">
        <v>600</v>
      </c>
      <c r="N835" s="56">
        <f>30</f>
        <v>30</v>
      </c>
      <c r="O835" s="59">
        <v>240</v>
      </c>
      <c r="P835" s="59">
        <v>40</v>
      </c>
      <c r="Q835" s="59">
        <f t="shared" si="130"/>
        <v>315</v>
      </c>
      <c r="R835" s="59">
        <f t="shared" si="131"/>
        <v>100</v>
      </c>
      <c r="S835" s="56">
        <f t="shared" si="132"/>
        <v>695</v>
      </c>
      <c r="T835" s="56">
        <f>0</f>
        <v>0</v>
      </c>
      <c r="U835" s="57"/>
      <c r="V835" s="57"/>
      <c r="W835" s="57"/>
      <c r="X835" s="57"/>
      <c r="Y835" s="57"/>
      <c r="Z835" s="57"/>
      <c r="AA835" s="57"/>
      <c r="AB835" s="57"/>
      <c r="AC835" s="57"/>
      <c r="AD835" s="57"/>
    </row>
    <row r="836" spans="1:30" ht="15.75">
      <c r="A836" s="13">
        <v>66749</v>
      </c>
      <c r="B836" s="67">
        <f t="shared" si="127"/>
        <v>30</v>
      </c>
      <c r="C836" s="56">
        <f>194.205</f>
        <v>194.20500000000001</v>
      </c>
      <c r="D836" s="56">
        <f>267.466</f>
        <v>267.46600000000001</v>
      </c>
      <c r="E836" s="64">
        <f>133.845</f>
        <v>133.845</v>
      </c>
      <c r="F836" s="56">
        <f>278.484-40-25-60-100</f>
        <v>53.48399999999998</v>
      </c>
      <c r="G836" s="59">
        <v>40</v>
      </c>
      <c r="H836" s="56">
        <f t="shared" si="137"/>
        <v>185</v>
      </c>
      <c r="I836" s="56">
        <f t="shared" si="135"/>
        <v>0</v>
      </c>
      <c r="J836" s="59">
        <v>100</v>
      </c>
      <c r="K836" s="59">
        <v>300</v>
      </c>
      <c r="L836" s="56">
        <f t="shared" si="129"/>
        <v>1274</v>
      </c>
      <c r="M836" s="66">
        <v>600</v>
      </c>
      <c r="N836" s="56">
        <f>30</f>
        <v>30</v>
      </c>
      <c r="O836" s="59">
        <v>240</v>
      </c>
      <c r="P836" s="59">
        <v>40</v>
      </c>
      <c r="Q836" s="59">
        <f t="shared" si="130"/>
        <v>315</v>
      </c>
      <c r="R836" s="59">
        <f t="shared" si="131"/>
        <v>100</v>
      </c>
      <c r="S836" s="56">
        <f t="shared" si="132"/>
        <v>695</v>
      </c>
      <c r="T836" s="56">
        <f>0</f>
        <v>0</v>
      </c>
      <c r="U836" s="57"/>
      <c r="V836" s="57"/>
      <c r="W836" s="57"/>
      <c r="X836" s="57"/>
      <c r="Y836" s="57"/>
      <c r="Z836" s="57"/>
      <c r="AA836" s="57"/>
      <c r="AB836" s="57"/>
      <c r="AC836" s="57"/>
      <c r="AD836" s="57"/>
    </row>
    <row r="837" spans="1:30" ht="15.75">
      <c r="A837" s="13">
        <v>66780</v>
      </c>
      <c r="B837" s="67">
        <f t="shared" si="127"/>
        <v>31</v>
      </c>
      <c r="C837" s="56">
        <f>131.881</f>
        <v>131.881</v>
      </c>
      <c r="D837" s="56">
        <f>277.167</f>
        <v>277.16699999999997</v>
      </c>
      <c r="E837" s="64">
        <f>79.08</f>
        <v>79.08</v>
      </c>
      <c r="F837" s="56">
        <f>350.872-40-25-60-100</f>
        <v>125.87200000000001</v>
      </c>
      <c r="G837" s="59">
        <v>40</v>
      </c>
      <c r="H837" s="56">
        <f t="shared" si="137"/>
        <v>185</v>
      </c>
      <c r="I837" s="56">
        <f t="shared" si="135"/>
        <v>0</v>
      </c>
      <c r="J837" s="59">
        <v>100</v>
      </c>
      <c r="K837" s="59">
        <v>300</v>
      </c>
      <c r="L837" s="56">
        <f t="shared" si="129"/>
        <v>1239</v>
      </c>
      <c r="M837" s="66">
        <v>600</v>
      </c>
      <c r="N837" s="56">
        <f>75</f>
        <v>75</v>
      </c>
      <c r="O837" s="59">
        <v>240</v>
      </c>
      <c r="P837" s="59">
        <v>40</v>
      </c>
      <c r="Q837" s="59">
        <f t="shared" si="130"/>
        <v>315</v>
      </c>
      <c r="R837" s="59">
        <f t="shared" si="131"/>
        <v>100</v>
      </c>
      <c r="S837" s="56">
        <f t="shared" si="132"/>
        <v>695</v>
      </c>
      <c r="T837" s="56">
        <f>0</f>
        <v>0</v>
      </c>
      <c r="U837" s="57"/>
      <c r="V837" s="57"/>
      <c r="W837" s="57"/>
      <c r="X837" s="57"/>
      <c r="Y837" s="57"/>
      <c r="Z837" s="57"/>
      <c r="AA837" s="57"/>
      <c r="AB837" s="57"/>
      <c r="AC837" s="57"/>
      <c r="AD837" s="57"/>
    </row>
    <row r="838" spans="1:30" ht="15.75">
      <c r="A838" s="13">
        <v>66810</v>
      </c>
      <c r="B838" s="67">
        <f t="shared" si="127"/>
        <v>30</v>
      </c>
      <c r="C838" s="56">
        <f>122.58</f>
        <v>122.58</v>
      </c>
      <c r="D838" s="56">
        <f>297.941</f>
        <v>297.94099999999997</v>
      </c>
      <c r="E838" s="64">
        <f>89.177</f>
        <v>89.177000000000007</v>
      </c>
      <c r="F838" s="56">
        <f>240.302-40-60-100</f>
        <v>40.301999999999992</v>
      </c>
      <c r="G838" s="59">
        <v>40</v>
      </c>
      <c r="H838" s="56">
        <f>60+100</f>
        <v>160</v>
      </c>
      <c r="I838" s="56">
        <f t="shared" si="135"/>
        <v>0</v>
      </c>
      <c r="J838" s="59">
        <v>100</v>
      </c>
      <c r="K838" s="59">
        <v>300</v>
      </c>
      <c r="L838" s="56">
        <f t="shared" si="129"/>
        <v>1150</v>
      </c>
      <c r="M838" s="66">
        <v>600</v>
      </c>
      <c r="N838" s="56">
        <f>100</f>
        <v>100</v>
      </c>
      <c r="O838" s="59">
        <v>240</v>
      </c>
      <c r="P838" s="59">
        <v>40</v>
      </c>
      <c r="Q838" s="59">
        <f t="shared" si="130"/>
        <v>315</v>
      </c>
      <c r="R838" s="59">
        <f t="shared" si="131"/>
        <v>100</v>
      </c>
      <c r="S838" s="56">
        <f t="shared" si="132"/>
        <v>695</v>
      </c>
      <c r="T838" s="56">
        <f>50</f>
        <v>50</v>
      </c>
      <c r="U838" s="57"/>
      <c r="V838" s="57"/>
      <c r="W838" s="57"/>
      <c r="X838" s="57"/>
      <c r="Y838" s="57"/>
      <c r="Z838" s="57"/>
      <c r="AA838" s="57"/>
      <c r="AB838" s="57"/>
      <c r="AC838" s="57"/>
      <c r="AD838" s="57"/>
    </row>
    <row r="839" spans="1:30" ht="15.75">
      <c r="A839" s="13">
        <v>66841</v>
      </c>
      <c r="B839" s="67">
        <f t="shared" si="127"/>
        <v>31</v>
      </c>
      <c r="C839" s="56">
        <f>122.58</f>
        <v>122.58</v>
      </c>
      <c r="D839" s="56">
        <f>297.941</f>
        <v>297.94099999999997</v>
      </c>
      <c r="E839" s="64">
        <f>89.177</f>
        <v>89.177000000000007</v>
      </c>
      <c r="F839" s="56">
        <f>240.302-40-60-100</f>
        <v>40.301999999999992</v>
      </c>
      <c r="G839" s="59">
        <v>40</v>
      </c>
      <c r="H839" s="56">
        <f>60+100</f>
        <v>160</v>
      </c>
      <c r="I839" s="56">
        <f t="shared" si="135"/>
        <v>0</v>
      </c>
      <c r="J839" s="59">
        <v>100</v>
      </c>
      <c r="K839" s="59">
        <v>300</v>
      </c>
      <c r="L839" s="56">
        <f t="shared" si="129"/>
        <v>1150</v>
      </c>
      <c r="M839" s="66">
        <v>600</v>
      </c>
      <c r="N839" s="56">
        <f>100</f>
        <v>100</v>
      </c>
      <c r="O839" s="59">
        <v>240</v>
      </c>
      <c r="P839" s="59">
        <v>40</v>
      </c>
      <c r="Q839" s="59">
        <f t="shared" si="130"/>
        <v>315</v>
      </c>
      <c r="R839" s="59">
        <f t="shared" si="131"/>
        <v>100</v>
      </c>
      <c r="S839" s="56">
        <f t="shared" si="132"/>
        <v>695</v>
      </c>
      <c r="T839" s="56">
        <f>50</f>
        <v>50</v>
      </c>
      <c r="U839" s="57"/>
      <c r="V839" s="57"/>
      <c r="W839" s="57"/>
      <c r="X839" s="57"/>
      <c r="Y839" s="57"/>
      <c r="Z839" s="57"/>
      <c r="AA839" s="57"/>
      <c r="AB839" s="57"/>
      <c r="AC839" s="57"/>
      <c r="AD839" s="57"/>
    </row>
    <row r="840" spans="1:30" ht="15.75">
      <c r="A840" s="13">
        <v>66872</v>
      </c>
      <c r="B840" s="67">
        <f t="shared" si="127"/>
        <v>31</v>
      </c>
      <c r="C840" s="56">
        <f>122.58</f>
        <v>122.58</v>
      </c>
      <c r="D840" s="56">
        <f>297.941</f>
        <v>297.94099999999997</v>
      </c>
      <c r="E840" s="64">
        <f>89.177</f>
        <v>89.177000000000007</v>
      </c>
      <c r="F840" s="56">
        <f>240.302-40-60-100</f>
        <v>40.301999999999992</v>
      </c>
      <c r="G840" s="59">
        <v>40</v>
      </c>
      <c r="H840" s="56">
        <f>60+100</f>
        <v>160</v>
      </c>
      <c r="I840" s="56">
        <f t="shared" si="135"/>
        <v>0</v>
      </c>
      <c r="J840" s="59">
        <v>100</v>
      </c>
      <c r="K840" s="59">
        <v>300</v>
      </c>
      <c r="L840" s="56">
        <f t="shared" si="129"/>
        <v>1150</v>
      </c>
      <c r="M840" s="66">
        <v>600</v>
      </c>
      <c r="N840" s="56">
        <f>100</f>
        <v>100</v>
      </c>
      <c r="O840" s="59">
        <v>240</v>
      </c>
      <c r="P840" s="59">
        <v>40</v>
      </c>
      <c r="Q840" s="59">
        <f t="shared" si="130"/>
        <v>315</v>
      </c>
      <c r="R840" s="59">
        <f t="shared" si="131"/>
        <v>100</v>
      </c>
      <c r="S840" s="56">
        <f t="shared" si="132"/>
        <v>695</v>
      </c>
      <c r="T840" s="56">
        <f>50</f>
        <v>50</v>
      </c>
      <c r="U840" s="57"/>
      <c r="V840" s="57"/>
      <c r="W840" s="57"/>
      <c r="X840" s="57"/>
      <c r="Y840" s="57"/>
      <c r="Z840" s="57"/>
      <c r="AA840" s="57"/>
      <c r="AB840" s="57"/>
      <c r="AC840" s="57"/>
      <c r="AD840" s="57"/>
    </row>
    <row r="841" spans="1:30" ht="15.75">
      <c r="A841" s="13">
        <v>66900</v>
      </c>
      <c r="B841" s="67">
        <f t="shared" si="127"/>
        <v>28</v>
      </c>
      <c r="C841" s="56">
        <f>122.58</f>
        <v>122.58</v>
      </c>
      <c r="D841" s="56">
        <f>297.941</f>
        <v>297.94099999999997</v>
      </c>
      <c r="E841" s="64">
        <f>89.177</f>
        <v>89.177000000000007</v>
      </c>
      <c r="F841" s="56">
        <f>240.302-40-60-100</f>
        <v>40.301999999999992</v>
      </c>
      <c r="G841" s="59">
        <v>40</v>
      </c>
      <c r="H841" s="56">
        <f>60+100</f>
        <v>160</v>
      </c>
      <c r="I841" s="56">
        <f t="shared" si="135"/>
        <v>0</v>
      </c>
      <c r="J841" s="59">
        <v>100</v>
      </c>
      <c r="K841" s="59">
        <v>300</v>
      </c>
      <c r="L841" s="56">
        <f t="shared" si="129"/>
        <v>1150</v>
      </c>
      <c r="M841" s="66">
        <v>600</v>
      </c>
      <c r="N841" s="56">
        <f>100</f>
        <v>100</v>
      </c>
      <c r="O841" s="59">
        <v>240</v>
      </c>
      <c r="P841" s="59">
        <v>40</v>
      </c>
      <c r="Q841" s="59">
        <f t="shared" si="130"/>
        <v>315</v>
      </c>
      <c r="R841" s="59">
        <f t="shared" si="131"/>
        <v>100</v>
      </c>
      <c r="S841" s="56">
        <f t="shared" si="132"/>
        <v>695</v>
      </c>
      <c r="T841" s="56">
        <f>50</f>
        <v>50</v>
      </c>
      <c r="U841" s="57"/>
      <c r="V841" s="57"/>
      <c r="W841" s="57"/>
      <c r="X841" s="57"/>
      <c r="Y841" s="57"/>
      <c r="Z841" s="57"/>
      <c r="AA841" s="57"/>
      <c r="AB841" s="57"/>
      <c r="AC841" s="57"/>
      <c r="AD841" s="57"/>
    </row>
    <row r="842" spans="1:30" ht="15.75">
      <c r="A842" s="13">
        <v>66931</v>
      </c>
      <c r="B842" s="67">
        <f t="shared" si="127"/>
        <v>31</v>
      </c>
      <c r="C842" s="56">
        <f>122.58</f>
        <v>122.58</v>
      </c>
      <c r="D842" s="56">
        <f>297.941</f>
        <v>297.94099999999997</v>
      </c>
      <c r="E842" s="64">
        <f>89.177</f>
        <v>89.177000000000007</v>
      </c>
      <c r="F842" s="56">
        <f>240.302-40-60-100</f>
        <v>40.301999999999992</v>
      </c>
      <c r="G842" s="59">
        <v>40</v>
      </c>
      <c r="H842" s="56">
        <f>60+100</f>
        <v>160</v>
      </c>
      <c r="I842" s="56">
        <f t="shared" si="135"/>
        <v>0</v>
      </c>
      <c r="J842" s="59">
        <v>100</v>
      </c>
      <c r="K842" s="59">
        <v>300</v>
      </c>
      <c r="L842" s="56">
        <f t="shared" si="129"/>
        <v>1150</v>
      </c>
      <c r="M842" s="66">
        <v>600</v>
      </c>
      <c r="N842" s="56">
        <f>100</f>
        <v>100</v>
      </c>
      <c r="O842" s="59">
        <v>240</v>
      </c>
      <c r="P842" s="59">
        <v>40</v>
      </c>
      <c r="Q842" s="59">
        <f t="shared" si="130"/>
        <v>315</v>
      </c>
      <c r="R842" s="59">
        <f t="shared" si="131"/>
        <v>100</v>
      </c>
      <c r="S842" s="56">
        <f t="shared" si="132"/>
        <v>695</v>
      </c>
      <c r="T842" s="56">
        <f>50</f>
        <v>50</v>
      </c>
      <c r="U842" s="57"/>
      <c r="V842" s="57"/>
      <c r="W842" s="57"/>
      <c r="X842" s="57"/>
      <c r="Y842" s="57"/>
      <c r="Z842" s="57"/>
      <c r="AA842" s="57"/>
      <c r="AB842" s="57"/>
      <c r="AC842" s="57"/>
      <c r="AD842" s="57"/>
    </row>
    <row r="843" spans="1:30" ht="15.75">
      <c r="A843" s="13">
        <v>66961</v>
      </c>
      <c r="B843" s="67">
        <f t="shared" si="127"/>
        <v>30</v>
      </c>
      <c r="C843" s="56">
        <f>141.293</f>
        <v>141.29300000000001</v>
      </c>
      <c r="D843" s="56">
        <f>267.993</f>
        <v>267.99299999999999</v>
      </c>
      <c r="E843" s="64">
        <f>115.016</f>
        <v>115.01600000000001</v>
      </c>
      <c r="F843" s="56">
        <f>314.698-40-25-60-100</f>
        <v>89.697999999999979</v>
      </c>
      <c r="G843" s="59">
        <v>40</v>
      </c>
      <c r="H843" s="56">
        <f t="shared" ref="H843:H849" si="138">25+60+100</f>
        <v>185</v>
      </c>
      <c r="I843" s="56">
        <f t="shared" si="135"/>
        <v>0</v>
      </c>
      <c r="J843" s="59">
        <v>100</v>
      </c>
      <c r="K843" s="59">
        <v>300</v>
      </c>
      <c r="L843" s="56">
        <f t="shared" si="129"/>
        <v>1239</v>
      </c>
      <c r="M843" s="66">
        <v>600</v>
      </c>
      <c r="N843" s="56">
        <f>100</f>
        <v>100</v>
      </c>
      <c r="O843" s="59">
        <v>240</v>
      </c>
      <c r="P843" s="59">
        <v>40</v>
      </c>
      <c r="Q843" s="59">
        <f t="shared" si="130"/>
        <v>315</v>
      </c>
      <c r="R843" s="59">
        <f t="shared" si="131"/>
        <v>100</v>
      </c>
      <c r="S843" s="56">
        <f t="shared" si="132"/>
        <v>695</v>
      </c>
      <c r="T843" s="56">
        <f>50</f>
        <v>50</v>
      </c>
      <c r="U843" s="57"/>
      <c r="V843" s="57"/>
      <c r="W843" s="57"/>
      <c r="X843" s="57"/>
      <c r="Y843" s="57"/>
      <c r="Z843" s="57"/>
      <c r="AA843" s="57"/>
      <c r="AB843" s="57"/>
      <c r="AC843" s="57"/>
      <c r="AD843" s="57"/>
    </row>
    <row r="844" spans="1:30" ht="15.75">
      <c r="A844" s="13">
        <v>66992</v>
      </c>
      <c r="B844" s="67">
        <f t="shared" ref="B844:B907" si="139">EOMONTH(A844,0)-EOMONTH(A844,-1)</f>
        <v>31</v>
      </c>
      <c r="C844" s="56">
        <f>194.205</f>
        <v>194.20500000000001</v>
      </c>
      <c r="D844" s="56">
        <f>267.466</f>
        <v>267.46600000000001</v>
      </c>
      <c r="E844" s="64">
        <f>133.845</f>
        <v>133.845</v>
      </c>
      <c r="F844" s="56">
        <f>278.484-40-25-60-100</f>
        <v>53.48399999999998</v>
      </c>
      <c r="G844" s="59">
        <v>40</v>
      </c>
      <c r="H844" s="56">
        <f t="shared" si="138"/>
        <v>185</v>
      </c>
      <c r="I844" s="56">
        <f t="shared" si="135"/>
        <v>0</v>
      </c>
      <c r="J844" s="59">
        <v>100</v>
      </c>
      <c r="K844" s="59">
        <v>300</v>
      </c>
      <c r="L844" s="56">
        <f t="shared" si="129"/>
        <v>1274</v>
      </c>
      <c r="M844" s="66">
        <v>600</v>
      </c>
      <c r="N844" s="56">
        <f>75</f>
        <v>75</v>
      </c>
      <c r="O844" s="59">
        <v>240</v>
      </c>
      <c r="P844" s="59">
        <v>40</v>
      </c>
      <c r="Q844" s="59">
        <f t="shared" si="130"/>
        <v>315</v>
      </c>
      <c r="R844" s="59">
        <f t="shared" si="131"/>
        <v>100</v>
      </c>
      <c r="S844" s="56">
        <f t="shared" si="132"/>
        <v>695</v>
      </c>
      <c r="T844" s="56">
        <f>50</f>
        <v>50</v>
      </c>
      <c r="U844" s="57"/>
      <c r="V844" s="57"/>
      <c r="W844" s="57"/>
      <c r="X844" s="57"/>
      <c r="Y844" s="57"/>
      <c r="Z844" s="57"/>
      <c r="AA844" s="57"/>
      <c r="AB844" s="57"/>
      <c r="AC844" s="57"/>
      <c r="AD844" s="57"/>
    </row>
    <row r="845" spans="1:30" ht="15.75">
      <c r="A845" s="13">
        <v>67022</v>
      </c>
      <c r="B845" s="67">
        <f t="shared" si="139"/>
        <v>30</v>
      </c>
      <c r="C845" s="56">
        <f>194.205</f>
        <v>194.20500000000001</v>
      </c>
      <c r="D845" s="56">
        <f>267.466</f>
        <v>267.46600000000001</v>
      </c>
      <c r="E845" s="64">
        <f>133.845</f>
        <v>133.845</v>
      </c>
      <c r="F845" s="56">
        <f>278.484-40-25-60-100</f>
        <v>53.48399999999998</v>
      </c>
      <c r="G845" s="59">
        <v>40</v>
      </c>
      <c r="H845" s="56">
        <f t="shared" si="138"/>
        <v>185</v>
      </c>
      <c r="I845" s="56">
        <f t="shared" si="135"/>
        <v>0</v>
      </c>
      <c r="J845" s="59">
        <v>100</v>
      </c>
      <c r="K845" s="59">
        <v>300</v>
      </c>
      <c r="L845" s="56">
        <f t="shared" si="129"/>
        <v>1274</v>
      </c>
      <c r="M845" s="66">
        <v>600</v>
      </c>
      <c r="N845" s="56">
        <f>30</f>
        <v>30</v>
      </c>
      <c r="O845" s="59">
        <v>240</v>
      </c>
      <c r="P845" s="59">
        <v>40</v>
      </c>
      <c r="Q845" s="59">
        <f t="shared" si="130"/>
        <v>315</v>
      </c>
      <c r="R845" s="59">
        <f t="shared" si="131"/>
        <v>100</v>
      </c>
      <c r="S845" s="56">
        <f t="shared" si="132"/>
        <v>695</v>
      </c>
      <c r="T845" s="56">
        <f>50</f>
        <v>50</v>
      </c>
      <c r="U845" s="57"/>
      <c r="V845" s="57"/>
      <c r="W845" s="57"/>
      <c r="X845" s="57"/>
      <c r="Y845" s="57"/>
      <c r="Z845" s="57"/>
      <c r="AA845" s="57"/>
      <c r="AB845" s="57"/>
      <c r="AC845" s="57"/>
      <c r="AD845" s="57"/>
    </row>
    <row r="846" spans="1:30" ht="15.75">
      <c r="A846" s="13">
        <v>67053</v>
      </c>
      <c r="B846" s="67">
        <f t="shared" si="139"/>
        <v>31</v>
      </c>
      <c r="C846" s="56">
        <f>194.205</f>
        <v>194.20500000000001</v>
      </c>
      <c r="D846" s="56">
        <f>267.466</f>
        <v>267.46600000000001</v>
      </c>
      <c r="E846" s="64">
        <f>133.845</f>
        <v>133.845</v>
      </c>
      <c r="F846" s="56">
        <f>278.484-40-25-60-100</f>
        <v>53.48399999999998</v>
      </c>
      <c r="G846" s="59">
        <v>40</v>
      </c>
      <c r="H846" s="56">
        <f t="shared" si="138"/>
        <v>185</v>
      </c>
      <c r="I846" s="56">
        <f t="shared" si="135"/>
        <v>0</v>
      </c>
      <c r="J846" s="59">
        <v>100</v>
      </c>
      <c r="K846" s="59">
        <v>300</v>
      </c>
      <c r="L846" s="56">
        <f t="shared" si="129"/>
        <v>1274</v>
      </c>
      <c r="M846" s="66">
        <v>600</v>
      </c>
      <c r="N846" s="56">
        <f>30</f>
        <v>30</v>
      </c>
      <c r="O846" s="59">
        <v>240</v>
      </c>
      <c r="P846" s="59">
        <v>40</v>
      </c>
      <c r="Q846" s="59">
        <f t="shared" si="130"/>
        <v>315</v>
      </c>
      <c r="R846" s="59">
        <f t="shared" si="131"/>
        <v>100</v>
      </c>
      <c r="S846" s="56">
        <f t="shared" si="132"/>
        <v>695</v>
      </c>
      <c r="T846" s="56">
        <f>0</f>
        <v>0</v>
      </c>
      <c r="U846" s="57"/>
      <c r="V846" s="57"/>
      <c r="W846" s="57"/>
      <c r="X846" s="57"/>
      <c r="Y846" s="57"/>
      <c r="Z846" s="57"/>
      <c r="AA846" s="57"/>
      <c r="AB846" s="57"/>
      <c r="AC846" s="57"/>
      <c r="AD846" s="57"/>
    </row>
    <row r="847" spans="1:30" ht="15.75">
      <c r="A847" s="13">
        <v>67084</v>
      </c>
      <c r="B847" s="67">
        <f t="shared" si="139"/>
        <v>31</v>
      </c>
      <c r="C847" s="56">
        <f>194.205</f>
        <v>194.20500000000001</v>
      </c>
      <c r="D847" s="56">
        <f>267.466</f>
        <v>267.46600000000001</v>
      </c>
      <c r="E847" s="64">
        <f>133.845</f>
        <v>133.845</v>
      </c>
      <c r="F847" s="56">
        <f>278.484-40-25-60-100</f>
        <v>53.48399999999998</v>
      </c>
      <c r="G847" s="59">
        <v>40</v>
      </c>
      <c r="H847" s="56">
        <f t="shared" si="138"/>
        <v>185</v>
      </c>
      <c r="I847" s="56">
        <f t="shared" si="135"/>
        <v>0</v>
      </c>
      <c r="J847" s="59">
        <v>100</v>
      </c>
      <c r="K847" s="59">
        <v>300</v>
      </c>
      <c r="L847" s="56">
        <f t="shared" si="129"/>
        <v>1274</v>
      </c>
      <c r="M847" s="66">
        <v>600</v>
      </c>
      <c r="N847" s="56">
        <f>30</f>
        <v>30</v>
      </c>
      <c r="O847" s="59">
        <v>240</v>
      </c>
      <c r="P847" s="59">
        <v>40</v>
      </c>
      <c r="Q847" s="59">
        <f t="shared" si="130"/>
        <v>315</v>
      </c>
      <c r="R847" s="59">
        <f t="shared" si="131"/>
        <v>100</v>
      </c>
      <c r="S847" s="56">
        <f t="shared" si="132"/>
        <v>695</v>
      </c>
      <c r="T847" s="56">
        <f>0</f>
        <v>0</v>
      </c>
      <c r="U847" s="57"/>
      <c r="V847" s="57"/>
      <c r="W847" s="57"/>
      <c r="X847" s="57"/>
      <c r="Y847" s="57"/>
      <c r="Z847" s="57"/>
      <c r="AA847" s="57"/>
      <c r="AB847" s="57"/>
      <c r="AC847" s="57"/>
      <c r="AD847" s="57"/>
    </row>
    <row r="848" spans="1:30" ht="15.75">
      <c r="A848" s="13">
        <v>67114</v>
      </c>
      <c r="B848" s="67">
        <f t="shared" si="139"/>
        <v>30</v>
      </c>
      <c r="C848" s="56">
        <f>194.205</f>
        <v>194.20500000000001</v>
      </c>
      <c r="D848" s="56">
        <f>267.466</f>
        <v>267.46600000000001</v>
      </c>
      <c r="E848" s="64">
        <f>133.845</f>
        <v>133.845</v>
      </c>
      <c r="F848" s="56">
        <f>278.484-40-25-60-100</f>
        <v>53.48399999999998</v>
      </c>
      <c r="G848" s="59">
        <v>40</v>
      </c>
      <c r="H848" s="56">
        <f t="shared" si="138"/>
        <v>185</v>
      </c>
      <c r="I848" s="56">
        <f t="shared" si="135"/>
        <v>0</v>
      </c>
      <c r="J848" s="59">
        <v>100</v>
      </c>
      <c r="K848" s="59">
        <v>300</v>
      </c>
      <c r="L848" s="56">
        <f t="shared" si="129"/>
        <v>1274</v>
      </c>
      <c r="M848" s="66">
        <v>600</v>
      </c>
      <c r="N848" s="56">
        <f>30</f>
        <v>30</v>
      </c>
      <c r="O848" s="59">
        <v>240</v>
      </c>
      <c r="P848" s="59">
        <v>40</v>
      </c>
      <c r="Q848" s="59">
        <f t="shared" si="130"/>
        <v>315</v>
      </c>
      <c r="R848" s="59">
        <f t="shared" si="131"/>
        <v>100</v>
      </c>
      <c r="S848" s="56">
        <f t="shared" si="132"/>
        <v>695</v>
      </c>
      <c r="T848" s="56">
        <f>0</f>
        <v>0</v>
      </c>
      <c r="U848" s="57"/>
      <c r="V848" s="57"/>
      <c r="W848" s="57"/>
      <c r="X848" s="57"/>
      <c r="Y848" s="57"/>
      <c r="Z848" s="57"/>
      <c r="AA848" s="57"/>
      <c r="AB848" s="57"/>
      <c r="AC848" s="57"/>
      <c r="AD848" s="57"/>
    </row>
    <row r="849" spans="1:30" ht="15.75">
      <c r="A849" s="13">
        <v>67145</v>
      </c>
      <c r="B849" s="67">
        <f t="shared" si="139"/>
        <v>31</v>
      </c>
      <c r="C849" s="56">
        <f>131.881</f>
        <v>131.881</v>
      </c>
      <c r="D849" s="56">
        <f>277.167</f>
        <v>277.16699999999997</v>
      </c>
      <c r="E849" s="64">
        <f>79.08</f>
        <v>79.08</v>
      </c>
      <c r="F849" s="56">
        <f>350.872-40-25-60-100</f>
        <v>125.87200000000001</v>
      </c>
      <c r="G849" s="59">
        <v>40</v>
      </c>
      <c r="H849" s="56">
        <f t="shared" si="138"/>
        <v>185</v>
      </c>
      <c r="I849" s="56">
        <f t="shared" si="135"/>
        <v>0</v>
      </c>
      <c r="J849" s="59">
        <v>100</v>
      </c>
      <c r="K849" s="59">
        <v>300</v>
      </c>
      <c r="L849" s="56">
        <f t="shared" ref="L849:L912" si="140">SUM(C849:K849)</f>
        <v>1239</v>
      </c>
      <c r="M849" s="66">
        <v>600</v>
      </c>
      <c r="N849" s="56">
        <f>75</f>
        <v>75</v>
      </c>
      <c r="O849" s="59">
        <v>240</v>
      </c>
      <c r="P849" s="59">
        <v>40</v>
      </c>
      <c r="Q849" s="59">
        <f t="shared" ref="Q849:Q912" si="141">695-R849-O849-P849</f>
        <v>315</v>
      </c>
      <c r="R849" s="59">
        <f t="shared" ref="R849:R912" si="142">200-J849</f>
        <v>100</v>
      </c>
      <c r="S849" s="56">
        <f t="shared" ref="S849:S912" si="143">SUM(O849:R849)</f>
        <v>695</v>
      </c>
      <c r="T849" s="56">
        <f>0</f>
        <v>0</v>
      </c>
      <c r="U849" s="57"/>
      <c r="V849" s="57"/>
      <c r="W849" s="57"/>
      <c r="X849" s="57"/>
      <c r="Y849" s="57"/>
      <c r="Z849" s="57"/>
      <c r="AA849" s="57"/>
      <c r="AB849" s="57"/>
      <c r="AC849" s="57"/>
      <c r="AD849" s="57"/>
    </row>
    <row r="850" spans="1:30" ht="15.75">
      <c r="A850" s="13">
        <v>67175</v>
      </c>
      <c r="B850" s="67">
        <f t="shared" si="139"/>
        <v>30</v>
      </c>
      <c r="C850" s="56">
        <f>122.58</f>
        <v>122.58</v>
      </c>
      <c r="D850" s="56">
        <f>297.941</f>
        <v>297.94099999999997</v>
      </c>
      <c r="E850" s="64">
        <f>89.177</f>
        <v>89.177000000000007</v>
      </c>
      <c r="F850" s="56">
        <f>240.302-40-60-100</f>
        <v>40.301999999999992</v>
      </c>
      <c r="G850" s="59">
        <v>40</v>
      </c>
      <c r="H850" s="56">
        <f>60+100</f>
        <v>160</v>
      </c>
      <c r="I850" s="56">
        <f t="shared" si="135"/>
        <v>0</v>
      </c>
      <c r="J850" s="59">
        <v>100</v>
      </c>
      <c r="K850" s="59">
        <v>300</v>
      </c>
      <c r="L850" s="56">
        <f t="shared" si="140"/>
        <v>1150</v>
      </c>
      <c r="M850" s="66">
        <v>600</v>
      </c>
      <c r="N850" s="56">
        <f>100</f>
        <v>100</v>
      </c>
      <c r="O850" s="59">
        <v>240</v>
      </c>
      <c r="P850" s="59">
        <v>40</v>
      </c>
      <c r="Q850" s="59">
        <f t="shared" si="141"/>
        <v>315</v>
      </c>
      <c r="R850" s="59">
        <f t="shared" si="142"/>
        <v>100</v>
      </c>
      <c r="S850" s="56">
        <f t="shared" si="143"/>
        <v>695</v>
      </c>
      <c r="T850" s="56">
        <f>50</f>
        <v>50</v>
      </c>
      <c r="U850" s="57"/>
      <c r="V850" s="57"/>
      <c r="W850" s="57"/>
      <c r="X850" s="57"/>
      <c r="Y850" s="57"/>
      <c r="Z850" s="57"/>
      <c r="AA850" s="57"/>
      <c r="AB850" s="57"/>
      <c r="AC850" s="57"/>
      <c r="AD850" s="57"/>
    </row>
    <row r="851" spans="1:30" ht="15.75">
      <c r="A851" s="13">
        <v>67206</v>
      </c>
      <c r="B851" s="67">
        <f t="shared" si="139"/>
        <v>31</v>
      </c>
      <c r="C851" s="56">
        <f>122.58</f>
        <v>122.58</v>
      </c>
      <c r="D851" s="56">
        <f>297.941</f>
        <v>297.94099999999997</v>
      </c>
      <c r="E851" s="64">
        <f>89.177</f>
        <v>89.177000000000007</v>
      </c>
      <c r="F851" s="56">
        <f>240.302-40-60-100</f>
        <v>40.301999999999992</v>
      </c>
      <c r="G851" s="59">
        <v>40</v>
      </c>
      <c r="H851" s="56">
        <f>60+100</f>
        <v>160</v>
      </c>
      <c r="I851" s="56">
        <f t="shared" si="135"/>
        <v>0</v>
      </c>
      <c r="J851" s="59">
        <v>100</v>
      </c>
      <c r="K851" s="59">
        <v>300</v>
      </c>
      <c r="L851" s="56">
        <f t="shared" si="140"/>
        <v>1150</v>
      </c>
      <c r="M851" s="66">
        <v>600</v>
      </c>
      <c r="N851" s="56">
        <f>100</f>
        <v>100</v>
      </c>
      <c r="O851" s="59">
        <v>240</v>
      </c>
      <c r="P851" s="59">
        <v>40</v>
      </c>
      <c r="Q851" s="59">
        <f t="shared" si="141"/>
        <v>315</v>
      </c>
      <c r="R851" s="59">
        <f t="shared" si="142"/>
        <v>100</v>
      </c>
      <c r="S851" s="56">
        <f t="shared" si="143"/>
        <v>695</v>
      </c>
      <c r="T851" s="56">
        <f>50</f>
        <v>50</v>
      </c>
      <c r="U851" s="57"/>
      <c r="V851" s="57"/>
      <c r="W851" s="57"/>
      <c r="X851" s="57"/>
      <c r="Y851" s="57"/>
      <c r="Z851" s="57"/>
      <c r="AA851" s="57"/>
      <c r="AB851" s="57"/>
      <c r="AC851" s="57"/>
      <c r="AD851" s="57"/>
    </row>
    <row r="852" spans="1:30" ht="15.75">
      <c r="A852" s="13">
        <v>67237</v>
      </c>
      <c r="B852" s="67">
        <f t="shared" si="139"/>
        <v>31</v>
      </c>
      <c r="C852" s="56">
        <f>122.58</f>
        <v>122.58</v>
      </c>
      <c r="D852" s="56">
        <f>297.941</f>
        <v>297.94099999999997</v>
      </c>
      <c r="E852" s="64">
        <f>89.177</f>
        <v>89.177000000000007</v>
      </c>
      <c r="F852" s="56">
        <f>240.302-40-60-100</f>
        <v>40.301999999999992</v>
      </c>
      <c r="G852" s="59">
        <v>40</v>
      </c>
      <c r="H852" s="56">
        <f>60+100</f>
        <v>160</v>
      </c>
      <c r="I852" s="56">
        <f t="shared" si="135"/>
        <v>0</v>
      </c>
      <c r="J852" s="59">
        <v>100</v>
      </c>
      <c r="K852" s="59">
        <v>300</v>
      </c>
      <c r="L852" s="56">
        <f t="shared" si="140"/>
        <v>1150</v>
      </c>
      <c r="M852" s="66">
        <v>600</v>
      </c>
      <c r="N852" s="56">
        <f>100</f>
        <v>100</v>
      </c>
      <c r="O852" s="59">
        <v>240</v>
      </c>
      <c r="P852" s="59">
        <v>40</v>
      </c>
      <c r="Q852" s="59">
        <f t="shared" si="141"/>
        <v>315</v>
      </c>
      <c r="R852" s="59">
        <f t="shared" si="142"/>
        <v>100</v>
      </c>
      <c r="S852" s="56">
        <f t="shared" si="143"/>
        <v>695</v>
      </c>
      <c r="T852" s="56">
        <f>50</f>
        <v>50</v>
      </c>
      <c r="U852" s="57"/>
      <c r="V852" s="57"/>
      <c r="W852" s="57"/>
      <c r="X852" s="57"/>
      <c r="Y852" s="57"/>
      <c r="Z852" s="57"/>
      <c r="AA852" s="57"/>
      <c r="AB852" s="57"/>
      <c r="AC852" s="57"/>
      <c r="AD852" s="57"/>
    </row>
    <row r="853" spans="1:30" ht="15.75">
      <c r="A853" s="13">
        <v>67266</v>
      </c>
      <c r="B853" s="67">
        <f t="shared" si="139"/>
        <v>29</v>
      </c>
      <c r="C853" s="56">
        <f>122.58</f>
        <v>122.58</v>
      </c>
      <c r="D853" s="56">
        <f>297.941</f>
        <v>297.94099999999997</v>
      </c>
      <c r="E853" s="64">
        <f>89.177</f>
        <v>89.177000000000007</v>
      </c>
      <c r="F853" s="56">
        <f>240.302-40-60-100</f>
        <v>40.301999999999992</v>
      </c>
      <c r="G853" s="59">
        <v>40</v>
      </c>
      <c r="H853" s="56">
        <f>60+100</f>
        <v>160</v>
      </c>
      <c r="I853" s="56">
        <f t="shared" si="135"/>
        <v>0</v>
      </c>
      <c r="J853" s="59">
        <v>100</v>
      </c>
      <c r="K853" s="59">
        <v>300</v>
      </c>
      <c r="L853" s="56">
        <f t="shared" si="140"/>
        <v>1150</v>
      </c>
      <c r="M853" s="66">
        <v>600</v>
      </c>
      <c r="N853" s="56">
        <f>100</f>
        <v>100</v>
      </c>
      <c r="O853" s="59">
        <v>240</v>
      </c>
      <c r="P853" s="59">
        <v>40</v>
      </c>
      <c r="Q853" s="59">
        <f t="shared" si="141"/>
        <v>315</v>
      </c>
      <c r="R853" s="59">
        <f t="shared" si="142"/>
        <v>100</v>
      </c>
      <c r="S853" s="56">
        <f t="shared" si="143"/>
        <v>695</v>
      </c>
      <c r="T853" s="56">
        <f>50</f>
        <v>50</v>
      </c>
      <c r="U853" s="57"/>
      <c r="V853" s="57"/>
      <c r="W853" s="57"/>
      <c r="X853" s="57"/>
      <c r="Y853" s="57"/>
      <c r="Z853" s="57"/>
      <c r="AA853" s="57"/>
      <c r="AB853" s="57"/>
      <c r="AC853" s="57"/>
      <c r="AD853" s="57"/>
    </row>
    <row r="854" spans="1:30" ht="15.75">
      <c r="A854" s="13">
        <v>67297</v>
      </c>
      <c r="B854" s="67">
        <f t="shared" si="139"/>
        <v>31</v>
      </c>
      <c r="C854" s="56">
        <f>122.58</f>
        <v>122.58</v>
      </c>
      <c r="D854" s="56">
        <f>297.941</f>
        <v>297.94099999999997</v>
      </c>
      <c r="E854" s="64">
        <f>89.177</f>
        <v>89.177000000000007</v>
      </c>
      <c r="F854" s="56">
        <f>240.302-40-60-100</f>
        <v>40.301999999999992</v>
      </c>
      <c r="G854" s="59">
        <v>40</v>
      </c>
      <c r="H854" s="56">
        <f>60+100</f>
        <v>160</v>
      </c>
      <c r="I854" s="56">
        <f t="shared" si="135"/>
        <v>0</v>
      </c>
      <c r="J854" s="59">
        <v>100</v>
      </c>
      <c r="K854" s="59">
        <v>300</v>
      </c>
      <c r="L854" s="56">
        <f t="shared" si="140"/>
        <v>1150</v>
      </c>
      <c r="M854" s="66">
        <v>600</v>
      </c>
      <c r="N854" s="56">
        <f>100</f>
        <v>100</v>
      </c>
      <c r="O854" s="59">
        <v>240</v>
      </c>
      <c r="P854" s="59">
        <v>40</v>
      </c>
      <c r="Q854" s="59">
        <f t="shared" si="141"/>
        <v>315</v>
      </c>
      <c r="R854" s="59">
        <f t="shared" si="142"/>
        <v>100</v>
      </c>
      <c r="S854" s="56">
        <f t="shared" si="143"/>
        <v>695</v>
      </c>
      <c r="T854" s="56">
        <f>50</f>
        <v>50</v>
      </c>
      <c r="U854" s="57"/>
      <c r="V854" s="57"/>
      <c r="W854" s="57"/>
      <c r="X854" s="57"/>
      <c r="Y854" s="57"/>
      <c r="Z854" s="57"/>
      <c r="AA854" s="57"/>
      <c r="AB854" s="57"/>
      <c r="AC854" s="57"/>
      <c r="AD854" s="57"/>
    </row>
    <row r="855" spans="1:30" ht="15.75">
      <c r="A855" s="13">
        <v>67327</v>
      </c>
      <c r="B855" s="67">
        <f t="shared" si="139"/>
        <v>30</v>
      </c>
      <c r="C855" s="56">
        <f>141.293</f>
        <v>141.29300000000001</v>
      </c>
      <c r="D855" s="56">
        <f>267.993</f>
        <v>267.99299999999999</v>
      </c>
      <c r="E855" s="64">
        <f>115.016</f>
        <v>115.01600000000001</v>
      </c>
      <c r="F855" s="56">
        <f>314.698-40-25-60-100</f>
        <v>89.697999999999979</v>
      </c>
      <c r="G855" s="59">
        <v>40</v>
      </c>
      <c r="H855" s="56">
        <f t="shared" ref="H855:H861" si="144">25+60+100</f>
        <v>185</v>
      </c>
      <c r="I855" s="56">
        <f t="shared" si="135"/>
        <v>0</v>
      </c>
      <c r="J855" s="59">
        <v>100</v>
      </c>
      <c r="K855" s="59">
        <v>300</v>
      </c>
      <c r="L855" s="56">
        <f t="shared" si="140"/>
        <v>1239</v>
      </c>
      <c r="M855" s="66">
        <v>600</v>
      </c>
      <c r="N855" s="56">
        <f>100</f>
        <v>100</v>
      </c>
      <c r="O855" s="59">
        <v>240</v>
      </c>
      <c r="P855" s="59">
        <v>40</v>
      </c>
      <c r="Q855" s="59">
        <f t="shared" si="141"/>
        <v>315</v>
      </c>
      <c r="R855" s="59">
        <f t="shared" si="142"/>
        <v>100</v>
      </c>
      <c r="S855" s="56">
        <f t="shared" si="143"/>
        <v>695</v>
      </c>
      <c r="T855" s="56">
        <f>50</f>
        <v>50</v>
      </c>
      <c r="U855" s="57"/>
      <c r="V855" s="57"/>
      <c r="W855" s="57"/>
      <c r="X855" s="57"/>
      <c r="Y855" s="57"/>
      <c r="Z855" s="57"/>
      <c r="AA855" s="57"/>
      <c r="AB855" s="57"/>
      <c r="AC855" s="57"/>
      <c r="AD855" s="57"/>
    </row>
    <row r="856" spans="1:30" ht="15.75">
      <c r="A856" s="13">
        <v>67358</v>
      </c>
      <c r="B856" s="67">
        <f t="shared" si="139"/>
        <v>31</v>
      </c>
      <c r="C856" s="56">
        <f>194.205</f>
        <v>194.20500000000001</v>
      </c>
      <c r="D856" s="56">
        <f>267.466</f>
        <v>267.46600000000001</v>
      </c>
      <c r="E856" s="64">
        <f>133.845</f>
        <v>133.845</v>
      </c>
      <c r="F856" s="56">
        <f>278.484-40-25-60-100</f>
        <v>53.48399999999998</v>
      </c>
      <c r="G856" s="59">
        <v>40</v>
      </c>
      <c r="H856" s="56">
        <f t="shared" si="144"/>
        <v>185</v>
      </c>
      <c r="I856" s="56">
        <f t="shared" si="135"/>
        <v>0</v>
      </c>
      <c r="J856" s="59">
        <v>100</v>
      </c>
      <c r="K856" s="59">
        <v>300</v>
      </c>
      <c r="L856" s="56">
        <f t="shared" si="140"/>
        <v>1274</v>
      </c>
      <c r="M856" s="66">
        <v>600</v>
      </c>
      <c r="N856" s="56">
        <f>75</f>
        <v>75</v>
      </c>
      <c r="O856" s="59">
        <v>240</v>
      </c>
      <c r="P856" s="59">
        <v>40</v>
      </c>
      <c r="Q856" s="59">
        <f t="shared" si="141"/>
        <v>315</v>
      </c>
      <c r="R856" s="59">
        <f t="shared" si="142"/>
        <v>100</v>
      </c>
      <c r="S856" s="56">
        <f t="shared" si="143"/>
        <v>695</v>
      </c>
      <c r="T856" s="56">
        <f>50</f>
        <v>50</v>
      </c>
      <c r="U856" s="57"/>
      <c r="V856" s="57"/>
      <c r="W856" s="57"/>
      <c r="X856" s="57"/>
      <c r="Y856" s="57"/>
      <c r="Z856" s="57"/>
      <c r="AA856" s="57"/>
      <c r="AB856" s="57"/>
      <c r="AC856" s="57"/>
      <c r="AD856" s="57"/>
    </row>
    <row r="857" spans="1:30" ht="15.75">
      <c r="A857" s="13">
        <v>67388</v>
      </c>
      <c r="B857" s="67">
        <f t="shared" si="139"/>
        <v>30</v>
      </c>
      <c r="C857" s="56">
        <f>194.205</f>
        <v>194.20500000000001</v>
      </c>
      <c r="D857" s="56">
        <f>267.466</f>
        <v>267.46600000000001</v>
      </c>
      <c r="E857" s="64">
        <f>133.845</f>
        <v>133.845</v>
      </c>
      <c r="F857" s="56">
        <f>278.484-40-25-60-100</f>
        <v>53.48399999999998</v>
      </c>
      <c r="G857" s="59">
        <v>40</v>
      </c>
      <c r="H857" s="56">
        <f t="shared" si="144"/>
        <v>185</v>
      </c>
      <c r="I857" s="56">
        <f t="shared" si="135"/>
        <v>0</v>
      </c>
      <c r="J857" s="59">
        <v>100</v>
      </c>
      <c r="K857" s="59">
        <v>300</v>
      </c>
      <c r="L857" s="56">
        <f t="shared" si="140"/>
        <v>1274</v>
      </c>
      <c r="M857" s="66">
        <v>600</v>
      </c>
      <c r="N857" s="56">
        <f>30</f>
        <v>30</v>
      </c>
      <c r="O857" s="59">
        <v>240</v>
      </c>
      <c r="P857" s="59">
        <v>40</v>
      </c>
      <c r="Q857" s="59">
        <f t="shared" si="141"/>
        <v>315</v>
      </c>
      <c r="R857" s="59">
        <f t="shared" si="142"/>
        <v>100</v>
      </c>
      <c r="S857" s="56">
        <f t="shared" si="143"/>
        <v>695</v>
      </c>
      <c r="T857" s="56">
        <f>50</f>
        <v>50</v>
      </c>
      <c r="U857" s="57"/>
      <c r="V857" s="57"/>
      <c r="W857" s="57"/>
      <c r="X857" s="57"/>
      <c r="Y857" s="57"/>
      <c r="Z857" s="57"/>
      <c r="AA857" s="57"/>
      <c r="AB857" s="57"/>
      <c r="AC857" s="57"/>
      <c r="AD857" s="57"/>
    </row>
    <row r="858" spans="1:30" ht="15.75">
      <c r="A858" s="13">
        <v>67419</v>
      </c>
      <c r="B858" s="67">
        <f t="shared" si="139"/>
        <v>31</v>
      </c>
      <c r="C858" s="56">
        <f>194.205</f>
        <v>194.20500000000001</v>
      </c>
      <c r="D858" s="56">
        <f>267.466</f>
        <v>267.46600000000001</v>
      </c>
      <c r="E858" s="64">
        <f>133.845</f>
        <v>133.845</v>
      </c>
      <c r="F858" s="56">
        <f>278.484-40-25-60-100</f>
        <v>53.48399999999998</v>
      </c>
      <c r="G858" s="59">
        <v>40</v>
      </c>
      <c r="H858" s="56">
        <f t="shared" si="144"/>
        <v>185</v>
      </c>
      <c r="I858" s="56">
        <f t="shared" si="135"/>
        <v>0</v>
      </c>
      <c r="J858" s="59">
        <v>100</v>
      </c>
      <c r="K858" s="59">
        <v>300</v>
      </c>
      <c r="L858" s="56">
        <f t="shared" si="140"/>
        <v>1274</v>
      </c>
      <c r="M858" s="66">
        <v>600</v>
      </c>
      <c r="N858" s="56">
        <f>30</f>
        <v>30</v>
      </c>
      <c r="O858" s="59">
        <v>240</v>
      </c>
      <c r="P858" s="59">
        <v>40</v>
      </c>
      <c r="Q858" s="59">
        <f t="shared" si="141"/>
        <v>315</v>
      </c>
      <c r="R858" s="59">
        <f t="shared" si="142"/>
        <v>100</v>
      </c>
      <c r="S858" s="56">
        <f t="shared" si="143"/>
        <v>695</v>
      </c>
      <c r="T858" s="56">
        <f>0</f>
        <v>0</v>
      </c>
      <c r="U858" s="57"/>
      <c r="V858" s="57"/>
      <c r="W858" s="57"/>
      <c r="X858" s="57"/>
      <c r="Y858" s="57"/>
      <c r="Z858" s="57"/>
      <c r="AA858" s="57"/>
      <c r="AB858" s="57"/>
      <c r="AC858" s="57"/>
      <c r="AD858" s="57"/>
    </row>
    <row r="859" spans="1:30" ht="15.75">
      <c r="A859" s="13">
        <v>67450</v>
      </c>
      <c r="B859" s="67">
        <f t="shared" si="139"/>
        <v>31</v>
      </c>
      <c r="C859" s="56">
        <f>194.205</f>
        <v>194.20500000000001</v>
      </c>
      <c r="D859" s="56">
        <f>267.466</f>
        <v>267.46600000000001</v>
      </c>
      <c r="E859" s="64">
        <f>133.845</f>
        <v>133.845</v>
      </c>
      <c r="F859" s="56">
        <f>278.484-40-25-60-100</f>
        <v>53.48399999999998</v>
      </c>
      <c r="G859" s="59">
        <v>40</v>
      </c>
      <c r="H859" s="56">
        <f t="shared" si="144"/>
        <v>185</v>
      </c>
      <c r="I859" s="56">
        <f t="shared" si="135"/>
        <v>0</v>
      </c>
      <c r="J859" s="59">
        <v>100</v>
      </c>
      <c r="K859" s="59">
        <v>300</v>
      </c>
      <c r="L859" s="56">
        <f t="shared" si="140"/>
        <v>1274</v>
      </c>
      <c r="M859" s="66">
        <v>600</v>
      </c>
      <c r="N859" s="56">
        <f>30</f>
        <v>30</v>
      </c>
      <c r="O859" s="59">
        <v>240</v>
      </c>
      <c r="P859" s="59">
        <v>40</v>
      </c>
      <c r="Q859" s="59">
        <f t="shared" si="141"/>
        <v>315</v>
      </c>
      <c r="R859" s="59">
        <f t="shared" si="142"/>
        <v>100</v>
      </c>
      <c r="S859" s="56">
        <f t="shared" si="143"/>
        <v>695</v>
      </c>
      <c r="T859" s="56">
        <f>0</f>
        <v>0</v>
      </c>
      <c r="U859" s="57"/>
      <c r="V859" s="57"/>
      <c r="W859" s="57"/>
      <c r="X859" s="57"/>
      <c r="Y859" s="57"/>
      <c r="Z859" s="57"/>
      <c r="AA859" s="57"/>
      <c r="AB859" s="57"/>
      <c r="AC859" s="57"/>
      <c r="AD859" s="57"/>
    </row>
    <row r="860" spans="1:30" ht="15.75">
      <c r="A860" s="13">
        <v>67480</v>
      </c>
      <c r="B860" s="67">
        <f t="shared" si="139"/>
        <v>30</v>
      </c>
      <c r="C860" s="56">
        <f>194.205</f>
        <v>194.20500000000001</v>
      </c>
      <c r="D860" s="56">
        <f>267.466</f>
        <v>267.46600000000001</v>
      </c>
      <c r="E860" s="64">
        <f>133.845</f>
        <v>133.845</v>
      </c>
      <c r="F860" s="56">
        <f>278.484-40-25-60-100</f>
        <v>53.48399999999998</v>
      </c>
      <c r="G860" s="59">
        <v>40</v>
      </c>
      <c r="H860" s="56">
        <f t="shared" si="144"/>
        <v>185</v>
      </c>
      <c r="I860" s="56">
        <f t="shared" si="135"/>
        <v>0</v>
      </c>
      <c r="J860" s="59">
        <v>100</v>
      </c>
      <c r="K860" s="59">
        <v>300</v>
      </c>
      <c r="L860" s="56">
        <f t="shared" si="140"/>
        <v>1274</v>
      </c>
      <c r="M860" s="66">
        <v>600</v>
      </c>
      <c r="N860" s="56">
        <f>30</f>
        <v>30</v>
      </c>
      <c r="O860" s="59">
        <v>240</v>
      </c>
      <c r="P860" s="59">
        <v>40</v>
      </c>
      <c r="Q860" s="59">
        <f t="shared" si="141"/>
        <v>315</v>
      </c>
      <c r="R860" s="59">
        <f t="shared" si="142"/>
        <v>100</v>
      </c>
      <c r="S860" s="56">
        <f t="shared" si="143"/>
        <v>695</v>
      </c>
      <c r="T860" s="56">
        <f>0</f>
        <v>0</v>
      </c>
      <c r="U860" s="57"/>
      <c r="V860" s="57"/>
      <c r="W860" s="57"/>
      <c r="X860" s="57"/>
      <c r="Y860" s="57"/>
      <c r="Z860" s="57"/>
      <c r="AA860" s="57"/>
      <c r="AB860" s="57"/>
      <c r="AC860" s="57"/>
      <c r="AD860" s="57"/>
    </row>
    <row r="861" spans="1:30" ht="15.75">
      <c r="A861" s="13">
        <v>67511</v>
      </c>
      <c r="B861" s="67">
        <f t="shared" si="139"/>
        <v>31</v>
      </c>
      <c r="C861" s="56">
        <f>131.881</f>
        <v>131.881</v>
      </c>
      <c r="D861" s="56">
        <f>277.167</f>
        <v>277.16699999999997</v>
      </c>
      <c r="E861" s="64">
        <f>79.08</f>
        <v>79.08</v>
      </c>
      <c r="F861" s="56">
        <f>350.872-40-25-60-100</f>
        <v>125.87200000000001</v>
      </c>
      <c r="G861" s="59">
        <v>40</v>
      </c>
      <c r="H861" s="56">
        <f t="shared" si="144"/>
        <v>185</v>
      </c>
      <c r="I861" s="56">
        <f t="shared" si="135"/>
        <v>0</v>
      </c>
      <c r="J861" s="59">
        <v>100</v>
      </c>
      <c r="K861" s="59">
        <v>300</v>
      </c>
      <c r="L861" s="56">
        <f t="shared" si="140"/>
        <v>1239</v>
      </c>
      <c r="M861" s="66">
        <v>600</v>
      </c>
      <c r="N861" s="56">
        <f>75</f>
        <v>75</v>
      </c>
      <c r="O861" s="59">
        <v>240</v>
      </c>
      <c r="P861" s="59">
        <v>40</v>
      </c>
      <c r="Q861" s="59">
        <f t="shared" si="141"/>
        <v>315</v>
      </c>
      <c r="R861" s="59">
        <f t="shared" si="142"/>
        <v>100</v>
      </c>
      <c r="S861" s="56">
        <f t="shared" si="143"/>
        <v>695</v>
      </c>
      <c r="T861" s="56">
        <f>0</f>
        <v>0</v>
      </c>
      <c r="U861" s="57"/>
      <c r="V861" s="57"/>
      <c r="W861" s="57"/>
      <c r="X861" s="57"/>
      <c r="Y861" s="57"/>
      <c r="Z861" s="57"/>
      <c r="AA861" s="57"/>
      <c r="AB861" s="57"/>
      <c r="AC861" s="57"/>
      <c r="AD861" s="57"/>
    </row>
    <row r="862" spans="1:30" ht="15.75">
      <c r="A862" s="13">
        <v>67541</v>
      </c>
      <c r="B862" s="67">
        <f t="shared" si="139"/>
        <v>30</v>
      </c>
      <c r="C862" s="56">
        <f>122.58</f>
        <v>122.58</v>
      </c>
      <c r="D862" s="56">
        <f>297.941</f>
        <v>297.94099999999997</v>
      </c>
      <c r="E862" s="64">
        <f>89.177</f>
        <v>89.177000000000007</v>
      </c>
      <c r="F862" s="56">
        <f>240.302-40-60-100</f>
        <v>40.301999999999992</v>
      </c>
      <c r="G862" s="59">
        <v>40</v>
      </c>
      <c r="H862" s="56">
        <f>60+100</f>
        <v>160</v>
      </c>
      <c r="I862" s="56">
        <f t="shared" si="135"/>
        <v>0</v>
      </c>
      <c r="J862" s="59">
        <v>100</v>
      </c>
      <c r="K862" s="59">
        <v>300</v>
      </c>
      <c r="L862" s="56">
        <f t="shared" si="140"/>
        <v>1150</v>
      </c>
      <c r="M862" s="66">
        <v>600</v>
      </c>
      <c r="N862" s="56">
        <f>100</f>
        <v>100</v>
      </c>
      <c r="O862" s="59">
        <v>240</v>
      </c>
      <c r="P862" s="59">
        <v>40</v>
      </c>
      <c r="Q862" s="59">
        <f t="shared" si="141"/>
        <v>315</v>
      </c>
      <c r="R862" s="59">
        <f t="shared" si="142"/>
        <v>100</v>
      </c>
      <c r="S862" s="56">
        <f t="shared" si="143"/>
        <v>695</v>
      </c>
      <c r="T862" s="56">
        <f>50</f>
        <v>50</v>
      </c>
      <c r="U862" s="57"/>
      <c r="V862" s="57"/>
      <c r="W862" s="57"/>
      <c r="X862" s="57"/>
      <c r="Y862" s="57"/>
      <c r="Z862" s="57"/>
      <c r="AA862" s="57"/>
      <c r="AB862" s="57"/>
      <c r="AC862" s="57"/>
      <c r="AD862" s="57"/>
    </row>
    <row r="863" spans="1:30" ht="15.75">
      <c r="A863" s="13">
        <v>67572</v>
      </c>
      <c r="B863" s="67">
        <f t="shared" si="139"/>
        <v>31</v>
      </c>
      <c r="C863" s="56">
        <f>122.58</f>
        <v>122.58</v>
      </c>
      <c r="D863" s="56">
        <f>297.941</f>
        <v>297.94099999999997</v>
      </c>
      <c r="E863" s="64">
        <f>89.177</f>
        <v>89.177000000000007</v>
      </c>
      <c r="F863" s="56">
        <f>240.302-40-60-100</f>
        <v>40.301999999999992</v>
      </c>
      <c r="G863" s="59">
        <v>40</v>
      </c>
      <c r="H863" s="56">
        <f>60+100</f>
        <v>160</v>
      </c>
      <c r="I863" s="56">
        <f t="shared" si="135"/>
        <v>0</v>
      </c>
      <c r="J863" s="59">
        <v>100</v>
      </c>
      <c r="K863" s="59">
        <v>300</v>
      </c>
      <c r="L863" s="56">
        <f t="shared" si="140"/>
        <v>1150</v>
      </c>
      <c r="M863" s="66">
        <v>600</v>
      </c>
      <c r="N863" s="56">
        <f>100</f>
        <v>100</v>
      </c>
      <c r="O863" s="59">
        <v>240</v>
      </c>
      <c r="P863" s="59">
        <v>40</v>
      </c>
      <c r="Q863" s="59">
        <f t="shared" si="141"/>
        <v>315</v>
      </c>
      <c r="R863" s="59">
        <f t="shared" si="142"/>
        <v>100</v>
      </c>
      <c r="S863" s="56">
        <f t="shared" si="143"/>
        <v>695</v>
      </c>
      <c r="T863" s="56">
        <f>50</f>
        <v>50</v>
      </c>
      <c r="U863" s="57"/>
      <c r="V863" s="57"/>
      <c r="W863" s="57"/>
      <c r="X863" s="57"/>
      <c r="Y863" s="57"/>
      <c r="Z863" s="57"/>
      <c r="AA863" s="57"/>
      <c r="AB863" s="57"/>
      <c r="AC863" s="57"/>
      <c r="AD863" s="57"/>
    </row>
    <row r="864" spans="1:30" ht="15.75">
      <c r="A864" s="13">
        <v>67603</v>
      </c>
      <c r="B864" s="67">
        <f t="shared" si="139"/>
        <v>31</v>
      </c>
      <c r="C864" s="56">
        <f>122.58</f>
        <v>122.58</v>
      </c>
      <c r="D864" s="56">
        <f>297.941</f>
        <v>297.94099999999997</v>
      </c>
      <c r="E864" s="64">
        <f>89.177</f>
        <v>89.177000000000007</v>
      </c>
      <c r="F864" s="56">
        <f>240.302-40-60-100</f>
        <v>40.301999999999992</v>
      </c>
      <c r="G864" s="59">
        <v>40</v>
      </c>
      <c r="H864" s="56">
        <f>60+100</f>
        <v>160</v>
      </c>
      <c r="I864" s="56">
        <f t="shared" si="135"/>
        <v>0</v>
      </c>
      <c r="J864" s="59">
        <v>100</v>
      </c>
      <c r="K864" s="59">
        <v>300</v>
      </c>
      <c r="L864" s="56">
        <f t="shared" si="140"/>
        <v>1150</v>
      </c>
      <c r="M864" s="66">
        <v>600</v>
      </c>
      <c r="N864" s="56">
        <f>100</f>
        <v>100</v>
      </c>
      <c r="O864" s="59">
        <v>240</v>
      </c>
      <c r="P864" s="59">
        <v>40</v>
      </c>
      <c r="Q864" s="59">
        <f t="shared" si="141"/>
        <v>315</v>
      </c>
      <c r="R864" s="59">
        <f t="shared" si="142"/>
        <v>100</v>
      </c>
      <c r="S864" s="56">
        <f t="shared" si="143"/>
        <v>695</v>
      </c>
      <c r="T864" s="56">
        <f>50</f>
        <v>50</v>
      </c>
      <c r="U864" s="57"/>
      <c r="V864" s="57"/>
      <c r="W864" s="57"/>
      <c r="X864" s="57"/>
      <c r="Y864" s="57"/>
      <c r="Z864" s="57"/>
      <c r="AA864" s="57"/>
      <c r="AB864" s="57"/>
      <c r="AC864" s="57"/>
      <c r="AD864" s="57"/>
    </row>
    <row r="865" spans="1:30" ht="15.75">
      <c r="A865" s="13">
        <v>67631</v>
      </c>
      <c r="B865" s="67">
        <f t="shared" si="139"/>
        <v>28</v>
      </c>
      <c r="C865" s="56">
        <f>122.58</f>
        <v>122.58</v>
      </c>
      <c r="D865" s="56">
        <f>297.941</f>
        <v>297.94099999999997</v>
      </c>
      <c r="E865" s="64">
        <f>89.177</f>
        <v>89.177000000000007</v>
      </c>
      <c r="F865" s="56">
        <f>240.302-40-60-100</f>
        <v>40.301999999999992</v>
      </c>
      <c r="G865" s="59">
        <v>40</v>
      </c>
      <c r="H865" s="56">
        <f>60+100</f>
        <v>160</v>
      </c>
      <c r="I865" s="56">
        <f t="shared" si="135"/>
        <v>0</v>
      </c>
      <c r="J865" s="59">
        <v>100</v>
      </c>
      <c r="K865" s="59">
        <v>300</v>
      </c>
      <c r="L865" s="56">
        <f t="shared" si="140"/>
        <v>1150</v>
      </c>
      <c r="M865" s="66">
        <v>600</v>
      </c>
      <c r="N865" s="56">
        <f>100</f>
        <v>100</v>
      </c>
      <c r="O865" s="59">
        <v>240</v>
      </c>
      <c r="P865" s="59">
        <v>40</v>
      </c>
      <c r="Q865" s="59">
        <f t="shared" si="141"/>
        <v>315</v>
      </c>
      <c r="R865" s="59">
        <f t="shared" si="142"/>
        <v>100</v>
      </c>
      <c r="S865" s="56">
        <f t="shared" si="143"/>
        <v>695</v>
      </c>
      <c r="T865" s="56">
        <f>50</f>
        <v>50</v>
      </c>
      <c r="U865" s="57"/>
      <c r="V865" s="57"/>
      <c r="W865" s="57"/>
      <c r="X865" s="57"/>
      <c r="Y865" s="57"/>
      <c r="Z865" s="57"/>
      <c r="AA865" s="57"/>
      <c r="AB865" s="57"/>
      <c r="AC865" s="57"/>
      <c r="AD865" s="57"/>
    </row>
    <row r="866" spans="1:30" ht="15.75">
      <c r="A866" s="13">
        <v>67662</v>
      </c>
      <c r="B866" s="67">
        <f t="shared" si="139"/>
        <v>31</v>
      </c>
      <c r="C866" s="56">
        <f>122.58</f>
        <v>122.58</v>
      </c>
      <c r="D866" s="56">
        <f>297.941</f>
        <v>297.94099999999997</v>
      </c>
      <c r="E866" s="64">
        <f>89.177</f>
        <v>89.177000000000007</v>
      </c>
      <c r="F866" s="56">
        <f>240.302-40-60-100</f>
        <v>40.301999999999992</v>
      </c>
      <c r="G866" s="59">
        <v>40</v>
      </c>
      <c r="H866" s="56">
        <f>60+100</f>
        <v>160</v>
      </c>
      <c r="I866" s="56">
        <f t="shared" si="135"/>
        <v>0</v>
      </c>
      <c r="J866" s="59">
        <v>100</v>
      </c>
      <c r="K866" s="59">
        <v>300</v>
      </c>
      <c r="L866" s="56">
        <f t="shared" si="140"/>
        <v>1150</v>
      </c>
      <c r="M866" s="66">
        <v>600</v>
      </c>
      <c r="N866" s="56">
        <f>100</f>
        <v>100</v>
      </c>
      <c r="O866" s="59">
        <v>240</v>
      </c>
      <c r="P866" s="59">
        <v>40</v>
      </c>
      <c r="Q866" s="59">
        <f t="shared" si="141"/>
        <v>315</v>
      </c>
      <c r="R866" s="59">
        <f t="shared" si="142"/>
        <v>100</v>
      </c>
      <c r="S866" s="56">
        <f t="shared" si="143"/>
        <v>695</v>
      </c>
      <c r="T866" s="56">
        <f>50</f>
        <v>50</v>
      </c>
      <c r="U866" s="57"/>
      <c r="V866" s="57"/>
      <c r="W866" s="57"/>
      <c r="X866" s="57"/>
      <c r="Y866" s="57"/>
      <c r="Z866" s="57"/>
      <c r="AA866" s="57"/>
      <c r="AB866" s="57"/>
      <c r="AC866" s="57"/>
      <c r="AD866" s="57"/>
    </row>
    <row r="867" spans="1:30" ht="15.75">
      <c r="A867" s="13">
        <v>67692</v>
      </c>
      <c r="B867" s="67">
        <f t="shared" si="139"/>
        <v>30</v>
      </c>
      <c r="C867" s="56">
        <f>141.293</f>
        <v>141.29300000000001</v>
      </c>
      <c r="D867" s="56">
        <f>267.993</f>
        <v>267.99299999999999</v>
      </c>
      <c r="E867" s="64">
        <f>115.016</f>
        <v>115.01600000000001</v>
      </c>
      <c r="F867" s="56">
        <f>314.698-40-25-60-100</f>
        <v>89.697999999999979</v>
      </c>
      <c r="G867" s="59">
        <v>40</v>
      </c>
      <c r="H867" s="56">
        <f t="shared" ref="H867:H873" si="145">25+60+100</f>
        <v>185</v>
      </c>
      <c r="I867" s="56">
        <f t="shared" si="135"/>
        <v>0</v>
      </c>
      <c r="J867" s="59">
        <v>100</v>
      </c>
      <c r="K867" s="59">
        <v>300</v>
      </c>
      <c r="L867" s="56">
        <f t="shared" si="140"/>
        <v>1239</v>
      </c>
      <c r="M867" s="66">
        <v>600</v>
      </c>
      <c r="N867" s="56">
        <f>100</f>
        <v>100</v>
      </c>
      <c r="O867" s="59">
        <v>240</v>
      </c>
      <c r="P867" s="59">
        <v>40</v>
      </c>
      <c r="Q867" s="59">
        <f t="shared" si="141"/>
        <v>315</v>
      </c>
      <c r="R867" s="59">
        <f t="shared" si="142"/>
        <v>100</v>
      </c>
      <c r="S867" s="56">
        <f t="shared" si="143"/>
        <v>695</v>
      </c>
      <c r="T867" s="56">
        <f>50</f>
        <v>50</v>
      </c>
      <c r="U867" s="57"/>
      <c r="V867" s="57"/>
      <c r="W867" s="57"/>
      <c r="X867" s="57"/>
      <c r="Y867" s="57"/>
      <c r="Z867" s="57"/>
      <c r="AA867" s="57"/>
      <c r="AB867" s="57"/>
      <c r="AC867" s="57"/>
      <c r="AD867" s="57"/>
    </row>
    <row r="868" spans="1:30" ht="15.75">
      <c r="A868" s="13">
        <v>67723</v>
      </c>
      <c r="B868" s="67">
        <f t="shared" si="139"/>
        <v>31</v>
      </c>
      <c r="C868" s="56">
        <f>194.205</f>
        <v>194.20500000000001</v>
      </c>
      <c r="D868" s="56">
        <f>267.466</f>
        <v>267.46600000000001</v>
      </c>
      <c r="E868" s="64">
        <f>133.845</f>
        <v>133.845</v>
      </c>
      <c r="F868" s="56">
        <f>278.484-40-25-60-100</f>
        <v>53.48399999999998</v>
      </c>
      <c r="G868" s="59">
        <v>40</v>
      </c>
      <c r="H868" s="56">
        <f t="shared" si="145"/>
        <v>185</v>
      </c>
      <c r="I868" s="56">
        <f t="shared" si="135"/>
        <v>0</v>
      </c>
      <c r="J868" s="59">
        <v>100</v>
      </c>
      <c r="K868" s="59">
        <v>300</v>
      </c>
      <c r="L868" s="56">
        <f t="shared" si="140"/>
        <v>1274</v>
      </c>
      <c r="M868" s="66">
        <v>600</v>
      </c>
      <c r="N868" s="56">
        <f>75</f>
        <v>75</v>
      </c>
      <c r="O868" s="59">
        <v>240</v>
      </c>
      <c r="P868" s="59">
        <v>40</v>
      </c>
      <c r="Q868" s="59">
        <f t="shared" si="141"/>
        <v>315</v>
      </c>
      <c r="R868" s="59">
        <f t="shared" si="142"/>
        <v>100</v>
      </c>
      <c r="S868" s="56">
        <f t="shared" si="143"/>
        <v>695</v>
      </c>
      <c r="T868" s="56">
        <f>50</f>
        <v>50</v>
      </c>
      <c r="U868" s="57"/>
      <c r="V868" s="57"/>
      <c r="W868" s="57"/>
      <c r="X868" s="57"/>
      <c r="Y868" s="57"/>
      <c r="Z868" s="57"/>
      <c r="AA868" s="57"/>
      <c r="AB868" s="57"/>
      <c r="AC868" s="57"/>
      <c r="AD868" s="57"/>
    </row>
    <row r="869" spans="1:30" ht="15.75">
      <c r="A869" s="13">
        <v>67753</v>
      </c>
      <c r="B869" s="67">
        <f t="shared" si="139"/>
        <v>30</v>
      </c>
      <c r="C869" s="56">
        <f>194.205</f>
        <v>194.20500000000001</v>
      </c>
      <c r="D869" s="56">
        <f>267.466</f>
        <v>267.46600000000001</v>
      </c>
      <c r="E869" s="64">
        <f>133.845</f>
        <v>133.845</v>
      </c>
      <c r="F869" s="56">
        <f>278.484-40-25-60-100</f>
        <v>53.48399999999998</v>
      </c>
      <c r="G869" s="59">
        <v>40</v>
      </c>
      <c r="H869" s="56">
        <f t="shared" si="145"/>
        <v>185</v>
      </c>
      <c r="I869" s="56">
        <f t="shared" si="135"/>
        <v>0</v>
      </c>
      <c r="J869" s="59">
        <v>100</v>
      </c>
      <c r="K869" s="59">
        <v>300</v>
      </c>
      <c r="L869" s="56">
        <f t="shared" si="140"/>
        <v>1274</v>
      </c>
      <c r="M869" s="66">
        <v>600</v>
      </c>
      <c r="N869" s="56">
        <f>30</f>
        <v>30</v>
      </c>
      <c r="O869" s="59">
        <v>240</v>
      </c>
      <c r="P869" s="59">
        <v>40</v>
      </c>
      <c r="Q869" s="59">
        <f t="shared" si="141"/>
        <v>315</v>
      </c>
      <c r="R869" s="59">
        <f t="shared" si="142"/>
        <v>100</v>
      </c>
      <c r="S869" s="56">
        <f t="shared" si="143"/>
        <v>695</v>
      </c>
      <c r="T869" s="56">
        <f>50</f>
        <v>50</v>
      </c>
      <c r="U869" s="57"/>
      <c r="V869" s="57"/>
      <c r="W869" s="57"/>
      <c r="X869" s="57"/>
      <c r="Y869" s="57"/>
      <c r="Z869" s="57"/>
      <c r="AA869" s="57"/>
      <c r="AB869" s="57"/>
      <c r="AC869" s="57"/>
      <c r="AD869" s="57"/>
    </row>
    <row r="870" spans="1:30" ht="15.75">
      <c r="A870" s="13">
        <v>67784</v>
      </c>
      <c r="B870" s="67">
        <f t="shared" si="139"/>
        <v>31</v>
      </c>
      <c r="C870" s="56">
        <f>194.205</f>
        <v>194.20500000000001</v>
      </c>
      <c r="D870" s="56">
        <f>267.466</f>
        <v>267.46600000000001</v>
      </c>
      <c r="E870" s="64">
        <f>133.845</f>
        <v>133.845</v>
      </c>
      <c r="F870" s="56">
        <f>278.484-40-25-60-100</f>
        <v>53.48399999999998</v>
      </c>
      <c r="G870" s="59">
        <v>40</v>
      </c>
      <c r="H870" s="56">
        <f t="shared" si="145"/>
        <v>185</v>
      </c>
      <c r="I870" s="56">
        <f t="shared" si="135"/>
        <v>0</v>
      </c>
      <c r="J870" s="59">
        <v>100</v>
      </c>
      <c r="K870" s="59">
        <v>300</v>
      </c>
      <c r="L870" s="56">
        <f t="shared" si="140"/>
        <v>1274</v>
      </c>
      <c r="M870" s="66">
        <v>600</v>
      </c>
      <c r="N870" s="56">
        <f>30</f>
        <v>30</v>
      </c>
      <c r="O870" s="59">
        <v>240</v>
      </c>
      <c r="P870" s="59">
        <v>40</v>
      </c>
      <c r="Q870" s="59">
        <f t="shared" si="141"/>
        <v>315</v>
      </c>
      <c r="R870" s="59">
        <f t="shared" si="142"/>
        <v>100</v>
      </c>
      <c r="S870" s="56">
        <f t="shared" si="143"/>
        <v>695</v>
      </c>
      <c r="T870" s="56">
        <f>0</f>
        <v>0</v>
      </c>
      <c r="U870" s="57"/>
      <c r="V870" s="57"/>
      <c r="W870" s="57"/>
      <c r="X870" s="57"/>
      <c r="Y870" s="57"/>
      <c r="Z870" s="57"/>
      <c r="AA870" s="57"/>
      <c r="AB870" s="57"/>
      <c r="AC870" s="57"/>
      <c r="AD870" s="57"/>
    </row>
    <row r="871" spans="1:30" ht="15.75">
      <c r="A871" s="13">
        <v>67815</v>
      </c>
      <c r="B871" s="67">
        <f t="shared" si="139"/>
        <v>31</v>
      </c>
      <c r="C871" s="56">
        <f>194.205</f>
        <v>194.20500000000001</v>
      </c>
      <c r="D871" s="56">
        <f>267.466</f>
        <v>267.46600000000001</v>
      </c>
      <c r="E871" s="64">
        <f>133.845</f>
        <v>133.845</v>
      </c>
      <c r="F871" s="56">
        <f>278.484-40-25-60-100</f>
        <v>53.48399999999998</v>
      </c>
      <c r="G871" s="59">
        <v>40</v>
      </c>
      <c r="H871" s="56">
        <f t="shared" si="145"/>
        <v>185</v>
      </c>
      <c r="I871" s="56">
        <f t="shared" si="135"/>
        <v>0</v>
      </c>
      <c r="J871" s="59">
        <v>100</v>
      </c>
      <c r="K871" s="59">
        <v>300</v>
      </c>
      <c r="L871" s="56">
        <f t="shared" si="140"/>
        <v>1274</v>
      </c>
      <c r="M871" s="66">
        <v>600</v>
      </c>
      <c r="N871" s="56">
        <f>30</f>
        <v>30</v>
      </c>
      <c r="O871" s="59">
        <v>240</v>
      </c>
      <c r="P871" s="59">
        <v>40</v>
      </c>
      <c r="Q871" s="59">
        <f t="shared" si="141"/>
        <v>315</v>
      </c>
      <c r="R871" s="59">
        <f t="shared" si="142"/>
        <v>100</v>
      </c>
      <c r="S871" s="56">
        <f t="shared" si="143"/>
        <v>695</v>
      </c>
      <c r="T871" s="56">
        <f>0</f>
        <v>0</v>
      </c>
      <c r="U871" s="57"/>
      <c r="V871" s="57"/>
      <c r="W871" s="57"/>
      <c r="X871" s="57"/>
      <c r="Y871" s="57"/>
      <c r="Z871" s="57"/>
      <c r="AA871" s="57"/>
      <c r="AB871" s="57"/>
      <c r="AC871" s="57"/>
      <c r="AD871" s="57"/>
    </row>
    <row r="872" spans="1:30" ht="15.75">
      <c r="A872" s="13">
        <v>67845</v>
      </c>
      <c r="B872" s="67">
        <f t="shared" si="139"/>
        <v>30</v>
      </c>
      <c r="C872" s="56">
        <f>194.205</f>
        <v>194.20500000000001</v>
      </c>
      <c r="D872" s="56">
        <f>267.466</f>
        <v>267.46600000000001</v>
      </c>
      <c r="E872" s="64">
        <f>133.845</f>
        <v>133.845</v>
      </c>
      <c r="F872" s="56">
        <f>278.484-40-25-60-100</f>
        <v>53.48399999999998</v>
      </c>
      <c r="G872" s="59">
        <v>40</v>
      </c>
      <c r="H872" s="56">
        <f t="shared" si="145"/>
        <v>185</v>
      </c>
      <c r="I872" s="56">
        <f t="shared" ref="I872:I935" si="146">400-J872-K872</f>
        <v>0</v>
      </c>
      <c r="J872" s="59">
        <v>100</v>
      </c>
      <c r="K872" s="59">
        <v>300</v>
      </c>
      <c r="L872" s="56">
        <f t="shared" si="140"/>
        <v>1274</v>
      </c>
      <c r="M872" s="66">
        <v>600</v>
      </c>
      <c r="N872" s="56">
        <f>30</f>
        <v>30</v>
      </c>
      <c r="O872" s="59">
        <v>240</v>
      </c>
      <c r="P872" s="59">
        <v>40</v>
      </c>
      <c r="Q872" s="59">
        <f t="shared" si="141"/>
        <v>315</v>
      </c>
      <c r="R872" s="59">
        <f t="shared" si="142"/>
        <v>100</v>
      </c>
      <c r="S872" s="56">
        <f t="shared" si="143"/>
        <v>695</v>
      </c>
      <c r="T872" s="56">
        <f>0</f>
        <v>0</v>
      </c>
      <c r="U872" s="57"/>
      <c r="V872" s="57"/>
      <c r="W872" s="57"/>
      <c r="X872" s="57"/>
      <c r="Y872" s="57"/>
      <c r="Z872" s="57"/>
      <c r="AA872" s="57"/>
      <c r="AB872" s="57"/>
      <c r="AC872" s="57"/>
      <c r="AD872" s="57"/>
    </row>
    <row r="873" spans="1:30" ht="15.75">
      <c r="A873" s="13">
        <v>67876</v>
      </c>
      <c r="B873" s="67">
        <f t="shared" si="139"/>
        <v>31</v>
      </c>
      <c r="C873" s="56">
        <f>131.881</f>
        <v>131.881</v>
      </c>
      <c r="D873" s="56">
        <f>277.167</f>
        <v>277.16699999999997</v>
      </c>
      <c r="E873" s="64">
        <f>79.08</f>
        <v>79.08</v>
      </c>
      <c r="F873" s="56">
        <f>350.872-40-25-60-100</f>
        <v>125.87200000000001</v>
      </c>
      <c r="G873" s="59">
        <v>40</v>
      </c>
      <c r="H873" s="56">
        <f t="shared" si="145"/>
        <v>185</v>
      </c>
      <c r="I873" s="56">
        <f t="shared" si="146"/>
        <v>0</v>
      </c>
      <c r="J873" s="59">
        <v>100</v>
      </c>
      <c r="K873" s="59">
        <v>300</v>
      </c>
      <c r="L873" s="56">
        <f t="shared" si="140"/>
        <v>1239</v>
      </c>
      <c r="M873" s="66">
        <v>600</v>
      </c>
      <c r="N873" s="56">
        <f>75</f>
        <v>75</v>
      </c>
      <c r="O873" s="59">
        <v>240</v>
      </c>
      <c r="P873" s="59">
        <v>40</v>
      </c>
      <c r="Q873" s="59">
        <f t="shared" si="141"/>
        <v>315</v>
      </c>
      <c r="R873" s="59">
        <f t="shared" si="142"/>
        <v>100</v>
      </c>
      <c r="S873" s="56">
        <f t="shared" si="143"/>
        <v>695</v>
      </c>
      <c r="T873" s="56">
        <f>0</f>
        <v>0</v>
      </c>
      <c r="U873" s="57"/>
      <c r="V873" s="57"/>
      <c r="W873" s="57"/>
      <c r="X873" s="57"/>
      <c r="Y873" s="57"/>
      <c r="Z873" s="57"/>
      <c r="AA873" s="57"/>
      <c r="AB873" s="57"/>
      <c r="AC873" s="57"/>
      <c r="AD873" s="57"/>
    </row>
    <row r="874" spans="1:30" ht="15.75">
      <c r="A874" s="13">
        <v>67906</v>
      </c>
      <c r="B874" s="67">
        <f t="shared" si="139"/>
        <v>30</v>
      </c>
      <c r="C874" s="56">
        <f>122.58</f>
        <v>122.58</v>
      </c>
      <c r="D874" s="56">
        <f>297.941</f>
        <v>297.94099999999997</v>
      </c>
      <c r="E874" s="64">
        <f>89.177</f>
        <v>89.177000000000007</v>
      </c>
      <c r="F874" s="56">
        <f>240.302-40-60-100</f>
        <v>40.301999999999992</v>
      </c>
      <c r="G874" s="59">
        <v>40</v>
      </c>
      <c r="H874" s="56">
        <f>60+100</f>
        <v>160</v>
      </c>
      <c r="I874" s="56">
        <f t="shared" si="146"/>
        <v>0</v>
      </c>
      <c r="J874" s="59">
        <v>100</v>
      </c>
      <c r="K874" s="59">
        <v>300</v>
      </c>
      <c r="L874" s="56">
        <f t="shared" si="140"/>
        <v>1150</v>
      </c>
      <c r="M874" s="66">
        <v>600</v>
      </c>
      <c r="N874" s="56">
        <f>100</f>
        <v>100</v>
      </c>
      <c r="O874" s="59">
        <v>240</v>
      </c>
      <c r="P874" s="59">
        <v>40</v>
      </c>
      <c r="Q874" s="59">
        <f t="shared" si="141"/>
        <v>315</v>
      </c>
      <c r="R874" s="59">
        <f t="shared" si="142"/>
        <v>100</v>
      </c>
      <c r="S874" s="56">
        <f t="shared" si="143"/>
        <v>695</v>
      </c>
      <c r="T874" s="56">
        <f>50</f>
        <v>50</v>
      </c>
      <c r="U874" s="57"/>
      <c r="V874" s="57"/>
      <c r="W874" s="57"/>
      <c r="X874" s="57"/>
      <c r="Y874" s="57"/>
      <c r="Z874" s="57"/>
      <c r="AA874" s="57"/>
      <c r="AB874" s="57"/>
      <c r="AC874" s="57"/>
      <c r="AD874" s="57"/>
    </row>
    <row r="875" spans="1:30" ht="15.75">
      <c r="A875" s="13">
        <v>67937</v>
      </c>
      <c r="B875" s="67">
        <f t="shared" si="139"/>
        <v>31</v>
      </c>
      <c r="C875" s="56">
        <f>122.58</f>
        <v>122.58</v>
      </c>
      <c r="D875" s="56">
        <f>297.941</f>
        <v>297.94099999999997</v>
      </c>
      <c r="E875" s="64">
        <f>89.177</f>
        <v>89.177000000000007</v>
      </c>
      <c r="F875" s="56">
        <f>240.302-40-60-100</f>
        <v>40.301999999999992</v>
      </c>
      <c r="G875" s="59">
        <v>40</v>
      </c>
      <c r="H875" s="56">
        <f>60+100</f>
        <v>160</v>
      </c>
      <c r="I875" s="56">
        <f t="shared" si="146"/>
        <v>0</v>
      </c>
      <c r="J875" s="59">
        <v>100</v>
      </c>
      <c r="K875" s="59">
        <v>300</v>
      </c>
      <c r="L875" s="56">
        <f t="shared" si="140"/>
        <v>1150</v>
      </c>
      <c r="M875" s="66">
        <v>600</v>
      </c>
      <c r="N875" s="56">
        <f>100</f>
        <v>100</v>
      </c>
      <c r="O875" s="59">
        <v>240</v>
      </c>
      <c r="P875" s="59">
        <v>40</v>
      </c>
      <c r="Q875" s="59">
        <f t="shared" si="141"/>
        <v>315</v>
      </c>
      <c r="R875" s="59">
        <f t="shared" si="142"/>
        <v>100</v>
      </c>
      <c r="S875" s="56">
        <f t="shared" si="143"/>
        <v>695</v>
      </c>
      <c r="T875" s="56">
        <f>50</f>
        <v>50</v>
      </c>
      <c r="U875" s="57"/>
      <c r="V875" s="57"/>
      <c r="W875" s="57"/>
      <c r="X875" s="57"/>
      <c r="Y875" s="57"/>
      <c r="Z875" s="57"/>
      <c r="AA875" s="57"/>
      <c r="AB875" s="57"/>
      <c r="AC875" s="57"/>
      <c r="AD875" s="57"/>
    </row>
    <row r="876" spans="1:30" ht="15.75">
      <c r="A876" s="13">
        <v>67968</v>
      </c>
      <c r="B876" s="67">
        <f t="shared" si="139"/>
        <v>31</v>
      </c>
      <c r="C876" s="56">
        <f>122.58</f>
        <v>122.58</v>
      </c>
      <c r="D876" s="56">
        <f>297.941</f>
        <v>297.94099999999997</v>
      </c>
      <c r="E876" s="64">
        <f>89.177</f>
        <v>89.177000000000007</v>
      </c>
      <c r="F876" s="56">
        <f>240.302-40-60-100</f>
        <v>40.301999999999992</v>
      </c>
      <c r="G876" s="59">
        <v>40</v>
      </c>
      <c r="H876" s="56">
        <f>60+100</f>
        <v>160</v>
      </c>
      <c r="I876" s="56">
        <f t="shared" si="146"/>
        <v>0</v>
      </c>
      <c r="J876" s="59">
        <v>100</v>
      </c>
      <c r="K876" s="59">
        <v>300</v>
      </c>
      <c r="L876" s="56">
        <f t="shared" si="140"/>
        <v>1150</v>
      </c>
      <c r="M876" s="66">
        <v>600</v>
      </c>
      <c r="N876" s="56">
        <f>100</f>
        <v>100</v>
      </c>
      <c r="O876" s="59">
        <v>240</v>
      </c>
      <c r="P876" s="59">
        <v>40</v>
      </c>
      <c r="Q876" s="59">
        <f t="shared" si="141"/>
        <v>315</v>
      </c>
      <c r="R876" s="59">
        <f t="shared" si="142"/>
        <v>100</v>
      </c>
      <c r="S876" s="56">
        <f t="shared" si="143"/>
        <v>695</v>
      </c>
      <c r="T876" s="56">
        <f>50</f>
        <v>50</v>
      </c>
      <c r="U876" s="57"/>
      <c r="V876" s="57"/>
      <c r="W876" s="57"/>
      <c r="X876" s="57"/>
      <c r="Y876" s="57"/>
      <c r="Z876" s="57"/>
      <c r="AA876" s="57"/>
      <c r="AB876" s="57"/>
      <c r="AC876" s="57"/>
      <c r="AD876" s="57"/>
    </row>
    <row r="877" spans="1:30" ht="15.75">
      <c r="A877" s="13">
        <v>67996</v>
      </c>
      <c r="B877" s="67">
        <f t="shared" si="139"/>
        <v>28</v>
      </c>
      <c r="C877" s="56">
        <f>122.58</f>
        <v>122.58</v>
      </c>
      <c r="D877" s="56">
        <f>297.941</f>
        <v>297.94099999999997</v>
      </c>
      <c r="E877" s="64">
        <f>89.177</f>
        <v>89.177000000000007</v>
      </c>
      <c r="F877" s="56">
        <f>240.302-40-60-100</f>
        <v>40.301999999999992</v>
      </c>
      <c r="G877" s="59">
        <v>40</v>
      </c>
      <c r="H877" s="56">
        <f>60+100</f>
        <v>160</v>
      </c>
      <c r="I877" s="56">
        <f t="shared" si="146"/>
        <v>0</v>
      </c>
      <c r="J877" s="59">
        <v>100</v>
      </c>
      <c r="K877" s="59">
        <v>300</v>
      </c>
      <c r="L877" s="56">
        <f t="shared" si="140"/>
        <v>1150</v>
      </c>
      <c r="M877" s="66">
        <v>600</v>
      </c>
      <c r="N877" s="56">
        <f>100</f>
        <v>100</v>
      </c>
      <c r="O877" s="59">
        <v>240</v>
      </c>
      <c r="P877" s="59">
        <v>40</v>
      </c>
      <c r="Q877" s="59">
        <f t="shared" si="141"/>
        <v>315</v>
      </c>
      <c r="R877" s="59">
        <f t="shared" si="142"/>
        <v>100</v>
      </c>
      <c r="S877" s="56">
        <f t="shared" si="143"/>
        <v>695</v>
      </c>
      <c r="T877" s="56">
        <f>50</f>
        <v>50</v>
      </c>
      <c r="U877" s="57"/>
      <c r="V877" s="57"/>
      <c r="W877" s="57"/>
      <c r="X877" s="57"/>
      <c r="Y877" s="57"/>
      <c r="Z877" s="57"/>
      <c r="AA877" s="57"/>
      <c r="AB877" s="57"/>
      <c r="AC877" s="57"/>
      <c r="AD877" s="57"/>
    </row>
    <row r="878" spans="1:30" ht="15.75">
      <c r="A878" s="13">
        <v>68027</v>
      </c>
      <c r="B878" s="67">
        <f t="shared" si="139"/>
        <v>31</v>
      </c>
      <c r="C878" s="56">
        <f>122.58</f>
        <v>122.58</v>
      </c>
      <c r="D878" s="56">
        <f>297.941</f>
        <v>297.94099999999997</v>
      </c>
      <c r="E878" s="64">
        <f>89.177</f>
        <v>89.177000000000007</v>
      </c>
      <c r="F878" s="56">
        <f>240.302-40-60-100</f>
        <v>40.301999999999992</v>
      </c>
      <c r="G878" s="59">
        <v>40</v>
      </c>
      <c r="H878" s="56">
        <f>60+100</f>
        <v>160</v>
      </c>
      <c r="I878" s="56">
        <f t="shared" si="146"/>
        <v>0</v>
      </c>
      <c r="J878" s="59">
        <v>100</v>
      </c>
      <c r="K878" s="59">
        <v>300</v>
      </c>
      <c r="L878" s="56">
        <f t="shared" si="140"/>
        <v>1150</v>
      </c>
      <c r="M878" s="66">
        <v>600</v>
      </c>
      <c r="N878" s="56">
        <f>100</f>
        <v>100</v>
      </c>
      <c r="O878" s="59">
        <v>240</v>
      </c>
      <c r="P878" s="59">
        <v>40</v>
      </c>
      <c r="Q878" s="59">
        <f t="shared" si="141"/>
        <v>315</v>
      </c>
      <c r="R878" s="59">
        <f t="shared" si="142"/>
        <v>100</v>
      </c>
      <c r="S878" s="56">
        <f t="shared" si="143"/>
        <v>695</v>
      </c>
      <c r="T878" s="56">
        <f>50</f>
        <v>50</v>
      </c>
      <c r="U878" s="57"/>
      <c r="V878" s="57"/>
      <c r="W878" s="57"/>
      <c r="X878" s="57"/>
      <c r="Y878" s="57"/>
      <c r="Z878" s="57"/>
      <c r="AA878" s="57"/>
      <c r="AB878" s="57"/>
      <c r="AC878" s="57"/>
      <c r="AD878" s="57"/>
    </row>
    <row r="879" spans="1:30" ht="15.75">
      <c r="A879" s="13">
        <v>68057</v>
      </c>
      <c r="B879" s="67">
        <f t="shared" si="139"/>
        <v>30</v>
      </c>
      <c r="C879" s="56">
        <f>141.293</f>
        <v>141.29300000000001</v>
      </c>
      <c r="D879" s="56">
        <f>267.993</f>
        <v>267.99299999999999</v>
      </c>
      <c r="E879" s="64">
        <f>115.016</f>
        <v>115.01600000000001</v>
      </c>
      <c r="F879" s="56">
        <f>314.698-40-25-60-100</f>
        <v>89.697999999999979</v>
      </c>
      <c r="G879" s="59">
        <v>40</v>
      </c>
      <c r="H879" s="56">
        <f t="shared" ref="H879:H885" si="147">25+60+100</f>
        <v>185</v>
      </c>
      <c r="I879" s="56">
        <f t="shared" si="146"/>
        <v>0</v>
      </c>
      <c r="J879" s="59">
        <v>100</v>
      </c>
      <c r="K879" s="59">
        <v>300</v>
      </c>
      <c r="L879" s="56">
        <f t="shared" si="140"/>
        <v>1239</v>
      </c>
      <c r="M879" s="66">
        <v>600</v>
      </c>
      <c r="N879" s="56">
        <f>100</f>
        <v>100</v>
      </c>
      <c r="O879" s="59">
        <v>240</v>
      </c>
      <c r="P879" s="59">
        <v>40</v>
      </c>
      <c r="Q879" s="59">
        <f t="shared" si="141"/>
        <v>315</v>
      </c>
      <c r="R879" s="59">
        <f t="shared" si="142"/>
        <v>100</v>
      </c>
      <c r="S879" s="56">
        <f t="shared" si="143"/>
        <v>695</v>
      </c>
      <c r="T879" s="56">
        <f>50</f>
        <v>50</v>
      </c>
      <c r="U879" s="57"/>
      <c r="V879" s="57"/>
      <c r="W879" s="57"/>
      <c r="X879" s="57"/>
      <c r="Y879" s="57"/>
      <c r="Z879" s="57"/>
      <c r="AA879" s="57"/>
      <c r="AB879" s="57"/>
      <c r="AC879" s="57"/>
      <c r="AD879" s="57"/>
    </row>
    <row r="880" spans="1:30" ht="15.75">
      <c r="A880" s="13">
        <v>68088</v>
      </c>
      <c r="B880" s="67">
        <f t="shared" si="139"/>
        <v>31</v>
      </c>
      <c r="C880" s="56">
        <f>194.205</f>
        <v>194.20500000000001</v>
      </c>
      <c r="D880" s="56">
        <f>267.466</f>
        <v>267.46600000000001</v>
      </c>
      <c r="E880" s="64">
        <f>133.845</f>
        <v>133.845</v>
      </c>
      <c r="F880" s="56">
        <f>278.484-40-25-60-100</f>
        <v>53.48399999999998</v>
      </c>
      <c r="G880" s="59">
        <v>40</v>
      </c>
      <c r="H880" s="56">
        <f t="shared" si="147"/>
        <v>185</v>
      </c>
      <c r="I880" s="56">
        <f t="shared" si="146"/>
        <v>0</v>
      </c>
      <c r="J880" s="59">
        <v>100</v>
      </c>
      <c r="K880" s="59">
        <v>300</v>
      </c>
      <c r="L880" s="56">
        <f t="shared" si="140"/>
        <v>1274</v>
      </c>
      <c r="M880" s="66">
        <v>600</v>
      </c>
      <c r="N880" s="56">
        <f>75</f>
        <v>75</v>
      </c>
      <c r="O880" s="59">
        <v>240</v>
      </c>
      <c r="P880" s="59">
        <v>40</v>
      </c>
      <c r="Q880" s="59">
        <f t="shared" si="141"/>
        <v>315</v>
      </c>
      <c r="R880" s="59">
        <f t="shared" si="142"/>
        <v>100</v>
      </c>
      <c r="S880" s="56">
        <f t="shared" si="143"/>
        <v>695</v>
      </c>
      <c r="T880" s="56">
        <f>50</f>
        <v>50</v>
      </c>
      <c r="U880" s="57"/>
      <c r="V880" s="57"/>
      <c r="W880" s="57"/>
      <c r="X880" s="57"/>
      <c r="Y880" s="57"/>
      <c r="Z880" s="57"/>
      <c r="AA880" s="57"/>
      <c r="AB880" s="57"/>
      <c r="AC880" s="57"/>
      <c r="AD880" s="57"/>
    </row>
    <row r="881" spans="1:30" ht="15.75">
      <c r="A881" s="13">
        <v>68118</v>
      </c>
      <c r="B881" s="67">
        <f t="shared" si="139"/>
        <v>30</v>
      </c>
      <c r="C881" s="56">
        <f>194.205</f>
        <v>194.20500000000001</v>
      </c>
      <c r="D881" s="56">
        <f>267.466</f>
        <v>267.46600000000001</v>
      </c>
      <c r="E881" s="64">
        <f>133.845</f>
        <v>133.845</v>
      </c>
      <c r="F881" s="56">
        <f>278.484-40-25-60-100</f>
        <v>53.48399999999998</v>
      </c>
      <c r="G881" s="59">
        <v>40</v>
      </c>
      <c r="H881" s="56">
        <f t="shared" si="147"/>
        <v>185</v>
      </c>
      <c r="I881" s="56">
        <f t="shared" si="146"/>
        <v>0</v>
      </c>
      <c r="J881" s="59">
        <v>100</v>
      </c>
      <c r="K881" s="59">
        <v>300</v>
      </c>
      <c r="L881" s="56">
        <f t="shared" si="140"/>
        <v>1274</v>
      </c>
      <c r="M881" s="66">
        <v>600</v>
      </c>
      <c r="N881" s="56">
        <f>30</f>
        <v>30</v>
      </c>
      <c r="O881" s="59">
        <v>240</v>
      </c>
      <c r="P881" s="59">
        <v>40</v>
      </c>
      <c r="Q881" s="59">
        <f t="shared" si="141"/>
        <v>315</v>
      </c>
      <c r="R881" s="59">
        <f t="shared" si="142"/>
        <v>100</v>
      </c>
      <c r="S881" s="56">
        <f t="shared" si="143"/>
        <v>695</v>
      </c>
      <c r="T881" s="56">
        <f>50</f>
        <v>50</v>
      </c>
      <c r="U881" s="57"/>
      <c r="V881" s="57"/>
      <c r="W881" s="57"/>
      <c r="X881" s="57"/>
      <c r="Y881" s="57"/>
      <c r="Z881" s="57"/>
      <c r="AA881" s="57"/>
      <c r="AB881" s="57"/>
      <c r="AC881" s="57"/>
      <c r="AD881" s="57"/>
    </row>
    <row r="882" spans="1:30" ht="15.75">
      <c r="A882" s="13">
        <v>68149</v>
      </c>
      <c r="B882" s="67">
        <f t="shared" si="139"/>
        <v>31</v>
      </c>
      <c r="C882" s="56">
        <f>194.205</f>
        <v>194.20500000000001</v>
      </c>
      <c r="D882" s="56">
        <f>267.466</f>
        <v>267.46600000000001</v>
      </c>
      <c r="E882" s="64">
        <f>133.845</f>
        <v>133.845</v>
      </c>
      <c r="F882" s="56">
        <f>278.484-40-25-60-100</f>
        <v>53.48399999999998</v>
      </c>
      <c r="G882" s="59">
        <v>40</v>
      </c>
      <c r="H882" s="56">
        <f t="shared" si="147"/>
        <v>185</v>
      </c>
      <c r="I882" s="56">
        <f t="shared" si="146"/>
        <v>0</v>
      </c>
      <c r="J882" s="59">
        <v>100</v>
      </c>
      <c r="K882" s="59">
        <v>300</v>
      </c>
      <c r="L882" s="56">
        <f t="shared" si="140"/>
        <v>1274</v>
      </c>
      <c r="M882" s="66">
        <v>600</v>
      </c>
      <c r="N882" s="56">
        <f>30</f>
        <v>30</v>
      </c>
      <c r="O882" s="59">
        <v>240</v>
      </c>
      <c r="P882" s="59">
        <v>40</v>
      </c>
      <c r="Q882" s="59">
        <f t="shared" si="141"/>
        <v>315</v>
      </c>
      <c r="R882" s="59">
        <f t="shared" si="142"/>
        <v>100</v>
      </c>
      <c r="S882" s="56">
        <f t="shared" si="143"/>
        <v>695</v>
      </c>
      <c r="T882" s="56">
        <f>0</f>
        <v>0</v>
      </c>
      <c r="U882" s="57"/>
      <c r="V882" s="57"/>
      <c r="W882" s="57"/>
      <c r="X882" s="57"/>
      <c r="Y882" s="57"/>
      <c r="Z882" s="57"/>
      <c r="AA882" s="57"/>
      <c r="AB882" s="57"/>
      <c r="AC882" s="57"/>
      <c r="AD882" s="57"/>
    </row>
    <row r="883" spans="1:30" ht="15.75">
      <c r="A883" s="13">
        <v>68180</v>
      </c>
      <c r="B883" s="67">
        <f t="shared" si="139"/>
        <v>31</v>
      </c>
      <c r="C883" s="56">
        <f>194.205</f>
        <v>194.20500000000001</v>
      </c>
      <c r="D883" s="56">
        <f>267.466</f>
        <v>267.46600000000001</v>
      </c>
      <c r="E883" s="64">
        <f>133.845</f>
        <v>133.845</v>
      </c>
      <c r="F883" s="56">
        <f>278.484-40-25-60-100</f>
        <v>53.48399999999998</v>
      </c>
      <c r="G883" s="59">
        <v>40</v>
      </c>
      <c r="H883" s="56">
        <f t="shared" si="147"/>
        <v>185</v>
      </c>
      <c r="I883" s="56">
        <f t="shared" si="146"/>
        <v>0</v>
      </c>
      <c r="J883" s="59">
        <v>100</v>
      </c>
      <c r="K883" s="59">
        <v>300</v>
      </c>
      <c r="L883" s="56">
        <f t="shared" si="140"/>
        <v>1274</v>
      </c>
      <c r="M883" s="66">
        <v>600</v>
      </c>
      <c r="N883" s="56">
        <f>30</f>
        <v>30</v>
      </c>
      <c r="O883" s="59">
        <v>240</v>
      </c>
      <c r="P883" s="59">
        <v>40</v>
      </c>
      <c r="Q883" s="59">
        <f t="shared" si="141"/>
        <v>315</v>
      </c>
      <c r="R883" s="59">
        <f t="shared" si="142"/>
        <v>100</v>
      </c>
      <c r="S883" s="56">
        <f t="shared" si="143"/>
        <v>695</v>
      </c>
      <c r="T883" s="56">
        <f>0</f>
        <v>0</v>
      </c>
      <c r="U883" s="57"/>
      <c r="V883" s="57"/>
      <c r="W883" s="57"/>
      <c r="X883" s="57"/>
      <c r="Y883" s="57"/>
      <c r="Z883" s="57"/>
      <c r="AA883" s="57"/>
      <c r="AB883" s="57"/>
      <c r="AC883" s="57"/>
      <c r="AD883" s="57"/>
    </row>
    <row r="884" spans="1:30" ht="15.75">
      <c r="A884" s="13">
        <v>68210</v>
      </c>
      <c r="B884" s="67">
        <f t="shared" si="139"/>
        <v>30</v>
      </c>
      <c r="C884" s="56">
        <f>194.205</f>
        <v>194.20500000000001</v>
      </c>
      <c r="D884" s="56">
        <f>267.466</f>
        <v>267.46600000000001</v>
      </c>
      <c r="E884" s="64">
        <f>133.845</f>
        <v>133.845</v>
      </c>
      <c r="F884" s="56">
        <f>278.484-40-25-60-100</f>
        <v>53.48399999999998</v>
      </c>
      <c r="G884" s="59">
        <v>40</v>
      </c>
      <c r="H884" s="56">
        <f t="shared" si="147"/>
        <v>185</v>
      </c>
      <c r="I884" s="56">
        <f t="shared" si="146"/>
        <v>0</v>
      </c>
      <c r="J884" s="59">
        <v>100</v>
      </c>
      <c r="K884" s="59">
        <v>300</v>
      </c>
      <c r="L884" s="56">
        <f t="shared" si="140"/>
        <v>1274</v>
      </c>
      <c r="M884" s="66">
        <v>600</v>
      </c>
      <c r="N884" s="56">
        <f>30</f>
        <v>30</v>
      </c>
      <c r="O884" s="59">
        <v>240</v>
      </c>
      <c r="P884" s="59">
        <v>40</v>
      </c>
      <c r="Q884" s="59">
        <f t="shared" si="141"/>
        <v>315</v>
      </c>
      <c r="R884" s="59">
        <f t="shared" si="142"/>
        <v>100</v>
      </c>
      <c r="S884" s="56">
        <f t="shared" si="143"/>
        <v>695</v>
      </c>
      <c r="T884" s="56">
        <f>0</f>
        <v>0</v>
      </c>
      <c r="U884" s="57"/>
      <c r="V884" s="57"/>
      <c r="W884" s="57"/>
      <c r="X884" s="57"/>
      <c r="Y884" s="57"/>
      <c r="Z884" s="57"/>
      <c r="AA884" s="57"/>
      <c r="AB884" s="57"/>
      <c r="AC884" s="57"/>
      <c r="AD884" s="57"/>
    </row>
    <row r="885" spans="1:30" ht="15.75">
      <c r="A885" s="13">
        <v>68241</v>
      </c>
      <c r="B885" s="67">
        <f t="shared" si="139"/>
        <v>31</v>
      </c>
      <c r="C885" s="56">
        <f>131.881</f>
        <v>131.881</v>
      </c>
      <c r="D885" s="56">
        <f>277.167</f>
        <v>277.16699999999997</v>
      </c>
      <c r="E885" s="64">
        <f>79.08</f>
        <v>79.08</v>
      </c>
      <c r="F885" s="56">
        <f>350.872-40-25-60-100</f>
        <v>125.87200000000001</v>
      </c>
      <c r="G885" s="59">
        <v>40</v>
      </c>
      <c r="H885" s="56">
        <f t="shared" si="147"/>
        <v>185</v>
      </c>
      <c r="I885" s="56">
        <f t="shared" si="146"/>
        <v>0</v>
      </c>
      <c r="J885" s="59">
        <v>100</v>
      </c>
      <c r="K885" s="59">
        <v>300</v>
      </c>
      <c r="L885" s="56">
        <f t="shared" si="140"/>
        <v>1239</v>
      </c>
      <c r="M885" s="66">
        <v>600</v>
      </c>
      <c r="N885" s="56">
        <f>75</f>
        <v>75</v>
      </c>
      <c r="O885" s="59">
        <v>240</v>
      </c>
      <c r="P885" s="59">
        <v>40</v>
      </c>
      <c r="Q885" s="59">
        <f t="shared" si="141"/>
        <v>315</v>
      </c>
      <c r="R885" s="59">
        <f t="shared" si="142"/>
        <v>100</v>
      </c>
      <c r="S885" s="56">
        <f t="shared" si="143"/>
        <v>695</v>
      </c>
      <c r="T885" s="56">
        <f>0</f>
        <v>0</v>
      </c>
      <c r="U885" s="57"/>
      <c r="V885" s="57"/>
      <c r="W885" s="57"/>
      <c r="X885" s="57"/>
      <c r="Y885" s="57"/>
      <c r="Z885" s="57"/>
      <c r="AA885" s="57"/>
      <c r="AB885" s="57"/>
      <c r="AC885" s="57"/>
      <c r="AD885" s="57"/>
    </row>
    <row r="886" spans="1:30" ht="15.75">
      <c r="A886" s="13">
        <v>68271</v>
      </c>
      <c r="B886" s="67">
        <f t="shared" si="139"/>
        <v>30</v>
      </c>
      <c r="C886" s="56">
        <f>122.58</f>
        <v>122.58</v>
      </c>
      <c r="D886" s="56">
        <f>297.941</f>
        <v>297.94099999999997</v>
      </c>
      <c r="E886" s="64">
        <f>89.177</f>
        <v>89.177000000000007</v>
      </c>
      <c r="F886" s="56">
        <f>240.302-40-60-100</f>
        <v>40.301999999999992</v>
      </c>
      <c r="G886" s="59">
        <v>40</v>
      </c>
      <c r="H886" s="56">
        <f>60+100</f>
        <v>160</v>
      </c>
      <c r="I886" s="56">
        <f t="shared" si="146"/>
        <v>0</v>
      </c>
      <c r="J886" s="59">
        <v>100</v>
      </c>
      <c r="K886" s="59">
        <v>300</v>
      </c>
      <c r="L886" s="56">
        <f t="shared" si="140"/>
        <v>1150</v>
      </c>
      <c r="M886" s="66">
        <v>600</v>
      </c>
      <c r="N886" s="56">
        <f>100</f>
        <v>100</v>
      </c>
      <c r="O886" s="59">
        <v>240</v>
      </c>
      <c r="P886" s="59">
        <v>40</v>
      </c>
      <c r="Q886" s="59">
        <f t="shared" si="141"/>
        <v>315</v>
      </c>
      <c r="R886" s="59">
        <f t="shared" si="142"/>
        <v>100</v>
      </c>
      <c r="S886" s="56">
        <f t="shared" si="143"/>
        <v>695</v>
      </c>
      <c r="T886" s="56">
        <f>50</f>
        <v>50</v>
      </c>
      <c r="U886" s="57"/>
      <c r="V886" s="57"/>
      <c r="W886" s="57"/>
      <c r="X886" s="57"/>
      <c r="Y886" s="57"/>
      <c r="Z886" s="57"/>
      <c r="AA886" s="57"/>
      <c r="AB886" s="57"/>
      <c r="AC886" s="57"/>
      <c r="AD886" s="57"/>
    </row>
    <row r="887" spans="1:30" ht="15.75">
      <c r="A887" s="13">
        <v>68302</v>
      </c>
      <c r="B887" s="67">
        <f t="shared" si="139"/>
        <v>31</v>
      </c>
      <c r="C887" s="56">
        <f>122.58</f>
        <v>122.58</v>
      </c>
      <c r="D887" s="56">
        <f>297.941</f>
        <v>297.94099999999997</v>
      </c>
      <c r="E887" s="64">
        <f>89.177</f>
        <v>89.177000000000007</v>
      </c>
      <c r="F887" s="56">
        <f>240.302-40-60-100</f>
        <v>40.301999999999992</v>
      </c>
      <c r="G887" s="59">
        <v>40</v>
      </c>
      <c r="H887" s="56">
        <f>60+100</f>
        <v>160</v>
      </c>
      <c r="I887" s="56">
        <f t="shared" si="146"/>
        <v>0</v>
      </c>
      <c r="J887" s="59">
        <v>100</v>
      </c>
      <c r="K887" s="59">
        <v>300</v>
      </c>
      <c r="L887" s="56">
        <f t="shared" si="140"/>
        <v>1150</v>
      </c>
      <c r="M887" s="66">
        <v>600</v>
      </c>
      <c r="N887" s="56">
        <f>100</f>
        <v>100</v>
      </c>
      <c r="O887" s="59">
        <v>240</v>
      </c>
      <c r="P887" s="59">
        <v>40</v>
      </c>
      <c r="Q887" s="59">
        <f t="shared" si="141"/>
        <v>315</v>
      </c>
      <c r="R887" s="59">
        <f t="shared" si="142"/>
        <v>100</v>
      </c>
      <c r="S887" s="56">
        <f t="shared" si="143"/>
        <v>695</v>
      </c>
      <c r="T887" s="56">
        <f>50</f>
        <v>50</v>
      </c>
      <c r="U887" s="57"/>
      <c r="V887" s="57"/>
      <c r="W887" s="57"/>
      <c r="X887" s="57"/>
      <c r="Y887" s="57"/>
      <c r="Z887" s="57"/>
      <c r="AA887" s="57"/>
      <c r="AB887" s="57"/>
      <c r="AC887" s="57"/>
      <c r="AD887" s="57"/>
    </row>
    <row r="888" spans="1:30" ht="15.75">
      <c r="A888" s="13">
        <v>68333</v>
      </c>
      <c r="B888" s="67">
        <f t="shared" si="139"/>
        <v>31</v>
      </c>
      <c r="C888" s="56">
        <f>122.58</f>
        <v>122.58</v>
      </c>
      <c r="D888" s="56">
        <f>297.941</f>
        <v>297.94099999999997</v>
      </c>
      <c r="E888" s="64">
        <f>89.177</f>
        <v>89.177000000000007</v>
      </c>
      <c r="F888" s="56">
        <f>240.302-40-60-100</f>
        <v>40.301999999999992</v>
      </c>
      <c r="G888" s="59">
        <v>40</v>
      </c>
      <c r="H888" s="56">
        <f>60+100</f>
        <v>160</v>
      </c>
      <c r="I888" s="56">
        <f t="shared" si="146"/>
        <v>0</v>
      </c>
      <c r="J888" s="59">
        <v>100</v>
      </c>
      <c r="K888" s="59">
        <v>300</v>
      </c>
      <c r="L888" s="56">
        <f t="shared" si="140"/>
        <v>1150</v>
      </c>
      <c r="M888" s="66">
        <v>600</v>
      </c>
      <c r="N888" s="56">
        <f>100</f>
        <v>100</v>
      </c>
      <c r="O888" s="59">
        <v>240</v>
      </c>
      <c r="P888" s="59">
        <v>40</v>
      </c>
      <c r="Q888" s="59">
        <f t="shared" si="141"/>
        <v>315</v>
      </c>
      <c r="R888" s="59">
        <f t="shared" si="142"/>
        <v>100</v>
      </c>
      <c r="S888" s="56">
        <f t="shared" si="143"/>
        <v>695</v>
      </c>
      <c r="T888" s="56">
        <f>50</f>
        <v>50</v>
      </c>
      <c r="U888" s="57"/>
      <c r="V888" s="57"/>
      <c r="W888" s="57"/>
      <c r="X888" s="57"/>
      <c r="Y888" s="57"/>
      <c r="Z888" s="57"/>
      <c r="AA888" s="57"/>
      <c r="AB888" s="57"/>
      <c r="AC888" s="57"/>
      <c r="AD888" s="57"/>
    </row>
    <row r="889" spans="1:30" ht="15.75">
      <c r="A889" s="13">
        <v>68361</v>
      </c>
      <c r="B889" s="67">
        <f t="shared" si="139"/>
        <v>28</v>
      </c>
      <c r="C889" s="56">
        <f>122.58</f>
        <v>122.58</v>
      </c>
      <c r="D889" s="56">
        <f>297.941</f>
        <v>297.94099999999997</v>
      </c>
      <c r="E889" s="64">
        <f>89.177</f>
        <v>89.177000000000007</v>
      </c>
      <c r="F889" s="56">
        <f>240.302-40-60-100</f>
        <v>40.301999999999992</v>
      </c>
      <c r="G889" s="59">
        <v>40</v>
      </c>
      <c r="H889" s="56">
        <f>60+100</f>
        <v>160</v>
      </c>
      <c r="I889" s="56">
        <f t="shared" si="146"/>
        <v>0</v>
      </c>
      <c r="J889" s="59">
        <v>100</v>
      </c>
      <c r="K889" s="59">
        <v>300</v>
      </c>
      <c r="L889" s="56">
        <f t="shared" si="140"/>
        <v>1150</v>
      </c>
      <c r="M889" s="66">
        <v>600</v>
      </c>
      <c r="N889" s="56">
        <f>100</f>
        <v>100</v>
      </c>
      <c r="O889" s="59">
        <v>240</v>
      </c>
      <c r="P889" s="59">
        <v>40</v>
      </c>
      <c r="Q889" s="59">
        <f t="shared" si="141"/>
        <v>315</v>
      </c>
      <c r="R889" s="59">
        <f t="shared" si="142"/>
        <v>100</v>
      </c>
      <c r="S889" s="56">
        <f t="shared" si="143"/>
        <v>695</v>
      </c>
      <c r="T889" s="56">
        <f>50</f>
        <v>50</v>
      </c>
      <c r="U889" s="57"/>
      <c r="V889" s="57"/>
      <c r="W889" s="57"/>
      <c r="X889" s="57"/>
      <c r="Y889" s="57"/>
      <c r="Z889" s="57"/>
      <c r="AA889" s="57"/>
      <c r="AB889" s="57"/>
      <c r="AC889" s="57"/>
      <c r="AD889" s="57"/>
    </row>
    <row r="890" spans="1:30" ht="15.75">
      <c r="A890" s="13">
        <v>68392</v>
      </c>
      <c r="B890" s="67">
        <f t="shared" si="139"/>
        <v>31</v>
      </c>
      <c r="C890" s="56">
        <f>122.58</f>
        <v>122.58</v>
      </c>
      <c r="D890" s="56">
        <f>297.941</f>
        <v>297.94099999999997</v>
      </c>
      <c r="E890" s="64">
        <f>89.177</f>
        <v>89.177000000000007</v>
      </c>
      <c r="F890" s="56">
        <f>240.302-40-60-100</f>
        <v>40.301999999999992</v>
      </c>
      <c r="G890" s="59">
        <v>40</v>
      </c>
      <c r="H890" s="56">
        <f>60+100</f>
        <v>160</v>
      </c>
      <c r="I890" s="56">
        <f t="shared" si="146"/>
        <v>0</v>
      </c>
      <c r="J890" s="59">
        <v>100</v>
      </c>
      <c r="K890" s="59">
        <v>300</v>
      </c>
      <c r="L890" s="56">
        <f t="shared" si="140"/>
        <v>1150</v>
      </c>
      <c r="M890" s="66">
        <v>600</v>
      </c>
      <c r="N890" s="56">
        <f>100</f>
        <v>100</v>
      </c>
      <c r="O890" s="59">
        <v>240</v>
      </c>
      <c r="P890" s="59">
        <v>40</v>
      </c>
      <c r="Q890" s="59">
        <f t="shared" si="141"/>
        <v>315</v>
      </c>
      <c r="R890" s="59">
        <f t="shared" si="142"/>
        <v>100</v>
      </c>
      <c r="S890" s="56">
        <f t="shared" si="143"/>
        <v>695</v>
      </c>
      <c r="T890" s="56">
        <f>50</f>
        <v>50</v>
      </c>
      <c r="U890" s="57"/>
      <c r="V890" s="57"/>
      <c r="W890" s="57"/>
      <c r="X890" s="57"/>
      <c r="Y890" s="57"/>
      <c r="Z890" s="57"/>
      <c r="AA890" s="57"/>
      <c r="AB890" s="57"/>
      <c r="AC890" s="57"/>
      <c r="AD890" s="57"/>
    </row>
    <row r="891" spans="1:30" ht="15.75">
      <c r="A891" s="13">
        <v>68422</v>
      </c>
      <c r="B891" s="67">
        <f t="shared" si="139"/>
        <v>30</v>
      </c>
      <c r="C891" s="56">
        <f>141.293</f>
        <v>141.29300000000001</v>
      </c>
      <c r="D891" s="56">
        <f>267.993</f>
        <v>267.99299999999999</v>
      </c>
      <c r="E891" s="64">
        <f>115.016</f>
        <v>115.01600000000001</v>
      </c>
      <c r="F891" s="56">
        <f>314.698-40-25-60-100</f>
        <v>89.697999999999979</v>
      </c>
      <c r="G891" s="59">
        <v>40</v>
      </c>
      <c r="H891" s="56">
        <f t="shared" ref="H891:H897" si="148">25+60+100</f>
        <v>185</v>
      </c>
      <c r="I891" s="56">
        <f t="shared" si="146"/>
        <v>0</v>
      </c>
      <c r="J891" s="59">
        <v>100</v>
      </c>
      <c r="K891" s="59">
        <v>300</v>
      </c>
      <c r="L891" s="56">
        <f t="shared" si="140"/>
        <v>1239</v>
      </c>
      <c r="M891" s="66">
        <v>600</v>
      </c>
      <c r="N891" s="56">
        <f>100</f>
        <v>100</v>
      </c>
      <c r="O891" s="59">
        <v>240</v>
      </c>
      <c r="P891" s="59">
        <v>40</v>
      </c>
      <c r="Q891" s="59">
        <f t="shared" si="141"/>
        <v>315</v>
      </c>
      <c r="R891" s="59">
        <f t="shared" si="142"/>
        <v>100</v>
      </c>
      <c r="S891" s="56">
        <f t="shared" si="143"/>
        <v>695</v>
      </c>
      <c r="T891" s="56">
        <f>50</f>
        <v>50</v>
      </c>
      <c r="U891" s="57"/>
      <c r="V891" s="57"/>
      <c r="W891" s="57"/>
      <c r="X891" s="57"/>
      <c r="Y891" s="57"/>
      <c r="Z891" s="57"/>
      <c r="AA891" s="57"/>
      <c r="AB891" s="57"/>
      <c r="AC891" s="57"/>
      <c r="AD891" s="57"/>
    </row>
    <row r="892" spans="1:30" ht="15.75">
      <c r="A892" s="13">
        <v>68453</v>
      </c>
      <c r="B892" s="67">
        <f t="shared" si="139"/>
        <v>31</v>
      </c>
      <c r="C892" s="56">
        <f>194.205</f>
        <v>194.20500000000001</v>
      </c>
      <c r="D892" s="56">
        <f>267.466</f>
        <v>267.46600000000001</v>
      </c>
      <c r="E892" s="64">
        <f>133.845</f>
        <v>133.845</v>
      </c>
      <c r="F892" s="56">
        <f>278.484-40-25-60-100</f>
        <v>53.48399999999998</v>
      </c>
      <c r="G892" s="59">
        <v>40</v>
      </c>
      <c r="H892" s="56">
        <f t="shared" si="148"/>
        <v>185</v>
      </c>
      <c r="I892" s="56">
        <f t="shared" si="146"/>
        <v>0</v>
      </c>
      <c r="J892" s="59">
        <v>100</v>
      </c>
      <c r="K892" s="59">
        <v>300</v>
      </c>
      <c r="L892" s="56">
        <f t="shared" si="140"/>
        <v>1274</v>
      </c>
      <c r="M892" s="66">
        <v>600</v>
      </c>
      <c r="N892" s="56">
        <f>75</f>
        <v>75</v>
      </c>
      <c r="O892" s="59">
        <v>240</v>
      </c>
      <c r="P892" s="59">
        <v>40</v>
      </c>
      <c r="Q892" s="59">
        <f t="shared" si="141"/>
        <v>315</v>
      </c>
      <c r="R892" s="59">
        <f t="shared" si="142"/>
        <v>100</v>
      </c>
      <c r="S892" s="56">
        <f t="shared" si="143"/>
        <v>695</v>
      </c>
      <c r="T892" s="56">
        <f>50</f>
        <v>50</v>
      </c>
      <c r="U892" s="57"/>
      <c r="V892" s="57"/>
      <c r="W892" s="57"/>
      <c r="X892" s="57"/>
      <c r="Y892" s="57"/>
      <c r="Z892" s="57"/>
      <c r="AA892" s="57"/>
      <c r="AB892" s="57"/>
      <c r="AC892" s="57"/>
      <c r="AD892" s="57"/>
    </row>
    <row r="893" spans="1:30" ht="15.75">
      <c r="A893" s="13">
        <v>68483</v>
      </c>
      <c r="B893" s="67">
        <f t="shared" si="139"/>
        <v>30</v>
      </c>
      <c r="C893" s="56">
        <f>194.205</f>
        <v>194.20500000000001</v>
      </c>
      <c r="D893" s="56">
        <f>267.466</f>
        <v>267.46600000000001</v>
      </c>
      <c r="E893" s="64">
        <f>133.845</f>
        <v>133.845</v>
      </c>
      <c r="F893" s="56">
        <f>278.484-40-25-60-100</f>
        <v>53.48399999999998</v>
      </c>
      <c r="G893" s="59">
        <v>40</v>
      </c>
      <c r="H893" s="56">
        <f t="shared" si="148"/>
        <v>185</v>
      </c>
      <c r="I893" s="56">
        <f t="shared" si="146"/>
        <v>0</v>
      </c>
      <c r="J893" s="59">
        <v>100</v>
      </c>
      <c r="K893" s="59">
        <v>300</v>
      </c>
      <c r="L893" s="56">
        <f t="shared" si="140"/>
        <v>1274</v>
      </c>
      <c r="M893" s="66">
        <v>600</v>
      </c>
      <c r="N893" s="56">
        <f>30</f>
        <v>30</v>
      </c>
      <c r="O893" s="59">
        <v>240</v>
      </c>
      <c r="P893" s="59">
        <v>40</v>
      </c>
      <c r="Q893" s="59">
        <f t="shared" si="141"/>
        <v>315</v>
      </c>
      <c r="R893" s="59">
        <f t="shared" si="142"/>
        <v>100</v>
      </c>
      <c r="S893" s="56">
        <f t="shared" si="143"/>
        <v>695</v>
      </c>
      <c r="T893" s="56">
        <f>50</f>
        <v>50</v>
      </c>
      <c r="U893" s="57"/>
      <c r="V893" s="57"/>
      <c r="W893" s="57"/>
      <c r="X893" s="57"/>
      <c r="Y893" s="57"/>
      <c r="Z893" s="57"/>
      <c r="AA893" s="57"/>
      <c r="AB893" s="57"/>
      <c r="AC893" s="57"/>
      <c r="AD893" s="57"/>
    </row>
    <row r="894" spans="1:30" ht="15.75">
      <c r="A894" s="13">
        <v>68514</v>
      </c>
      <c r="B894" s="67">
        <f t="shared" si="139"/>
        <v>31</v>
      </c>
      <c r="C894" s="56">
        <f>194.205</f>
        <v>194.20500000000001</v>
      </c>
      <c r="D894" s="56">
        <f>267.466</f>
        <v>267.46600000000001</v>
      </c>
      <c r="E894" s="64">
        <f>133.845</f>
        <v>133.845</v>
      </c>
      <c r="F894" s="56">
        <f>278.484-40-25-60-100</f>
        <v>53.48399999999998</v>
      </c>
      <c r="G894" s="59">
        <v>40</v>
      </c>
      <c r="H894" s="56">
        <f t="shared" si="148"/>
        <v>185</v>
      </c>
      <c r="I894" s="56">
        <f t="shared" si="146"/>
        <v>0</v>
      </c>
      <c r="J894" s="59">
        <v>100</v>
      </c>
      <c r="K894" s="59">
        <v>300</v>
      </c>
      <c r="L894" s="56">
        <f t="shared" si="140"/>
        <v>1274</v>
      </c>
      <c r="M894" s="66">
        <v>600</v>
      </c>
      <c r="N894" s="56">
        <f>30</f>
        <v>30</v>
      </c>
      <c r="O894" s="59">
        <v>240</v>
      </c>
      <c r="P894" s="59">
        <v>40</v>
      </c>
      <c r="Q894" s="59">
        <f t="shared" si="141"/>
        <v>315</v>
      </c>
      <c r="R894" s="59">
        <f t="shared" si="142"/>
        <v>100</v>
      </c>
      <c r="S894" s="56">
        <f t="shared" si="143"/>
        <v>695</v>
      </c>
      <c r="T894" s="56">
        <f>0</f>
        <v>0</v>
      </c>
      <c r="U894" s="57"/>
      <c r="V894" s="57"/>
      <c r="W894" s="57"/>
      <c r="X894" s="57"/>
      <c r="Y894" s="57"/>
      <c r="Z894" s="57"/>
      <c r="AA894" s="57"/>
      <c r="AB894" s="57"/>
      <c r="AC894" s="57"/>
      <c r="AD894" s="57"/>
    </row>
    <row r="895" spans="1:30" ht="15.75">
      <c r="A895" s="13">
        <v>68545</v>
      </c>
      <c r="B895" s="67">
        <f t="shared" si="139"/>
        <v>31</v>
      </c>
      <c r="C895" s="56">
        <f>194.205</f>
        <v>194.20500000000001</v>
      </c>
      <c r="D895" s="56">
        <f>267.466</f>
        <v>267.46600000000001</v>
      </c>
      <c r="E895" s="64">
        <f>133.845</f>
        <v>133.845</v>
      </c>
      <c r="F895" s="56">
        <f>278.484-40-25-60-100</f>
        <v>53.48399999999998</v>
      </c>
      <c r="G895" s="59">
        <v>40</v>
      </c>
      <c r="H895" s="56">
        <f t="shared" si="148"/>
        <v>185</v>
      </c>
      <c r="I895" s="56">
        <f t="shared" si="146"/>
        <v>0</v>
      </c>
      <c r="J895" s="59">
        <v>100</v>
      </c>
      <c r="K895" s="59">
        <v>300</v>
      </c>
      <c r="L895" s="56">
        <f t="shared" si="140"/>
        <v>1274</v>
      </c>
      <c r="M895" s="66">
        <v>600</v>
      </c>
      <c r="N895" s="56">
        <f>30</f>
        <v>30</v>
      </c>
      <c r="O895" s="59">
        <v>240</v>
      </c>
      <c r="P895" s="59">
        <v>40</v>
      </c>
      <c r="Q895" s="59">
        <f t="shared" si="141"/>
        <v>315</v>
      </c>
      <c r="R895" s="59">
        <f t="shared" si="142"/>
        <v>100</v>
      </c>
      <c r="S895" s="56">
        <f t="shared" si="143"/>
        <v>695</v>
      </c>
      <c r="T895" s="56">
        <f>0</f>
        <v>0</v>
      </c>
      <c r="U895" s="57"/>
      <c r="V895" s="57"/>
      <c r="W895" s="57"/>
      <c r="X895" s="57"/>
      <c r="Y895" s="57"/>
      <c r="Z895" s="57"/>
      <c r="AA895" s="57"/>
      <c r="AB895" s="57"/>
      <c r="AC895" s="57"/>
      <c r="AD895" s="57"/>
    </row>
    <row r="896" spans="1:30" ht="15.75">
      <c r="A896" s="13">
        <v>68575</v>
      </c>
      <c r="B896" s="67">
        <f t="shared" si="139"/>
        <v>30</v>
      </c>
      <c r="C896" s="56">
        <f>194.205</f>
        <v>194.20500000000001</v>
      </c>
      <c r="D896" s="56">
        <f>267.466</f>
        <v>267.46600000000001</v>
      </c>
      <c r="E896" s="64">
        <f>133.845</f>
        <v>133.845</v>
      </c>
      <c r="F896" s="56">
        <f>278.484-40-25-60-100</f>
        <v>53.48399999999998</v>
      </c>
      <c r="G896" s="59">
        <v>40</v>
      </c>
      <c r="H896" s="56">
        <f t="shared" si="148"/>
        <v>185</v>
      </c>
      <c r="I896" s="56">
        <f t="shared" si="146"/>
        <v>0</v>
      </c>
      <c r="J896" s="59">
        <v>100</v>
      </c>
      <c r="K896" s="59">
        <v>300</v>
      </c>
      <c r="L896" s="56">
        <f t="shared" si="140"/>
        <v>1274</v>
      </c>
      <c r="M896" s="66">
        <v>600</v>
      </c>
      <c r="N896" s="56">
        <f>30</f>
        <v>30</v>
      </c>
      <c r="O896" s="59">
        <v>240</v>
      </c>
      <c r="P896" s="59">
        <v>40</v>
      </c>
      <c r="Q896" s="59">
        <f t="shared" si="141"/>
        <v>315</v>
      </c>
      <c r="R896" s="59">
        <f t="shared" si="142"/>
        <v>100</v>
      </c>
      <c r="S896" s="56">
        <f t="shared" si="143"/>
        <v>695</v>
      </c>
      <c r="T896" s="56">
        <f>0</f>
        <v>0</v>
      </c>
      <c r="U896" s="57"/>
      <c r="V896" s="57"/>
      <c r="W896" s="57"/>
      <c r="X896" s="57"/>
      <c r="Y896" s="57"/>
      <c r="Z896" s="57"/>
      <c r="AA896" s="57"/>
      <c r="AB896" s="57"/>
      <c r="AC896" s="57"/>
      <c r="AD896" s="57"/>
    </row>
    <row r="897" spans="1:30" ht="15.75">
      <c r="A897" s="13">
        <v>68606</v>
      </c>
      <c r="B897" s="67">
        <f t="shared" si="139"/>
        <v>31</v>
      </c>
      <c r="C897" s="56">
        <f>131.881</f>
        <v>131.881</v>
      </c>
      <c r="D897" s="56">
        <f>277.167</f>
        <v>277.16699999999997</v>
      </c>
      <c r="E897" s="64">
        <f>79.08</f>
        <v>79.08</v>
      </c>
      <c r="F897" s="56">
        <f>350.872-40-25-60-100</f>
        <v>125.87200000000001</v>
      </c>
      <c r="G897" s="59">
        <v>40</v>
      </c>
      <c r="H897" s="56">
        <f t="shared" si="148"/>
        <v>185</v>
      </c>
      <c r="I897" s="56">
        <f t="shared" si="146"/>
        <v>0</v>
      </c>
      <c r="J897" s="59">
        <v>100</v>
      </c>
      <c r="K897" s="59">
        <v>300</v>
      </c>
      <c r="L897" s="56">
        <f t="shared" si="140"/>
        <v>1239</v>
      </c>
      <c r="M897" s="66">
        <v>600</v>
      </c>
      <c r="N897" s="56">
        <f>75</f>
        <v>75</v>
      </c>
      <c r="O897" s="59">
        <v>240</v>
      </c>
      <c r="P897" s="59">
        <v>40</v>
      </c>
      <c r="Q897" s="59">
        <f t="shared" si="141"/>
        <v>315</v>
      </c>
      <c r="R897" s="59">
        <f t="shared" si="142"/>
        <v>100</v>
      </c>
      <c r="S897" s="56">
        <f t="shared" si="143"/>
        <v>695</v>
      </c>
      <c r="T897" s="56">
        <f>0</f>
        <v>0</v>
      </c>
      <c r="U897" s="57"/>
      <c r="V897" s="57"/>
      <c r="W897" s="57"/>
      <c r="X897" s="57"/>
      <c r="Y897" s="57"/>
      <c r="Z897" s="57"/>
      <c r="AA897" s="57"/>
      <c r="AB897" s="57"/>
      <c r="AC897" s="57"/>
      <c r="AD897" s="57"/>
    </row>
    <row r="898" spans="1:30" ht="15.75">
      <c r="A898" s="13">
        <v>68636</v>
      </c>
      <c r="B898" s="67">
        <f t="shared" si="139"/>
        <v>30</v>
      </c>
      <c r="C898" s="56">
        <f>122.58</f>
        <v>122.58</v>
      </c>
      <c r="D898" s="56">
        <f>297.941</f>
        <v>297.94099999999997</v>
      </c>
      <c r="E898" s="64">
        <f>89.177</f>
        <v>89.177000000000007</v>
      </c>
      <c r="F898" s="56">
        <f>240.302-40-60-100</f>
        <v>40.301999999999992</v>
      </c>
      <c r="G898" s="59">
        <v>40</v>
      </c>
      <c r="H898" s="56">
        <f>60+100</f>
        <v>160</v>
      </c>
      <c r="I898" s="56">
        <f t="shared" si="146"/>
        <v>0</v>
      </c>
      <c r="J898" s="59">
        <v>100</v>
      </c>
      <c r="K898" s="59">
        <v>300</v>
      </c>
      <c r="L898" s="56">
        <f t="shared" si="140"/>
        <v>1150</v>
      </c>
      <c r="M898" s="66">
        <v>600</v>
      </c>
      <c r="N898" s="56">
        <f>100</f>
        <v>100</v>
      </c>
      <c r="O898" s="59">
        <v>240</v>
      </c>
      <c r="P898" s="59">
        <v>40</v>
      </c>
      <c r="Q898" s="59">
        <f t="shared" si="141"/>
        <v>315</v>
      </c>
      <c r="R898" s="59">
        <f t="shared" si="142"/>
        <v>100</v>
      </c>
      <c r="S898" s="56">
        <f t="shared" si="143"/>
        <v>695</v>
      </c>
      <c r="T898" s="56">
        <f>50</f>
        <v>50</v>
      </c>
      <c r="U898" s="57"/>
      <c r="V898" s="57"/>
      <c r="W898" s="57"/>
      <c r="X898" s="57"/>
      <c r="Y898" s="57"/>
      <c r="Z898" s="57"/>
      <c r="AA898" s="57"/>
      <c r="AB898" s="57"/>
      <c r="AC898" s="57"/>
      <c r="AD898" s="57"/>
    </row>
    <row r="899" spans="1:30" ht="15.75">
      <c r="A899" s="13">
        <v>68667</v>
      </c>
      <c r="B899" s="67">
        <f t="shared" si="139"/>
        <v>31</v>
      </c>
      <c r="C899" s="56">
        <f>122.58</f>
        <v>122.58</v>
      </c>
      <c r="D899" s="56">
        <f>297.941</f>
        <v>297.94099999999997</v>
      </c>
      <c r="E899" s="64">
        <f>89.177</f>
        <v>89.177000000000007</v>
      </c>
      <c r="F899" s="56">
        <f>240.302-40-60-100</f>
        <v>40.301999999999992</v>
      </c>
      <c r="G899" s="59">
        <v>40</v>
      </c>
      <c r="H899" s="56">
        <f>60+100</f>
        <v>160</v>
      </c>
      <c r="I899" s="56">
        <f t="shared" si="146"/>
        <v>0</v>
      </c>
      <c r="J899" s="59">
        <v>100</v>
      </c>
      <c r="K899" s="59">
        <v>300</v>
      </c>
      <c r="L899" s="56">
        <f t="shared" si="140"/>
        <v>1150</v>
      </c>
      <c r="M899" s="66">
        <v>600</v>
      </c>
      <c r="N899" s="56">
        <f>100</f>
        <v>100</v>
      </c>
      <c r="O899" s="59">
        <v>240</v>
      </c>
      <c r="P899" s="59">
        <v>40</v>
      </c>
      <c r="Q899" s="59">
        <f t="shared" si="141"/>
        <v>315</v>
      </c>
      <c r="R899" s="59">
        <f t="shared" si="142"/>
        <v>100</v>
      </c>
      <c r="S899" s="56">
        <f t="shared" si="143"/>
        <v>695</v>
      </c>
      <c r="T899" s="56">
        <f>50</f>
        <v>50</v>
      </c>
      <c r="U899" s="57"/>
      <c r="V899" s="57"/>
      <c r="W899" s="57"/>
      <c r="X899" s="57"/>
      <c r="Y899" s="57"/>
      <c r="Z899" s="57"/>
      <c r="AA899" s="57"/>
      <c r="AB899" s="57"/>
      <c r="AC899" s="57"/>
      <c r="AD899" s="57"/>
    </row>
    <row r="900" spans="1:30" ht="15.75">
      <c r="A900" s="13">
        <v>68698</v>
      </c>
      <c r="B900" s="67">
        <f t="shared" si="139"/>
        <v>31</v>
      </c>
      <c r="C900" s="56">
        <f>122.58</f>
        <v>122.58</v>
      </c>
      <c r="D900" s="56">
        <f>297.941</f>
        <v>297.94099999999997</v>
      </c>
      <c r="E900" s="64">
        <f>89.177</f>
        <v>89.177000000000007</v>
      </c>
      <c r="F900" s="56">
        <f>240.302-40-60-100</f>
        <v>40.301999999999992</v>
      </c>
      <c r="G900" s="59">
        <v>40</v>
      </c>
      <c r="H900" s="56">
        <f>60+100</f>
        <v>160</v>
      </c>
      <c r="I900" s="56">
        <f t="shared" si="146"/>
        <v>0</v>
      </c>
      <c r="J900" s="59">
        <v>100</v>
      </c>
      <c r="K900" s="59">
        <v>300</v>
      </c>
      <c r="L900" s="56">
        <f t="shared" si="140"/>
        <v>1150</v>
      </c>
      <c r="M900" s="66">
        <v>600</v>
      </c>
      <c r="N900" s="56">
        <f>100</f>
        <v>100</v>
      </c>
      <c r="O900" s="59">
        <v>240</v>
      </c>
      <c r="P900" s="59">
        <v>40</v>
      </c>
      <c r="Q900" s="59">
        <f t="shared" si="141"/>
        <v>315</v>
      </c>
      <c r="R900" s="59">
        <f t="shared" si="142"/>
        <v>100</v>
      </c>
      <c r="S900" s="56">
        <f t="shared" si="143"/>
        <v>695</v>
      </c>
      <c r="T900" s="56">
        <f>50</f>
        <v>50</v>
      </c>
      <c r="U900" s="57"/>
      <c r="V900" s="57"/>
      <c r="W900" s="57"/>
      <c r="X900" s="57"/>
      <c r="Y900" s="57"/>
      <c r="Z900" s="57"/>
      <c r="AA900" s="57"/>
      <c r="AB900" s="57"/>
      <c r="AC900" s="57"/>
      <c r="AD900" s="57"/>
    </row>
    <row r="901" spans="1:30" ht="15.75">
      <c r="A901" s="13">
        <v>68727</v>
      </c>
      <c r="B901" s="67">
        <f t="shared" si="139"/>
        <v>29</v>
      </c>
      <c r="C901" s="56">
        <f>122.58</f>
        <v>122.58</v>
      </c>
      <c r="D901" s="56">
        <f>297.941</f>
        <v>297.94099999999997</v>
      </c>
      <c r="E901" s="64">
        <f>89.177</f>
        <v>89.177000000000007</v>
      </c>
      <c r="F901" s="56">
        <f>240.302-40-60-100</f>
        <v>40.301999999999992</v>
      </c>
      <c r="G901" s="59">
        <v>40</v>
      </c>
      <c r="H901" s="56">
        <f>60+100</f>
        <v>160</v>
      </c>
      <c r="I901" s="56">
        <f t="shared" si="146"/>
        <v>0</v>
      </c>
      <c r="J901" s="59">
        <v>100</v>
      </c>
      <c r="K901" s="59">
        <v>300</v>
      </c>
      <c r="L901" s="56">
        <f t="shared" si="140"/>
        <v>1150</v>
      </c>
      <c r="M901" s="66">
        <v>600</v>
      </c>
      <c r="N901" s="56">
        <f>100</f>
        <v>100</v>
      </c>
      <c r="O901" s="59">
        <v>240</v>
      </c>
      <c r="P901" s="59">
        <v>40</v>
      </c>
      <c r="Q901" s="59">
        <f t="shared" si="141"/>
        <v>315</v>
      </c>
      <c r="R901" s="59">
        <f t="shared" si="142"/>
        <v>100</v>
      </c>
      <c r="S901" s="56">
        <f t="shared" si="143"/>
        <v>695</v>
      </c>
      <c r="T901" s="56">
        <f>50</f>
        <v>50</v>
      </c>
      <c r="U901" s="57"/>
      <c r="V901" s="57"/>
      <c r="W901" s="57"/>
      <c r="X901" s="57"/>
      <c r="Y901" s="57"/>
      <c r="Z901" s="57"/>
      <c r="AA901" s="57"/>
      <c r="AB901" s="57"/>
      <c r="AC901" s="57"/>
      <c r="AD901" s="57"/>
    </row>
    <row r="902" spans="1:30" ht="15.75">
      <c r="A902" s="13">
        <v>68758</v>
      </c>
      <c r="B902" s="67">
        <f t="shared" si="139"/>
        <v>31</v>
      </c>
      <c r="C902" s="56">
        <f>122.58</f>
        <v>122.58</v>
      </c>
      <c r="D902" s="56">
        <f>297.941</f>
        <v>297.94099999999997</v>
      </c>
      <c r="E902" s="64">
        <f>89.177</f>
        <v>89.177000000000007</v>
      </c>
      <c r="F902" s="56">
        <f>240.302-40-60-100</f>
        <v>40.301999999999992</v>
      </c>
      <c r="G902" s="59">
        <v>40</v>
      </c>
      <c r="H902" s="56">
        <f>60+100</f>
        <v>160</v>
      </c>
      <c r="I902" s="56">
        <f t="shared" si="146"/>
        <v>0</v>
      </c>
      <c r="J902" s="59">
        <v>100</v>
      </c>
      <c r="K902" s="59">
        <v>300</v>
      </c>
      <c r="L902" s="56">
        <f t="shared" si="140"/>
        <v>1150</v>
      </c>
      <c r="M902" s="66">
        <v>600</v>
      </c>
      <c r="N902" s="56">
        <f>100</f>
        <v>100</v>
      </c>
      <c r="O902" s="59">
        <v>240</v>
      </c>
      <c r="P902" s="59">
        <v>40</v>
      </c>
      <c r="Q902" s="59">
        <f t="shared" si="141"/>
        <v>315</v>
      </c>
      <c r="R902" s="59">
        <f t="shared" si="142"/>
        <v>100</v>
      </c>
      <c r="S902" s="56">
        <f t="shared" si="143"/>
        <v>695</v>
      </c>
      <c r="T902" s="56">
        <f>50</f>
        <v>50</v>
      </c>
      <c r="U902" s="57"/>
      <c r="V902" s="57"/>
      <c r="W902" s="57"/>
      <c r="X902" s="57"/>
      <c r="Y902" s="57"/>
      <c r="Z902" s="57"/>
      <c r="AA902" s="57"/>
      <c r="AB902" s="57"/>
      <c r="AC902" s="57"/>
      <c r="AD902" s="57"/>
    </row>
    <row r="903" spans="1:30" ht="15.75">
      <c r="A903" s="13">
        <v>68788</v>
      </c>
      <c r="B903" s="67">
        <f t="shared" si="139"/>
        <v>30</v>
      </c>
      <c r="C903" s="56">
        <f>141.293</f>
        <v>141.29300000000001</v>
      </c>
      <c r="D903" s="56">
        <f>267.993</f>
        <v>267.99299999999999</v>
      </c>
      <c r="E903" s="64">
        <f>115.016</f>
        <v>115.01600000000001</v>
      </c>
      <c r="F903" s="56">
        <f>314.698-40-25-60-100</f>
        <v>89.697999999999979</v>
      </c>
      <c r="G903" s="59">
        <v>40</v>
      </c>
      <c r="H903" s="56">
        <f t="shared" ref="H903:H909" si="149">25+60+100</f>
        <v>185</v>
      </c>
      <c r="I903" s="56">
        <f t="shared" si="146"/>
        <v>0</v>
      </c>
      <c r="J903" s="59">
        <v>100</v>
      </c>
      <c r="K903" s="59">
        <v>300</v>
      </c>
      <c r="L903" s="56">
        <f t="shared" si="140"/>
        <v>1239</v>
      </c>
      <c r="M903" s="66">
        <v>600</v>
      </c>
      <c r="N903" s="56">
        <f>100</f>
        <v>100</v>
      </c>
      <c r="O903" s="59">
        <v>240</v>
      </c>
      <c r="P903" s="59">
        <v>40</v>
      </c>
      <c r="Q903" s="59">
        <f t="shared" si="141"/>
        <v>315</v>
      </c>
      <c r="R903" s="59">
        <f t="shared" si="142"/>
        <v>100</v>
      </c>
      <c r="S903" s="56">
        <f t="shared" si="143"/>
        <v>695</v>
      </c>
      <c r="T903" s="56">
        <f>50</f>
        <v>50</v>
      </c>
      <c r="U903" s="57"/>
      <c r="V903" s="57"/>
      <c r="W903" s="57"/>
      <c r="X903" s="57"/>
      <c r="Y903" s="57"/>
      <c r="Z903" s="57"/>
      <c r="AA903" s="57"/>
      <c r="AB903" s="57"/>
      <c r="AC903" s="57"/>
      <c r="AD903" s="57"/>
    </row>
    <row r="904" spans="1:30" ht="15.75">
      <c r="A904" s="13">
        <v>68819</v>
      </c>
      <c r="B904" s="67">
        <f t="shared" si="139"/>
        <v>31</v>
      </c>
      <c r="C904" s="56">
        <f>194.205</f>
        <v>194.20500000000001</v>
      </c>
      <c r="D904" s="56">
        <f>267.466</f>
        <v>267.46600000000001</v>
      </c>
      <c r="E904" s="64">
        <f>133.845</f>
        <v>133.845</v>
      </c>
      <c r="F904" s="56">
        <f>278.484-40-25-60-100</f>
        <v>53.48399999999998</v>
      </c>
      <c r="G904" s="59">
        <v>40</v>
      </c>
      <c r="H904" s="56">
        <f t="shared" si="149"/>
        <v>185</v>
      </c>
      <c r="I904" s="56">
        <f t="shared" si="146"/>
        <v>0</v>
      </c>
      <c r="J904" s="59">
        <v>100</v>
      </c>
      <c r="K904" s="59">
        <v>300</v>
      </c>
      <c r="L904" s="56">
        <f t="shared" si="140"/>
        <v>1274</v>
      </c>
      <c r="M904" s="66">
        <v>600</v>
      </c>
      <c r="N904" s="56">
        <f>75</f>
        <v>75</v>
      </c>
      <c r="O904" s="59">
        <v>240</v>
      </c>
      <c r="P904" s="59">
        <v>40</v>
      </c>
      <c r="Q904" s="59">
        <f t="shared" si="141"/>
        <v>315</v>
      </c>
      <c r="R904" s="59">
        <f t="shared" si="142"/>
        <v>100</v>
      </c>
      <c r="S904" s="56">
        <f t="shared" si="143"/>
        <v>695</v>
      </c>
      <c r="T904" s="56">
        <f>50</f>
        <v>50</v>
      </c>
      <c r="U904" s="57"/>
      <c r="V904" s="57"/>
      <c r="W904" s="57"/>
      <c r="X904" s="57"/>
      <c r="Y904" s="57"/>
      <c r="Z904" s="57"/>
      <c r="AA904" s="57"/>
      <c r="AB904" s="57"/>
      <c r="AC904" s="57"/>
      <c r="AD904" s="57"/>
    </row>
    <row r="905" spans="1:30" ht="15.75">
      <c r="A905" s="13">
        <v>68849</v>
      </c>
      <c r="B905" s="67">
        <f t="shared" si="139"/>
        <v>30</v>
      </c>
      <c r="C905" s="56">
        <f>194.205</f>
        <v>194.20500000000001</v>
      </c>
      <c r="D905" s="56">
        <f>267.466</f>
        <v>267.46600000000001</v>
      </c>
      <c r="E905" s="64">
        <f>133.845</f>
        <v>133.845</v>
      </c>
      <c r="F905" s="56">
        <f>278.484-40-25-60-100</f>
        <v>53.48399999999998</v>
      </c>
      <c r="G905" s="59">
        <v>40</v>
      </c>
      <c r="H905" s="56">
        <f t="shared" si="149"/>
        <v>185</v>
      </c>
      <c r="I905" s="56">
        <f t="shared" si="146"/>
        <v>0</v>
      </c>
      <c r="J905" s="59">
        <v>100</v>
      </c>
      <c r="K905" s="59">
        <v>300</v>
      </c>
      <c r="L905" s="56">
        <f t="shared" si="140"/>
        <v>1274</v>
      </c>
      <c r="M905" s="66">
        <v>600</v>
      </c>
      <c r="N905" s="56">
        <f>30</f>
        <v>30</v>
      </c>
      <c r="O905" s="59">
        <v>240</v>
      </c>
      <c r="P905" s="59">
        <v>40</v>
      </c>
      <c r="Q905" s="59">
        <f t="shared" si="141"/>
        <v>315</v>
      </c>
      <c r="R905" s="59">
        <f t="shared" si="142"/>
        <v>100</v>
      </c>
      <c r="S905" s="56">
        <f t="shared" si="143"/>
        <v>695</v>
      </c>
      <c r="T905" s="56">
        <f>50</f>
        <v>50</v>
      </c>
      <c r="U905" s="57"/>
      <c r="V905" s="57"/>
      <c r="W905" s="57"/>
      <c r="X905" s="57"/>
      <c r="Y905" s="57"/>
      <c r="Z905" s="57"/>
      <c r="AA905" s="57"/>
      <c r="AB905" s="57"/>
      <c r="AC905" s="57"/>
      <c r="AD905" s="57"/>
    </row>
    <row r="906" spans="1:30" ht="15.75">
      <c r="A906" s="13">
        <v>68880</v>
      </c>
      <c r="B906" s="67">
        <f t="shared" si="139"/>
        <v>31</v>
      </c>
      <c r="C906" s="56">
        <f>194.205</f>
        <v>194.20500000000001</v>
      </c>
      <c r="D906" s="56">
        <f>267.466</f>
        <v>267.46600000000001</v>
      </c>
      <c r="E906" s="64">
        <f>133.845</f>
        <v>133.845</v>
      </c>
      <c r="F906" s="56">
        <f>278.484-40-25-60-100</f>
        <v>53.48399999999998</v>
      </c>
      <c r="G906" s="59">
        <v>40</v>
      </c>
      <c r="H906" s="56">
        <f t="shared" si="149"/>
        <v>185</v>
      </c>
      <c r="I906" s="56">
        <f t="shared" si="146"/>
        <v>0</v>
      </c>
      <c r="J906" s="59">
        <v>100</v>
      </c>
      <c r="K906" s="59">
        <v>300</v>
      </c>
      <c r="L906" s="56">
        <f t="shared" si="140"/>
        <v>1274</v>
      </c>
      <c r="M906" s="66">
        <v>600</v>
      </c>
      <c r="N906" s="56">
        <f>30</f>
        <v>30</v>
      </c>
      <c r="O906" s="59">
        <v>240</v>
      </c>
      <c r="P906" s="59">
        <v>40</v>
      </c>
      <c r="Q906" s="59">
        <f t="shared" si="141"/>
        <v>315</v>
      </c>
      <c r="R906" s="59">
        <f t="shared" si="142"/>
        <v>100</v>
      </c>
      <c r="S906" s="56">
        <f t="shared" si="143"/>
        <v>695</v>
      </c>
      <c r="T906" s="56">
        <f>0</f>
        <v>0</v>
      </c>
      <c r="U906" s="57"/>
      <c r="V906" s="57"/>
      <c r="W906" s="57"/>
      <c r="X906" s="57"/>
      <c r="Y906" s="57"/>
      <c r="Z906" s="57"/>
      <c r="AA906" s="57"/>
      <c r="AB906" s="57"/>
      <c r="AC906" s="57"/>
      <c r="AD906" s="57"/>
    </row>
    <row r="907" spans="1:30" ht="15.75">
      <c r="A907" s="13">
        <v>68911</v>
      </c>
      <c r="B907" s="67">
        <f t="shared" si="139"/>
        <v>31</v>
      </c>
      <c r="C907" s="56">
        <f>194.205</f>
        <v>194.20500000000001</v>
      </c>
      <c r="D907" s="56">
        <f>267.466</f>
        <v>267.46600000000001</v>
      </c>
      <c r="E907" s="64">
        <f>133.845</f>
        <v>133.845</v>
      </c>
      <c r="F907" s="56">
        <f>278.484-40-25-60-100</f>
        <v>53.48399999999998</v>
      </c>
      <c r="G907" s="59">
        <v>40</v>
      </c>
      <c r="H907" s="56">
        <f t="shared" si="149"/>
        <v>185</v>
      </c>
      <c r="I907" s="56">
        <f t="shared" si="146"/>
        <v>0</v>
      </c>
      <c r="J907" s="59">
        <v>100</v>
      </c>
      <c r="K907" s="59">
        <v>300</v>
      </c>
      <c r="L907" s="56">
        <f t="shared" si="140"/>
        <v>1274</v>
      </c>
      <c r="M907" s="66">
        <v>600</v>
      </c>
      <c r="N907" s="56">
        <f>30</f>
        <v>30</v>
      </c>
      <c r="O907" s="59">
        <v>240</v>
      </c>
      <c r="P907" s="59">
        <v>40</v>
      </c>
      <c r="Q907" s="59">
        <f t="shared" si="141"/>
        <v>315</v>
      </c>
      <c r="R907" s="59">
        <f t="shared" si="142"/>
        <v>100</v>
      </c>
      <c r="S907" s="56">
        <f t="shared" si="143"/>
        <v>695</v>
      </c>
      <c r="T907" s="56">
        <f>0</f>
        <v>0</v>
      </c>
      <c r="U907" s="57"/>
      <c r="V907" s="57"/>
      <c r="W907" s="57"/>
      <c r="X907" s="57"/>
      <c r="Y907" s="57"/>
      <c r="Z907" s="57"/>
      <c r="AA907" s="57"/>
      <c r="AB907" s="57"/>
      <c r="AC907" s="57"/>
      <c r="AD907" s="57"/>
    </row>
    <row r="908" spans="1:30" ht="15.75">
      <c r="A908" s="13">
        <v>68941</v>
      </c>
      <c r="B908" s="67">
        <f t="shared" ref="B908:B971" si="150">EOMONTH(A908,0)-EOMONTH(A908,-1)</f>
        <v>30</v>
      </c>
      <c r="C908" s="56">
        <f>194.205</f>
        <v>194.20500000000001</v>
      </c>
      <c r="D908" s="56">
        <f>267.466</f>
        <v>267.46600000000001</v>
      </c>
      <c r="E908" s="64">
        <f>133.845</f>
        <v>133.845</v>
      </c>
      <c r="F908" s="56">
        <f>278.484-40-25-60-100</f>
        <v>53.48399999999998</v>
      </c>
      <c r="G908" s="59">
        <v>40</v>
      </c>
      <c r="H908" s="56">
        <f t="shared" si="149"/>
        <v>185</v>
      </c>
      <c r="I908" s="56">
        <f t="shared" si="146"/>
        <v>0</v>
      </c>
      <c r="J908" s="59">
        <v>100</v>
      </c>
      <c r="K908" s="59">
        <v>300</v>
      </c>
      <c r="L908" s="56">
        <f t="shared" si="140"/>
        <v>1274</v>
      </c>
      <c r="M908" s="66">
        <v>600</v>
      </c>
      <c r="N908" s="56">
        <f>30</f>
        <v>30</v>
      </c>
      <c r="O908" s="59">
        <v>240</v>
      </c>
      <c r="P908" s="59">
        <v>40</v>
      </c>
      <c r="Q908" s="59">
        <f t="shared" si="141"/>
        <v>315</v>
      </c>
      <c r="R908" s="59">
        <f t="shared" si="142"/>
        <v>100</v>
      </c>
      <c r="S908" s="56">
        <f t="shared" si="143"/>
        <v>695</v>
      </c>
      <c r="T908" s="56">
        <f>0</f>
        <v>0</v>
      </c>
      <c r="U908" s="57"/>
      <c r="V908" s="57"/>
      <c r="W908" s="57"/>
      <c r="X908" s="57"/>
      <c r="Y908" s="57"/>
      <c r="Z908" s="57"/>
      <c r="AA908" s="57"/>
      <c r="AB908" s="57"/>
      <c r="AC908" s="57"/>
      <c r="AD908" s="57"/>
    </row>
    <row r="909" spans="1:30" ht="15.75">
      <c r="A909" s="13">
        <v>68972</v>
      </c>
      <c r="B909" s="67">
        <f t="shared" si="150"/>
        <v>31</v>
      </c>
      <c r="C909" s="56">
        <f>131.881</f>
        <v>131.881</v>
      </c>
      <c r="D909" s="56">
        <f>277.167</f>
        <v>277.16699999999997</v>
      </c>
      <c r="E909" s="64">
        <f>79.08</f>
        <v>79.08</v>
      </c>
      <c r="F909" s="56">
        <f>350.872-40-25-60-100</f>
        <v>125.87200000000001</v>
      </c>
      <c r="G909" s="59">
        <v>40</v>
      </c>
      <c r="H909" s="56">
        <f t="shared" si="149"/>
        <v>185</v>
      </c>
      <c r="I909" s="56">
        <f t="shared" si="146"/>
        <v>0</v>
      </c>
      <c r="J909" s="59">
        <v>100</v>
      </c>
      <c r="K909" s="59">
        <v>300</v>
      </c>
      <c r="L909" s="56">
        <f t="shared" si="140"/>
        <v>1239</v>
      </c>
      <c r="M909" s="66">
        <v>600</v>
      </c>
      <c r="N909" s="56">
        <f>75</f>
        <v>75</v>
      </c>
      <c r="O909" s="59">
        <v>240</v>
      </c>
      <c r="P909" s="59">
        <v>40</v>
      </c>
      <c r="Q909" s="59">
        <f t="shared" si="141"/>
        <v>315</v>
      </c>
      <c r="R909" s="59">
        <f t="shared" si="142"/>
        <v>100</v>
      </c>
      <c r="S909" s="56">
        <f t="shared" si="143"/>
        <v>695</v>
      </c>
      <c r="T909" s="56">
        <f>0</f>
        <v>0</v>
      </c>
      <c r="U909" s="57"/>
      <c r="V909" s="57"/>
      <c r="W909" s="57"/>
      <c r="X909" s="57"/>
      <c r="Y909" s="57"/>
      <c r="Z909" s="57"/>
      <c r="AA909" s="57"/>
      <c r="AB909" s="57"/>
      <c r="AC909" s="57"/>
      <c r="AD909" s="57"/>
    </row>
    <row r="910" spans="1:30" ht="15.75">
      <c r="A910" s="13">
        <v>69002</v>
      </c>
      <c r="B910" s="67">
        <f t="shared" si="150"/>
        <v>30</v>
      </c>
      <c r="C910" s="56">
        <f>122.58</f>
        <v>122.58</v>
      </c>
      <c r="D910" s="56">
        <f>297.941</f>
        <v>297.94099999999997</v>
      </c>
      <c r="E910" s="64">
        <f>89.177</f>
        <v>89.177000000000007</v>
      </c>
      <c r="F910" s="56">
        <f>240.302-40-60-100</f>
        <v>40.301999999999992</v>
      </c>
      <c r="G910" s="59">
        <v>40</v>
      </c>
      <c r="H910" s="56">
        <f>60+100</f>
        <v>160</v>
      </c>
      <c r="I910" s="56">
        <f t="shared" si="146"/>
        <v>0</v>
      </c>
      <c r="J910" s="59">
        <v>100</v>
      </c>
      <c r="K910" s="59">
        <v>300</v>
      </c>
      <c r="L910" s="56">
        <f t="shared" si="140"/>
        <v>1150</v>
      </c>
      <c r="M910" s="66">
        <v>600</v>
      </c>
      <c r="N910" s="56">
        <f>100</f>
        <v>100</v>
      </c>
      <c r="O910" s="59">
        <v>240</v>
      </c>
      <c r="P910" s="59">
        <v>40</v>
      </c>
      <c r="Q910" s="59">
        <f t="shared" si="141"/>
        <v>315</v>
      </c>
      <c r="R910" s="59">
        <f t="shared" si="142"/>
        <v>100</v>
      </c>
      <c r="S910" s="56">
        <f t="shared" si="143"/>
        <v>695</v>
      </c>
      <c r="T910" s="56">
        <f>50</f>
        <v>50</v>
      </c>
      <c r="U910" s="57"/>
      <c r="V910" s="57"/>
      <c r="W910" s="57"/>
      <c r="X910" s="57"/>
      <c r="Y910" s="57"/>
      <c r="Z910" s="57"/>
      <c r="AA910" s="57"/>
      <c r="AB910" s="57"/>
      <c r="AC910" s="57"/>
      <c r="AD910" s="57"/>
    </row>
    <row r="911" spans="1:30" ht="15.75">
      <c r="A911" s="13">
        <v>69033</v>
      </c>
      <c r="B911" s="67">
        <f t="shared" si="150"/>
        <v>31</v>
      </c>
      <c r="C911" s="56">
        <f>122.58</f>
        <v>122.58</v>
      </c>
      <c r="D911" s="56">
        <f>297.941</f>
        <v>297.94099999999997</v>
      </c>
      <c r="E911" s="64">
        <f>89.177</f>
        <v>89.177000000000007</v>
      </c>
      <c r="F911" s="56">
        <f>240.302-40-60-100</f>
        <v>40.301999999999992</v>
      </c>
      <c r="G911" s="59">
        <v>40</v>
      </c>
      <c r="H911" s="56">
        <f>60+100</f>
        <v>160</v>
      </c>
      <c r="I911" s="56">
        <f t="shared" si="146"/>
        <v>0</v>
      </c>
      <c r="J911" s="59">
        <v>100</v>
      </c>
      <c r="K911" s="59">
        <v>300</v>
      </c>
      <c r="L911" s="56">
        <f t="shared" si="140"/>
        <v>1150</v>
      </c>
      <c r="M911" s="66">
        <v>600</v>
      </c>
      <c r="N911" s="56">
        <f>100</f>
        <v>100</v>
      </c>
      <c r="O911" s="59">
        <v>240</v>
      </c>
      <c r="P911" s="59">
        <v>40</v>
      </c>
      <c r="Q911" s="59">
        <f t="shared" si="141"/>
        <v>315</v>
      </c>
      <c r="R911" s="59">
        <f t="shared" si="142"/>
        <v>100</v>
      </c>
      <c r="S911" s="56">
        <f t="shared" si="143"/>
        <v>695</v>
      </c>
      <c r="T911" s="56">
        <f>50</f>
        <v>50</v>
      </c>
      <c r="U911" s="57"/>
      <c r="V911" s="57"/>
      <c r="W911" s="57"/>
      <c r="X911" s="57"/>
      <c r="Y911" s="57"/>
      <c r="Z911" s="57"/>
      <c r="AA911" s="57"/>
      <c r="AB911" s="57"/>
      <c r="AC911" s="57"/>
      <c r="AD911" s="57"/>
    </row>
    <row r="912" spans="1:30" ht="15.75">
      <c r="A912" s="13">
        <v>69064</v>
      </c>
      <c r="B912" s="67">
        <f t="shared" si="150"/>
        <v>31</v>
      </c>
      <c r="C912" s="56">
        <f>122.58</f>
        <v>122.58</v>
      </c>
      <c r="D912" s="56">
        <f>297.941</f>
        <v>297.94099999999997</v>
      </c>
      <c r="E912" s="64">
        <f>89.177</f>
        <v>89.177000000000007</v>
      </c>
      <c r="F912" s="56">
        <f>240.302-40-60-100</f>
        <v>40.301999999999992</v>
      </c>
      <c r="G912" s="59">
        <v>40</v>
      </c>
      <c r="H912" s="56">
        <f>60+100</f>
        <v>160</v>
      </c>
      <c r="I912" s="56">
        <f t="shared" si="146"/>
        <v>0</v>
      </c>
      <c r="J912" s="59">
        <v>100</v>
      </c>
      <c r="K912" s="59">
        <v>300</v>
      </c>
      <c r="L912" s="56">
        <f t="shared" si="140"/>
        <v>1150</v>
      </c>
      <c r="M912" s="66">
        <v>600</v>
      </c>
      <c r="N912" s="56">
        <f>100</f>
        <v>100</v>
      </c>
      <c r="O912" s="59">
        <v>240</v>
      </c>
      <c r="P912" s="59">
        <v>40</v>
      </c>
      <c r="Q912" s="59">
        <f t="shared" si="141"/>
        <v>315</v>
      </c>
      <c r="R912" s="59">
        <f t="shared" si="142"/>
        <v>100</v>
      </c>
      <c r="S912" s="56">
        <f t="shared" si="143"/>
        <v>695</v>
      </c>
      <c r="T912" s="56">
        <f>50</f>
        <v>50</v>
      </c>
      <c r="U912" s="57"/>
      <c r="V912" s="57"/>
      <c r="W912" s="57"/>
      <c r="X912" s="57"/>
      <c r="Y912" s="57"/>
      <c r="Z912" s="57"/>
      <c r="AA912" s="57"/>
      <c r="AB912" s="57"/>
      <c r="AC912" s="57"/>
      <c r="AD912" s="57"/>
    </row>
    <row r="913" spans="1:30" ht="15.75">
      <c r="A913" s="13">
        <v>69092</v>
      </c>
      <c r="B913" s="67">
        <f t="shared" si="150"/>
        <v>28</v>
      </c>
      <c r="C913" s="56">
        <f>122.58</f>
        <v>122.58</v>
      </c>
      <c r="D913" s="56">
        <f>297.941</f>
        <v>297.94099999999997</v>
      </c>
      <c r="E913" s="64">
        <f>89.177</f>
        <v>89.177000000000007</v>
      </c>
      <c r="F913" s="56">
        <f>240.302-40-60-100</f>
        <v>40.301999999999992</v>
      </c>
      <c r="G913" s="59">
        <v>40</v>
      </c>
      <c r="H913" s="56">
        <f>60+100</f>
        <v>160</v>
      </c>
      <c r="I913" s="56">
        <f t="shared" si="146"/>
        <v>0</v>
      </c>
      <c r="J913" s="59">
        <v>100</v>
      </c>
      <c r="K913" s="59">
        <v>300</v>
      </c>
      <c r="L913" s="56">
        <f t="shared" ref="L913:L976" si="151">SUM(C913:K913)</f>
        <v>1150</v>
      </c>
      <c r="M913" s="66">
        <v>600</v>
      </c>
      <c r="N913" s="56">
        <f>100</f>
        <v>100</v>
      </c>
      <c r="O913" s="59">
        <v>240</v>
      </c>
      <c r="P913" s="59">
        <v>40</v>
      </c>
      <c r="Q913" s="59">
        <f t="shared" ref="Q913:Q976" si="152">695-R913-O913-P913</f>
        <v>315</v>
      </c>
      <c r="R913" s="59">
        <f t="shared" ref="R913:R976" si="153">200-J913</f>
        <v>100</v>
      </c>
      <c r="S913" s="56">
        <f t="shared" ref="S913:S976" si="154">SUM(O913:R913)</f>
        <v>695</v>
      </c>
      <c r="T913" s="56">
        <f>50</f>
        <v>50</v>
      </c>
      <c r="U913" s="57"/>
      <c r="V913" s="57"/>
      <c r="W913" s="57"/>
      <c r="X913" s="57"/>
      <c r="Y913" s="57"/>
      <c r="Z913" s="57"/>
      <c r="AA913" s="57"/>
      <c r="AB913" s="57"/>
      <c r="AC913" s="57"/>
      <c r="AD913" s="57"/>
    </row>
    <row r="914" spans="1:30" ht="15.75">
      <c r="A914" s="13">
        <v>69123</v>
      </c>
      <c r="B914" s="67">
        <f t="shared" si="150"/>
        <v>31</v>
      </c>
      <c r="C914" s="56">
        <f>122.58</f>
        <v>122.58</v>
      </c>
      <c r="D914" s="56">
        <f>297.941</f>
        <v>297.94099999999997</v>
      </c>
      <c r="E914" s="64">
        <f>89.177</f>
        <v>89.177000000000007</v>
      </c>
      <c r="F914" s="56">
        <f>240.302-40-60-100</f>
        <v>40.301999999999992</v>
      </c>
      <c r="G914" s="59">
        <v>40</v>
      </c>
      <c r="H914" s="56">
        <f>60+100</f>
        <v>160</v>
      </c>
      <c r="I914" s="56">
        <f t="shared" si="146"/>
        <v>0</v>
      </c>
      <c r="J914" s="59">
        <v>100</v>
      </c>
      <c r="K914" s="59">
        <v>300</v>
      </c>
      <c r="L914" s="56">
        <f t="shared" si="151"/>
        <v>1150</v>
      </c>
      <c r="M914" s="66">
        <v>600</v>
      </c>
      <c r="N914" s="56">
        <f>100</f>
        <v>100</v>
      </c>
      <c r="O914" s="59">
        <v>240</v>
      </c>
      <c r="P914" s="59">
        <v>40</v>
      </c>
      <c r="Q914" s="59">
        <f t="shared" si="152"/>
        <v>315</v>
      </c>
      <c r="R914" s="59">
        <f t="shared" si="153"/>
        <v>100</v>
      </c>
      <c r="S914" s="56">
        <f t="shared" si="154"/>
        <v>695</v>
      </c>
      <c r="T914" s="56">
        <f>50</f>
        <v>50</v>
      </c>
      <c r="U914" s="57"/>
      <c r="V914" s="57"/>
      <c r="W914" s="57"/>
      <c r="X914" s="57"/>
      <c r="Y914" s="57"/>
      <c r="Z914" s="57"/>
      <c r="AA914" s="57"/>
      <c r="AB914" s="57"/>
      <c r="AC914" s="57"/>
      <c r="AD914" s="57"/>
    </row>
    <row r="915" spans="1:30" ht="15.75">
      <c r="A915" s="13">
        <v>69153</v>
      </c>
      <c r="B915" s="67">
        <f t="shared" si="150"/>
        <v>30</v>
      </c>
      <c r="C915" s="56">
        <f>141.293</f>
        <v>141.29300000000001</v>
      </c>
      <c r="D915" s="56">
        <f>267.993</f>
        <v>267.99299999999999</v>
      </c>
      <c r="E915" s="64">
        <f>115.016</f>
        <v>115.01600000000001</v>
      </c>
      <c r="F915" s="56">
        <f>314.698-40-25-60-100</f>
        <v>89.697999999999979</v>
      </c>
      <c r="G915" s="59">
        <v>40</v>
      </c>
      <c r="H915" s="56">
        <f t="shared" ref="H915:H921" si="155">25+60+100</f>
        <v>185</v>
      </c>
      <c r="I915" s="56">
        <f t="shared" si="146"/>
        <v>0</v>
      </c>
      <c r="J915" s="59">
        <v>100</v>
      </c>
      <c r="K915" s="59">
        <v>300</v>
      </c>
      <c r="L915" s="56">
        <f t="shared" si="151"/>
        <v>1239</v>
      </c>
      <c r="M915" s="66">
        <v>600</v>
      </c>
      <c r="N915" s="56">
        <f>100</f>
        <v>100</v>
      </c>
      <c r="O915" s="59">
        <v>240</v>
      </c>
      <c r="P915" s="59">
        <v>40</v>
      </c>
      <c r="Q915" s="59">
        <f t="shared" si="152"/>
        <v>315</v>
      </c>
      <c r="R915" s="59">
        <f t="shared" si="153"/>
        <v>100</v>
      </c>
      <c r="S915" s="56">
        <f t="shared" si="154"/>
        <v>695</v>
      </c>
      <c r="T915" s="56">
        <f>50</f>
        <v>50</v>
      </c>
      <c r="U915" s="57"/>
      <c r="V915" s="57"/>
      <c r="W915" s="57"/>
      <c r="X915" s="57"/>
      <c r="Y915" s="57"/>
      <c r="Z915" s="57"/>
      <c r="AA915" s="57"/>
      <c r="AB915" s="57"/>
      <c r="AC915" s="57"/>
      <c r="AD915" s="57"/>
    </row>
    <row r="916" spans="1:30" ht="15.75">
      <c r="A916" s="13">
        <v>69184</v>
      </c>
      <c r="B916" s="67">
        <f t="shared" si="150"/>
        <v>31</v>
      </c>
      <c r="C916" s="56">
        <f>194.205</f>
        <v>194.20500000000001</v>
      </c>
      <c r="D916" s="56">
        <f>267.466</f>
        <v>267.46600000000001</v>
      </c>
      <c r="E916" s="64">
        <f>133.845</f>
        <v>133.845</v>
      </c>
      <c r="F916" s="56">
        <f>278.484-40-25-60-100</f>
        <v>53.48399999999998</v>
      </c>
      <c r="G916" s="59">
        <v>40</v>
      </c>
      <c r="H916" s="56">
        <f t="shared" si="155"/>
        <v>185</v>
      </c>
      <c r="I916" s="56">
        <f t="shared" si="146"/>
        <v>0</v>
      </c>
      <c r="J916" s="59">
        <v>100</v>
      </c>
      <c r="K916" s="59">
        <v>300</v>
      </c>
      <c r="L916" s="56">
        <f t="shared" si="151"/>
        <v>1274</v>
      </c>
      <c r="M916" s="66">
        <v>600</v>
      </c>
      <c r="N916" s="56">
        <f>75</f>
        <v>75</v>
      </c>
      <c r="O916" s="59">
        <v>240</v>
      </c>
      <c r="P916" s="59">
        <v>40</v>
      </c>
      <c r="Q916" s="59">
        <f t="shared" si="152"/>
        <v>315</v>
      </c>
      <c r="R916" s="59">
        <f t="shared" si="153"/>
        <v>100</v>
      </c>
      <c r="S916" s="56">
        <f t="shared" si="154"/>
        <v>695</v>
      </c>
      <c r="T916" s="56">
        <f>50</f>
        <v>50</v>
      </c>
      <c r="U916" s="57"/>
      <c r="V916" s="57"/>
      <c r="W916" s="57"/>
      <c r="X916" s="57"/>
      <c r="Y916" s="57"/>
      <c r="Z916" s="57"/>
      <c r="AA916" s="57"/>
      <c r="AB916" s="57"/>
      <c r="AC916" s="57"/>
      <c r="AD916" s="57"/>
    </row>
    <row r="917" spans="1:30" ht="15.75">
      <c r="A917" s="13">
        <v>69214</v>
      </c>
      <c r="B917" s="67">
        <f t="shared" si="150"/>
        <v>30</v>
      </c>
      <c r="C917" s="56">
        <f>194.205</f>
        <v>194.20500000000001</v>
      </c>
      <c r="D917" s="56">
        <f>267.466</f>
        <v>267.46600000000001</v>
      </c>
      <c r="E917" s="64">
        <f>133.845</f>
        <v>133.845</v>
      </c>
      <c r="F917" s="56">
        <f>278.484-40-25-60-100</f>
        <v>53.48399999999998</v>
      </c>
      <c r="G917" s="59">
        <v>40</v>
      </c>
      <c r="H917" s="56">
        <f t="shared" si="155"/>
        <v>185</v>
      </c>
      <c r="I917" s="56">
        <f t="shared" si="146"/>
        <v>0</v>
      </c>
      <c r="J917" s="59">
        <v>100</v>
      </c>
      <c r="K917" s="59">
        <v>300</v>
      </c>
      <c r="L917" s="56">
        <f t="shared" si="151"/>
        <v>1274</v>
      </c>
      <c r="M917" s="66">
        <v>600</v>
      </c>
      <c r="N917" s="56">
        <f>30</f>
        <v>30</v>
      </c>
      <c r="O917" s="59">
        <v>240</v>
      </c>
      <c r="P917" s="59">
        <v>40</v>
      </c>
      <c r="Q917" s="59">
        <f t="shared" si="152"/>
        <v>315</v>
      </c>
      <c r="R917" s="59">
        <f t="shared" si="153"/>
        <v>100</v>
      </c>
      <c r="S917" s="56">
        <f t="shared" si="154"/>
        <v>695</v>
      </c>
      <c r="T917" s="56">
        <f>50</f>
        <v>50</v>
      </c>
      <c r="U917" s="57"/>
      <c r="V917" s="57"/>
      <c r="W917" s="57"/>
      <c r="X917" s="57"/>
      <c r="Y917" s="57"/>
      <c r="Z917" s="57"/>
      <c r="AA917" s="57"/>
      <c r="AB917" s="57"/>
      <c r="AC917" s="57"/>
      <c r="AD917" s="57"/>
    </row>
    <row r="918" spans="1:30" ht="15.75">
      <c r="A918" s="13">
        <v>69245</v>
      </c>
      <c r="B918" s="67">
        <f t="shared" si="150"/>
        <v>31</v>
      </c>
      <c r="C918" s="56">
        <f>194.205</f>
        <v>194.20500000000001</v>
      </c>
      <c r="D918" s="56">
        <f>267.466</f>
        <v>267.46600000000001</v>
      </c>
      <c r="E918" s="64">
        <f>133.845</f>
        <v>133.845</v>
      </c>
      <c r="F918" s="56">
        <f>278.484-40-25-60-100</f>
        <v>53.48399999999998</v>
      </c>
      <c r="G918" s="59">
        <v>40</v>
      </c>
      <c r="H918" s="56">
        <f t="shared" si="155"/>
        <v>185</v>
      </c>
      <c r="I918" s="56">
        <f t="shared" si="146"/>
        <v>0</v>
      </c>
      <c r="J918" s="59">
        <v>100</v>
      </c>
      <c r="K918" s="59">
        <v>300</v>
      </c>
      <c r="L918" s="56">
        <f t="shared" si="151"/>
        <v>1274</v>
      </c>
      <c r="M918" s="66">
        <v>600</v>
      </c>
      <c r="N918" s="56">
        <f>30</f>
        <v>30</v>
      </c>
      <c r="O918" s="59">
        <v>240</v>
      </c>
      <c r="P918" s="59">
        <v>40</v>
      </c>
      <c r="Q918" s="59">
        <f t="shared" si="152"/>
        <v>315</v>
      </c>
      <c r="R918" s="59">
        <f t="shared" si="153"/>
        <v>100</v>
      </c>
      <c r="S918" s="56">
        <f t="shared" si="154"/>
        <v>695</v>
      </c>
      <c r="T918" s="56">
        <f>0</f>
        <v>0</v>
      </c>
      <c r="U918" s="57"/>
      <c r="V918" s="57"/>
      <c r="W918" s="57"/>
      <c r="X918" s="57"/>
      <c r="Y918" s="57"/>
      <c r="Z918" s="57"/>
      <c r="AA918" s="57"/>
      <c r="AB918" s="57"/>
      <c r="AC918" s="57"/>
      <c r="AD918" s="57"/>
    </row>
    <row r="919" spans="1:30" ht="15.75">
      <c r="A919" s="13">
        <v>69276</v>
      </c>
      <c r="B919" s="67">
        <f t="shared" si="150"/>
        <v>31</v>
      </c>
      <c r="C919" s="56">
        <f>194.205</f>
        <v>194.20500000000001</v>
      </c>
      <c r="D919" s="56">
        <f>267.466</f>
        <v>267.46600000000001</v>
      </c>
      <c r="E919" s="64">
        <f>133.845</f>
        <v>133.845</v>
      </c>
      <c r="F919" s="56">
        <f>278.484-40-25-60-100</f>
        <v>53.48399999999998</v>
      </c>
      <c r="G919" s="59">
        <v>40</v>
      </c>
      <c r="H919" s="56">
        <f t="shared" si="155"/>
        <v>185</v>
      </c>
      <c r="I919" s="56">
        <f t="shared" si="146"/>
        <v>0</v>
      </c>
      <c r="J919" s="59">
        <v>100</v>
      </c>
      <c r="K919" s="59">
        <v>300</v>
      </c>
      <c r="L919" s="56">
        <f t="shared" si="151"/>
        <v>1274</v>
      </c>
      <c r="M919" s="66">
        <v>600</v>
      </c>
      <c r="N919" s="56">
        <f>30</f>
        <v>30</v>
      </c>
      <c r="O919" s="59">
        <v>240</v>
      </c>
      <c r="P919" s="59">
        <v>40</v>
      </c>
      <c r="Q919" s="59">
        <f t="shared" si="152"/>
        <v>315</v>
      </c>
      <c r="R919" s="59">
        <f t="shared" si="153"/>
        <v>100</v>
      </c>
      <c r="S919" s="56">
        <f t="shared" si="154"/>
        <v>695</v>
      </c>
      <c r="T919" s="56">
        <f>0</f>
        <v>0</v>
      </c>
      <c r="U919" s="57"/>
      <c r="V919" s="57"/>
      <c r="W919" s="57"/>
      <c r="X919" s="57"/>
      <c r="Y919" s="57"/>
      <c r="Z919" s="57"/>
      <c r="AA919" s="57"/>
      <c r="AB919" s="57"/>
      <c r="AC919" s="57"/>
      <c r="AD919" s="57"/>
    </row>
    <row r="920" spans="1:30" ht="15.75">
      <c r="A920" s="13">
        <v>69306</v>
      </c>
      <c r="B920" s="67">
        <f t="shared" si="150"/>
        <v>30</v>
      </c>
      <c r="C920" s="56">
        <f>194.205</f>
        <v>194.20500000000001</v>
      </c>
      <c r="D920" s="56">
        <f>267.466</f>
        <v>267.46600000000001</v>
      </c>
      <c r="E920" s="64">
        <f>133.845</f>
        <v>133.845</v>
      </c>
      <c r="F920" s="56">
        <f>278.484-40-25-60-100</f>
        <v>53.48399999999998</v>
      </c>
      <c r="G920" s="59">
        <v>40</v>
      </c>
      <c r="H920" s="56">
        <f t="shared" si="155"/>
        <v>185</v>
      </c>
      <c r="I920" s="56">
        <f t="shared" si="146"/>
        <v>0</v>
      </c>
      <c r="J920" s="59">
        <v>100</v>
      </c>
      <c r="K920" s="59">
        <v>300</v>
      </c>
      <c r="L920" s="56">
        <f t="shared" si="151"/>
        <v>1274</v>
      </c>
      <c r="M920" s="66">
        <v>600</v>
      </c>
      <c r="N920" s="56">
        <f>30</f>
        <v>30</v>
      </c>
      <c r="O920" s="59">
        <v>240</v>
      </c>
      <c r="P920" s="59">
        <v>40</v>
      </c>
      <c r="Q920" s="59">
        <f t="shared" si="152"/>
        <v>315</v>
      </c>
      <c r="R920" s="59">
        <f t="shared" si="153"/>
        <v>100</v>
      </c>
      <c r="S920" s="56">
        <f t="shared" si="154"/>
        <v>695</v>
      </c>
      <c r="T920" s="56">
        <f>0</f>
        <v>0</v>
      </c>
      <c r="U920" s="57"/>
      <c r="V920" s="57"/>
      <c r="W920" s="57"/>
      <c r="X920" s="57"/>
      <c r="Y920" s="57"/>
      <c r="Z920" s="57"/>
      <c r="AA920" s="57"/>
      <c r="AB920" s="57"/>
      <c r="AC920" s="57"/>
      <c r="AD920" s="57"/>
    </row>
    <row r="921" spans="1:30" ht="15.75">
      <c r="A921" s="13">
        <v>69337</v>
      </c>
      <c r="B921" s="67">
        <f t="shared" si="150"/>
        <v>31</v>
      </c>
      <c r="C921" s="56">
        <f>131.881</f>
        <v>131.881</v>
      </c>
      <c r="D921" s="56">
        <f>277.167</f>
        <v>277.16699999999997</v>
      </c>
      <c r="E921" s="64">
        <f>79.08</f>
        <v>79.08</v>
      </c>
      <c r="F921" s="56">
        <f>350.872-40-25-60-100</f>
        <v>125.87200000000001</v>
      </c>
      <c r="G921" s="59">
        <v>40</v>
      </c>
      <c r="H921" s="56">
        <f t="shared" si="155"/>
        <v>185</v>
      </c>
      <c r="I921" s="56">
        <f t="shared" si="146"/>
        <v>0</v>
      </c>
      <c r="J921" s="59">
        <v>100</v>
      </c>
      <c r="K921" s="59">
        <v>300</v>
      </c>
      <c r="L921" s="56">
        <f t="shared" si="151"/>
        <v>1239</v>
      </c>
      <c r="M921" s="66">
        <v>600</v>
      </c>
      <c r="N921" s="56">
        <f>75</f>
        <v>75</v>
      </c>
      <c r="O921" s="59">
        <v>240</v>
      </c>
      <c r="P921" s="59">
        <v>40</v>
      </c>
      <c r="Q921" s="59">
        <f t="shared" si="152"/>
        <v>315</v>
      </c>
      <c r="R921" s="59">
        <f t="shared" si="153"/>
        <v>100</v>
      </c>
      <c r="S921" s="56">
        <f t="shared" si="154"/>
        <v>695</v>
      </c>
      <c r="T921" s="56">
        <f>0</f>
        <v>0</v>
      </c>
      <c r="U921" s="57"/>
      <c r="V921" s="57"/>
      <c r="W921" s="57"/>
      <c r="X921" s="57"/>
      <c r="Y921" s="57"/>
      <c r="Z921" s="57"/>
      <c r="AA921" s="57"/>
      <c r="AB921" s="57"/>
      <c r="AC921" s="57"/>
      <c r="AD921" s="57"/>
    </row>
    <row r="922" spans="1:30" ht="15.75">
      <c r="A922" s="13">
        <v>69367</v>
      </c>
      <c r="B922" s="67">
        <f t="shared" si="150"/>
        <v>30</v>
      </c>
      <c r="C922" s="56">
        <f>122.58</f>
        <v>122.58</v>
      </c>
      <c r="D922" s="56">
        <f>297.941</f>
        <v>297.94099999999997</v>
      </c>
      <c r="E922" s="64">
        <f>89.177</f>
        <v>89.177000000000007</v>
      </c>
      <c r="F922" s="56">
        <f>240.302-40-60-100</f>
        <v>40.301999999999992</v>
      </c>
      <c r="G922" s="59">
        <v>40</v>
      </c>
      <c r="H922" s="56">
        <f>60+100</f>
        <v>160</v>
      </c>
      <c r="I922" s="56">
        <f t="shared" si="146"/>
        <v>0</v>
      </c>
      <c r="J922" s="59">
        <v>100</v>
      </c>
      <c r="K922" s="59">
        <v>300</v>
      </c>
      <c r="L922" s="56">
        <f t="shared" si="151"/>
        <v>1150</v>
      </c>
      <c r="M922" s="66">
        <v>600</v>
      </c>
      <c r="N922" s="56">
        <f>100</f>
        <v>100</v>
      </c>
      <c r="O922" s="59">
        <v>240</v>
      </c>
      <c r="P922" s="59">
        <v>40</v>
      </c>
      <c r="Q922" s="59">
        <f t="shared" si="152"/>
        <v>315</v>
      </c>
      <c r="R922" s="59">
        <f t="shared" si="153"/>
        <v>100</v>
      </c>
      <c r="S922" s="56">
        <f t="shared" si="154"/>
        <v>695</v>
      </c>
      <c r="T922" s="56">
        <f>50</f>
        <v>50</v>
      </c>
      <c r="U922" s="57"/>
      <c r="V922" s="57"/>
      <c r="W922" s="57"/>
      <c r="X922" s="57"/>
      <c r="Y922" s="57"/>
      <c r="Z922" s="57"/>
      <c r="AA922" s="57"/>
      <c r="AB922" s="57"/>
      <c r="AC922" s="57"/>
      <c r="AD922" s="57"/>
    </row>
    <row r="923" spans="1:30" ht="15.75">
      <c r="A923" s="13">
        <v>69398</v>
      </c>
      <c r="B923" s="67">
        <f t="shared" si="150"/>
        <v>31</v>
      </c>
      <c r="C923" s="56">
        <f>122.58</f>
        <v>122.58</v>
      </c>
      <c r="D923" s="56">
        <f>297.941</f>
        <v>297.94099999999997</v>
      </c>
      <c r="E923" s="64">
        <f>89.177</f>
        <v>89.177000000000007</v>
      </c>
      <c r="F923" s="56">
        <f>240.302-40-60-100</f>
        <v>40.301999999999992</v>
      </c>
      <c r="G923" s="59">
        <v>40</v>
      </c>
      <c r="H923" s="56">
        <f>60+100</f>
        <v>160</v>
      </c>
      <c r="I923" s="56">
        <f t="shared" si="146"/>
        <v>0</v>
      </c>
      <c r="J923" s="59">
        <v>100</v>
      </c>
      <c r="K923" s="59">
        <v>300</v>
      </c>
      <c r="L923" s="56">
        <f t="shared" si="151"/>
        <v>1150</v>
      </c>
      <c r="M923" s="66">
        <v>600</v>
      </c>
      <c r="N923" s="56">
        <f>100</f>
        <v>100</v>
      </c>
      <c r="O923" s="59">
        <v>240</v>
      </c>
      <c r="P923" s="59">
        <v>40</v>
      </c>
      <c r="Q923" s="59">
        <f t="shared" si="152"/>
        <v>315</v>
      </c>
      <c r="R923" s="59">
        <f t="shared" si="153"/>
        <v>100</v>
      </c>
      <c r="S923" s="56">
        <f t="shared" si="154"/>
        <v>695</v>
      </c>
      <c r="T923" s="56">
        <f>50</f>
        <v>50</v>
      </c>
      <c r="U923" s="57"/>
      <c r="V923" s="57"/>
      <c r="W923" s="57"/>
      <c r="X923" s="57"/>
      <c r="Y923" s="57"/>
      <c r="Z923" s="57"/>
      <c r="AA923" s="57"/>
      <c r="AB923" s="57"/>
      <c r="AC923" s="57"/>
      <c r="AD923" s="57"/>
    </row>
    <row r="924" spans="1:30" ht="15.75">
      <c r="A924" s="13">
        <v>69429</v>
      </c>
      <c r="B924" s="67">
        <f t="shared" si="150"/>
        <v>31</v>
      </c>
      <c r="C924" s="56">
        <f>122.58</f>
        <v>122.58</v>
      </c>
      <c r="D924" s="56">
        <f>297.941</f>
        <v>297.94099999999997</v>
      </c>
      <c r="E924" s="64">
        <f>89.177</f>
        <v>89.177000000000007</v>
      </c>
      <c r="F924" s="56">
        <f>240.302-40-60-100</f>
        <v>40.301999999999992</v>
      </c>
      <c r="G924" s="59">
        <v>40</v>
      </c>
      <c r="H924" s="56">
        <f>60+100</f>
        <v>160</v>
      </c>
      <c r="I924" s="56">
        <f t="shared" si="146"/>
        <v>0</v>
      </c>
      <c r="J924" s="59">
        <v>100</v>
      </c>
      <c r="K924" s="59">
        <v>300</v>
      </c>
      <c r="L924" s="56">
        <f t="shared" si="151"/>
        <v>1150</v>
      </c>
      <c r="M924" s="66">
        <v>600</v>
      </c>
      <c r="N924" s="56">
        <f>100</f>
        <v>100</v>
      </c>
      <c r="O924" s="59">
        <v>240</v>
      </c>
      <c r="P924" s="59">
        <v>40</v>
      </c>
      <c r="Q924" s="59">
        <f t="shared" si="152"/>
        <v>315</v>
      </c>
      <c r="R924" s="59">
        <f t="shared" si="153"/>
        <v>100</v>
      </c>
      <c r="S924" s="56">
        <f t="shared" si="154"/>
        <v>695</v>
      </c>
      <c r="T924" s="56">
        <f>50</f>
        <v>50</v>
      </c>
      <c r="U924" s="57"/>
      <c r="V924" s="57"/>
      <c r="W924" s="57"/>
      <c r="X924" s="57"/>
      <c r="Y924" s="57"/>
      <c r="Z924" s="57"/>
      <c r="AA924" s="57"/>
      <c r="AB924" s="57"/>
      <c r="AC924" s="57"/>
      <c r="AD924" s="57"/>
    </row>
    <row r="925" spans="1:30" ht="15.75">
      <c r="A925" s="13">
        <v>69457</v>
      </c>
      <c r="B925" s="67">
        <f t="shared" si="150"/>
        <v>28</v>
      </c>
      <c r="C925" s="56">
        <f>122.58</f>
        <v>122.58</v>
      </c>
      <c r="D925" s="56">
        <f>297.941</f>
        <v>297.94099999999997</v>
      </c>
      <c r="E925" s="64">
        <f>89.177</f>
        <v>89.177000000000007</v>
      </c>
      <c r="F925" s="56">
        <f>240.302-40-60-100</f>
        <v>40.301999999999992</v>
      </c>
      <c r="G925" s="59">
        <v>40</v>
      </c>
      <c r="H925" s="56">
        <f>60+100</f>
        <v>160</v>
      </c>
      <c r="I925" s="56">
        <f t="shared" si="146"/>
        <v>0</v>
      </c>
      <c r="J925" s="59">
        <v>100</v>
      </c>
      <c r="K925" s="59">
        <v>300</v>
      </c>
      <c r="L925" s="56">
        <f t="shared" si="151"/>
        <v>1150</v>
      </c>
      <c r="M925" s="66">
        <v>600</v>
      </c>
      <c r="N925" s="56">
        <f>100</f>
        <v>100</v>
      </c>
      <c r="O925" s="59">
        <v>240</v>
      </c>
      <c r="P925" s="59">
        <v>40</v>
      </c>
      <c r="Q925" s="59">
        <f t="shared" si="152"/>
        <v>315</v>
      </c>
      <c r="R925" s="59">
        <f t="shared" si="153"/>
        <v>100</v>
      </c>
      <c r="S925" s="56">
        <f t="shared" si="154"/>
        <v>695</v>
      </c>
      <c r="T925" s="56">
        <f>50</f>
        <v>50</v>
      </c>
      <c r="U925" s="57"/>
      <c r="V925" s="57"/>
      <c r="W925" s="57"/>
      <c r="X925" s="57"/>
      <c r="Y925" s="57"/>
      <c r="Z925" s="57"/>
      <c r="AA925" s="57"/>
      <c r="AB925" s="57"/>
      <c r="AC925" s="57"/>
      <c r="AD925" s="57"/>
    </row>
    <row r="926" spans="1:30" ht="15.75">
      <c r="A926" s="13">
        <v>69488</v>
      </c>
      <c r="B926" s="67">
        <f t="shared" si="150"/>
        <v>31</v>
      </c>
      <c r="C926" s="56">
        <f>122.58</f>
        <v>122.58</v>
      </c>
      <c r="D926" s="56">
        <f>297.941</f>
        <v>297.94099999999997</v>
      </c>
      <c r="E926" s="64">
        <f>89.177</f>
        <v>89.177000000000007</v>
      </c>
      <c r="F926" s="56">
        <f>240.302-40-60-100</f>
        <v>40.301999999999992</v>
      </c>
      <c r="G926" s="59">
        <v>40</v>
      </c>
      <c r="H926" s="56">
        <f>60+100</f>
        <v>160</v>
      </c>
      <c r="I926" s="56">
        <f t="shared" si="146"/>
        <v>0</v>
      </c>
      <c r="J926" s="59">
        <v>100</v>
      </c>
      <c r="K926" s="59">
        <v>300</v>
      </c>
      <c r="L926" s="56">
        <f t="shared" si="151"/>
        <v>1150</v>
      </c>
      <c r="M926" s="66">
        <v>600</v>
      </c>
      <c r="N926" s="56">
        <f>100</f>
        <v>100</v>
      </c>
      <c r="O926" s="59">
        <v>240</v>
      </c>
      <c r="P926" s="59">
        <v>40</v>
      </c>
      <c r="Q926" s="59">
        <f t="shared" si="152"/>
        <v>315</v>
      </c>
      <c r="R926" s="59">
        <f t="shared" si="153"/>
        <v>100</v>
      </c>
      <c r="S926" s="56">
        <f t="shared" si="154"/>
        <v>695</v>
      </c>
      <c r="T926" s="56">
        <f>50</f>
        <v>50</v>
      </c>
      <c r="U926" s="57"/>
      <c r="V926" s="57"/>
      <c r="W926" s="57"/>
      <c r="X926" s="57"/>
      <c r="Y926" s="57"/>
      <c r="Z926" s="57"/>
      <c r="AA926" s="57"/>
      <c r="AB926" s="57"/>
      <c r="AC926" s="57"/>
      <c r="AD926" s="57"/>
    </row>
    <row r="927" spans="1:30" ht="15.75">
      <c r="A927" s="13">
        <v>69518</v>
      </c>
      <c r="B927" s="67">
        <f t="shared" si="150"/>
        <v>30</v>
      </c>
      <c r="C927" s="56">
        <f>141.293</f>
        <v>141.29300000000001</v>
      </c>
      <c r="D927" s="56">
        <f>267.993</f>
        <v>267.99299999999999</v>
      </c>
      <c r="E927" s="64">
        <f>115.016</f>
        <v>115.01600000000001</v>
      </c>
      <c r="F927" s="56">
        <f>314.698-40-25-60-100</f>
        <v>89.697999999999979</v>
      </c>
      <c r="G927" s="59">
        <v>40</v>
      </c>
      <c r="H927" s="56">
        <f t="shared" ref="H927:H933" si="156">25+60+100</f>
        <v>185</v>
      </c>
      <c r="I927" s="56">
        <f t="shared" si="146"/>
        <v>0</v>
      </c>
      <c r="J927" s="59">
        <v>100</v>
      </c>
      <c r="K927" s="59">
        <v>300</v>
      </c>
      <c r="L927" s="56">
        <f t="shared" si="151"/>
        <v>1239</v>
      </c>
      <c r="M927" s="66">
        <v>600</v>
      </c>
      <c r="N927" s="56">
        <f>100</f>
        <v>100</v>
      </c>
      <c r="O927" s="59">
        <v>240</v>
      </c>
      <c r="P927" s="59">
        <v>40</v>
      </c>
      <c r="Q927" s="59">
        <f t="shared" si="152"/>
        <v>315</v>
      </c>
      <c r="R927" s="59">
        <f t="shared" si="153"/>
        <v>100</v>
      </c>
      <c r="S927" s="56">
        <f t="shared" si="154"/>
        <v>695</v>
      </c>
      <c r="T927" s="56">
        <f>50</f>
        <v>50</v>
      </c>
      <c r="U927" s="57"/>
      <c r="V927" s="57"/>
      <c r="W927" s="57"/>
      <c r="X927" s="57"/>
      <c r="Y927" s="57"/>
      <c r="Z927" s="57"/>
      <c r="AA927" s="57"/>
      <c r="AB927" s="57"/>
      <c r="AC927" s="57"/>
      <c r="AD927" s="57"/>
    </row>
    <row r="928" spans="1:30" ht="15.75">
      <c r="A928" s="13">
        <v>69549</v>
      </c>
      <c r="B928" s="67">
        <f t="shared" si="150"/>
        <v>31</v>
      </c>
      <c r="C928" s="56">
        <f>194.205</f>
        <v>194.20500000000001</v>
      </c>
      <c r="D928" s="56">
        <f>267.466</f>
        <v>267.46600000000001</v>
      </c>
      <c r="E928" s="64">
        <f>133.845</f>
        <v>133.845</v>
      </c>
      <c r="F928" s="56">
        <f>278.484-40-25-60-100</f>
        <v>53.48399999999998</v>
      </c>
      <c r="G928" s="59">
        <v>40</v>
      </c>
      <c r="H928" s="56">
        <f t="shared" si="156"/>
        <v>185</v>
      </c>
      <c r="I928" s="56">
        <f t="shared" si="146"/>
        <v>0</v>
      </c>
      <c r="J928" s="59">
        <v>100</v>
      </c>
      <c r="K928" s="59">
        <v>300</v>
      </c>
      <c r="L928" s="56">
        <f t="shared" si="151"/>
        <v>1274</v>
      </c>
      <c r="M928" s="66">
        <v>600</v>
      </c>
      <c r="N928" s="56">
        <f>75</f>
        <v>75</v>
      </c>
      <c r="O928" s="59">
        <v>240</v>
      </c>
      <c r="P928" s="59">
        <v>40</v>
      </c>
      <c r="Q928" s="59">
        <f t="shared" si="152"/>
        <v>315</v>
      </c>
      <c r="R928" s="59">
        <f t="shared" si="153"/>
        <v>100</v>
      </c>
      <c r="S928" s="56">
        <f t="shared" si="154"/>
        <v>695</v>
      </c>
      <c r="T928" s="56">
        <f>50</f>
        <v>50</v>
      </c>
      <c r="U928" s="57"/>
      <c r="V928" s="57"/>
      <c r="W928" s="57"/>
      <c r="X928" s="57"/>
      <c r="Y928" s="57"/>
      <c r="Z928" s="57"/>
      <c r="AA928" s="57"/>
      <c r="AB928" s="57"/>
      <c r="AC928" s="57"/>
      <c r="AD928" s="57"/>
    </row>
    <row r="929" spans="1:30" ht="15.75">
      <c r="A929" s="13">
        <v>69579</v>
      </c>
      <c r="B929" s="67">
        <f t="shared" si="150"/>
        <v>30</v>
      </c>
      <c r="C929" s="56">
        <f>194.205</f>
        <v>194.20500000000001</v>
      </c>
      <c r="D929" s="56">
        <f>267.466</f>
        <v>267.46600000000001</v>
      </c>
      <c r="E929" s="64">
        <f>133.845</f>
        <v>133.845</v>
      </c>
      <c r="F929" s="56">
        <f>278.484-40-25-60-100</f>
        <v>53.48399999999998</v>
      </c>
      <c r="G929" s="59">
        <v>40</v>
      </c>
      <c r="H929" s="56">
        <f t="shared" si="156"/>
        <v>185</v>
      </c>
      <c r="I929" s="56">
        <f t="shared" si="146"/>
        <v>0</v>
      </c>
      <c r="J929" s="59">
        <v>100</v>
      </c>
      <c r="K929" s="59">
        <v>300</v>
      </c>
      <c r="L929" s="56">
        <f t="shared" si="151"/>
        <v>1274</v>
      </c>
      <c r="M929" s="66">
        <v>600</v>
      </c>
      <c r="N929" s="56">
        <f>30</f>
        <v>30</v>
      </c>
      <c r="O929" s="59">
        <v>240</v>
      </c>
      <c r="P929" s="59">
        <v>40</v>
      </c>
      <c r="Q929" s="59">
        <f t="shared" si="152"/>
        <v>315</v>
      </c>
      <c r="R929" s="59">
        <f t="shared" si="153"/>
        <v>100</v>
      </c>
      <c r="S929" s="56">
        <f t="shared" si="154"/>
        <v>695</v>
      </c>
      <c r="T929" s="56">
        <f>50</f>
        <v>50</v>
      </c>
      <c r="U929" s="57"/>
      <c r="V929" s="57"/>
      <c r="W929" s="57"/>
      <c r="X929" s="57"/>
      <c r="Y929" s="57"/>
      <c r="Z929" s="57"/>
      <c r="AA929" s="57"/>
      <c r="AB929" s="57"/>
      <c r="AC929" s="57"/>
      <c r="AD929" s="57"/>
    </row>
    <row r="930" spans="1:30" ht="15.75">
      <c r="A930" s="13">
        <v>69610</v>
      </c>
      <c r="B930" s="67">
        <f t="shared" si="150"/>
        <v>31</v>
      </c>
      <c r="C930" s="56">
        <f>194.205</f>
        <v>194.20500000000001</v>
      </c>
      <c r="D930" s="56">
        <f>267.466</f>
        <v>267.46600000000001</v>
      </c>
      <c r="E930" s="64">
        <f>133.845</f>
        <v>133.845</v>
      </c>
      <c r="F930" s="56">
        <f>278.484-40-25-60-100</f>
        <v>53.48399999999998</v>
      </c>
      <c r="G930" s="59">
        <v>40</v>
      </c>
      <c r="H930" s="56">
        <f t="shared" si="156"/>
        <v>185</v>
      </c>
      <c r="I930" s="56">
        <f t="shared" si="146"/>
        <v>0</v>
      </c>
      <c r="J930" s="59">
        <v>100</v>
      </c>
      <c r="K930" s="59">
        <v>300</v>
      </c>
      <c r="L930" s="56">
        <f t="shared" si="151"/>
        <v>1274</v>
      </c>
      <c r="M930" s="66">
        <v>600</v>
      </c>
      <c r="N930" s="56">
        <f>30</f>
        <v>30</v>
      </c>
      <c r="O930" s="59">
        <v>240</v>
      </c>
      <c r="P930" s="59">
        <v>40</v>
      </c>
      <c r="Q930" s="59">
        <f t="shared" si="152"/>
        <v>315</v>
      </c>
      <c r="R930" s="59">
        <f t="shared" si="153"/>
        <v>100</v>
      </c>
      <c r="S930" s="56">
        <f t="shared" si="154"/>
        <v>695</v>
      </c>
      <c r="T930" s="56">
        <f>0</f>
        <v>0</v>
      </c>
      <c r="U930" s="57"/>
      <c r="V930" s="57"/>
      <c r="W930" s="57"/>
      <c r="X930" s="57"/>
      <c r="Y930" s="57"/>
      <c r="Z930" s="57"/>
      <c r="AA930" s="57"/>
      <c r="AB930" s="57"/>
      <c r="AC930" s="57"/>
      <c r="AD930" s="57"/>
    </row>
    <row r="931" spans="1:30" ht="15.75">
      <c r="A931" s="13">
        <v>69641</v>
      </c>
      <c r="B931" s="67">
        <f t="shared" si="150"/>
        <v>31</v>
      </c>
      <c r="C931" s="56">
        <f>194.205</f>
        <v>194.20500000000001</v>
      </c>
      <c r="D931" s="56">
        <f>267.466</f>
        <v>267.46600000000001</v>
      </c>
      <c r="E931" s="64">
        <f>133.845</f>
        <v>133.845</v>
      </c>
      <c r="F931" s="56">
        <f>278.484-40-25-60-100</f>
        <v>53.48399999999998</v>
      </c>
      <c r="G931" s="59">
        <v>40</v>
      </c>
      <c r="H931" s="56">
        <f t="shared" si="156"/>
        <v>185</v>
      </c>
      <c r="I931" s="56">
        <f t="shared" si="146"/>
        <v>0</v>
      </c>
      <c r="J931" s="59">
        <v>100</v>
      </c>
      <c r="K931" s="59">
        <v>300</v>
      </c>
      <c r="L931" s="56">
        <f t="shared" si="151"/>
        <v>1274</v>
      </c>
      <c r="M931" s="66">
        <v>600</v>
      </c>
      <c r="N931" s="56">
        <f>30</f>
        <v>30</v>
      </c>
      <c r="O931" s="59">
        <v>240</v>
      </c>
      <c r="P931" s="59">
        <v>40</v>
      </c>
      <c r="Q931" s="59">
        <f t="shared" si="152"/>
        <v>315</v>
      </c>
      <c r="R931" s="59">
        <f t="shared" si="153"/>
        <v>100</v>
      </c>
      <c r="S931" s="56">
        <f t="shared" si="154"/>
        <v>695</v>
      </c>
      <c r="T931" s="56">
        <f>0</f>
        <v>0</v>
      </c>
      <c r="U931" s="57"/>
      <c r="V931" s="57"/>
      <c r="W931" s="57"/>
      <c r="X931" s="57"/>
      <c r="Y931" s="57"/>
      <c r="Z931" s="57"/>
      <c r="AA931" s="57"/>
      <c r="AB931" s="57"/>
      <c r="AC931" s="57"/>
      <c r="AD931" s="57"/>
    </row>
    <row r="932" spans="1:30" ht="15.75">
      <c r="A932" s="13">
        <v>69671</v>
      </c>
      <c r="B932" s="67">
        <f t="shared" si="150"/>
        <v>30</v>
      </c>
      <c r="C932" s="56">
        <f>194.205</f>
        <v>194.20500000000001</v>
      </c>
      <c r="D932" s="56">
        <f>267.466</f>
        <v>267.46600000000001</v>
      </c>
      <c r="E932" s="64">
        <f>133.845</f>
        <v>133.845</v>
      </c>
      <c r="F932" s="56">
        <f>278.484-40-25-60-100</f>
        <v>53.48399999999998</v>
      </c>
      <c r="G932" s="59">
        <v>40</v>
      </c>
      <c r="H932" s="56">
        <f t="shared" si="156"/>
        <v>185</v>
      </c>
      <c r="I932" s="56">
        <f t="shared" si="146"/>
        <v>0</v>
      </c>
      <c r="J932" s="59">
        <v>100</v>
      </c>
      <c r="K932" s="59">
        <v>300</v>
      </c>
      <c r="L932" s="56">
        <f t="shared" si="151"/>
        <v>1274</v>
      </c>
      <c r="M932" s="66">
        <v>600</v>
      </c>
      <c r="N932" s="56">
        <f>30</f>
        <v>30</v>
      </c>
      <c r="O932" s="59">
        <v>240</v>
      </c>
      <c r="P932" s="59">
        <v>40</v>
      </c>
      <c r="Q932" s="59">
        <f t="shared" si="152"/>
        <v>315</v>
      </c>
      <c r="R932" s="59">
        <f t="shared" si="153"/>
        <v>100</v>
      </c>
      <c r="S932" s="56">
        <f t="shared" si="154"/>
        <v>695</v>
      </c>
      <c r="T932" s="56">
        <f>0</f>
        <v>0</v>
      </c>
      <c r="U932" s="57"/>
      <c r="V932" s="57"/>
      <c r="W932" s="57"/>
      <c r="X932" s="57"/>
      <c r="Y932" s="57"/>
      <c r="Z932" s="57"/>
      <c r="AA932" s="57"/>
      <c r="AB932" s="57"/>
      <c r="AC932" s="57"/>
      <c r="AD932" s="57"/>
    </row>
    <row r="933" spans="1:30" ht="15.75">
      <c r="A933" s="13">
        <v>69702</v>
      </c>
      <c r="B933" s="67">
        <f t="shared" si="150"/>
        <v>31</v>
      </c>
      <c r="C933" s="56">
        <f>131.881</f>
        <v>131.881</v>
      </c>
      <c r="D933" s="56">
        <f>277.167</f>
        <v>277.16699999999997</v>
      </c>
      <c r="E933" s="64">
        <f>79.08</f>
        <v>79.08</v>
      </c>
      <c r="F933" s="56">
        <f>350.872-40-25-60-100</f>
        <v>125.87200000000001</v>
      </c>
      <c r="G933" s="59">
        <v>40</v>
      </c>
      <c r="H933" s="56">
        <f t="shared" si="156"/>
        <v>185</v>
      </c>
      <c r="I933" s="56">
        <f t="shared" si="146"/>
        <v>0</v>
      </c>
      <c r="J933" s="59">
        <v>100</v>
      </c>
      <c r="K933" s="59">
        <v>300</v>
      </c>
      <c r="L933" s="56">
        <f t="shared" si="151"/>
        <v>1239</v>
      </c>
      <c r="M933" s="66">
        <v>600</v>
      </c>
      <c r="N933" s="56">
        <f>75</f>
        <v>75</v>
      </c>
      <c r="O933" s="59">
        <v>240</v>
      </c>
      <c r="P933" s="59">
        <v>40</v>
      </c>
      <c r="Q933" s="59">
        <f t="shared" si="152"/>
        <v>315</v>
      </c>
      <c r="R933" s="59">
        <f t="shared" si="153"/>
        <v>100</v>
      </c>
      <c r="S933" s="56">
        <f t="shared" si="154"/>
        <v>695</v>
      </c>
      <c r="T933" s="56">
        <f>0</f>
        <v>0</v>
      </c>
      <c r="U933" s="57"/>
      <c r="V933" s="57"/>
      <c r="W933" s="57"/>
      <c r="X933" s="57"/>
      <c r="Y933" s="57"/>
      <c r="Z933" s="57"/>
      <c r="AA933" s="57"/>
      <c r="AB933" s="57"/>
      <c r="AC933" s="57"/>
      <c r="AD933" s="57"/>
    </row>
    <row r="934" spans="1:30" ht="15.75">
      <c r="A934" s="13">
        <v>69732</v>
      </c>
      <c r="B934" s="67">
        <f t="shared" si="150"/>
        <v>30</v>
      </c>
      <c r="C934" s="56">
        <f>122.58</f>
        <v>122.58</v>
      </c>
      <c r="D934" s="56">
        <f>297.941</f>
        <v>297.94099999999997</v>
      </c>
      <c r="E934" s="64">
        <f>89.177</f>
        <v>89.177000000000007</v>
      </c>
      <c r="F934" s="56">
        <f>240.302-40-60-100</f>
        <v>40.301999999999992</v>
      </c>
      <c r="G934" s="59">
        <v>40</v>
      </c>
      <c r="H934" s="56">
        <f>60+100</f>
        <v>160</v>
      </c>
      <c r="I934" s="56">
        <f t="shared" si="146"/>
        <v>0</v>
      </c>
      <c r="J934" s="59">
        <v>100</v>
      </c>
      <c r="K934" s="59">
        <v>300</v>
      </c>
      <c r="L934" s="56">
        <f t="shared" si="151"/>
        <v>1150</v>
      </c>
      <c r="M934" s="66">
        <v>600</v>
      </c>
      <c r="N934" s="56">
        <f>100</f>
        <v>100</v>
      </c>
      <c r="O934" s="59">
        <v>240</v>
      </c>
      <c r="P934" s="59">
        <v>40</v>
      </c>
      <c r="Q934" s="59">
        <f t="shared" si="152"/>
        <v>315</v>
      </c>
      <c r="R934" s="59">
        <f t="shared" si="153"/>
        <v>100</v>
      </c>
      <c r="S934" s="56">
        <f t="shared" si="154"/>
        <v>695</v>
      </c>
      <c r="T934" s="56">
        <f>50</f>
        <v>50</v>
      </c>
      <c r="U934" s="57"/>
      <c r="V934" s="57"/>
      <c r="W934" s="57"/>
      <c r="X934" s="57"/>
      <c r="Y934" s="57"/>
      <c r="Z934" s="57"/>
      <c r="AA934" s="57"/>
      <c r="AB934" s="57"/>
      <c r="AC934" s="57"/>
      <c r="AD934" s="57"/>
    </row>
    <row r="935" spans="1:30" ht="15.75">
      <c r="A935" s="13">
        <v>69763</v>
      </c>
      <c r="B935" s="67">
        <f t="shared" si="150"/>
        <v>31</v>
      </c>
      <c r="C935" s="56">
        <f>122.58</f>
        <v>122.58</v>
      </c>
      <c r="D935" s="56">
        <f>297.941</f>
        <v>297.94099999999997</v>
      </c>
      <c r="E935" s="64">
        <f>89.177</f>
        <v>89.177000000000007</v>
      </c>
      <c r="F935" s="56">
        <f>240.302-40-60-100</f>
        <v>40.301999999999992</v>
      </c>
      <c r="G935" s="59">
        <v>40</v>
      </c>
      <c r="H935" s="56">
        <f>60+100</f>
        <v>160</v>
      </c>
      <c r="I935" s="56">
        <f t="shared" si="146"/>
        <v>0</v>
      </c>
      <c r="J935" s="59">
        <v>100</v>
      </c>
      <c r="K935" s="59">
        <v>300</v>
      </c>
      <c r="L935" s="56">
        <f t="shared" si="151"/>
        <v>1150</v>
      </c>
      <c r="M935" s="66">
        <v>600</v>
      </c>
      <c r="N935" s="56">
        <f>100</f>
        <v>100</v>
      </c>
      <c r="O935" s="59">
        <v>240</v>
      </c>
      <c r="P935" s="59">
        <v>40</v>
      </c>
      <c r="Q935" s="59">
        <f t="shared" si="152"/>
        <v>315</v>
      </c>
      <c r="R935" s="59">
        <f t="shared" si="153"/>
        <v>100</v>
      </c>
      <c r="S935" s="56">
        <f t="shared" si="154"/>
        <v>695</v>
      </c>
      <c r="T935" s="56">
        <f>50</f>
        <v>50</v>
      </c>
      <c r="U935" s="57"/>
      <c r="V935" s="57"/>
      <c r="W935" s="57"/>
      <c r="X935" s="57"/>
      <c r="Y935" s="57"/>
      <c r="Z935" s="57"/>
      <c r="AA935" s="57"/>
      <c r="AB935" s="57"/>
      <c r="AC935" s="57"/>
      <c r="AD935" s="57"/>
    </row>
    <row r="936" spans="1:30" ht="15.75">
      <c r="A936" s="13">
        <v>69794</v>
      </c>
      <c r="B936" s="67">
        <f t="shared" si="150"/>
        <v>31</v>
      </c>
      <c r="C936" s="56">
        <f>122.58</f>
        <v>122.58</v>
      </c>
      <c r="D936" s="56">
        <f>297.941</f>
        <v>297.94099999999997</v>
      </c>
      <c r="E936" s="64">
        <f>89.177</f>
        <v>89.177000000000007</v>
      </c>
      <c r="F936" s="56">
        <f>240.302-40-60-100</f>
        <v>40.301999999999992</v>
      </c>
      <c r="G936" s="59">
        <v>40</v>
      </c>
      <c r="H936" s="56">
        <f>60+100</f>
        <v>160</v>
      </c>
      <c r="I936" s="56">
        <f t="shared" ref="I936:I999" si="157">400-J936-K936</f>
        <v>0</v>
      </c>
      <c r="J936" s="59">
        <v>100</v>
      </c>
      <c r="K936" s="59">
        <v>300</v>
      </c>
      <c r="L936" s="56">
        <f t="shared" si="151"/>
        <v>1150</v>
      </c>
      <c r="M936" s="66">
        <v>600</v>
      </c>
      <c r="N936" s="56">
        <f>100</f>
        <v>100</v>
      </c>
      <c r="O936" s="59">
        <v>240</v>
      </c>
      <c r="P936" s="59">
        <v>40</v>
      </c>
      <c r="Q936" s="59">
        <f t="shared" si="152"/>
        <v>315</v>
      </c>
      <c r="R936" s="59">
        <f t="shared" si="153"/>
        <v>100</v>
      </c>
      <c r="S936" s="56">
        <f t="shared" si="154"/>
        <v>695</v>
      </c>
      <c r="T936" s="56">
        <f>50</f>
        <v>50</v>
      </c>
      <c r="U936" s="57"/>
      <c r="V936" s="57"/>
      <c r="W936" s="57"/>
      <c r="X936" s="57"/>
      <c r="Y936" s="57"/>
      <c r="Z936" s="57"/>
      <c r="AA936" s="57"/>
      <c r="AB936" s="57"/>
      <c r="AC936" s="57"/>
      <c r="AD936" s="57"/>
    </row>
    <row r="937" spans="1:30" ht="15.75">
      <c r="A937" s="13">
        <v>69822</v>
      </c>
      <c r="B937" s="67">
        <f t="shared" si="150"/>
        <v>28</v>
      </c>
      <c r="C937" s="56">
        <f>122.58</f>
        <v>122.58</v>
      </c>
      <c r="D937" s="56">
        <f>297.941</f>
        <v>297.94099999999997</v>
      </c>
      <c r="E937" s="64">
        <f>89.177</f>
        <v>89.177000000000007</v>
      </c>
      <c r="F937" s="56">
        <f>240.302-40-60-100</f>
        <v>40.301999999999992</v>
      </c>
      <c r="G937" s="59">
        <v>40</v>
      </c>
      <c r="H937" s="56">
        <f>60+100</f>
        <v>160</v>
      </c>
      <c r="I937" s="56">
        <f t="shared" si="157"/>
        <v>0</v>
      </c>
      <c r="J937" s="59">
        <v>100</v>
      </c>
      <c r="K937" s="59">
        <v>300</v>
      </c>
      <c r="L937" s="56">
        <f t="shared" si="151"/>
        <v>1150</v>
      </c>
      <c r="M937" s="66">
        <v>600</v>
      </c>
      <c r="N937" s="56">
        <f>100</f>
        <v>100</v>
      </c>
      <c r="O937" s="59">
        <v>240</v>
      </c>
      <c r="P937" s="59">
        <v>40</v>
      </c>
      <c r="Q937" s="59">
        <f t="shared" si="152"/>
        <v>315</v>
      </c>
      <c r="R937" s="59">
        <f t="shared" si="153"/>
        <v>100</v>
      </c>
      <c r="S937" s="56">
        <f t="shared" si="154"/>
        <v>695</v>
      </c>
      <c r="T937" s="56">
        <f>50</f>
        <v>50</v>
      </c>
      <c r="U937" s="57"/>
      <c r="V937" s="57"/>
      <c r="W937" s="57"/>
      <c r="X937" s="57"/>
      <c r="Y937" s="57"/>
      <c r="Z937" s="57"/>
      <c r="AA937" s="57"/>
      <c r="AB937" s="57"/>
      <c r="AC937" s="57"/>
      <c r="AD937" s="57"/>
    </row>
    <row r="938" spans="1:30" ht="15.75">
      <c r="A938" s="13">
        <v>69853</v>
      </c>
      <c r="B938" s="67">
        <f t="shared" si="150"/>
        <v>31</v>
      </c>
      <c r="C938" s="56">
        <f>122.58</f>
        <v>122.58</v>
      </c>
      <c r="D938" s="56">
        <f>297.941</f>
        <v>297.94099999999997</v>
      </c>
      <c r="E938" s="64">
        <f>89.177</f>
        <v>89.177000000000007</v>
      </c>
      <c r="F938" s="56">
        <f>240.302-40-60-100</f>
        <v>40.301999999999992</v>
      </c>
      <c r="G938" s="59">
        <v>40</v>
      </c>
      <c r="H938" s="56">
        <f>60+100</f>
        <v>160</v>
      </c>
      <c r="I938" s="56">
        <f t="shared" si="157"/>
        <v>0</v>
      </c>
      <c r="J938" s="59">
        <v>100</v>
      </c>
      <c r="K938" s="59">
        <v>300</v>
      </c>
      <c r="L938" s="56">
        <f t="shared" si="151"/>
        <v>1150</v>
      </c>
      <c r="M938" s="66">
        <v>600</v>
      </c>
      <c r="N938" s="56">
        <f>100</f>
        <v>100</v>
      </c>
      <c r="O938" s="59">
        <v>240</v>
      </c>
      <c r="P938" s="59">
        <v>40</v>
      </c>
      <c r="Q938" s="59">
        <f t="shared" si="152"/>
        <v>315</v>
      </c>
      <c r="R938" s="59">
        <f t="shared" si="153"/>
        <v>100</v>
      </c>
      <c r="S938" s="56">
        <f t="shared" si="154"/>
        <v>695</v>
      </c>
      <c r="T938" s="56">
        <f>50</f>
        <v>50</v>
      </c>
      <c r="U938" s="57"/>
      <c r="V938" s="57"/>
      <c r="W938" s="57"/>
      <c r="X938" s="57"/>
      <c r="Y938" s="57"/>
      <c r="Z938" s="57"/>
      <c r="AA938" s="57"/>
      <c r="AB938" s="57"/>
      <c r="AC938" s="57"/>
      <c r="AD938" s="57"/>
    </row>
    <row r="939" spans="1:30" ht="15.75">
      <c r="A939" s="13">
        <v>69883</v>
      </c>
      <c r="B939" s="67">
        <f t="shared" si="150"/>
        <v>30</v>
      </c>
      <c r="C939" s="56">
        <f>141.293</f>
        <v>141.29300000000001</v>
      </c>
      <c r="D939" s="56">
        <f>267.993</f>
        <v>267.99299999999999</v>
      </c>
      <c r="E939" s="64">
        <f>115.016</f>
        <v>115.01600000000001</v>
      </c>
      <c r="F939" s="56">
        <f>314.698-40-25-60-100</f>
        <v>89.697999999999979</v>
      </c>
      <c r="G939" s="59">
        <v>40</v>
      </c>
      <c r="H939" s="56">
        <f t="shared" ref="H939:H945" si="158">25+60+100</f>
        <v>185</v>
      </c>
      <c r="I939" s="56">
        <f t="shared" si="157"/>
        <v>0</v>
      </c>
      <c r="J939" s="59">
        <v>100</v>
      </c>
      <c r="K939" s="59">
        <v>300</v>
      </c>
      <c r="L939" s="56">
        <f t="shared" si="151"/>
        <v>1239</v>
      </c>
      <c r="M939" s="66">
        <v>600</v>
      </c>
      <c r="N939" s="56">
        <f>100</f>
        <v>100</v>
      </c>
      <c r="O939" s="59">
        <v>240</v>
      </c>
      <c r="P939" s="59">
        <v>40</v>
      </c>
      <c r="Q939" s="59">
        <f t="shared" si="152"/>
        <v>315</v>
      </c>
      <c r="R939" s="59">
        <f t="shared" si="153"/>
        <v>100</v>
      </c>
      <c r="S939" s="56">
        <f t="shared" si="154"/>
        <v>695</v>
      </c>
      <c r="T939" s="56">
        <f>50</f>
        <v>50</v>
      </c>
      <c r="U939" s="57"/>
      <c r="V939" s="57"/>
      <c r="W939" s="57"/>
      <c r="X939" s="57"/>
      <c r="Y939" s="57"/>
      <c r="Z939" s="57"/>
      <c r="AA939" s="57"/>
      <c r="AB939" s="57"/>
      <c r="AC939" s="57"/>
      <c r="AD939" s="57"/>
    </row>
    <row r="940" spans="1:30" ht="15.75">
      <c r="A940" s="13">
        <v>69914</v>
      </c>
      <c r="B940" s="67">
        <f t="shared" si="150"/>
        <v>31</v>
      </c>
      <c r="C940" s="56">
        <f>194.205</f>
        <v>194.20500000000001</v>
      </c>
      <c r="D940" s="56">
        <f>267.466</f>
        <v>267.46600000000001</v>
      </c>
      <c r="E940" s="64">
        <f>133.845</f>
        <v>133.845</v>
      </c>
      <c r="F940" s="56">
        <f>278.484-40-25-60-100</f>
        <v>53.48399999999998</v>
      </c>
      <c r="G940" s="59">
        <v>40</v>
      </c>
      <c r="H940" s="56">
        <f t="shared" si="158"/>
        <v>185</v>
      </c>
      <c r="I940" s="56">
        <f t="shared" si="157"/>
        <v>0</v>
      </c>
      <c r="J940" s="59">
        <v>100</v>
      </c>
      <c r="K940" s="59">
        <v>300</v>
      </c>
      <c r="L940" s="56">
        <f t="shared" si="151"/>
        <v>1274</v>
      </c>
      <c r="M940" s="66">
        <v>600</v>
      </c>
      <c r="N940" s="56">
        <f>75</f>
        <v>75</v>
      </c>
      <c r="O940" s="59">
        <v>240</v>
      </c>
      <c r="P940" s="59">
        <v>40</v>
      </c>
      <c r="Q940" s="59">
        <f t="shared" si="152"/>
        <v>315</v>
      </c>
      <c r="R940" s="59">
        <f t="shared" si="153"/>
        <v>100</v>
      </c>
      <c r="S940" s="56">
        <f t="shared" si="154"/>
        <v>695</v>
      </c>
      <c r="T940" s="56">
        <f>50</f>
        <v>50</v>
      </c>
      <c r="U940" s="57"/>
      <c r="V940" s="57"/>
      <c r="W940" s="57"/>
      <c r="X940" s="57"/>
      <c r="Y940" s="57"/>
      <c r="Z940" s="57"/>
      <c r="AA940" s="57"/>
      <c r="AB940" s="57"/>
      <c r="AC940" s="57"/>
      <c r="AD940" s="57"/>
    </row>
    <row r="941" spans="1:30" ht="15.75">
      <c r="A941" s="13">
        <v>69944</v>
      </c>
      <c r="B941" s="67">
        <f t="shared" si="150"/>
        <v>30</v>
      </c>
      <c r="C941" s="56">
        <f>194.205</f>
        <v>194.20500000000001</v>
      </c>
      <c r="D941" s="56">
        <f>267.466</f>
        <v>267.46600000000001</v>
      </c>
      <c r="E941" s="64">
        <f>133.845</f>
        <v>133.845</v>
      </c>
      <c r="F941" s="56">
        <f>278.484-40-25-60-100</f>
        <v>53.48399999999998</v>
      </c>
      <c r="G941" s="59">
        <v>40</v>
      </c>
      <c r="H941" s="56">
        <f t="shared" si="158"/>
        <v>185</v>
      </c>
      <c r="I941" s="56">
        <f t="shared" si="157"/>
        <v>0</v>
      </c>
      <c r="J941" s="59">
        <v>100</v>
      </c>
      <c r="K941" s="59">
        <v>300</v>
      </c>
      <c r="L941" s="56">
        <f t="shared" si="151"/>
        <v>1274</v>
      </c>
      <c r="M941" s="66">
        <v>600</v>
      </c>
      <c r="N941" s="56">
        <f>30</f>
        <v>30</v>
      </c>
      <c r="O941" s="59">
        <v>240</v>
      </c>
      <c r="P941" s="59">
        <v>40</v>
      </c>
      <c r="Q941" s="59">
        <f t="shared" si="152"/>
        <v>315</v>
      </c>
      <c r="R941" s="59">
        <f t="shared" si="153"/>
        <v>100</v>
      </c>
      <c r="S941" s="56">
        <f t="shared" si="154"/>
        <v>695</v>
      </c>
      <c r="T941" s="56">
        <f>50</f>
        <v>50</v>
      </c>
      <c r="U941" s="57"/>
      <c r="V941" s="57"/>
      <c r="W941" s="57"/>
      <c r="X941" s="57"/>
      <c r="Y941" s="57"/>
      <c r="Z941" s="57"/>
      <c r="AA941" s="57"/>
      <c r="AB941" s="57"/>
      <c r="AC941" s="57"/>
      <c r="AD941" s="57"/>
    </row>
    <row r="942" spans="1:30" ht="15.75">
      <c r="A942" s="13">
        <v>69975</v>
      </c>
      <c r="B942" s="67">
        <f t="shared" si="150"/>
        <v>31</v>
      </c>
      <c r="C942" s="56">
        <f>194.205</f>
        <v>194.20500000000001</v>
      </c>
      <c r="D942" s="56">
        <f>267.466</f>
        <v>267.46600000000001</v>
      </c>
      <c r="E942" s="64">
        <f>133.845</f>
        <v>133.845</v>
      </c>
      <c r="F942" s="56">
        <f>278.484-40-25-60-100</f>
        <v>53.48399999999998</v>
      </c>
      <c r="G942" s="59">
        <v>40</v>
      </c>
      <c r="H942" s="56">
        <f t="shared" si="158"/>
        <v>185</v>
      </c>
      <c r="I942" s="56">
        <f t="shared" si="157"/>
        <v>0</v>
      </c>
      <c r="J942" s="59">
        <v>100</v>
      </c>
      <c r="K942" s="59">
        <v>300</v>
      </c>
      <c r="L942" s="56">
        <f t="shared" si="151"/>
        <v>1274</v>
      </c>
      <c r="M942" s="66">
        <v>600</v>
      </c>
      <c r="N942" s="56">
        <f>30</f>
        <v>30</v>
      </c>
      <c r="O942" s="59">
        <v>240</v>
      </c>
      <c r="P942" s="59">
        <v>40</v>
      </c>
      <c r="Q942" s="59">
        <f t="shared" si="152"/>
        <v>315</v>
      </c>
      <c r="R942" s="59">
        <f t="shared" si="153"/>
        <v>100</v>
      </c>
      <c r="S942" s="56">
        <f t="shared" si="154"/>
        <v>695</v>
      </c>
      <c r="T942" s="56">
        <f>0</f>
        <v>0</v>
      </c>
      <c r="U942" s="57"/>
      <c r="V942" s="57"/>
      <c r="W942" s="57"/>
      <c r="X942" s="57"/>
      <c r="Y942" s="57"/>
      <c r="Z942" s="57"/>
      <c r="AA942" s="57"/>
      <c r="AB942" s="57"/>
      <c r="AC942" s="57"/>
      <c r="AD942" s="57"/>
    </row>
    <row r="943" spans="1:30" ht="15.75">
      <c r="A943" s="13">
        <v>70006</v>
      </c>
      <c r="B943" s="67">
        <f t="shared" si="150"/>
        <v>31</v>
      </c>
      <c r="C943" s="56">
        <f>194.205</f>
        <v>194.20500000000001</v>
      </c>
      <c r="D943" s="56">
        <f>267.466</f>
        <v>267.46600000000001</v>
      </c>
      <c r="E943" s="64">
        <f>133.845</f>
        <v>133.845</v>
      </c>
      <c r="F943" s="56">
        <f>278.484-40-25-60-100</f>
        <v>53.48399999999998</v>
      </c>
      <c r="G943" s="59">
        <v>40</v>
      </c>
      <c r="H943" s="56">
        <f t="shared" si="158"/>
        <v>185</v>
      </c>
      <c r="I943" s="56">
        <f t="shared" si="157"/>
        <v>0</v>
      </c>
      <c r="J943" s="59">
        <v>100</v>
      </c>
      <c r="K943" s="59">
        <v>300</v>
      </c>
      <c r="L943" s="56">
        <f t="shared" si="151"/>
        <v>1274</v>
      </c>
      <c r="M943" s="66">
        <v>600</v>
      </c>
      <c r="N943" s="56">
        <f>30</f>
        <v>30</v>
      </c>
      <c r="O943" s="59">
        <v>240</v>
      </c>
      <c r="P943" s="59">
        <v>40</v>
      </c>
      <c r="Q943" s="59">
        <f t="shared" si="152"/>
        <v>315</v>
      </c>
      <c r="R943" s="59">
        <f t="shared" si="153"/>
        <v>100</v>
      </c>
      <c r="S943" s="56">
        <f t="shared" si="154"/>
        <v>695</v>
      </c>
      <c r="T943" s="56">
        <f>0</f>
        <v>0</v>
      </c>
      <c r="U943" s="57"/>
      <c r="V943" s="57"/>
      <c r="W943" s="57"/>
      <c r="X943" s="57"/>
      <c r="Y943" s="57"/>
      <c r="Z943" s="57"/>
      <c r="AA943" s="57"/>
      <c r="AB943" s="57"/>
      <c r="AC943" s="57"/>
      <c r="AD943" s="57"/>
    </row>
    <row r="944" spans="1:30" ht="15.75">
      <c r="A944" s="13">
        <v>70036</v>
      </c>
      <c r="B944" s="67">
        <f t="shared" si="150"/>
        <v>30</v>
      </c>
      <c r="C944" s="56">
        <f>194.205</f>
        <v>194.20500000000001</v>
      </c>
      <c r="D944" s="56">
        <f>267.466</f>
        <v>267.46600000000001</v>
      </c>
      <c r="E944" s="64">
        <f>133.845</f>
        <v>133.845</v>
      </c>
      <c r="F944" s="56">
        <f>278.484-40-25-60-100</f>
        <v>53.48399999999998</v>
      </c>
      <c r="G944" s="59">
        <v>40</v>
      </c>
      <c r="H944" s="56">
        <f t="shared" si="158"/>
        <v>185</v>
      </c>
      <c r="I944" s="56">
        <f t="shared" si="157"/>
        <v>0</v>
      </c>
      <c r="J944" s="59">
        <v>100</v>
      </c>
      <c r="K944" s="59">
        <v>300</v>
      </c>
      <c r="L944" s="56">
        <f t="shared" si="151"/>
        <v>1274</v>
      </c>
      <c r="M944" s="66">
        <v>600</v>
      </c>
      <c r="N944" s="56">
        <f>30</f>
        <v>30</v>
      </c>
      <c r="O944" s="59">
        <v>240</v>
      </c>
      <c r="P944" s="59">
        <v>40</v>
      </c>
      <c r="Q944" s="59">
        <f t="shared" si="152"/>
        <v>315</v>
      </c>
      <c r="R944" s="59">
        <f t="shared" si="153"/>
        <v>100</v>
      </c>
      <c r="S944" s="56">
        <f t="shared" si="154"/>
        <v>695</v>
      </c>
      <c r="T944" s="56">
        <f>0</f>
        <v>0</v>
      </c>
      <c r="U944" s="57"/>
      <c r="V944" s="57"/>
      <c r="W944" s="57"/>
      <c r="X944" s="57"/>
      <c r="Y944" s="57"/>
      <c r="Z944" s="57"/>
      <c r="AA944" s="57"/>
      <c r="AB944" s="57"/>
      <c r="AC944" s="57"/>
      <c r="AD944" s="57"/>
    </row>
    <row r="945" spans="1:30" ht="15.75">
      <c r="A945" s="13">
        <v>70067</v>
      </c>
      <c r="B945" s="67">
        <f t="shared" si="150"/>
        <v>31</v>
      </c>
      <c r="C945" s="56">
        <f>131.881</f>
        <v>131.881</v>
      </c>
      <c r="D945" s="56">
        <f>277.167</f>
        <v>277.16699999999997</v>
      </c>
      <c r="E945" s="64">
        <f>79.08</f>
        <v>79.08</v>
      </c>
      <c r="F945" s="56">
        <f>350.872-40-25-60-100</f>
        <v>125.87200000000001</v>
      </c>
      <c r="G945" s="59">
        <v>40</v>
      </c>
      <c r="H945" s="56">
        <f t="shared" si="158"/>
        <v>185</v>
      </c>
      <c r="I945" s="56">
        <f t="shared" si="157"/>
        <v>0</v>
      </c>
      <c r="J945" s="59">
        <v>100</v>
      </c>
      <c r="K945" s="59">
        <v>300</v>
      </c>
      <c r="L945" s="56">
        <f t="shared" si="151"/>
        <v>1239</v>
      </c>
      <c r="M945" s="66">
        <v>600</v>
      </c>
      <c r="N945" s="56">
        <f>75</f>
        <v>75</v>
      </c>
      <c r="O945" s="59">
        <v>240</v>
      </c>
      <c r="P945" s="59">
        <v>40</v>
      </c>
      <c r="Q945" s="59">
        <f t="shared" si="152"/>
        <v>315</v>
      </c>
      <c r="R945" s="59">
        <f t="shared" si="153"/>
        <v>100</v>
      </c>
      <c r="S945" s="56">
        <f t="shared" si="154"/>
        <v>695</v>
      </c>
      <c r="T945" s="56">
        <f>0</f>
        <v>0</v>
      </c>
      <c r="U945" s="57"/>
      <c r="V945" s="57"/>
      <c r="W945" s="57"/>
      <c r="X945" s="57"/>
      <c r="Y945" s="57"/>
      <c r="Z945" s="57"/>
      <c r="AA945" s="57"/>
      <c r="AB945" s="57"/>
      <c r="AC945" s="57"/>
      <c r="AD945" s="57"/>
    </row>
    <row r="946" spans="1:30" ht="15.75">
      <c r="A946" s="13">
        <v>70097</v>
      </c>
      <c r="B946" s="67">
        <f t="shared" si="150"/>
        <v>30</v>
      </c>
      <c r="C946" s="56">
        <f>122.58</f>
        <v>122.58</v>
      </c>
      <c r="D946" s="56">
        <f>297.941</f>
        <v>297.94099999999997</v>
      </c>
      <c r="E946" s="64">
        <f>89.177</f>
        <v>89.177000000000007</v>
      </c>
      <c r="F946" s="56">
        <f>240.302-40-60-100</f>
        <v>40.301999999999992</v>
      </c>
      <c r="G946" s="59">
        <v>40</v>
      </c>
      <c r="H946" s="56">
        <f>60+100</f>
        <v>160</v>
      </c>
      <c r="I946" s="56">
        <f t="shared" si="157"/>
        <v>0</v>
      </c>
      <c r="J946" s="59">
        <v>100</v>
      </c>
      <c r="K946" s="59">
        <v>300</v>
      </c>
      <c r="L946" s="56">
        <f t="shared" si="151"/>
        <v>1150</v>
      </c>
      <c r="M946" s="66">
        <v>600</v>
      </c>
      <c r="N946" s="56">
        <f>100</f>
        <v>100</v>
      </c>
      <c r="O946" s="59">
        <v>240</v>
      </c>
      <c r="P946" s="59">
        <v>40</v>
      </c>
      <c r="Q946" s="59">
        <f t="shared" si="152"/>
        <v>315</v>
      </c>
      <c r="R946" s="59">
        <f t="shared" si="153"/>
        <v>100</v>
      </c>
      <c r="S946" s="56">
        <f t="shared" si="154"/>
        <v>695</v>
      </c>
      <c r="T946" s="56">
        <f>50</f>
        <v>50</v>
      </c>
      <c r="U946" s="57"/>
      <c r="V946" s="57"/>
      <c r="W946" s="57"/>
      <c r="X946" s="57"/>
      <c r="Y946" s="57"/>
      <c r="Z946" s="57"/>
      <c r="AA946" s="57"/>
      <c r="AB946" s="57"/>
      <c r="AC946" s="57"/>
      <c r="AD946" s="57"/>
    </row>
    <row r="947" spans="1:30" ht="15.75">
      <c r="A947" s="13">
        <v>70128</v>
      </c>
      <c r="B947" s="67">
        <f t="shared" si="150"/>
        <v>31</v>
      </c>
      <c r="C947" s="56">
        <f>122.58</f>
        <v>122.58</v>
      </c>
      <c r="D947" s="56">
        <f>297.941</f>
        <v>297.94099999999997</v>
      </c>
      <c r="E947" s="64">
        <f>89.177</f>
        <v>89.177000000000007</v>
      </c>
      <c r="F947" s="56">
        <f>240.302-40-60-100</f>
        <v>40.301999999999992</v>
      </c>
      <c r="G947" s="59">
        <v>40</v>
      </c>
      <c r="H947" s="56">
        <f>60+100</f>
        <v>160</v>
      </c>
      <c r="I947" s="56">
        <f t="shared" si="157"/>
        <v>0</v>
      </c>
      <c r="J947" s="59">
        <v>100</v>
      </c>
      <c r="K947" s="59">
        <v>300</v>
      </c>
      <c r="L947" s="56">
        <f t="shared" si="151"/>
        <v>1150</v>
      </c>
      <c r="M947" s="66">
        <v>600</v>
      </c>
      <c r="N947" s="56">
        <f>100</f>
        <v>100</v>
      </c>
      <c r="O947" s="59">
        <v>240</v>
      </c>
      <c r="P947" s="59">
        <v>40</v>
      </c>
      <c r="Q947" s="59">
        <f t="shared" si="152"/>
        <v>315</v>
      </c>
      <c r="R947" s="59">
        <f t="shared" si="153"/>
        <v>100</v>
      </c>
      <c r="S947" s="56">
        <f t="shared" si="154"/>
        <v>695</v>
      </c>
      <c r="T947" s="56">
        <f>50</f>
        <v>50</v>
      </c>
      <c r="U947" s="57"/>
      <c r="V947" s="57"/>
      <c r="W947" s="57"/>
      <c r="X947" s="57"/>
      <c r="Y947" s="57"/>
      <c r="Z947" s="57"/>
      <c r="AA947" s="57"/>
      <c r="AB947" s="57"/>
      <c r="AC947" s="57"/>
      <c r="AD947" s="57"/>
    </row>
    <row r="948" spans="1:30" ht="15.75">
      <c r="A948" s="13">
        <v>70159</v>
      </c>
      <c r="B948" s="67">
        <f t="shared" si="150"/>
        <v>31</v>
      </c>
      <c r="C948" s="56">
        <f>122.58</f>
        <v>122.58</v>
      </c>
      <c r="D948" s="56">
        <f>297.941</f>
        <v>297.94099999999997</v>
      </c>
      <c r="E948" s="64">
        <f>89.177</f>
        <v>89.177000000000007</v>
      </c>
      <c r="F948" s="56">
        <f>240.302-40-60-100</f>
        <v>40.301999999999992</v>
      </c>
      <c r="G948" s="59">
        <v>40</v>
      </c>
      <c r="H948" s="56">
        <f>60+100</f>
        <v>160</v>
      </c>
      <c r="I948" s="56">
        <f t="shared" si="157"/>
        <v>0</v>
      </c>
      <c r="J948" s="59">
        <v>100</v>
      </c>
      <c r="K948" s="59">
        <v>300</v>
      </c>
      <c r="L948" s="56">
        <f t="shared" si="151"/>
        <v>1150</v>
      </c>
      <c r="M948" s="66">
        <v>600</v>
      </c>
      <c r="N948" s="56">
        <f>100</f>
        <v>100</v>
      </c>
      <c r="O948" s="59">
        <v>240</v>
      </c>
      <c r="P948" s="59">
        <v>40</v>
      </c>
      <c r="Q948" s="59">
        <f t="shared" si="152"/>
        <v>315</v>
      </c>
      <c r="R948" s="59">
        <f t="shared" si="153"/>
        <v>100</v>
      </c>
      <c r="S948" s="56">
        <f t="shared" si="154"/>
        <v>695</v>
      </c>
      <c r="T948" s="56">
        <f>50</f>
        <v>50</v>
      </c>
      <c r="U948" s="57"/>
      <c r="V948" s="57"/>
      <c r="W948" s="57"/>
      <c r="X948" s="57"/>
      <c r="Y948" s="57"/>
      <c r="Z948" s="57"/>
      <c r="AA948" s="57"/>
      <c r="AB948" s="57"/>
      <c r="AC948" s="57"/>
      <c r="AD948" s="57"/>
    </row>
    <row r="949" spans="1:30" ht="15.75">
      <c r="A949" s="13">
        <v>70188</v>
      </c>
      <c r="B949" s="67">
        <f t="shared" si="150"/>
        <v>29</v>
      </c>
      <c r="C949" s="56">
        <f>122.58</f>
        <v>122.58</v>
      </c>
      <c r="D949" s="56">
        <f>297.941</f>
        <v>297.94099999999997</v>
      </c>
      <c r="E949" s="64">
        <f>89.177</f>
        <v>89.177000000000007</v>
      </c>
      <c r="F949" s="56">
        <f>240.302-40-60-100</f>
        <v>40.301999999999992</v>
      </c>
      <c r="G949" s="59">
        <v>40</v>
      </c>
      <c r="H949" s="56">
        <f>60+100</f>
        <v>160</v>
      </c>
      <c r="I949" s="56">
        <f t="shared" si="157"/>
        <v>0</v>
      </c>
      <c r="J949" s="59">
        <v>100</v>
      </c>
      <c r="K949" s="59">
        <v>300</v>
      </c>
      <c r="L949" s="56">
        <f t="shared" si="151"/>
        <v>1150</v>
      </c>
      <c r="M949" s="66">
        <v>600</v>
      </c>
      <c r="N949" s="56">
        <f>100</f>
        <v>100</v>
      </c>
      <c r="O949" s="59">
        <v>240</v>
      </c>
      <c r="P949" s="59">
        <v>40</v>
      </c>
      <c r="Q949" s="59">
        <f t="shared" si="152"/>
        <v>315</v>
      </c>
      <c r="R949" s="59">
        <f t="shared" si="153"/>
        <v>100</v>
      </c>
      <c r="S949" s="56">
        <f t="shared" si="154"/>
        <v>695</v>
      </c>
      <c r="T949" s="56">
        <f>50</f>
        <v>50</v>
      </c>
      <c r="U949" s="57"/>
      <c r="V949" s="57"/>
      <c r="W949" s="57"/>
      <c r="X949" s="57"/>
      <c r="Y949" s="57"/>
      <c r="Z949" s="57"/>
      <c r="AA949" s="57"/>
      <c r="AB949" s="57"/>
      <c r="AC949" s="57"/>
      <c r="AD949" s="57"/>
    </row>
    <row r="950" spans="1:30" ht="15.75">
      <c r="A950" s="13">
        <v>70219</v>
      </c>
      <c r="B950" s="67">
        <f t="shared" si="150"/>
        <v>31</v>
      </c>
      <c r="C950" s="56">
        <f>122.58</f>
        <v>122.58</v>
      </c>
      <c r="D950" s="56">
        <f>297.941</f>
        <v>297.94099999999997</v>
      </c>
      <c r="E950" s="64">
        <f>89.177</f>
        <v>89.177000000000007</v>
      </c>
      <c r="F950" s="56">
        <f>240.302-40-60-100</f>
        <v>40.301999999999992</v>
      </c>
      <c r="G950" s="59">
        <v>40</v>
      </c>
      <c r="H950" s="56">
        <f>60+100</f>
        <v>160</v>
      </c>
      <c r="I950" s="56">
        <f t="shared" si="157"/>
        <v>0</v>
      </c>
      <c r="J950" s="59">
        <v>100</v>
      </c>
      <c r="K950" s="59">
        <v>300</v>
      </c>
      <c r="L950" s="56">
        <f t="shared" si="151"/>
        <v>1150</v>
      </c>
      <c r="M950" s="66">
        <v>600</v>
      </c>
      <c r="N950" s="56">
        <f>100</f>
        <v>100</v>
      </c>
      <c r="O950" s="59">
        <v>240</v>
      </c>
      <c r="P950" s="59">
        <v>40</v>
      </c>
      <c r="Q950" s="59">
        <f t="shared" si="152"/>
        <v>315</v>
      </c>
      <c r="R950" s="59">
        <f t="shared" si="153"/>
        <v>100</v>
      </c>
      <c r="S950" s="56">
        <f t="shared" si="154"/>
        <v>695</v>
      </c>
      <c r="T950" s="56">
        <f>50</f>
        <v>50</v>
      </c>
      <c r="U950" s="57"/>
      <c r="V950" s="57"/>
      <c r="W950" s="57"/>
      <c r="X950" s="57"/>
      <c r="Y950" s="57"/>
      <c r="Z950" s="57"/>
      <c r="AA950" s="57"/>
      <c r="AB950" s="57"/>
      <c r="AC950" s="57"/>
      <c r="AD950" s="57"/>
    </row>
    <row r="951" spans="1:30" ht="15.75">
      <c r="A951" s="13">
        <v>70249</v>
      </c>
      <c r="B951" s="67">
        <f t="shared" si="150"/>
        <v>30</v>
      </c>
      <c r="C951" s="56">
        <f>141.293</f>
        <v>141.29300000000001</v>
      </c>
      <c r="D951" s="56">
        <f>267.993</f>
        <v>267.99299999999999</v>
      </c>
      <c r="E951" s="64">
        <f>115.016</f>
        <v>115.01600000000001</v>
      </c>
      <c r="F951" s="56">
        <f>314.698-40-25-60-100</f>
        <v>89.697999999999979</v>
      </c>
      <c r="G951" s="59">
        <v>40</v>
      </c>
      <c r="H951" s="56">
        <f t="shared" ref="H951:H957" si="159">25+60+100</f>
        <v>185</v>
      </c>
      <c r="I951" s="56">
        <f t="shared" si="157"/>
        <v>0</v>
      </c>
      <c r="J951" s="59">
        <v>100</v>
      </c>
      <c r="K951" s="59">
        <v>300</v>
      </c>
      <c r="L951" s="56">
        <f t="shared" si="151"/>
        <v>1239</v>
      </c>
      <c r="M951" s="66">
        <v>600</v>
      </c>
      <c r="N951" s="56">
        <f>100</f>
        <v>100</v>
      </c>
      <c r="O951" s="59">
        <v>240</v>
      </c>
      <c r="P951" s="59">
        <v>40</v>
      </c>
      <c r="Q951" s="59">
        <f t="shared" si="152"/>
        <v>315</v>
      </c>
      <c r="R951" s="59">
        <f t="shared" si="153"/>
        <v>100</v>
      </c>
      <c r="S951" s="56">
        <f t="shared" si="154"/>
        <v>695</v>
      </c>
      <c r="T951" s="56">
        <f>50</f>
        <v>50</v>
      </c>
      <c r="U951" s="57"/>
      <c r="V951" s="57"/>
      <c r="W951" s="57"/>
      <c r="X951" s="57"/>
      <c r="Y951" s="57"/>
      <c r="Z951" s="57"/>
      <c r="AA951" s="57"/>
      <c r="AB951" s="57"/>
      <c r="AC951" s="57"/>
      <c r="AD951" s="57"/>
    </row>
    <row r="952" spans="1:30" ht="15.75">
      <c r="A952" s="13">
        <v>70280</v>
      </c>
      <c r="B952" s="67">
        <f t="shared" si="150"/>
        <v>31</v>
      </c>
      <c r="C952" s="56">
        <f>194.205</f>
        <v>194.20500000000001</v>
      </c>
      <c r="D952" s="56">
        <f>267.466</f>
        <v>267.46600000000001</v>
      </c>
      <c r="E952" s="64">
        <f>133.845</f>
        <v>133.845</v>
      </c>
      <c r="F952" s="56">
        <f>278.484-40-25-60-100</f>
        <v>53.48399999999998</v>
      </c>
      <c r="G952" s="59">
        <v>40</v>
      </c>
      <c r="H952" s="56">
        <f t="shared" si="159"/>
        <v>185</v>
      </c>
      <c r="I952" s="56">
        <f t="shared" si="157"/>
        <v>0</v>
      </c>
      <c r="J952" s="59">
        <v>100</v>
      </c>
      <c r="K952" s="59">
        <v>300</v>
      </c>
      <c r="L952" s="56">
        <f t="shared" si="151"/>
        <v>1274</v>
      </c>
      <c r="M952" s="66">
        <v>600</v>
      </c>
      <c r="N952" s="56">
        <f>75</f>
        <v>75</v>
      </c>
      <c r="O952" s="59">
        <v>240</v>
      </c>
      <c r="P952" s="59">
        <v>40</v>
      </c>
      <c r="Q952" s="59">
        <f t="shared" si="152"/>
        <v>315</v>
      </c>
      <c r="R952" s="59">
        <f t="shared" si="153"/>
        <v>100</v>
      </c>
      <c r="S952" s="56">
        <f t="shared" si="154"/>
        <v>695</v>
      </c>
      <c r="T952" s="56">
        <f>50</f>
        <v>50</v>
      </c>
      <c r="U952" s="57"/>
      <c r="V952" s="57"/>
      <c r="W952" s="57"/>
      <c r="X952" s="57"/>
      <c r="Y952" s="57"/>
      <c r="Z952" s="57"/>
      <c r="AA952" s="57"/>
      <c r="AB952" s="57"/>
      <c r="AC952" s="57"/>
      <c r="AD952" s="57"/>
    </row>
    <row r="953" spans="1:30" ht="15.75">
      <c r="A953" s="13">
        <v>70310</v>
      </c>
      <c r="B953" s="67">
        <f t="shared" si="150"/>
        <v>30</v>
      </c>
      <c r="C953" s="56">
        <f>194.205</f>
        <v>194.20500000000001</v>
      </c>
      <c r="D953" s="56">
        <f>267.466</f>
        <v>267.46600000000001</v>
      </c>
      <c r="E953" s="64">
        <f>133.845</f>
        <v>133.845</v>
      </c>
      <c r="F953" s="56">
        <f>278.484-40-25-60-100</f>
        <v>53.48399999999998</v>
      </c>
      <c r="G953" s="59">
        <v>40</v>
      </c>
      <c r="H953" s="56">
        <f t="shared" si="159"/>
        <v>185</v>
      </c>
      <c r="I953" s="56">
        <f t="shared" si="157"/>
        <v>0</v>
      </c>
      <c r="J953" s="59">
        <v>100</v>
      </c>
      <c r="K953" s="59">
        <v>300</v>
      </c>
      <c r="L953" s="56">
        <f t="shared" si="151"/>
        <v>1274</v>
      </c>
      <c r="M953" s="66">
        <v>600</v>
      </c>
      <c r="N953" s="56">
        <f>30</f>
        <v>30</v>
      </c>
      <c r="O953" s="59">
        <v>240</v>
      </c>
      <c r="P953" s="59">
        <v>40</v>
      </c>
      <c r="Q953" s="59">
        <f t="shared" si="152"/>
        <v>315</v>
      </c>
      <c r="R953" s="59">
        <f t="shared" si="153"/>
        <v>100</v>
      </c>
      <c r="S953" s="56">
        <f t="shared" si="154"/>
        <v>695</v>
      </c>
      <c r="T953" s="56">
        <f>50</f>
        <v>50</v>
      </c>
      <c r="U953" s="57"/>
      <c r="V953" s="57"/>
      <c r="W953" s="57"/>
      <c r="X953" s="57"/>
      <c r="Y953" s="57"/>
      <c r="Z953" s="57"/>
      <c r="AA953" s="57"/>
      <c r="AB953" s="57"/>
      <c r="AC953" s="57"/>
      <c r="AD953" s="57"/>
    </row>
    <row r="954" spans="1:30" ht="15.75">
      <c r="A954" s="13">
        <v>70341</v>
      </c>
      <c r="B954" s="67">
        <f t="shared" si="150"/>
        <v>31</v>
      </c>
      <c r="C954" s="56">
        <f>194.205</f>
        <v>194.20500000000001</v>
      </c>
      <c r="D954" s="56">
        <f>267.466</f>
        <v>267.46600000000001</v>
      </c>
      <c r="E954" s="64">
        <f>133.845</f>
        <v>133.845</v>
      </c>
      <c r="F954" s="56">
        <f>278.484-40-25-60-100</f>
        <v>53.48399999999998</v>
      </c>
      <c r="G954" s="59">
        <v>40</v>
      </c>
      <c r="H954" s="56">
        <f t="shared" si="159"/>
        <v>185</v>
      </c>
      <c r="I954" s="56">
        <f t="shared" si="157"/>
        <v>0</v>
      </c>
      <c r="J954" s="59">
        <v>100</v>
      </c>
      <c r="K954" s="59">
        <v>300</v>
      </c>
      <c r="L954" s="56">
        <f t="shared" si="151"/>
        <v>1274</v>
      </c>
      <c r="M954" s="66">
        <v>600</v>
      </c>
      <c r="N954" s="56">
        <f>30</f>
        <v>30</v>
      </c>
      <c r="O954" s="59">
        <v>240</v>
      </c>
      <c r="P954" s="59">
        <v>40</v>
      </c>
      <c r="Q954" s="59">
        <f t="shared" si="152"/>
        <v>315</v>
      </c>
      <c r="R954" s="59">
        <f t="shared" si="153"/>
        <v>100</v>
      </c>
      <c r="S954" s="56">
        <f t="shared" si="154"/>
        <v>695</v>
      </c>
      <c r="T954" s="56">
        <f>0</f>
        <v>0</v>
      </c>
      <c r="U954" s="57"/>
      <c r="V954" s="57"/>
      <c r="W954" s="57"/>
      <c r="X954" s="57"/>
      <c r="Y954" s="57"/>
      <c r="Z954" s="57"/>
      <c r="AA954" s="57"/>
      <c r="AB954" s="57"/>
      <c r="AC954" s="57"/>
      <c r="AD954" s="57"/>
    </row>
    <row r="955" spans="1:30" ht="15.75">
      <c r="A955" s="13">
        <v>70372</v>
      </c>
      <c r="B955" s="67">
        <f t="shared" si="150"/>
        <v>31</v>
      </c>
      <c r="C955" s="56">
        <f>194.205</f>
        <v>194.20500000000001</v>
      </c>
      <c r="D955" s="56">
        <f>267.466</f>
        <v>267.46600000000001</v>
      </c>
      <c r="E955" s="64">
        <f>133.845</f>
        <v>133.845</v>
      </c>
      <c r="F955" s="56">
        <f>278.484-40-25-60-100</f>
        <v>53.48399999999998</v>
      </c>
      <c r="G955" s="59">
        <v>40</v>
      </c>
      <c r="H955" s="56">
        <f t="shared" si="159"/>
        <v>185</v>
      </c>
      <c r="I955" s="56">
        <f t="shared" si="157"/>
        <v>0</v>
      </c>
      <c r="J955" s="59">
        <v>100</v>
      </c>
      <c r="K955" s="59">
        <v>300</v>
      </c>
      <c r="L955" s="56">
        <f t="shared" si="151"/>
        <v>1274</v>
      </c>
      <c r="M955" s="66">
        <v>600</v>
      </c>
      <c r="N955" s="56">
        <f>30</f>
        <v>30</v>
      </c>
      <c r="O955" s="59">
        <v>240</v>
      </c>
      <c r="P955" s="59">
        <v>40</v>
      </c>
      <c r="Q955" s="59">
        <f t="shared" si="152"/>
        <v>315</v>
      </c>
      <c r="R955" s="59">
        <f t="shared" si="153"/>
        <v>100</v>
      </c>
      <c r="S955" s="56">
        <f t="shared" si="154"/>
        <v>695</v>
      </c>
      <c r="T955" s="56">
        <f>0</f>
        <v>0</v>
      </c>
      <c r="U955" s="57"/>
      <c r="V955" s="57"/>
      <c r="W955" s="57"/>
      <c r="X955" s="57"/>
      <c r="Y955" s="57"/>
      <c r="Z955" s="57"/>
      <c r="AA955" s="57"/>
      <c r="AB955" s="57"/>
      <c r="AC955" s="57"/>
      <c r="AD955" s="57"/>
    </row>
    <row r="956" spans="1:30" ht="15.75">
      <c r="A956" s="13">
        <v>70402</v>
      </c>
      <c r="B956" s="67">
        <f t="shared" si="150"/>
        <v>30</v>
      </c>
      <c r="C956" s="56">
        <f>194.205</f>
        <v>194.20500000000001</v>
      </c>
      <c r="D956" s="56">
        <f>267.466</f>
        <v>267.46600000000001</v>
      </c>
      <c r="E956" s="64">
        <f>133.845</f>
        <v>133.845</v>
      </c>
      <c r="F956" s="56">
        <f>278.484-40-25-60-100</f>
        <v>53.48399999999998</v>
      </c>
      <c r="G956" s="59">
        <v>40</v>
      </c>
      <c r="H956" s="56">
        <f t="shared" si="159"/>
        <v>185</v>
      </c>
      <c r="I956" s="56">
        <f t="shared" si="157"/>
        <v>0</v>
      </c>
      <c r="J956" s="59">
        <v>100</v>
      </c>
      <c r="K956" s="59">
        <v>300</v>
      </c>
      <c r="L956" s="56">
        <f t="shared" si="151"/>
        <v>1274</v>
      </c>
      <c r="M956" s="66">
        <v>600</v>
      </c>
      <c r="N956" s="56">
        <f>30</f>
        <v>30</v>
      </c>
      <c r="O956" s="59">
        <v>240</v>
      </c>
      <c r="P956" s="59">
        <v>40</v>
      </c>
      <c r="Q956" s="59">
        <f t="shared" si="152"/>
        <v>315</v>
      </c>
      <c r="R956" s="59">
        <f t="shared" si="153"/>
        <v>100</v>
      </c>
      <c r="S956" s="56">
        <f t="shared" si="154"/>
        <v>695</v>
      </c>
      <c r="T956" s="56">
        <f>0</f>
        <v>0</v>
      </c>
      <c r="U956" s="57"/>
      <c r="V956" s="57"/>
      <c r="W956" s="57"/>
      <c r="X956" s="57"/>
      <c r="Y956" s="57"/>
      <c r="Z956" s="57"/>
      <c r="AA956" s="57"/>
      <c r="AB956" s="57"/>
      <c r="AC956" s="57"/>
      <c r="AD956" s="57"/>
    </row>
    <row r="957" spans="1:30" ht="15.75">
      <c r="A957" s="13">
        <v>70433</v>
      </c>
      <c r="B957" s="67">
        <f t="shared" si="150"/>
        <v>31</v>
      </c>
      <c r="C957" s="56">
        <f>131.881</f>
        <v>131.881</v>
      </c>
      <c r="D957" s="56">
        <f>277.167</f>
        <v>277.16699999999997</v>
      </c>
      <c r="E957" s="64">
        <f>79.08</f>
        <v>79.08</v>
      </c>
      <c r="F957" s="56">
        <f>350.872-40-25-60-100</f>
        <v>125.87200000000001</v>
      </c>
      <c r="G957" s="59">
        <v>40</v>
      </c>
      <c r="H957" s="56">
        <f t="shared" si="159"/>
        <v>185</v>
      </c>
      <c r="I957" s="56">
        <f t="shared" si="157"/>
        <v>0</v>
      </c>
      <c r="J957" s="59">
        <v>100</v>
      </c>
      <c r="K957" s="59">
        <v>300</v>
      </c>
      <c r="L957" s="56">
        <f t="shared" si="151"/>
        <v>1239</v>
      </c>
      <c r="M957" s="66">
        <v>600</v>
      </c>
      <c r="N957" s="56">
        <f>75</f>
        <v>75</v>
      </c>
      <c r="O957" s="59">
        <v>240</v>
      </c>
      <c r="P957" s="59">
        <v>40</v>
      </c>
      <c r="Q957" s="59">
        <f t="shared" si="152"/>
        <v>315</v>
      </c>
      <c r="R957" s="59">
        <f t="shared" si="153"/>
        <v>100</v>
      </c>
      <c r="S957" s="56">
        <f t="shared" si="154"/>
        <v>695</v>
      </c>
      <c r="T957" s="56">
        <f>0</f>
        <v>0</v>
      </c>
      <c r="U957" s="57"/>
      <c r="V957" s="57"/>
      <c r="W957" s="57"/>
      <c r="X957" s="57"/>
      <c r="Y957" s="57"/>
      <c r="Z957" s="57"/>
      <c r="AA957" s="57"/>
      <c r="AB957" s="57"/>
      <c r="AC957" s="57"/>
      <c r="AD957" s="57"/>
    </row>
    <row r="958" spans="1:30" ht="15.75">
      <c r="A958" s="13">
        <v>70463</v>
      </c>
      <c r="B958" s="67">
        <f t="shared" si="150"/>
        <v>30</v>
      </c>
      <c r="C958" s="56">
        <f>122.58</f>
        <v>122.58</v>
      </c>
      <c r="D958" s="56">
        <f>297.941</f>
        <v>297.94099999999997</v>
      </c>
      <c r="E958" s="64">
        <f>89.177</f>
        <v>89.177000000000007</v>
      </c>
      <c r="F958" s="56">
        <f>240.302-40-60-100</f>
        <v>40.301999999999992</v>
      </c>
      <c r="G958" s="59">
        <v>40</v>
      </c>
      <c r="H958" s="56">
        <f>60+100</f>
        <v>160</v>
      </c>
      <c r="I958" s="56">
        <f t="shared" si="157"/>
        <v>0</v>
      </c>
      <c r="J958" s="59">
        <v>100</v>
      </c>
      <c r="K958" s="59">
        <v>300</v>
      </c>
      <c r="L958" s="56">
        <f t="shared" si="151"/>
        <v>1150</v>
      </c>
      <c r="M958" s="66">
        <v>600</v>
      </c>
      <c r="N958" s="56">
        <f>100</f>
        <v>100</v>
      </c>
      <c r="O958" s="59">
        <v>240</v>
      </c>
      <c r="P958" s="59">
        <v>40</v>
      </c>
      <c r="Q958" s="59">
        <f t="shared" si="152"/>
        <v>315</v>
      </c>
      <c r="R958" s="59">
        <f t="shared" si="153"/>
        <v>100</v>
      </c>
      <c r="S958" s="56">
        <f t="shared" si="154"/>
        <v>695</v>
      </c>
      <c r="T958" s="56">
        <f>50</f>
        <v>50</v>
      </c>
      <c r="U958" s="57"/>
      <c r="V958" s="57"/>
      <c r="W958" s="57"/>
      <c r="X958" s="57"/>
      <c r="Y958" s="57"/>
      <c r="Z958" s="57"/>
      <c r="AA958" s="57"/>
      <c r="AB958" s="57"/>
      <c r="AC958" s="57"/>
      <c r="AD958" s="57"/>
    </row>
    <row r="959" spans="1:30" ht="15.75">
      <c r="A959" s="13">
        <v>70494</v>
      </c>
      <c r="B959" s="67">
        <f t="shared" si="150"/>
        <v>31</v>
      </c>
      <c r="C959" s="56">
        <f>122.58</f>
        <v>122.58</v>
      </c>
      <c r="D959" s="56">
        <f>297.941</f>
        <v>297.94099999999997</v>
      </c>
      <c r="E959" s="64">
        <f>89.177</f>
        <v>89.177000000000007</v>
      </c>
      <c r="F959" s="56">
        <f>240.302-40-60-100</f>
        <v>40.301999999999992</v>
      </c>
      <c r="G959" s="59">
        <v>40</v>
      </c>
      <c r="H959" s="56">
        <f>60+100</f>
        <v>160</v>
      </c>
      <c r="I959" s="56">
        <f t="shared" si="157"/>
        <v>0</v>
      </c>
      <c r="J959" s="59">
        <v>100</v>
      </c>
      <c r="K959" s="59">
        <v>300</v>
      </c>
      <c r="L959" s="56">
        <f t="shared" si="151"/>
        <v>1150</v>
      </c>
      <c r="M959" s="66">
        <v>600</v>
      </c>
      <c r="N959" s="56">
        <f>100</f>
        <v>100</v>
      </c>
      <c r="O959" s="59">
        <v>240</v>
      </c>
      <c r="P959" s="59">
        <v>40</v>
      </c>
      <c r="Q959" s="59">
        <f t="shared" si="152"/>
        <v>315</v>
      </c>
      <c r="R959" s="59">
        <f t="shared" si="153"/>
        <v>100</v>
      </c>
      <c r="S959" s="56">
        <f t="shared" si="154"/>
        <v>695</v>
      </c>
      <c r="T959" s="56">
        <f>50</f>
        <v>50</v>
      </c>
      <c r="U959" s="57"/>
      <c r="V959" s="57"/>
      <c r="W959" s="57"/>
      <c r="X959" s="57"/>
      <c r="Y959" s="57"/>
      <c r="Z959" s="57"/>
      <c r="AA959" s="57"/>
      <c r="AB959" s="57"/>
      <c r="AC959" s="57"/>
      <c r="AD959" s="57"/>
    </row>
    <row r="960" spans="1:30" ht="15.75">
      <c r="A960" s="13">
        <v>70525</v>
      </c>
      <c r="B960" s="67">
        <f t="shared" si="150"/>
        <v>31</v>
      </c>
      <c r="C960" s="56">
        <f>122.58</f>
        <v>122.58</v>
      </c>
      <c r="D960" s="56">
        <f>297.941</f>
        <v>297.94099999999997</v>
      </c>
      <c r="E960" s="64">
        <f>89.177</f>
        <v>89.177000000000007</v>
      </c>
      <c r="F960" s="56">
        <f>240.302-40-60-100</f>
        <v>40.301999999999992</v>
      </c>
      <c r="G960" s="59">
        <v>40</v>
      </c>
      <c r="H960" s="56">
        <f>60+100</f>
        <v>160</v>
      </c>
      <c r="I960" s="56">
        <f t="shared" si="157"/>
        <v>0</v>
      </c>
      <c r="J960" s="59">
        <v>100</v>
      </c>
      <c r="K960" s="59">
        <v>300</v>
      </c>
      <c r="L960" s="56">
        <f t="shared" si="151"/>
        <v>1150</v>
      </c>
      <c r="M960" s="66">
        <v>600</v>
      </c>
      <c r="N960" s="56">
        <f>100</f>
        <v>100</v>
      </c>
      <c r="O960" s="59">
        <v>240</v>
      </c>
      <c r="P960" s="59">
        <v>40</v>
      </c>
      <c r="Q960" s="59">
        <f t="shared" si="152"/>
        <v>315</v>
      </c>
      <c r="R960" s="59">
        <f t="shared" si="153"/>
        <v>100</v>
      </c>
      <c r="S960" s="56">
        <f t="shared" si="154"/>
        <v>695</v>
      </c>
      <c r="T960" s="56">
        <f>50</f>
        <v>50</v>
      </c>
      <c r="U960" s="57"/>
      <c r="V960" s="57"/>
      <c r="W960" s="57"/>
      <c r="X960" s="57"/>
      <c r="Y960" s="57"/>
      <c r="Z960" s="57"/>
      <c r="AA960" s="57"/>
      <c r="AB960" s="57"/>
      <c r="AC960" s="57"/>
      <c r="AD960" s="57"/>
    </row>
    <row r="961" spans="1:30" ht="15.75">
      <c r="A961" s="13">
        <v>70553</v>
      </c>
      <c r="B961" s="67">
        <f t="shared" si="150"/>
        <v>28</v>
      </c>
      <c r="C961" s="56">
        <f>122.58</f>
        <v>122.58</v>
      </c>
      <c r="D961" s="56">
        <f>297.941</f>
        <v>297.94099999999997</v>
      </c>
      <c r="E961" s="64">
        <f>89.177</f>
        <v>89.177000000000007</v>
      </c>
      <c r="F961" s="56">
        <f>240.302-40-60-100</f>
        <v>40.301999999999992</v>
      </c>
      <c r="G961" s="59">
        <v>40</v>
      </c>
      <c r="H961" s="56">
        <f>60+100</f>
        <v>160</v>
      </c>
      <c r="I961" s="56">
        <f t="shared" si="157"/>
        <v>0</v>
      </c>
      <c r="J961" s="59">
        <v>100</v>
      </c>
      <c r="K961" s="59">
        <v>300</v>
      </c>
      <c r="L961" s="56">
        <f t="shared" si="151"/>
        <v>1150</v>
      </c>
      <c r="M961" s="66">
        <v>600</v>
      </c>
      <c r="N961" s="56">
        <f>100</f>
        <v>100</v>
      </c>
      <c r="O961" s="59">
        <v>240</v>
      </c>
      <c r="P961" s="59">
        <v>40</v>
      </c>
      <c r="Q961" s="59">
        <f t="shared" si="152"/>
        <v>315</v>
      </c>
      <c r="R961" s="59">
        <f t="shared" si="153"/>
        <v>100</v>
      </c>
      <c r="S961" s="56">
        <f t="shared" si="154"/>
        <v>695</v>
      </c>
      <c r="T961" s="56">
        <f>50</f>
        <v>50</v>
      </c>
      <c r="U961" s="57"/>
      <c r="V961" s="57"/>
      <c r="W961" s="57"/>
      <c r="X961" s="57"/>
      <c r="Y961" s="57"/>
      <c r="Z961" s="57"/>
      <c r="AA961" s="57"/>
      <c r="AB961" s="57"/>
      <c r="AC961" s="57"/>
      <c r="AD961" s="57"/>
    </row>
    <row r="962" spans="1:30" ht="15.75">
      <c r="A962" s="13">
        <v>70584</v>
      </c>
      <c r="B962" s="67">
        <f t="shared" si="150"/>
        <v>31</v>
      </c>
      <c r="C962" s="56">
        <f>122.58</f>
        <v>122.58</v>
      </c>
      <c r="D962" s="56">
        <f>297.941</f>
        <v>297.94099999999997</v>
      </c>
      <c r="E962" s="64">
        <f>89.177</f>
        <v>89.177000000000007</v>
      </c>
      <c r="F962" s="56">
        <f>240.302-40-60-100</f>
        <v>40.301999999999992</v>
      </c>
      <c r="G962" s="59">
        <v>40</v>
      </c>
      <c r="H962" s="56">
        <f>60+100</f>
        <v>160</v>
      </c>
      <c r="I962" s="56">
        <f t="shared" si="157"/>
        <v>0</v>
      </c>
      <c r="J962" s="59">
        <v>100</v>
      </c>
      <c r="K962" s="59">
        <v>300</v>
      </c>
      <c r="L962" s="56">
        <f t="shared" si="151"/>
        <v>1150</v>
      </c>
      <c r="M962" s="66">
        <v>600</v>
      </c>
      <c r="N962" s="56">
        <f>100</f>
        <v>100</v>
      </c>
      <c r="O962" s="59">
        <v>240</v>
      </c>
      <c r="P962" s="59">
        <v>40</v>
      </c>
      <c r="Q962" s="59">
        <f t="shared" si="152"/>
        <v>315</v>
      </c>
      <c r="R962" s="59">
        <f t="shared" si="153"/>
        <v>100</v>
      </c>
      <c r="S962" s="56">
        <f t="shared" si="154"/>
        <v>695</v>
      </c>
      <c r="T962" s="56">
        <f>50</f>
        <v>50</v>
      </c>
      <c r="U962" s="57"/>
      <c r="V962" s="57"/>
      <c r="W962" s="57"/>
      <c r="X962" s="57"/>
      <c r="Y962" s="57"/>
      <c r="Z962" s="57"/>
      <c r="AA962" s="57"/>
      <c r="AB962" s="57"/>
      <c r="AC962" s="57"/>
      <c r="AD962" s="57"/>
    </row>
    <row r="963" spans="1:30" ht="15.75">
      <c r="A963" s="13">
        <v>70614</v>
      </c>
      <c r="B963" s="67">
        <f t="shared" si="150"/>
        <v>30</v>
      </c>
      <c r="C963" s="56">
        <f>141.293</f>
        <v>141.29300000000001</v>
      </c>
      <c r="D963" s="56">
        <f>267.993</f>
        <v>267.99299999999999</v>
      </c>
      <c r="E963" s="64">
        <f>115.016</f>
        <v>115.01600000000001</v>
      </c>
      <c r="F963" s="56">
        <f>314.698-40-25-60-100</f>
        <v>89.697999999999979</v>
      </c>
      <c r="G963" s="59">
        <v>40</v>
      </c>
      <c r="H963" s="56">
        <f t="shared" ref="H963:H969" si="160">25+60+100</f>
        <v>185</v>
      </c>
      <c r="I963" s="56">
        <f t="shared" si="157"/>
        <v>0</v>
      </c>
      <c r="J963" s="59">
        <v>100</v>
      </c>
      <c r="K963" s="59">
        <v>300</v>
      </c>
      <c r="L963" s="56">
        <f t="shared" si="151"/>
        <v>1239</v>
      </c>
      <c r="M963" s="66">
        <v>600</v>
      </c>
      <c r="N963" s="56">
        <f>100</f>
        <v>100</v>
      </c>
      <c r="O963" s="59">
        <v>240</v>
      </c>
      <c r="P963" s="59">
        <v>40</v>
      </c>
      <c r="Q963" s="59">
        <f t="shared" si="152"/>
        <v>315</v>
      </c>
      <c r="R963" s="59">
        <f t="shared" si="153"/>
        <v>100</v>
      </c>
      <c r="S963" s="56">
        <f t="shared" si="154"/>
        <v>695</v>
      </c>
      <c r="T963" s="56">
        <f>50</f>
        <v>50</v>
      </c>
      <c r="U963" s="57"/>
      <c r="V963" s="57"/>
      <c r="W963" s="57"/>
      <c r="X963" s="57"/>
      <c r="Y963" s="57"/>
      <c r="Z963" s="57"/>
      <c r="AA963" s="57"/>
      <c r="AB963" s="57"/>
      <c r="AC963" s="57"/>
      <c r="AD963" s="57"/>
    </row>
    <row r="964" spans="1:30" ht="15.75">
      <c r="A964" s="13">
        <v>70645</v>
      </c>
      <c r="B964" s="67">
        <f t="shared" si="150"/>
        <v>31</v>
      </c>
      <c r="C964" s="56">
        <f>194.205</f>
        <v>194.20500000000001</v>
      </c>
      <c r="D964" s="56">
        <f>267.466</f>
        <v>267.46600000000001</v>
      </c>
      <c r="E964" s="64">
        <f>133.845</f>
        <v>133.845</v>
      </c>
      <c r="F964" s="56">
        <f>278.484-40-25-60-100</f>
        <v>53.48399999999998</v>
      </c>
      <c r="G964" s="59">
        <v>40</v>
      </c>
      <c r="H964" s="56">
        <f t="shared" si="160"/>
        <v>185</v>
      </c>
      <c r="I964" s="56">
        <f t="shared" si="157"/>
        <v>0</v>
      </c>
      <c r="J964" s="59">
        <v>100</v>
      </c>
      <c r="K964" s="59">
        <v>300</v>
      </c>
      <c r="L964" s="56">
        <f t="shared" si="151"/>
        <v>1274</v>
      </c>
      <c r="M964" s="66">
        <v>600</v>
      </c>
      <c r="N964" s="56">
        <f>75</f>
        <v>75</v>
      </c>
      <c r="O964" s="59">
        <v>240</v>
      </c>
      <c r="P964" s="59">
        <v>40</v>
      </c>
      <c r="Q964" s="59">
        <f t="shared" si="152"/>
        <v>315</v>
      </c>
      <c r="R964" s="59">
        <f t="shared" si="153"/>
        <v>100</v>
      </c>
      <c r="S964" s="56">
        <f t="shared" si="154"/>
        <v>695</v>
      </c>
      <c r="T964" s="56">
        <f>50</f>
        <v>50</v>
      </c>
      <c r="U964" s="57"/>
      <c r="V964" s="57"/>
      <c r="W964" s="57"/>
      <c r="X964" s="57"/>
      <c r="Y964" s="57"/>
      <c r="Z964" s="57"/>
      <c r="AA964" s="57"/>
      <c r="AB964" s="57"/>
      <c r="AC964" s="57"/>
      <c r="AD964" s="57"/>
    </row>
    <row r="965" spans="1:30" ht="15.75">
      <c r="A965" s="13">
        <v>70675</v>
      </c>
      <c r="B965" s="67">
        <f t="shared" si="150"/>
        <v>30</v>
      </c>
      <c r="C965" s="56">
        <f>194.205</f>
        <v>194.20500000000001</v>
      </c>
      <c r="D965" s="56">
        <f>267.466</f>
        <v>267.46600000000001</v>
      </c>
      <c r="E965" s="64">
        <f>133.845</f>
        <v>133.845</v>
      </c>
      <c r="F965" s="56">
        <f>278.484-40-25-60-100</f>
        <v>53.48399999999998</v>
      </c>
      <c r="G965" s="59">
        <v>40</v>
      </c>
      <c r="H965" s="56">
        <f t="shared" si="160"/>
        <v>185</v>
      </c>
      <c r="I965" s="56">
        <f t="shared" si="157"/>
        <v>0</v>
      </c>
      <c r="J965" s="59">
        <v>100</v>
      </c>
      <c r="K965" s="59">
        <v>300</v>
      </c>
      <c r="L965" s="56">
        <f t="shared" si="151"/>
        <v>1274</v>
      </c>
      <c r="M965" s="66">
        <v>600</v>
      </c>
      <c r="N965" s="56">
        <f>30</f>
        <v>30</v>
      </c>
      <c r="O965" s="59">
        <v>240</v>
      </c>
      <c r="P965" s="59">
        <v>40</v>
      </c>
      <c r="Q965" s="59">
        <f t="shared" si="152"/>
        <v>315</v>
      </c>
      <c r="R965" s="59">
        <f t="shared" si="153"/>
        <v>100</v>
      </c>
      <c r="S965" s="56">
        <f t="shared" si="154"/>
        <v>695</v>
      </c>
      <c r="T965" s="56">
        <f>50</f>
        <v>50</v>
      </c>
      <c r="U965" s="57"/>
      <c r="V965" s="57"/>
      <c r="W965" s="57"/>
      <c r="X965" s="57"/>
      <c r="Y965" s="57"/>
      <c r="Z965" s="57"/>
      <c r="AA965" s="57"/>
      <c r="AB965" s="57"/>
      <c r="AC965" s="57"/>
      <c r="AD965" s="57"/>
    </row>
    <row r="966" spans="1:30" ht="15.75">
      <c r="A966" s="13">
        <v>70706</v>
      </c>
      <c r="B966" s="67">
        <f t="shared" si="150"/>
        <v>31</v>
      </c>
      <c r="C966" s="56">
        <f>194.205</f>
        <v>194.20500000000001</v>
      </c>
      <c r="D966" s="56">
        <f>267.466</f>
        <v>267.46600000000001</v>
      </c>
      <c r="E966" s="64">
        <f>133.845</f>
        <v>133.845</v>
      </c>
      <c r="F966" s="56">
        <f>278.484-40-25-60-100</f>
        <v>53.48399999999998</v>
      </c>
      <c r="G966" s="59">
        <v>40</v>
      </c>
      <c r="H966" s="56">
        <f t="shared" si="160"/>
        <v>185</v>
      </c>
      <c r="I966" s="56">
        <f t="shared" si="157"/>
        <v>0</v>
      </c>
      <c r="J966" s="59">
        <v>100</v>
      </c>
      <c r="K966" s="59">
        <v>300</v>
      </c>
      <c r="L966" s="56">
        <f t="shared" si="151"/>
        <v>1274</v>
      </c>
      <c r="M966" s="66">
        <v>600</v>
      </c>
      <c r="N966" s="56">
        <f>30</f>
        <v>30</v>
      </c>
      <c r="O966" s="59">
        <v>240</v>
      </c>
      <c r="P966" s="59">
        <v>40</v>
      </c>
      <c r="Q966" s="59">
        <f t="shared" si="152"/>
        <v>315</v>
      </c>
      <c r="R966" s="59">
        <f t="shared" si="153"/>
        <v>100</v>
      </c>
      <c r="S966" s="56">
        <f t="shared" si="154"/>
        <v>695</v>
      </c>
      <c r="T966" s="56">
        <f>0</f>
        <v>0</v>
      </c>
      <c r="U966" s="57"/>
      <c r="V966" s="57"/>
      <c r="W966" s="57"/>
      <c r="X966" s="57"/>
      <c r="Y966" s="57"/>
      <c r="Z966" s="57"/>
      <c r="AA966" s="57"/>
      <c r="AB966" s="57"/>
      <c r="AC966" s="57"/>
      <c r="AD966" s="57"/>
    </row>
    <row r="967" spans="1:30" ht="15.75">
      <c r="A967" s="13">
        <v>70737</v>
      </c>
      <c r="B967" s="67">
        <f t="shared" si="150"/>
        <v>31</v>
      </c>
      <c r="C967" s="56">
        <f>194.205</f>
        <v>194.20500000000001</v>
      </c>
      <c r="D967" s="56">
        <f>267.466</f>
        <v>267.46600000000001</v>
      </c>
      <c r="E967" s="64">
        <f>133.845</f>
        <v>133.845</v>
      </c>
      <c r="F967" s="56">
        <f>278.484-40-25-60-100</f>
        <v>53.48399999999998</v>
      </c>
      <c r="G967" s="59">
        <v>40</v>
      </c>
      <c r="H967" s="56">
        <f t="shared" si="160"/>
        <v>185</v>
      </c>
      <c r="I967" s="56">
        <f t="shared" si="157"/>
        <v>0</v>
      </c>
      <c r="J967" s="59">
        <v>100</v>
      </c>
      <c r="K967" s="59">
        <v>300</v>
      </c>
      <c r="L967" s="56">
        <f t="shared" si="151"/>
        <v>1274</v>
      </c>
      <c r="M967" s="66">
        <v>600</v>
      </c>
      <c r="N967" s="56">
        <f>30</f>
        <v>30</v>
      </c>
      <c r="O967" s="59">
        <v>240</v>
      </c>
      <c r="P967" s="59">
        <v>40</v>
      </c>
      <c r="Q967" s="59">
        <f t="shared" si="152"/>
        <v>315</v>
      </c>
      <c r="R967" s="59">
        <f t="shared" si="153"/>
        <v>100</v>
      </c>
      <c r="S967" s="56">
        <f t="shared" si="154"/>
        <v>695</v>
      </c>
      <c r="T967" s="56">
        <f>0</f>
        <v>0</v>
      </c>
      <c r="U967" s="57"/>
      <c r="V967" s="57"/>
      <c r="W967" s="57"/>
      <c r="X967" s="57"/>
      <c r="Y967" s="57"/>
      <c r="Z967" s="57"/>
      <c r="AA967" s="57"/>
      <c r="AB967" s="57"/>
      <c r="AC967" s="57"/>
      <c r="AD967" s="57"/>
    </row>
    <row r="968" spans="1:30" ht="15.75">
      <c r="A968" s="13">
        <v>70767</v>
      </c>
      <c r="B968" s="67">
        <f t="shared" si="150"/>
        <v>30</v>
      </c>
      <c r="C968" s="56">
        <f>194.205</f>
        <v>194.20500000000001</v>
      </c>
      <c r="D968" s="56">
        <f>267.466</f>
        <v>267.46600000000001</v>
      </c>
      <c r="E968" s="64">
        <f>133.845</f>
        <v>133.845</v>
      </c>
      <c r="F968" s="56">
        <f>278.484-40-25-60-100</f>
        <v>53.48399999999998</v>
      </c>
      <c r="G968" s="59">
        <v>40</v>
      </c>
      <c r="H968" s="56">
        <f t="shared" si="160"/>
        <v>185</v>
      </c>
      <c r="I968" s="56">
        <f t="shared" si="157"/>
        <v>0</v>
      </c>
      <c r="J968" s="59">
        <v>100</v>
      </c>
      <c r="K968" s="59">
        <v>300</v>
      </c>
      <c r="L968" s="56">
        <f t="shared" si="151"/>
        <v>1274</v>
      </c>
      <c r="M968" s="66">
        <v>600</v>
      </c>
      <c r="N968" s="56">
        <f>30</f>
        <v>30</v>
      </c>
      <c r="O968" s="59">
        <v>240</v>
      </c>
      <c r="P968" s="59">
        <v>40</v>
      </c>
      <c r="Q968" s="59">
        <f t="shared" si="152"/>
        <v>315</v>
      </c>
      <c r="R968" s="59">
        <f t="shared" si="153"/>
        <v>100</v>
      </c>
      <c r="S968" s="56">
        <f t="shared" si="154"/>
        <v>695</v>
      </c>
      <c r="T968" s="56">
        <f>0</f>
        <v>0</v>
      </c>
      <c r="U968" s="57"/>
      <c r="V968" s="57"/>
      <c r="W968" s="57"/>
      <c r="X968" s="57"/>
      <c r="Y968" s="57"/>
      <c r="Z968" s="57"/>
      <c r="AA968" s="57"/>
      <c r="AB968" s="57"/>
      <c r="AC968" s="57"/>
      <c r="AD968" s="57"/>
    </row>
    <row r="969" spans="1:30" ht="15.75">
      <c r="A969" s="13">
        <v>70798</v>
      </c>
      <c r="B969" s="67">
        <f t="shared" si="150"/>
        <v>31</v>
      </c>
      <c r="C969" s="56">
        <f>131.881</f>
        <v>131.881</v>
      </c>
      <c r="D969" s="56">
        <f>277.167</f>
        <v>277.16699999999997</v>
      </c>
      <c r="E969" s="64">
        <f>79.08</f>
        <v>79.08</v>
      </c>
      <c r="F969" s="56">
        <f>350.872-40-25-60-100</f>
        <v>125.87200000000001</v>
      </c>
      <c r="G969" s="59">
        <v>40</v>
      </c>
      <c r="H969" s="56">
        <f t="shared" si="160"/>
        <v>185</v>
      </c>
      <c r="I969" s="56">
        <f t="shared" si="157"/>
        <v>0</v>
      </c>
      <c r="J969" s="59">
        <v>100</v>
      </c>
      <c r="K969" s="59">
        <v>300</v>
      </c>
      <c r="L969" s="56">
        <f t="shared" si="151"/>
        <v>1239</v>
      </c>
      <c r="M969" s="66">
        <v>600</v>
      </c>
      <c r="N969" s="56">
        <f>75</f>
        <v>75</v>
      </c>
      <c r="O969" s="59">
        <v>240</v>
      </c>
      <c r="P969" s="59">
        <v>40</v>
      </c>
      <c r="Q969" s="59">
        <f t="shared" si="152"/>
        <v>315</v>
      </c>
      <c r="R969" s="59">
        <f t="shared" si="153"/>
        <v>100</v>
      </c>
      <c r="S969" s="56">
        <f t="shared" si="154"/>
        <v>695</v>
      </c>
      <c r="T969" s="56">
        <f>0</f>
        <v>0</v>
      </c>
      <c r="U969" s="57"/>
      <c r="V969" s="57"/>
      <c r="W969" s="57"/>
      <c r="X969" s="57"/>
      <c r="Y969" s="57"/>
      <c r="Z969" s="57"/>
      <c r="AA969" s="57"/>
      <c r="AB969" s="57"/>
      <c r="AC969" s="57"/>
      <c r="AD969" s="57"/>
    </row>
    <row r="970" spans="1:30" ht="15.75">
      <c r="A970" s="13">
        <v>70828</v>
      </c>
      <c r="B970" s="67">
        <f t="shared" si="150"/>
        <v>30</v>
      </c>
      <c r="C970" s="56">
        <f>122.58</f>
        <v>122.58</v>
      </c>
      <c r="D970" s="56">
        <f>297.941</f>
        <v>297.94099999999997</v>
      </c>
      <c r="E970" s="64">
        <f>89.177</f>
        <v>89.177000000000007</v>
      </c>
      <c r="F970" s="56">
        <f>240.302-40-60-100</f>
        <v>40.301999999999992</v>
      </c>
      <c r="G970" s="59">
        <v>40</v>
      </c>
      <c r="H970" s="56">
        <f>60+100</f>
        <v>160</v>
      </c>
      <c r="I970" s="56">
        <f t="shared" si="157"/>
        <v>0</v>
      </c>
      <c r="J970" s="59">
        <v>100</v>
      </c>
      <c r="K970" s="59">
        <v>300</v>
      </c>
      <c r="L970" s="56">
        <f t="shared" si="151"/>
        <v>1150</v>
      </c>
      <c r="M970" s="66">
        <v>600</v>
      </c>
      <c r="N970" s="56">
        <f>100</f>
        <v>100</v>
      </c>
      <c r="O970" s="59">
        <v>240</v>
      </c>
      <c r="P970" s="59">
        <v>40</v>
      </c>
      <c r="Q970" s="59">
        <f t="shared" si="152"/>
        <v>315</v>
      </c>
      <c r="R970" s="59">
        <f t="shared" si="153"/>
        <v>100</v>
      </c>
      <c r="S970" s="56">
        <f t="shared" si="154"/>
        <v>695</v>
      </c>
      <c r="T970" s="56">
        <f>50</f>
        <v>50</v>
      </c>
      <c r="U970" s="57"/>
      <c r="V970" s="57"/>
      <c r="W970" s="57"/>
      <c r="X970" s="57"/>
      <c r="Y970" s="57"/>
      <c r="Z970" s="57"/>
      <c r="AA970" s="57"/>
      <c r="AB970" s="57"/>
      <c r="AC970" s="57"/>
      <c r="AD970" s="57"/>
    </row>
    <row r="971" spans="1:30" ht="15.75">
      <c r="A971" s="13">
        <v>70859</v>
      </c>
      <c r="B971" s="67">
        <f t="shared" si="150"/>
        <v>31</v>
      </c>
      <c r="C971" s="56">
        <f>122.58</f>
        <v>122.58</v>
      </c>
      <c r="D971" s="56">
        <f>297.941</f>
        <v>297.94099999999997</v>
      </c>
      <c r="E971" s="64">
        <f>89.177</f>
        <v>89.177000000000007</v>
      </c>
      <c r="F971" s="56">
        <f>240.302-40-60-100</f>
        <v>40.301999999999992</v>
      </c>
      <c r="G971" s="59">
        <v>40</v>
      </c>
      <c r="H971" s="56">
        <f>60+100</f>
        <v>160</v>
      </c>
      <c r="I971" s="56">
        <f t="shared" si="157"/>
        <v>0</v>
      </c>
      <c r="J971" s="59">
        <v>100</v>
      </c>
      <c r="K971" s="59">
        <v>300</v>
      </c>
      <c r="L971" s="56">
        <f t="shared" si="151"/>
        <v>1150</v>
      </c>
      <c r="M971" s="66">
        <v>600</v>
      </c>
      <c r="N971" s="56">
        <f>100</f>
        <v>100</v>
      </c>
      <c r="O971" s="59">
        <v>240</v>
      </c>
      <c r="P971" s="59">
        <v>40</v>
      </c>
      <c r="Q971" s="59">
        <f t="shared" si="152"/>
        <v>315</v>
      </c>
      <c r="R971" s="59">
        <f t="shared" si="153"/>
        <v>100</v>
      </c>
      <c r="S971" s="56">
        <f t="shared" si="154"/>
        <v>695</v>
      </c>
      <c r="T971" s="56">
        <f>50</f>
        <v>50</v>
      </c>
      <c r="U971" s="57"/>
      <c r="V971" s="57"/>
      <c r="W971" s="57"/>
      <c r="X971" s="57"/>
      <c r="Y971" s="57"/>
      <c r="Z971" s="57"/>
      <c r="AA971" s="57"/>
      <c r="AB971" s="57"/>
      <c r="AC971" s="57"/>
      <c r="AD971" s="57"/>
    </row>
    <row r="972" spans="1:30" ht="15.75">
      <c r="A972" s="13">
        <v>70890</v>
      </c>
      <c r="B972" s="67">
        <f t="shared" ref="B972:B1035" si="161">EOMONTH(A972,0)-EOMONTH(A972,-1)</f>
        <v>31</v>
      </c>
      <c r="C972" s="56">
        <f>122.58</f>
        <v>122.58</v>
      </c>
      <c r="D972" s="56">
        <f>297.941</f>
        <v>297.94099999999997</v>
      </c>
      <c r="E972" s="64">
        <f>89.177</f>
        <v>89.177000000000007</v>
      </c>
      <c r="F972" s="56">
        <f>240.302-40-60-100</f>
        <v>40.301999999999992</v>
      </c>
      <c r="G972" s="59">
        <v>40</v>
      </c>
      <c r="H972" s="56">
        <f>60+100</f>
        <v>160</v>
      </c>
      <c r="I972" s="56">
        <f t="shared" si="157"/>
        <v>0</v>
      </c>
      <c r="J972" s="59">
        <v>100</v>
      </c>
      <c r="K972" s="59">
        <v>300</v>
      </c>
      <c r="L972" s="56">
        <f t="shared" si="151"/>
        <v>1150</v>
      </c>
      <c r="M972" s="66">
        <v>600</v>
      </c>
      <c r="N972" s="56">
        <f>100</f>
        <v>100</v>
      </c>
      <c r="O972" s="59">
        <v>240</v>
      </c>
      <c r="P972" s="59">
        <v>40</v>
      </c>
      <c r="Q972" s="59">
        <f t="shared" si="152"/>
        <v>315</v>
      </c>
      <c r="R972" s="59">
        <f t="shared" si="153"/>
        <v>100</v>
      </c>
      <c r="S972" s="56">
        <f t="shared" si="154"/>
        <v>695</v>
      </c>
      <c r="T972" s="56">
        <f>50</f>
        <v>50</v>
      </c>
      <c r="U972" s="57"/>
      <c r="V972" s="57"/>
      <c r="W972" s="57"/>
      <c r="X972" s="57"/>
      <c r="Y972" s="57"/>
      <c r="Z972" s="57"/>
      <c r="AA972" s="57"/>
      <c r="AB972" s="57"/>
      <c r="AC972" s="57"/>
      <c r="AD972" s="57"/>
    </row>
    <row r="973" spans="1:30" ht="15.75">
      <c r="A973" s="13">
        <v>70918</v>
      </c>
      <c r="B973" s="67">
        <f t="shared" si="161"/>
        <v>28</v>
      </c>
      <c r="C973" s="56">
        <f>122.58</f>
        <v>122.58</v>
      </c>
      <c r="D973" s="56">
        <f>297.941</f>
        <v>297.94099999999997</v>
      </c>
      <c r="E973" s="64">
        <f>89.177</f>
        <v>89.177000000000007</v>
      </c>
      <c r="F973" s="56">
        <f>240.302-40-60-100</f>
        <v>40.301999999999992</v>
      </c>
      <c r="G973" s="59">
        <v>40</v>
      </c>
      <c r="H973" s="56">
        <f>60+100</f>
        <v>160</v>
      </c>
      <c r="I973" s="56">
        <f t="shared" si="157"/>
        <v>0</v>
      </c>
      <c r="J973" s="59">
        <v>100</v>
      </c>
      <c r="K973" s="59">
        <v>300</v>
      </c>
      <c r="L973" s="56">
        <f t="shared" si="151"/>
        <v>1150</v>
      </c>
      <c r="M973" s="66">
        <v>600</v>
      </c>
      <c r="N973" s="56">
        <f>100</f>
        <v>100</v>
      </c>
      <c r="O973" s="59">
        <v>240</v>
      </c>
      <c r="P973" s="59">
        <v>40</v>
      </c>
      <c r="Q973" s="59">
        <f t="shared" si="152"/>
        <v>315</v>
      </c>
      <c r="R973" s="59">
        <f t="shared" si="153"/>
        <v>100</v>
      </c>
      <c r="S973" s="56">
        <f t="shared" si="154"/>
        <v>695</v>
      </c>
      <c r="T973" s="56">
        <f>50</f>
        <v>50</v>
      </c>
      <c r="U973" s="57"/>
      <c r="V973" s="57"/>
      <c r="W973" s="57"/>
      <c r="X973" s="57"/>
      <c r="Y973" s="57"/>
      <c r="Z973" s="57"/>
      <c r="AA973" s="57"/>
      <c r="AB973" s="57"/>
      <c r="AC973" s="57"/>
      <c r="AD973" s="57"/>
    </row>
    <row r="974" spans="1:30" ht="15.75">
      <c r="A974" s="13">
        <v>70949</v>
      </c>
      <c r="B974" s="67">
        <f t="shared" si="161"/>
        <v>31</v>
      </c>
      <c r="C974" s="56">
        <f>122.58</f>
        <v>122.58</v>
      </c>
      <c r="D974" s="56">
        <f>297.941</f>
        <v>297.94099999999997</v>
      </c>
      <c r="E974" s="64">
        <f>89.177</f>
        <v>89.177000000000007</v>
      </c>
      <c r="F974" s="56">
        <f>240.302-40-60-100</f>
        <v>40.301999999999992</v>
      </c>
      <c r="G974" s="59">
        <v>40</v>
      </c>
      <c r="H974" s="56">
        <f>60+100</f>
        <v>160</v>
      </c>
      <c r="I974" s="56">
        <f t="shared" si="157"/>
        <v>0</v>
      </c>
      <c r="J974" s="59">
        <v>100</v>
      </c>
      <c r="K974" s="59">
        <v>300</v>
      </c>
      <c r="L974" s="56">
        <f t="shared" si="151"/>
        <v>1150</v>
      </c>
      <c r="M974" s="66">
        <v>600</v>
      </c>
      <c r="N974" s="56">
        <f>100</f>
        <v>100</v>
      </c>
      <c r="O974" s="59">
        <v>240</v>
      </c>
      <c r="P974" s="59">
        <v>40</v>
      </c>
      <c r="Q974" s="59">
        <f t="shared" si="152"/>
        <v>315</v>
      </c>
      <c r="R974" s="59">
        <f t="shared" si="153"/>
        <v>100</v>
      </c>
      <c r="S974" s="56">
        <f t="shared" si="154"/>
        <v>695</v>
      </c>
      <c r="T974" s="56">
        <f>50</f>
        <v>50</v>
      </c>
      <c r="U974" s="57"/>
      <c r="V974" s="57"/>
      <c r="W974" s="57"/>
      <c r="X974" s="57"/>
      <c r="Y974" s="57"/>
      <c r="Z974" s="57"/>
      <c r="AA974" s="57"/>
      <c r="AB974" s="57"/>
      <c r="AC974" s="57"/>
      <c r="AD974" s="57"/>
    </row>
    <row r="975" spans="1:30" ht="15.75">
      <c r="A975" s="13">
        <v>70979</v>
      </c>
      <c r="B975" s="67">
        <f t="shared" si="161"/>
        <v>30</v>
      </c>
      <c r="C975" s="56">
        <f>141.293</f>
        <v>141.29300000000001</v>
      </c>
      <c r="D975" s="56">
        <f>267.993</f>
        <v>267.99299999999999</v>
      </c>
      <c r="E975" s="64">
        <f>115.016</f>
        <v>115.01600000000001</v>
      </c>
      <c r="F975" s="56">
        <f>314.698-40-25-60-100</f>
        <v>89.697999999999979</v>
      </c>
      <c r="G975" s="59">
        <v>40</v>
      </c>
      <c r="H975" s="56">
        <f t="shared" ref="H975:H981" si="162">25+60+100</f>
        <v>185</v>
      </c>
      <c r="I975" s="56">
        <f t="shared" si="157"/>
        <v>0</v>
      </c>
      <c r="J975" s="59">
        <v>100</v>
      </c>
      <c r="K975" s="59">
        <v>300</v>
      </c>
      <c r="L975" s="56">
        <f t="shared" si="151"/>
        <v>1239</v>
      </c>
      <c r="M975" s="66">
        <v>600</v>
      </c>
      <c r="N975" s="56">
        <f>100</f>
        <v>100</v>
      </c>
      <c r="O975" s="59">
        <v>240</v>
      </c>
      <c r="P975" s="59">
        <v>40</v>
      </c>
      <c r="Q975" s="59">
        <f t="shared" si="152"/>
        <v>315</v>
      </c>
      <c r="R975" s="59">
        <f t="shared" si="153"/>
        <v>100</v>
      </c>
      <c r="S975" s="56">
        <f t="shared" si="154"/>
        <v>695</v>
      </c>
      <c r="T975" s="56">
        <f>50</f>
        <v>50</v>
      </c>
      <c r="U975" s="57"/>
      <c r="V975" s="57"/>
      <c r="W975" s="57"/>
      <c r="X975" s="57"/>
      <c r="Y975" s="57"/>
      <c r="Z975" s="57"/>
      <c r="AA975" s="57"/>
      <c r="AB975" s="57"/>
      <c r="AC975" s="57"/>
      <c r="AD975" s="57"/>
    </row>
    <row r="976" spans="1:30" ht="15.75">
      <c r="A976" s="13">
        <v>71010</v>
      </c>
      <c r="B976" s="67">
        <f t="shared" si="161"/>
        <v>31</v>
      </c>
      <c r="C976" s="56">
        <f>194.205</f>
        <v>194.20500000000001</v>
      </c>
      <c r="D976" s="56">
        <f>267.466</f>
        <v>267.46600000000001</v>
      </c>
      <c r="E976" s="64">
        <f>133.845</f>
        <v>133.845</v>
      </c>
      <c r="F976" s="56">
        <f>278.484-40-25-60-100</f>
        <v>53.48399999999998</v>
      </c>
      <c r="G976" s="59">
        <v>40</v>
      </c>
      <c r="H976" s="56">
        <f t="shared" si="162"/>
        <v>185</v>
      </c>
      <c r="I976" s="56">
        <f t="shared" si="157"/>
        <v>0</v>
      </c>
      <c r="J976" s="59">
        <v>100</v>
      </c>
      <c r="K976" s="59">
        <v>300</v>
      </c>
      <c r="L976" s="56">
        <f t="shared" si="151"/>
        <v>1274</v>
      </c>
      <c r="M976" s="66">
        <v>600</v>
      </c>
      <c r="N976" s="56">
        <f>75</f>
        <v>75</v>
      </c>
      <c r="O976" s="59">
        <v>240</v>
      </c>
      <c r="P976" s="59">
        <v>40</v>
      </c>
      <c r="Q976" s="59">
        <f t="shared" si="152"/>
        <v>315</v>
      </c>
      <c r="R976" s="59">
        <f t="shared" si="153"/>
        <v>100</v>
      </c>
      <c r="S976" s="56">
        <f t="shared" si="154"/>
        <v>695</v>
      </c>
      <c r="T976" s="56">
        <f>50</f>
        <v>50</v>
      </c>
      <c r="U976" s="57"/>
      <c r="V976" s="57"/>
      <c r="W976" s="57"/>
      <c r="X976" s="57"/>
      <c r="Y976" s="57"/>
      <c r="Z976" s="57"/>
      <c r="AA976" s="57"/>
      <c r="AB976" s="57"/>
      <c r="AC976" s="57"/>
      <c r="AD976" s="57"/>
    </row>
    <row r="977" spans="1:30" ht="15.75">
      <c r="A977" s="13">
        <v>71040</v>
      </c>
      <c r="B977" s="67">
        <f t="shared" si="161"/>
        <v>30</v>
      </c>
      <c r="C977" s="56">
        <f>194.205</f>
        <v>194.20500000000001</v>
      </c>
      <c r="D977" s="56">
        <f>267.466</f>
        <v>267.46600000000001</v>
      </c>
      <c r="E977" s="64">
        <f>133.845</f>
        <v>133.845</v>
      </c>
      <c r="F977" s="56">
        <f>278.484-40-25-60-100</f>
        <v>53.48399999999998</v>
      </c>
      <c r="G977" s="59">
        <v>40</v>
      </c>
      <c r="H977" s="56">
        <f t="shared" si="162"/>
        <v>185</v>
      </c>
      <c r="I977" s="56">
        <f t="shared" si="157"/>
        <v>0</v>
      </c>
      <c r="J977" s="59">
        <v>100</v>
      </c>
      <c r="K977" s="59">
        <v>300</v>
      </c>
      <c r="L977" s="56">
        <f t="shared" ref="L977:L1040" si="163">SUM(C977:K977)</f>
        <v>1274</v>
      </c>
      <c r="M977" s="66">
        <v>600</v>
      </c>
      <c r="N977" s="56">
        <f>30</f>
        <v>30</v>
      </c>
      <c r="O977" s="59">
        <v>240</v>
      </c>
      <c r="P977" s="59">
        <v>40</v>
      </c>
      <c r="Q977" s="59">
        <f t="shared" ref="Q977:Q1040" si="164">695-R977-O977-P977</f>
        <v>315</v>
      </c>
      <c r="R977" s="59">
        <f t="shared" ref="R977:R1040" si="165">200-J977</f>
        <v>100</v>
      </c>
      <c r="S977" s="56">
        <f t="shared" ref="S977:S1040" si="166">SUM(O977:R977)</f>
        <v>695</v>
      </c>
      <c r="T977" s="56">
        <f>50</f>
        <v>50</v>
      </c>
      <c r="U977" s="57"/>
      <c r="V977" s="57"/>
      <c r="W977" s="57"/>
      <c r="X977" s="57"/>
      <c r="Y977" s="57"/>
      <c r="Z977" s="57"/>
      <c r="AA977" s="57"/>
      <c r="AB977" s="57"/>
      <c r="AC977" s="57"/>
      <c r="AD977" s="57"/>
    </row>
    <row r="978" spans="1:30" ht="15.75">
      <c r="A978" s="13">
        <v>71071</v>
      </c>
      <c r="B978" s="67">
        <f t="shared" si="161"/>
        <v>31</v>
      </c>
      <c r="C978" s="56">
        <f>194.205</f>
        <v>194.20500000000001</v>
      </c>
      <c r="D978" s="56">
        <f>267.466</f>
        <v>267.46600000000001</v>
      </c>
      <c r="E978" s="64">
        <f>133.845</f>
        <v>133.845</v>
      </c>
      <c r="F978" s="56">
        <f>278.484-40-25-60-100</f>
        <v>53.48399999999998</v>
      </c>
      <c r="G978" s="59">
        <v>40</v>
      </c>
      <c r="H978" s="56">
        <f t="shared" si="162"/>
        <v>185</v>
      </c>
      <c r="I978" s="56">
        <f t="shared" si="157"/>
        <v>0</v>
      </c>
      <c r="J978" s="59">
        <v>100</v>
      </c>
      <c r="K978" s="59">
        <v>300</v>
      </c>
      <c r="L978" s="56">
        <f t="shared" si="163"/>
        <v>1274</v>
      </c>
      <c r="M978" s="66">
        <v>600</v>
      </c>
      <c r="N978" s="56">
        <f>30</f>
        <v>30</v>
      </c>
      <c r="O978" s="59">
        <v>240</v>
      </c>
      <c r="P978" s="59">
        <v>40</v>
      </c>
      <c r="Q978" s="59">
        <f t="shared" si="164"/>
        <v>315</v>
      </c>
      <c r="R978" s="59">
        <f t="shared" si="165"/>
        <v>100</v>
      </c>
      <c r="S978" s="56">
        <f t="shared" si="166"/>
        <v>695</v>
      </c>
      <c r="T978" s="56">
        <f>0</f>
        <v>0</v>
      </c>
      <c r="U978" s="57"/>
      <c r="V978" s="57"/>
      <c r="W978" s="57"/>
      <c r="X978" s="57"/>
      <c r="Y978" s="57"/>
      <c r="Z978" s="57"/>
      <c r="AA978" s="57"/>
      <c r="AB978" s="57"/>
      <c r="AC978" s="57"/>
      <c r="AD978" s="57"/>
    </row>
    <row r="979" spans="1:30" ht="15.75">
      <c r="A979" s="13">
        <v>71102</v>
      </c>
      <c r="B979" s="67">
        <f t="shared" si="161"/>
        <v>31</v>
      </c>
      <c r="C979" s="56">
        <f>194.205</f>
        <v>194.20500000000001</v>
      </c>
      <c r="D979" s="56">
        <f>267.466</f>
        <v>267.46600000000001</v>
      </c>
      <c r="E979" s="64">
        <f>133.845</f>
        <v>133.845</v>
      </c>
      <c r="F979" s="56">
        <f>278.484-40-25-60-100</f>
        <v>53.48399999999998</v>
      </c>
      <c r="G979" s="59">
        <v>40</v>
      </c>
      <c r="H979" s="56">
        <f t="shared" si="162"/>
        <v>185</v>
      </c>
      <c r="I979" s="56">
        <f t="shared" si="157"/>
        <v>0</v>
      </c>
      <c r="J979" s="59">
        <v>100</v>
      </c>
      <c r="K979" s="59">
        <v>300</v>
      </c>
      <c r="L979" s="56">
        <f t="shared" si="163"/>
        <v>1274</v>
      </c>
      <c r="M979" s="66">
        <v>600</v>
      </c>
      <c r="N979" s="56">
        <f>30</f>
        <v>30</v>
      </c>
      <c r="O979" s="59">
        <v>240</v>
      </c>
      <c r="P979" s="59">
        <v>40</v>
      </c>
      <c r="Q979" s="59">
        <f t="shared" si="164"/>
        <v>315</v>
      </c>
      <c r="R979" s="59">
        <f t="shared" si="165"/>
        <v>100</v>
      </c>
      <c r="S979" s="56">
        <f t="shared" si="166"/>
        <v>695</v>
      </c>
      <c r="T979" s="56">
        <f>0</f>
        <v>0</v>
      </c>
      <c r="U979" s="57"/>
      <c r="V979" s="57"/>
      <c r="W979" s="57"/>
      <c r="X979" s="57"/>
      <c r="Y979" s="57"/>
      <c r="Z979" s="57"/>
      <c r="AA979" s="57"/>
      <c r="AB979" s="57"/>
      <c r="AC979" s="57"/>
      <c r="AD979" s="57"/>
    </row>
    <row r="980" spans="1:30" ht="15.75">
      <c r="A980" s="13">
        <v>71132</v>
      </c>
      <c r="B980" s="67">
        <f t="shared" si="161"/>
        <v>30</v>
      </c>
      <c r="C980" s="56">
        <f>194.205</f>
        <v>194.20500000000001</v>
      </c>
      <c r="D980" s="56">
        <f>267.466</f>
        <v>267.46600000000001</v>
      </c>
      <c r="E980" s="64">
        <f>133.845</f>
        <v>133.845</v>
      </c>
      <c r="F980" s="56">
        <f>278.484-40-25-60-100</f>
        <v>53.48399999999998</v>
      </c>
      <c r="G980" s="59">
        <v>40</v>
      </c>
      <c r="H980" s="56">
        <f t="shared" si="162"/>
        <v>185</v>
      </c>
      <c r="I980" s="56">
        <f t="shared" si="157"/>
        <v>0</v>
      </c>
      <c r="J980" s="59">
        <v>100</v>
      </c>
      <c r="K980" s="59">
        <v>300</v>
      </c>
      <c r="L980" s="56">
        <f t="shared" si="163"/>
        <v>1274</v>
      </c>
      <c r="M980" s="66">
        <v>600</v>
      </c>
      <c r="N980" s="56">
        <f>30</f>
        <v>30</v>
      </c>
      <c r="O980" s="59">
        <v>240</v>
      </c>
      <c r="P980" s="59">
        <v>40</v>
      </c>
      <c r="Q980" s="59">
        <f t="shared" si="164"/>
        <v>315</v>
      </c>
      <c r="R980" s="59">
        <f t="shared" si="165"/>
        <v>100</v>
      </c>
      <c r="S980" s="56">
        <f t="shared" si="166"/>
        <v>695</v>
      </c>
      <c r="T980" s="56">
        <f>0</f>
        <v>0</v>
      </c>
      <c r="U980" s="57"/>
      <c r="V980" s="57"/>
      <c r="W980" s="57"/>
      <c r="X980" s="57"/>
      <c r="Y980" s="57"/>
      <c r="Z980" s="57"/>
      <c r="AA980" s="57"/>
      <c r="AB980" s="57"/>
      <c r="AC980" s="57"/>
      <c r="AD980" s="57"/>
    </row>
    <row r="981" spans="1:30" ht="15.75">
      <c r="A981" s="13">
        <v>71163</v>
      </c>
      <c r="B981" s="67">
        <f t="shared" si="161"/>
        <v>31</v>
      </c>
      <c r="C981" s="56">
        <f>131.881</f>
        <v>131.881</v>
      </c>
      <c r="D981" s="56">
        <f>277.167</f>
        <v>277.16699999999997</v>
      </c>
      <c r="E981" s="64">
        <f>79.08</f>
        <v>79.08</v>
      </c>
      <c r="F981" s="56">
        <f>350.872-40-25-60-100</f>
        <v>125.87200000000001</v>
      </c>
      <c r="G981" s="59">
        <v>40</v>
      </c>
      <c r="H981" s="56">
        <f t="shared" si="162"/>
        <v>185</v>
      </c>
      <c r="I981" s="56">
        <f t="shared" si="157"/>
        <v>0</v>
      </c>
      <c r="J981" s="59">
        <v>100</v>
      </c>
      <c r="K981" s="59">
        <v>300</v>
      </c>
      <c r="L981" s="56">
        <f t="shared" si="163"/>
        <v>1239</v>
      </c>
      <c r="M981" s="66">
        <v>600</v>
      </c>
      <c r="N981" s="56">
        <f>75</f>
        <v>75</v>
      </c>
      <c r="O981" s="59">
        <v>240</v>
      </c>
      <c r="P981" s="59">
        <v>40</v>
      </c>
      <c r="Q981" s="59">
        <f t="shared" si="164"/>
        <v>315</v>
      </c>
      <c r="R981" s="59">
        <f t="shared" si="165"/>
        <v>100</v>
      </c>
      <c r="S981" s="56">
        <f t="shared" si="166"/>
        <v>695</v>
      </c>
      <c r="T981" s="56">
        <f>0</f>
        <v>0</v>
      </c>
      <c r="U981" s="57"/>
      <c r="V981" s="57"/>
      <c r="W981" s="57"/>
      <c r="X981" s="57"/>
      <c r="Y981" s="57"/>
      <c r="Z981" s="57"/>
      <c r="AA981" s="57"/>
      <c r="AB981" s="57"/>
      <c r="AC981" s="57"/>
      <c r="AD981" s="57"/>
    </row>
    <row r="982" spans="1:30" ht="15.75">
      <c r="A982" s="13">
        <v>71193</v>
      </c>
      <c r="B982" s="67">
        <f t="shared" si="161"/>
        <v>30</v>
      </c>
      <c r="C982" s="56">
        <f>122.58</f>
        <v>122.58</v>
      </c>
      <c r="D982" s="56">
        <f>297.941</f>
        <v>297.94099999999997</v>
      </c>
      <c r="E982" s="64">
        <f>89.177</f>
        <v>89.177000000000007</v>
      </c>
      <c r="F982" s="56">
        <f>240.302-40-60-100</f>
        <v>40.301999999999992</v>
      </c>
      <c r="G982" s="59">
        <v>40</v>
      </c>
      <c r="H982" s="56">
        <f>60+100</f>
        <v>160</v>
      </c>
      <c r="I982" s="56">
        <f t="shared" si="157"/>
        <v>0</v>
      </c>
      <c r="J982" s="59">
        <v>100</v>
      </c>
      <c r="K982" s="59">
        <v>300</v>
      </c>
      <c r="L982" s="56">
        <f t="shared" si="163"/>
        <v>1150</v>
      </c>
      <c r="M982" s="66">
        <v>600</v>
      </c>
      <c r="N982" s="56">
        <f>100</f>
        <v>100</v>
      </c>
      <c r="O982" s="59">
        <v>240</v>
      </c>
      <c r="P982" s="59">
        <v>40</v>
      </c>
      <c r="Q982" s="59">
        <f t="shared" si="164"/>
        <v>315</v>
      </c>
      <c r="R982" s="59">
        <f t="shared" si="165"/>
        <v>100</v>
      </c>
      <c r="S982" s="56">
        <f t="shared" si="166"/>
        <v>695</v>
      </c>
      <c r="T982" s="56">
        <f>50</f>
        <v>50</v>
      </c>
      <c r="U982" s="57"/>
      <c r="V982" s="57"/>
      <c r="W982" s="57"/>
      <c r="X982" s="57"/>
      <c r="Y982" s="57"/>
      <c r="Z982" s="57"/>
      <c r="AA982" s="57"/>
      <c r="AB982" s="57"/>
      <c r="AC982" s="57"/>
      <c r="AD982" s="57"/>
    </row>
    <row r="983" spans="1:30" ht="15.75">
      <c r="A983" s="13">
        <v>71224</v>
      </c>
      <c r="B983" s="67">
        <f t="shared" si="161"/>
        <v>31</v>
      </c>
      <c r="C983" s="56">
        <f>122.58</f>
        <v>122.58</v>
      </c>
      <c r="D983" s="56">
        <f>297.941</f>
        <v>297.94099999999997</v>
      </c>
      <c r="E983" s="64">
        <f>89.177</f>
        <v>89.177000000000007</v>
      </c>
      <c r="F983" s="56">
        <f>240.302-40-60-100</f>
        <v>40.301999999999992</v>
      </c>
      <c r="G983" s="59">
        <v>40</v>
      </c>
      <c r="H983" s="56">
        <f>60+100</f>
        <v>160</v>
      </c>
      <c r="I983" s="56">
        <f t="shared" si="157"/>
        <v>0</v>
      </c>
      <c r="J983" s="59">
        <v>100</v>
      </c>
      <c r="K983" s="59">
        <v>300</v>
      </c>
      <c r="L983" s="56">
        <f t="shared" si="163"/>
        <v>1150</v>
      </c>
      <c r="M983" s="66">
        <v>600</v>
      </c>
      <c r="N983" s="56">
        <f>100</f>
        <v>100</v>
      </c>
      <c r="O983" s="59">
        <v>240</v>
      </c>
      <c r="P983" s="59">
        <v>40</v>
      </c>
      <c r="Q983" s="59">
        <f t="shared" si="164"/>
        <v>315</v>
      </c>
      <c r="R983" s="59">
        <f t="shared" si="165"/>
        <v>100</v>
      </c>
      <c r="S983" s="56">
        <f t="shared" si="166"/>
        <v>695</v>
      </c>
      <c r="T983" s="56">
        <f>50</f>
        <v>50</v>
      </c>
      <c r="U983" s="57"/>
      <c r="V983" s="57"/>
      <c r="W983" s="57"/>
      <c r="X983" s="57"/>
      <c r="Y983" s="57"/>
      <c r="Z983" s="57"/>
      <c r="AA983" s="57"/>
      <c r="AB983" s="57"/>
      <c r="AC983" s="57"/>
      <c r="AD983" s="57"/>
    </row>
    <row r="984" spans="1:30" ht="15.75">
      <c r="A984" s="13">
        <v>71255</v>
      </c>
      <c r="B984" s="67">
        <f t="shared" si="161"/>
        <v>31</v>
      </c>
      <c r="C984" s="56">
        <f>122.58</f>
        <v>122.58</v>
      </c>
      <c r="D984" s="56">
        <f>297.941</f>
        <v>297.94099999999997</v>
      </c>
      <c r="E984" s="64">
        <f>89.177</f>
        <v>89.177000000000007</v>
      </c>
      <c r="F984" s="56">
        <f>240.302-40-60-100</f>
        <v>40.301999999999992</v>
      </c>
      <c r="G984" s="59">
        <v>40</v>
      </c>
      <c r="H984" s="56">
        <f>60+100</f>
        <v>160</v>
      </c>
      <c r="I984" s="56">
        <f t="shared" si="157"/>
        <v>0</v>
      </c>
      <c r="J984" s="59">
        <v>100</v>
      </c>
      <c r="K984" s="59">
        <v>300</v>
      </c>
      <c r="L984" s="56">
        <f t="shared" si="163"/>
        <v>1150</v>
      </c>
      <c r="M984" s="66">
        <v>600</v>
      </c>
      <c r="N984" s="56">
        <f>100</f>
        <v>100</v>
      </c>
      <c r="O984" s="59">
        <v>240</v>
      </c>
      <c r="P984" s="59">
        <v>40</v>
      </c>
      <c r="Q984" s="59">
        <f t="shared" si="164"/>
        <v>315</v>
      </c>
      <c r="R984" s="59">
        <f t="shared" si="165"/>
        <v>100</v>
      </c>
      <c r="S984" s="56">
        <f t="shared" si="166"/>
        <v>695</v>
      </c>
      <c r="T984" s="56">
        <f>50</f>
        <v>50</v>
      </c>
      <c r="U984" s="57"/>
      <c r="V984" s="57"/>
      <c r="W984" s="57"/>
      <c r="X984" s="57"/>
      <c r="Y984" s="57"/>
      <c r="Z984" s="57"/>
      <c r="AA984" s="57"/>
      <c r="AB984" s="57"/>
      <c r="AC984" s="57"/>
      <c r="AD984" s="57"/>
    </row>
    <row r="985" spans="1:30" ht="15.75">
      <c r="A985" s="13">
        <v>71283</v>
      </c>
      <c r="B985" s="67">
        <f t="shared" si="161"/>
        <v>28</v>
      </c>
      <c r="C985" s="56">
        <f>122.58</f>
        <v>122.58</v>
      </c>
      <c r="D985" s="56">
        <f>297.941</f>
        <v>297.94099999999997</v>
      </c>
      <c r="E985" s="64">
        <f>89.177</f>
        <v>89.177000000000007</v>
      </c>
      <c r="F985" s="56">
        <f>240.302-40-60-100</f>
        <v>40.301999999999992</v>
      </c>
      <c r="G985" s="59">
        <v>40</v>
      </c>
      <c r="H985" s="56">
        <f>60+100</f>
        <v>160</v>
      </c>
      <c r="I985" s="56">
        <f t="shared" si="157"/>
        <v>0</v>
      </c>
      <c r="J985" s="59">
        <v>100</v>
      </c>
      <c r="K985" s="59">
        <v>300</v>
      </c>
      <c r="L985" s="56">
        <f t="shared" si="163"/>
        <v>1150</v>
      </c>
      <c r="M985" s="66">
        <v>600</v>
      </c>
      <c r="N985" s="56">
        <f>100</f>
        <v>100</v>
      </c>
      <c r="O985" s="59">
        <v>240</v>
      </c>
      <c r="P985" s="59">
        <v>40</v>
      </c>
      <c r="Q985" s="59">
        <f t="shared" si="164"/>
        <v>315</v>
      </c>
      <c r="R985" s="59">
        <f t="shared" si="165"/>
        <v>100</v>
      </c>
      <c r="S985" s="56">
        <f t="shared" si="166"/>
        <v>695</v>
      </c>
      <c r="T985" s="56">
        <f>50</f>
        <v>50</v>
      </c>
      <c r="U985" s="57"/>
      <c r="V985" s="57"/>
      <c r="W985" s="57"/>
      <c r="X985" s="57"/>
      <c r="Y985" s="57"/>
      <c r="Z985" s="57"/>
      <c r="AA985" s="57"/>
      <c r="AB985" s="57"/>
      <c r="AC985" s="57"/>
      <c r="AD985" s="57"/>
    </row>
    <row r="986" spans="1:30" ht="15.75">
      <c r="A986" s="13">
        <v>71314</v>
      </c>
      <c r="B986" s="67">
        <f t="shared" si="161"/>
        <v>31</v>
      </c>
      <c r="C986" s="56">
        <f>122.58</f>
        <v>122.58</v>
      </c>
      <c r="D986" s="56">
        <f>297.941</f>
        <v>297.94099999999997</v>
      </c>
      <c r="E986" s="64">
        <f>89.177</f>
        <v>89.177000000000007</v>
      </c>
      <c r="F986" s="56">
        <f>240.302-40-60-100</f>
        <v>40.301999999999992</v>
      </c>
      <c r="G986" s="59">
        <v>40</v>
      </c>
      <c r="H986" s="56">
        <f>60+100</f>
        <v>160</v>
      </c>
      <c r="I986" s="56">
        <f t="shared" si="157"/>
        <v>0</v>
      </c>
      <c r="J986" s="59">
        <v>100</v>
      </c>
      <c r="K986" s="59">
        <v>300</v>
      </c>
      <c r="L986" s="56">
        <f t="shared" si="163"/>
        <v>1150</v>
      </c>
      <c r="M986" s="66">
        <v>600</v>
      </c>
      <c r="N986" s="56">
        <f>100</f>
        <v>100</v>
      </c>
      <c r="O986" s="59">
        <v>240</v>
      </c>
      <c r="P986" s="59">
        <v>40</v>
      </c>
      <c r="Q986" s="59">
        <f t="shared" si="164"/>
        <v>315</v>
      </c>
      <c r="R986" s="59">
        <f t="shared" si="165"/>
        <v>100</v>
      </c>
      <c r="S986" s="56">
        <f t="shared" si="166"/>
        <v>695</v>
      </c>
      <c r="T986" s="56">
        <f>50</f>
        <v>50</v>
      </c>
      <c r="U986" s="57"/>
      <c r="V986" s="57"/>
      <c r="W986" s="57"/>
      <c r="X986" s="57"/>
      <c r="Y986" s="57"/>
      <c r="Z986" s="57"/>
      <c r="AA986" s="57"/>
      <c r="AB986" s="57"/>
      <c r="AC986" s="57"/>
      <c r="AD986" s="57"/>
    </row>
    <row r="987" spans="1:30" ht="15.75">
      <c r="A987" s="13">
        <v>71344</v>
      </c>
      <c r="B987" s="67">
        <f t="shared" si="161"/>
        <v>30</v>
      </c>
      <c r="C987" s="56">
        <f>141.293</f>
        <v>141.29300000000001</v>
      </c>
      <c r="D987" s="56">
        <f>267.993</f>
        <v>267.99299999999999</v>
      </c>
      <c r="E987" s="64">
        <f>115.016</f>
        <v>115.01600000000001</v>
      </c>
      <c r="F987" s="56">
        <f>314.698-40-25-60-100</f>
        <v>89.697999999999979</v>
      </c>
      <c r="G987" s="59">
        <v>40</v>
      </c>
      <c r="H987" s="56">
        <f t="shared" ref="H987:H993" si="167">25+60+100</f>
        <v>185</v>
      </c>
      <c r="I987" s="56">
        <f t="shared" si="157"/>
        <v>0</v>
      </c>
      <c r="J987" s="59">
        <v>100</v>
      </c>
      <c r="K987" s="59">
        <v>300</v>
      </c>
      <c r="L987" s="56">
        <f t="shared" si="163"/>
        <v>1239</v>
      </c>
      <c r="M987" s="66">
        <v>600</v>
      </c>
      <c r="N987" s="56">
        <f>100</f>
        <v>100</v>
      </c>
      <c r="O987" s="59">
        <v>240</v>
      </c>
      <c r="P987" s="59">
        <v>40</v>
      </c>
      <c r="Q987" s="59">
        <f t="shared" si="164"/>
        <v>315</v>
      </c>
      <c r="R987" s="59">
        <f t="shared" si="165"/>
        <v>100</v>
      </c>
      <c r="S987" s="56">
        <f t="shared" si="166"/>
        <v>695</v>
      </c>
      <c r="T987" s="56">
        <f>50</f>
        <v>50</v>
      </c>
      <c r="U987" s="57"/>
      <c r="V987" s="57"/>
      <c r="W987" s="57"/>
      <c r="X987" s="57"/>
      <c r="Y987" s="57"/>
      <c r="Z987" s="57"/>
      <c r="AA987" s="57"/>
      <c r="AB987" s="57"/>
      <c r="AC987" s="57"/>
      <c r="AD987" s="57"/>
    </row>
    <row r="988" spans="1:30" ht="15.75">
      <c r="A988" s="13">
        <v>71375</v>
      </c>
      <c r="B988" s="67">
        <f t="shared" si="161"/>
        <v>31</v>
      </c>
      <c r="C988" s="56">
        <f>194.205</f>
        <v>194.20500000000001</v>
      </c>
      <c r="D988" s="56">
        <f>267.466</f>
        <v>267.46600000000001</v>
      </c>
      <c r="E988" s="64">
        <f>133.845</f>
        <v>133.845</v>
      </c>
      <c r="F988" s="56">
        <f>278.484-40-25-60-100</f>
        <v>53.48399999999998</v>
      </c>
      <c r="G988" s="59">
        <v>40</v>
      </c>
      <c r="H988" s="56">
        <f t="shared" si="167"/>
        <v>185</v>
      </c>
      <c r="I988" s="56">
        <f t="shared" si="157"/>
        <v>0</v>
      </c>
      <c r="J988" s="59">
        <v>100</v>
      </c>
      <c r="K988" s="59">
        <v>300</v>
      </c>
      <c r="L988" s="56">
        <f t="shared" si="163"/>
        <v>1274</v>
      </c>
      <c r="M988" s="66">
        <v>600</v>
      </c>
      <c r="N988" s="56">
        <f>75</f>
        <v>75</v>
      </c>
      <c r="O988" s="59">
        <v>240</v>
      </c>
      <c r="P988" s="59">
        <v>40</v>
      </c>
      <c r="Q988" s="59">
        <f t="shared" si="164"/>
        <v>315</v>
      </c>
      <c r="R988" s="59">
        <f t="shared" si="165"/>
        <v>100</v>
      </c>
      <c r="S988" s="56">
        <f t="shared" si="166"/>
        <v>695</v>
      </c>
      <c r="T988" s="56">
        <f>50</f>
        <v>50</v>
      </c>
      <c r="U988" s="57"/>
      <c r="V988" s="57"/>
      <c r="W988" s="57"/>
      <c r="X988" s="57"/>
      <c r="Y988" s="57"/>
      <c r="Z988" s="57"/>
      <c r="AA988" s="57"/>
      <c r="AB988" s="57"/>
      <c r="AC988" s="57"/>
      <c r="AD988" s="57"/>
    </row>
    <row r="989" spans="1:30" ht="15.75">
      <c r="A989" s="13">
        <v>71405</v>
      </c>
      <c r="B989" s="67">
        <f t="shared" si="161"/>
        <v>30</v>
      </c>
      <c r="C989" s="56">
        <f>194.205</f>
        <v>194.20500000000001</v>
      </c>
      <c r="D989" s="56">
        <f>267.466</f>
        <v>267.46600000000001</v>
      </c>
      <c r="E989" s="64">
        <f>133.845</f>
        <v>133.845</v>
      </c>
      <c r="F989" s="56">
        <f>278.484-40-25-60-100</f>
        <v>53.48399999999998</v>
      </c>
      <c r="G989" s="59">
        <v>40</v>
      </c>
      <c r="H989" s="56">
        <f t="shared" si="167"/>
        <v>185</v>
      </c>
      <c r="I989" s="56">
        <f t="shared" si="157"/>
        <v>0</v>
      </c>
      <c r="J989" s="59">
        <v>100</v>
      </c>
      <c r="K989" s="59">
        <v>300</v>
      </c>
      <c r="L989" s="56">
        <f t="shared" si="163"/>
        <v>1274</v>
      </c>
      <c r="M989" s="66">
        <v>600</v>
      </c>
      <c r="N989" s="56">
        <f>30</f>
        <v>30</v>
      </c>
      <c r="O989" s="59">
        <v>240</v>
      </c>
      <c r="P989" s="59">
        <v>40</v>
      </c>
      <c r="Q989" s="59">
        <f t="shared" si="164"/>
        <v>315</v>
      </c>
      <c r="R989" s="59">
        <f t="shared" si="165"/>
        <v>100</v>
      </c>
      <c r="S989" s="56">
        <f t="shared" si="166"/>
        <v>695</v>
      </c>
      <c r="T989" s="56">
        <f>50</f>
        <v>50</v>
      </c>
      <c r="U989" s="57"/>
      <c r="V989" s="57"/>
      <c r="W989" s="57"/>
      <c r="X989" s="57"/>
      <c r="Y989" s="57"/>
      <c r="Z989" s="57"/>
      <c r="AA989" s="57"/>
      <c r="AB989" s="57"/>
      <c r="AC989" s="57"/>
      <c r="AD989" s="57"/>
    </row>
    <row r="990" spans="1:30" ht="15.75">
      <c r="A990" s="13">
        <v>71436</v>
      </c>
      <c r="B990" s="67">
        <f t="shared" si="161"/>
        <v>31</v>
      </c>
      <c r="C990" s="56">
        <f>194.205</f>
        <v>194.20500000000001</v>
      </c>
      <c r="D990" s="56">
        <f>267.466</f>
        <v>267.46600000000001</v>
      </c>
      <c r="E990" s="64">
        <f>133.845</f>
        <v>133.845</v>
      </c>
      <c r="F990" s="56">
        <f>278.484-40-25-60-100</f>
        <v>53.48399999999998</v>
      </c>
      <c r="G990" s="59">
        <v>40</v>
      </c>
      <c r="H990" s="56">
        <f t="shared" si="167"/>
        <v>185</v>
      </c>
      <c r="I990" s="56">
        <f t="shared" si="157"/>
        <v>0</v>
      </c>
      <c r="J990" s="59">
        <v>100</v>
      </c>
      <c r="K990" s="59">
        <v>300</v>
      </c>
      <c r="L990" s="56">
        <f t="shared" si="163"/>
        <v>1274</v>
      </c>
      <c r="M990" s="66">
        <v>600</v>
      </c>
      <c r="N990" s="56">
        <f>30</f>
        <v>30</v>
      </c>
      <c r="O990" s="59">
        <v>240</v>
      </c>
      <c r="P990" s="59">
        <v>40</v>
      </c>
      <c r="Q990" s="59">
        <f t="shared" si="164"/>
        <v>315</v>
      </c>
      <c r="R990" s="59">
        <f t="shared" si="165"/>
        <v>100</v>
      </c>
      <c r="S990" s="56">
        <f t="shared" si="166"/>
        <v>695</v>
      </c>
      <c r="T990" s="56">
        <f>0</f>
        <v>0</v>
      </c>
      <c r="U990" s="57"/>
      <c r="V990" s="57"/>
      <c r="W990" s="57"/>
      <c r="X990" s="57"/>
      <c r="Y990" s="57"/>
      <c r="Z990" s="57"/>
      <c r="AA990" s="57"/>
      <c r="AB990" s="57"/>
      <c r="AC990" s="57"/>
      <c r="AD990" s="57"/>
    </row>
    <row r="991" spans="1:30" ht="15.75">
      <c r="A991" s="13">
        <v>71467</v>
      </c>
      <c r="B991" s="67">
        <f t="shared" si="161"/>
        <v>31</v>
      </c>
      <c r="C991" s="56">
        <f>194.205</f>
        <v>194.20500000000001</v>
      </c>
      <c r="D991" s="56">
        <f>267.466</f>
        <v>267.46600000000001</v>
      </c>
      <c r="E991" s="64">
        <f>133.845</f>
        <v>133.845</v>
      </c>
      <c r="F991" s="56">
        <f>278.484-40-25-60-100</f>
        <v>53.48399999999998</v>
      </c>
      <c r="G991" s="59">
        <v>40</v>
      </c>
      <c r="H991" s="56">
        <f t="shared" si="167"/>
        <v>185</v>
      </c>
      <c r="I991" s="56">
        <f t="shared" si="157"/>
        <v>0</v>
      </c>
      <c r="J991" s="59">
        <v>100</v>
      </c>
      <c r="K991" s="59">
        <v>300</v>
      </c>
      <c r="L991" s="56">
        <f t="shared" si="163"/>
        <v>1274</v>
      </c>
      <c r="M991" s="66">
        <v>600</v>
      </c>
      <c r="N991" s="56">
        <f>30</f>
        <v>30</v>
      </c>
      <c r="O991" s="59">
        <v>240</v>
      </c>
      <c r="P991" s="59">
        <v>40</v>
      </c>
      <c r="Q991" s="59">
        <f t="shared" si="164"/>
        <v>315</v>
      </c>
      <c r="R991" s="59">
        <f t="shared" si="165"/>
        <v>100</v>
      </c>
      <c r="S991" s="56">
        <f t="shared" si="166"/>
        <v>695</v>
      </c>
      <c r="T991" s="56">
        <f>0</f>
        <v>0</v>
      </c>
      <c r="U991" s="57"/>
      <c r="V991" s="57"/>
      <c r="W991" s="57"/>
      <c r="X991" s="57"/>
      <c r="Y991" s="57"/>
      <c r="Z991" s="57"/>
      <c r="AA991" s="57"/>
      <c r="AB991" s="57"/>
      <c r="AC991" s="57"/>
      <c r="AD991" s="57"/>
    </row>
    <row r="992" spans="1:30" ht="15.75">
      <c r="A992" s="13">
        <v>71497</v>
      </c>
      <c r="B992" s="67">
        <f t="shared" si="161"/>
        <v>30</v>
      </c>
      <c r="C992" s="56">
        <f>194.205</f>
        <v>194.20500000000001</v>
      </c>
      <c r="D992" s="56">
        <f>267.466</f>
        <v>267.46600000000001</v>
      </c>
      <c r="E992" s="64">
        <f>133.845</f>
        <v>133.845</v>
      </c>
      <c r="F992" s="56">
        <f>278.484-40-25-60-100</f>
        <v>53.48399999999998</v>
      </c>
      <c r="G992" s="59">
        <v>40</v>
      </c>
      <c r="H992" s="56">
        <f t="shared" si="167"/>
        <v>185</v>
      </c>
      <c r="I992" s="56">
        <f t="shared" si="157"/>
        <v>0</v>
      </c>
      <c r="J992" s="59">
        <v>100</v>
      </c>
      <c r="K992" s="59">
        <v>300</v>
      </c>
      <c r="L992" s="56">
        <f t="shared" si="163"/>
        <v>1274</v>
      </c>
      <c r="M992" s="66">
        <v>600</v>
      </c>
      <c r="N992" s="56">
        <f>30</f>
        <v>30</v>
      </c>
      <c r="O992" s="59">
        <v>240</v>
      </c>
      <c r="P992" s="59">
        <v>40</v>
      </c>
      <c r="Q992" s="59">
        <f t="shared" si="164"/>
        <v>315</v>
      </c>
      <c r="R992" s="59">
        <f t="shared" si="165"/>
        <v>100</v>
      </c>
      <c r="S992" s="56">
        <f t="shared" si="166"/>
        <v>695</v>
      </c>
      <c r="T992" s="56">
        <f>0</f>
        <v>0</v>
      </c>
      <c r="U992" s="57"/>
      <c r="V992" s="57"/>
      <c r="W992" s="57"/>
      <c r="X992" s="57"/>
      <c r="Y992" s="57"/>
      <c r="Z992" s="57"/>
      <c r="AA992" s="57"/>
      <c r="AB992" s="57"/>
      <c r="AC992" s="57"/>
      <c r="AD992" s="57"/>
    </row>
    <row r="993" spans="1:30" ht="15.75">
      <c r="A993" s="13">
        <v>71528</v>
      </c>
      <c r="B993" s="67">
        <f t="shared" si="161"/>
        <v>31</v>
      </c>
      <c r="C993" s="56">
        <f>131.881</f>
        <v>131.881</v>
      </c>
      <c r="D993" s="56">
        <f>277.167</f>
        <v>277.16699999999997</v>
      </c>
      <c r="E993" s="64">
        <f>79.08</f>
        <v>79.08</v>
      </c>
      <c r="F993" s="56">
        <f>350.872-40-25-60-100</f>
        <v>125.87200000000001</v>
      </c>
      <c r="G993" s="59">
        <v>40</v>
      </c>
      <c r="H993" s="56">
        <f t="shared" si="167"/>
        <v>185</v>
      </c>
      <c r="I993" s="56">
        <f t="shared" si="157"/>
        <v>0</v>
      </c>
      <c r="J993" s="59">
        <v>100</v>
      </c>
      <c r="K993" s="59">
        <v>300</v>
      </c>
      <c r="L993" s="56">
        <f t="shared" si="163"/>
        <v>1239</v>
      </c>
      <c r="M993" s="66">
        <v>600</v>
      </c>
      <c r="N993" s="56">
        <f>75</f>
        <v>75</v>
      </c>
      <c r="O993" s="59">
        <v>240</v>
      </c>
      <c r="P993" s="59">
        <v>40</v>
      </c>
      <c r="Q993" s="59">
        <f t="shared" si="164"/>
        <v>315</v>
      </c>
      <c r="R993" s="59">
        <f t="shared" si="165"/>
        <v>100</v>
      </c>
      <c r="S993" s="56">
        <f t="shared" si="166"/>
        <v>695</v>
      </c>
      <c r="T993" s="56">
        <f>0</f>
        <v>0</v>
      </c>
      <c r="U993" s="57"/>
      <c r="V993" s="57"/>
      <c r="W993" s="57"/>
      <c r="X993" s="57"/>
      <c r="Y993" s="57"/>
      <c r="Z993" s="57"/>
      <c r="AA993" s="57"/>
      <c r="AB993" s="57"/>
      <c r="AC993" s="57"/>
      <c r="AD993" s="57"/>
    </row>
    <row r="994" spans="1:30" ht="15.75">
      <c r="A994" s="13">
        <v>71558</v>
      </c>
      <c r="B994" s="67">
        <f t="shared" si="161"/>
        <v>30</v>
      </c>
      <c r="C994" s="56">
        <f>122.58</f>
        <v>122.58</v>
      </c>
      <c r="D994" s="56">
        <f>297.941</f>
        <v>297.94099999999997</v>
      </c>
      <c r="E994" s="64">
        <f>89.177</f>
        <v>89.177000000000007</v>
      </c>
      <c r="F994" s="56">
        <f>240.302-40-60-100</f>
        <v>40.301999999999992</v>
      </c>
      <c r="G994" s="59">
        <v>40</v>
      </c>
      <c r="H994" s="56">
        <f>60+100</f>
        <v>160</v>
      </c>
      <c r="I994" s="56">
        <f t="shared" si="157"/>
        <v>0</v>
      </c>
      <c r="J994" s="59">
        <v>100</v>
      </c>
      <c r="K994" s="59">
        <v>300</v>
      </c>
      <c r="L994" s="56">
        <f t="shared" si="163"/>
        <v>1150</v>
      </c>
      <c r="M994" s="66">
        <v>600</v>
      </c>
      <c r="N994" s="56">
        <f>100</f>
        <v>100</v>
      </c>
      <c r="O994" s="59">
        <v>240</v>
      </c>
      <c r="P994" s="59">
        <v>40</v>
      </c>
      <c r="Q994" s="59">
        <f t="shared" si="164"/>
        <v>315</v>
      </c>
      <c r="R994" s="59">
        <f t="shared" si="165"/>
        <v>100</v>
      </c>
      <c r="S994" s="56">
        <f t="shared" si="166"/>
        <v>695</v>
      </c>
      <c r="T994" s="56">
        <f>50</f>
        <v>50</v>
      </c>
      <c r="U994" s="57"/>
      <c r="V994" s="57"/>
      <c r="W994" s="57"/>
      <c r="X994" s="57"/>
      <c r="Y994" s="57"/>
      <c r="Z994" s="57"/>
      <c r="AA994" s="57"/>
      <c r="AB994" s="57"/>
      <c r="AC994" s="57"/>
      <c r="AD994" s="57"/>
    </row>
    <row r="995" spans="1:30" ht="15.75">
      <c r="A995" s="13">
        <v>71589</v>
      </c>
      <c r="B995" s="67">
        <f t="shared" si="161"/>
        <v>31</v>
      </c>
      <c r="C995" s="56">
        <f>122.58</f>
        <v>122.58</v>
      </c>
      <c r="D995" s="56">
        <f>297.941</f>
        <v>297.94099999999997</v>
      </c>
      <c r="E995" s="64">
        <f>89.177</f>
        <v>89.177000000000007</v>
      </c>
      <c r="F995" s="56">
        <f>240.302-40-60-100</f>
        <v>40.301999999999992</v>
      </c>
      <c r="G995" s="59">
        <v>40</v>
      </c>
      <c r="H995" s="56">
        <f>60+100</f>
        <v>160</v>
      </c>
      <c r="I995" s="56">
        <f t="shared" si="157"/>
        <v>0</v>
      </c>
      <c r="J995" s="59">
        <v>100</v>
      </c>
      <c r="K995" s="59">
        <v>300</v>
      </c>
      <c r="L995" s="56">
        <f t="shared" si="163"/>
        <v>1150</v>
      </c>
      <c r="M995" s="66">
        <v>600</v>
      </c>
      <c r="N995" s="56">
        <f>100</f>
        <v>100</v>
      </c>
      <c r="O995" s="59">
        <v>240</v>
      </c>
      <c r="P995" s="59">
        <v>40</v>
      </c>
      <c r="Q995" s="59">
        <f t="shared" si="164"/>
        <v>315</v>
      </c>
      <c r="R995" s="59">
        <f t="shared" si="165"/>
        <v>100</v>
      </c>
      <c r="S995" s="56">
        <f t="shared" si="166"/>
        <v>695</v>
      </c>
      <c r="T995" s="56">
        <f>50</f>
        <v>50</v>
      </c>
      <c r="U995" s="57"/>
      <c r="V995" s="57"/>
      <c r="W995" s="57"/>
      <c r="X995" s="57"/>
      <c r="Y995" s="57"/>
      <c r="Z995" s="57"/>
      <c r="AA995" s="57"/>
      <c r="AB995" s="57"/>
      <c r="AC995" s="57"/>
      <c r="AD995" s="57"/>
    </row>
    <row r="996" spans="1:30" ht="15.75">
      <c r="A996" s="13">
        <v>71620</v>
      </c>
      <c r="B996" s="67">
        <f t="shared" si="161"/>
        <v>31</v>
      </c>
      <c r="C996" s="56">
        <f>122.58</f>
        <v>122.58</v>
      </c>
      <c r="D996" s="56">
        <f>297.941</f>
        <v>297.94099999999997</v>
      </c>
      <c r="E996" s="64">
        <f>89.177</f>
        <v>89.177000000000007</v>
      </c>
      <c r="F996" s="56">
        <f>240.302-40-60-100</f>
        <v>40.301999999999992</v>
      </c>
      <c r="G996" s="59">
        <v>40</v>
      </c>
      <c r="H996" s="56">
        <f>60+100</f>
        <v>160</v>
      </c>
      <c r="I996" s="56">
        <f t="shared" si="157"/>
        <v>0</v>
      </c>
      <c r="J996" s="59">
        <v>100</v>
      </c>
      <c r="K996" s="59">
        <v>300</v>
      </c>
      <c r="L996" s="56">
        <f t="shared" si="163"/>
        <v>1150</v>
      </c>
      <c r="M996" s="66">
        <v>600</v>
      </c>
      <c r="N996" s="56">
        <f>100</f>
        <v>100</v>
      </c>
      <c r="O996" s="59">
        <v>240</v>
      </c>
      <c r="P996" s="59">
        <v>40</v>
      </c>
      <c r="Q996" s="59">
        <f t="shared" si="164"/>
        <v>315</v>
      </c>
      <c r="R996" s="59">
        <f t="shared" si="165"/>
        <v>100</v>
      </c>
      <c r="S996" s="56">
        <f t="shared" si="166"/>
        <v>695</v>
      </c>
      <c r="T996" s="56">
        <f>50</f>
        <v>50</v>
      </c>
      <c r="U996" s="57"/>
      <c r="V996" s="57"/>
      <c r="W996" s="57"/>
      <c r="X996" s="57"/>
      <c r="Y996" s="57"/>
      <c r="Z996" s="57"/>
      <c r="AA996" s="57"/>
      <c r="AB996" s="57"/>
      <c r="AC996" s="57"/>
      <c r="AD996" s="57"/>
    </row>
    <row r="997" spans="1:30" ht="15.75">
      <c r="A997" s="13">
        <v>71649</v>
      </c>
      <c r="B997" s="67">
        <f t="shared" si="161"/>
        <v>29</v>
      </c>
      <c r="C997" s="56">
        <f>122.58</f>
        <v>122.58</v>
      </c>
      <c r="D997" s="56">
        <f>297.941</f>
        <v>297.94099999999997</v>
      </c>
      <c r="E997" s="64">
        <f>89.177</f>
        <v>89.177000000000007</v>
      </c>
      <c r="F997" s="56">
        <f>240.302-40-60-100</f>
        <v>40.301999999999992</v>
      </c>
      <c r="G997" s="59">
        <v>40</v>
      </c>
      <c r="H997" s="56">
        <f>60+100</f>
        <v>160</v>
      </c>
      <c r="I997" s="56">
        <f t="shared" si="157"/>
        <v>0</v>
      </c>
      <c r="J997" s="59">
        <v>100</v>
      </c>
      <c r="K997" s="59">
        <v>300</v>
      </c>
      <c r="L997" s="56">
        <f t="shared" si="163"/>
        <v>1150</v>
      </c>
      <c r="M997" s="66">
        <v>600</v>
      </c>
      <c r="N997" s="56">
        <f>100</f>
        <v>100</v>
      </c>
      <c r="O997" s="59">
        <v>240</v>
      </c>
      <c r="P997" s="59">
        <v>40</v>
      </c>
      <c r="Q997" s="59">
        <f t="shared" si="164"/>
        <v>315</v>
      </c>
      <c r="R997" s="59">
        <f t="shared" si="165"/>
        <v>100</v>
      </c>
      <c r="S997" s="56">
        <f t="shared" si="166"/>
        <v>695</v>
      </c>
      <c r="T997" s="56">
        <f>50</f>
        <v>50</v>
      </c>
      <c r="U997" s="57"/>
      <c r="V997" s="57"/>
      <c r="W997" s="57"/>
      <c r="X997" s="57"/>
      <c r="Y997" s="57"/>
      <c r="Z997" s="57"/>
      <c r="AA997" s="57"/>
      <c r="AB997" s="57"/>
      <c r="AC997" s="57"/>
      <c r="AD997" s="57"/>
    </row>
    <row r="998" spans="1:30" ht="15.75">
      <c r="A998" s="13">
        <v>71680</v>
      </c>
      <c r="B998" s="67">
        <f t="shared" si="161"/>
        <v>31</v>
      </c>
      <c r="C998" s="56">
        <f>122.58</f>
        <v>122.58</v>
      </c>
      <c r="D998" s="56">
        <f>297.941</f>
        <v>297.94099999999997</v>
      </c>
      <c r="E998" s="64">
        <f>89.177</f>
        <v>89.177000000000007</v>
      </c>
      <c r="F998" s="56">
        <f>240.302-40-60-100</f>
        <v>40.301999999999992</v>
      </c>
      <c r="G998" s="59">
        <v>40</v>
      </c>
      <c r="H998" s="56">
        <f>60+100</f>
        <v>160</v>
      </c>
      <c r="I998" s="56">
        <f t="shared" si="157"/>
        <v>0</v>
      </c>
      <c r="J998" s="59">
        <v>100</v>
      </c>
      <c r="K998" s="59">
        <v>300</v>
      </c>
      <c r="L998" s="56">
        <f t="shared" si="163"/>
        <v>1150</v>
      </c>
      <c r="M998" s="66">
        <v>600</v>
      </c>
      <c r="N998" s="56">
        <f>100</f>
        <v>100</v>
      </c>
      <c r="O998" s="59">
        <v>240</v>
      </c>
      <c r="P998" s="59">
        <v>40</v>
      </c>
      <c r="Q998" s="59">
        <f t="shared" si="164"/>
        <v>315</v>
      </c>
      <c r="R998" s="59">
        <f t="shared" si="165"/>
        <v>100</v>
      </c>
      <c r="S998" s="56">
        <f t="shared" si="166"/>
        <v>695</v>
      </c>
      <c r="T998" s="56">
        <f>50</f>
        <v>50</v>
      </c>
      <c r="U998" s="57"/>
      <c r="V998" s="57"/>
      <c r="W998" s="57"/>
      <c r="X998" s="57"/>
      <c r="Y998" s="57"/>
      <c r="Z998" s="57"/>
      <c r="AA998" s="57"/>
      <c r="AB998" s="57"/>
      <c r="AC998" s="57"/>
      <c r="AD998" s="57"/>
    </row>
    <row r="999" spans="1:30" ht="15.75">
      <c r="A999" s="13">
        <v>71710</v>
      </c>
      <c r="B999" s="67">
        <f t="shared" si="161"/>
        <v>30</v>
      </c>
      <c r="C999" s="56">
        <f>141.293</f>
        <v>141.29300000000001</v>
      </c>
      <c r="D999" s="56">
        <f>267.993</f>
        <v>267.99299999999999</v>
      </c>
      <c r="E999" s="64">
        <f>115.016</f>
        <v>115.01600000000001</v>
      </c>
      <c r="F999" s="56">
        <f>314.698-40-25-60-100</f>
        <v>89.697999999999979</v>
      </c>
      <c r="G999" s="59">
        <v>40</v>
      </c>
      <c r="H999" s="56">
        <f t="shared" ref="H999:H1005" si="168">25+60+100</f>
        <v>185</v>
      </c>
      <c r="I999" s="56">
        <f t="shared" si="157"/>
        <v>0</v>
      </c>
      <c r="J999" s="59">
        <v>100</v>
      </c>
      <c r="K999" s="59">
        <v>300</v>
      </c>
      <c r="L999" s="56">
        <f t="shared" si="163"/>
        <v>1239</v>
      </c>
      <c r="M999" s="66">
        <v>600</v>
      </c>
      <c r="N999" s="56">
        <f>100</f>
        <v>100</v>
      </c>
      <c r="O999" s="59">
        <v>240</v>
      </c>
      <c r="P999" s="59">
        <v>40</v>
      </c>
      <c r="Q999" s="59">
        <f t="shared" si="164"/>
        <v>315</v>
      </c>
      <c r="R999" s="59">
        <f t="shared" si="165"/>
        <v>100</v>
      </c>
      <c r="S999" s="56">
        <f t="shared" si="166"/>
        <v>695</v>
      </c>
      <c r="T999" s="56">
        <f>50</f>
        <v>50</v>
      </c>
      <c r="U999" s="57"/>
      <c r="V999" s="57"/>
      <c r="W999" s="57"/>
      <c r="X999" s="57"/>
      <c r="Y999" s="57"/>
      <c r="Z999" s="57"/>
      <c r="AA999" s="57"/>
      <c r="AB999" s="57"/>
      <c r="AC999" s="57"/>
      <c r="AD999" s="57"/>
    </row>
    <row r="1000" spans="1:30" ht="15.75">
      <c r="A1000" s="13">
        <v>71741</v>
      </c>
      <c r="B1000" s="67">
        <f t="shared" si="161"/>
        <v>31</v>
      </c>
      <c r="C1000" s="56">
        <f>194.205</f>
        <v>194.20500000000001</v>
      </c>
      <c r="D1000" s="56">
        <f>267.466</f>
        <v>267.46600000000001</v>
      </c>
      <c r="E1000" s="64">
        <f>133.845</f>
        <v>133.845</v>
      </c>
      <c r="F1000" s="56">
        <f>278.484-40-25-60-100</f>
        <v>53.48399999999998</v>
      </c>
      <c r="G1000" s="59">
        <v>40</v>
      </c>
      <c r="H1000" s="56">
        <f t="shared" si="168"/>
        <v>185</v>
      </c>
      <c r="I1000" s="56">
        <f t="shared" ref="I1000:I1055" si="169">400-J1000-K1000</f>
        <v>0</v>
      </c>
      <c r="J1000" s="59">
        <v>100</v>
      </c>
      <c r="K1000" s="59">
        <v>300</v>
      </c>
      <c r="L1000" s="56">
        <f t="shared" si="163"/>
        <v>1274</v>
      </c>
      <c r="M1000" s="66">
        <v>600</v>
      </c>
      <c r="N1000" s="56">
        <f>75</f>
        <v>75</v>
      </c>
      <c r="O1000" s="59">
        <v>240</v>
      </c>
      <c r="P1000" s="59">
        <v>40</v>
      </c>
      <c r="Q1000" s="59">
        <f t="shared" si="164"/>
        <v>315</v>
      </c>
      <c r="R1000" s="59">
        <f t="shared" si="165"/>
        <v>100</v>
      </c>
      <c r="S1000" s="56">
        <f t="shared" si="166"/>
        <v>695</v>
      </c>
      <c r="T1000" s="56">
        <f>50</f>
        <v>50</v>
      </c>
      <c r="U1000" s="57"/>
      <c r="V1000" s="57"/>
      <c r="W1000" s="57"/>
      <c r="X1000" s="57"/>
      <c r="Y1000" s="57"/>
      <c r="Z1000" s="57"/>
      <c r="AA1000" s="57"/>
      <c r="AB1000" s="57"/>
      <c r="AC1000" s="57"/>
      <c r="AD1000" s="57"/>
    </row>
    <row r="1001" spans="1:30" ht="15.75">
      <c r="A1001" s="13">
        <v>71771</v>
      </c>
      <c r="B1001" s="67">
        <f t="shared" si="161"/>
        <v>30</v>
      </c>
      <c r="C1001" s="56">
        <f>194.205</f>
        <v>194.20500000000001</v>
      </c>
      <c r="D1001" s="56">
        <f>267.466</f>
        <v>267.46600000000001</v>
      </c>
      <c r="E1001" s="64">
        <f>133.845</f>
        <v>133.845</v>
      </c>
      <c r="F1001" s="56">
        <f>278.484-40-25-60-100</f>
        <v>53.48399999999998</v>
      </c>
      <c r="G1001" s="59">
        <v>40</v>
      </c>
      <c r="H1001" s="56">
        <f t="shared" si="168"/>
        <v>185</v>
      </c>
      <c r="I1001" s="56">
        <f t="shared" si="169"/>
        <v>0</v>
      </c>
      <c r="J1001" s="59">
        <v>100</v>
      </c>
      <c r="K1001" s="59">
        <v>300</v>
      </c>
      <c r="L1001" s="56">
        <f t="shared" si="163"/>
        <v>1274</v>
      </c>
      <c r="M1001" s="66">
        <v>600</v>
      </c>
      <c r="N1001" s="56">
        <f>30</f>
        <v>30</v>
      </c>
      <c r="O1001" s="59">
        <v>240</v>
      </c>
      <c r="P1001" s="59">
        <v>40</v>
      </c>
      <c r="Q1001" s="59">
        <f t="shared" si="164"/>
        <v>315</v>
      </c>
      <c r="R1001" s="59">
        <f t="shared" si="165"/>
        <v>100</v>
      </c>
      <c r="S1001" s="56">
        <f t="shared" si="166"/>
        <v>695</v>
      </c>
      <c r="T1001" s="56">
        <f>50</f>
        <v>50</v>
      </c>
      <c r="U1001" s="57"/>
      <c r="V1001" s="57"/>
      <c r="W1001" s="57"/>
      <c r="X1001" s="57"/>
      <c r="Y1001" s="57"/>
      <c r="Z1001" s="57"/>
      <c r="AA1001" s="57"/>
      <c r="AB1001" s="57"/>
      <c r="AC1001" s="57"/>
      <c r="AD1001" s="57"/>
    </row>
    <row r="1002" spans="1:30" ht="15.75">
      <c r="A1002" s="13">
        <v>71802</v>
      </c>
      <c r="B1002" s="67">
        <f t="shared" si="161"/>
        <v>31</v>
      </c>
      <c r="C1002" s="56">
        <f>194.205</f>
        <v>194.20500000000001</v>
      </c>
      <c r="D1002" s="56">
        <f>267.466</f>
        <v>267.46600000000001</v>
      </c>
      <c r="E1002" s="64">
        <f>133.845</f>
        <v>133.845</v>
      </c>
      <c r="F1002" s="56">
        <f>278.484-40-25-60-100</f>
        <v>53.48399999999998</v>
      </c>
      <c r="G1002" s="59">
        <v>40</v>
      </c>
      <c r="H1002" s="56">
        <f t="shared" si="168"/>
        <v>185</v>
      </c>
      <c r="I1002" s="56">
        <f t="shared" si="169"/>
        <v>0</v>
      </c>
      <c r="J1002" s="59">
        <v>100</v>
      </c>
      <c r="K1002" s="59">
        <v>300</v>
      </c>
      <c r="L1002" s="56">
        <f t="shared" si="163"/>
        <v>1274</v>
      </c>
      <c r="M1002" s="66">
        <v>600</v>
      </c>
      <c r="N1002" s="56">
        <f>30</f>
        <v>30</v>
      </c>
      <c r="O1002" s="59">
        <v>240</v>
      </c>
      <c r="P1002" s="59">
        <v>40</v>
      </c>
      <c r="Q1002" s="59">
        <f t="shared" si="164"/>
        <v>315</v>
      </c>
      <c r="R1002" s="59">
        <f t="shared" si="165"/>
        <v>100</v>
      </c>
      <c r="S1002" s="56">
        <f t="shared" si="166"/>
        <v>695</v>
      </c>
      <c r="T1002" s="56">
        <f>0</f>
        <v>0</v>
      </c>
      <c r="U1002" s="57"/>
      <c r="V1002" s="57"/>
      <c r="W1002" s="57"/>
      <c r="X1002" s="57"/>
      <c r="Y1002" s="57"/>
      <c r="Z1002" s="57"/>
      <c r="AA1002" s="57"/>
      <c r="AB1002" s="57"/>
      <c r="AC1002" s="57"/>
      <c r="AD1002" s="57"/>
    </row>
    <row r="1003" spans="1:30" ht="15.75">
      <c r="A1003" s="13">
        <v>71833</v>
      </c>
      <c r="B1003" s="67">
        <f t="shared" si="161"/>
        <v>31</v>
      </c>
      <c r="C1003" s="56">
        <f>194.205</f>
        <v>194.20500000000001</v>
      </c>
      <c r="D1003" s="56">
        <f>267.466</f>
        <v>267.46600000000001</v>
      </c>
      <c r="E1003" s="64">
        <f>133.845</f>
        <v>133.845</v>
      </c>
      <c r="F1003" s="56">
        <f>278.484-40-25-60-100</f>
        <v>53.48399999999998</v>
      </c>
      <c r="G1003" s="59">
        <v>40</v>
      </c>
      <c r="H1003" s="56">
        <f t="shared" si="168"/>
        <v>185</v>
      </c>
      <c r="I1003" s="56">
        <f t="shared" si="169"/>
        <v>0</v>
      </c>
      <c r="J1003" s="59">
        <v>100</v>
      </c>
      <c r="K1003" s="59">
        <v>300</v>
      </c>
      <c r="L1003" s="56">
        <f t="shared" si="163"/>
        <v>1274</v>
      </c>
      <c r="M1003" s="66">
        <v>600</v>
      </c>
      <c r="N1003" s="56">
        <f>30</f>
        <v>30</v>
      </c>
      <c r="O1003" s="59">
        <v>240</v>
      </c>
      <c r="P1003" s="59">
        <v>40</v>
      </c>
      <c r="Q1003" s="59">
        <f t="shared" si="164"/>
        <v>315</v>
      </c>
      <c r="R1003" s="59">
        <f t="shared" si="165"/>
        <v>100</v>
      </c>
      <c r="S1003" s="56">
        <f t="shared" si="166"/>
        <v>695</v>
      </c>
      <c r="T1003" s="56">
        <f>0</f>
        <v>0</v>
      </c>
      <c r="U1003" s="57"/>
      <c r="V1003" s="57"/>
      <c r="W1003" s="57"/>
      <c r="X1003" s="57"/>
      <c r="Y1003" s="57"/>
      <c r="Z1003" s="57"/>
      <c r="AA1003" s="57"/>
      <c r="AB1003" s="57"/>
      <c r="AC1003" s="57"/>
      <c r="AD1003" s="57"/>
    </row>
    <row r="1004" spans="1:30" ht="15.75">
      <c r="A1004" s="13">
        <v>71863</v>
      </c>
      <c r="B1004" s="67">
        <f t="shared" si="161"/>
        <v>30</v>
      </c>
      <c r="C1004" s="56">
        <f>194.205</f>
        <v>194.20500000000001</v>
      </c>
      <c r="D1004" s="56">
        <f>267.466</f>
        <v>267.46600000000001</v>
      </c>
      <c r="E1004" s="64">
        <f>133.845</f>
        <v>133.845</v>
      </c>
      <c r="F1004" s="56">
        <f>278.484-40-25-60-100</f>
        <v>53.48399999999998</v>
      </c>
      <c r="G1004" s="59">
        <v>40</v>
      </c>
      <c r="H1004" s="56">
        <f t="shared" si="168"/>
        <v>185</v>
      </c>
      <c r="I1004" s="56">
        <f t="shared" si="169"/>
        <v>0</v>
      </c>
      <c r="J1004" s="59">
        <v>100</v>
      </c>
      <c r="K1004" s="59">
        <v>300</v>
      </c>
      <c r="L1004" s="56">
        <f t="shared" si="163"/>
        <v>1274</v>
      </c>
      <c r="M1004" s="66">
        <v>600</v>
      </c>
      <c r="N1004" s="56">
        <f>30</f>
        <v>30</v>
      </c>
      <c r="O1004" s="59">
        <v>240</v>
      </c>
      <c r="P1004" s="59">
        <v>40</v>
      </c>
      <c r="Q1004" s="59">
        <f t="shared" si="164"/>
        <v>315</v>
      </c>
      <c r="R1004" s="59">
        <f t="shared" si="165"/>
        <v>100</v>
      </c>
      <c r="S1004" s="56">
        <f t="shared" si="166"/>
        <v>695</v>
      </c>
      <c r="T1004" s="56">
        <f>0</f>
        <v>0</v>
      </c>
      <c r="U1004" s="57"/>
      <c r="V1004" s="57"/>
      <c r="W1004" s="57"/>
      <c r="X1004" s="57"/>
      <c r="Y1004" s="57"/>
      <c r="Z1004" s="57"/>
      <c r="AA1004" s="57"/>
      <c r="AB1004" s="57"/>
      <c r="AC1004" s="57"/>
      <c r="AD1004" s="57"/>
    </row>
    <row r="1005" spans="1:30" ht="15.75">
      <c r="A1005" s="13">
        <v>71894</v>
      </c>
      <c r="B1005" s="67">
        <f t="shared" si="161"/>
        <v>31</v>
      </c>
      <c r="C1005" s="56">
        <f>131.881</f>
        <v>131.881</v>
      </c>
      <c r="D1005" s="56">
        <f>277.167</f>
        <v>277.16699999999997</v>
      </c>
      <c r="E1005" s="64">
        <f>79.08</f>
        <v>79.08</v>
      </c>
      <c r="F1005" s="56">
        <f>350.872-40-25-60-100</f>
        <v>125.87200000000001</v>
      </c>
      <c r="G1005" s="59">
        <v>40</v>
      </c>
      <c r="H1005" s="56">
        <f t="shared" si="168"/>
        <v>185</v>
      </c>
      <c r="I1005" s="56">
        <f t="shared" si="169"/>
        <v>0</v>
      </c>
      <c r="J1005" s="59">
        <v>100</v>
      </c>
      <c r="K1005" s="59">
        <v>300</v>
      </c>
      <c r="L1005" s="56">
        <f t="shared" si="163"/>
        <v>1239</v>
      </c>
      <c r="M1005" s="66">
        <v>600</v>
      </c>
      <c r="N1005" s="56">
        <f>75</f>
        <v>75</v>
      </c>
      <c r="O1005" s="59">
        <v>240</v>
      </c>
      <c r="P1005" s="59">
        <v>40</v>
      </c>
      <c r="Q1005" s="59">
        <f t="shared" si="164"/>
        <v>315</v>
      </c>
      <c r="R1005" s="59">
        <f t="shared" si="165"/>
        <v>100</v>
      </c>
      <c r="S1005" s="56">
        <f t="shared" si="166"/>
        <v>695</v>
      </c>
      <c r="T1005" s="56">
        <f>0</f>
        <v>0</v>
      </c>
      <c r="U1005" s="57"/>
      <c r="V1005" s="57"/>
      <c r="W1005" s="57"/>
      <c r="X1005" s="57"/>
      <c r="Y1005" s="57"/>
      <c r="Z1005" s="57"/>
      <c r="AA1005" s="57"/>
      <c r="AB1005" s="57"/>
      <c r="AC1005" s="57"/>
      <c r="AD1005" s="57"/>
    </row>
    <row r="1006" spans="1:30" ht="15.75">
      <c r="A1006" s="13">
        <v>71924</v>
      </c>
      <c r="B1006" s="67">
        <f t="shared" si="161"/>
        <v>30</v>
      </c>
      <c r="C1006" s="56">
        <f>122.58</f>
        <v>122.58</v>
      </c>
      <c r="D1006" s="56">
        <f>297.941</f>
        <v>297.94099999999997</v>
      </c>
      <c r="E1006" s="64">
        <f>89.177</f>
        <v>89.177000000000007</v>
      </c>
      <c r="F1006" s="56">
        <f>240.302-40-60-100</f>
        <v>40.301999999999992</v>
      </c>
      <c r="G1006" s="59">
        <v>40</v>
      </c>
      <c r="H1006" s="56">
        <f>60+100</f>
        <v>160</v>
      </c>
      <c r="I1006" s="56">
        <f t="shared" si="169"/>
        <v>0</v>
      </c>
      <c r="J1006" s="59">
        <v>100</v>
      </c>
      <c r="K1006" s="59">
        <v>300</v>
      </c>
      <c r="L1006" s="56">
        <f t="shared" si="163"/>
        <v>1150</v>
      </c>
      <c r="M1006" s="66">
        <v>600</v>
      </c>
      <c r="N1006" s="56">
        <f>100</f>
        <v>100</v>
      </c>
      <c r="O1006" s="59">
        <v>240</v>
      </c>
      <c r="P1006" s="59">
        <v>40</v>
      </c>
      <c r="Q1006" s="59">
        <f t="shared" si="164"/>
        <v>315</v>
      </c>
      <c r="R1006" s="59">
        <f t="shared" si="165"/>
        <v>100</v>
      </c>
      <c r="S1006" s="56">
        <f t="shared" si="166"/>
        <v>695</v>
      </c>
      <c r="T1006" s="56">
        <f>50</f>
        <v>50</v>
      </c>
      <c r="U1006" s="57"/>
      <c r="V1006" s="57"/>
      <c r="W1006" s="57"/>
      <c r="X1006" s="57"/>
      <c r="Y1006" s="57"/>
      <c r="Z1006" s="57"/>
      <c r="AA1006" s="57"/>
      <c r="AB1006" s="57"/>
      <c r="AC1006" s="57"/>
      <c r="AD1006" s="57"/>
    </row>
    <row r="1007" spans="1:30" ht="15.75">
      <c r="A1007" s="13">
        <v>71955</v>
      </c>
      <c r="B1007" s="67">
        <f t="shared" si="161"/>
        <v>31</v>
      </c>
      <c r="C1007" s="56">
        <f>122.58</f>
        <v>122.58</v>
      </c>
      <c r="D1007" s="56">
        <f>297.941</f>
        <v>297.94099999999997</v>
      </c>
      <c r="E1007" s="64">
        <f>89.177</f>
        <v>89.177000000000007</v>
      </c>
      <c r="F1007" s="56">
        <f>240.302-40-60-100</f>
        <v>40.301999999999992</v>
      </c>
      <c r="G1007" s="59">
        <v>40</v>
      </c>
      <c r="H1007" s="56">
        <f>60+100</f>
        <v>160</v>
      </c>
      <c r="I1007" s="56">
        <f t="shared" si="169"/>
        <v>0</v>
      </c>
      <c r="J1007" s="59">
        <v>100</v>
      </c>
      <c r="K1007" s="59">
        <v>300</v>
      </c>
      <c r="L1007" s="56">
        <f t="shared" si="163"/>
        <v>1150</v>
      </c>
      <c r="M1007" s="66">
        <v>600</v>
      </c>
      <c r="N1007" s="56">
        <f>100</f>
        <v>100</v>
      </c>
      <c r="O1007" s="59">
        <v>240</v>
      </c>
      <c r="P1007" s="59">
        <v>40</v>
      </c>
      <c r="Q1007" s="59">
        <f t="shared" si="164"/>
        <v>315</v>
      </c>
      <c r="R1007" s="59">
        <f t="shared" si="165"/>
        <v>100</v>
      </c>
      <c r="S1007" s="56">
        <f t="shared" si="166"/>
        <v>695</v>
      </c>
      <c r="T1007" s="56">
        <f>50</f>
        <v>50</v>
      </c>
      <c r="U1007" s="57"/>
      <c r="V1007" s="57"/>
      <c r="W1007" s="57"/>
      <c r="X1007" s="57"/>
      <c r="Y1007" s="57"/>
      <c r="Z1007" s="57"/>
      <c r="AA1007" s="57"/>
      <c r="AB1007" s="57"/>
      <c r="AC1007" s="57"/>
      <c r="AD1007" s="57"/>
    </row>
    <row r="1008" spans="1:30" ht="15.75">
      <c r="A1008" s="13">
        <v>71986</v>
      </c>
      <c r="B1008" s="67">
        <f t="shared" si="161"/>
        <v>31</v>
      </c>
      <c r="C1008" s="56">
        <f>122.58</f>
        <v>122.58</v>
      </c>
      <c r="D1008" s="56">
        <f>297.941</f>
        <v>297.94099999999997</v>
      </c>
      <c r="E1008" s="64">
        <f>89.177</f>
        <v>89.177000000000007</v>
      </c>
      <c r="F1008" s="56">
        <f>240.302-40-60-100</f>
        <v>40.301999999999992</v>
      </c>
      <c r="G1008" s="59">
        <v>40</v>
      </c>
      <c r="H1008" s="56">
        <f>60+100</f>
        <v>160</v>
      </c>
      <c r="I1008" s="56">
        <f t="shared" si="169"/>
        <v>0</v>
      </c>
      <c r="J1008" s="59">
        <v>100</v>
      </c>
      <c r="K1008" s="59">
        <v>300</v>
      </c>
      <c r="L1008" s="56">
        <f t="shared" si="163"/>
        <v>1150</v>
      </c>
      <c r="M1008" s="66">
        <v>600</v>
      </c>
      <c r="N1008" s="56">
        <f>100</f>
        <v>100</v>
      </c>
      <c r="O1008" s="59">
        <v>240</v>
      </c>
      <c r="P1008" s="59">
        <v>40</v>
      </c>
      <c r="Q1008" s="59">
        <f t="shared" si="164"/>
        <v>315</v>
      </c>
      <c r="R1008" s="59">
        <f t="shared" si="165"/>
        <v>100</v>
      </c>
      <c r="S1008" s="56">
        <f t="shared" si="166"/>
        <v>695</v>
      </c>
      <c r="T1008" s="56">
        <f>50</f>
        <v>50</v>
      </c>
      <c r="U1008" s="57"/>
      <c r="V1008" s="57"/>
      <c r="W1008" s="57"/>
      <c r="X1008" s="57"/>
      <c r="Y1008" s="57"/>
      <c r="Z1008" s="57"/>
      <c r="AA1008" s="57"/>
      <c r="AB1008" s="57"/>
      <c r="AC1008" s="57"/>
      <c r="AD1008" s="57"/>
    </row>
    <row r="1009" spans="1:30" ht="15.75">
      <c r="A1009" s="13">
        <v>72014</v>
      </c>
      <c r="B1009" s="67">
        <f t="shared" si="161"/>
        <v>28</v>
      </c>
      <c r="C1009" s="56">
        <f>122.58</f>
        <v>122.58</v>
      </c>
      <c r="D1009" s="56">
        <f>297.941</f>
        <v>297.94099999999997</v>
      </c>
      <c r="E1009" s="64">
        <f>89.177</f>
        <v>89.177000000000007</v>
      </c>
      <c r="F1009" s="56">
        <f>240.302-40-60-100</f>
        <v>40.301999999999992</v>
      </c>
      <c r="G1009" s="59">
        <v>40</v>
      </c>
      <c r="H1009" s="56">
        <f>60+100</f>
        <v>160</v>
      </c>
      <c r="I1009" s="56">
        <f t="shared" si="169"/>
        <v>0</v>
      </c>
      <c r="J1009" s="59">
        <v>100</v>
      </c>
      <c r="K1009" s="59">
        <v>300</v>
      </c>
      <c r="L1009" s="56">
        <f t="shared" si="163"/>
        <v>1150</v>
      </c>
      <c r="M1009" s="66">
        <v>600</v>
      </c>
      <c r="N1009" s="56">
        <f>100</f>
        <v>100</v>
      </c>
      <c r="O1009" s="59">
        <v>240</v>
      </c>
      <c r="P1009" s="59">
        <v>40</v>
      </c>
      <c r="Q1009" s="59">
        <f t="shared" si="164"/>
        <v>315</v>
      </c>
      <c r="R1009" s="59">
        <f t="shared" si="165"/>
        <v>100</v>
      </c>
      <c r="S1009" s="56">
        <f t="shared" si="166"/>
        <v>695</v>
      </c>
      <c r="T1009" s="56">
        <f>50</f>
        <v>50</v>
      </c>
      <c r="U1009" s="57"/>
      <c r="V1009" s="57"/>
      <c r="W1009" s="57"/>
      <c r="X1009" s="57"/>
      <c r="Y1009" s="57"/>
      <c r="Z1009" s="57"/>
      <c r="AA1009" s="57"/>
      <c r="AB1009" s="57"/>
      <c r="AC1009" s="57"/>
      <c r="AD1009" s="57"/>
    </row>
    <row r="1010" spans="1:30" ht="15.75">
      <c r="A1010" s="13">
        <v>72045</v>
      </c>
      <c r="B1010" s="67">
        <f t="shared" si="161"/>
        <v>31</v>
      </c>
      <c r="C1010" s="56">
        <f>122.58</f>
        <v>122.58</v>
      </c>
      <c r="D1010" s="56">
        <f>297.941</f>
        <v>297.94099999999997</v>
      </c>
      <c r="E1010" s="64">
        <f>89.177</f>
        <v>89.177000000000007</v>
      </c>
      <c r="F1010" s="56">
        <f>240.302-40-60-100</f>
        <v>40.301999999999992</v>
      </c>
      <c r="G1010" s="59">
        <v>40</v>
      </c>
      <c r="H1010" s="56">
        <f>60+100</f>
        <v>160</v>
      </c>
      <c r="I1010" s="56">
        <f t="shared" si="169"/>
        <v>0</v>
      </c>
      <c r="J1010" s="59">
        <v>100</v>
      </c>
      <c r="K1010" s="59">
        <v>300</v>
      </c>
      <c r="L1010" s="56">
        <f t="shared" si="163"/>
        <v>1150</v>
      </c>
      <c r="M1010" s="66">
        <v>600</v>
      </c>
      <c r="N1010" s="56">
        <f>100</f>
        <v>100</v>
      </c>
      <c r="O1010" s="59">
        <v>240</v>
      </c>
      <c r="P1010" s="59">
        <v>40</v>
      </c>
      <c r="Q1010" s="59">
        <f t="shared" si="164"/>
        <v>315</v>
      </c>
      <c r="R1010" s="59">
        <f t="shared" si="165"/>
        <v>100</v>
      </c>
      <c r="S1010" s="56">
        <f t="shared" si="166"/>
        <v>695</v>
      </c>
      <c r="T1010" s="56">
        <f>50</f>
        <v>50</v>
      </c>
      <c r="U1010" s="57"/>
      <c r="V1010" s="57"/>
      <c r="W1010" s="57"/>
      <c r="X1010" s="57"/>
      <c r="Y1010" s="57"/>
      <c r="Z1010" s="57"/>
      <c r="AA1010" s="57"/>
      <c r="AB1010" s="57"/>
      <c r="AC1010" s="57"/>
      <c r="AD1010" s="57"/>
    </row>
    <row r="1011" spans="1:30" ht="15.75">
      <c r="A1011" s="13">
        <v>72075</v>
      </c>
      <c r="B1011" s="67">
        <f t="shared" si="161"/>
        <v>30</v>
      </c>
      <c r="C1011" s="56">
        <f>141.293</f>
        <v>141.29300000000001</v>
      </c>
      <c r="D1011" s="56">
        <f>267.993</f>
        <v>267.99299999999999</v>
      </c>
      <c r="E1011" s="64">
        <f>115.016</f>
        <v>115.01600000000001</v>
      </c>
      <c r="F1011" s="56">
        <f>314.698-40-25-60-100</f>
        <v>89.697999999999979</v>
      </c>
      <c r="G1011" s="59">
        <v>40</v>
      </c>
      <c r="H1011" s="56">
        <f t="shared" ref="H1011:H1017" si="170">25+60+100</f>
        <v>185</v>
      </c>
      <c r="I1011" s="56">
        <f t="shared" si="169"/>
        <v>0</v>
      </c>
      <c r="J1011" s="59">
        <v>100</v>
      </c>
      <c r="K1011" s="59">
        <v>300</v>
      </c>
      <c r="L1011" s="56">
        <f t="shared" si="163"/>
        <v>1239</v>
      </c>
      <c r="M1011" s="66">
        <v>600</v>
      </c>
      <c r="N1011" s="56">
        <f>100</f>
        <v>100</v>
      </c>
      <c r="O1011" s="59">
        <v>240</v>
      </c>
      <c r="P1011" s="59">
        <v>40</v>
      </c>
      <c r="Q1011" s="59">
        <f t="shared" si="164"/>
        <v>315</v>
      </c>
      <c r="R1011" s="59">
        <f t="shared" si="165"/>
        <v>100</v>
      </c>
      <c r="S1011" s="56">
        <f t="shared" si="166"/>
        <v>695</v>
      </c>
      <c r="T1011" s="56">
        <f>50</f>
        <v>50</v>
      </c>
      <c r="U1011" s="57"/>
      <c r="V1011" s="57"/>
      <c r="W1011" s="57"/>
      <c r="X1011" s="57"/>
      <c r="Y1011" s="57"/>
      <c r="Z1011" s="57"/>
      <c r="AA1011" s="57"/>
      <c r="AB1011" s="57"/>
      <c r="AC1011" s="57"/>
      <c r="AD1011" s="57"/>
    </row>
    <row r="1012" spans="1:30" ht="15.75">
      <c r="A1012" s="13">
        <v>72106</v>
      </c>
      <c r="B1012" s="67">
        <f t="shared" si="161"/>
        <v>31</v>
      </c>
      <c r="C1012" s="56">
        <f>194.205</f>
        <v>194.20500000000001</v>
      </c>
      <c r="D1012" s="56">
        <f>267.466</f>
        <v>267.46600000000001</v>
      </c>
      <c r="E1012" s="64">
        <f>133.845</f>
        <v>133.845</v>
      </c>
      <c r="F1012" s="56">
        <f>278.484-40-25-60-100</f>
        <v>53.48399999999998</v>
      </c>
      <c r="G1012" s="59">
        <v>40</v>
      </c>
      <c r="H1012" s="56">
        <f t="shared" si="170"/>
        <v>185</v>
      </c>
      <c r="I1012" s="56">
        <f t="shared" si="169"/>
        <v>0</v>
      </c>
      <c r="J1012" s="59">
        <v>100</v>
      </c>
      <c r="K1012" s="59">
        <v>300</v>
      </c>
      <c r="L1012" s="56">
        <f t="shared" si="163"/>
        <v>1274</v>
      </c>
      <c r="M1012" s="66">
        <v>600</v>
      </c>
      <c r="N1012" s="56">
        <f>75</f>
        <v>75</v>
      </c>
      <c r="O1012" s="59">
        <v>240</v>
      </c>
      <c r="P1012" s="59">
        <v>40</v>
      </c>
      <c r="Q1012" s="59">
        <f t="shared" si="164"/>
        <v>315</v>
      </c>
      <c r="R1012" s="59">
        <f t="shared" si="165"/>
        <v>100</v>
      </c>
      <c r="S1012" s="56">
        <f t="shared" si="166"/>
        <v>695</v>
      </c>
      <c r="T1012" s="56">
        <f>50</f>
        <v>50</v>
      </c>
      <c r="U1012" s="57"/>
      <c r="V1012" s="57"/>
      <c r="W1012" s="57"/>
      <c r="X1012" s="57"/>
      <c r="Y1012" s="57"/>
      <c r="Z1012" s="57"/>
      <c r="AA1012" s="57"/>
      <c r="AB1012" s="57"/>
      <c r="AC1012" s="57"/>
      <c r="AD1012" s="57"/>
    </row>
    <row r="1013" spans="1:30" ht="15.75">
      <c r="A1013" s="13">
        <v>72136</v>
      </c>
      <c r="B1013" s="67">
        <f t="shared" si="161"/>
        <v>30</v>
      </c>
      <c r="C1013" s="56">
        <f>194.205</f>
        <v>194.20500000000001</v>
      </c>
      <c r="D1013" s="56">
        <f>267.466</f>
        <v>267.46600000000001</v>
      </c>
      <c r="E1013" s="64">
        <f>133.845</f>
        <v>133.845</v>
      </c>
      <c r="F1013" s="56">
        <f>278.484-40-25-60-100</f>
        <v>53.48399999999998</v>
      </c>
      <c r="G1013" s="59">
        <v>40</v>
      </c>
      <c r="H1013" s="56">
        <f t="shared" si="170"/>
        <v>185</v>
      </c>
      <c r="I1013" s="56">
        <f t="shared" si="169"/>
        <v>0</v>
      </c>
      <c r="J1013" s="59">
        <v>100</v>
      </c>
      <c r="K1013" s="59">
        <v>300</v>
      </c>
      <c r="L1013" s="56">
        <f t="shared" si="163"/>
        <v>1274</v>
      </c>
      <c r="M1013" s="66">
        <v>600</v>
      </c>
      <c r="N1013" s="56">
        <f>30</f>
        <v>30</v>
      </c>
      <c r="O1013" s="59">
        <v>240</v>
      </c>
      <c r="P1013" s="59">
        <v>40</v>
      </c>
      <c r="Q1013" s="59">
        <f t="shared" si="164"/>
        <v>315</v>
      </c>
      <c r="R1013" s="59">
        <f t="shared" si="165"/>
        <v>100</v>
      </c>
      <c r="S1013" s="56">
        <f t="shared" si="166"/>
        <v>695</v>
      </c>
      <c r="T1013" s="56">
        <f>50</f>
        <v>50</v>
      </c>
      <c r="U1013" s="57"/>
      <c r="V1013" s="57"/>
      <c r="W1013" s="57"/>
      <c r="X1013" s="57"/>
      <c r="Y1013" s="57"/>
      <c r="Z1013" s="57"/>
      <c r="AA1013" s="57"/>
      <c r="AB1013" s="57"/>
      <c r="AC1013" s="57"/>
      <c r="AD1013" s="57"/>
    </row>
    <row r="1014" spans="1:30" ht="15.75">
      <c r="A1014" s="13">
        <v>72167</v>
      </c>
      <c r="B1014" s="67">
        <f t="shared" si="161"/>
        <v>31</v>
      </c>
      <c r="C1014" s="56">
        <f>194.205</f>
        <v>194.20500000000001</v>
      </c>
      <c r="D1014" s="56">
        <f>267.466</f>
        <v>267.46600000000001</v>
      </c>
      <c r="E1014" s="64">
        <f>133.845</f>
        <v>133.845</v>
      </c>
      <c r="F1014" s="56">
        <f>278.484-40-25-60-100</f>
        <v>53.48399999999998</v>
      </c>
      <c r="G1014" s="59">
        <v>40</v>
      </c>
      <c r="H1014" s="56">
        <f t="shared" si="170"/>
        <v>185</v>
      </c>
      <c r="I1014" s="56">
        <f t="shared" si="169"/>
        <v>0</v>
      </c>
      <c r="J1014" s="59">
        <v>100</v>
      </c>
      <c r="K1014" s="59">
        <v>300</v>
      </c>
      <c r="L1014" s="56">
        <f t="shared" si="163"/>
        <v>1274</v>
      </c>
      <c r="M1014" s="66">
        <v>600</v>
      </c>
      <c r="N1014" s="56">
        <f>30</f>
        <v>30</v>
      </c>
      <c r="O1014" s="59">
        <v>240</v>
      </c>
      <c r="P1014" s="59">
        <v>40</v>
      </c>
      <c r="Q1014" s="59">
        <f t="shared" si="164"/>
        <v>315</v>
      </c>
      <c r="R1014" s="59">
        <f t="shared" si="165"/>
        <v>100</v>
      </c>
      <c r="S1014" s="56">
        <f t="shared" si="166"/>
        <v>695</v>
      </c>
      <c r="T1014" s="56">
        <f>0</f>
        <v>0</v>
      </c>
      <c r="U1014" s="57"/>
      <c r="V1014" s="57"/>
      <c r="W1014" s="57"/>
      <c r="X1014" s="57"/>
      <c r="Y1014" s="57"/>
      <c r="Z1014" s="57"/>
      <c r="AA1014" s="57"/>
      <c r="AB1014" s="57"/>
      <c r="AC1014" s="57"/>
      <c r="AD1014" s="57"/>
    </row>
    <row r="1015" spans="1:30" ht="15.75">
      <c r="A1015" s="13">
        <v>72198</v>
      </c>
      <c r="B1015" s="67">
        <f t="shared" si="161"/>
        <v>31</v>
      </c>
      <c r="C1015" s="56">
        <f>194.205</f>
        <v>194.20500000000001</v>
      </c>
      <c r="D1015" s="56">
        <f>267.466</f>
        <v>267.46600000000001</v>
      </c>
      <c r="E1015" s="64">
        <f>133.845</f>
        <v>133.845</v>
      </c>
      <c r="F1015" s="56">
        <f>278.484-40-25-60-100</f>
        <v>53.48399999999998</v>
      </c>
      <c r="G1015" s="59">
        <v>40</v>
      </c>
      <c r="H1015" s="56">
        <f t="shared" si="170"/>
        <v>185</v>
      </c>
      <c r="I1015" s="56">
        <f t="shared" si="169"/>
        <v>0</v>
      </c>
      <c r="J1015" s="59">
        <v>100</v>
      </c>
      <c r="K1015" s="59">
        <v>300</v>
      </c>
      <c r="L1015" s="56">
        <f t="shared" si="163"/>
        <v>1274</v>
      </c>
      <c r="M1015" s="66">
        <v>600</v>
      </c>
      <c r="N1015" s="56">
        <f>30</f>
        <v>30</v>
      </c>
      <c r="O1015" s="59">
        <v>240</v>
      </c>
      <c r="P1015" s="59">
        <v>40</v>
      </c>
      <c r="Q1015" s="59">
        <f t="shared" si="164"/>
        <v>315</v>
      </c>
      <c r="R1015" s="59">
        <f t="shared" si="165"/>
        <v>100</v>
      </c>
      <c r="S1015" s="56">
        <f t="shared" si="166"/>
        <v>695</v>
      </c>
      <c r="T1015" s="56">
        <f>0</f>
        <v>0</v>
      </c>
      <c r="U1015" s="57"/>
      <c r="V1015" s="57"/>
      <c r="W1015" s="57"/>
      <c r="X1015" s="57"/>
      <c r="Y1015" s="57"/>
      <c r="Z1015" s="57"/>
      <c r="AA1015" s="57"/>
      <c r="AB1015" s="57"/>
      <c r="AC1015" s="57"/>
      <c r="AD1015" s="57"/>
    </row>
    <row r="1016" spans="1:30" ht="15.75">
      <c r="A1016" s="13">
        <v>72228</v>
      </c>
      <c r="B1016" s="67">
        <f t="shared" si="161"/>
        <v>30</v>
      </c>
      <c r="C1016" s="56">
        <f>194.205</f>
        <v>194.20500000000001</v>
      </c>
      <c r="D1016" s="56">
        <f>267.466</f>
        <v>267.46600000000001</v>
      </c>
      <c r="E1016" s="64">
        <f>133.845</f>
        <v>133.845</v>
      </c>
      <c r="F1016" s="56">
        <f>278.484-40-25-60-100</f>
        <v>53.48399999999998</v>
      </c>
      <c r="G1016" s="59">
        <v>40</v>
      </c>
      <c r="H1016" s="56">
        <f t="shared" si="170"/>
        <v>185</v>
      </c>
      <c r="I1016" s="56">
        <f t="shared" si="169"/>
        <v>0</v>
      </c>
      <c r="J1016" s="59">
        <v>100</v>
      </c>
      <c r="K1016" s="59">
        <v>300</v>
      </c>
      <c r="L1016" s="56">
        <f t="shared" si="163"/>
        <v>1274</v>
      </c>
      <c r="M1016" s="66">
        <v>600</v>
      </c>
      <c r="N1016" s="56">
        <f>30</f>
        <v>30</v>
      </c>
      <c r="O1016" s="59">
        <v>240</v>
      </c>
      <c r="P1016" s="59">
        <v>40</v>
      </c>
      <c r="Q1016" s="59">
        <f t="shared" si="164"/>
        <v>315</v>
      </c>
      <c r="R1016" s="59">
        <f t="shared" si="165"/>
        <v>100</v>
      </c>
      <c r="S1016" s="56">
        <f t="shared" si="166"/>
        <v>695</v>
      </c>
      <c r="T1016" s="56">
        <f>0</f>
        <v>0</v>
      </c>
      <c r="U1016" s="57"/>
      <c r="V1016" s="57"/>
      <c r="W1016" s="57"/>
      <c r="X1016" s="57"/>
      <c r="Y1016" s="57"/>
      <c r="Z1016" s="57"/>
      <c r="AA1016" s="57"/>
      <c r="AB1016" s="57"/>
      <c r="AC1016" s="57"/>
      <c r="AD1016" s="57"/>
    </row>
    <row r="1017" spans="1:30" ht="15.75">
      <c r="A1017" s="13">
        <v>72259</v>
      </c>
      <c r="B1017" s="67">
        <f t="shared" si="161"/>
        <v>31</v>
      </c>
      <c r="C1017" s="56">
        <f>131.881</f>
        <v>131.881</v>
      </c>
      <c r="D1017" s="56">
        <f>277.167</f>
        <v>277.16699999999997</v>
      </c>
      <c r="E1017" s="64">
        <f>79.08</f>
        <v>79.08</v>
      </c>
      <c r="F1017" s="56">
        <f>350.872-40-25-60-100</f>
        <v>125.87200000000001</v>
      </c>
      <c r="G1017" s="59">
        <v>40</v>
      </c>
      <c r="H1017" s="56">
        <f t="shared" si="170"/>
        <v>185</v>
      </c>
      <c r="I1017" s="56">
        <f t="shared" si="169"/>
        <v>0</v>
      </c>
      <c r="J1017" s="59">
        <v>100</v>
      </c>
      <c r="K1017" s="59">
        <v>300</v>
      </c>
      <c r="L1017" s="56">
        <f t="shared" si="163"/>
        <v>1239</v>
      </c>
      <c r="M1017" s="66">
        <v>600</v>
      </c>
      <c r="N1017" s="56">
        <f>75</f>
        <v>75</v>
      </c>
      <c r="O1017" s="59">
        <v>240</v>
      </c>
      <c r="P1017" s="59">
        <v>40</v>
      </c>
      <c r="Q1017" s="59">
        <f t="shared" si="164"/>
        <v>315</v>
      </c>
      <c r="R1017" s="59">
        <f t="shared" si="165"/>
        <v>100</v>
      </c>
      <c r="S1017" s="56">
        <f t="shared" si="166"/>
        <v>695</v>
      </c>
      <c r="T1017" s="56">
        <f>0</f>
        <v>0</v>
      </c>
      <c r="U1017" s="57"/>
      <c r="V1017" s="57"/>
      <c r="W1017" s="57"/>
      <c r="X1017" s="57"/>
      <c r="Y1017" s="57"/>
      <c r="Z1017" s="57"/>
      <c r="AA1017" s="57"/>
      <c r="AB1017" s="57"/>
      <c r="AC1017" s="57"/>
      <c r="AD1017" s="57"/>
    </row>
    <row r="1018" spans="1:30" ht="15.75">
      <c r="A1018" s="13">
        <v>72289</v>
      </c>
      <c r="B1018" s="67">
        <f t="shared" si="161"/>
        <v>30</v>
      </c>
      <c r="C1018" s="56">
        <f>122.58</f>
        <v>122.58</v>
      </c>
      <c r="D1018" s="56">
        <f>297.941</f>
        <v>297.94099999999997</v>
      </c>
      <c r="E1018" s="64">
        <f>89.177</f>
        <v>89.177000000000007</v>
      </c>
      <c r="F1018" s="56">
        <f>240.302-40-60-100</f>
        <v>40.301999999999992</v>
      </c>
      <c r="G1018" s="59">
        <v>40</v>
      </c>
      <c r="H1018" s="56">
        <f>60+100</f>
        <v>160</v>
      </c>
      <c r="I1018" s="56">
        <f t="shared" si="169"/>
        <v>0</v>
      </c>
      <c r="J1018" s="59">
        <v>100</v>
      </c>
      <c r="K1018" s="59">
        <v>300</v>
      </c>
      <c r="L1018" s="56">
        <f t="shared" si="163"/>
        <v>1150</v>
      </c>
      <c r="M1018" s="66">
        <v>600</v>
      </c>
      <c r="N1018" s="56">
        <f>100</f>
        <v>100</v>
      </c>
      <c r="O1018" s="59">
        <v>240</v>
      </c>
      <c r="P1018" s="59">
        <v>40</v>
      </c>
      <c r="Q1018" s="59">
        <f t="shared" si="164"/>
        <v>315</v>
      </c>
      <c r="R1018" s="59">
        <f t="shared" si="165"/>
        <v>100</v>
      </c>
      <c r="S1018" s="56">
        <f t="shared" si="166"/>
        <v>695</v>
      </c>
      <c r="T1018" s="56">
        <f>50</f>
        <v>50</v>
      </c>
      <c r="U1018" s="57"/>
      <c r="V1018" s="57"/>
      <c r="W1018" s="57"/>
      <c r="X1018" s="57"/>
      <c r="Y1018" s="57"/>
      <c r="Z1018" s="57"/>
      <c r="AA1018" s="57"/>
      <c r="AB1018" s="57"/>
      <c r="AC1018" s="57"/>
      <c r="AD1018" s="57"/>
    </row>
    <row r="1019" spans="1:30" ht="15.75">
      <c r="A1019" s="13">
        <v>72320</v>
      </c>
      <c r="B1019" s="67">
        <f t="shared" si="161"/>
        <v>31</v>
      </c>
      <c r="C1019" s="56">
        <f>122.58</f>
        <v>122.58</v>
      </c>
      <c r="D1019" s="56">
        <f>297.941</f>
        <v>297.94099999999997</v>
      </c>
      <c r="E1019" s="64">
        <f>89.177</f>
        <v>89.177000000000007</v>
      </c>
      <c r="F1019" s="56">
        <f>240.302-40-60-100</f>
        <v>40.301999999999992</v>
      </c>
      <c r="G1019" s="59">
        <v>40</v>
      </c>
      <c r="H1019" s="56">
        <f>60+100</f>
        <v>160</v>
      </c>
      <c r="I1019" s="56">
        <f t="shared" si="169"/>
        <v>0</v>
      </c>
      <c r="J1019" s="59">
        <v>100</v>
      </c>
      <c r="K1019" s="59">
        <v>300</v>
      </c>
      <c r="L1019" s="56">
        <f t="shared" si="163"/>
        <v>1150</v>
      </c>
      <c r="M1019" s="66">
        <v>600</v>
      </c>
      <c r="N1019" s="56">
        <f>100</f>
        <v>100</v>
      </c>
      <c r="O1019" s="59">
        <v>240</v>
      </c>
      <c r="P1019" s="59">
        <v>40</v>
      </c>
      <c r="Q1019" s="59">
        <f t="shared" si="164"/>
        <v>315</v>
      </c>
      <c r="R1019" s="59">
        <f t="shared" si="165"/>
        <v>100</v>
      </c>
      <c r="S1019" s="56">
        <f t="shared" si="166"/>
        <v>695</v>
      </c>
      <c r="T1019" s="56">
        <f>50</f>
        <v>50</v>
      </c>
      <c r="U1019" s="57"/>
      <c r="V1019" s="57"/>
      <c r="W1019" s="57"/>
      <c r="X1019" s="57"/>
      <c r="Y1019" s="57"/>
      <c r="Z1019" s="57"/>
      <c r="AA1019" s="57"/>
      <c r="AB1019" s="57"/>
      <c r="AC1019" s="57"/>
      <c r="AD1019" s="57"/>
    </row>
    <row r="1020" spans="1:30" ht="15.75">
      <c r="A1020" s="13">
        <v>72351</v>
      </c>
      <c r="B1020" s="67">
        <f t="shared" si="161"/>
        <v>31</v>
      </c>
      <c r="C1020" s="56">
        <f>122.58</f>
        <v>122.58</v>
      </c>
      <c r="D1020" s="56">
        <f>297.941</f>
        <v>297.94099999999997</v>
      </c>
      <c r="E1020" s="64">
        <f>89.177</f>
        <v>89.177000000000007</v>
      </c>
      <c r="F1020" s="56">
        <f>240.302-40-60-100</f>
        <v>40.301999999999992</v>
      </c>
      <c r="G1020" s="59">
        <v>40</v>
      </c>
      <c r="H1020" s="56">
        <f>60+100</f>
        <v>160</v>
      </c>
      <c r="I1020" s="56">
        <f t="shared" si="169"/>
        <v>0</v>
      </c>
      <c r="J1020" s="59">
        <v>100</v>
      </c>
      <c r="K1020" s="59">
        <v>300</v>
      </c>
      <c r="L1020" s="56">
        <f t="shared" si="163"/>
        <v>1150</v>
      </c>
      <c r="M1020" s="66">
        <v>600</v>
      </c>
      <c r="N1020" s="56">
        <f>100</f>
        <v>100</v>
      </c>
      <c r="O1020" s="59">
        <v>240</v>
      </c>
      <c r="P1020" s="59">
        <v>40</v>
      </c>
      <c r="Q1020" s="59">
        <f t="shared" si="164"/>
        <v>315</v>
      </c>
      <c r="R1020" s="59">
        <f t="shared" si="165"/>
        <v>100</v>
      </c>
      <c r="S1020" s="56">
        <f t="shared" si="166"/>
        <v>695</v>
      </c>
      <c r="T1020" s="56">
        <f>50</f>
        <v>50</v>
      </c>
      <c r="U1020" s="57"/>
      <c r="V1020" s="57"/>
      <c r="W1020" s="57"/>
      <c r="X1020" s="57"/>
      <c r="Y1020" s="57"/>
      <c r="Z1020" s="57"/>
      <c r="AA1020" s="57"/>
      <c r="AB1020" s="57"/>
      <c r="AC1020" s="57"/>
      <c r="AD1020" s="57"/>
    </row>
    <row r="1021" spans="1:30" ht="15.75">
      <c r="A1021" s="13">
        <v>72379</v>
      </c>
      <c r="B1021" s="67">
        <f t="shared" si="161"/>
        <v>28</v>
      </c>
      <c r="C1021" s="56">
        <f>122.58</f>
        <v>122.58</v>
      </c>
      <c r="D1021" s="56">
        <f>297.941</f>
        <v>297.94099999999997</v>
      </c>
      <c r="E1021" s="64">
        <f>89.177</f>
        <v>89.177000000000007</v>
      </c>
      <c r="F1021" s="56">
        <f>240.302-40-60-100</f>
        <v>40.301999999999992</v>
      </c>
      <c r="G1021" s="59">
        <v>40</v>
      </c>
      <c r="H1021" s="56">
        <f>60+100</f>
        <v>160</v>
      </c>
      <c r="I1021" s="56">
        <f t="shared" si="169"/>
        <v>0</v>
      </c>
      <c r="J1021" s="59">
        <v>100</v>
      </c>
      <c r="K1021" s="59">
        <v>300</v>
      </c>
      <c r="L1021" s="56">
        <f t="shared" si="163"/>
        <v>1150</v>
      </c>
      <c r="M1021" s="66">
        <v>600</v>
      </c>
      <c r="N1021" s="56">
        <f>100</f>
        <v>100</v>
      </c>
      <c r="O1021" s="59">
        <v>240</v>
      </c>
      <c r="P1021" s="59">
        <v>40</v>
      </c>
      <c r="Q1021" s="59">
        <f t="shared" si="164"/>
        <v>315</v>
      </c>
      <c r="R1021" s="59">
        <f t="shared" si="165"/>
        <v>100</v>
      </c>
      <c r="S1021" s="56">
        <f t="shared" si="166"/>
        <v>695</v>
      </c>
      <c r="T1021" s="56">
        <f>50</f>
        <v>50</v>
      </c>
      <c r="U1021" s="57"/>
      <c r="V1021" s="57"/>
      <c r="W1021" s="57"/>
      <c r="X1021" s="57"/>
      <c r="Y1021" s="57"/>
      <c r="Z1021" s="57"/>
      <c r="AA1021" s="57"/>
      <c r="AB1021" s="57"/>
      <c r="AC1021" s="57"/>
      <c r="AD1021" s="57"/>
    </row>
    <row r="1022" spans="1:30" ht="15.75">
      <c r="A1022" s="13">
        <v>72410</v>
      </c>
      <c r="B1022" s="67">
        <f t="shared" si="161"/>
        <v>31</v>
      </c>
      <c r="C1022" s="56">
        <f>122.58</f>
        <v>122.58</v>
      </c>
      <c r="D1022" s="56">
        <f>297.941</f>
        <v>297.94099999999997</v>
      </c>
      <c r="E1022" s="64">
        <f>89.177</f>
        <v>89.177000000000007</v>
      </c>
      <c r="F1022" s="56">
        <f>240.302-40-60-100</f>
        <v>40.301999999999992</v>
      </c>
      <c r="G1022" s="59">
        <v>40</v>
      </c>
      <c r="H1022" s="56">
        <f>60+100</f>
        <v>160</v>
      </c>
      <c r="I1022" s="56">
        <f t="shared" si="169"/>
        <v>0</v>
      </c>
      <c r="J1022" s="59">
        <v>100</v>
      </c>
      <c r="K1022" s="59">
        <v>300</v>
      </c>
      <c r="L1022" s="56">
        <f t="shared" si="163"/>
        <v>1150</v>
      </c>
      <c r="M1022" s="66">
        <v>600</v>
      </c>
      <c r="N1022" s="56">
        <f>100</f>
        <v>100</v>
      </c>
      <c r="O1022" s="59">
        <v>240</v>
      </c>
      <c r="P1022" s="59">
        <v>40</v>
      </c>
      <c r="Q1022" s="59">
        <f t="shared" si="164"/>
        <v>315</v>
      </c>
      <c r="R1022" s="59">
        <f t="shared" si="165"/>
        <v>100</v>
      </c>
      <c r="S1022" s="56">
        <f t="shared" si="166"/>
        <v>695</v>
      </c>
      <c r="T1022" s="56">
        <f>50</f>
        <v>50</v>
      </c>
      <c r="U1022" s="57"/>
      <c r="V1022" s="57"/>
      <c r="W1022" s="57"/>
      <c r="X1022" s="57"/>
      <c r="Y1022" s="57"/>
      <c r="Z1022" s="57"/>
      <c r="AA1022" s="57"/>
      <c r="AB1022" s="57"/>
      <c r="AC1022" s="57"/>
      <c r="AD1022" s="57"/>
    </row>
    <row r="1023" spans="1:30" ht="15.75">
      <c r="A1023" s="13">
        <v>72440</v>
      </c>
      <c r="B1023" s="67">
        <f t="shared" si="161"/>
        <v>30</v>
      </c>
      <c r="C1023" s="56">
        <f>141.293</f>
        <v>141.29300000000001</v>
      </c>
      <c r="D1023" s="56">
        <f>267.993</f>
        <v>267.99299999999999</v>
      </c>
      <c r="E1023" s="64">
        <f>115.016</f>
        <v>115.01600000000001</v>
      </c>
      <c r="F1023" s="56">
        <f>314.698-40-25-60-100</f>
        <v>89.697999999999979</v>
      </c>
      <c r="G1023" s="59">
        <v>40</v>
      </c>
      <c r="H1023" s="56">
        <f t="shared" ref="H1023:H1029" si="171">25+60+100</f>
        <v>185</v>
      </c>
      <c r="I1023" s="56">
        <f t="shared" si="169"/>
        <v>0</v>
      </c>
      <c r="J1023" s="59">
        <v>100</v>
      </c>
      <c r="K1023" s="59">
        <v>300</v>
      </c>
      <c r="L1023" s="56">
        <f t="shared" si="163"/>
        <v>1239</v>
      </c>
      <c r="M1023" s="66">
        <v>600</v>
      </c>
      <c r="N1023" s="56">
        <f>100</f>
        <v>100</v>
      </c>
      <c r="O1023" s="59">
        <v>240</v>
      </c>
      <c r="P1023" s="59">
        <v>40</v>
      </c>
      <c r="Q1023" s="59">
        <f t="shared" si="164"/>
        <v>315</v>
      </c>
      <c r="R1023" s="59">
        <f t="shared" si="165"/>
        <v>100</v>
      </c>
      <c r="S1023" s="56">
        <f t="shared" si="166"/>
        <v>695</v>
      </c>
      <c r="T1023" s="56">
        <f>50</f>
        <v>50</v>
      </c>
      <c r="U1023" s="57"/>
      <c r="V1023" s="57"/>
      <c r="W1023" s="57"/>
      <c r="X1023" s="57"/>
      <c r="Y1023" s="57"/>
      <c r="Z1023" s="57"/>
      <c r="AA1023" s="57"/>
      <c r="AB1023" s="57"/>
      <c r="AC1023" s="57"/>
      <c r="AD1023" s="57"/>
    </row>
    <row r="1024" spans="1:30" ht="15.75">
      <c r="A1024" s="13">
        <v>72471</v>
      </c>
      <c r="B1024" s="67">
        <f t="shared" si="161"/>
        <v>31</v>
      </c>
      <c r="C1024" s="56">
        <f>194.205</f>
        <v>194.20500000000001</v>
      </c>
      <c r="D1024" s="56">
        <f>267.466</f>
        <v>267.46600000000001</v>
      </c>
      <c r="E1024" s="64">
        <f>133.845</f>
        <v>133.845</v>
      </c>
      <c r="F1024" s="56">
        <f>278.484-40-25-60-100</f>
        <v>53.48399999999998</v>
      </c>
      <c r="G1024" s="59">
        <v>40</v>
      </c>
      <c r="H1024" s="56">
        <f t="shared" si="171"/>
        <v>185</v>
      </c>
      <c r="I1024" s="56">
        <f t="shared" si="169"/>
        <v>0</v>
      </c>
      <c r="J1024" s="59">
        <v>100</v>
      </c>
      <c r="K1024" s="59">
        <v>300</v>
      </c>
      <c r="L1024" s="56">
        <f t="shared" si="163"/>
        <v>1274</v>
      </c>
      <c r="M1024" s="66">
        <v>600</v>
      </c>
      <c r="N1024" s="56">
        <f>75</f>
        <v>75</v>
      </c>
      <c r="O1024" s="59">
        <v>240</v>
      </c>
      <c r="P1024" s="59">
        <v>40</v>
      </c>
      <c r="Q1024" s="59">
        <f t="shared" si="164"/>
        <v>315</v>
      </c>
      <c r="R1024" s="59">
        <f t="shared" si="165"/>
        <v>100</v>
      </c>
      <c r="S1024" s="56">
        <f t="shared" si="166"/>
        <v>695</v>
      </c>
      <c r="T1024" s="56">
        <f>50</f>
        <v>50</v>
      </c>
      <c r="U1024" s="57"/>
      <c r="V1024" s="57"/>
      <c r="W1024" s="57"/>
      <c r="X1024" s="57"/>
      <c r="Y1024" s="57"/>
      <c r="Z1024" s="57"/>
      <c r="AA1024" s="57"/>
      <c r="AB1024" s="57"/>
      <c r="AC1024" s="57"/>
      <c r="AD1024" s="57"/>
    </row>
    <row r="1025" spans="1:30" ht="15.75">
      <c r="A1025" s="13">
        <v>72501</v>
      </c>
      <c r="B1025" s="67">
        <f t="shared" si="161"/>
        <v>30</v>
      </c>
      <c r="C1025" s="56">
        <f>194.205</f>
        <v>194.20500000000001</v>
      </c>
      <c r="D1025" s="56">
        <f>267.466</f>
        <v>267.46600000000001</v>
      </c>
      <c r="E1025" s="64">
        <f>133.845</f>
        <v>133.845</v>
      </c>
      <c r="F1025" s="56">
        <f>278.484-40-25-60-100</f>
        <v>53.48399999999998</v>
      </c>
      <c r="G1025" s="59">
        <v>40</v>
      </c>
      <c r="H1025" s="56">
        <f t="shared" si="171"/>
        <v>185</v>
      </c>
      <c r="I1025" s="56">
        <f t="shared" si="169"/>
        <v>0</v>
      </c>
      <c r="J1025" s="59">
        <v>100</v>
      </c>
      <c r="K1025" s="59">
        <v>300</v>
      </c>
      <c r="L1025" s="56">
        <f t="shared" si="163"/>
        <v>1274</v>
      </c>
      <c r="M1025" s="66">
        <v>600</v>
      </c>
      <c r="N1025" s="56">
        <f>30</f>
        <v>30</v>
      </c>
      <c r="O1025" s="59">
        <v>240</v>
      </c>
      <c r="P1025" s="59">
        <v>40</v>
      </c>
      <c r="Q1025" s="59">
        <f t="shared" si="164"/>
        <v>315</v>
      </c>
      <c r="R1025" s="59">
        <f t="shared" si="165"/>
        <v>100</v>
      </c>
      <c r="S1025" s="56">
        <f t="shared" si="166"/>
        <v>695</v>
      </c>
      <c r="T1025" s="56">
        <f>50</f>
        <v>50</v>
      </c>
      <c r="U1025" s="57"/>
      <c r="V1025" s="57"/>
      <c r="W1025" s="57"/>
      <c r="X1025" s="57"/>
      <c r="Y1025" s="57"/>
      <c r="Z1025" s="57"/>
      <c r="AA1025" s="57"/>
      <c r="AB1025" s="57"/>
      <c r="AC1025" s="57"/>
      <c r="AD1025" s="57"/>
    </row>
    <row r="1026" spans="1:30" ht="15.75">
      <c r="A1026" s="13">
        <v>72532</v>
      </c>
      <c r="B1026" s="67">
        <f t="shared" si="161"/>
        <v>31</v>
      </c>
      <c r="C1026" s="56">
        <f>194.205</f>
        <v>194.20500000000001</v>
      </c>
      <c r="D1026" s="56">
        <f>267.466</f>
        <v>267.46600000000001</v>
      </c>
      <c r="E1026" s="64">
        <f>133.845</f>
        <v>133.845</v>
      </c>
      <c r="F1026" s="56">
        <f>278.484-40-25-60-100</f>
        <v>53.48399999999998</v>
      </c>
      <c r="G1026" s="59">
        <v>40</v>
      </c>
      <c r="H1026" s="56">
        <f t="shared" si="171"/>
        <v>185</v>
      </c>
      <c r="I1026" s="56">
        <f t="shared" si="169"/>
        <v>0</v>
      </c>
      <c r="J1026" s="59">
        <v>100</v>
      </c>
      <c r="K1026" s="59">
        <v>300</v>
      </c>
      <c r="L1026" s="56">
        <f t="shared" si="163"/>
        <v>1274</v>
      </c>
      <c r="M1026" s="66">
        <v>600</v>
      </c>
      <c r="N1026" s="56">
        <f>30</f>
        <v>30</v>
      </c>
      <c r="O1026" s="59">
        <v>240</v>
      </c>
      <c r="P1026" s="59">
        <v>40</v>
      </c>
      <c r="Q1026" s="59">
        <f t="shared" si="164"/>
        <v>315</v>
      </c>
      <c r="R1026" s="59">
        <f t="shared" si="165"/>
        <v>100</v>
      </c>
      <c r="S1026" s="56">
        <f t="shared" si="166"/>
        <v>695</v>
      </c>
      <c r="T1026" s="56">
        <f>0</f>
        <v>0</v>
      </c>
      <c r="U1026" s="57"/>
      <c r="V1026" s="57"/>
      <c r="W1026" s="57"/>
      <c r="X1026" s="57"/>
      <c r="Y1026" s="57"/>
      <c r="Z1026" s="57"/>
      <c r="AA1026" s="57"/>
      <c r="AB1026" s="57"/>
      <c r="AC1026" s="57"/>
      <c r="AD1026" s="57"/>
    </row>
    <row r="1027" spans="1:30" ht="15.75">
      <c r="A1027" s="13">
        <v>72563</v>
      </c>
      <c r="B1027" s="67">
        <f t="shared" si="161"/>
        <v>31</v>
      </c>
      <c r="C1027" s="56">
        <f>194.205</f>
        <v>194.20500000000001</v>
      </c>
      <c r="D1027" s="56">
        <f>267.466</f>
        <v>267.46600000000001</v>
      </c>
      <c r="E1027" s="64">
        <f>133.845</f>
        <v>133.845</v>
      </c>
      <c r="F1027" s="56">
        <f>278.484-40-25-60-100</f>
        <v>53.48399999999998</v>
      </c>
      <c r="G1027" s="59">
        <v>40</v>
      </c>
      <c r="H1027" s="56">
        <f t="shared" si="171"/>
        <v>185</v>
      </c>
      <c r="I1027" s="56">
        <f t="shared" si="169"/>
        <v>0</v>
      </c>
      <c r="J1027" s="59">
        <v>100</v>
      </c>
      <c r="K1027" s="59">
        <v>300</v>
      </c>
      <c r="L1027" s="56">
        <f t="shared" si="163"/>
        <v>1274</v>
      </c>
      <c r="M1027" s="66">
        <v>600</v>
      </c>
      <c r="N1027" s="56">
        <f>30</f>
        <v>30</v>
      </c>
      <c r="O1027" s="59">
        <v>240</v>
      </c>
      <c r="P1027" s="59">
        <v>40</v>
      </c>
      <c r="Q1027" s="59">
        <f t="shared" si="164"/>
        <v>315</v>
      </c>
      <c r="R1027" s="59">
        <f t="shared" si="165"/>
        <v>100</v>
      </c>
      <c r="S1027" s="56">
        <f t="shared" si="166"/>
        <v>695</v>
      </c>
      <c r="T1027" s="56">
        <f>0</f>
        <v>0</v>
      </c>
      <c r="U1027" s="57"/>
      <c r="V1027" s="57"/>
      <c r="W1027" s="57"/>
      <c r="X1027" s="57"/>
      <c r="Y1027" s="57"/>
      <c r="Z1027" s="57"/>
      <c r="AA1027" s="57"/>
      <c r="AB1027" s="57"/>
      <c r="AC1027" s="57"/>
      <c r="AD1027" s="57"/>
    </row>
    <row r="1028" spans="1:30" ht="15.75">
      <c r="A1028" s="13">
        <v>72593</v>
      </c>
      <c r="B1028" s="67">
        <f t="shared" si="161"/>
        <v>30</v>
      </c>
      <c r="C1028" s="56">
        <f>194.205</f>
        <v>194.20500000000001</v>
      </c>
      <c r="D1028" s="56">
        <f>267.466</f>
        <v>267.46600000000001</v>
      </c>
      <c r="E1028" s="64">
        <f>133.845</f>
        <v>133.845</v>
      </c>
      <c r="F1028" s="56">
        <f>278.484-40-25-60-100</f>
        <v>53.48399999999998</v>
      </c>
      <c r="G1028" s="59">
        <v>40</v>
      </c>
      <c r="H1028" s="56">
        <f t="shared" si="171"/>
        <v>185</v>
      </c>
      <c r="I1028" s="56">
        <f t="shared" si="169"/>
        <v>0</v>
      </c>
      <c r="J1028" s="59">
        <v>100</v>
      </c>
      <c r="K1028" s="59">
        <v>300</v>
      </c>
      <c r="L1028" s="56">
        <f t="shared" si="163"/>
        <v>1274</v>
      </c>
      <c r="M1028" s="66">
        <v>600</v>
      </c>
      <c r="N1028" s="56">
        <f>30</f>
        <v>30</v>
      </c>
      <c r="O1028" s="59">
        <v>240</v>
      </c>
      <c r="P1028" s="59">
        <v>40</v>
      </c>
      <c r="Q1028" s="59">
        <f t="shared" si="164"/>
        <v>315</v>
      </c>
      <c r="R1028" s="59">
        <f t="shared" si="165"/>
        <v>100</v>
      </c>
      <c r="S1028" s="56">
        <f t="shared" si="166"/>
        <v>695</v>
      </c>
      <c r="T1028" s="56">
        <f>0</f>
        <v>0</v>
      </c>
      <c r="U1028" s="57"/>
      <c r="V1028" s="57"/>
      <c r="W1028" s="57"/>
      <c r="X1028" s="57"/>
      <c r="Y1028" s="57"/>
      <c r="Z1028" s="57"/>
      <c r="AA1028" s="57"/>
      <c r="AB1028" s="57"/>
      <c r="AC1028" s="57"/>
      <c r="AD1028" s="57"/>
    </row>
    <row r="1029" spans="1:30" ht="15.75">
      <c r="A1029" s="13">
        <v>72624</v>
      </c>
      <c r="B1029" s="67">
        <f t="shared" si="161"/>
        <v>31</v>
      </c>
      <c r="C1029" s="56">
        <f>131.881</f>
        <v>131.881</v>
      </c>
      <c r="D1029" s="56">
        <f>277.167</f>
        <v>277.16699999999997</v>
      </c>
      <c r="E1029" s="64">
        <f>79.08</f>
        <v>79.08</v>
      </c>
      <c r="F1029" s="56">
        <f>350.872-40-25-60-100</f>
        <v>125.87200000000001</v>
      </c>
      <c r="G1029" s="59">
        <v>40</v>
      </c>
      <c r="H1029" s="56">
        <f t="shared" si="171"/>
        <v>185</v>
      </c>
      <c r="I1029" s="56">
        <f t="shared" si="169"/>
        <v>0</v>
      </c>
      <c r="J1029" s="59">
        <v>100</v>
      </c>
      <c r="K1029" s="59">
        <v>300</v>
      </c>
      <c r="L1029" s="56">
        <f t="shared" si="163"/>
        <v>1239</v>
      </c>
      <c r="M1029" s="66">
        <v>600</v>
      </c>
      <c r="N1029" s="56">
        <f>75</f>
        <v>75</v>
      </c>
      <c r="O1029" s="59">
        <v>240</v>
      </c>
      <c r="P1029" s="59">
        <v>40</v>
      </c>
      <c r="Q1029" s="59">
        <f t="shared" si="164"/>
        <v>315</v>
      </c>
      <c r="R1029" s="59">
        <f t="shared" si="165"/>
        <v>100</v>
      </c>
      <c r="S1029" s="56">
        <f t="shared" si="166"/>
        <v>695</v>
      </c>
      <c r="T1029" s="56">
        <f>0</f>
        <v>0</v>
      </c>
      <c r="U1029" s="57"/>
      <c r="V1029" s="57"/>
      <c r="W1029" s="57"/>
      <c r="X1029" s="57"/>
      <c r="Y1029" s="57"/>
      <c r="Z1029" s="57"/>
      <c r="AA1029" s="57"/>
      <c r="AB1029" s="57"/>
      <c r="AC1029" s="57"/>
      <c r="AD1029" s="57"/>
    </row>
    <row r="1030" spans="1:30" ht="15.75">
      <c r="A1030" s="13">
        <v>72654</v>
      </c>
      <c r="B1030" s="67">
        <f t="shared" si="161"/>
        <v>30</v>
      </c>
      <c r="C1030" s="56">
        <f>122.58</f>
        <v>122.58</v>
      </c>
      <c r="D1030" s="56">
        <f>297.941</f>
        <v>297.94099999999997</v>
      </c>
      <c r="E1030" s="64">
        <f>89.177</f>
        <v>89.177000000000007</v>
      </c>
      <c r="F1030" s="56">
        <f>240.302-40-60-100</f>
        <v>40.301999999999992</v>
      </c>
      <c r="G1030" s="59">
        <v>40</v>
      </c>
      <c r="H1030" s="56">
        <f>60+100</f>
        <v>160</v>
      </c>
      <c r="I1030" s="56">
        <f t="shared" si="169"/>
        <v>0</v>
      </c>
      <c r="J1030" s="59">
        <v>100</v>
      </c>
      <c r="K1030" s="59">
        <v>300</v>
      </c>
      <c r="L1030" s="56">
        <f t="shared" si="163"/>
        <v>1150</v>
      </c>
      <c r="M1030" s="66">
        <v>600</v>
      </c>
      <c r="N1030" s="56">
        <f>100</f>
        <v>100</v>
      </c>
      <c r="O1030" s="59">
        <v>240</v>
      </c>
      <c r="P1030" s="59">
        <v>40</v>
      </c>
      <c r="Q1030" s="59">
        <f t="shared" si="164"/>
        <v>315</v>
      </c>
      <c r="R1030" s="59">
        <f t="shared" si="165"/>
        <v>100</v>
      </c>
      <c r="S1030" s="56">
        <f t="shared" si="166"/>
        <v>695</v>
      </c>
      <c r="T1030" s="56">
        <f>50</f>
        <v>50</v>
      </c>
      <c r="U1030" s="57"/>
      <c r="V1030" s="57"/>
      <c r="W1030" s="57"/>
      <c r="X1030" s="57"/>
      <c r="Y1030" s="57"/>
      <c r="Z1030" s="57"/>
      <c r="AA1030" s="57"/>
      <c r="AB1030" s="57"/>
      <c r="AC1030" s="57"/>
      <c r="AD1030" s="57"/>
    </row>
    <row r="1031" spans="1:30" ht="15.75">
      <c r="A1031" s="13">
        <v>72685</v>
      </c>
      <c r="B1031" s="67">
        <f t="shared" si="161"/>
        <v>31</v>
      </c>
      <c r="C1031" s="56">
        <f>122.58</f>
        <v>122.58</v>
      </c>
      <c r="D1031" s="56">
        <f>297.941</f>
        <v>297.94099999999997</v>
      </c>
      <c r="E1031" s="64">
        <f>89.177</f>
        <v>89.177000000000007</v>
      </c>
      <c r="F1031" s="56">
        <f>240.302-40-60-100</f>
        <v>40.301999999999992</v>
      </c>
      <c r="G1031" s="59">
        <v>40</v>
      </c>
      <c r="H1031" s="56">
        <f>60+100</f>
        <v>160</v>
      </c>
      <c r="I1031" s="56">
        <f t="shared" si="169"/>
        <v>0</v>
      </c>
      <c r="J1031" s="59">
        <v>100</v>
      </c>
      <c r="K1031" s="59">
        <v>300</v>
      </c>
      <c r="L1031" s="56">
        <f t="shared" si="163"/>
        <v>1150</v>
      </c>
      <c r="M1031" s="66">
        <v>600</v>
      </c>
      <c r="N1031" s="56">
        <f>100</f>
        <v>100</v>
      </c>
      <c r="O1031" s="59">
        <v>240</v>
      </c>
      <c r="P1031" s="59">
        <v>40</v>
      </c>
      <c r="Q1031" s="59">
        <f t="shared" si="164"/>
        <v>315</v>
      </c>
      <c r="R1031" s="59">
        <f t="shared" si="165"/>
        <v>100</v>
      </c>
      <c r="S1031" s="56">
        <f t="shared" si="166"/>
        <v>695</v>
      </c>
      <c r="T1031" s="56">
        <f>50</f>
        <v>50</v>
      </c>
      <c r="U1031" s="57"/>
      <c r="V1031" s="57"/>
      <c r="W1031" s="57"/>
      <c r="X1031" s="57"/>
      <c r="Y1031" s="57"/>
      <c r="Z1031" s="57"/>
      <c r="AA1031" s="57"/>
      <c r="AB1031" s="57"/>
      <c r="AC1031" s="57"/>
      <c r="AD1031" s="57"/>
    </row>
    <row r="1032" spans="1:30" ht="15.75">
      <c r="A1032" s="13">
        <v>72716</v>
      </c>
      <c r="B1032" s="67">
        <f t="shared" si="161"/>
        <v>31</v>
      </c>
      <c r="C1032" s="56">
        <f>122.58</f>
        <v>122.58</v>
      </c>
      <c r="D1032" s="56">
        <f>297.941</f>
        <v>297.94099999999997</v>
      </c>
      <c r="E1032" s="64">
        <f>89.177</f>
        <v>89.177000000000007</v>
      </c>
      <c r="F1032" s="56">
        <f>240.302-40-60-100</f>
        <v>40.301999999999992</v>
      </c>
      <c r="G1032" s="59">
        <v>40</v>
      </c>
      <c r="H1032" s="56">
        <f>60+100</f>
        <v>160</v>
      </c>
      <c r="I1032" s="56">
        <f t="shared" si="169"/>
        <v>0</v>
      </c>
      <c r="J1032" s="59">
        <v>100</v>
      </c>
      <c r="K1032" s="59">
        <v>300</v>
      </c>
      <c r="L1032" s="56">
        <f t="shared" si="163"/>
        <v>1150</v>
      </c>
      <c r="M1032" s="66">
        <v>600</v>
      </c>
      <c r="N1032" s="56">
        <f>100</f>
        <v>100</v>
      </c>
      <c r="O1032" s="59">
        <v>240</v>
      </c>
      <c r="P1032" s="59">
        <v>40</v>
      </c>
      <c r="Q1032" s="59">
        <f t="shared" si="164"/>
        <v>315</v>
      </c>
      <c r="R1032" s="59">
        <f t="shared" si="165"/>
        <v>100</v>
      </c>
      <c r="S1032" s="56">
        <f t="shared" si="166"/>
        <v>695</v>
      </c>
      <c r="T1032" s="56">
        <f>50</f>
        <v>50</v>
      </c>
      <c r="U1032" s="57"/>
      <c r="V1032" s="57"/>
      <c r="W1032" s="57"/>
      <c r="X1032" s="57"/>
      <c r="Y1032" s="57"/>
      <c r="Z1032" s="57"/>
      <c r="AA1032" s="57"/>
      <c r="AB1032" s="57"/>
      <c r="AC1032" s="57"/>
      <c r="AD1032" s="57"/>
    </row>
    <row r="1033" spans="1:30" ht="15.75">
      <c r="A1033" s="13">
        <v>72744</v>
      </c>
      <c r="B1033" s="67">
        <f t="shared" si="161"/>
        <v>28</v>
      </c>
      <c r="C1033" s="56">
        <f>122.58</f>
        <v>122.58</v>
      </c>
      <c r="D1033" s="56">
        <f>297.941</f>
        <v>297.94099999999997</v>
      </c>
      <c r="E1033" s="64">
        <f>89.177</f>
        <v>89.177000000000007</v>
      </c>
      <c r="F1033" s="56">
        <f>240.302-40-60-100</f>
        <v>40.301999999999992</v>
      </c>
      <c r="G1033" s="59">
        <v>40</v>
      </c>
      <c r="H1033" s="56">
        <f>60+100</f>
        <v>160</v>
      </c>
      <c r="I1033" s="56">
        <f t="shared" si="169"/>
        <v>0</v>
      </c>
      <c r="J1033" s="59">
        <v>100</v>
      </c>
      <c r="K1033" s="59">
        <v>300</v>
      </c>
      <c r="L1033" s="56">
        <f t="shared" si="163"/>
        <v>1150</v>
      </c>
      <c r="M1033" s="66">
        <v>600</v>
      </c>
      <c r="N1033" s="56">
        <f>100</f>
        <v>100</v>
      </c>
      <c r="O1033" s="59">
        <v>240</v>
      </c>
      <c r="P1033" s="59">
        <v>40</v>
      </c>
      <c r="Q1033" s="59">
        <f t="shared" si="164"/>
        <v>315</v>
      </c>
      <c r="R1033" s="59">
        <f t="shared" si="165"/>
        <v>100</v>
      </c>
      <c r="S1033" s="56">
        <f t="shared" si="166"/>
        <v>695</v>
      </c>
      <c r="T1033" s="56">
        <f>50</f>
        <v>50</v>
      </c>
      <c r="U1033" s="57"/>
      <c r="V1033" s="57"/>
      <c r="W1033" s="57"/>
      <c r="X1033" s="57"/>
      <c r="Y1033" s="57"/>
      <c r="Z1033" s="57"/>
      <c r="AA1033" s="57"/>
      <c r="AB1033" s="57"/>
      <c r="AC1033" s="57"/>
      <c r="AD1033" s="57"/>
    </row>
    <row r="1034" spans="1:30" ht="15.75">
      <c r="A1034" s="13">
        <v>72775</v>
      </c>
      <c r="B1034" s="67">
        <f t="shared" si="161"/>
        <v>31</v>
      </c>
      <c r="C1034" s="56">
        <f>122.58</f>
        <v>122.58</v>
      </c>
      <c r="D1034" s="56">
        <f>297.941</f>
        <v>297.94099999999997</v>
      </c>
      <c r="E1034" s="64">
        <f>89.177</f>
        <v>89.177000000000007</v>
      </c>
      <c r="F1034" s="56">
        <f>240.302-40-60-100</f>
        <v>40.301999999999992</v>
      </c>
      <c r="G1034" s="59">
        <v>40</v>
      </c>
      <c r="H1034" s="56">
        <f>60+100</f>
        <v>160</v>
      </c>
      <c r="I1034" s="56">
        <f t="shared" si="169"/>
        <v>0</v>
      </c>
      <c r="J1034" s="59">
        <v>100</v>
      </c>
      <c r="K1034" s="59">
        <v>300</v>
      </c>
      <c r="L1034" s="56">
        <f t="shared" si="163"/>
        <v>1150</v>
      </c>
      <c r="M1034" s="66">
        <v>600</v>
      </c>
      <c r="N1034" s="56">
        <f>100</f>
        <v>100</v>
      </c>
      <c r="O1034" s="59">
        <v>240</v>
      </c>
      <c r="P1034" s="59">
        <v>40</v>
      </c>
      <c r="Q1034" s="59">
        <f t="shared" si="164"/>
        <v>315</v>
      </c>
      <c r="R1034" s="59">
        <f t="shared" si="165"/>
        <v>100</v>
      </c>
      <c r="S1034" s="56">
        <f t="shared" si="166"/>
        <v>695</v>
      </c>
      <c r="T1034" s="56">
        <f>50</f>
        <v>50</v>
      </c>
      <c r="U1034" s="57"/>
      <c r="V1034" s="57"/>
      <c r="W1034" s="57"/>
      <c r="X1034" s="57"/>
      <c r="Y1034" s="57"/>
      <c r="Z1034" s="57"/>
      <c r="AA1034" s="57"/>
      <c r="AB1034" s="57"/>
      <c r="AC1034" s="57"/>
      <c r="AD1034" s="57"/>
    </row>
    <row r="1035" spans="1:30" ht="15.75">
      <c r="A1035" s="13">
        <v>72805</v>
      </c>
      <c r="B1035" s="67">
        <f t="shared" si="161"/>
        <v>30</v>
      </c>
      <c r="C1035" s="56">
        <f>141.293</f>
        <v>141.29300000000001</v>
      </c>
      <c r="D1035" s="56">
        <f>267.993</f>
        <v>267.99299999999999</v>
      </c>
      <c r="E1035" s="64">
        <f>115.016</f>
        <v>115.01600000000001</v>
      </c>
      <c r="F1035" s="56">
        <f>314.698-40-25-60-100</f>
        <v>89.697999999999979</v>
      </c>
      <c r="G1035" s="59">
        <v>40</v>
      </c>
      <c r="H1035" s="56">
        <f t="shared" ref="H1035:H1041" si="172">25+60+100</f>
        <v>185</v>
      </c>
      <c r="I1035" s="56">
        <f t="shared" si="169"/>
        <v>0</v>
      </c>
      <c r="J1035" s="59">
        <v>100</v>
      </c>
      <c r="K1035" s="59">
        <v>300</v>
      </c>
      <c r="L1035" s="56">
        <f t="shared" si="163"/>
        <v>1239</v>
      </c>
      <c r="M1035" s="66">
        <v>600</v>
      </c>
      <c r="N1035" s="56">
        <f>100</f>
        <v>100</v>
      </c>
      <c r="O1035" s="59">
        <v>240</v>
      </c>
      <c r="P1035" s="59">
        <v>40</v>
      </c>
      <c r="Q1035" s="59">
        <f t="shared" si="164"/>
        <v>315</v>
      </c>
      <c r="R1035" s="59">
        <f t="shared" si="165"/>
        <v>100</v>
      </c>
      <c r="S1035" s="56">
        <f t="shared" si="166"/>
        <v>695</v>
      </c>
      <c r="T1035" s="56">
        <f>50</f>
        <v>50</v>
      </c>
      <c r="U1035" s="57"/>
      <c r="V1035" s="57"/>
      <c r="W1035" s="57"/>
      <c r="X1035" s="57"/>
      <c r="Y1035" s="57"/>
      <c r="Z1035" s="57"/>
      <c r="AA1035" s="57"/>
      <c r="AB1035" s="57"/>
      <c r="AC1035" s="57"/>
      <c r="AD1035" s="57"/>
    </row>
    <row r="1036" spans="1:30" ht="15.75">
      <c r="A1036" s="13">
        <v>72836</v>
      </c>
      <c r="B1036" s="67">
        <f t="shared" ref="B1036:B1055" si="173">EOMONTH(A1036,0)-EOMONTH(A1036,-1)</f>
        <v>31</v>
      </c>
      <c r="C1036" s="56">
        <f>194.205</f>
        <v>194.20500000000001</v>
      </c>
      <c r="D1036" s="56">
        <f>267.466</f>
        <v>267.46600000000001</v>
      </c>
      <c r="E1036" s="64">
        <f>133.845</f>
        <v>133.845</v>
      </c>
      <c r="F1036" s="56">
        <f>278.484-40-25-60-100</f>
        <v>53.48399999999998</v>
      </c>
      <c r="G1036" s="59">
        <v>40</v>
      </c>
      <c r="H1036" s="56">
        <f t="shared" si="172"/>
        <v>185</v>
      </c>
      <c r="I1036" s="56">
        <f t="shared" si="169"/>
        <v>0</v>
      </c>
      <c r="J1036" s="59">
        <v>100</v>
      </c>
      <c r="K1036" s="59">
        <v>300</v>
      </c>
      <c r="L1036" s="56">
        <f t="shared" si="163"/>
        <v>1274</v>
      </c>
      <c r="M1036" s="66">
        <v>600</v>
      </c>
      <c r="N1036" s="56">
        <f>75</f>
        <v>75</v>
      </c>
      <c r="O1036" s="59">
        <v>240</v>
      </c>
      <c r="P1036" s="59">
        <v>40</v>
      </c>
      <c r="Q1036" s="59">
        <f t="shared" si="164"/>
        <v>315</v>
      </c>
      <c r="R1036" s="59">
        <f t="shared" si="165"/>
        <v>100</v>
      </c>
      <c r="S1036" s="56">
        <f t="shared" si="166"/>
        <v>695</v>
      </c>
      <c r="T1036" s="56">
        <f>50</f>
        <v>50</v>
      </c>
      <c r="U1036" s="57"/>
      <c r="V1036" s="57"/>
      <c r="W1036" s="57"/>
      <c r="X1036" s="57"/>
      <c r="Y1036" s="57"/>
      <c r="Z1036" s="57"/>
      <c r="AA1036" s="57"/>
      <c r="AB1036" s="57"/>
      <c r="AC1036" s="57"/>
      <c r="AD1036" s="57"/>
    </row>
    <row r="1037" spans="1:30" ht="15.75">
      <c r="A1037" s="13">
        <v>72866</v>
      </c>
      <c r="B1037" s="67">
        <f t="shared" si="173"/>
        <v>30</v>
      </c>
      <c r="C1037" s="56">
        <f>194.205</f>
        <v>194.20500000000001</v>
      </c>
      <c r="D1037" s="56">
        <f>267.466</f>
        <v>267.46600000000001</v>
      </c>
      <c r="E1037" s="64">
        <f>133.845</f>
        <v>133.845</v>
      </c>
      <c r="F1037" s="56">
        <f>278.484-40-25-60-100</f>
        <v>53.48399999999998</v>
      </c>
      <c r="G1037" s="59">
        <v>40</v>
      </c>
      <c r="H1037" s="56">
        <f t="shared" si="172"/>
        <v>185</v>
      </c>
      <c r="I1037" s="56">
        <f t="shared" si="169"/>
        <v>0</v>
      </c>
      <c r="J1037" s="59">
        <v>100</v>
      </c>
      <c r="K1037" s="59">
        <v>300</v>
      </c>
      <c r="L1037" s="56">
        <f t="shared" si="163"/>
        <v>1274</v>
      </c>
      <c r="M1037" s="66">
        <v>600</v>
      </c>
      <c r="N1037" s="56">
        <f>30</f>
        <v>30</v>
      </c>
      <c r="O1037" s="59">
        <v>240</v>
      </c>
      <c r="P1037" s="59">
        <v>40</v>
      </c>
      <c r="Q1037" s="59">
        <f t="shared" si="164"/>
        <v>315</v>
      </c>
      <c r="R1037" s="59">
        <f t="shared" si="165"/>
        <v>100</v>
      </c>
      <c r="S1037" s="56">
        <f t="shared" si="166"/>
        <v>695</v>
      </c>
      <c r="T1037" s="56">
        <f>50</f>
        <v>50</v>
      </c>
      <c r="U1037" s="57"/>
      <c r="V1037" s="57"/>
      <c r="W1037" s="57"/>
      <c r="X1037" s="57"/>
      <c r="Y1037" s="57"/>
      <c r="Z1037" s="57"/>
      <c r="AA1037" s="57"/>
      <c r="AB1037" s="57"/>
      <c r="AC1037" s="57"/>
      <c r="AD1037" s="57"/>
    </row>
    <row r="1038" spans="1:30" ht="15.75">
      <c r="A1038" s="13">
        <v>72897</v>
      </c>
      <c r="B1038" s="67">
        <f t="shared" si="173"/>
        <v>31</v>
      </c>
      <c r="C1038" s="56">
        <f>194.205</f>
        <v>194.20500000000001</v>
      </c>
      <c r="D1038" s="56">
        <f>267.466</f>
        <v>267.46600000000001</v>
      </c>
      <c r="E1038" s="64">
        <f>133.845</f>
        <v>133.845</v>
      </c>
      <c r="F1038" s="56">
        <f>278.484-40-25-60-100</f>
        <v>53.48399999999998</v>
      </c>
      <c r="G1038" s="59">
        <v>40</v>
      </c>
      <c r="H1038" s="56">
        <f t="shared" si="172"/>
        <v>185</v>
      </c>
      <c r="I1038" s="56">
        <f t="shared" si="169"/>
        <v>0</v>
      </c>
      <c r="J1038" s="59">
        <v>100</v>
      </c>
      <c r="K1038" s="59">
        <v>300</v>
      </c>
      <c r="L1038" s="56">
        <f t="shared" si="163"/>
        <v>1274</v>
      </c>
      <c r="M1038" s="66">
        <v>600</v>
      </c>
      <c r="N1038" s="56">
        <f>30</f>
        <v>30</v>
      </c>
      <c r="O1038" s="59">
        <v>240</v>
      </c>
      <c r="P1038" s="59">
        <v>40</v>
      </c>
      <c r="Q1038" s="59">
        <f t="shared" si="164"/>
        <v>315</v>
      </c>
      <c r="R1038" s="59">
        <f t="shared" si="165"/>
        <v>100</v>
      </c>
      <c r="S1038" s="56">
        <f t="shared" si="166"/>
        <v>695</v>
      </c>
      <c r="T1038" s="56">
        <f>0</f>
        <v>0</v>
      </c>
      <c r="U1038" s="57"/>
      <c r="V1038" s="57"/>
      <c r="W1038" s="57"/>
      <c r="X1038" s="57"/>
      <c r="Y1038" s="57"/>
      <c r="Z1038" s="57"/>
      <c r="AA1038" s="57"/>
      <c r="AB1038" s="57"/>
      <c r="AC1038" s="57"/>
      <c r="AD1038" s="57"/>
    </row>
    <row r="1039" spans="1:30" ht="15.75">
      <c r="A1039" s="13">
        <v>72928</v>
      </c>
      <c r="B1039" s="67">
        <f t="shared" si="173"/>
        <v>31</v>
      </c>
      <c r="C1039" s="56">
        <f>194.205</f>
        <v>194.20500000000001</v>
      </c>
      <c r="D1039" s="56">
        <f>267.466</f>
        <v>267.46600000000001</v>
      </c>
      <c r="E1039" s="64">
        <f>133.845</f>
        <v>133.845</v>
      </c>
      <c r="F1039" s="56">
        <f>278.484-40-25-60-100</f>
        <v>53.48399999999998</v>
      </c>
      <c r="G1039" s="59">
        <v>40</v>
      </c>
      <c r="H1039" s="56">
        <f t="shared" si="172"/>
        <v>185</v>
      </c>
      <c r="I1039" s="56">
        <f t="shared" si="169"/>
        <v>0</v>
      </c>
      <c r="J1039" s="59">
        <v>100</v>
      </c>
      <c r="K1039" s="59">
        <v>300</v>
      </c>
      <c r="L1039" s="56">
        <f t="shared" si="163"/>
        <v>1274</v>
      </c>
      <c r="M1039" s="66">
        <v>600</v>
      </c>
      <c r="N1039" s="56">
        <f>30</f>
        <v>30</v>
      </c>
      <c r="O1039" s="59">
        <v>240</v>
      </c>
      <c r="P1039" s="59">
        <v>40</v>
      </c>
      <c r="Q1039" s="59">
        <f t="shared" si="164"/>
        <v>315</v>
      </c>
      <c r="R1039" s="59">
        <f t="shared" si="165"/>
        <v>100</v>
      </c>
      <c r="S1039" s="56">
        <f t="shared" si="166"/>
        <v>695</v>
      </c>
      <c r="T1039" s="56">
        <f>0</f>
        <v>0</v>
      </c>
      <c r="U1039" s="57"/>
      <c r="V1039" s="57"/>
      <c r="W1039" s="57"/>
      <c r="X1039" s="57"/>
      <c r="Y1039" s="57"/>
      <c r="Z1039" s="57"/>
      <c r="AA1039" s="57"/>
      <c r="AB1039" s="57"/>
      <c r="AC1039" s="57"/>
      <c r="AD1039" s="57"/>
    </row>
    <row r="1040" spans="1:30" ht="15.75">
      <c r="A1040" s="13">
        <v>72958</v>
      </c>
      <c r="B1040" s="67">
        <f t="shared" si="173"/>
        <v>30</v>
      </c>
      <c r="C1040" s="56">
        <f>194.205</f>
        <v>194.20500000000001</v>
      </c>
      <c r="D1040" s="56">
        <f>267.466</f>
        <v>267.46600000000001</v>
      </c>
      <c r="E1040" s="64">
        <f>133.845</f>
        <v>133.845</v>
      </c>
      <c r="F1040" s="56">
        <f>278.484-40-25-60-100</f>
        <v>53.48399999999998</v>
      </c>
      <c r="G1040" s="59">
        <v>40</v>
      </c>
      <c r="H1040" s="56">
        <f t="shared" si="172"/>
        <v>185</v>
      </c>
      <c r="I1040" s="56">
        <f t="shared" si="169"/>
        <v>0</v>
      </c>
      <c r="J1040" s="59">
        <v>100</v>
      </c>
      <c r="K1040" s="59">
        <v>300</v>
      </c>
      <c r="L1040" s="56">
        <f t="shared" si="163"/>
        <v>1274</v>
      </c>
      <c r="M1040" s="66">
        <v>600</v>
      </c>
      <c r="N1040" s="56">
        <f>30</f>
        <v>30</v>
      </c>
      <c r="O1040" s="59">
        <v>240</v>
      </c>
      <c r="P1040" s="59">
        <v>40</v>
      </c>
      <c r="Q1040" s="59">
        <f t="shared" si="164"/>
        <v>315</v>
      </c>
      <c r="R1040" s="59">
        <f t="shared" si="165"/>
        <v>100</v>
      </c>
      <c r="S1040" s="56">
        <f t="shared" si="166"/>
        <v>695</v>
      </c>
      <c r="T1040" s="56">
        <f>0</f>
        <v>0</v>
      </c>
      <c r="U1040" s="57"/>
      <c r="V1040" s="57"/>
      <c r="W1040" s="57"/>
      <c r="X1040" s="57"/>
      <c r="Y1040" s="57"/>
      <c r="Z1040" s="57"/>
      <c r="AA1040" s="57"/>
      <c r="AB1040" s="57"/>
      <c r="AC1040" s="57"/>
      <c r="AD1040" s="57"/>
    </row>
    <row r="1041" spans="1:30" ht="15.75">
      <c r="A1041" s="13">
        <v>72989</v>
      </c>
      <c r="B1041" s="67">
        <f t="shared" si="173"/>
        <v>31</v>
      </c>
      <c r="C1041" s="56">
        <f>131.881</f>
        <v>131.881</v>
      </c>
      <c r="D1041" s="56">
        <f>277.167</f>
        <v>277.16699999999997</v>
      </c>
      <c r="E1041" s="64">
        <f>79.08</f>
        <v>79.08</v>
      </c>
      <c r="F1041" s="56">
        <f>350.872-40-25-60-100</f>
        <v>125.87200000000001</v>
      </c>
      <c r="G1041" s="59">
        <v>40</v>
      </c>
      <c r="H1041" s="56">
        <f t="shared" si="172"/>
        <v>185</v>
      </c>
      <c r="I1041" s="56">
        <f t="shared" si="169"/>
        <v>0</v>
      </c>
      <c r="J1041" s="59">
        <v>100</v>
      </c>
      <c r="K1041" s="59">
        <v>300</v>
      </c>
      <c r="L1041" s="56">
        <f t="shared" ref="L1041:L1055" si="174">SUM(C1041:K1041)</f>
        <v>1239</v>
      </c>
      <c r="M1041" s="66">
        <v>600</v>
      </c>
      <c r="N1041" s="56">
        <f>75</f>
        <v>75</v>
      </c>
      <c r="O1041" s="59">
        <v>240</v>
      </c>
      <c r="P1041" s="59">
        <v>40</v>
      </c>
      <c r="Q1041" s="59">
        <f t="shared" ref="Q1041:Q1055" si="175">695-R1041-O1041-P1041</f>
        <v>315</v>
      </c>
      <c r="R1041" s="59">
        <f t="shared" ref="R1041:R1055" si="176">200-J1041</f>
        <v>100</v>
      </c>
      <c r="S1041" s="56">
        <f t="shared" ref="S1041:S1055" si="177">SUM(O1041:R1041)</f>
        <v>695</v>
      </c>
      <c r="T1041" s="56">
        <f>0</f>
        <v>0</v>
      </c>
      <c r="U1041" s="57"/>
      <c r="V1041" s="57"/>
      <c r="W1041" s="57"/>
      <c r="X1041" s="57"/>
      <c r="Y1041" s="57"/>
      <c r="Z1041" s="57"/>
      <c r="AA1041" s="57"/>
      <c r="AB1041" s="57"/>
      <c r="AC1041" s="57"/>
      <c r="AD1041" s="57"/>
    </row>
    <row r="1042" spans="1:30" ht="15.75">
      <c r="A1042" s="13">
        <v>73019</v>
      </c>
      <c r="B1042" s="67">
        <f t="shared" si="173"/>
        <v>30</v>
      </c>
      <c r="C1042" s="56">
        <f>122.58</f>
        <v>122.58</v>
      </c>
      <c r="D1042" s="56">
        <f>297.941</f>
        <v>297.94099999999997</v>
      </c>
      <c r="E1042" s="64">
        <f>89.177</f>
        <v>89.177000000000007</v>
      </c>
      <c r="F1042" s="56">
        <f>240.302-40-60-100</f>
        <v>40.301999999999992</v>
      </c>
      <c r="G1042" s="59">
        <v>40</v>
      </c>
      <c r="H1042" s="56">
        <f>60+100</f>
        <v>160</v>
      </c>
      <c r="I1042" s="56">
        <f t="shared" si="169"/>
        <v>0</v>
      </c>
      <c r="J1042" s="59">
        <v>100</v>
      </c>
      <c r="K1042" s="59">
        <v>300</v>
      </c>
      <c r="L1042" s="56">
        <f t="shared" si="174"/>
        <v>1150</v>
      </c>
      <c r="M1042" s="66">
        <v>600</v>
      </c>
      <c r="N1042" s="56">
        <f>100</f>
        <v>100</v>
      </c>
      <c r="O1042" s="59">
        <v>240</v>
      </c>
      <c r="P1042" s="59">
        <v>40</v>
      </c>
      <c r="Q1042" s="59">
        <f t="shared" si="175"/>
        <v>315</v>
      </c>
      <c r="R1042" s="59">
        <f t="shared" si="176"/>
        <v>100</v>
      </c>
      <c r="S1042" s="56">
        <f t="shared" si="177"/>
        <v>695</v>
      </c>
      <c r="T1042" s="56">
        <f>50</f>
        <v>50</v>
      </c>
      <c r="U1042" s="57"/>
      <c r="V1042" s="57"/>
      <c r="W1042" s="57"/>
      <c r="X1042" s="57"/>
      <c r="Y1042" s="57"/>
      <c r="Z1042" s="57"/>
      <c r="AA1042" s="57"/>
      <c r="AB1042" s="57"/>
      <c r="AC1042" s="57"/>
      <c r="AD1042" s="57"/>
    </row>
    <row r="1043" spans="1:30" ht="15.75">
      <c r="A1043" s="13">
        <v>73050</v>
      </c>
      <c r="B1043" s="67">
        <f t="shared" si="173"/>
        <v>31</v>
      </c>
      <c r="C1043" s="56">
        <f>122.58</f>
        <v>122.58</v>
      </c>
      <c r="D1043" s="56">
        <f>297.941</f>
        <v>297.94099999999997</v>
      </c>
      <c r="E1043" s="64">
        <f>89.177</f>
        <v>89.177000000000007</v>
      </c>
      <c r="F1043" s="56">
        <f>240.302-40-60-100</f>
        <v>40.301999999999992</v>
      </c>
      <c r="G1043" s="59">
        <v>40</v>
      </c>
      <c r="H1043" s="56">
        <f>60+100</f>
        <v>160</v>
      </c>
      <c r="I1043" s="56">
        <f t="shared" si="169"/>
        <v>0</v>
      </c>
      <c r="J1043" s="59">
        <v>100</v>
      </c>
      <c r="K1043" s="59">
        <v>300</v>
      </c>
      <c r="L1043" s="56">
        <f t="shared" si="174"/>
        <v>1150</v>
      </c>
      <c r="M1043" s="66">
        <v>600</v>
      </c>
      <c r="N1043" s="56">
        <f>100</f>
        <v>100</v>
      </c>
      <c r="O1043" s="59">
        <v>240</v>
      </c>
      <c r="P1043" s="59">
        <v>40</v>
      </c>
      <c r="Q1043" s="59">
        <f t="shared" si="175"/>
        <v>315</v>
      </c>
      <c r="R1043" s="59">
        <f t="shared" si="176"/>
        <v>100</v>
      </c>
      <c r="S1043" s="56">
        <f t="shared" si="177"/>
        <v>695</v>
      </c>
      <c r="T1043" s="56">
        <f>50</f>
        <v>50</v>
      </c>
      <c r="U1043" s="57"/>
      <c r="V1043" s="57"/>
      <c r="W1043" s="57"/>
      <c r="X1043" s="57"/>
      <c r="Y1043" s="57"/>
      <c r="Z1043" s="57"/>
      <c r="AA1043" s="57"/>
      <c r="AB1043" s="57"/>
      <c r="AC1043" s="57"/>
      <c r="AD1043" s="57"/>
    </row>
    <row r="1044" spans="1:30" ht="15.75">
      <c r="A1044" s="13">
        <v>73081</v>
      </c>
      <c r="B1044" s="67">
        <f t="shared" si="173"/>
        <v>31</v>
      </c>
      <c r="C1044" s="56">
        <f>122.58</f>
        <v>122.58</v>
      </c>
      <c r="D1044" s="56">
        <f>297.941</f>
        <v>297.94099999999997</v>
      </c>
      <c r="E1044" s="64">
        <f>89.177</f>
        <v>89.177000000000007</v>
      </c>
      <c r="F1044" s="56">
        <f>240.302-40-60-100</f>
        <v>40.301999999999992</v>
      </c>
      <c r="G1044" s="59">
        <v>40</v>
      </c>
      <c r="H1044" s="56">
        <f>60+100</f>
        <v>160</v>
      </c>
      <c r="I1044" s="56">
        <f t="shared" si="169"/>
        <v>0</v>
      </c>
      <c r="J1044" s="59">
        <v>100</v>
      </c>
      <c r="K1044" s="59">
        <v>300</v>
      </c>
      <c r="L1044" s="56">
        <f t="shared" si="174"/>
        <v>1150</v>
      </c>
      <c r="M1044" s="66">
        <v>600</v>
      </c>
      <c r="N1044" s="56">
        <f>100</f>
        <v>100</v>
      </c>
      <c r="O1044" s="59">
        <v>240</v>
      </c>
      <c r="P1044" s="59">
        <v>40</v>
      </c>
      <c r="Q1044" s="59">
        <f t="shared" si="175"/>
        <v>315</v>
      </c>
      <c r="R1044" s="59">
        <f t="shared" si="176"/>
        <v>100</v>
      </c>
      <c r="S1044" s="56">
        <f t="shared" si="177"/>
        <v>695</v>
      </c>
      <c r="T1044" s="56">
        <f>50</f>
        <v>50</v>
      </c>
      <c r="U1044" s="57"/>
      <c r="V1044" s="57"/>
      <c r="W1044" s="57"/>
      <c r="X1044" s="57"/>
      <c r="Y1044" s="57"/>
      <c r="Z1044" s="57"/>
      <c r="AA1044" s="57"/>
      <c r="AB1044" s="57"/>
      <c r="AC1044" s="57"/>
      <c r="AD1044" s="57"/>
    </row>
    <row r="1045" spans="1:30" ht="15.75">
      <c r="A1045" s="13">
        <v>73109</v>
      </c>
      <c r="B1045" s="67">
        <f t="shared" si="173"/>
        <v>28</v>
      </c>
      <c r="C1045" s="56">
        <f>122.58</f>
        <v>122.58</v>
      </c>
      <c r="D1045" s="56">
        <f>297.941</f>
        <v>297.94099999999997</v>
      </c>
      <c r="E1045" s="64">
        <f>89.177</f>
        <v>89.177000000000007</v>
      </c>
      <c r="F1045" s="56">
        <f>240.302-40-60-100</f>
        <v>40.301999999999992</v>
      </c>
      <c r="G1045" s="59">
        <v>40</v>
      </c>
      <c r="H1045" s="56">
        <f>60+100</f>
        <v>160</v>
      </c>
      <c r="I1045" s="56">
        <f t="shared" si="169"/>
        <v>0</v>
      </c>
      <c r="J1045" s="59">
        <v>100</v>
      </c>
      <c r="K1045" s="59">
        <v>300</v>
      </c>
      <c r="L1045" s="56">
        <f t="shared" si="174"/>
        <v>1150</v>
      </c>
      <c r="M1045" s="66">
        <v>600</v>
      </c>
      <c r="N1045" s="56">
        <f>100</f>
        <v>100</v>
      </c>
      <c r="O1045" s="59">
        <v>240</v>
      </c>
      <c r="P1045" s="59">
        <v>40</v>
      </c>
      <c r="Q1045" s="59">
        <f t="shared" si="175"/>
        <v>315</v>
      </c>
      <c r="R1045" s="59">
        <f t="shared" si="176"/>
        <v>100</v>
      </c>
      <c r="S1045" s="56">
        <f t="shared" si="177"/>
        <v>695</v>
      </c>
      <c r="T1045" s="56">
        <f>50</f>
        <v>50</v>
      </c>
      <c r="U1045" s="57"/>
      <c r="V1045" s="57"/>
      <c r="W1045" s="57"/>
      <c r="X1045" s="57"/>
      <c r="Y1045" s="57"/>
      <c r="Z1045" s="57"/>
      <c r="AA1045" s="57"/>
      <c r="AB1045" s="57"/>
      <c r="AC1045" s="57"/>
      <c r="AD1045" s="57"/>
    </row>
    <row r="1046" spans="1:30" ht="15.75">
      <c r="A1046" s="13">
        <v>73140</v>
      </c>
      <c r="B1046" s="67">
        <f t="shared" si="173"/>
        <v>31</v>
      </c>
      <c r="C1046" s="56">
        <f>122.58</f>
        <v>122.58</v>
      </c>
      <c r="D1046" s="56">
        <f>297.941</f>
        <v>297.94099999999997</v>
      </c>
      <c r="E1046" s="64">
        <f>89.177</f>
        <v>89.177000000000007</v>
      </c>
      <c r="F1046" s="56">
        <f>240.302-40-60-100</f>
        <v>40.301999999999992</v>
      </c>
      <c r="G1046" s="59">
        <v>40</v>
      </c>
      <c r="H1046" s="56">
        <f>60+100</f>
        <v>160</v>
      </c>
      <c r="I1046" s="56">
        <f t="shared" si="169"/>
        <v>0</v>
      </c>
      <c r="J1046" s="59">
        <v>100</v>
      </c>
      <c r="K1046" s="59">
        <v>300</v>
      </c>
      <c r="L1046" s="56">
        <f t="shared" si="174"/>
        <v>1150</v>
      </c>
      <c r="M1046" s="66">
        <v>600</v>
      </c>
      <c r="N1046" s="56">
        <f>100</f>
        <v>100</v>
      </c>
      <c r="O1046" s="59">
        <v>240</v>
      </c>
      <c r="P1046" s="59">
        <v>40</v>
      </c>
      <c r="Q1046" s="59">
        <f t="shared" si="175"/>
        <v>315</v>
      </c>
      <c r="R1046" s="59">
        <f t="shared" si="176"/>
        <v>100</v>
      </c>
      <c r="S1046" s="56">
        <f t="shared" si="177"/>
        <v>695</v>
      </c>
      <c r="T1046" s="56">
        <f>50</f>
        <v>50</v>
      </c>
      <c r="U1046" s="57"/>
      <c r="V1046" s="57"/>
      <c r="W1046" s="57"/>
      <c r="X1046" s="57"/>
      <c r="Y1046" s="57"/>
      <c r="Z1046" s="57"/>
      <c r="AA1046" s="57"/>
      <c r="AB1046" s="57"/>
      <c r="AC1046" s="57"/>
      <c r="AD1046" s="57"/>
    </row>
    <row r="1047" spans="1:30" ht="15.75">
      <c r="A1047" s="13">
        <v>73170</v>
      </c>
      <c r="B1047" s="67">
        <f t="shared" si="173"/>
        <v>30</v>
      </c>
      <c r="C1047" s="56">
        <f>141.293</f>
        <v>141.29300000000001</v>
      </c>
      <c r="D1047" s="56">
        <f>267.993</f>
        <v>267.99299999999999</v>
      </c>
      <c r="E1047" s="64">
        <f>115.016</f>
        <v>115.01600000000001</v>
      </c>
      <c r="F1047" s="56">
        <f>314.698-40-25-60-100</f>
        <v>89.697999999999979</v>
      </c>
      <c r="G1047" s="59">
        <v>40</v>
      </c>
      <c r="H1047" s="56">
        <f t="shared" ref="H1047:H1053" si="178">25+60+100</f>
        <v>185</v>
      </c>
      <c r="I1047" s="56">
        <f t="shared" si="169"/>
        <v>0</v>
      </c>
      <c r="J1047" s="59">
        <v>100</v>
      </c>
      <c r="K1047" s="59">
        <v>300</v>
      </c>
      <c r="L1047" s="56">
        <f t="shared" si="174"/>
        <v>1239</v>
      </c>
      <c r="M1047" s="66">
        <v>600</v>
      </c>
      <c r="N1047" s="56">
        <f>100</f>
        <v>100</v>
      </c>
      <c r="O1047" s="59">
        <v>240</v>
      </c>
      <c r="P1047" s="59">
        <v>40</v>
      </c>
      <c r="Q1047" s="59">
        <f t="shared" si="175"/>
        <v>315</v>
      </c>
      <c r="R1047" s="59">
        <f t="shared" si="176"/>
        <v>100</v>
      </c>
      <c r="S1047" s="56">
        <f t="shared" si="177"/>
        <v>695</v>
      </c>
      <c r="T1047" s="56">
        <f>50</f>
        <v>50</v>
      </c>
      <c r="U1047" s="57"/>
      <c r="V1047" s="57"/>
      <c r="W1047" s="57"/>
      <c r="X1047" s="57"/>
      <c r="Y1047" s="57"/>
      <c r="Z1047" s="57"/>
      <c r="AA1047" s="57"/>
      <c r="AB1047" s="57"/>
      <c r="AC1047" s="57"/>
      <c r="AD1047" s="57"/>
    </row>
    <row r="1048" spans="1:30" ht="15.75">
      <c r="A1048" s="13">
        <v>73201</v>
      </c>
      <c r="B1048" s="67">
        <f t="shared" si="173"/>
        <v>31</v>
      </c>
      <c r="C1048" s="56">
        <f>194.205</f>
        <v>194.20500000000001</v>
      </c>
      <c r="D1048" s="56">
        <f>267.466</f>
        <v>267.46600000000001</v>
      </c>
      <c r="E1048" s="64">
        <f>133.845</f>
        <v>133.845</v>
      </c>
      <c r="F1048" s="56">
        <f>278.484-40-25-60-100</f>
        <v>53.48399999999998</v>
      </c>
      <c r="G1048" s="59">
        <v>40</v>
      </c>
      <c r="H1048" s="56">
        <f t="shared" si="178"/>
        <v>185</v>
      </c>
      <c r="I1048" s="56">
        <f t="shared" si="169"/>
        <v>0</v>
      </c>
      <c r="J1048" s="59">
        <v>100</v>
      </c>
      <c r="K1048" s="59">
        <v>300</v>
      </c>
      <c r="L1048" s="56">
        <f t="shared" si="174"/>
        <v>1274</v>
      </c>
      <c r="M1048" s="66">
        <v>600</v>
      </c>
      <c r="N1048" s="56">
        <f>75</f>
        <v>75</v>
      </c>
      <c r="O1048" s="59">
        <v>240</v>
      </c>
      <c r="P1048" s="59">
        <v>40</v>
      </c>
      <c r="Q1048" s="59">
        <f t="shared" si="175"/>
        <v>315</v>
      </c>
      <c r="R1048" s="59">
        <f t="shared" si="176"/>
        <v>100</v>
      </c>
      <c r="S1048" s="56">
        <f t="shared" si="177"/>
        <v>695</v>
      </c>
      <c r="T1048" s="56">
        <f>50</f>
        <v>50</v>
      </c>
      <c r="U1048" s="57"/>
      <c r="V1048" s="57"/>
      <c r="W1048" s="57"/>
      <c r="X1048" s="57"/>
      <c r="Y1048" s="57"/>
      <c r="Z1048" s="57"/>
      <c r="AA1048" s="57"/>
      <c r="AB1048" s="57"/>
      <c r="AC1048" s="57"/>
      <c r="AD1048" s="57"/>
    </row>
    <row r="1049" spans="1:30" ht="15.75">
      <c r="A1049" s="13">
        <v>73231</v>
      </c>
      <c r="B1049" s="67">
        <f t="shared" si="173"/>
        <v>30</v>
      </c>
      <c r="C1049" s="56">
        <f>194.205</f>
        <v>194.20500000000001</v>
      </c>
      <c r="D1049" s="56">
        <f>267.466</f>
        <v>267.46600000000001</v>
      </c>
      <c r="E1049" s="64">
        <f>133.845</f>
        <v>133.845</v>
      </c>
      <c r="F1049" s="56">
        <f>278.484-40-25-60-100</f>
        <v>53.48399999999998</v>
      </c>
      <c r="G1049" s="59">
        <v>40</v>
      </c>
      <c r="H1049" s="56">
        <f t="shared" si="178"/>
        <v>185</v>
      </c>
      <c r="I1049" s="56">
        <f t="shared" si="169"/>
        <v>0</v>
      </c>
      <c r="J1049" s="59">
        <v>100</v>
      </c>
      <c r="K1049" s="59">
        <v>300</v>
      </c>
      <c r="L1049" s="56">
        <f t="shared" si="174"/>
        <v>1274</v>
      </c>
      <c r="M1049" s="66">
        <v>600</v>
      </c>
      <c r="N1049" s="56">
        <f>30</f>
        <v>30</v>
      </c>
      <c r="O1049" s="59">
        <v>240</v>
      </c>
      <c r="P1049" s="59">
        <v>40</v>
      </c>
      <c r="Q1049" s="59">
        <f t="shared" si="175"/>
        <v>315</v>
      </c>
      <c r="R1049" s="59">
        <f t="shared" si="176"/>
        <v>100</v>
      </c>
      <c r="S1049" s="56">
        <f t="shared" si="177"/>
        <v>695</v>
      </c>
      <c r="T1049" s="56">
        <f>50</f>
        <v>50</v>
      </c>
      <c r="U1049" s="57"/>
      <c r="V1049" s="57"/>
      <c r="W1049" s="57"/>
      <c r="X1049" s="57"/>
      <c r="Y1049" s="57"/>
      <c r="Z1049" s="57"/>
      <c r="AA1049" s="57"/>
      <c r="AB1049" s="57"/>
      <c r="AC1049" s="57"/>
      <c r="AD1049" s="57"/>
    </row>
    <row r="1050" spans="1:30" ht="15.75">
      <c r="A1050" s="13">
        <v>73262</v>
      </c>
      <c r="B1050" s="67">
        <f t="shared" si="173"/>
        <v>31</v>
      </c>
      <c r="C1050" s="56">
        <f>194.205</f>
        <v>194.20500000000001</v>
      </c>
      <c r="D1050" s="56">
        <f>267.466</f>
        <v>267.46600000000001</v>
      </c>
      <c r="E1050" s="64">
        <f>133.845</f>
        <v>133.845</v>
      </c>
      <c r="F1050" s="56">
        <f>278.484-40-25-60-100</f>
        <v>53.48399999999998</v>
      </c>
      <c r="G1050" s="59">
        <v>40</v>
      </c>
      <c r="H1050" s="56">
        <f t="shared" si="178"/>
        <v>185</v>
      </c>
      <c r="I1050" s="56">
        <f t="shared" si="169"/>
        <v>0</v>
      </c>
      <c r="J1050" s="59">
        <v>100</v>
      </c>
      <c r="K1050" s="59">
        <v>300</v>
      </c>
      <c r="L1050" s="56">
        <f t="shared" si="174"/>
        <v>1274</v>
      </c>
      <c r="M1050" s="66">
        <v>600</v>
      </c>
      <c r="N1050" s="56">
        <f>30</f>
        <v>30</v>
      </c>
      <c r="O1050" s="59">
        <v>240</v>
      </c>
      <c r="P1050" s="59">
        <v>40</v>
      </c>
      <c r="Q1050" s="59">
        <f t="shared" si="175"/>
        <v>315</v>
      </c>
      <c r="R1050" s="59">
        <f t="shared" si="176"/>
        <v>100</v>
      </c>
      <c r="S1050" s="56">
        <f t="shared" si="177"/>
        <v>695</v>
      </c>
      <c r="T1050" s="56">
        <f>0</f>
        <v>0</v>
      </c>
      <c r="U1050" s="57"/>
      <c r="V1050" s="57"/>
      <c r="W1050" s="57"/>
      <c r="X1050" s="57"/>
      <c r="Y1050" s="57"/>
      <c r="Z1050" s="57"/>
      <c r="AA1050" s="57"/>
      <c r="AB1050" s="57"/>
      <c r="AC1050" s="57"/>
      <c r="AD1050" s="57"/>
    </row>
    <row r="1051" spans="1:30" ht="15.75">
      <c r="A1051" s="13">
        <v>73293</v>
      </c>
      <c r="B1051" s="67">
        <f t="shared" si="173"/>
        <v>31</v>
      </c>
      <c r="C1051" s="56">
        <f>194.205</f>
        <v>194.20500000000001</v>
      </c>
      <c r="D1051" s="56">
        <f>267.466</f>
        <v>267.46600000000001</v>
      </c>
      <c r="E1051" s="64">
        <f>133.845</f>
        <v>133.845</v>
      </c>
      <c r="F1051" s="56">
        <f>278.484-40-25-60-100</f>
        <v>53.48399999999998</v>
      </c>
      <c r="G1051" s="59">
        <v>40</v>
      </c>
      <c r="H1051" s="56">
        <f t="shared" si="178"/>
        <v>185</v>
      </c>
      <c r="I1051" s="56">
        <f t="shared" si="169"/>
        <v>0</v>
      </c>
      <c r="J1051" s="59">
        <v>100</v>
      </c>
      <c r="K1051" s="59">
        <v>300</v>
      </c>
      <c r="L1051" s="56">
        <f t="shared" si="174"/>
        <v>1274</v>
      </c>
      <c r="M1051" s="66">
        <v>600</v>
      </c>
      <c r="N1051" s="56">
        <f>30</f>
        <v>30</v>
      </c>
      <c r="O1051" s="59">
        <v>240</v>
      </c>
      <c r="P1051" s="59">
        <v>40</v>
      </c>
      <c r="Q1051" s="59">
        <f t="shared" si="175"/>
        <v>315</v>
      </c>
      <c r="R1051" s="59">
        <f t="shared" si="176"/>
        <v>100</v>
      </c>
      <c r="S1051" s="56">
        <f t="shared" si="177"/>
        <v>695</v>
      </c>
      <c r="T1051" s="56">
        <f>0</f>
        <v>0</v>
      </c>
      <c r="U1051" s="57"/>
      <c r="V1051" s="57"/>
      <c r="W1051" s="57"/>
      <c r="X1051" s="57"/>
      <c r="Y1051" s="57"/>
      <c r="Z1051" s="57"/>
      <c r="AA1051" s="57"/>
      <c r="AB1051" s="57"/>
      <c r="AC1051" s="57"/>
      <c r="AD1051" s="57"/>
    </row>
    <row r="1052" spans="1:30" ht="15.75">
      <c r="A1052" s="13">
        <v>73323</v>
      </c>
      <c r="B1052" s="67">
        <f t="shared" si="173"/>
        <v>30</v>
      </c>
      <c r="C1052" s="56">
        <f>194.205</f>
        <v>194.20500000000001</v>
      </c>
      <c r="D1052" s="56">
        <f>267.466</f>
        <v>267.46600000000001</v>
      </c>
      <c r="E1052" s="64">
        <f>133.845</f>
        <v>133.845</v>
      </c>
      <c r="F1052" s="56">
        <f>278.484-40-25-60-100</f>
        <v>53.48399999999998</v>
      </c>
      <c r="G1052" s="59">
        <v>40</v>
      </c>
      <c r="H1052" s="56">
        <f t="shared" si="178"/>
        <v>185</v>
      </c>
      <c r="I1052" s="56">
        <f t="shared" si="169"/>
        <v>0</v>
      </c>
      <c r="J1052" s="59">
        <v>100</v>
      </c>
      <c r="K1052" s="59">
        <v>300</v>
      </c>
      <c r="L1052" s="56">
        <f t="shared" si="174"/>
        <v>1274</v>
      </c>
      <c r="M1052" s="66">
        <v>600</v>
      </c>
      <c r="N1052" s="56">
        <f>30</f>
        <v>30</v>
      </c>
      <c r="O1052" s="59">
        <v>240</v>
      </c>
      <c r="P1052" s="59">
        <v>40</v>
      </c>
      <c r="Q1052" s="59">
        <f t="shared" si="175"/>
        <v>315</v>
      </c>
      <c r="R1052" s="59">
        <f t="shared" si="176"/>
        <v>100</v>
      </c>
      <c r="S1052" s="56">
        <f t="shared" si="177"/>
        <v>695</v>
      </c>
      <c r="T1052" s="56">
        <f>0</f>
        <v>0</v>
      </c>
      <c r="U1052" s="57"/>
      <c r="V1052" s="57"/>
      <c r="W1052" s="57"/>
      <c r="X1052" s="57"/>
      <c r="Y1052" s="57"/>
      <c r="Z1052" s="57"/>
      <c r="AA1052" s="57"/>
      <c r="AB1052" s="57"/>
      <c r="AC1052" s="57"/>
      <c r="AD1052" s="57"/>
    </row>
    <row r="1053" spans="1:30" ht="15.75">
      <c r="A1053" s="13">
        <v>73354</v>
      </c>
      <c r="B1053" s="67">
        <f t="shared" si="173"/>
        <v>31</v>
      </c>
      <c r="C1053" s="56">
        <f>131.881</f>
        <v>131.881</v>
      </c>
      <c r="D1053" s="56">
        <f>277.167</f>
        <v>277.16699999999997</v>
      </c>
      <c r="E1053" s="64">
        <f>79.08</f>
        <v>79.08</v>
      </c>
      <c r="F1053" s="56">
        <f>350.872-40-25-60-100</f>
        <v>125.87200000000001</v>
      </c>
      <c r="G1053" s="59">
        <v>40</v>
      </c>
      <c r="H1053" s="56">
        <f t="shared" si="178"/>
        <v>185</v>
      </c>
      <c r="I1053" s="56">
        <f t="shared" si="169"/>
        <v>0</v>
      </c>
      <c r="J1053" s="59">
        <v>100</v>
      </c>
      <c r="K1053" s="59">
        <v>300</v>
      </c>
      <c r="L1053" s="56">
        <f t="shared" si="174"/>
        <v>1239</v>
      </c>
      <c r="M1053" s="66">
        <v>600</v>
      </c>
      <c r="N1053" s="56">
        <f>75</f>
        <v>75</v>
      </c>
      <c r="O1053" s="59">
        <v>240</v>
      </c>
      <c r="P1053" s="59">
        <v>40</v>
      </c>
      <c r="Q1053" s="59">
        <f t="shared" si="175"/>
        <v>315</v>
      </c>
      <c r="R1053" s="59">
        <f t="shared" si="176"/>
        <v>100</v>
      </c>
      <c r="S1053" s="56">
        <f t="shared" si="177"/>
        <v>695</v>
      </c>
      <c r="T1053" s="56">
        <f>0</f>
        <v>0</v>
      </c>
      <c r="U1053" s="57"/>
      <c r="V1053" s="57"/>
      <c r="W1053" s="57"/>
      <c r="X1053" s="57"/>
      <c r="Y1053" s="57"/>
      <c r="Z1053" s="57"/>
      <c r="AA1053" s="57"/>
      <c r="AB1053" s="57"/>
      <c r="AC1053" s="57"/>
      <c r="AD1053" s="57"/>
    </row>
    <row r="1054" spans="1:30" ht="15.75">
      <c r="A1054" s="13">
        <v>73384</v>
      </c>
      <c r="B1054" s="67">
        <f t="shared" si="173"/>
        <v>30</v>
      </c>
      <c r="C1054" s="56">
        <f>122.58</f>
        <v>122.58</v>
      </c>
      <c r="D1054" s="56">
        <f>297.941</f>
        <v>297.94099999999997</v>
      </c>
      <c r="E1054" s="64">
        <f>89.177</f>
        <v>89.177000000000007</v>
      </c>
      <c r="F1054" s="56">
        <f>240.302-40-60-100</f>
        <v>40.301999999999992</v>
      </c>
      <c r="G1054" s="59">
        <v>40</v>
      </c>
      <c r="H1054" s="56">
        <f>60+100</f>
        <v>160</v>
      </c>
      <c r="I1054" s="56">
        <f t="shared" si="169"/>
        <v>0</v>
      </c>
      <c r="J1054" s="59">
        <v>100</v>
      </c>
      <c r="K1054" s="59">
        <v>300</v>
      </c>
      <c r="L1054" s="56">
        <f t="shared" si="174"/>
        <v>1150</v>
      </c>
      <c r="M1054" s="66">
        <v>600</v>
      </c>
      <c r="N1054" s="56">
        <f>100</f>
        <v>100</v>
      </c>
      <c r="O1054" s="59">
        <v>240</v>
      </c>
      <c r="P1054" s="59">
        <v>40</v>
      </c>
      <c r="Q1054" s="59">
        <f t="shared" si="175"/>
        <v>315</v>
      </c>
      <c r="R1054" s="59">
        <f t="shared" si="176"/>
        <v>100</v>
      </c>
      <c r="S1054" s="56">
        <f t="shared" si="177"/>
        <v>695</v>
      </c>
      <c r="T1054" s="56">
        <f>50</f>
        <v>50</v>
      </c>
      <c r="U1054" s="57"/>
      <c r="V1054" s="57"/>
      <c r="W1054" s="57"/>
      <c r="X1054" s="57"/>
      <c r="Y1054" s="57"/>
      <c r="Z1054" s="57"/>
      <c r="AA1054" s="57"/>
      <c r="AB1054" s="57"/>
      <c r="AC1054" s="57"/>
      <c r="AD1054" s="57"/>
    </row>
    <row r="1055" spans="1:30" ht="15.75">
      <c r="A1055" s="13">
        <v>73415</v>
      </c>
      <c r="B1055" s="67">
        <f t="shared" si="173"/>
        <v>31</v>
      </c>
      <c r="C1055" s="56">
        <f>122.58</f>
        <v>122.58</v>
      </c>
      <c r="D1055" s="56">
        <f>297.941</f>
        <v>297.94099999999997</v>
      </c>
      <c r="E1055" s="64">
        <f>89.177</f>
        <v>89.177000000000007</v>
      </c>
      <c r="F1055" s="56">
        <f>240.302-40-60-100</f>
        <v>40.301999999999992</v>
      </c>
      <c r="G1055" s="59">
        <v>40</v>
      </c>
      <c r="H1055" s="56">
        <f>60+100</f>
        <v>160</v>
      </c>
      <c r="I1055" s="56">
        <f t="shared" si="169"/>
        <v>0</v>
      </c>
      <c r="J1055" s="59">
        <v>100</v>
      </c>
      <c r="K1055" s="59">
        <v>300</v>
      </c>
      <c r="L1055" s="56">
        <f t="shared" si="174"/>
        <v>1150</v>
      </c>
      <c r="M1055" s="66">
        <v>600</v>
      </c>
      <c r="N1055" s="56">
        <f>100</f>
        <v>100</v>
      </c>
      <c r="O1055" s="59">
        <v>240</v>
      </c>
      <c r="P1055" s="59">
        <v>40</v>
      </c>
      <c r="Q1055" s="59">
        <f t="shared" si="175"/>
        <v>315</v>
      </c>
      <c r="R1055" s="59">
        <f t="shared" si="176"/>
        <v>100</v>
      </c>
      <c r="S1055" s="56">
        <f t="shared" si="177"/>
        <v>695</v>
      </c>
      <c r="T1055" s="56">
        <f>50</f>
        <v>50</v>
      </c>
      <c r="U1055" s="57"/>
      <c r="V1055" s="57"/>
      <c r="W1055" s="57"/>
      <c r="X1055" s="57"/>
      <c r="Y1055" s="57"/>
      <c r="Z1055" s="57"/>
      <c r="AA1055" s="57"/>
      <c r="AB1055" s="57"/>
      <c r="AC1055" s="57"/>
      <c r="AD1055" s="57"/>
    </row>
    <row r="1056" spans="1:30" ht="15">
      <c r="A1056" s="12"/>
      <c r="B1056" s="65"/>
      <c r="C1056" s="56"/>
      <c r="D1056" s="56"/>
      <c r="E1056" s="64"/>
      <c r="F1056" s="56"/>
      <c r="G1056" s="56"/>
      <c r="H1056" s="56"/>
      <c r="I1056" s="56"/>
      <c r="J1056" s="56"/>
      <c r="K1056" s="56"/>
      <c r="L1056" s="56"/>
      <c r="M1056" s="56"/>
      <c r="N1056" s="56"/>
      <c r="O1056" s="59"/>
      <c r="P1056" s="59"/>
      <c r="Q1056" s="59"/>
      <c r="R1056" s="59"/>
      <c r="S1056" s="56"/>
      <c r="T1056" s="56"/>
      <c r="U1056" s="57"/>
      <c r="V1056" s="57"/>
      <c r="W1056" s="57"/>
      <c r="X1056" s="57"/>
      <c r="Y1056" s="57"/>
      <c r="Z1056" s="57"/>
      <c r="AA1056" s="57"/>
      <c r="AB1056" s="57"/>
      <c r="AC1056" s="57"/>
      <c r="AD1056" s="57"/>
    </row>
    <row r="1057" spans="1:30" ht="15.75">
      <c r="A1057" s="11">
        <v>2014</v>
      </c>
      <c r="B1057" s="11">
        <f t="shared" ref="B1057:B1088" si="179">DATE(A1057+1,1,1)-DATE(A1057,1,1)</f>
        <v>365</v>
      </c>
      <c r="C1057" s="60">
        <f t="shared" ref="C1057:L1057" si="180">AVERAGE(C12:C23)</f>
        <v>154.75825</v>
      </c>
      <c r="D1057" s="60">
        <f t="shared" si="180"/>
        <v>281.0162499999999</v>
      </c>
      <c r="E1057" s="60">
        <f t="shared" si="180"/>
        <v>109.1005</v>
      </c>
      <c r="F1057" s="60">
        <f t="shared" si="180"/>
        <v>217.04166666666666</v>
      </c>
      <c r="G1057" s="60">
        <f t="shared" si="180"/>
        <v>40</v>
      </c>
      <c r="H1057" s="60">
        <f t="shared" si="180"/>
        <v>14.583333333333334</v>
      </c>
      <c r="I1057" s="60">
        <f t="shared" si="180"/>
        <v>20.833333333333332</v>
      </c>
      <c r="J1057" s="60">
        <f t="shared" si="180"/>
        <v>100</v>
      </c>
      <c r="K1057" s="60">
        <f t="shared" si="180"/>
        <v>300</v>
      </c>
      <c r="L1057" s="60">
        <f t="shared" si="180"/>
        <v>1237.3333333333333</v>
      </c>
      <c r="M1057" s="63"/>
      <c r="N1057" s="60">
        <f t="shared" ref="N1057:T1057" si="181">AVERAGE(N12:N23)</f>
        <v>72.5</v>
      </c>
      <c r="O1057" s="61">
        <f t="shared" si="181"/>
        <v>240</v>
      </c>
      <c r="P1057" s="61">
        <f t="shared" si="181"/>
        <v>70</v>
      </c>
      <c r="Q1057" s="61">
        <f t="shared" si="181"/>
        <v>285</v>
      </c>
      <c r="R1057" s="61">
        <f t="shared" si="181"/>
        <v>100</v>
      </c>
      <c r="S1057" s="60">
        <f t="shared" si="181"/>
        <v>695</v>
      </c>
      <c r="T1057" s="60">
        <f t="shared" si="181"/>
        <v>33.333333333333336</v>
      </c>
      <c r="U1057" s="57"/>
      <c r="V1057" s="57"/>
      <c r="W1057" s="57"/>
      <c r="X1057" s="57"/>
      <c r="Y1057" s="57"/>
      <c r="Z1057" s="57"/>
      <c r="AA1057" s="57"/>
      <c r="AB1057" s="57"/>
      <c r="AC1057" s="57"/>
      <c r="AD1057" s="57"/>
    </row>
    <row r="1058" spans="1:30" ht="15.75">
      <c r="A1058" s="11">
        <v>2015</v>
      </c>
      <c r="B1058" s="11">
        <f t="shared" si="179"/>
        <v>365</v>
      </c>
      <c r="C1058" s="60">
        <f t="shared" ref="C1058:L1058" si="182">AVERAGE(C24:C35)</f>
        <v>154.75825</v>
      </c>
      <c r="D1058" s="60">
        <f t="shared" si="182"/>
        <v>281.0162499999999</v>
      </c>
      <c r="E1058" s="60">
        <f t="shared" si="182"/>
        <v>109.1005</v>
      </c>
      <c r="F1058" s="60">
        <f t="shared" si="182"/>
        <v>97.041666666666629</v>
      </c>
      <c r="G1058" s="60">
        <f t="shared" si="182"/>
        <v>40</v>
      </c>
      <c r="H1058" s="60">
        <f t="shared" si="182"/>
        <v>134.58333333333334</v>
      </c>
      <c r="I1058" s="60">
        <f t="shared" si="182"/>
        <v>20.833333333333332</v>
      </c>
      <c r="J1058" s="60">
        <f t="shared" si="182"/>
        <v>100</v>
      </c>
      <c r="K1058" s="60">
        <f t="shared" si="182"/>
        <v>300</v>
      </c>
      <c r="L1058" s="60">
        <f t="shared" si="182"/>
        <v>1237.3333333333333</v>
      </c>
      <c r="M1058" s="63"/>
      <c r="N1058" s="60">
        <f t="shared" ref="N1058:T1058" si="183">AVERAGE(N24:N35)</f>
        <v>72.5</v>
      </c>
      <c r="O1058" s="61">
        <f t="shared" si="183"/>
        <v>240</v>
      </c>
      <c r="P1058" s="61">
        <f t="shared" si="183"/>
        <v>100</v>
      </c>
      <c r="Q1058" s="61">
        <f t="shared" si="183"/>
        <v>255</v>
      </c>
      <c r="R1058" s="61">
        <f t="shared" si="183"/>
        <v>100</v>
      </c>
      <c r="S1058" s="60">
        <f t="shared" si="183"/>
        <v>695</v>
      </c>
      <c r="T1058" s="60">
        <f t="shared" si="183"/>
        <v>33.333333333333336</v>
      </c>
      <c r="U1058" s="57"/>
      <c r="V1058" s="57"/>
      <c r="W1058" s="57"/>
      <c r="X1058" s="57"/>
      <c r="Y1058" s="57"/>
      <c r="Z1058" s="57"/>
      <c r="AA1058" s="57"/>
      <c r="AB1058" s="57"/>
      <c r="AC1058" s="57"/>
      <c r="AD1058" s="57"/>
    </row>
    <row r="1059" spans="1:30" ht="15.75">
      <c r="A1059" s="11">
        <v>2016</v>
      </c>
      <c r="B1059" s="11">
        <f t="shared" si="179"/>
        <v>366</v>
      </c>
      <c r="C1059" s="60">
        <f t="shared" ref="C1059:L1059" si="184">AVERAGE(C36:C47)</f>
        <v>154.75825</v>
      </c>
      <c r="D1059" s="60">
        <f t="shared" si="184"/>
        <v>281.0162499999999</v>
      </c>
      <c r="E1059" s="60">
        <f t="shared" si="184"/>
        <v>109.1005</v>
      </c>
      <c r="F1059" s="60">
        <f t="shared" si="184"/>
        <v>57.041666666666664</v>
      </c>
      <c r="G1059" s="60">
        <f t="shared" si="184"/>
        <v>40</v>
      </c>
      <c r="H1059" s="60">
        <f t="shared" si="184"/>
        <v>174.58333333333334</v>
      </c>
      <c r="I1059" s="60">
        <f t="shared" si="184"/>
        <v>0</v>
      </c>
      <c r="J1059" s="60">
        <f t="shared" si="184"/>
        <v>100</v>
      </c>
      <c r="K1059" s="60">
        <f t="shared" si="184"/>
        <v>300</v>
      </c>
      <c r="L1059" s="60">
        <f t="shared" si="184"/>
        <v>1216.5</v>
      </c>
      <c r="M1059" s="63"/>
      <c r="N1059" s="60">
        <f t="shared" ref="N1059:T1059" si="185">AVERAGE(N36:N47)</f>
        <v>72.5</v>
      </c>
      <c r="O1059" s="61">
        <f t="shared" si="185"/>
        <v>240</v>
      </c>
      <c r="P1059" s="61">
        <f t="shared" si="185"/>
        <v>110</v>
      </c>
      <c r="Q1059" s="61">
        <f t="shared" si="185"/>
        <v>245</v>
      </c>
      <c r="R1059" s="61">
        <f t="shared" si="185"/>
        <v>100</v>
      </c>
      <c r="S1059" s="60">
        <f t="shared" si="185"/>
        <v>695</v>
      </c>
      <c r="T1059" s="60">
        <f t="shared" si="185"/>
        <v>33.333333333333336</v>
      </c>
      <c r="U1059" s="57"/>
      <c r="V1059" s="57"/>
      <c r="W1059" s="57"/>
      <c r="X1059" s="57"/>
      <c r="Y1059" s="57"/>
      <c r="Z1059" s="57"/>
      <c r="AA1059" s="57"/>
      <c r="AB1059" s="57"/>
      <c r="AC1059" s="57"/>
      <c r="AD1059" s="57"/>
    </row>
    <row r="1060" spans="1:30" ht="15">
      <c r="A1060" s="11">
        <v>2017</v>
      </c>
      <c r="B1060" s="11">
        <f t="shared" si="179"/>
        <v>365</v>
      </c>
      <c r="C1060" s="60">
        <f t="shared" ref="C1060:T1060" si="186">AVERAGE(C48:C59)</f>
        <v>154.75825</v>
      </c>
      <c r="D1060" s="60">
        <f t="shared" si="186"/>
        <v>281.0162499999999</v>
      </c>
      <c r="E1060" s="60">
        <f t="shared" si="186"/>
        <v>109.1005</v>
      </c>
      <c r="F1060" s="60">
        <f t="shared" si="186"/>
        <v>57.041666666666664</v>
      </c>
      <c r="G1060" s="60">
        <f t="shared" si="186"/>
        <v>40</v>
      </c>
      <c r="H1060" s="60">
        <f t="shared" si="186"/>
        <v>174.58333333333334</v>
      </c>
      <c r="I1060" s="60">
        <f t="shared" si="186"/>
        <v>0</v>
      </c>
      <c r="J1060" s="60">
        <f t="shared" si="186"/>
        <v>100</v>
      </c>
      <c r="K1060" s="60">
        <f t="shared" si="186"/>
        <v>300</v>
      </c>
      <c r="L1060" s="60">
        <f t="shared" si="186"/>
        <v>1216.5</v>
      </c>
      <c r="M1060" s="62">
        <f t="shared" si="186"/>
        <v>400</v>
      </c>
      <c r="N1060" s="60">
        <f t="shared" si="186"/>
        <v>72.5</v>
      </c>
      <c r="O1060" s="61">
        <f t="shared" si="186"/>
        <v>240</v>
      </c>
      <c r="P1060" s="61">
        <f t="shared" si="186"/>
        <v>110</v>
      </c>
      <c r="Q1060" s="61">
        <f t="shared" si="186"/>
        <v>245</v>
      </c>
      <c r="R1060" s="61">
        <f t="shared" si="186"/>
        <v>100</v>
      </c>
      <c r="S1060" s="60">
        <f t="shared" si="186"/>
        <v>695</v>
      </c>
      <c r="T1060" s="60">
        <f t="shared" si="186"/>
        <v>33.333333333333336</v>
      </c>
      <c r="U1060" s="57"/>
      <c r="V1060" s="57"/>
      <c r="W1060" s="57"/>
      <c r="X1060" s="57"/>
      <c r="Y1060" s="57"/>
      <c r="Z1060" s="57"/>
      <c r="AA1060" s="57"/>
      <c r="AB1060" s="57"/>
      <c r="AC1060" s="57"/>
      <c r="AD1060" s="57"/>
    </row>
    <row r="1061" spans="1:30" ht="15">
      <c r="A1061" s="11">
        <v>2018</v>
      </c>
      <c r="B1061" s="11">
        <f t="shared" si="179"/>
        <v>365</v>
      </c>
      <c r="C1061" s="60">
        <f t="shared" ref="C1061:T1061" si="187">AVERAGE(C60:C71)</f>
        <v>154.75825</v>
      </c>
      <c r="D1061" s="60">
        <f t="shared" si="187"/>
        <v>281.0162499999999</v>
      </c>
      <c r="E1061" s="60">
        <f t="shared" si="187"/>
        <v>109.1005</v>
      </c>
      <c r="F1061" s="60">
        <f t="shared" si="187"/>
        <v>57.041666666666664</v>
      </c>
      <c r="G1061" s="60">
        <f t="shared" si="187"/>
        <v>40</v>
      </c>
      <c r="H1061" s="60">
        <f t="shared" si="187"/>
        <v>174.58333333333334</v>
      </c>
      <c r="I1061" s="60">
        <f t="shared" si="187"/>
        <v>0</v>
      </c>
      <c r="J1061" s="60">
        <f t="shared" si="187"/>
        <v>100</v>
      </c>
      <c r="K1061" s="60">
        <f t="shared" si="187"/>
        <v>300</v>
      </c>
      <c r="L1061" s="60">
        <f t="shared" si="187"/>
        <v>1216.5</v>
      </c>
      <c r="M1061" s="62">
        <f t="shared" si="187"/>
        <v>400</v>
      </c>
      <c r="N1061" s="60">
        <f t="shared" si="187"/>
        <v>72.5</v>
      </c>
      <c r="O1061" s="61">
        <f t="shared" si="187"/>
        <v>240</v>
      </c>
      <c r="P1061" s="61">
        <f t="shared" si="187"/>
        <v>110</v>
      </c>
      <c r="Q1061" s="61">
        <f t="shared" si="187"/>
        <v>245</v>
      </c>
      <c r="R1061" s="61">
        <f t="shared" si="187"/>
        <v>100</v>
      </c>
      <c r="S1061" s="60">
        <f t="shared" si="187"/>
        <v>695</v>
      </c>
      <c r="T1061" s="60">
        <f t="shared" si="187"/>
        <v>33.333333333333336</v>
      </c>
      <c r="U1061" s="57"/>
      <c r="V1061" s="57"/>
      <c r="W1061" s="57"/>
      <c r="X1061" s="57"/>
      <c r="Y1061" s="57"/>
      <c r="Z1061" s="57"/>
      <c r="AA1061" s="57"/>
      <c r="AB1061" s="57"/>
      <c r="AC1061" s="57"/>
      <c r="AD1061" s="57"/>
    </row>
    <row r="1062" spans="1:30" ht="15">
      <c r="A1062" s="11">
        <v>2019</v>
      </c>
      <c r="B1062" s="11">
        <f t="shared" si="179"/>
        <v>365</v>
      </c>
      <c r="C1062" s="60">
        <f t="shared" ref="C1062:T1062" si="188">AVERAGE(C72:C83)</f>
        <v>154.75825</v>
      </c>
      <c r="D1062" s="60">
        <f t="shared" si="188"/>
        <v>281.0162499999999</v>
      </c>
      <c r="E1062" s="60">
        <f t="shared" si="188"/>
        <v>109.1005</v>
      </c>
      <c r="F1062" s="60">
        <f t="shared" si="188"/>
        <v>57.041666666666664</v>
      </c>
      <c r="G1062" s="60">
        <f t="shared" si="188"/>
        <v>40</v>
      </c>
      <c r="H1062" s="60">
        <f t="shared" si="188"/>
        <v>174.58333333333334</v>
      </c>
      <c r="I1062" s="60">
        <f t="shared" si="188"/>
        <v>0</v>
      </c>
      <c r="J1062" s="60">
        <f t="shared" si="188"/>
        <v>100</v>
      </c>
      <c r="K1062" s="60">
        <f t="shared" si="188"/>
        <v>300</v>
      </c>
      <c r="L1062" s="60">
        <f t="shared" si="188"/>
        <v>1216.5</v>
      </c>
      <c r="M1062" s="62">
        <f t="shared" si="188"/>
        <v>400</v>
      </c>
      <c r="N1062" s="60">
        <f t="shared" si="188"/>
        <v>72.5</v>
      </c>
      <c r="O1062" s="61">
        <f t="shared" si="188"/>
        <v>240</v>
      </c>
      <c r="P1062" s="61">
        <f t="shared" si="188"/>
        <v>110</v>
      </c>
      <c r="Q1062" s="61">
        <f t="shared" si="188"/>
        <v>245</v>
      </c>
      <c r="R1062" s="61">
        <f t="shared" si="188"/>
        <v>100</v>
      </c>
      <c r="S1062" s="60">
        <f t="shared" si="188"/>
        <v>695</v>
      </c>
      <c r="T1062" s="60">
        <f t="shared" si="188"/>
        <v>33.333333333333336</v>
      </c>
      <c r="U1062" s="57"/>
      <c r="V1062" s="57"/>
      <c r="W1062" s="57"/>
      <c r="X1062" s="57"/>
      <c r="Y1062" s="57"/>
      <c r="Z1062" s="57"/>
      <c r="AA1062" s="57"/>
      <c r="AB1062" s="57"/>
      <c r="AC1062" s="57"/>
      <c r="AD1062" s="57"/>
    </row>
    <row r="1063" spans="1:30" ht="15">
      <c r="A1063" s="11">
        <v>2020</v>
      </c>
      <c r="B1063" s="11">
        <f t="shared" si="179"/>
        <v>366</v>
      </c>
      <c r="C1063" s="60">
        <f t="shared" ref="C1063:T1063" si="189">AVERAGE(C84:C95)</f>
        <v>154.75825</v>
      </c>
      <c r="D1063" s="60">
        <f t="shared" si="189"/>
        <v>281.0162499999999</v>
      </c>
      <c r="E1063" s="60">
        <f t="shared" si="189"/>
        <v>109.1005</v>
      </c>
      <c r="F1063" s="60">
        <f t="shared" si="189"/>
        <v>57.041666666666664</v>
      </c>
      <c r="G1063" s="60">
        <f t="shared" si="189"/>
        <v>40</v>
      </c>
      <c r="H1063" s="60">
        <f t="shared" si="189"/>
        <v>174.58333333333334</v>
      </c>
      <c r="I1063" s="60">
        <f t="shared" si="189"/>
        <v>0</v>
      </c>
      <c r="J1063" s="60">
        <f t="shared" si="189"/>
        <v>100</v>
      </c>
      <c r="K1063" s="60">
        <f t="shared" si="189"/>
        <v>300</v>
      </c>
      <c r="L1063" s="60">
        <f t="shared" si="189"/>
        <v>1216.5</v>
      </c>
      <c r="M1063" s="62">
        <f t="shared" si="189"/>
        <v>533.33333333333337</v>
      </c>
      <c r="N1063" s="60">
        <f t="shared" si="189"/>
        <v>72.5</v>
      </c>
      <c r="O1063" s="61">
        <f t="shared" si="189"/>
        <v>240</v>
      </c>
      <c r="P1063" s="61">
        <f t="shared" si="189"/>
        <v>110</v>
      </c>
      <c r="Q1063" s="61">
        <f t="shared" si="189"/>
        <v>245</v>
      </c>
      <c r="R1063" s="61">
        <f t="shared" si="189"/>
        <v>100</v>
      </c>
      <c r="S1063" s="60">
        <f t="shared" si="189"/>
        <v>695</v>
      </c>
      <c r="T1063" s="60">
        <f t="shared" si="189"/>
        <v>33.333333333333336</v>
      </c>
      <c r="U1063" s="57"/>
      <c r="V1063" s="57"/>
      <c r="W1063" s="57"/>
      <c r="X1063" s="57"/>
      <c r="Y1063" s="57"/>
      <c r="Z1063" s="57"/>
      <c r="AA1063" s="57"/>
      <c r="AB1063" s="57"/>
      <c r="AC1063" s="57"/>
      <c r="AD1063" s="57"/>
    </row>
    <row r="1064" spans="1:30" ht="15">
      <c r="A1064" s="11">
        <v>2021</v>
      </c>
      <c r="B1064" s="11">
        <f t="shared" si="179"/>
        <v>365</v>
      </c>
      <c r="C1064" s="60">
        <f t="shared" ref="C1064:T1064" si="190">AVERAGE(C96:C107)</f>
        <v>154.75825</v>
      </c>
      <c r="D1064" s="60">
        <f t="shared" si="190"/>
        <v>281.0162499999999</v>
      </c>
      <c r="E1064" s="60">
        <f t="shared" si="190"/>
        <v>109.1005</v>
      </c>
      <c r="F1064" s="60">
        <f t="shared" si="190"/>
        <v>57.041666666666664</v>
      </c>
      <c r="G1064" s="60">
        <f t="shared" si="190"/>
        <v>40</v>
      </c>
      <c r="H1064" s="60">
        <f t="shared" si="190"/>
        <v>174.58333333333334</v>
      </c>
      <c r="I1064" s="60">
        <f t="shared" si="190"/>
        <v>0</v>
      </c>
      <c r="J1064" s="60">
        <f t="shared" si="190"/>
        <v>100</v>
      </c>
      <c r="K1064" s="60">
        <f t="shared" si="190"/>
        <v>300</v>
      </c>
      <c r="L1064" s="60">
        <f t="shared" si="190"/>
        <v>1216.5</v>
      </c>
      <c r="M1064" s="62">
        <f t="shared" si="190"/>
        <v>600</v>
      </c>
      <c r="N1064" s="60">
        <f t="shared" si="190"/>
        <v>72.5</v>
      </c>
      <c r="O1064" s="61">
        <f t="shared" si="190"/>
        <v>240</v>
      </c>
      <c r="P1064" s="61">
        <f t="shared" si="190"/>
        <v>110</v>
      </c>
      <c r="Q1064" s="61">
        <f t="shared" si="190"/>
        <v>245</v>
      </c>
      <c r="R1064" s="61">
        <f t="shared" si="190"/>
        <v>100</v>
      </c>
      <c r="S1064" s="60">
        <f t="shared" si="190"/>
        <v>695</v>
      </c>
      <c r="T1064" s="60">
        <f t="shared" si="190"/>
        <v>33.333333333333336</v>
      </c>
      <c r="U1064" s="57"/>
      <c r="V1064" s="57"/>
      <c r="W1064" s="57"/>
      <c r="X1064" s="57"/>
      <c r="Y1064" s="57"/>
      <c r="Z1064" s="57"/>
      <c r="AA1064" s="57"/>
      <c r="AB1064" s="57"/>
      <c r="AC1064" s="57"/>
      <c r="AD1064" s="57"/>
    </row>
    <row r="1065" spans="1:30" ht="15">
      <c r="A1065" s="11">
        <v>2022</v>
      </c>
      <c r="B1065" s="11">
        <f t="shared" si="179"/>
        <v>365</v>
      </c>
      <c r="C1065" s="60">
        <f t="shared" ref="C1065:T1065" si="191">AVERAGE(C108:C119)</f>
        <v>154.75825</v>
      </c>
      <c r="D1065" s="60">
        <f t="shared" si="191"/>
        <v>281.0162499999999</v>
      </c>
      <c r="E1065" s="60">
        <f t="shared" si="191"/>
        <v>109.1005</v>
      </c>
      <c r="F1065" s="60">
        <f t="shared" si="191"/>
        <v>57.041666666666664</v>
      </c>
      <c r="G1065" s="60">
        <f t="shared" si="191"/>
        <v>40</v>
      </c>
      <c r="H1065" s="60">
        <f t="shared" si="191"/>
        <v>174.58333333333334</v>
      </c>
      <c r="I1065" s="60">
        <f t="shared" si="191"/>
        <v>0</v>
      </c>
      <c r="J1065" s="60">
        <f t="shared" si="191"/>
        <v>100</v>
      </c>
      <c r="K1065" s="60">
        <f t="shared" si="191"/>
        <v>300</v>
      </c>
      <c r="L1065" s="60">
        <f t="shared" si="191"/>
        <v>1216.5</v>
      </c>
      <c r="M1065" s="62">
        <f t="shared" si="191"/>
        <v>600</v>
      </c>
      <c r="N1065" s="60">
        <f t="shared" si="191"/>
        <v>72.5</v>
      </c>
      <c r="O1065" s="61">
        <f t="shared" si="191"/>
        <v>240</v>
      </c>
      <c r="P1065" s="61">
        <f t="shared" si="191"/>
        <v>110</v>
      </c>
      <c r="Q1065" s="61">
        <f t="shared" si="191"/>
        <v>245</v>
      </c>
      <c r="R1065" s="61">
        <f t="shared" si="191"/>
        <v>100</v>
      </c>
      <c r="S1065" s="60">
        <f t="shared" si="191"/>
        <v>695</v>
      </c>
      <c r="T1065" s="60">
        <f t="shared" si="191"/>
        <v>33.333333333333336</v>
      </c>
      <c r="U1065" s="57"/>
      <c r="V1065" s="57"/>
      <c r="W1065" s="57"/>
      <c r="X1065" s="57"/>
      <c r="Y1065" s="57"/>
      <c r="Z1065" s="57"/>
      <c r="AA1065" s="57"/>
      <c r="AB1065" s="57"/>
      <c r="AC1065" s="57"/>
      <c r="AD1065" s="57"/>
    </row>
    <row r="1066" spans="1:30" ht="15">
      <c r="A1066" s="11">
        <v>2023</v>
      </c>
      <c r="B1066" s="11">
        <f t="shared" si="179"/>
        <v>365</v>
      </c>
      <c r="C1066" s="60">
        <f t="shared" ref="C1066:T1066" si="192">AVERAGE(C120:C131)</f>
        <v>154.75825</v>
      </c>
      <c r="D1066" s="60">
        <f t="shared" si="192"/>
        <v>281.0162499999999</v>
      </c>
      <c r="E1066" s="60">
        <f t="shared" si="192"/>
        <v>109.1005</v>
      </c>
      <c r="F1066" s="60">
        <f t="shared" si="192"/>
        <v>57.041666666666664</v>
      </c>
      <c r="G1066" s="60">
        <f t="shared" si="192"/>
        <v>40</v>
      </c>
      <c r="H1066" s="60">
        <f t="shared" si="192"/>
        <v>174.58333333333334</v>
      </c>
      <c r="I1066" s="60">
        <f t="shared" si="192"/>
        <v>0</v>
      </c>
      <c r="J1066" s="60">
        <f t="shared" si="192"/>
        <v>100</v>
      </c>
      <c r="K1066" s="60">
        <f t="shared" si="192"/>
        <v>300</v>
      </c>
      <c r="L1066" s="60">
        <f t="shared" si="192"/>
        <v>1216.5</v>
      </c>
      <c r="M1066" s="62">
        <f t="shared" si="192"/>
        <v>600</v>
      </c>
      <c r="N1066" s="60">
        <f t="shared" si="192"/>
        <v>72.5</v>
      </c>
      <c r="O1066" s="61">
        <f t="shared" si="192"/>
        <v>240</v>
      </c>
      <c r="P1066" s="61">
        <f t="shared" si="192"/>
        <v>110</v>
      </c>
      <c r="Q1066" s="61">
        <f t="shared" si="192"/>
        <v>245</v>
      </c>
      <c r="R1066" s="61">
        <f t="shared" si="192"/>
        <v>100</v>
      </c>
      <c r="S1066" s="60">
        <f t="shared" si="192"/>
        <v>695</v>
      </c>
      <c r="T1066" s="60">
        <f t="shared" si="192"/>
        <v>33.333333333333336</v>
      </c>
      <c r="U1066" s="57"/>
      <c r="V1066" s="57"/>
      <c r="W1066" s="57"/>
      <c r="X1066" s="57"/>
      <c r="Y1066" s="57"/>
      <c r="Z1066" s="57"/>
      <c r="AA1066" s="57"/>
      <c r="AB1066" s="57"/>
      <c r="AC1066" s="57"/>
      <c r="AD1066" s="57"/>
    </row>
    <row r="1067" spans="1:30" ht="15">
      <c r="A1067" s="11">
        <v>2024</v>
      </c>
      <c r="B1067" s="11">
        <f t="shared" si="179"/>
        <v>366</v>
      </c>
      <c r="C1067" s="60">
        <f t="shared" ref="C1067:T1067" si="193">AVERAGE(C132:C143)</f>
        <v>154.75825</v>
      </c>
      <c r="D1067" s="60">
        <f t="shared" si="193"/>
        <v>281.0162499999999</v>
      </c>
      <c r="E1067" s="60">
        <f t="shared" si="193"/>
        <v>109.1005</v>
      </c>
      <c r="F1067" s="60">
        <f t="shared" si="193"/>
        <v>57.041666666666664</v>
      </c>
      <c r="G1067" s="60">
        <f t="shared" si="193"/>
        <v>40</v>
      </c>
      <c r="H1067" s="60">
        <f t="shared" si="193"/>
        <v>174.58333333333334</v>
      </c>
      <c r="I1067" s="60">
        <f t="shared" si="193"/>
        <v>0</v>
      </c>
      <c r="J1067" s="60">
        <f t="shared" si="193"/>
        <v>100</v>
      </c>
      <c r="K1067" s="60">
        <f t="shared" si="193"/>
        <v>300</v>
      </c>
      <c r="L1067" s="60">
        <f t="shared" si="193"/>
        <v>1216.5</v>
      </c>
      <c r="M1067" s="62">
        <f t="shared" si="193"/>
        <v>600</v>
      </c>
      <c r="N1067" s="60">
        <f t="shared" si="193"/>
        <v>72.5</v>
      </c>
      <c r="O1067" s="61">
        <f t="shared" si="193"/>
        <v>240</v>
      </c>
      <c r="P1067" s="61">
        <f t="shared" si="193"/>
        <v>110</v>
      </c>
      <c r="Q1067" s="61">
        <f t="shared" si="193"/>
        <v>245</v>
      </c>
      <c r="R1067" s="61">
        <f t="shared" si="193"/>
        <v>100</v>
      </c>
      <c r="S1067" s="60">
        <f t="shared" si="193"/>
        <v>695</v>
      </c>
      <c r="T1067" s="60">
        <f t="shared" si="193"/>
        <v>33.333333333333336</v>
      </c>
      <c r="U1067" s="57"/>
      <c r="V1067" s="57"/>
      <c r="W1067" s="57"/>
      <c r="X1067" s="57"/>
      <c r="Y1067" s="57"/>
      <c r="Z1067" s="57"/>
      <c r="AA1067" s="57"/>
      <c r="AB1067" s="57"/>
      <c r="AC1067" s="57"/>
      <c r="AD1067" s="57"/>
    </row>
    <row r="1068" spans="1:30" ht="15">
      <c r="A1068" s="11">
        <v>2025</v>
      </c>
      <c r="B1068" s="11">
        <f t="shared" si="179"/>
        <v>365</v>
      </c>
      <c r="C1068" s="60">
        <f t="shared" ref="C1068:T1068" si="194">AVERAGE(C144:C155)</f>
        <v>154.75825</v>
      </c>
      <c r="D1068" s="60">
        <f t="shared" si="194"/>
        <v>281.0162499999999</v>
      </c>
      <c r="E1068" s="60">
        <f t="shared" si="194"/>
        <v>109.1005</v>
      </c>
      <c r="F1068" s="60">
        <f t="shared" si="194"/>
        <v>57.041666666666664</v>
      </c>
      <c r="G1068" s="60">
        <f t="shared" si="194"/>
        <v>40</v>
      </c>
      <c r="H1068" s="60">
        <f t="shared" si="194"/>
        <v>174.58333333333334</v>
      </c>
      <c r="I1068" s="60">
        <f t="shared" si="194"/>
        <v>0</v>
      </c>
      <c r="J1068" s="60">
        <f t="shared" si="194"/>
        <v>100</v>
      </c>
      <c r="K1068" s="60">
        <f t="shared" si="194"/>
        <v>300</v>
      </c>
      <c r="L1068" s="60">
        <f t="shared" si="194"/>
        <v>1216.5</v>
      </c>
      <c r="M1068" s="62">
        <f t="shared" si="194"/>
        <v>600</v>
      </c>
      <c r="N1068" s="60">
        <f t="shared" si="194"/>
        <v>72.5</v>
      </c>
      <c r="O1068" s="61">
        <f t="shared" si="194"/>
        <v>240</v>
      </c>
      <c r="P1068" s="61">
        <f t="shared" si="194"/>
        <v>110</v>
      </c>
      <c r="Q1068" s="61">
        <f t="shared" si="194"/>
        <v>245</v>
      </c>
      <c r="R1068" s="61">
        <f t="shared" si="194"/>
        <v>100</v>
      </c>
      <c r="S1068" s="60">
        <f t="shared" si="194"/>
        <v>695</v>
      </c>
      <c r="T1068" s="60">
        <f t="shared" si="194"/>
        <v>33.333333333333336</v>
      </c>
      <c r="U1068" s="57"/>
      <c r="V1068" s="57"/>
      <c r="W1068" s="57"/>
      <c r="X1068" s="57"/>
      <c r="Y1068" s="57"/>
      <c r="Z1068" s="57"/>
      <c r="AA1068" s="57"/>
      <c r="AB1068" s="57"/>
      <c r="AC1068" s="57"/>
      <c r="AD1068" s="57"/>
    </row>
    <row r="1069" spans="1:30" ht="15">
      <c r="A1069" s="11">
        <v>2026</v>
      </c>
      <c r="B1069" s="11">
        <f t="shared" si="179"/>
        <v>365</v>
      </c>
      <c r="C1069" s="60">
        <f t="shared" ref="C1069:T1069" si="195">AVERAGE(C156:C167)</f>
        <v>154.75825</v>
      </c>
      <c r="D1069" s="60">
        <f t="shared" si="195"/>
        <v>281.0162499999999</v>
      </c>
      <c r="E1069" s="60">
        <f t="shared" si="195"/>
        <v>109.1005</v>
      </c>
      <c r="F1069" s="60">
        <f t="shared" si="195"/>
        <v>57.041666666666664</v>
      </c>
      <c r="G1069" s="60">
        <f t="shared" si="195"/>
        <v>40</v>
      </c>
      <c r="H1069" s="60">
        <f t="shared" si="195"/>
        <v>174.58333333333334</v>
      </c>
      <c r="I1069" s="60">
        <f t="shared" si="195"/>
        <v>0</v>
      </c>
      <c r="J1069" s="60">
        <f t="shared" si="195"/>
        <v>100</v>
      </c>
      <c r="K1069" s="60">
        <f t="shared" si="195"/>
        <v>300</v>
      </c>
      <c r="L1069" s="60">
        <f t="shared" si="195"/>
        <v>1216.5</v>
      </c>
      <c r="M1069" s="62">
        <f t="shared" si="195"/>
        <v>600</v>
      </c>
      <c r="N1069" s="60">
        <f t="shared" si="195"/>
        <v>72.5</v>
      </c>
      <c r="O1069" s="61">
        <f t="shared" si="195"/>
        <v>240</v>
      </c>
      <c r="P1069" s="61">
        <f t="shared" si="195"/>
        <v>110</v>
      </c>
      <c r="Q1069" s="61">
        <f t="shared" si="195"/>
        <v>245</v>
      </c>
      <c r="R1069" s="61">
        <f t="shared" si="195"/>
        <v>100</v>
      </c>
      <c r="S1069" s="60">
        <f t="shared" si="195"/>
        <v>695</v>
      </c>
      <c r="T1069" s="60">
        <f t="shared" si="195"/>
        <v>33.333333333333336</v>
      </c>
      <c r="U1069" s="57"/>
      <c r="V1069" s="57"/>
      <c r="W1069" s="57"/>
      <c r="X1069" s="57"/>
      <c r="Y1069" s="57"/>
      <c r="Z1069" s="57"/>
      <c r="AA1069" s="57"/>
      <c r="AB1069" s="57"/>
      <c r="AC1069" s="57"/>
      <c r="AD1069" s="57"/>
    </row>
    <row r="1070" spans="1:30" ht="15">
      <c r="A1070" s="11">
        <v>2027</v>
      </c>
      <c r="B1070" s="11">
        <f t="shared" si="179"/>
        <v>365</v>
      </c>
      <c r="C1070" s="60">
        <f t="shared" ref="C1070:T1070" si="196">AVERAGE(C168:C179)</f>
        <v>154.75825</v>
      </c>
      <c r="D1070" s="60">
        <f t="shared" si="196"/>
        <v>281.0162499999999</v>
      </c>
      <c r="E1070" s="60">
        <f t="shared" si="196"/>
        <v>109.1005</v>
      </c>
      <c r="F1070" s="60">
        <f t="shared" si="196"/>
        <v>57.041666666666664</v>
      </c>
      <c r="G1070" s="60">
        <f t="shared" si="196"/>
        <v>40</v>
      </c>
      <c r="H1070" s="60">
        <f t="shared" si="196"/>
        <v>174.58333333333334</v>
      </c>
      <c r="I1070" s="60">
        <f t="shared" si="196"/>
        <v>0</v>
      </c>
      <c r="J1070" s="60">
        <f t="shared" si="196"/>
        <v>100</v>
      </c>
      <c r="K1070" s="60">
        <f t="shared" si="196"/>
        <v>300</v>
      </c>
      <c r="L1070" s="60">
        <f t="shared" si="196"/>
        <v>1216.5</v>
      </c>
      <c r="M1070" s="62">
        <f t="shared" si="196"/>
        <v>600</v>
      </c>
      <c r="N1070" s="60">
        <f t="shared" si="196"/>
        <v>72.5</v>
      </c>
      <c r="O1070" s="61">
        <f t="shared" si="196"/>
        <v>240</v>
      </c>
      <c r="P1070" s="61">
        <f t="shared" si="196"/>
        <v>110</v>
      </c>
      <c r="Q1070" s="61">
        <f t="shared" si="196"/>
        <v>245</v>
      </c>
      <c r="R1070" s="61">
        <f t="shared" si="196"/>
        <v>100</v>
      </c>
      <c r="S1070" s="60">
        <f t="shared" si="196"/>
        <v>695</v>
      </c>
      <c r="T1070" s="60">
        <f t="shared" si="196"/>
        <v>33.333333333333336</v>
      </c>
      <c r="U1070" s="57"/>
      <c r="V1070" s="57"/>
      <c r="W1070" s="57"/>
      <c r="X1070" s="57"/>
      <c r="Y1070" s="57"/>
      <c r="Z1070" s="57"/>
      <c r="AA1070" s="57"/>
      <c r="AB1070" s="57"/>
      <c r="AC1070" s="57"/>
      <c r="AD1070" s="57"/>
    </row>
    <row r="1071" spans="1:30" ht="15">
      <c r="A1071" s="11">
        <v>2028</v>
      </c>
      <c r="B1071" s="11">
        <f t="shared" si="179"/>
        <v>366</v>
      </c>
      <c r="C1071" s="60">
        <f t="shared" ref="C1071:T1071" si="197">AVERAGE(C180:C191)</f>
        <v>154.75825</v>
      </c>
      <c r="D1071" s="60">
        <f t="shared" si="197"/>
        <v>281.0162499999999</v>
      </c>
      <c r="E1071" s="60">
        <f t="shared" si="197"/>
        <v>109.1005</v>
      </c>
      <c r="F1071" s="60">
        <f t="shared" si="197"/>
        <v>57.041666666666664</v>
      </c>
      <c r="G1071" s="60">
        <f t="shared" si="197"/>
        <v>40</v>
      </c>
      <c r="H1071" s="60">
        <f t="shared" si="197"/>
        <v>174.58333333333334</v>
      </c>
      <c r="I1071" s="60">
        <f t="shared" si="197"/>
        <v>0</v>
      </c>
      <c r="J1071" s="60">
        <f t="shared" si="197"/>
        <v>100</v>
      </c>
      <c r="K1071" s="60">
        <f t="shared" si="197"/>
        <v>300</v>
      </c>
      <c r="L1071" s="60">
        <f t="shared" si="197"/>
        <v>1216.5</v>
      </c>
      <c r="M1071" s="62">
        <f t="shared" si="197"/>
        <v>600</v>
      </c>
      <c r="N1071" s="60">
        <f t="shared" si="197"/>
        <v>72.5</v>
      </c>
      <c r="O1071" s="61">
        <f t="shared" si="197"/>
        <v>240</v>
      </c>
      <c r="P1071" s="61">
        <f t="shared" si="197"/>
        <v>110</v>
      </c>
      <c r="Q1071" s="61">
        <f t="shared" si="197"/>
        <v>245</v>
      </c>
      <c r="R1071" s="61">
        <f t="shared" si="197"/>
        <v>100</v>
      </c>
      <c r="S1071" s="60">
        <f t="shared" si="197"/>
        <v>695</v>
      </c>
      <c r="T1071" s="60">
        <f t="shared" si="197"/>
        <v>33.333333333333336</v>
      </c>
      <c r="U1071" s="57"/>
      <c r="V1071" s="57"/>
      <c r="W1071" s="57"/>
      <c r="X1071" s="57"/>
      <c r="Y1071" s="57"/>
      <c r="Z1071" s="57"/>
      <c r="AA1071" s="57"/>
      <c r="AB1071" s="57"/>
      <c r="AC1071" s="57"/>
      <c r="AD1071" s="57"/>
    </row>
    <row r="1072" spans="1:30" ht="15">
      <c r="A1072" s="11">
        <v>2029</v>
      </c>
      <c r="B1072" s="11">
        <f t="shared" si="179"/>
        <v>365</v>
      </c>
      <c r="C1072" s="60">
        <f t="shared" ref="C1072:T1072" si="198">AVERAGE(C192:C203)</f>
        <v>154.75825</v>
      </c>
      <c r="D1072" s="60">
        <f t="shared" si="198"/>
        <v>281.0162499999999</v>
      </c>
      <c r="E1072" s="60">
        <f t="shared" si="198"/>
        <v>109.1005</v>
      </c>
      <c r="F1072" s="60">
        <f t="shared" si="198"/>
        <v>57.041666666666664</v>
      </c>
      <c r="G1072" s="60">
        <f t="shared" si="198"/>
        <v>40</v>
      </c>
      <c r="H1072" s="60">
        <f t="shared" si="198"/>
        <v>174.58333333333334</v>
      </c>
      <c r="I1072" s="60">
        <f t="shared" si="198"/>
        <v>0</v>
      </c>
      <c r="J1072" s="60">
        <f t="shared" si="198"/>
        <v>100</v>
      </c>
      <c r="K1072" s="60">
        <f t="shared" si="198"/>
        <v>300</v>
      </c>
      <c r="L1072" s="60">
        <f t="shared" si="198"/>
        <v>1216.5</v>
      </c>
      <c r="M1072" s="62">
        <f t="shared" si="198"/>
        <v>600</v>
      </c>
      <c r="N1072" s="60">
        <f t="shared" si="198"/>
        <v>72.5</v>
      </c>
      <c r="O1072" s="61">
        <f t="shared" si="198"/>
        <v>240</v>
      </c>
      <c r="P1072" s="61">
        <f t="shared" si="198"/>
        <v>110</v>
      </c>
      <c r="Q1072" s="61">
        <f t="shared" si="198"/>
        <v>245</v>
      </c>
      <c r="R1072" s="61">
        <f t="shared" si="198"/>
        <v>100</v>
      </c>
      <c r="S1072" s="60">
        <f t="shared" si="198"/>
        <v>695</v>
      </c>
      <c r="T1072" s="60">
        <f t="shared" si="198"/>
        <v>33.333333333333336</v>
      </c>
      <c r="U1072" s="57"/>
      <c r="V1072" s="57"/>
      <c r="W1072" s="57"/>
      <c r="X1072" s="57"/>
      <c r="Y1072" s="57"/>
      <c r="Z1072" s="57"/>
      <c r="AA1072" s="57"/>
      <c r="AB1072" s="57"/>
      <c r="AC1072" s="57"/>
      <c r="AD1072" s="57"/>
    </row>
    <row r="1073" spans="1:30" ht="15">
      <c r="A1073" s="11">
        <v>2030</v>
      </c>
      <c r="B1073" s="11">
        <f t="shared" si="179"/>
        <v>365</v>
      </c>
      <c r="C1073" s="60">
        <f t="shared" ref="C1073:T1073" si="199">AVERAGE(C204:C215)</f>
        <v>154.75825</v>
      </c>
      <c r="D1073" s="60">
        <f t="shared" si="199"/>
        <v>281.0162499999999</v>
      </c>
      <c r="E1073" s="60">
        <f t="shared" si="199"/>
        <v>109.1005</v>
      </c>
      <c r="F1073" s="60">
        <f t="shared" si="199"/>
        <v>57.041666666666664</v>
      </c>
      <c r="G1073" s="60">
        <f t="shared" si="199"/>
        <v>40</v>
      </c>
      <c r="H1073" s="60">
        <f t="shared" si="199"/>
        <v>174.58333333333334</v>
      </c>
      <c r="I1073" s="60">
        <f t="shared" si="199"/>
        <v>0</v>
      </c>
      <c r="J1073" s="60">
        <f t="shared" si="199"/>
        <v>100</v>
      </c>
      <c r="K1073" s="60">
        <f t="shared" si="199"/>
        <v>300</v>
      </c>
      <c r="L1073" s="60">
        <f t="shared" si="199"/>
        <v>1216.5</v>
      </c>
      <c r="M1073" s="62">
        <f t="shared" si="199"/>
        <v>600</v>
      </c>
      <c r="N1073" s="60">
        <f t="shared" si="199"/>
        <v>72.5</v>
      </c>
      <c r="O1073" s="61">
        <f t="shared" si="199"/>
        <v>240</v>
      </c>
      <c r="P1073" s="61">
        <f t="shared" si="199"/>
        <v>110</v>
      </c>
      <c r="Q1073" s="61">
        <f t="shared" si="199"/>
        <v>245</v>
      </c>
      <c r="R1073" s="61">
        <f t="shared" si="199"/>
        <v>100</v>
      </c>
      <c r="S1073" s="60">
        <f t="shared" si="199"/>
        <v>695</v>
      </c>
      <c r="T1073" s="60">
        <f t="shared" si="199"/>
        <v>33.333333333333336</v>
      </c>
      <c r="U1073" s="57"/>
      <c r="V1073" s="57"/>
      <c r="W1073" s="57"/>
      <c r="X1073" s="57"/>
      <c r="Y1073" s="57"/>
      <c r="Z1073" s="57"/>
      <c r="AA1073" s="57"/>
      <c r="AB1073" s="57"/>
      <c r="AC1073" s="57"/>
      <c r="AD1073" s="57"/>
    </row>
    <row r="1074" spans="1:30" ht="15">
      <c r="A1074" s="11">
        <v>2031</v>
      </c>
      <c r="B1074" s="11">
        <f t="shared" si="179"/>
        <v>365</v>
      </c>
      <c r="C1074" s="60">
        <f t="shared" ref="C1074:T1074" si="200">AVERAGE(C216:C227)</f>
        <v>154.75825</v>
      </c>
      <c r="D1074" s="60">
        <f t="shared" si="200"/>
        <v>281.0162499999999</v>
      </c>
      <c r="E1074" s="60">
        <f t="shared" si="200"/>
        <v>109.1005</v>
      </c>
      <c r="F1074" s="60">
        <f t="shared" si="200"/>
        <v>57.041666666666664</v>
      </c>
      <c r="G1074" s="60">
        <f t="shared" si="200"/>
        <v>40</v>
      </c>
      <c r="H1074" s="60">
        <f t="shared" si="200"/>
        <v>174.58333333333334</v>
      </c>
      <c r="I1074" s="60">
        <f t="shared" si="200"/>
        <v>0</v>
      </c>
      <c r="J1074" s="60">
        <f t="shared" si="200"/>
        <v>100</v>
      </c>
      <c r="K1074" s="60">
        <f t="shared" si="200"/>
        <v>300</v>
      </c>
      <c r="L1074" s="60">
        <f t="shared" si="200"/>
        <v>1216.5</v>
      </c>
      <c r="M1074" s="62">
        <f t="shared" si="200"/>
        <v>600</v>
      </c>
      <c r="N1074" s="60">
        <f t="shared" si="200"/>
        <v>72.5</v>
      </c>
      <c r="O1074" s="61">
        <f t="shared" si="200"/>
        <v>240</v>
      </c>
      <c r="P1074" s="61">
        <f t="shared" si="200"/>
        <v>110</v>
      </c>
      <c r="Q1074" s="61">
        <f t="shared" si="200"/>
        <v>245</v>
      </c>
      <c r="R1074" s="61">
        <f t="shared" si="200"/>
        <v>100</v>
      </c>
      <c r="S1074" s="60">
        <f t="shared" si="200"/>
        <v>695</v>
      </c>
      <c r="T1074" s="60">
        <f t="shared" si="200"/>
        <v>33.333333333333336</v>
      </c>
      <c r="U1074" s="57"/>
      <c r="V1074" s="57"/>
      <c r="W1074" s="57"/>
      <c r="X1074" s="57"/>
      <c r="Y1074" s="57"/>
      <c r="Z1074" s="57"/>
      <c r="AA1074" s="57"/>
      <c r="AB1074" s="57"/>
      <c r="AC1074" s="57"/>
      <c r="AD1074" s="57"/>
    </row>
    <row r="1075" spans="1:30" ht="15">
      <c r="A1075" s="11">
        <v>2032</v>
      </c>
      <c r="B1075" s="11">
        <f t="shared" si="179"/>
        <v>366</v>
      </c>
      <c r="C1075" s="60">
        <f t="shared" ref="C1075:T1075" si="201">AVERAGE(C228:C239)</f>
        <v>154.75825</v>
      </c>
      <c r="D1075" s="60">
        <f t="shared" si="201"/>
        <v>281.0162499999999</v>
      </c>
      <c r="E1075" s="60">
        <f t="shared" si="201"/>
        <v>109.1005</v>
      </c>
      <c r="F1075" s="60">
        <f t="shared" si="201"/>
        <v>57.041666666666664</v>
      </c>
      <c r="G1075" s="60">
        <f t="shared" si="201"/>
        <v>40</v>
      </c>
      <c r="H1075" s="60">
        <f t="shared" si="201"/>
        <v>174.58333333333334</v>
      </c>
      <c r="I1075" s="60">
        <f t="shared" si="201"/>
        <v>0</v>
      </c>
      <c r="J1075" s="60">
        <f t="shared" si="201"/>
        <v>100</v>
      </c>
      <c r="K1075" s="60">
        <f t="shared" si="201"/>
        <v>300</v>
      </c>
      <c r="L1075" s="60">
        <f t="shared" si="201"/>
        <v>1216.5</v>
      </c>
      <c r="M1075" s="62">
        <f t="shared" si="201"/>
        <v>600</v>
      </c>
      <c r="N1075" s="60">
        <f t="shared" si="201"/>
        <v>72.5</v>
      </c>
      <c r="O1075" s="61">
        <f t="shared" si="201"/>
        <v>240</v>
      </c>
      <c r="P1075" s="61">
        <f t="shared" si="201"/>
        <v>110</v>
      </c>
      <c r="Q1075" s="61">
        <f t="shared" si="201"/>
        <v>245</v>
      </c>
      <c r="R1075" s="61">
        <f t="shared" si="201"/>
        <v>100</v>
      </c>
      <c r="S1075" s="60">
        <f t="shared" si="201"/>
        <v>695</v>
      </c>
      <c r="T1075" s="60">
        <f t="shared" si="201"/>
        <v>33.333333333333336</v>
      </c>
      <c r="U1075" s="57"/>
      <c r="V1075" s="57"/>
      <c r="W1075" s="57"/>
      <c r="X1075" s="57"/>
      <c r="Y1075" s="57"/>
      <c r="Z1075" s="57"/>
      <c r="AA1075" s="57"/>
      <c r="AB1075" s="57"/>
      <c r="AC1075" s="57"/>
      <c r="AD1075" s="57"/>
    </row>
    <row r="1076" spans="1:30" ht="15">
      <c r="A1076" s="11">
        <v>2033</v>
      </c>
      <c r="B1076" s="11">
        <f t="shared" si="179"/>
        <v>365</v>
      </c>
      <c r="C1076" s="60">
        <f t="shared" ref="C1076:T1076" si="202">AVERAGE(C240:C251)</f>
        <v>154.75825</v>
      </c>
      <c r="D1076" s="60">
        <f t="shared" si="202"/>
        <v>281.0162499999999</v>
      </c>
      <c r="E1076" s="60">
        <f t="shared" si="202"/>
        <v>109.1005</v>
      </c>
      <c r="F1076" s="60">
        <f t="shared" si="202"/>
        <v>57.041666666666664</v>
      </c>
      <c r="G1076" s="60">
        <f t="shared" si="202"/>
        <v>40</v>
      </c>
      <c r="H1076" s="60">
        <f t="shared" si="202"/>
        <v>174.58333333333334</v>
      </c>
      <c r="I1076" s="60">
        <f t="shared" si="202"/>
        <v>0</v>
      </c>
      <c r="J1076" s="60">
        <f t="shared" si="202"/>
        <v>100</v>
      </c>
      <c r="K1076" s="60">
        <f t="shared" si="202"/>
        <v>300</v>
      </c>
      <c r="L1076" s="60">
        <f t="shared" si="202"/>
        <v>1216.5</v>
      </c>
      <c r="M1076" s="62">
        <f t="shared" si="202"/>
        <v>600</v>
      </c>
      <c r="N1076" s="60">
        <f t="shared" si="202"/>
        <v>72.5</v>
      </c>
      <c r="O1076" s="61">
        <f t="shared" si="202"/>
        <v>240</v>
      </c>
      <c r="P1076" s="61">
        <f t="shared" si="202"/>
        <v>110</v>
      </c>
      <c r="Q1076" s="61">
        <f t="shared" si="202"/>
        <v>245</v>
      </c>
      <c r="R1076" s="61">
        <f t="shared" si="202"/>
        <v>100</v>
      </c>
      <c r="S1076" s="60">
        <f t="shared" si="202"/>
        <v>695</v>
      </c>
      <c r="T1076" s="60">
        <f t="shared" si="202"/>
        <v>33.333333333333336</v>
      </c>
      <c r="U1076" s="57"/>
      <c r="V1076" s="57"/>
      <c r="W1076" s="57"/>
      <c r="X1076" s="57"/>
      <c r="Y1076" s="57"/>
      <c r="Z1076" s="57"/>
      <c r="AA1076" s="57"/>
      <c r="AB1076" s="57"/>
      <c r="AC1076" s="57"/>
      <c r="AD1076" s="57"/>
    </row>
    <row r="1077" spans="1:30" ht="15">
      <c r="A1077" s="11">
        <v>2034</v>
      </c>
      <c r="B1077" s="11">
        <f t="shared" si="179"/>
        <v>365</v>
      </c>
      <c r="C1077" s="60">
        <f t="shared" ref="C1077:T1077" si="203">AVERAGE(C252:C263)</f>
        <v>154.75825</v>
      </c>
      <c r="D1077" s="60">
        <f t="shared" si="203"/>
        <v>281.0162499999999</v>
      </c>
      <c r="E1077" s="60">
        <f t="shared" si="203"/>
        <v>109.1005</v>
      </c>
      <c r="F1077" s="60">
        <f t="shared" si="203"/>
        <v>57.041666666666664</v>
      </c>
      <c r="G1077" s="60">
        <f t="shared" si="203"/>
        <v>40</v>
      </c>
      <c r="H1077" s="60">
        <f t="shared" si="203"/>
        <v>174.58333333333334</v>
      </c>
      <c r="I1077" s="60">
        <f t="shared" si="203"/>
        <v>0</v>
      </c>
      <c r="J1077" s="60">
        <f t="shared" si="203"/>
        <v>100</v>
      </c>
      <c r="K1077" s="60">
        <f t="shared" si="203"/>
        <v>300</v>
      </c>
      <c r="L1077" s="60">
        <f t="shared" si="203"/>
        <v>1216.5</v>
      </c>
      <c r="M1077" s="62">
        <f t="shared" si="203"/>
        <v>600</v>
      </c>
      <c r="N1077" s="60">
        <f t="shared" si="203"/>
        <v>72.5</v>
      </c>
      <c r="O1077" s="61">
        <f t="shared" si="203"/>
        <v>240</v>
      </c>
      <c r="P1077" s="61">
        <f t="shared" si="203"/>
        <v>110</v>
      </c>
      <c r="Q1077" s="61">
        <f t="shared" si="203"/>
        <v>245</v>
      </c>
      <c r="R1077" s="61">
        <f t="shared" si="203"/>
        <v>100</v>
      </c>
      <c r="S1077" s="60">
        <f t="shared" si="203"/>
        <v>695</v>
      </c>
      <c r="T1077" s="60">
        <f t="shared" si="203"/>
        <v>33.333333333333336</v>
      </c>
      <c r="U1077" s="57"/>
      <c r="V1077" s="57"/>
      <c r="W1077" s="57"/>
      <c r="X1077" s="57"/>
      <c r="Y1077" s="57"/>
      <c r="Z1077" s="57"/>
      <c r="AA1077" s="57"/>
      <c r="AB1077" s="57"/>
      <c r="AC1077" s="57"/>
      <c r="AD1077" s="57"/>
    </row>
    <row r="1078" spans="1:30" ht="15">
      <c r="A1078" s="11">
        <v>2035</v>
      </c>
      <c r="B1078" s="11">
        <f t="shared" si="179"/>
        <v>365</v>
      </c>
      <c r="C1078" s="60">
        <f t="shared" ref="C1078:T1078" si="204">AVERAGE(C264:C275)</f>
        <v>154.75825</v>
      </c>
      <c r="D1078" s="60">
        <f t="shared" si="204"/>
        <v>281.0162499999999</v>
      </c>
      <c r="E1078" s="60">
        <f t="shared" si="204"/>
        <v>109.1005</v>
      </c>
      <c r="F1078" s="60">
        <f t="shared" si="204"/>
        <v>57.041666666666664</v>
      </c>
      <c r="G1078" s="60">
        <f t="shared" si="204"/>
        <v>40</v>
      </c>
      <c r="H1078" s="60">
        <f t="shared" si="204"/>
        <v>174.58333333333334</v>
      </c>
      <c r="I1078" s="60">
        <f t="shared" si="204"/>
        <v>0</v>
      </c>
      <c r="J1078" s="60">
        <f t="shared" si="204"/>
        <v>100</v>
      </c>
      <c r="K1078" s="60">
        <f t="shared" si="204"/>
        <v>300</v>
      </c>
      <c r="L1078" s="60">
        <f t="shared" si="204"/>
        <v>1216.5</v>
      </c>
      <c r="M1078" s="62">
        <f t="shared" si="204"/>
        <v>600</v>
      </c>
      <c r="N1078" s="60">
        <f t="shared" si="204"/>
        <v>72.5</v>
      </c>
      <c r="O1078" s="61">
        <f t="shared" si="204"/>
        <v>240</v>
      </c>
      <c r="P1078" s="61">
        <f t="shared" si="204"/>
        <v>110</v>
      </c>
      <c r="Q1078" s="61">
        <f t="shared" si="204"/>
        <v>245</v>
      </c>
      <c r="R1078" s="61">
        <f t="shared" si="204"/>
        <v>100</v>
      </c>
      <c r="S1078" s="60">
        <f t="shared" si="204"/>
        <v>695</v>
      </c>
      <c r="T1078" s="60">
        <f t="shared" si="204"/>
        <v>33.333333333333336</v>
      </c>
      <c r="U1078" s="57"/>
      <c r="V1078" s="57"/>
      <c r="W1078" s="57"/>
      <c r="X1078" s="57"/>
      <c r="Y1078" s="57"/>
      <c r="Z1078" s="57"/>
      <c r="AA1078" s="57"/>
      <c r="AB1078" s="57"/>
      <c r="AC1078" s="57"/>
      <c r="AD1078" s="57"/>
    </row>
    <row r="1079" spans="1:30" ht="15">
      <c r="A1079" s="11">
        <v>2036</v>
      </c>
      <c r="B1079" s="11">
        <f t="shared" si="179"/>
        <v>366</v>
      </c>
      <c r="C1079" s="60">
        <f t="shared" ref="C1079:T1079" si="205">AVERAGE(C276:C287)</f>
        <v>154.75825</v>
      </c>
      <c r="D1079" s="60">
        <f t="shared" si="205"/>
        <v>281.0162499999999</v>
      </c>
      <c r="E1079" s="60">
        <f t="shared" si="205"/>
        <v>109.1005</v>
      </c>
      <c r="F1079" s="60">
        <f t="shared" si="205"/>
        <v>57.041666666666664</v>
      </c>
      <c r="G1079" s="60">
        <f t="shared" si="205"/>
        <v>40</v>
      </c>
      <c r="H1079" s="60">
        <f t="shared" si="205"/>
        <v>174.58333333333334</v>
      </c>
      <c r="I1079" s="60">
        <f t="shared" si="205"/>
        <v>0</v>
      </c>
      <c r="J1079" s="60">
        <f t="shared" si="205"/>
        <v>100</v>
      </c>
      <c r="K1079" s="60">
        <f t="shared" si="205"/>
        <v>300</v>
      </c>
      <c r="L1079" s="60">
        <f t="shared" si="205"/>
        <v>1216.5</v>
      </c>
      <c r="M1079" s="62">
        <f t="shared" si="205"/>
        <v>600</v>
      </c>
      <c r="N1079" s="60">
        <f t="shared" si="205"/>
        <v>72.5</v>
      </c>
      <c r="O1079" s="61">
        <f t="shared" si="205"/>
        <v>240</v>
      </c>
      <c r="P1079" s="61">
        <f t="shared" si="205"/>
        <v>110</v>
      </c>
      <c r="Q1079" s="61">
        <f t="shared" si="205"/>
        <v>245</v>
      </c>
      <c r="R1079" s="61">
        <f t="shared" si="205"/>
        <v>100</v>
      </c>
      <c r="S1079" s="60">
        <f t="shared" si="205"/>
        <v>695</v>
      </c>
      <c r="T1079" s="60">
        <f t="shared" si="205"/>
        <v>33.333333333333336</v>
      </c>
      <c r="U1079" s="57"/>
      <c r="V1079" s="57"/>
      <c r="W1079" s="57"/>
      <c r="X1079" s="57"/>
      <c r="Y1079" s="57"/>
      <c r="Z1079" s="57"/>
      <c r="AA1079" s="57"/>
      <c r="AB1079" s="57"/>
      <c r="AC1079" s="57"/>
      <c r="AD1079" s="57"/>
    </row>
    <row r="1080" spans="1:30" ht="15">
      <c r="A1080" s="11">
        <v>2037</v>
      </c>
      <c r="B1080" s="11">
        <f t="shared" si="179"/>
        <v>365</v>
      </c>
      <c r="C1080" s="60">
        <f t="shared" ref="C1080:T1080" si="206">AVERAGE(C288:C299)</f>
        <v>154.75825</v>
      </c>
      <c r="D1080" s="60">
        <f t="shared" si="206"/>
        <v>281.0162499999999</v>
      </c>
      <c r="E1080" s="60">
        <f t="shared" si="206"/>
        <v>109.1005</v>
      </c>
      <c r="F1080" s="60">
        <f t="shared" si="206"/>
        <v>57.041666666666664</v>
      </c>
      <c r="G1080" s="60">
        <f t="shared" si="206"/>
        <v>40</v>
      </c>
      <c r="H1080" s="60">
        <f t="shared" si="206"/>
        <v>174.58333333333334</v>
      </c>
      <c r="I1080" s="60">
        <f t="shared" si="206"/>
        <v>0</v>
      </c>
      <c r="J1080" s="60">
        <f t="shared" si="206"/>
        <v>100</v>
      </c>
      <c r="K1080" s="60">
        <f t="shared" si="206"/>
        <v>300</v>
      </c>
      <c r="L1080" s="60">
        <f t="shared" si="206"/>
        <v>1216.5</v>
      </c>
      <c r="M1080" s="62">
        <f t="shared" si="206"/>
        <v>600</v>
      </c>
      <c r="N1080" s="60">
        <f t="shared" si="206"/>
        <v>72.5</v>
      </c>
      <c r="O1080" s="61">
        <f t="shared" si="206"/>
        <v>240</v>
      </c>
      <c r="P1080" s="61">
        <f t="shared" si="206"/>
        <v>110</v>
      </c>
      <c r="Q1080" s="61">
        <f t="shared" si="206"/>
        <v>245</v>
      </c>
      <c r="R1080" s="61">
        <f t="shared" si="206"/>
        <v>100</v>
      </c>
      <c r="S1080" s="60">
        <f t="shared" si="206"/>
        <v>695</v>
      </c>
      <c r="T1080" s="60">
        <f t="shared" si="206"/>
        <v>33.333333333333336</v>
      </c>
      <c r="U1080" s="57"/>
      <c r="V1080" s="57"/>
      <c r="W1080" s="57"/>
      <c r="X1080" s="57"/>
      <c r="Y1080" s="57"/>
      <c r="Z1080" s="57"/>
      <c r="AA1080" s="57"/>
      <c r="AB1080" s="57"/>
      <c r="AC1080" s="57"/>
      <c r="AD1080" s="57"/>
    </row>
    <row r="1081" spans="1:30" ht="15">
      <c r="A1081" s="11">
        <f t="shared" ref="A1081:A1112" si="207">A1080+1</f>
        <v>2038</v>
      </c>
      <c r="B1081" s="11">
        <f t="shared" si="179"/>
        <v>365</v>
      </c>
      <c r="C1081" s="56">
        <f t="shared" ref="C1081:T1081" si="208">AVERAGE(C300:C311)</f>
        <v>154.75825</v>
      </c>
      <c r="D1081" s="56">
        <f t="shared" si="208"/>
        <v>281.0162499999999</v>
      </c>
      <c r="E1081" s="56">
        <f t="shared" si="208"/>
        <v>109.1005</v>
      </c>
      <c r="F1081" s="56">
        <f t="shared" si="208"/>
        <v>57.041666666666664</v>
      </c>
      <c r="G1081" s="56">
        <f t="shared" si="208"/>
        <v>40</v>
      </c>
      <c r="H1081" s="56">
        <f t="shared" si="208"/>
        <v>174.58333333333334</v>
      </c>
      <c r="I1081" s="56">
        <f t="shared" si="208"/>
        <v>0</v>
      </c>
      <c r="J1081" s="56">
        <f t="shared" si="208"/>
        <v>100</v>
      </c>
      <c r="K1081" s="56">
        <f t="shared" si="208"/>
        <v>300</v>
      </c>
      <c r="L1081" s="56">
        <f t="shared" si="208"/>
        <v>1216.5</v>
      </c>
      <c r="M1081" s="58">
        <f t="shared" si="208"/>
        <v>600</v>
      </c>
      <c r="N1081" s="56">
        <f t="shared" si="208"/>
        <v>72.5</v>
      </c>
      <c r="O1081" s="59">
        <f t="shared" si="208"/>
        <v>240</v>
      </c>
      <c r="P1081" s="59">
        <f t="shared" si="208"/>
        <v>110</v>
      </c>
      <c r="Q1081" s="59">
        <f t="shared" si="208"/>
        <v>245</v>
      </c>
      <c r="R1081" s="59">
        <f t="shared" si="208"/>
        <v>100</v>
      </c>
      <c r="S1081" s="56">
        <f t="shared" si="208"/>
        <v>695</v>
      </c>
      <c r="T1081" s="56">
        <f t="shared" si="208"/>
        <v>33.333333333333336</v>
      </c>
      <c r="U1081" s="57"/>
      <c r="V1081" s="57"/>
      <c r="W1081" s="57"/>
      <c r="X1081" s="57"/>
      <c r="Y1081" s="57"/>
      <c r="Z1081" s="57"/>
      <c r="AA1081" s="57"/>
      <c r="AB1081" s="57"/>
      <c r="AC1081" s="57"/>
      <c r="AD1081" s="57"/>
    </row>
    <row r="1082" spans="1:30" ht="15">
      <c r="A1082" s="11">
        <f t="shared" si="207"/>
        <v>2039</v>
      </c>
      <c r="B1082" s="11">
        <f t="shared" si="179"/>
        <v>365</v>
      </c>
      <c r="C1082" s="56">
        <f t="shared" ref="C1082:T1082" si="209">AVERAGE(C312:C323)</f>
        <v>154.75825</v>
      </c>
      <c r="D1082" s="56">
        <f t="shared" si="209"/>
        <v>281.0162499999999</v>
      </c>
      <c r="E1082" s="56">
        <f t="shared" si="209"/>
        <v>109.1005</v>
      </c>
      <c r="F1082" s="56">
        <f t="shared" si="209"/>
        <v>57.041666666666664</v>
      </c>
      <c r="G1082" s="56">
        <f t="shared" si="209"/>
        <v>40</v>
      </c>
      <c r="H1082" s="56">
        <f t="shared" si="209"/>
        <v>174.58333333333334</v>
      </c>
      <c r="I1082" s="56">
        <f t="shared" si="209"/>
        <v>0</v>
      </c>
      <c r="J1082" s="56">
        <f t="shared" si="209"/>
        <v>100</v>
      </c>
      <c r="K1082" s="56">
        <f t="shared" si="209"/>
        <v>300</v>
      </c>
      <c r="L1082" s="56">
        <f t="shared" si="209"/>
        <v>1216.5</v>
      </c>
      <c r="M1082" s="58">
        <f t="shared" si="209"/>
        <v>600</v>
      </c>
      <c r="N1082" s="56">
        <f t="shared" si="209"/>
        <v>72.5</v>
      </c>
      <c r="O1082" s="59">
        <f t="shared" si="209"/>
        <v>240</v>
      </c>
      <c r="P1082" s="59">
        <f t="shared" si="209"/>
        <v>110</v>
      </c>
      <c r="Q1082" s="59">
        <f t="shared" si="209"/>
        <v>245</v>
      </c>
      <c r="R1082" s="59">
        <f t="shared" si="209"/>
        <v>100</v>
      </c>
      <c r="S1082" s="56">
        <f t="shared" si="209"/>
        <v>695</v>
      </c>
      <c r="T1082" s="56">
        <f t="shared" si="209"/>
        <v>33.333333333333336</v>
      </c>
      <c r="U1082" s="57"/>
      <c r="V1082" s="57"/>
      <c r="W1082" s="57"/>
      <c r="X1082" s="57"/>
      <c r="Y1082" s="57"/>
      <c r="Z1082" s="57"/>
      <c r="AA1082" s="57"/>
      <c r="AB1082" s="57"/>
      <c r="AC1082" s="57"/>
      <c r="AD1082" s="57"/>
    </row>
    <row r="1083" spans="1:30" ht="15">
      <c r="A1083" s="11">
        <f t="shared" si="207"/>
        <v>2040</v>
      </c>
      <c r="B1083" s="11">
        <f t="shared" si="179"/>
        <v>366</v>
      </c>
      <c r="C1083" s="56">
        <f t="shared" ref="C1083:T1083" si="210">AVERAGE(C324:C335)</f>
        <v>154.75825</v>
      </c>
      <c r="D1083" s="56">
        <f t="shared" si="210"/>
        <v>281.0162499999999</v>
      </c>
      <c r="E1083" s="56">
        <f t="shared" si="210"/>
        <v>109.1005</v>
      </c>
      <c r="F1083" s="56">
        <f t="shared" si="210"/>
        <v>57.041666666666664</v>
      </c>
      <c r="G1083" s="56">
        <f t="shared" si="210"/>
        <v>40</v>
      </c>
      <c r="H1083" s="56">
        <f t="shared" si="210"/>
        <v>174.58333333333334</v>
      </c>
      <c r="I1083" s="56">
        <f t="shared" si="210"/>
        <v>0</v>
      </c>
      <c r="J1083" s="56">
        <f t="shared" si="210"/>
        <v>100</v>
      </c>
      <c r="K1083" s="56">
        <f t="shared" si="210"/>
        <v>300</v>
      </c>
      <c r="L1083" s="56">
        <f t="shared" si="210"/>
        <v>1216.5</v>
      </c>
      <c r="M1083" s="58">
        <f t="shared" si="210"/>
        <v>600</v>
      </c>
      <c r="N1083" s="56">
        <f t="shared" si="210"/>
        <v>72.5</v>
      </c>
      <c r="O1083" s="59">
        <f t="shared" si="210"/>
        <v>240</v>
      </c>
      <c r="P1083" s="59">
        <f t="shared" si="210"/>
        <v>110</v>
      </c>
      <c r="Q1083" s="59">
        <f t="shared" si="210"/>
        <v>245</v>
      </c>
      <c r="R1083" s="59">
        <f t="shared" si="210"/>
        <v>100</v>
      </c>
      <c r="S1083" s="56">
        <f t="shared" si="210"/>
        <v>695</v>
      </c>
      <c r="T1083" s="56">
        <f t="shared" si="210"/>
        <v>33.333333333333336</v>
      </c>
      <c r="U1083" s="57"/>
      <c r="V1083" s="57"/>
      <c r="W1083" s="57"/>
      <c r="X1083" s="57"/>
      <c r="Y1083" s="57"/>
      <c r="Z1083" s="57"/>
      <c r="AA1083" s="57"/>
      <c r="AB1083" s="57"/>
      <c r="AC1083" s="57"/>
      <c r="AD1083" s="57"/>
    </row>
    <row r="1084" spans="1:30" ht="15">
      <c r="A1084" s="11">
        <f t="shared" si="207"/>
        <v>2041</v>
      </c>
      <c r="B1084" s="11">
        <f t="shared" si="179"/>
        <v>365</v>
      </c>
      <c r="C1084" s="56">
        <f t="shared" ref="C1084:T1084" si="211">AVERAGE(C336:C347)</f>
        <v>154.75825</v>
      </c>
      <c r="D1084" s="56">
        <f t="shared" si="211"/>
        <v>281.0162499999999</v>
      </c>
      <c r="E1084" s="56">
        <f t="shared" si="211"/>
        <v>109.1005</v>
      </c>
      <c r="F1084" s="56">
        <f t="shared" si="211"/>
        <v>57.041666666666664</v>
      </c>
      <c r="G1084" s="56">
        <f t="shared" si="211"/>
        <v>40</v>
      </c>
      <c r="H1084" s="56">
        <f t="shared" si="211"/>
        <v>174.58333333333334</v>
      </c>
      <c r="I1084" s="56">
        <f t="shared" si="211"/>
        <v>0</v>
      </c>
      <c r="J1084" s="56">
        <f t="shared" si="211"/>
        <v>100</v>
      </c>
      <c r="K1084" s="56">
        <f t="shared" si="211"/>
        <v>300</v>
      </c>
      <c r="L1084" s="56">
        <f t="shared" si="211"/>
        <v>1216.5</v>
      </c>
      <c r="M1084" s="58">
        <f t="shared" si="211"/>
        <v>600</v>
      </c>
      <c r="N1084" s="56">
        <f t="shared" si="211"/>
        <v>72.5</v>
      </c>
      <c r="O1084" s="59">
        <f t="shared" si="211"/>
        <v>240</v>
      </c>
      <c r="P1084" s="59">
        <f t="shared" si="211"/>
        <v>110</v>
      </c>
      <c r="Q1084" s="59">
        <f t="shared" si="211"/>
        <v>245</v>
      </c>
      <c r="R1084" s="59">
        <f t="shared" si="211"/>
        <v>100</v>
      </c>
      <c r="S1084" s="56">
        <f t="shared" si="211"/>
        <v>695</v>
      </c>
      <c r="T1084" s="56">
        <f t="shared" si="211"/>
        <v>33.333333333333336</v>
      </c>
      <c r="U1084" s="57"/>
      <c r="V1084" s="57"/>
      <c r="W1084" s="57"/>
      <c r="X1084" s="57"/>
      <c r="Y1084" s="57"/>
      <c r="Z1084" s="57"/>
      <c r="AA1084" s="57"/>
      <c r="AB1084" s="57"/>
      <c r="AC1084" s="57"/>
      <c r="AD1084" s="57"/>
    </row>
    <row r="1085" spans="1:30" ht="15">
      <c r="A1085" s="11">
        <f t="shared" si="207"/>
        <v>2042</v>
      </c>
      <c r="B1085" s="11">
        <f t="shared" si="179"/>
        <v>365</v>
      </c>
      <c r="C1085" s="56">
        <f t="shared" ref="C1085:T1085" si="212">AVERAGE(C348:C359)</f>
        <v>154.75825</v>
      </c>
      <c r="D1085" s="56">
        <f t="shared" si="212"/>
        <v>281.0162499999999</v>
      </c>
      <c r="E1085" s="56">
        <f t="shared" si="212"/>
        <v>109.1005</v>
      </c>
      <c r="F1085" s="56">
        <f t="shared" si="212"/>
        <v>57.041666666666664</v>
      </c>
      <c r="G1085" s="56">
        <f t="shared" si="212"/>
        <v>40</v>
      </c>
      <c r="H1085" s="56">
        <f t="shared" si="212"/>
        <v>174.58333333333334</v>
      </c>
      <c r="I1085" s="56">
        <f t="shared" si="212"/>
        <v>0</v>
      </c>
      <c r="J1085" s="56">
        <f t="shared" si="212"/>
        <v>100</v>
      </c>
      <c r="K1085" s="56">
        <f t="shared" si="212"/>
        <v>300</v>
      </c>
      <c r="L1085" s="56">
        <f t="shared" si="212"/>
        <v>1216.5</v>
      </c>
      <c r="M1085" s="58">
        <f t="shared" si="212"/>
        <v>600</v>
      </c>
      <c r="N1085" s="56">
        <f t="shared" si="212"/>
        <v>72.5</v>
      </c>
      <c r="O1085" s="59">
        <f t="shared" si="212"/>
        <v>240</v>
      </c>
      <c r="P1085" s="59">
        <f t="shared" si="212"/>
        <v>110</v>
      </c>
      <c r="Q1085" s="59">
        <f t="shared" si="212"/>
        <v>245</v>
      </c>
      <c r="R1085" s="59">
        <f t="shared" si="212"/>
        <v>100</v>
      </c>
      <c r="S1085" s="56">
        <f t="shared" si="212"/>
        <v>695</v>
      </c>
      <c r="T1085" s="56">
        <f t="shared" si="212"/>
        <v>33.333333333333336</v>
      </c>
      <c r="U1085" s="57"/>
      <c r="V1085" s="57"/>
      <c r="W1085" s="57"/>
      <c r="X1085" s="57"/>
      <c r="Y1085" s="57"/>
      <c r="Z1085" s="57"/>
      <c r="AA1085" s="57"/>
      <c r="AB1085" s="57"/>
      <c r="AC1085" s="57"/>
      <c r="AD1085" s="57"/>
    </row>
    <row r="1086" spans="1:30" ht="15">
      <c r="A1086" s="11">
        <f t="shared" si="207"/>
        <v>2043</v>
      </c>
      <c r="B1086" s="11">
        <f t="shared" si="179"/>
        <v>365</v>
      </c>
      <c r="C1086" s="56">
        <f t="shared" ref="C1086:T1086" si="213">AVERAGE(C360:C371)</f>
        <v>154.75825</v>
      </c>
      <c r="D1086" s="56">
        <f t="shared" si="213"/>
        <v>281.0162499999999</v>
      </c>
      <c r="E1086" s="56">
        <f t="shared" si="213"/>
        <v>109.1005</v>
      </c>
      <c r="F1086" s="56">
        <f t="shared" si="213"/>
        <v>57.041666666666664</v>
      </c>
      <c r="G1086" s="56">
        <f t="shared" si="213"/>
        <v>40</v>
      </c>
      <c r="H1086" s="56">
        <f t="shared" si="213"/>
        <v>174.58333333333334</v>
      </c>
      <c r="I1086" s="56">
        <f t="shared" si="213"/>
        <v>0</v>
      </c>
      <c r="J1086" s="56">
        <f t="shared" si="213"/>
        <v>100</v>
      </c>
      <c r="K1086" s="56">
        <f t="shared" si="213"/>
        <v>300</v>
      </c>
      <c r="L1086" s="56">
        <f t="shared" si="213"/>
        <v>1216.5</v>
      </c>
      <c r="M1086" s="58">
        <f t="shared" si="213"/>
        <v>600</v>
      </c>
      <c r="N1086" s="56">
        <f t="shared" si="213"/>
        <v>72.5</v>
      </c>
      <c r="O1086" s="59">
        <f t="shared" si="213"/>
        <v>240</v>
      </c>
      <c r="P1086" s="59">
        <f t="shared" si="213"/>
        <v>110</v>
      </c>
      <c r="Q1086" s="59">
        <f t="shared" si="213"/>
        <v>245</v>
      </c>
      <c r="R1086" s="59">
        <f t="shared" si="213"/>
        <v>100</v>
      </c>
      <c r="S1086" s="56">
        <f t="shared" si="213"/>
        <v>695</v>
      </c>
      <c r="T1086" s="56">
        <f t="shared" si="213"/>
        <v>33.333333333333336</v>
      </c>
      <c r="U1086" s="57"/>
      <c r="V1086" s="57"/>
      <c r="W1086" s="57"/>
      <c r="X1086" s="57"/>
      <c r="Y1086" s="57"/>
      <c r="Z1086" s="57"/>
      <c r="AA1086" s="57"/>
      <c r="AB1086" s="57"/>
      <c r="AC1086" s="57"/>
      <c r="AD1086" s="57"/>
    </row>
    <row r="1087" spans="1:30" ht="15">
      <c r="A1087" s="11">
        <f t="shared" si="207"/>
        <v>2044</v>
      </c>
      <c r="B1087" s="11">
        <f t="shared" si="179"/>
        <v>366</v>
      </c>
      <c r="C1087" s="56">
        <f t="shared" ref="C1087:T1087" si="214">AVERAGE(C372:C383)</f>
        <v>154.75825</v>
      </c>
      <c r="D1087" s="56">
        <f t="shared" si="214"/>
        <v>281.0162499999999</v>
      </c>
      <c r="E1087" s="56">
        <f t="shared" si="214"/>
        <v>109.1005</v>
      </c>
      <c r="F1087" s="56">
        <f t="shared" si="214"/>
        <v>57.041666666666664</v>
      </c>
      <c r="G1087" s="56">
        <f t="shared" si="214"/>
        <v>40</v>
      </c>
      <c r="H1087" s="56">
        <f t="shared" si="214"/>
        <v>174.58333333333334</v>
      </c>
      <c r="I1087" s="56">
        <f t="shared" si="214"/>
        <v>0</v>
      </c>
      <c r="J1087" s="56">
        <f t="shared" si="214"/>
        <v>100</v>
      </c>
      <c r="K1087" s="56">
        <f t="shared" si="214"/>
        <v>300</v>
      </c>
      <c r="L1087" s="56">
        <f t="shared" si="214"/>
        <v>1216.5</v>
      </c>
      <c r="M1087" s="58">
        <f t="shared" si="214"/>
        <v>600</v>
      </c>
      <c r="N1087" s="56">
        <f t="shared" si="214"/>
        <v>72.5</v>
      </c>
      <c r="O1087" s="59">
        <f t="shared" si="214"/>
        <v>240</v>
      </c>
      <c r="P1087" s="59">
        <f t="shared" si="214"/>
        <v>110</v>
      </c>
      <c r="Q1087" s="59">
        <f t="shared" si="214"/>
        <v>245</v>
      </c>
      <c r="R1087" s="59">
        <f t="shared" si="214"/>
        <v>100</v>
      </c>
      <c r="S1087" s="56">
        <f t="shared" si="214"/>
        <v>695</v>
      </c>
      <c r="T1087" s="56">
        <f t="shared" si="214"/>
        <v>33.333333333333336</v>
      </c>
      <c r="U1087" s="57"/>
      <c r="V1087" s="57"/>
      <c r="W1087" s="57"/>
      <c r="X1087" s="57"/>
      <c r="Y1087" s="57"/>
      <c r="Z1087" s="57"/>
      <c r="AA1087" s="57"/>
      <c r="AB1087" s="57"/>
      <c r="AC1087" s="57"/>
      <c r="AD1087" s="57"/>
    </row>
    <row r="1088" spans="1:30" ht="15">
      <c r="A1088" s="11">
        <f t="shared" si="207"/>
        <v>2045</v>
      </c>
      <c r="B1088" s="11">
        <f t="shared" si="179"/>
        <v>365</v>
      </c>
      <c r="C1088" s="56">
        <f t="shared" ref="C1088:T1088" si="215">AVERAGE(C384:C395)</f>
        <v>154.75825</v>
      </c>
      <c r="D1088" s="56">
        <f t="shared" si="215"/>
        <v>281.0162499999999</v>
      </c>
      <c r="E1088" s="56">
        <f t="shared" si="215"/>
        <v>109.1005</v>
      </c>
      <c r="F1088" s="56">
        <f t="shared" si="215"/>
        <v>57.041666666666664</v>
      </c>
      <c r="G1088" s="56">
        <f t="shared" si="215"/>
        <v>40</v>
      </c>
      <c r="H1088" s="56">
        <f t="shared" si="215"/>
        <v>174.58333333333334</v>
      </c>
      <c r="I1088" s="56">
        <f t="shared" si="215"/>
        <v>0</v>
      </c>
      <c r="J1088" s="56">
        <f t="shared" si="215"/>
        <v>100</v>
      </c>
      <c r="K1088" s="56">
        <f t="shared" si="215"/>
        <v>300</v>
      </c>
      <c r="L1088" s="56">
        <f t="shared" si="215"/>
        <v>1216.5</v>
      </c>
      <c r="M1088" s="58">
        <f t="shared" si="215"/>
        <v>600</v>
      </c>
      <c r="N1088" s="56">
        <f t="shared" si="215"/>
        <v>72.5</v>
      </c>
      <c r="O1088" s="59">
        <f t="shared" si="215"/>
        <v>240</v>
      </c>
      <c r="P1088" s="59">
        <f t="shared" si="215"/>
        <v>110</v>
      </c>
      <c r="Q1088" s="59">
        <f t="shared" si="215"/>
        <v>245</v>
      </c>
      <c r="R1088" s="59">
        <f t="shared" si="215"/>
        <v>100</v>
      </c>
      <c r="S1088" s="56">
        <f t="shared" si="215"/>
        <v>695</v>
      </c>
      <c r="T1088" s="56">
        <f t="shared" si="215"/>
        <v>33.333333333333336</v>
      </c>
      <c r="U1088" s="57"/>
      <c r="V1088" s="57"/>
      <c r="W1088" s="57"/>
      <c r="X1088" s="57"/>
      <c r="Y1088" s="57"/>
      <c r="Z1088" s="57"/>
      <c r="AA1088" s="57"/>
      <c r="AB1088" s="57"/>
      <c r="AC1088" s="57"/>
      <c r="AD1088" s="57"/>
    </row>
    <row r="1089" spans="1:30" ht="15">
      <c r="A1089" s="11">
        <f t="shared" si="207"/>
        <v>2046</v>
      </c>
      <c r="B1089" s="11">
        <f t="shared" ref="B1089:B1120" si="216">DATE(A1089+1,1,1)-DATE(A1089,1,1)</f>
        <v>365</v>
      </c>
      <c r="C1089" s="56">
        <f t="shared" ref="C1089:T1089" si="217">AVERAGE(C396:C407)</f>
        <v>154.75825</v>
      </c>
      <c r="D1089" s="56">
        <f t="shared" si="217"/>
        <v>281.0162499999999</v>
      </c>
      <c r="E1089" s="56">
        <f t="shared" si="217"/>
        <v>109.1005</v>
      </c>
      <c r="F1089" s="56">
        <f t="shared" si="217"/>
        <v>57.041666666666664</v>
      </c>
      <c r="G1089" s="56">
        <f t="shared" si="217"/>
        <v>40</v>
      </c>
      <c r="H1089" s="56">
        <f t="shared" si="217"/>
        <v>174.58333333333334</v>
      </c>
      <c r="I1089" s="56">
        <f t="shared" si="217"/>
        <v>0</v>
      </c>
      <c r="J1089" s="56">
        <f t="shared" si="217"/>
        <v>100</v>
      </c>
      <c r="K1089" s="56">
        <f t="shared" si="217"/>
        <v>300</v>
      </c>
      <c r="L1089" s="56">
        <f t="shared" si="217"/>
        <v>1216.5</v>
      </c>
      <c r="M1089" s="58">
        <f t="shared" si="217"/>
        <v>600</v>
      </c>
      <c r="N1089" s="56">
        <f t="shared" si="217"/>
        <v>72.5</v>
      </c>
      <c r="O1089" s="59">
        <f t="shared" si="217"/>
        <v>240</v>
      </c>
      <c r="P1089" s="59">
        <f t="shared" si="217"/>
        <v>110</v>
      </c>
      <c r="Q1089" s="59">
        <f t="shared" si="217"/>
        <v>245</v>
      </c>
      <c r="R1089" s="59">
        <f t="shared" si="217"/>
        <v>100</v>
      </c>
      <c r="S1089" s="56">
        <f t="shared" si="217"/>
        <v>695</v>
      </c>
      <c r="T1089" s="56">
        <f t="shared" si="217"/>
        <v>33.333333333333336</v>
      </c>
      <c r="U1089" s="57"/>
      <c r="V1089" s="57"/>
      <c r="W1089" s="57"/>
      <c r="X1089" s="57"/>
      <c r="Y1089" s="57"/>
      <c r="Z1089" s="57"/>
      <c r="AA1089" s="57"/>
      <c r="AB1089" s="57"/>
      <c r="AC1089" s="57"/>
      <c r="AD1089" s="57"/>
    </row>
    <row r="1090" spans="1:30" ht="15">
      <c r="A1090" s="11">
        <f t="shared" si="207"/>
        <v>2047</v>
      </c>
      <c r="B1090" s="11">
        <f t="shared" si="216"/>
        <v>365</v>
      </c>
      <c r="C1090" s="56">
        <f t="shared" ref="C1090:T1090" si="218">AVERAGE(C408:C419)</f>
        <v>154.75825</v>
      </c>
      <c r="D1090" s="56">
        <f t="shared" si="218"/>
        <v>281.0162499999999</v>
      </c>
      <c r="E1090" s="56">
        <f t="shared" si="218"/>
        <v>109.1005</v>
      </c>
      <c r="F1090" s="56">
        <f t="shared" si="218"/>
        <v>57.041666666666664</v>
      </c>
      <c r="G1090" s="56">
        <f t="shared" si="218"/>
        <v>40</v>
      </c>
      <c r="H1090" s="56">
        <f t="shared" si="218"/>
        <v>174.58333333333334</v>
      </c>
      <c r="I1090" s="56">
        <f t="shared" si="218"/>
        <v>0</v>
      </c>
      <c r="J1090" s="56">
        <f t="shared" si="218"/>
        <v>100</v>
      </c>
      <c r="K1090" s="56">
        <f t="shared" si="218"/>
        <v>300</v>
      </c>
      <c r="L1090" s="56">
        <f t="shared" si="218"/>
        <v>1216.5</v>
      </c>
      <c r="M1090" s="58">
        <f t="shared" si="218"/>
        <v>600</v>
      </c>
      <c r="N1090" s="56">
        <f t="shared" si="218"/>
        <v>72.5</v>
      </c>
      <c r="O1090" s="59">
        <f t="shared" si="218"/>
        <v>240</v>
      </c>
      <c r="P1090" s="59">
        <f t="shared" si="218"/>
        <v>110</v>
      </c>
      <c r="Q1090" s="59">
        <f t="shared" si="218"/>
        <v>245</v>
      </c>
      <c r="R1090" s="59">
        <f t="shared" si="218"/>
        <v>100</v>
      </c>
      <c r="S1090" s="56">
        <f t="shared" si="218"/>
        <v>695</v>
      </c>
      <c r="T1090" s="56">
        <f t="shared" si="218"/>
        <v>33.333333333333336</v>
      </c>
      <c r="U1090" s="57"/>
      <c r="V1090" s="57"/>
      <c r="W1090" s="57"/>
      <c r="X1090" s="57"/>
      <c r="Y1090" s="57"/>
      <c r="Z1090" s="57"/>
      <c r="AA1090" s="57"/>
      <c r="AB1090" s="57"/>
      <c r="AC1090" s="57"/>
      <c r="AD1090" s="57"/>
    </row>
    <row r="1091" spans="1:30" ht="15">
      <c r="A1091" s="11">
        <f t="shared" si="207"/>
        <v>2048</v>
      </c>
      <c r="B1091" s="11">
        <f t="shared" si="216"/>
        <v>366</v>
      </c>
      <c r="C1091" s="56">
        <f t="shared" ref="C1091:T1091" si="219">AVERAGE(C420:C431)</f>
        <v>154.75825</v>
      </c>
      <c r="D1091" s="56">
        <f t="shared" si="219"/>
        <v>281.0162499999999</v>
      </c>
      <c r="E1091" s="56">
        <f t="shared" si="219"/>
        <v>109.1005</v>
      </c>
      <c r="F1091" s="56">
        <f t="shared" si="219"/>
        <v>57.041666666666664</v>
      </c>
      <c r="G1091" s="56">
        <f t="shared" si="219"/>
        <v>40</v>
      </c>
      <c r="H1091" s="56">
        <f t="shared" si="219"/>
        <v>174.58333333333334</v>
      </c>
      <c r="I1091" s="56">
        <f t="shared" si="219"/>
        <v>0</v>
      </c>
      <c r="J1091" s="56">
        <f t="shared" si="219"/>
        <v>100</v>
      </c>
      <c r="K1091" s="56">
        <f t="shared" si="219"/>
        <v>300</v>
      </c>
      <c r="L1091" s="56">
        <f t="shared" si="219"/>
        <v>1216.5</v>
      </c>
      <c r="M1091" s="58">
        <f t="shared" si="219"/>
        <v>600</v>
      </c>
      <c r="N1091" s="56">
        <f t="shared" si="219"/>
        <v>72.5</v>
      </c>
      <c r="O1091" s="59">
        <f t="shared" si="219"/>
        <v>240</v>
      </c>
      <c r="P1091" s="59">
        <f t="shared" si="219"/>
        <v>110</v>
      </c>
      <c r="Q1091" s="59">
        <f t="shared" si="219"/>
        <v>245</v>
      </c>
      <c r="R1091" s="59">
        <f t="shared" si="219"/>
        <v>100</v>
      </c>
      <c r="S1091" s="56">
        <f t="shared" si="219"/>
        <v>695</v>
      </c>
      <c r="T1091" s="56">
        <f t="shared" si="219"/>
        <v>33.333333333333336</v>
      </c>
      <c r="U1091" s="57"/>
      <c r="V1091" s="57"/>
      <c r="W1091" s="57"/>
      <c r="X1091" s="57"/>
      <c r="Y1091" s="57"/>
      <c r="Z1091" s="57"/>
      <c r="AA1091" s="57"/>
      <c r="AB1091" s="57"/>
      <c r="AC1091" s="57"/>
      <c r="AD1091" s="57"/>
    </row>
    <row r="1092" spans="1:30" ht="15">
      <c r="A1092" s="11">
        <f t="shared" si="207"/>
        <v>2049</v>
      </c>
      <c r="B1092" s="11">
        <f t="shared" si="216"/>
        <v>365</v>
      </c>
      <c r="C1092" s="56">
        <f t="shared" ref="C1092:T1092" si="220">AVERAGE(C432:C443)</f>
        <v>154.75825</v>
      </c>
      <c r="D1092" s="56">
        <f t="shared" si="220"/>
        <v>281.0162499999999</v>
      </c>
      <c r="E1092" s="56">
        <f t="shared" si="220"/>
        <v>109.1005</v>
      </c>
      <c r="F1092" s="56">
        <f t="shared" si="220"/>
        <v>57.041666666666664</v>
      </c>
      <c r="G1092" s="56">
        <f t="shared" si="220"/>
        <v>40</v>
      </c>
      <c r="H1092" s="56">
        <f t="shared" si="220"/>
        <v>174.58333333333334</v>
      </c>
      <c r="I1092" s="56">
        <f t="shared" si="220"/>
        <v>0</v>
      </c>
      <c r="J1092" s="56">
        <f t="shared" si="220"/>
        <v>100</v>
      </c>
      <c r="K1092" s="56">
        <f t="shared" si="220"/>
        <v>300</v>
      </c>
      <c r="L1092" s="56">
        <f t="shared" si="220"/>
        <v>1216.5</v>
      </c>
      <c r="M1092" s="58">
        <f t="shared" si="220"/>
        <v>600</v>
      </c>
      <c r="N1092" s="56">
        <f t="shared" si="220"/>
        <v>72.5</v>
      </c>
      <c r="O1092" s="59">
        <f t="shared" si="220"/>
        <v>240</v>
      </c>
      <c r="P1092" s="59">
        <f t="shared" si="220"/>
        <v>110</v>
      </c>
      <c r="Q1092" s="59">
        <f t="shared" si="220"/>
        <v>245</v>
      </c>
      <c r="R1092" s="59">
        <f t="shared" si="220"/>
        <v>100</v>
      </c>
      <c r="S1092" s="56">
        <f t="shared" si="220"/>
        <v>695</v>
      </c>
      <c r="T1092" s="56">
        <f t="shared" si="220"/>
        <v>33.333333333333336</v>
      </c>
      <c r="U1092" s="57"/>
      <c r="V1092" s="57"/>
      <c r="W1092" s="57"/>
      <c r="X1092" s="57"/>
      <c r="Y1092" s="57"/>
      <c r="Z1092" s="57"/>
      <c r="AA1092" s="57"/>
      <c r="AB1092" s="57"/>
      <c r="AC1092" s="57"/>
      <c r="AD1092" s="57"/>
    </row>
    <row r="1093" spans="1:30" ht="15">
      <c r="A1093" s="11">
        <f t="shared" si="207"/>
        <v>2050</v>
      </c>
      <c r="B1093" s="11">
        <f t="shared" si="216"/>
        <v>365</v>
      </c>
      <c r="C1093" s="56">
        <f t="shared" ref="C1093:T1093" si="221">AVERAGE(C444:C455)</f>
        <v>154.75825</v>
      </c>
      <c r="D1093" s="56">
        <f t="shared" si="221"/>
        <v>281.0162499999999</v>
      </c>
      <c r="E1093" s="56">
        <f t="shared" si="221"/>
        <v>109.1005</v>
      </c>
      <c r="F1093" s="56">
        <f t="shared" si="221"/>
        <v>57.041666666666664</v>
      </c>
      <c r="G1093" s="56">
        <f t="shared" si="221"/>
        <v>40</v>
      </c>
      <c r="H1093" s="56">
        <f t="shared" si="221"/>
        <v>174.58333333333334</v>
      </c>
      <c r="I1093" s="56">
        <f t="shared" si="221"/>
        <v>0</v>
      </c>
      <c r="J1093" s="56">
        <f t="shared" si="221"/>
        <v>100</v>
      </c>
      <c r="K1093" s="56">
        <f t="shared" si="221"/>
        <v>300</v>
      </c>
      <c r="L1093" s="56">
        <f t="shared" si="221"/>
        <v>1216.5</v>
      </c>
      <c r="M1093" s="58">
        <f t="shared" si="221"/>
        <v>600</v>
      </c>
      <c r="N1093" s="56">
        <f t="shared" si="221"/>
        <v>72.5</v>
      </c>
      <c r="O1093" s="59">
        <f t="shared" si="221"/>
        <v>240</v>
      </c>
      <c r="P1093" s="59">
        <f t="shared" si="221"/>
        <v>110</v>
      </c>
      <c r="Q1093" s="59">
        <f t="shared" si="221"/>
        <v>245</v>
      </c>
      <c r="R1093" s="59">
        <f t="shared" si="221"/>
        <v>100</v>
      </c>
      <c r="S1093" s="56">
        <f t="shared" si="221"/>
        <v>695</v>
      </c>
      <c r="T1093" s="56">
        <f t="shared" si="221"/>
        <v>33.333333333333336</v>
      </c>
      <c r="U1093" s="57"/>
      <c r="V1093" s="57"/>
      <c r="W1093" s="57"/>
      <c r="X1093" s="57"/>
      <c r="Y1093" s="57"/>
      <c r="Z1093" s="57"/>
      <c r="AA1093" s="57"/>
      <c r="AB1093" s="57"/>
      <c r="AC1093" s="57"/>
      <c r="AD1093" s="57"/>
    </row>
    <row r="1094" spans="1:30" ht="15">
      <c r="A1094" s="11">
        <f t="shared" si="207"/>
        <v>2051</v>
      </c>
      <c r="B1094" s="11">
        <f t="shared" si="216"/>
        <v>365</v>
      </c>
      <c r="C1094" s="56">
        <f t="shared" ref="C1094:T1094" si="222">AVERAGE(C456:C467)</f>
        <v>154.75825</v>
      </c>
      <c r="D1094" s="56">
        <f t="shared" si="222"/>
        <v>281.0162499999999</v>
      </c>
      <c r="E1094" s="56">
        <f t="shared" si="222"/>
        <v>109.1005</v>
      </c>
      <c r="F1094" s="56">
        <f t="shared" si="222"/>
        <v>57.041666666666664</v>
      </c>
      <c r="G1094" s="56">
        <f t="shared" si="222"/>
        <v>40</v>
      </c>
      <c r="H1094" s="56">
        <f t="shared" si="222"/>
        <v>174.58333333333334</v>
      </c>
      <c r="I1094" s="56">
        <f t="shared" si="222"/>
        <v>0</v>
      </c>
      <c r="J1094" s="56">
        <f t="shared" si="222"/>
        <v>100</v>
      </c>
      <c r="K1094" s="56">
        <f t="shared" si="222"/>
        <v>300</v>
      </c>
      <c r="L1094" s="56">
        <f t="shared" si="222"/>
        <v>1216.5</v>
      </c>
      <c r="M1094" s="58">
        <f t="shared" si="222"/>
        <v>600</v>
      </c>
      <c r="N1094" s="56">
        <f t="shared" si="222"/>
        <v>72.5</v>
      </c>
      <c r="O1094" s="59">
        <f t="shared" si="222"/>
        <v>240</v>
      </c>
      <c r="P1094" s="59">
        <f t="shared" si="222"/>
        <v>110</v>
      </c>
      <c r="Q1094" s="59">
        <f t="shared" si="222"/>
        <v>245</v>
      </c>
      <c r="R1094" s="59">
        <f t="shared" si="222"/>
        <v>100</v>
      </c>
      <c r="S1094" s="56">
        <f t="shared" si="222"/>
        <v>695</v>
      </c>
      <c r="T1094" s="56">
        <f t="shared" si="222"/>
        <v>33.333333333333336</v>
      </c>
      <c r="U1094" s="57"/>
      <c r="V1094" s="57"/>
      <c r="W1094" s="57"/>
      <c r="X1094" s="57"/>
      <c r="Y1094" s="57"/>
      <c r="Z1094" s="57"/>
      <c r="AA1094" s="57"/>
      <c r="AB1094" s="57"/>
      <c r="AC1094" s="57"/>
      <c r="AD1094" s="57"/>
    </row>
    <row r="1095" spans="1:30" ht="15">
      <c r="A1095" s="11">
        <f t="shared" si="207"/>
        <v>2052</v>
      </c>
      <c r="B1095" s="11">
        <f t="shared" si="216"/>
        <v>366</v>
      </c>
      <c r="C1095" s="56">
        <f t="shared" ref="C1095:T1095" si="223">AVERAGE(C468:C479)</f>
        <v>154.75825</v>
      </c>
      <c r="D1095" s="56">
        <f t="shared" si="223"/>
        <v>281.0162499999999</v>
      </c>
      <c r="E1095" s="56">
        <f t="shared" si="223"/>
        <v>109.1005</v>
      </c>
      <c r="F1095" s="56">
        <f t="shared" si="223"/>
        <v>57.041666666666664</v>
      </c>
      <c r="G1095" s="56">
        <f t="shared" si="223"/>
        <v>40</v>
      </c>
      <c r="H1095" s="56">
        <f t="shared" si="223"/>
        <v>174.58333333333334</v>
      </c>
      <c r="I1095" s="56">
        <f t="shared" si="223"/>
        <v>0</v>
      </c>
      <c r="J1095" s="56">
        <f t="shared" si="223"/>
        <v>100</v>
      </c>
      <c r="K1095" s="56">
        <f t="shared" si="223"/>
        <v>300</v>
      </c>
      <c r="L1095" s="56">
        <f t="shared" si="223"/>
        <v>1216.5</v>
      </c>
      <c r="M1095" s="58">
        <f t="shared" si="223"/>
        <v>600</v>
      </c>
      <c r="N1095" s="56">
        <f t="shared" si="223"/>
        <v>72.5</v>
      </c>
      <c r="O1095" s="59">
        <f t="shared" si="223"/>
        <v>240</v>
      </c>
      <c r="P1095" s="59">
        <f t="shared" si="223"/>
        <v>110</v>
      </c>
      <c r="Q1095" s="59">
        <f t="shared" si="223"/>
        <v>245</v>
      </c>
      <c r="R1095" s="59">
        <f t="shared" si="223"/>
        <v>100</v>
      </c>
      <c r="S1095" s="56">
        <f t="shared" si="223"/>
        <v>695</v>
      </c>
      <c r="T1095" s="56">
        <f t="shared" si="223"/>
        <v>33.333333333333336</v>
      </c>
      <c r="U1095" s="57"/>
      <c r="V1095" s="57"/>
      <c r="W1095" s="57"/>
      <c r="X1095" s="57"/>
      <c r="Y1095" s="57"/>
      <c r="Z1095" s="57"/>
      <c r="AA1095" s="57"/>
      <c r="AB1095" s="57"/>
      <c r="AC1095" s="57"/>
      <c r="AD1095" s="57"/>
    </row>
    <row r="1096" spans="1:30" ht="15">
      <c r="A1096" s="11">
        <f t="shared" si="207"/>
        <v>2053</v>
      </c>
      <c r="B1096" s="11">
        <f t="shared" si="216"/>
        <v>365</v>
      </c>
      <c r="C1096" s="56">
        <f t="shared" ref="C1096:T1096" si="224">AVERAGE(C480:C491)</f>
        <v>154.75825</v>
      </c>
      <c r="D1096" s="56">
        <f t="shared" si="224"/>
        <v>281.0162499999999</v>
      </c>
      <c r="E1096" s="56">
        <f t="shared" si="224"/>
        <v>109.1005</v>
      </c>
      <c r="F1096" s="56">
        <f t="shared" si="224"/>
        <v>57.041666666666664</v>
      </c>
      <c r="G1096" s="56">
        <f t="shared" si="224"/>
        <v>40</v>
      </c>
      <c r="H1096" s="56">
        <f t="shared" si="224"/>
        <v>174.58333333333334</v>
      </c>
      <c r="I1096" s="56">
        <f t="shared" si="224"/>
        <v>0</v>
      </c>
      <c r="J1096" s="56">
        <f t="shared" si="224"/>
        <v>100</v>
      </c>
      <c r="K1096" s="56">
        <f t="shared" si="224"/>
        <v>300</v>
      </c>
      <c r="L1096" s="56">
        <f t="shared" si="224"/>
        <v>1216.5</v>
      </c>
      <c r="M1096" s="58">
        <f t="shared" si="224"/>
        <v>600</v>
      </c>
      <c r="N1096" s="56">
        <f t="shared" si="224"/>
        <v>72.5</v>
      </c>
      <c r="O1096" s="59">
        <f t="shared" si="224"/>
        <v>240</v>
      </c>
      <c r="P1096" s="59">
        <f t="shared" si="224"/>
        <v>110</v>
      </c>
      <c r="Q1096" s="59">
        <f t="shared" si="224"/>
        <v>245</v>
      </c>
      <c r="R1096" s="59">
        <f t="shared" si="224"/>
        <v>100</v>
      </c>
      <c r="S1096" s="56">
        <f t="shared" si="224"/>
        <v>695</v>
      </c>
      <c r="T1096" s="56">
        <f t="shared" si="224"/>
        <v>33.333333333333336</v>
      </c>
      <c r="U1096" s="57"/>
      <c r="V1096" s="57"/>
      <c r="W1096" s="57"/>
      <c r="X1096" s="57"/>
      <c r="Y1096" s="57"/>
      <c r="Z1096" s="57"/>
      <c r="AA1096" s="57"/>
      <c r="AB1096" s="57"/>
      <c r="AC1096" s="57"/>
      <c r="AD1096" s="57"/>
    </row>
    <row r="1097" spans="1:30" ht="15">
      <c r="A1097" s="11">
        <f t="shared" si="207"/>
        <v>2054</v>
      </c>
      <c r="B1097" s="11">
        <f t="shared" si="216"/>
        <v>365</v>
      </c>
      <c r="C1097" s="56">
        <f t="shared" ref="C1097:T1097" si="225">AVERAGE(C492:C503)</f>
        <v>154.75825</v>
      </c>
      <c r="D1097" s="56">
        <f t="shared" si="225"/>
        <v>281.0162499999999</v>
      </c>
      <c r="E1097" s="56">
        <f t="shared" si="225"/>
        <v>109.1005</v>
      </c>
      <c r="F1097" s="56">
        <f t="shared" si="225"/>
        <v>57.041666666666664</v>
      </c>
      <c r="G1097" s="56">
        <f t="shared" si="225"/>
        <v>40</v>
      </c>
      <c r="H1097" s="56">
        <f t="shared" si="225"/>
        <v>174.58333333333334</v>
      </c>
      <c r="I1097" s="56">
        <f t="shared" si="225"/>
        <v>0</v>
      </c>
      <c r="J1097" s="56">
        <f t="shared" si="225"/>
        <v>100</v>
      </c>
      <c r="K1097" s="56">
        <f t="shared" si="225"/>
        <v>300</v>
      </c>
      <c r="L1097" s="56">
        <f t="shared" si="225"/>
        <v>1216.5</v>
      </c>
      <c r="M1097" s="58">
        <f t="shared" si="225"/>
        <v>600</v>
      </c>
      <c r="N1097" s="56">
        <f t="shared" si="225"/>
        <v>72.5</v>
      </c>
      <c r="O1097" s="56">
        <f t="shared" si="225"/>
        <v>240</v>
      </c>
      <c r="P1097" s="56">
        <f t="shared" si="225"/>
        <v>110</v>
      </c>
      <c r="Q1097" s="56">
        <f t="shared" si="225"/>
        <v>245</v>
      </c>
      <c r="R1097" s="56">
        <f t="shared" si="225"/>
        <v>100</v>
      </c>
      <c r="S1097" s="56">
        <f t="shared" si="225"/>
        <v>695</v>
      </c>
      <c r="T1097" s="56">
        <f t="shared" si="225"/>
        <v>33.333333333333336</v>
      </c>
      <c r="U1097" s="57"/>
      <c r="V1097" s="57"/>
      <c r="W1097" s="57"/>
      <c r="X1097" s="57"/>
      <c r="Y1097" s="57"/>
      <c r="Z1097" s="57"/>
      <c r="AA1097" s="57"/>
      <c r="AB1097" s="57"/>
      <c r="AC1097" s="57"/>
      <c r="AD1097" s="57"/>
    </row>
    <row r="1098" spans="1:30" ht="15">
      <c r="A1098" s="11">
        <f t="shared" si="207"/>
        <v>2055</v>
      </c>
      <c r="B1098" s="11">
        <f t="shared" si="216"/>
        <v>365</v>
      </c>
      <c r="C1098" s="56">
        <f t="shared" ref="C1098:T1098" si="226">AVERAGE(C493:C504)</f>
        <v>154.75825</v>
      </c>
      <c r="D1098" s="56">
        <f t="shared" si="226"/>
        <v>281.0162499999999</v>
      </c>
      <c r="E1098" s="56">
        <f t="shared" si="226"/>
        <v>109.1005</v>
      </c>
      <c r="F1098" s="56">
        <f t="shared" si="226"/>
        <v>57.041666666666657</v>
      </c>
      <c r="G1098" s="56">
        <f t="shared" si="226"/>
        <v>40</v>
      </c>
      <c r="H1098" s="56">
        <f t="shared" si="226"/>
        <v>174.58333333333334</v>
      </c>
      <c r="I1098" s="56">
        <f t="shared" si="226"/>
        <v>0</v>
      </c>
      <c r="J1098" s="56">
        <f t="shared" si="226"/>
        <v>100</v>
      </c>
      <c r="K1098" s="56">
        <f t="shared" si="226"/>
        <v>300</v>
      </c>
      <c r="L1098" s="56">
        <f t="shared" si="226"/>
        <v>1216.5</v>
      </c>
      <c r="M1098" s="58">
        <f t="shared" si="226"/>
        <v>600</v>
      </c>
      <c r="N1098" s="56">
        <f t="shared" si="226"/>
        <v>72.5</v>
      </c>
      <c r="O1098" s="56">
        <f t="shared" si="226"/>
        <v>240</v>
      </c>
      <c r="P1098" s="56">
        <f t="shared" si="226"/>
        <v>110</v>
      </c>
      <c r="Q1098" s="56">
        <f t="shared" si="226"/>
        <v>245</v>
      </c>
      <c r="R1098" s="56">
        <f t="shared" si="226"/>
        <v>100</v>
      </c>
      <c r="S1098" s="56">
        <f t="shared" si="226"/>
        <v>695</v>
      </c>
      <c r="T1098" s="56">
        <f t="shared" si="226"/>
        <v>33.333333333333336</v>
      </c>
      <c r="U1098" s="57"/>
      <c r="V1098" s="57"/>
      <c r="W1098" s="57"/>
      <c r="X1098" s="57"/>
      <c r="Y1098" s="57"/>
      <c r="Z1098" s="57"/>
      <c r="AA1098" s="57"/>
      <c r="AB1098" s="57"/>
      <c r="AC1098" s="57"/>
      <c r="AD1098" s="57"/>
    </row>
    <row r="1099" spans="1:30" ht="15">
      <c r="A1099" s="11">
        <f t="shared" si="207"/>
        <v>2056</v>
      </c>
      <c r="B1099" s="11">
        <f t="shared" si="216"/>
        <v>366</v>
      </c>
      <c r="C1099" s="56">
        <f t="shared" ref="C1099:T1099" si="227">AVERAGE(C494:C505)</f>
        <v>154.75824999999998</v>
      </c>
      <c r="D1099" s="56">
        <f t="shared" si="227"/>
        <v>281.0162499999999</v>
      </c>
      <c r="E1099" s="56">
        <f t="shared" si="227"/>
        <v>109.1005</v>
      </c>
      <c r="F1099" s="56">
        <f t="shared" si="227"/>
        <v>57.041666666666664</v>
      </c>
      <c r="G1099" s="56">
        <f t="shared" si="227"/>
        <v>40</v>
      </c>
      <c r="H1099" s="56">
        <f t="shared" si="227"/>
        <v>174.58333333333334</v>
      </c>
      <c r="I1099" s="56">
        <f t="shared" si="227"/>
        <v>0</v>
      </c>
      <c r="J1099" s="56">
        <f t="shared" si="227"/>
        <v>100</v>
      </c>
      <c r="K1099" s="56">
        <f t="shared" si="227"/>
        <v>300</v>
      </c>
      <c r="L1099" s="56">
        <f t="shared" si="227"/>
        <v>1216.5</v>
      </c>
      <c r="M1099" s="58">
        <f t="shared" si="227"/>
        <v>600</v>
      </c>
      <c r="N1099" s="56">
        <f t="shared" si="227"/>
        <v>72.5</v>
      </c>
      <c r="O1099" s="56">
        <f t="shared" si="227"/>
        <v>240</v>
      </c>
      <c r="P1099" s="56">
        <f t="shared" si="227"/>
        <v>110</v>
      </c>
      <c r="Q1099" s="56">
        <f t="shared" si="227"/>
        <v>245</v>
      </c>
      <c r="R1099" s="56">
        <f t="shared" si="227"/>
        <v>100</v>
      </c>
      <c r="S1099" s="56">
        <f t="shared" si="227"/>
        <v>695</v>
      </c>
      <c r="T1099" s="56">
        <f t="shared" si="227"/>
        <v>33.333333333333336</v>
      </c>
      <c r="U1099" s="57"/>
      <c r="V1099" s="57"/>
      <c r="W1099" s="57"/>
      <c r="X1099" s="57"/>
      <c r="Y1099" s="57"/>
      <c r="Z1099" s="57"/>
      <c r="AA1099" s="57"/>
      <c r="AB1099" s="57"/>
      <c r="AC1099" s="57"/>
      <c r="AD1099" s="57"/>
    </row>
    <row r="1100" spans="1:30" ht="15">
      <c r="A1100" s="11">
        <f t="shared" si="207"/>
        <v>2057</v>
      </c>
      <c r="B1100" s="11">
        <f t="shared" si="216"/>
        <v>365</v>
      </c>
      <c r="C1100" s="56">
        <f t="shared" ref="C1100:T1100" si="228">AVERAGE(C495:C506)</f>
        <v>154.75825</v>
      </c>
      <c r="D1100" s="56">
        <f t="shared" si="228"/>
        <v>281.0162499999999</v>
      </c>
      <c r="E1100" s="56">
        <f t="shared" si="228"/>
        <v>109.1005</v>
      </c>
      <c r="F1100" s="56">
        <f t="shared" si="228"/>
        <v>57.041666666666664</v>
      </c>
      <c r="G1100" s="56">
        <f t="shared" si="228"/>
        <v>40</v>
      </c>
      <c r="H1100" s="56">
        <f t="shared" si="228"/>
        <v>174.58333333333334</v>
      </c>
      <c r="I1100" s="56">
        <f t="shared" si="228"/>
        <v>0</v>
      </c>
      <c r="J1100" s="56">
        <f t="shared" si="228"/>
        <v>100</v>
      </c>
      <c r="K1100" s="56">
        <f t="shared" si="228"/>
        <v>300</v>
      </c>
      <c r="L1100" s="56">
        <f t="shared" si="228"/>
        <v>1216.5</v>
      </c>
      <c r="M1100" s="58">
        <f t="shared" si="228"/>
        <v>600</v>
      </c>
      <c r="N1100" s="56">
        <f t="shared" si="228"/>
        <v>72.5</v>
      </c>
      <c r="O1100" s="56">
        <f t="shared" si="228"/>
        <v>240</v>
      </c>
      <c r="P1100" s="56">
        <f t="shared" si="228"/>
        <v>110</v>
      </c>
      <c r="Q1100" s="56">
        <f t="shared" si="228"/>
        <v>245</v>
      </c>
      <c r="R1100" s="56">
        <f t="shared" si="228"/>
        <v>100</v>
      </c>
      <c r="S1100" s="56">
        <f t="shared" si="228"/>
        <v>695</v>
      </c>
      <c r="T1100" s="56">
        <f t="shared" si="228"/>
        <v>33.333333333333336</v>
      </c>
      <c r="U1100" s="57"/>
      <c r="V1100" s="57"/>
      <c r="W1100" s="57"/>
      <c r="X1100" s="57"/>
      <c r="Y1100" s="57"/>
      <c r="Z1100" s="57"/>
      <c r="AA1100" s="57"/>
      <c r="AB1100" s="57"/>
      <c r="AC1100" s="57"/>
      <c r="AD1100" s="57"/>
    </row>
    <row r="1101" spans="1:30" ht="15">
      <c r="A1101" s="11">
        <f t="shared" si="207"/>
        <v>2058</v>
      </c>
      <c r="B1101" s="11">
        <f t="shared" si="216"/>
        <v>365</v>
      </c>
      <c r="C1101" s="56">
        <f t="shared" ref="C1101:T1101" si="229">AVERAGE(C496:C507)</f>
        <v>154.75824999999998</v>
      </c>
      <c r="D1101" s="56">
        <f t="shared" si="229"/>
        <v>281.01624999999996</v>
      </c>
      <c r="E1101" s="56">
        <f t="shared" si="229"/>
        <v>109.10050000000001</v>
      </c>
      <c r="F1101" s="56">
        <f t="shared" si="229"/>
        <v>57.041666666666664</v>
      </c>
      <c r="G1101" s="56">
        <f t="shared" si="229"/>
        <v>40</v>
      </c>
      <c r="H1101" s="56">
        <f t="shared" si="229"/>
        <v>174.58333333333334</v>
      </c>
      <c r="I1101" s="56">
        <f t="shared" si="229"/>
        <v>0</v>
      </c>
      <c r="J1101" s="56">
        <f t="shared" si="229"/>
        <v>100</v>
      </c>
      <c r="K1101" s="56">
        <f t="shared" si="229"/>
        <v>300</v>
      </c>
      <c r="L1101" s="56">
        <f t="shared" si="229"/>
        <v>1216.5</v>
      </c>
      <c r="M1101" s="58">
        <f t="shared" si="229"/>
        <v>600</v>
      </c>
      <c r="N1101" s="56">
        <f t="shared" si="229"/>
        <v>72.5</v>
      </c>
      <c r="O1101" s="56">
        <f t="shared" si="229"/>
        <v>240</v>
      </c>
      <c r="P1101" s="56">
        <f t="shared" si="229"/>
        <v>110</v>
      </c>
      <c r="Q1101" s="56">
        <f t="shared" si="229"/>
        <v>245</v>
      </c>
      <c r="R1101" s="56">
        <f t="shared" si="229"/>
        <v>100</v>
      </c>
      <c r="S1101" s="56">
        <f t="shared" si="229"/>
        <v>695</v>
      </c>
      <c r="T1101" s="56">
        <f t="shared" si="229"/>
        <v>33.333333333333336</v>
      </c>
      <c r="U1101" s="57"/>
      <c r="V1101" s="57"/>
      <c r="W1101" s="57"/>
      <c r="X1101" s="57"/>
      <c r="Y1101" s="57"/>
      <c r="Z1101" s="57"/>
      <c r="AA1101" s="57"/>
      <c r="AB1101" s="57"/>
      <c r="AC1101" s="57"/>
      <c r="AD1101" s="57"/>
    </row>
    <row r="1102" spans="1:30" ht="15">
      <c r="A1102" s="11">
        <f t="shared" si="207"/>
        <v>2059</v>
      </c>
      <c r="B1102" s="11">
        <f t="shared" si="216"/>
        <v>365</v>
      </c>
      <c r="C1102" s="56">
        <f t="shared" ref="C1102:T1102" si="230">AVERAGE(C497:C508)</f>
        <v>154.75824999999998</v>
      </c>
      <c r="D1102" s="56">
        <f t="shared" si="230"/>
        <v>281.01624999999996</v>
      </c>
      <c r="E1102" s="56">
        <f t="shared" si="230"/>
        <v>109.10050000000001</v>
      </c>
      <c r="F1102" s="56">
        <f t="shared" si="230"/>
        <v>57.041666666666664</v>
      </c>
      <c r="G1102" s="56">
        <f t="shared" si="230"/>
        <v>40</v>
      </c>
      <c r="H1102" s="56">
        <f t="shared" si="230"/>
        <v>174.58333333333334</v>
      </c>
      <c r="I1102" s="56">
        <f t="shared" si="230"/>
        <v>0</v>
      </c>
      <c r="J1102" s="56">
        <f t="shared" si="230"/>
        <v>100</v>
      </c>
      <c r="K1102" s="56">
        <f t="shared" si="230"/>
        <v>300</v>
      </c>
      <c r="L1102" s="56">
        <f t="shared" si="230"/>
        <v>1216.5</v>
      </c>
      <c r="M1102" s="58">
        <f t="shared" si="230"/>
        <v>600</v>
      </c>
      <c r="N1102" s="56">
        <f t="shared" si="230"/>
        <v>72.5</v>
      </c>
      <c r="O1102" s="56">
        <f t="shared" si="230"/>
        <v>240</v>
      </c>
      <c r="P1102" s="56">
        <f t="shared" si="230"/>
        <v>110</v>
      </c>
      <c r="Q1102" s="56">
        <f t="shared" si="230"/>
        <v>245</v>
      </c>
      <c r="R1102" s="56">
        <f t="shared" si="230"/>
        <v>100</v>
      </c>
      <c r="S1102" s="56">
        <f t="shared" si="230"/>
        <v>695</v>
      </c>
      <c r="T1102" s="56">
        <f t="shared" si="230"/>
        <v>33.333333333333336</v>
      </c>
      <c r="U1102" s="57"/>
      <c r="V1102" s="57"/>
      <c r="W1102" s="57"/>
      <c r="X1102" s="57"/>
      <c r="Y1102" s="57"/>
      <c r="Z1102" s="57"/>
      <c r="AA1102" s="57"/>
      <c r="AB1102" s="57"/>
      <c r="AC1102" s="57"/>
      <c r="AD1102" s="57"/>
    </row>
    <row r="1103" spans="1:30" ht="15">
      <c r="A1103" s="11">
        <f t="shared" si="207"/>
        <v>2060</v>
      </c>
      <c r="B1103" s="11">
        <f t="shared" si="216"/>
        <v>366</v>
      </c>
      <c r="C1103" s="56">
        <f t="shared" ref="C1103:T1103" si="231">AVERAGE(C498:C509)</f>
        <v>154.75824999999998</v>
      </c>
      <c r="D1103" s="56">
        <f t="shared" si="231"/>
        <v>281.01624999999996</v>
      </c>
      <c r="E1103" s="56">
        <f t="shared" si="231"/>
        <v>109.10050000000001</v>
      </c>
      <c r="F1103" s="56">
        <f t="shared" si="231"/>
        <v>57.041666666666664</v>
      </c>
      <c r="G1103" s="56">
        <f t="shared" si="231"/>
        <v>40</v>
      </c>
      <c r="H1103" s="56">
        <f t="shared" si="231"/>
        <v>174.58333333333334</v>
      </c>
      <c r="I1103" s="56">
        <f t="shared" si="231"/>
        <v>0</v>
      </c>
      <c r="J1103" s="56">
        <f t="shared" si="231"/>
        <v>100</v>
      </c>
      <c r="K1103" s="56">
        <f t="shared" si="231"/>
        <v>300</v>
      </c>
      <c r="L1103" s="56">
        <f t="shared" si="231"/>
        <v>1216.5</v>
      </c>
      <c r="M1103" s="58">
        <f t="shared" si="231"/>
        <v>600</v>
      </c>
      <c r="N1103" s="56">
        <f t="shared" si="231"/>
        <v>72.5</v>
      </c>
      <c r="O1103" s="56">
        <f t="shared" si="231"/>
        <v>240</v>
      </c>
      <c r="P1103" s="56">
        <f t="shared" si="231"/>
        <v>110</v>
      </c>
      <c r="Q1103" s="56">
        <f t="shared" si="231"/>
        <v>245</v>
      </c>
      <c r="R1103" s="56">
        <f t="shared" si="231"/>
        <v>100</v>
      </c>
      <c r="S1103" s="56">
        <f t="shared" si="231"/>
        <v>695</v>
      </c>
      <c r="T1103" s="56">
        <f t="shared" si="231"/>
        <v>33.333333333333336</v>
      </c>
      <c r="U1103" s="57"/>
      <c r="V1103" s="57"/>
      <c r="W1103" s="57"/>
      <c r="X1103" s="57"/>
      <c r="Y1103" s="57"/>
      <c r="Z1103" s="57"/>
      <c r="AA1103" s="57"/>
      <c r="AB1103" s="57"/>
      <c r="AC1103" s="57"/>
      <c r="AD1103" s="57"/>
    </row>
    <row r="1104" spans="1:30" ht="15">
      <c r="A1104" s="11">
        <f t="shared" si="207"/>
        <v>2061</v>
      </c>
      <c r="B1104" s="11">
        <f t="shared" si="216"/>
        <v>365</v>
      </c>
      <c r="C1104" s="56">
        <f t="shared" ref="C1104:T1104" si="232">AVERAGE(C499:C510)</f>
        <v>154.75825</v>
      </c>
      <c r="D1104" s="56">
        <f t="shared" si="232"/>
        <v>281.01624999999996</v>
      </c>
      <c r="E1104" s="56">
        <f t="shared" si="232"/>
        <v>109.10050000000001</v>
      </c>
      <c r="F1104" s="56">
        <f t="shared" si="232"/>
        <v>57.04166666666665</v>
      </c>
      <c r="G1104" s="56">
        <f t="shared" si="232"/>
        <v>40</v>
      </c>
      <c r="H1104" s="56">
        <f t="shared" si="232"/>
        <v>174.58333333333334</v>
      </c>
      <c r="I1104" s="56">
        <f t="shared" si="232"/>
        <v>0</v>
      </c>
      <c r="J1104" s="56">
        <f t="shared" si="232"/>
        <v>100</v>
      </c>
      <c r="K1104" s="56">
        <f t="shared" si="232"/>
        <v>300</v>
      </c>
      <c r="L1104" s="56">
        <f t="shared" si="232"/>
        <v>1216.5</v>
      </c>
      <c r="M1104" s="58">
        <f t="shared" si="232"/>
        <v>600</v>
      </c>
      <c r="N1104" s="56">
        <f t="shared" si="232"/>
        <v>72.5</v>
      </c>
      <c r="O1104" s="56">
        <f t="shared" si="232"/>
        <v>240</v>
      </c>
      <c r="P1104" s="56">
        <f t="shared" si="232"/>
        <v>110</v>
      </c>
      <c r="Q1104" s="56">
        <f t="shared" si="232"/>
        <v>245</v>
      </c>
      <c r="R1104" s="56">
        <f t="shared" si="232"/>
        <v>100</v>
      </c>
      <c r="S1104" s="56">
        <f t="shared" si="232"/>
        <v>695</v>
      </c>
      <c r="T1104" s="56">
        <f t="shared" si="232"/>
        <v>33.333333333333336</v>
      </c>
      <c r="U1104" s="57"/>
      <c r="V1104" s="57"/>
      <c r="W1104" s="57"/>
      <c r="X1104" s="57"/>
      <c r="Y1104" s="57"/>
      <c r="Z1104" s="57"/>
      <c r="AA1104" s="57"/>
      <c r="AB1104" s="57"/>
      <c r="AC1104" s="57"/>
      <c r="AD1104" s="57"/>
    </row>
    <row r="1105" spans="1:30" ht="15">
      <c r="A1105" s="11">
        <f t="shared" si="207"/>
        <v>2062</v>
      </c>
      <c r="B1105" s="11">
        <f t="shared" si="216"/>
        <v>365</v>
      </c>
      <c r="C1105" s="56">
        <f t="shared" ref="C1105:L1114" ca="1" si="233">AVERAGE(OFFSET(C$588,($A1105-$A$1105)*12,0,12,1))</f>
        <v>154.75825</v>
      </c>
      <c r="D1105" s="56">
        <f t="shared" ca="1" si="233"/>
        <v>281.0162499999999</v>
      </c>
      <c r="E1105" s="56">
        <f t="shared" ca="1" si="233"/>
        <v>109.1005</v>
      </c>
      <c r="F1105" s="56">
        <f t="shared" ca="1" si="233"/>
        <v>57.041666666666664</v>
      </c>
      <c r="G1105" s="56">
        <f t="shared" ca="1" si="233"/>
        <v>40</v>
      </c>
      <c r="H1105" s="56">
        <f t="shared" ca="1" si="233"/>
        <v>174.58333333333334</v>
      </c>
      <c r="I1105" s="56">
        <f t="shared" ca="1" si="233"/>
        <v>0</v>
      </c>
      <c r="J1105" s="56">
        <f t="shared" ca="1" si="233"/>
        <v>100</v>
      </c>
      <c r="K1105" s="56">
        <f t="shared" ca="1" si="233"/>
        <v>300</v>
      </c>
      <c r="L1105" s="56">
        <f t="shared" ca="1" si="233"/>
        <v>1216.5</v>
      </c>
      <c r="M1105" s="56">
        <f t="shared" ref="M1105:T1114" ca="1" si="234">AVERAGE(OFFSET(M$588,($A1105-$A$1105)*12,0,12,1))</f>
        <v>600</v>
      </c>
      <c r="N1105" s="56">
        <f t="shared" ca="1" si="234"/>
        <v>72.5</v>
      </c>
      <c r="O1105" s="56">
        <f t="shared" ca="1" si="234"/>
        <v>240</v>
      </c>
      <c r="P1105" s="56">
        <f t="shared" ca="1" si="234"/>
        <v>40</v>
      </c>
      <c r="Q1105" s="56">
        <f t="shared" ca="1" si="234"/>
        <v>315</v>
      </c>
      <c r="R1105" s="56">
        <f t="shared" ca="1" si="234"/>
        <v>100</v>
      </c>
      <c r="S1105" s="56">
        <f t="shared" ca="1" si="234"/>
        <v>695</v>
      </c>
      <c r="T1105" s="56">
        <f t="shared" ca="1" si="234"/>
        <v>33.333333333333336</v>
      </c>
      <c r="U1105" s="57"/>
      <c r="V1105" s="57"/>
      <c r="W1105" s="57"/>
      <c r="X1105" s="57"/>
      <c r="Y1105" s="57"/>
      <c r="Z1105" s="57"/>
      <c r="AA1105" s="57"/>
      <c r="AB1105" s="57"/>
      <c r="AC1105" s="57"/>
      <c r="AD1105" s="57"/>
    </row>
    <row r="1106" spans="1:30" ht="15">
      <c r="A1106" s="11">
        <f t="shared" si="207"/>
        <v>2063</v>
      </c>
      <c r="B1106" s="11">
        <f t="shared" si="216"/>
        <v>365</v>
      </c>
      <c r="C1106" s="56">
        <f t="shared" ca="1" si="233"/>
        <v>154.75825</v>
      </c>
      <c r="D1106" s="56">
        <f t="shared" ca="1" si="233"/>
        <v>281.0162499999999</v>
      </c>
      <c r="E1106" s="56">
        <f t="shared" ca="1" si="233"/>
        <v>109.1005</v>
      </c>
      <c r="F1106" s="56">
        <f t="shared" ca="1" si="233"/>
        <v>57.041666666666664</v>
      </c>
      <c r="G1106" s="56">
        <f t="shared" ca="1" si="233"/>
        <v>40</v>
      </c>
      <c r="H1106" s="56">
        <f t="shared" ca="1" si="233"/>
        <v>174.58333333333334</v>
      </c>
      <c r="I1106" s="56">
        <f t="shared" ca="1" si="233"/>
        <v>0</v>
      </c>
      <c r="J1106" s="56">
        <f t="shared" ca="1" si="233"/>
        <v>100</v>
      </c>
      <c r="K1106" s="56">
        <f t="shared" ca="1" si="233"/>
        <v>300</v>
      </c>
      <c r="L1106" s="56">
        <f t="shared" ca="1" si="233"/>
        <v>1216.5</v>
      </c>
      <c r="M1106" s="56">
        <f t="shared" ca="1" si="234"/>
        <v>600</v>
      </c>
      <c r="N1106" s="56">
        <f t="shared" ca="1" si="234"/>
        <v>72.5</v>
      </c>
      <c r="O1106" s="56">
        <f t="shared" ca="1" si="234"/>
        <v>240</v>
      </c>
      <c r="P1106" s="56">
        <f t="shared" ca="1" si="234"/>
        <v>40</v>
      </c>
      <c r="Q1106" s="56">
        <f t="shared" ca="1" si="234"/>
        <v>315</v>
      </c>
      <c r="R1106" s="56">
        <f t="shared" ca="1" si="234"/>
        <v>100</v>
      </c>
      <c r="S1106" s="56">
        <f t="shared" ca="1" si="234"/>
        <v>695</v>
      </c>
      <c r="T1106" s="56">
        <f t="shared" ca="1" si="234"/>
        <v>33.333333333333336</v>
      </c>
      <c r="U1106" s="57"/>
      <c r="V1106" s="57"/>
      <c r="W1106" s="57"/>
      <c r="X1106" s="57"/>
      <c r="Y1106" s="57"/>
      <c r="Z1106" s="57"/>
      <c r="AA1106" s="57"/>
      <c r="AB1106" s="57"/>
      <c r="AC1106" s="57"/>
      <c r="AD1106" s="57"/>
    </row>
    <row r="1107" spans="1:30" ht="15">
      <c r="A1107" s="11">
        <f t="shared" si="207"/>
        <v>2064</v>
      </c>
      <c r="B1107" s="11">
        <f t="shared" si="216"/>
        <v>366</v>
      </c>
      <c r="C1107" s="56">
        <f t="shared" ca="1" si="233"/>
        <v>154.75825</v>
      </c>
      <c r="D1107" s="56">
        <f t="shared" ca="1" si="233"/>
        <v>281.0162499999999</v>
      </c>
      <c r="E1107" s="56">
        <f t="shared" ca="1" si="233"/>
        <v>109.1005</v>
      </c>
      <c r="F1107" s="56">
        <f t="shared" ca="1" si="233"/>
        <v>57.041666666666664</v>
      </c>
      <c r="G1107" s="56">
        <f t="shared" ca="1" si="233"/>
        <v>40</v>
      </c>
      <c r="H1107" s="56">
        <f t="shared" ca="1" si="233"/>
        <v>174.58333333333334</v>
      </c>
      <c r="I1107" s="56">
        <f t="shared" ca="1" si="233"/>
        <v>0</v>
      </c>
      <c r="J1107" s="56">
        <f t="shared" ca="1" si="233"/>
        <v>100</v>
      </c>
      <c r="K1107" s="56">
        <f t="shared" ca="1" si="233"/>
        <v>300</v>
      </c>
      <c r="L1107" s="56">
        <f t="shared" ca="1" si="233"/>
        <v>1216.5</v>
      </c>
      <c r="M1107" s="56">
        <f t="shared" ca="1" si="234"/>
        <v>600</v>
      </c>
      <c r="N1107" s="56">
        <f t="shared" ca="1" si="234"/>
        <v>72.5</v>
      </c>
      <c r="O1107" s="56">
        <f t="shared" ca="1" si="234"/>
        <v>240</v>
      </c>
      <c r="P1107" s="56">
        <f t="shared" ca="1" si="234"/>
        <v>40</v>
      </c>
      <c r="Q1107" s="56">
        <f t="shared" ca="1" si="234"/>
        <v>315</v>
      </c>
      <c r="R1107" s="56">
        <f t="shared" ca="1" si="234"/>
        <v>100</v>
      </c>
      <c r="S1107" s="56">
        <f t="shared" ca="1" si="234"/>
        <v>695</v>
      </c>
      <c r="T1107" s="56">
        <f t="shared" ca="1" si="234"/>
        <v>33.333333333333336</v>
      </c>
      <c r="U1107" s="57"/>
      <c r="V1107" s="57"/>
      <c r="W1107" s="57"/>
      <c r="X1107" s="57"/>
      <c r="Y1107" s="57"/>
      <c r="Z1107" s="57"/>
      <c r="AA1107" s="57"/>
      <c r="AB1107" s="57"/>
      <c r="AC1107" s="57"/>
      <c r="AD1107" s="57"/>
    </row>
    <row r="1108" spans="1:30" ht="15">
      <c r="A1108" s="11">
        <f t="shared" si="207"/>
        <v>2065</v>
      </c>
      <c r="B1108" s="11">
        <f t="shared" si="216"/>
        <v>365</v>
      </c>
      <c r="C1108" s="56">
        <f t="shared" ca="1" si="233"/>
        <v>154.75825</v>
      </c>
      <c r="D1108" s="56">
        <f t="shared" ca="1" si="233"/>
        <v>281.0162499999999</v>
      </c>
      <c r="E1108" s="56">
        <f t="shared" ca="1" si="233"/>
        <v>109.1005</v>
      </c>
      <c r="F1108" s="56">
        <f t="shared" ca="1" si="233"/>
        <v>57.041666666666664</v>
      </c>
      <c r="G1108" s="56">
        <f t="shared" ca="1" si="233"/>
        <v>40</v>
      </c>
      <c r="H1108" s="56">
        <f t="shared" ca="1" si="233"/>
        <v>174.58333333333334</v>
      </c>
      <c r="I1108" s="56">
        <f t="shared" ca="1" si="233"/>
        <v>0</v>
      </c>
      <c r="J1108" s="56">
        <f t="shared" ca="1" si="233"/>
        <v>100</v>
      </c>
      <c r="K1108" s="56">
        <f t="shared" ca="1" si="233"/>
        <v>300</v>
      </c>
      <c r="L1108" s="56">
        <f t="shared" ca="1" si="233"/>
        <v>1216.5</v>
      </c>
      <c r="M1108" s="56">
        <f t="shared" ca="1" si="234"/>
        <v>600</v>
      </c>
      <c r="N1108" s="56">
        <f t="shared" ca="1" si="234"/>
        <v>72.5</v>
      </c>
      <c r="O1108" s="56">
        <f t="shared" ca="1" si="234"/>
        <v>240</v>
      </c>
      <c r="P1108" s="56">
        <f t="shared" ca="1" si="234"/>
        <v>40</v>
      </c>
      <c r="Q1108" s="56">
        <f t="shared" ca="1" si="234"/>
        <v>315</v>
      </c>
      <c r="R1108" s="56">
        <f t="shared" ca="1" si="234"/>
        <v>100</v>
      </c>
      <c r="S1108" s="56">
        <f t="shared" ca="1" si="234"/>
        <v>695</v>
      </c>
      <c r="T1108" s="56">
        <f t="shared" ca="1" si="234"/>
        <v>33.333333333333336</v>
      </c>
      <c r="U1108" s="57"/>
      <c r="V1108" s="57"/>
      <c r="W1108" s="57"/>
      <c r="X1108" s="57"/>
      <c r="Y1108" s="57"/>
      <c r="Z1108" s="57"/>
      <c r="AA1108" s="57"/>
      <c r="AB1108" s="57"/>
      <c r="AC1108" s="57"/>
      <c r="AD1108" s="57"/>
    </row>
    <row r="1109" spans="1:30" ht="15">
      <c r="A1109" s="11">
        <f t="shared" si="207"/>
        <v>2066</v>
      </c>
      <c r="B1109" s="11">
        <f t="shared" si="216"/>
        <v>365</v>
      </c>
      <c r="C1109" s="56">
        <f t="shared" ca="1" si="233"/>
        <v>154.75825</v>
      </c>
      <c r="D1109" s="56">
        <f t="shared" ca="1" si="233"/>
        <v>281.0162499999999</v>
      </c>
      <c r="E1109" s="56">
        <f t="shared" ca="1" si="233"/>
        <v>109.1005</v>
      </c>
      <c r="F1109" s="56">
        <f t="shared" ca="1" si="233"/>
        <v>57.041666666666664</v>
      </c>
      <c r="G1109" s="56">
        <f t="shared" ca="1" si="233"/>
        <v>40</v>
      </c>
      <c r="H1109" s="56">
        <f t="shared" ca="1" si="233"/>
        <v>174.58333333333334</v>
      </c>
      <c r="I1109" s="56">
        <f t="shared" ca="1" si="233"/>
        <v>0</v>
      </c>
      <c r="J1109" s="56">
        <f t="shared" ca="1" si="233"/>
        <v>100</v>
      </c>
      <c r="K1109" s="56">
        <f t="shared" ca="1" si="233"/>
        <v>300</v>
      </c>
      <c r="L1109" s="56">
        <f t="shared" ca="1" si="233"/>
        <v>1216.5</v>
      </c>
      <c r="M1109" s="56">
        <f t="shared" ca="1" si="234"/>
        <v>600</v>
      </c>
      <c r="N1109" s="56">
        <f t="shared" ca="1" si="234"/>
        <v>72.5</v>
      </c>
      <c r="O1109" s="56">
        <f t="shared" ca="1" si="234"/>
        <v>240</v>
      </c>
      <c r="P1109" s="56">
        <f t="shared" ca="1" si="234"/>
        <v>40</v>
      </c>
      <c r="Q1109" s="56">
        <f t="shared" ca="1" si="234"/>
        <v>315</v>
      </c>
      <c r="R1109" s="56">
        <f t="shared" ca="1" si="234"/>
        <v>100</v>
      </c>
      <c r="S1109" s="56">
        <f t="shared" ca="1" si="234"/>
        <v>695</v>
      </c>
      <c r="T1109" s="56">
        <f t="shared" ca="1" si="234"/>
        <v>33.333333333333336</v>
      </c>
      <c r="U1109" s="57"/>
      <c r="V1109" s="57"/>
      <c r="W1109" s="57"/>
      <c r="X1109" s="57"/>
      <c r="Y1109" s="57"/>
      <c r="Z1109" s="57"/>
      <c r="AA1109" s="57"/>
      <c r="AB1109" s="57"/>
      <c r="AC1109" s="57"/>
      <c r="AD1109" s="57"/>
    </row>
    <row r="1110" spans="1:30" ht="15">
      <c r="A1110" s="11">
        <f t="shared" si="207"/>
        <v>2067</v>
      </c>
      <c r="B1110" s="11">
        <f t="shared" si="216"/>
        <v>365</v>
      </c>
      <c r="C1110" s="56">
        <f t="shared" ca="1" si="233"/>
        <v>154.75825</v>
      </c>
      <c r="D1110" s="56">
        <f t="shared" ca="1" si="233"/>
        <v>281.0162499999999</v>
      </c>
      <c r="E1110" s="56">
        <f t="shared" ca="1" si="233"/>
        <v>109.1005</v>
      </c>
      <c r="F1110" s="56">
        <f t="shared" ca="1" si="233"/>
        <v>57.041666666666664</v>
      </c>
      <c r="G1110" s="56">
        <f t="shared" ca="1" si="233"/>
        <v>40</v>
      </c>
      <c r="H1110" s="56">
        <f t="shared" ca="1" si="233"/>
        <v>174.58333333333334</v>
      </c>
      <c r="I1110" s="56">
        <f t="shared" ca="1" si="233"/>
        <v>0</v>
      </c>
      <c r="J1110" s="56">
        <f t="shared" ca="1" si="233"/>
        <v>100</v>
      </c>
      <c r="K1110" s="56">
        <f t="shared" ca="1" si="233"/>
        <v>300</v>
      </c>
      <c r="L1110" s="56">
        <f t="shared" ca="1" si="233"/>
        <v>1216.5</v>
      </c>
      <c r="M1110" s="56">
        <f t="shared" ca="1" si="234"/>
        <v>600</v>
      </c>
      <c r="N1110" s="56">
        <f t="shared" ca="1" si="234"/>
        <v>72.5</v>
      </c>
      <c r="O1110" s="56">
        <f t="shared" ca="1" si="234"/>
        <v>240</v>
      </c>
      <c r="P1110" s="56">
        <f t="shared" ca="1" si="234"/>
        <v>40</v>
      </c>
      <c r="Q1110" s="56">
        <f t="shared" ca="1" si="234"/>
        <v>315</v>
      </c>
      <c r="R1110" s="56">
        <f t="shared" ca="1" si="234"/>
        <v>100</v>
      </c>
      <c r="S1110" s="56">
        <f t="shared" ca="1" si="234"/>
        <v>695</v>
      </c>
      <c r="T1110" s="56">
        <f t="shared" ca="1" si="234"/>
        <v>33.333333333333336</v>
      </c>
      <c r="U1110" s="57"/>
      <c r="V1110" s="57"/>
      <c r="W1110" s="57"/>
      <c r="X1110" s="57"/>
      <c r="Y1110" s="57"/>
      <c r="Z1110" s="57"/>
      <c r="AA1110" s="57"/>
      <c r="AB1110" s="57"/>
      <c r="AC1110" s="57"/>
      <c r="AD1110" s="57"/>
    </row>
    <row r="1111" spans="1:30" ht="15">
      <c r="A1111" s="11">
        <f t="shared" si="207"/>
        <v>2068</v>
      </c>
      <c r="B1111" s="11">
        <f t="shared" si="216"/>
        <v>366</v>
      </c>
      <c r="C1111" s="56">
        <f t="shared" ca="1" si="233"/>
        <v>154.75825</v>
      </c>
      <c r="D1111" s="56">
        <f t="shared" ca="1" si="233"/>
        <v>281.0162499999999</v>
      </c>
      <c r="E1111" s="56">
        <f t="shared" ca="1" si="233"/>
        <v>109.1005</v>
      </c>
      <c r="F1111" s="56">
        <f t="shared" ca="1" si="233"/>
        <v>57.041666666666664</v>
      </c>
      <c r="G1111" s="56">
        <f t="shared" ca="1" si="233"/>
        <v>40</v>
      </c>
      <c r="H1111" s="56">
        <f t="shared" ca="1" si="233"/>
        <v>174.58333333333334</v>
      </c>
      <c r="I1111" s="56">
        <f t="shared" ca="1" si="233"/>
        <v>0</v>
      </c>
      <c r="J1111" s="56">
        <f t="shared" ca="1" si="233"/>
        <v>100</v>
      </c>
      <c r="K1111" s="56">
        <f t="shared" ca="1" si="233"/>
        <v>300</v>
      </c>
      <c r="L1111" s="56">
        <f t="shared" ca="1" si="233"/>
        <v>1216.5</v>
      </c>
      <c r="M1111" s="56">
        <f t="shared" ca="1" si="234"/>
        <v>600</v>
      </c>
      <c r="N1111" s="56">
        <f t="shared" ca="1" si="234"/>
        <v>72.5</v>
      </c>
      <c r="O1111" s="56">
        <f t="shared" ca="1" si="234"/>
        <v>240</v>
      </c>
      <c r="P1111" s="56">
        <f t="shared" ca="1" si="234"/>
        <v>40</v>
      </c>
      <c r="Q1111" s="56">
        <f t="shared" ca="1" si="234"/>
        <v>315</v>
      </c>
      <c r="R1111" s="56">
        <f t="shared" ca="1" si="234"/>
        <v>100</v>
      </c>
      <c r="S1111" s="56">
        <f t="shared" ca="1" si="234"/>
        <v>695</v>
      </c>
      <c r="T1111" s="56">
        <f t="shared" ca="1" si="234"/>
        <v>33.333333333333336</v>
      </c>
      <c r="U1111" s="57"/>
      <c r="V1111" s="57"/>
      <c r="W1111" s="57"/>
      <c r="X1111" s="57"/>
      <c r="Y1111" s="57"/>
      <c r="Z1111" s="57"/>
      <c r="AA1111" s="57"/>
      <c r="AB1111" s="57"/>
      <c r="AC1111" s="57"/>
      <c r="AD1111" s="57"/>
    </row>
    <row r="1112" spans="1:30" ht="15">
      <c r="A1112" s="11">
        <f t="shared" si="207"/>
        <v>2069</v>
      </c>
      <c r="B1112" s="11">
        <f t="shared" si="216"/>
        <v>365</v>
      </c>
      <c r="C1112" s="56">
        <f t="shared" ca="1" si="233"/>
        <v>154.75825</v>
      </c>
      <c r="D1112" s="56">
        <f t="shared" ca="1" si="233"/>
        <v>281.0162499999999</v>
      </c>
      <c r="E1112" s="56">
        <f t="shared" ca="1" si="233"/>
        <v>109.1005</v>
      </c>
      <c r="F1112" s="56">
        <f t="shared" ca="1" si="233"/>
        <v>57.041666666666664</v>
      </c>
      <c r="G1112" s="56">
        <f t="shared" ca="1" si="233"/>
        <v>40</v>
      </c>
      <c r="H1112" s="56">
        <f t="shared" ca="1" si="233"/>
        <v>174.58333333333334</v>
      </c>
      <c r="I1112" s="56">
        <f t="shared" ca="1" si="233"/>
        <v>0</v>
      </c>
      <c r="J1112" s="56">
        <f t="shared" ca="1" si="233"/>
        <v>100</v>
      </c>
      <c r="K1112" s="56">
        <f t="shared" ca="1" si="233"/>
        <v>300</v>
      </c>
      <c r="L1112" s="56">
        <f t="shared" ca="1" si="233"/>
        <v>1216.5</v>
      </c>
      <c r="M1112" s="56">
        <f t="shared" ca="1" si="234"/>
        <v>600</v>
      </c>
      <c r="N1112" s="56">
        <f t="shared" ca="1" si="234"/>
        <v>72.5</v>
      </c>
      <c r="O1112" s="56">
        <f t="shared" ca="1" si="234"/>
        <v>240</v>
      </c>
      <c r="P1112" s="56">
        <f t="shared" ca="1" si="234"/>
        <v>40</v>
      </c>
      <c r="Q1112" s="56">
        <f t="shared" ca="1" si="234"/>
        <v>315</v>
      </c>
      <c r="R1112" s="56">
        <f t="shared" ca="1" si="234"/>
        <v>100</v>
      </c>
      <c r="S1112" s="56">
        <f t="shared" ca="1" si="234"/>
        <v>695</v>
      </c>
      <c r="T1112" s="56">
        <f t="shared" ca="1" si="234"/>
        <v>33.333333333333336</v>
      </c>
      <c r="U1112" s="57"/>
      <c r="V1112" s="57"/>
      <c r="W1112" s="57"/>
      <c r="X1112" s="57"/>
      <c r="Y1112" s="57"/>
      <c r="Z1112" s="57"/>
      <c r="AA1112" s="57"/>
      <c r="AB1112" s="57"/>
      <c r="AC1112" s="57"/>
      <c r="AD1112" s="57"/>
    </row>
    <row r="1113" spans="1:30" ht="15">
      <c r="A1113" s="11">
        <f t="shared" ref="A1113:A1143" si="235">A1112+1</f>
        <v>2070</v>
      </c>
      <c r="B1113" s="11">
        <f t="shared" si="216"/>
        <v>365</v>
      </c>
      <c r="C1113" s="56">
        <f t="shared" ca="1" si="233"/>
        <v>154.75825</v>
      </c>
      <c r="D1113" s="56">
        <f t="shared" ca="1" si="233"/>
        <v>281.0162499999999</v>
      </c>
      <c r="E1113" s="56">
        <f t="shared" ca="1" si="233"/>
        <v>109.1005</v>
      </c>
      <c r="F1113" s="56">
        <f t="shared" ca="1" si="233"/>
        <v>57.041666666666664</v>
      </c>
      <c r="G1113" s="56">
        <f t="shared" ca="1" si="233"/>
        <v>40</v>
      </c>
      <c r="H1113" s="56">
        <f t="shared" ca="1" si="233"/>
        <v>174.58333333333334</v>
      </c>
      <c r="I1113" s="56">
        <f t="shared" ca="1" si="233"/>
        <v>0</v>
      </c>
      <c r="J1113" s="56">
        <f t="shared" ca="1" si="233"/>
        <v>100</v>
      </c>
      <c r="K1113" s="56">
        <f t="shared" ca="1" si="233"/>
        <v>300</v>
      </c>
      <c r="L1113" s="56">
        <f t="shared" ca="1" si="233"/>
        <v>1216.5</v>
      </c>
      <c r="M1113" s="56">
        <f t="shared" ca="1" si="234"/>
        <v>600</v>
      </c>
      <c r="N1113" s="56">
        <f t="shared" ca="1" si="234"/>
        <v>72.5</v>
      </c>
      <c r="O1113" s="56">
        <f t="shared" ca="1" si="234"/>
        <v>240</v>
      </c>
      <c r="P1113" s="56">
        <f t="shared" ca="1" si="234"/>
        <v>40</v>
      </c>
      <c r="Q1113" s="56">
        <f t="shared" ca="1" si="234"/>
        <v>315</v>
      </c>
      <c r="R1113" s="56">
        <f t="shared" ca="1" si="234"/>
        <v>100</v>
      </c>
      <c r="S1113" s="56">
        <f t="shared" ca="1" si="234"/>
        <v>695</v>
      </c>
      <c r="T1113" s="56">
        <f t="shared" ca="1" si="234"/>
        <v>33.333333333333336</v>
      </c>
      <c r="U1113" s="57"/>
      <c r="V1113" s="57"/>
      <c r="W1113" s="57"/>
      <c r="X1113" s="57"/>
      <c r="Y1113" s="57"/>
      <c r="Z1113" s="57"/>
      <c r="AA1113" s="57"/>
      <c r="AB1113" s="57"/>
      <c r="AC1113" s="57"/>
      <c r="AD1113" s="57"/>
    </row>
    <row r="1114" spans="1:30" ht="15">
      <c r="A1114" s="11">
        <f t="shared" si="235"/>
        <v>2071</v>
      </c>
      <c r="B1114" s="11">
        <f t="shared" si="216"/>
        <v>365</v>
      </c>
      <c r="C1114" s="56">
        <f t="shared" ca="1" si="233"/>
        <v>154.75825</v>
      </c>
      <c r="D1114" s="56">
        <f t="shared" ca="1" si="233"/>
        <v>281.0162499999999</v>
      </c>
      <c r="E1114" s="56">
        <f t="shared" ca="1" si="233"/>
        <v>109.1005</v>
      </c>
      <c r="F1114" s="56">
        <f t="shared" ca="1" si="233"/>
        <v>57.041666666666664</v>
      </c>
      <c r="G1114" s="56">
        <f t="shared" ca="1" si="233"/>
        <v>40</v>
      </c>
      <c r="H1114" s="56">
        <f t="shared" ca="1" si="233"/>
        <v>174.58333333333334</v>
      </c>
      <c r="I1114" s="56">
        <f t="shared" ca="1" si="233"/>
        <v>0</v>
      </c>
      <c r="J1114" s="56">
        <f t="shared" ca="1" si="233"/>
        <v>100</v>
      </c>
      <c r="K1114" s="56">
        <f t="shared" ca="1" si="233"/>
        <v>300</v>
      </c>
      <c r="L1114" s="56">
        <f t="shared" ca="1" si="233"/>
        <v>1216.5</v>
      </c>
      <c r="M1114" s="56">
        <f t="shared" ca="1" si="234"/>
        <v>600</v>
      </c>
      <c r="N1114" s="56">
        <f t="shared" ca="1" si="234"/>
        <v>72.5</v>
      </c>
      <c r="O1114" s="56">
        <f t="shared" ca="1" si="234"/>
        <v>240</v>
      </c>
      <c r="P1114" s="56">
        <f t="shared" ca="1" si="234"/>
        <v>40</v>
      </c>
      <c r="Q1114" s="56">
        <f t="shared" ca="1" si="234"/>
        <v>315</v>
      </c>
      <c r="R1114" s="56">
        <f t="shared" ca="1" si="234"/>
        <v>100</v>
      </c>
      <c r="S1114" s="56">
        <f t="shared" ca="1" si="234"/>
        <v>695</v>
      </c>
      <c r="T1114" s="56">
        <f t="shared" ca="1" si="234"/>
        <v>33.333333333333336</v>
      </c>
      <c r="U1114" s="57"/>
      <c r="V1114" s="57"/>
      <c r="W1114" s="57"/>
      <c r="X1114" s="57"/>
      <c r="Y1114" s="57"/>
      <c r="Z1114" s="57"/>
      <c r="AA1114" s="57"/>
      <c r="AB1114" s="57"/>
      <c r="AC1114" s="57"/>
      <c r="AD1114" s="57"/>
    </row>
    <row r="1115" spans="1:30" ht="15">
      <c r="A1115" s="11">
        <f t="shared" si="235"/>
        <v>2072</v>
      </c>
      <c r="B1115" s="11">
        <f t="shared" si="216"/>
        <v>366</v>
      </c>
      <c r="C1115" s="56">
        <f t="shared" ref="C1115:L1124" ca="1" si="236">AVERAGE(OFFSET(C$588,($A1115-$A$1105)*12,0,12,1))</f>
        <v>154.75825</v>
      </c>
      <c r="D1115" s="56">
        <f t="shared" ca="1" si="236"/>
        <v>281.0162499999999</v>
      </c>
      <c r="E1115" s="56">
        <f t="shared" ca="1" si="236"/>
        <v>109.1005</v>
      </c>
      <c r="F1115" s="56">
        <f t="shared" ca="1" si="236"/>
        <v>57.041666666666664</v>
      </c>
      <c r="G1115" s="56">
        <f t="shared" ca="1" si="236"/>
        <v>40</v>
      </c>
      <c r="H1115" s="56">
        <f t="shared" ca="1" si="236"/>
        <v>174.58333333333334</v>
      </c>
      <c r="I1115" s="56">
        <f t="shared" ca="1" si="236"/>
        <v>0</v>
      </c>
      <c r="J1115" s="56">
        <f t="shared" ca="1" si="236"/>
        <v>100</v>
      </c>
      <c r="K1115" s="56">
        <f t="shared" ca="1" si="236"/>
        <v>300</v>
      </c>
      <c r="L1115" s="56">
        <f t="shared" ca="1" si="236"/>
        <v>1216.5</v>
      </c>
      <c r="M1115" s="56">
        <f t="shared" ref="M1115:T1124" ca="1" si="237">AVERAGE(OFFSET(M$588,($A1115-$A$1105)*12,0,12,1))</f>
        <v>600</v>
      </c>
      <c r="N1115" s="56">
        <f t="shared" ca="1" si="237"/>
        <v>72.5</v>
      </c>
      <c r="O1115" s="56">
        <f t="shared" ca="1" si="237"/>
        <v>240</v>
      </c>
      <c r="P1115" s="56">
        <f t="shared" ca="1" si="237"/>
        <v>40</v>
      </c>
      <c r="Q1115" s="56">
        <f t="shared" ca="1" si="237"/>
        <v>315</v>
      </c>
      <c r="R1115" s="56">
        <f t="shared" ca="1" si="237"/>
        <v>100</v>
      </c>
      <c r="S1115" s="56">
        <f t="shared" ca="1" si="237"/>
        <v>695</v>
      </c>
      <c r="T1115" s="56">
        <f t="shared" ca="1" si="237"/>
        <v>33.333333333333336</v>
      </c>
      <c r="U1115" s="57"/>
      <c r="V1115" s="57"/>
      <c r="W1115" s="57"/>
      <c r="X1115" s="57"/>
      <c r="Y1115" s="57"/>
      <c r="Z1115" s="57"/>
      <c r="AA1115" s="57"/>
      <c r="AB1115" s="57"/>
      <c r="AC1115" s="57"/>
      <c r="AD1115" s="57"/>
    </row>
    <row r="1116" spans="1:30" ht="15">
      <c r="A1116" s="11">
        <f t="shared" si="235"/>
        <v>2073</v>
      </c>
      <c r="B1116" s="11">
        <f t="shared" si="216"/>
        <v>365</v>
      </c>
      <c r="C1116" s="56">
        <f t="shared" ca="1" si="236"/>
        <v>154.75825</v>
      </c>
      <c r="D1116" s="56">
        <f t="shared" ca="1" si="236"/>
        <v>281.0162499999999</v>
      </c>
      <c r="E1116" s="56">
        <f t="shared" ca="1" si="236"/>
        <v>109.1005</v>
      </c>
      <c r="F1116" s="56">
        <f t="shared" ca="1" si="236"/>
        <v>57.041666666666664</v>
      </c>
      <c r="G1116" s="56">
        <f t="shared" ca="1" si="236"/>
        <v>40</v>
      </c>
      <c r="H1116" s="56">
        <f t="shared" ca="1" si="236"/>
        <v>174.58333333333334</v>
      </c>
      <c r="I1116" s="56">
        <f t="shared" ca="1" si="236"/>
        <v>0</v>
      </c>
      <c r="J1116" s="56">
        <f t="shared" ca="1" si="236"/>
        <v>100</v>
      </c>
      <c r="K1116" s="56">
        <f t="shared" ca="1" si="236"/>
        <v>300</v>
      </c>
      <c r="L1116" s="56">
        <f t="shared" ca="1" si="236"/>
        <v>1216.5</v>
      </c>
      <c r="M1116" s="56">
        <f t="shared" ca="1" si="237"/>
        <v>600</v>
      </c>
      <c r="N1116" s="56">
        <f t="shared" ca="1" si="237"/>
        <v>72.5</v>
      </c>
      <c r="O1116" s="56">
        <f t="shared" ca="1" si="237"/>
        <v>240</v>
      </c>
      <c r="P1116" s="56">
        <f t="shared" ca="1" si="237"/>
        <v>40</v>
      </c>
      <c r="Q1116" s="56">
        <f t="shared" ca="1" si="237"/>
        <v>315</v>
      </c>
      <c r="R1116" s="56">
        <f t="shared" ca="1" si="237"/>
        <v>100</v>
      </c>
      <c r="S1116" s="56">
        <f t="shared" ca="1" si="237"/>
        <v>695</v>
      </c>
      <c r="T1116" s="56">
        <f t="shared" ca="1" si="237"/>
        <v>33.333333333333336</v>
      </c>
      <c r="U1116" s="57"/>
      <c r="V1116" s="57"/>
      <c r="W1116" s="57"/>
      <c r="X1116" s="57"/>
      <c r="Y1116" s="57"/>
      <c r="Z1116" s="57"/>
      <c r="AA1116" s="57"/>
      <c r="AB1116" s="57"/>
      <c r="AC1116" s="57"/>
      <c r="AD1116" s="57"/>
    </row>
    <row r="1117" spans="1:30" ht="15">
      <c r="A1117" s="11">
        <f t="shared" si="235"/>
        <v>2074</v>
      </c>
      <c r="B1117" s="11">
        <f t="shared" si="216"/>
        <v>365</v>
      </c>
      <c r="C1117" s="56">
        <f t="shared" ca="1" si="236"/>
        <v>154.75825</v>
      </c>
      <c r="D1117" s="56">
        <f t="shared" ca="1" si="236"/>
        <v>281.0162499999999</v>
      </c>
      <c r="E1117" s="56">
        <f t="shared" ca="1" si="236"/>
        <v>109.1005</v>
      </c>
      <c r="F1117" s="56">
        <f t="shared" ca="1" si="236"/>
        <v>57.041666666666664</v>
      </c>
      <c r="G1117" s="56">
        <f t="shared" ca="1" si="236"/>
        <v>40</v>
      </c>
      <c r="H1117" s="56">
        <f t="shared" ca="1" si="236"/>
        <v>174.58333333333334</v>
      </c>
      <c r="I1117" s="56">
        <f t="shared" ca="1" si="236"/>
        <v>0</v>
      </c>
      <c r="J1117" s="56">
        <f t="shared" ca="1" si="236"/>
        <v>100</v>
      </c>
      <c r="K1117" s="56">
        <f t="shared" ca="1" si="236"/>
        <v>300</v>
      </c>
      <c r="L1117" s="56">
        <f t="shared" ca="1" si="236"/>
        <v>1216.5</v>
      </c>
      <c r="M1117" s="56">
        <f t="shared" ca="1" si="237"/>
        <v>600</v>
      </c>
      <c r="N1117" s="56">
        <f t="shared" ca="1" si="237"/>
        <v>72.5</v>
      </c>
      <c r="O1117" s="56">
        <f t="shared" ca="1" si="237"/>
        <v>240</v>
      </c>
      <c r="P1117" s="56">
        <f t="shared" ca="1" si="237"/>
        <v>40</v>
      </c>
      <c r="Q1117" s="56">
        <f t="shared" ca="1" si="237"/>
        <v>315</v>
      </c>
      <c r="R1117" s="56">
        <f t="shared" ca="1" si="237"/>
        <v>100</v>
      </c>
      <c r="S1117" s="56">
        <f t="shared" ca="1" si="237"/>
        <v>695</v>
      </c>
      <c r="T1117" s="56">
        <f t="shared" ca="1" si="237"/>
        <v>33.333333333333336</v>
      </c>
      <c r="U1117" s="57"/>
      <c r="V1117" s="57"/>
      <c r="W1117" s="57"/>
      <c r="X1117" s="57"/>
      <c r="Y1117" s="57"/>
      <c r="Z1117" s="57"/>
      <c r="AA1117" s="57"/>
      <c r="AB1117" s="57"/>
      <c r="AC1117" s="57"/>
      <c r="AD1117" s="57"/>
    </row>
    <row r="1118" spans="1:30" ht="15">
      <c r="A1118" s="11">
        <f t="shared" si="235"/>
        <v>2075</v>
      </c>
      <c r="B1118" s="11">
        <f t="shared" si="216"/>
        <v>365</v>
      </c>
      <c r="C1118" s="56">
        <f t="shared" ca="1" si="236"/>
        <v>154.75825</v>
      </c>
      <c r="D1118" s="56">
        <f t="shared" ca="1" si="236"/>
        <v>281.0162499999999</v>
      </c>
      <c r="E1118" s="56">
        <f t="shared" ca="1" si="236"/>
        <v>109.1005</v>
      </c>
      <c r="F1118" s="56">
        <f t="shared" ca="1" si="236"/>
        <v>57.041666666666664</v>
      </c>
      <c r="G1118" s="56">
        <f t="shared" ca="1" si="236"/>
        <v>40</v>
      </c>
      <c r="H1118" s="56">
        <f t="shared" ca="1" si="236"/>
        <v>174.58333333333334</v>
      </c>
      <c r="I1118" s="56">
        <f t="shared" ca="1" si="236"/>
        <v>0</v>
      </c>
      <c r="J1118" s="56">
        <f t="shared" ca="1" si="236"/>
        <v>100</v>
      </c>
      <c r="K1118" s="56">
        <f t="shared" ca="1" si="236"/>
        <v>300</v>
      </c>
      <c r="L1118" s="56">
        <f t="shared" ca="1" si="236"/>
        <v>1216.5</v>
      </c>
      <c r="M1118" s="56">
        <f t="shared" ca="1" si="237"/>
        <v>600</v>
      </c>
      <c r="N1118" s="56">
        <f t="shared" ca="1" si="237"/>
        <v>72.5</v>
      </c>
      <c r="O1118" s="56">
        <f t="shared" ca="1" si="237"/>
        <v>240</v>
      </c>
      <c r="P1118" s="56">
        <f t="shared" ca="1" si="237"/>
        <v>40</v>
      </c>
      <c r="Q1118" s="56">
        <f t="shared" ca="1" si="237"/>
        <v>315</v>
      </c>
      <c r="R1118" s="56">
        <f t="shared" ca="1" si="237"/>
        <v>100</v>
      </c>
      <c r="S1118" s="56">
        <f t="shared" ca="1" si="237"/>
        <v>695</v>
      </c>
      <c r="T1118" s="56">
        <f t="shared" ca="1" si="237"/>
        <v>33.333333333333336</v>
      </c>
      <c r="U1118" s="57"/>
      <c r="V1118" s="57"/>
      <c r="W1118" s="57"/>
      <c r="X1118" s="57"/>
      <c r="Y1118" s="57"/>
      <c r="Z1118" s="57"/>
      <c r="AA1118" s="57"/>
      <c r="AB1118" s="57"/>
      <c r="AC1118" s="57"/>
      <c r="AD1118" s="57"/>
    </row>
    <row r="1119" spans="1:30" ht="15">
      <c r="A1119" s="11">
        <f t="shared" si="235"/>
        <v>2076</v>
      </c>
      <c r="B1119" s="11">
        <f t="shared" si="216"/>
        <v>366</v>
      </c>
      <c r="C1119" s="56">
        <f t="shared" ca="1" si="236"/>
        <v>154.75825</v>
      </c>
      <c r="D1119" s="56">
        <f t="shared" ca="1" si="236"/>
        <v>281.0162499999999</v>
      </c>
      <c r="E1119" s="56">
        <f t="shared" ca="1" si="236"/>
        <v>109.1005</v>
      </c>
      <c r="F1119" s="56">
        <f t="shared" ca="1" si="236"/>
        <v>57.041666666666664</v>
      </c>
      <c r="G1119" s="56">
        <f t="shared" ca="1" si="236"/>
        <v>40</v>
      </c>
      <c r="H1119" s="56">
        <f t="shared" ca="1" si="236"/>
        <v>174.58333333333334</v>
      </c>
      <c r="I1119" s="56">
        <f t="shared" ca="1" si="236"/>
        <v>0</v>
      </c>
      <c r="J1119" s="56">
        <f t="shared" ca="1" si="236"/>
        <v>100</v>
      </c>
      <c r="K1119" s="56">
        <f t="shared" ca="1" si="236"/>
        <v>300</v>
      </c>
      <c r="L1119" s="56">
        <f t="shared" ca="1" si="236"/>
        <v>1216.5</v>
      </c>
      <c r="M1119" s="56">
        <f t="shared" ca="1" si="237"/>
        <v>600</v>
      </c>
      <c r="N1119" s="56">
        <f t="shared" ca="1" si="237"/>
        <v>72.5</v>
      </c>
      <c r="O1119" s="56">
        <f t="shared" ca="1" si="237"/>
        <v>240</v>
      </c>
      <c r="P1119" s="56">
        <f t="shared" ca="1" si="237"/>
        <v>40</v>
      </c>
      <c r="Q1119" s="56">
        <f t="shared" ca="1" si="237"/>
        <v>315</v>
      </c>
      <c r="R1119" s="56">
        <f t="shared" ca="1" si="237"/>
        <v>100</v>
      </c>
      <c r="S1119" s="56">
        <f t="shared" ca="1" si="237"/>
        <v>695</v>
      </c>
      <c r="T1119" s="56">
        <f t="shared" ca="1" si="237"/>
        <v>33.333333333333336</v>
      </c>
      <c r="U1119" s="57"/>
      <c r="V1119" s="57"/>
      <c r="W1119" s="57"/>
      <c r="X1119" s="57"/>
      <c r="Y1119" s="57"/>
      <c r="Z1119" s="57"/>
      <c r="AA1119" s="57"/>
      <c r="AB1119" s="57"/>
      <c r="AC1119" s="57"/>
      <c r="AD1119" s="57"/>
    </row>
    <row r="1120" spans="1:30" ht="15">
      <c r="A1120" s="11">
        <f t="shared" si="235"/>
        <v>2077</v>
      </c>
      <c r="B1120" s="11">
        <f t="shared" si="216"/>
        <v>365</v>
      </c>
      <c r="C1120" s="56">
        <f t="shared" ca="1" si="236"/>
        <v>154.75825</v>
      </c>
      <c r="D1120" s="56">
        <f t="shared" ca="1" si="236"/>
        <v>281.0162499999999</v>
      </c>
      <c r="E1120" s="56">
        <f t="shared" ca="1" si="236"/>
        <v>109.1005</v>
      </c>
      <c r="F1120" s="56">
        <f t="shared" ca="1" si="236"/>
        <v>57.041666666666664</v>
      </c>
      <c r="G1120" s="56">
        <f t="shared" ca="1" si="236"/>
        <v>40</v>
      </c>
      <c r="H1120" s="56">
        <f t="shared" ca="1" si="236"/>
        <v>174.58333333333334</v>
      </c>
      <c r="I1120" s="56">
        <f t="shared" ca="1" si="236"/>
        <v>0</v>
      </c>
      <c r="J1120" s="56">
        <f t="shared" ca="1" si="236"/>
        <v>100</v>
      </c>
      <c r="K1120" s="56">
        <f t="shared" ca="1" si="236"/>
        <v>300</v>
      </c>
      <c r="L1120" s="56">
        <f t="shared" ca="1" si="236"/>
        <v>1216.5</v>
      </c>
      <c r="M1120" s="56">
        <f t="shared" ca="1" si="237"/>
        <v>600</v>
      </c>
      <c r="N1120" s="56">
        <f t="shared" ca="1" si="237"/>
        <v>72.5</v>
      </c>
      <c r="O1120" s="56">
        <f t="shared" ca="1" si="237"/>
        <v>240</v>
      </c>
      <c r="P1120" s="56">
        <f t="shared" ca="1" si="237"/>
        <v>40</v>
      </c>
      <c r="Q1120" s="56">
        <f t="shared" ca="1" si="237"/>
        <v>315</v>
      </c>
      <c r="R1120" s="56">
        <f t="shared" ca="1" si="237"/>
        <v>100</v>
      </c>
      <c r="S1120" s="56">
        <f t="shared" ca="1" si="237"/>
        <v>695</v>
      </c>
      <c r="T1120" s="56">
        <f t="shared" ca="1" si="237"/>
        <v>33.333333333333336</v>
      </c>
      <c r="U1120" s="57"/>
      <c r="V1120" s="57"/>
      <c r="W1120" s="57"/>
      <c r="X1120" s="57"/>
      <c r="Y1120" s="57"/>
      <c r="Z1120" s="57"/>
      <c r="AA1120" s="57"/>
      <c r="AB1120" s="57"/>
      <c r="AC1120" s="57"/>
      <c r="AD1120" s="57"/>
    </row>
    <row r="1121" spans="1:30" ht="15">
      <c r="A1121" s="11">
        <f t="shared" si="235"/>
        <v>2078</v>
      </c>
      <c r="B1121" s="11">
        <f t="shared" ref="B1121:B1143" si="238">DATE(A1121+1,1,1)-DATE(A1121,1,1)</f>
        <v>365</v>
      </c>
      <c r="C1121" s="56">
        <f t="shared" ca="1" si="236"/>
        <v>154.75825</v>
      </c>
      <c r="D1121" s="56">
        <f t="shared" ca="1" si="236"/>
        <v>281.0162499999999</v>
      </c>
      <c r="E1121" s="56">
        <f t="shared" ca="1" si="236"/>
        <v>109.1005</v>
      </c>
      <c r="F1121" s="56">
        <f t="shared" ca="1" si="236"/>
        <v>57.041666666666664</v>
      </c>
      <c r="G1121" s="56">
        <f t="shared" ca="1" si="236"/>
        <v>40</v>
      </c>
      <c r="H1121" s="56">
        <f t="shared" ca="1" si="236"/>
        <v>174.58333333333334</v>
      </c>
      <c r="I1121" s="56">
        <f t="shared" ca="1" si="236"/>
        <v>0</v>
      </c>
      <c r="J1121" s="56">
        <f t="shared" ca="1" si="236"/>
        <v>100</v>
      </c>
      <c r="K1121" s="56">
        <f t="shared" ca="1" si="236"/>
        <v>300</v>
      </c>
      <c r="L1121" s="56">
        <f t="shared" ca="1" si="236"/>
        <v>1216.5</v>
      </c>
      <c r="M1121" s="56">
        <f t="shared" ca="1" si="237"/>
        <v>600</v>
      </c>
      <c r="N1121" s="56">
        <f t="shared" ca="1" si="237"/>
        <v>72.5</v>
      </c>
      <c r="O1121" s="56">
        <f t="shared" ca="1" si="237"/>
        <v>240</v>
      </c>
      <c r="P1121" s="56">
        <f t="shared" ca="1" si="237"/>
        <v>40</v>
      </c>
      <c r="Q1121" s="56">
        <f t="shared" ca="1" si="237"/>
        <v>315</v>
      </c>
      <c r="R1121" s="56">
        <f t="shared" ca="1" si="237"/>
        <v>100</v>
      </c>
      <c r="S1121" s="56">
        <f t="shared" ca="1" si="237"/>
        <v>695</v>
      </c>
      <c r="T1121" s="56">
        <f t="shared" ca="1" si="237"/>
        <v>33.333333333333336</v>
      </c>
      <c r="U1121" s="57"/>
      <c r="V1121" s="57"/>
      <c r="W1121" s="57"/>
      <c r="X1121" s="57"/>
      <c r="Y1121" s="57"/>
      <c r="Z1121" s="57"/>
      <c r="AA1121" s="57"/>
      <c r="AB1121" s="57"/>
      <c r="AC1121" s="57"/>
      <c r="AD1121" s="57"/>
    </row>
    <row r="1122" spans="1:30" ht="15">
      <c r="A1122" s="11">
        <f t="shared" si="235"/>
        <v>2079</v>
      </c>
      <c r="B1122" s="11">
        <f t="shared" si="238"/>
        <v>365</v>
      </c>
      <c r="C1122" s="56">
        <f t="shared" ca="1" si="236"/>
        <v>154.75825</v>
      </c>
      <c r="D1122" s="56">
        <f t="shared" ca="1" si="236"/>
        <v>281.0162499999999</v>
      </c>
      <c r="E1122" s="56">
        <f t="shared" ca="1" si="236"/>
        <v>109.1005</v>
      </c>
      <c r="F1122" s="56">
        <f t="shared" ca="1" si="236"/>
        <v>57.041666666666664</v>
      </c>
      <c r="G1122" s="56">
        <f t="shared" ca="1" si="236"/>
        <v>40</v>
      </c>
      <c r="H1122" s="56">
        <f t="shared" ca="1" si="236"/>
        <v>174.58333333333334</v>
      </c>
      <c r="I1122" s="56">
        <f t="shared" ca="1" si="236"/>
        <v>0</v>
      </c>
      <c r="J1122" s="56">
        <f t="shared" ca="1" si="236"/>
        <v>100</v>
      </c>
      <c r="K1122" s="56">
        <f t="shared" ca="1" si="236"/>
        <v>300</v>
      </c>
      <c r="L1122" s="56">
        <f t="shared" ca="1" si="236"/>
        <v>1216.5</v>
      </c>
      <c r="M1122" s="56">
        <f t="shared" ca="1" si="237"/>
        <v>600</v>
      </c>
      <c r="N1122" s="56">
        <f t="shared" ca="1" si="237"/>
        <v>72.5</v>
      </c>
      <c r="O1122" s="56">
        <f t="shared" ca="1" si="237"/>
        <v>240</v>
      </c>
      <c r="P1122" s="56">
        <f t="shared" ca="1" si="237"/>
        <v>40</v>
      </c>
      <c r="Q1122" s="56">
        <f t="shared" ca="1" si="237"/>
        <v>315</v>
      </c>
      <c r="R1122" s="56">
        <f t="shared" ca="1" si="237"/>
        <v>100</v>
      </c>
      <c r="S1122" s="56">
        <f t="shared" ca="1" si="237"/>
        <v>695</v>
      </c>
      <c r="T1122" s="56">
        <f t="shared" ca="1" si="237"/>
        <v>33.333333333333336</v>
      </c>
      <c r="U1122" s="57"/>
      <c r="V1122" s="57"/>
      <c r="W1122" s="57"/>
      <c r="X1122" s="57"/>
      <c r="Y1122" s="57"/>
      <c r="Z1122" s="57"/>
      <c r="AA1122" s="57"/>
      <c r="AB1122" s="57"/>
      <c r="AC1122" s="57"/>
      <c r="AD1122" s="57"/>
    </row>
    <row r="1123" spans="1:30" ht="15">
      <c r="A1123" s="11">
        <f t="shared" si="235"/>
        <v>2080</v>
      </c>
      <c r="B1123" s="11">
        <f t="shared" si="238"/>
        <v>366</v>
      </c>
      <c r="C1123" s="56">
        <f t="shared" ca="1" si="236"/>
        <v>154.75825</v>
      </c>
      <c r="D1123" s="56">
        <f t="shared" ca="1" si="236"/>
        <v>281.0162499999999</v>
      </c>
      <c r="E1123" s="56">
        <f t="shared" ca="1" si="236"/>
        <v>109.1005</v>
      </c>
      <c r="F1123" s="56">
        <f t="shared" ca="1" si="236"/>
        <v>57.041666666666664</v>
      </c>
      <c r="G1123" s="56">
        <f t="shared" ca="1" si="236"/>
        <v>40</v>
      </c>
      <c r="H1123" s="56">
        <f t="shared" ca="1" si="236"/>
        <v>174.58333333333334</v>
      </c>
      <c r="I1123" s="56">
        <f t="shared" ca="1" si="236"/>
        <v>0</v>
      </c>
      <c r="J1123" s="56">
        <f t="shared" ca="1" si="236"/>
        <v>100</v>
      </c>
      <c r="K1123" s="56">
        <f t="shared" ca="1" si="236"/>
        <v>300</v>
      </c>
      <c r="L1123" s="56">
        <f t="shared" ca="1" si="236"/>
        <v>1216.5</v>
      </c>
      <c r="M1123" s="56">
        <f t="shared" ca="1" si="237"/>
        <v>600</v>
      </c>
      <c r="N1123" s="56">
        <f t="shared" ca="1" si="237"/>
        <v>72.5</v>
      </c>
      <c r="O1123" s="56">
        <f t="shared" ca="1" si="237"/>
        <v>240</v>
      </c>
      <c r="P1123" s="56">
        <f t="shared" ca="1" si="237"/>
        <v>40</v>
      </c>
      <c r="Q1123" s="56">
        <f t="shared" ca="1" si="237"/>
        <v>315</v>
      </c>
      <c r="R1123" s="56">
        <f t="shared" ca="1" si="237"/>
        <v>100</v>
      </c>
      <c r="S1123" s="56">
        <f t="shared" ca="1" si="237"/>
        <v>695</v>
      </c>
      <c r="T1123" s="56">
        <f t="shared" ca="1" si="237"/>
        <v>33.333333333333336</v>
      </c>
      <c r="U1123" s="57"/>
      <c r="V1123" s="57"/>
      <c r="W1123" s="57"/>
      <c r="X1123" s="57"/>
      <c r="Y1123" s="57"/>
      <c r="Z1123" s="57"/>
      <c r="AA1123" s="57"/>
      <c r="AB1123" s="57"/>
      <c r="AC1123" s="57"/>
      <c r="AD1123" s="57"/>
    </row>
    <row r="1124" spans="1:30" ht="15">
      <c r="A1124" s="11">
        <f t="shared" si="235"/>
        <v>2081</v>
      </c>
      <c r="B1124" s="11">
        <f t="shared" si="238"/>
        <v>365</v>
      </c>
      <c r="C1124" s="56">
        <f t="shared" ca="1" si="236"/>
        <v>154.75825</v>
      </c>
      <c r="D1124" s="56">
        <f t="shared" ca="1" si="236"/>
        <v>281.0162499999999</v>
      </c>
      <c r="E1124" s="56">
        <f t="shared" ca="1" si="236"/>
        <v>109.1005</v>
      </c>
      <c r="F1124" s="56">
        <f t="shared" ca="1" si="236"/>
        <v>57.041666666666664</v>
      </c>
      <c r="G1124" s="56">
        <f t="shared" ca="1" si="236"/>
        <v>40</v>
      </c>
      <c r="H1124" s="56">
        <f t="shared" ca="1" si="236"/>
        <v>174.58333333333334</v>
      </c>
      <c r="I1124" s="56">
        <f t="shared" ca="1" si="236"/>
        <v>0</v>
      </c>
      <c r="J1124" s="56">
        <f t="shared" ca="1" si="236"/>
        <v>100</v>
      </c>
      <c r="K1124" s="56">
        <f t="shared" ca="1" si="236"/>
        <v>300</v>
      </c>
      <c r="L1124" s="56">
        <f t="shared" ca="1" si="236"/>
        <v>1216.5</v>
      </c>
      <c r="M1124" s="56">
        <f t="shared" ca="1" si="237"/>
        <v>600</v>
      </c>
      <c r="N1124" s="56">
        <f t="shared" ca="1" si="237"/>
        <v>72.5</v>
      </c>
      <c r="O1124" s="56">
        <f t="shared" ca="1" si="237"/>
        <v>240</v>
      </c>
      <c r="P1124" s="56">
        <f t="shared" ca="1" si="237"/>
        <v>40</v>
      </c>
      <c r="Q1124" s="56">
        <f t="shared" ca="1" si="237"/>
        <v>315</v>
      </c>
      <c r="R1124" s="56">
        <f t="shared" ca="1" si="237"/>
        <v>100</v>
      </c>
      <c r="S1124" s="56">
        <f t="shared" ca="1" si="237"/>
        <v>695</v>
      </c>
      <c r="T1124" s="56">
        <f t="shared" ca="1" si="237"/>
        <v>33.333333333333336</v>
      </c>
      <c r="U1124" s="57"/>
      <c r="V1124" s="57"/>
      <c r="W1124" s="57"/>
      <c r="X1124" s="57"/>
      <c r="Y1124" s="57"/>
      <c r="Z1124" s="57"/>
      <c r="AA1124" s="57"/>
      <c r="AB1124" s="57"/>
      <c r="AC1124" s="57"/>
      <c r="AD1124" s="57"/>
    </row>
    <row r="1125" spans="1:30" ht="15">
      <c r="A1125" s="11">
        <f t="shared" si="235"/>
        <v>2082</v>
      </c>
      <c r="B1125" s="11">
        <f t="shared" si="238"/>
        <v>365</v>
      </c>
      <c r="C1125" s="56">
        <f t="shared" ref="C1125:L1134" ca="1" si="239">AVERAGE(OFFSET(C$588,($A1125-$A$1105)*12,0,12,1))</f>
        <v>154.75825</v>
      </c>
      <c r="D1125" s="56">
        <f t="shared" ca="1" si="239"/>
        <v>281.0162499999999</v>
      </c>
      <c r="E1125" s="56">
        <f t="shared" ca="1" si="239"/>
        <v>109.1005</v>
      </c>
      <c r="F1125" s="56">
        <f t="shared" ca="1" si="239"/>
        <v>57.041666666666664</v>
      </c>
      <c r="G1125" s="56">
        <f t="shared" ca="1" si="239"/>
        <v>40</v>
      </c>
      <c r="H1125" s="56">
        <f t="shared" ca="1" si="239"/>
        <v>174.58333333333334</v>
      </c>
      <c r="I1125" s="56">
        <f t="shared" ca="1" si="239"/>
        <v>0</v>
      </c>
      <c r="J1125" s="56">
        <f t="shared" ca="1" si="239"/>
        <v>100</v>
      </c>
      <c r="K1125" s="56">
        <f t="shared" ca="1" si="239"/>
        <v>300</v>
      </c>
      <c r="L1125" s="56">
        <f t="shared" ca="1" si="239"/>
        <v>1216.5</v>
      </c>
      <c r="M1125" s="56">
        <f t="shared" ref="M1125:T1134" ca="1" si="240">AVERAGE(OFFSET(M$588,($A1125-$A$1105)*12,0,12,1))</f>
        <v>600</v>
      </c>
      <c r="N1125" s="56">
        <f t="shared" ca="1" si="240"/>
        <v>72.5</v>
      </c>
      <c r="O1125" s="56">
        <f t="shared" ca="1" si="240"/>
        <v>240</v>
      </c>
      <c r="P1125" s="56">
        <f t="shared" ca="1" si="240"/>
        <v>40</v>
      </c>
      <c r="Q1125" s="56">
        <f t="shared" ca="1" si="240"/>
        <v>315</v>
      </c>
      <c r="R1125" s="56">
        <f t="shared" ca="1" si="240"/>
        <v>100</v>
      </c>
      <c r="S1125" s="56">
        <f t="shared" ca="1" si="240"/>
        <v>695</v>
      </c>
      <c r="T1125" s="56">
        <f t="shared" ca="1" si="240"/>
        <v>33.333333333333336</v>
      </c>
      <c r="U1125" s="57"/>
      <c r="V1125" s="57"/>
      <c r="W1125" s="57"/>
      <c r="X1125" s="57"/>
      <c r="Y1125" s="57"/>
      <c r="Z1125" s="57"/>
      <c r="AA1125" s="57"/>
      <c r="AB1125" s="57"/>
      <c r="AC1125" s="57"/>
      <c r="AD1125" s="57"/>
    </row>
    <row r="1126" spans="1:30" ht="15">
      <c r="A1126" s="11">
        <f t="shared" si="235"/>
        <v>2083</v>
      </c>
      <c r="B1126" s="11">
        <f t="shared" si="238"/>
        <v>365</v>
      </c>
      <c r="C1126" s="56">
        <f t="shared" ca="1" si="239"/>
        <v>154.75825</v>
      </c>
      <c r="D1126" s="56">
        <f t="shared" ca="1" si="239"/>
        <v>281.0162499999999</v>
      </c>
      <c r="E1126" s="56">
        <f t="shared" ca="1" si="239"/>
        <v>109.1005</v>
      </c>
      <c r="F1126" s="56">
        <f t="shared" ca="1" si="239"/>
        <v>57.041666666666664</v>
      </c>
      <c r="G1126" s="56">
        <f t="shared" ca="1" si="239"/>
        <v>40</v>
      </c>
      <c r="H1126" s="56">
        <f t="shared" ca="1" si="239"/>
        <v>174.58333333333334</v>
      </c>
      <c r="I1126" s="56">
        <f t="shared" ca="1" si="239"/>
        <v>0</v>
      </c>
      <c r="J1126" s="56">
        <f t="shared" ca="1" si="239"/>
        <v>100</v>
      </c>
      <c r="K1126" s="56">
        <f t="shared" ca="1" si="239"/>
        <v>300</v>
      </c>
      <c r="L1126" s="56">
        <f t="shared" ca="1" si="239"/>
        <v>1216.5</v>
      </c>
      <c r="M1126" s="56">
        <f t="shared" ca="1" si="240"/>
        <v>600</v>
      </c>
      <c r="N1126" s="56">
        <f t="shared" ca="1" si="240"/>
        <v>72.5</v>
      </c>
      <c r="O1126" s="56">
        <f t="shared" ca="1" si="240"/>
        <v>240</v>
      </c>
      <c r="P1126" s="56">
        <f t="shared" ca="1" si="240"/>
        <v>40</v>
      </c>
      <c r="Q1126" s="56">
        <f t="shared" ca="1" si="240"/>
        <v>315</v>
      </c>
      <c r="R1126" s="56">
        <f t="shared" ca="1" si="240"/>
        <v>100</v>
      </c>
      <c r="S1126" s="56">
        <f t="shared" ca="1" si="240"/>
        <v>695</v>
      </c>
      <c r="T1126" s="56">
        <f t="shared" ca="1" si="240"/>
        <v>33.333333333333336</v>
      </c>
      <c r="U1126" s="57"/>
      <c r="V1126" s="57"/>
      <c r="W1126" s="57"/>
      <c r="X1126" s="57"/>
      <c r="Y1126" s="57"/>
      <c r="Z1126" s="57"/>
      <c r="AA1126" s="57"/>
      <c r="AB1126" s="57"/>
      <c r="AC1126" s="57"/>
      <c r="AD1126" s="57"/>
    </row>
    <row r="1127" spans="1:30" ht="15">
      <c r="A1127" s="11">
        <f t="shared" si="235"/>
        <v>2084</v>
      </c>
      <c r="B1127" s="11">
        <f t="shared" si="238"/>
        <v>366</v>
      </c>
      <c r="C1127" s="56">
        <f t="shared" ca="1" si="239"/>
        <v>154.75825</v>
      </c>
      <c r="D1127" s="56">
        <f t="shared" ca="1" si="239"/>
        <v>281.0162499999999</v>
      </c>
      <c r="E1127" s="56">
        <f t="shared" ca="1" si="239"/>
        <v>109.1005</v>
      </c>
      <c r="F1127" s="56">
        <f t="shared" ca="1" si="239"/>
        <v>57.041666666666664</v>
      </c>
      <c r="G1127" s="56">
        <f t="shared" ca="1" si="239"/>
        <v>40</v>
      </c>
      <c r="H1127" s="56">
        <f t="shared" ca="1" si="239"/>
        <v>174.58333333333334</v>
      </c>
      <c r="I1127" s="56">
        <f t="shared" ca="1" si="239"/>
        <v>0</v>
      </c>
      <c r="J1127" s="56">
        <f t="shared" ca="1" si="239"/>
        <v>100</v>
      </c>
      <c r="K1127" s="56">
        <f t="shared" ca="1" si="239"/>
        <v>300</v>
      </c>
      <c r="L1127" s="56">
        <f t="shared" ca="1" si="239"/>
        <v>1216.5</v>
      </c>
      <c r="M1127" s="56">
        <f t="shared" ca="1" si="240"/>
        <v>600</v>
      </c>
      <c r="N1127" s="56">
        <f t="shared" ca="1" si="240"/>
        <v>72.5</v>
      </c>
      <c r="O1127" s="56">
        <f t="shared" ca="1" si="240"/>
        <v>240</v>
      </c>
      <c r="P1127" s="56">
        <f t="shared" ca="1" si="240"/>
        <v>40</v>
      </c>
      <c r="Q1127" s="56">
        <f t="shared" ca="1" si="240"/>
        <v>315</v>
      </c>
      <c r="R1127" s="56">
        <f t="shared" ca="1" si="240"/>
        <v>100</v>
      </c>
      <c r="S1127" s="56">
        <f t="shared" ca="1" si="240"/>
        <v>695</v>
      </c>
      <c r="T1127" s="56">
        <f t="shared" ca="1" si="240"/>
        <v>33.333333333333336</v>
      </c>
      <c r="U1127" s="57"/>
      <c r="V1127" s="57"/>
      <c r="W1127" s="57"/>
      <c r="X1127" s="57"/>
      <c r="Y1127" s="57"/>
      <c r="Z1127" s="57"/>
      <c r="AA1127" s="57"/>
      <c r="AB1127" s="57"/>
      <c r="AC1127" s="57"/>
      <c r="AD1127" s="57"/>
    </row>
    <row r="1128" spans="1:30" ht="15">
      <c r="A1128" s="11">
        <f t="shared" si="235"/>
        <v>2085</v>
      </c>
      <c r="B1128" s="11">
        <f t="shared" si="238"/>
        <v>365</v>
      </c>
      <c r="C1128" s="56">
        <f t="shared" ca="1" si="239"/>
        <v>154.75825</v>
      </c>
      <c r="D1128" s="56">
        <f t="shared" ca="1" si="239"/>
        <v>281.0162499999999</v>
      </c>
      <c r="E1128" s="56">
        <f t="shared" ca="1" si="239"/>
        <v>109.1005</v>
      </c>
      <c r="F1128" s="56">
        <f t="shared" ca="1" si="239"/>
        <v>57.041666666666664</v>
      </c>
      <c r="G1128" s="56">
        <f t="shared" ca="1" si="239"/>
        <v>40</v>
      </c>
      <c r="H1128" s="56">
        <f t="shared" ca="1" si="239"/>
        <v>174.58333333333334</v>
      </c>
      <c r="I1128" s="56">
        <f t="shared" ca="1" si="239"/>
        <v>0</v>
      </c>
      <c r="J1128" s="56">
        <f t="shared" ca="1" si="239"/>
        <v>100</v>
      </c>
      <c r="K1128" s="56">
        <f t="shared" ca="1" si="239"/>
        <v>300</v>
      </c>
      <c r="L1128" s="56">
        <f t="shared" ca="1" si="239"/>
        <v>1216.5</v>
      </c>
      <c r="M1128" s="56">
        <f t="shared" ca="1" si="240"/>
        <v>600</v>
      </c>
      <c r="N1128" s="56">
        <f t="shared" ca="1" si="240"/>
        <v>72.5</v>
      </c>
      <c r="O1128" s="56">
        <f t="shared" ca="1" si="240"/>
        <v>240</v>
      </c>
      <c r="P1128" s="56">
        <f t="shared" ca="1" si="240"/>
        <v>40</v>
      </c>
      <c r="Q1128" s="56">
        <f t="shared" ca="1" si="240"/>
        <v>315</v>
      </c>
      <c r="R1128" s="56">
        <f t="shared" ca="1" si="240"/>
        <v>100</v>
      </c>
      <c r="S1128" s="56">
        <f t="shared" ca="1" si="240"/>
        <v>695</v>
      </c>
      <c r="T1128" s="56">
        <f t="shared" ca="1" si="240"/>
        <v>33.333333333333336</v>
      </c>
      <c r="U1128" s="57"/>
      <c r="V1128" s="57"/>
      <c r="W1128" s="57"/>
      <c r="X1128" s="57"/>
      <c r="Y1128" s="57"/>
      <c r="Z1128" s="57"/>
      <c r="AA1128" s="57"/>
      <c r="AB1128" s="57"/>
      <c r="AC1128" s="57"/>
      <c r="AD1128" s="57"/>
    </row>
    <row r="1129" spans="1:30" ht="15">
      <c r="A1129" s="11">
        <f t="shared" si="235"/>
        <v>2086</v>
      </c>
      <c r="B1129" s="11">
        <f t="shared" si="238"/>
        <v>365</v>
      </c>
      <c r="C1129" s="56">
        <f t="shared" ca="1" si="239"/>
        <v>154.75825</v>
      </c>
      <c r="D1129" s="56">
        <f t="shared" ca="1" si="239"/>
        <v>281.0162499999999</v>
      </c>
      <c r="E1129" s="56">
        <f t="shared" ca="1" si="239"/>
        <v>109.1005</v>
      </c>
      <c r="F1129" s="56">
        <f t="shared" ca="1" si="239"/>
        <v>57.041666666666664</v>
      </c>
      <c r="G1129" s="56">
        <f t="shared" ca="1" si="239"/>
        <v>40</v>
      </c>
      <c r="H1129" s="56">
        <f t="shared" ca="1" si="239"/>
        <v>174.58333333333334</v>
      </c>
      <c r="I1129" s="56">
        <f t="shared" ca="1" si="239"/>
        <v>0</v>
      </c>
      <c r="J1129" s="56">
        <f t="shared" ca="1" si="239"/>
        <v>100</v>
      </c>
      <c r="K1129" s="56">
        <f t="shared" ca="1" si="239"/>
        <v>300</v>
      </c>
      <c r="L1129" s="56">
        <f t="shared" ca="1" si="239"/>
        <v>1216.5</v>
      </c>
      <c r="M1129" s="56">
        <f t="shared" ca="1" si="240"/>
        <v>600</v>
      </c>
      <c r="N1129" s="56">
        <f t="shared" ca="1" si="240"/>
        <v>72.5</v>
      </c>
      <c r="O1129" s="56">
        <f t="shared" ca="1" si="240"/>
        <v>240</v>
      </c>
      <c r="P1129" s="56">
        <f t="shared" ca="1" si="240"/>
        <v>40</v>
      </c>
      <c r="Q1129" s="56">
        <f t="shared" ca="1" si="240"/>
        <v>315</v>
      </c>
      <c r="R1129" s="56">
        <f t="shared" ca="1" si="240"/>
        <v>100</v>
      </c>
      <c r="S1129" s="56">
        <f t="shared" ca="1" si="240"/>
        <v>695</v>
      </c>
      <c r="T1129" s="56">
        <f t="shared" ca="1" si="240"/>
        <v>33.333333333333336</v>
      </c>
      <c r="U1129" s="57"/>
      <c r="V1129" s="57"/>
      <c r="W1129" s="57"/>
      <c r="X1129" s="57"/>
      <c r="Y1129" s="57"/>
      <c r="Z1129" s="57"/>
      <c r="AA1129" s="57"/>
      <c r="AB1129" s="57"/>
      <c r="AC1129" s="57"/>
      <c r="AD1129" s="57"/>
    </row>
    <row r="1130" spans="1:30" ht="15">
      <c r="A1130" s="11">
        <f t="shared" si="235"/>
        <v>2087</v>
      </c>
      <c r="B1130" s="11">
        <f t="shared" si="238"/>
        <v>365</v>
      </c>
      <c r="C1130" s="56">
        <f t="shared" ca="1" si="239"/>
        <v>154.75825</v>
      </c>
      <c r="D1130" s="56">
        <f t="shared" ca="1" si="239"/>
        <v>281.0162499999999</v>
      </c>
      <c r="E1130" s="56">
        <f t="shared" ca="1" si="239"/>
        <v>109.1005</v>
      </c>
      <c r="F1130" s="56">
        <f t="shared" ca="1" si="239"/>
        <v>57.041666666666664</v>
      </c>
      <c r="G1130" s="56">
        <f t="shared" ca="1" si="239"/>
        <v>40</v>
      </c>
      <c r="H1130" s="56">
        <f t="shared" ca="1" si="239"/>
        <v>174.58333333333334</v>
      </c>
      <c r="I1130" s="56">
        <f t="shared" ca="1" si="239"/>
        <v>0</v>
      </c>
      <c r="J1130" s="56">
        <f t="shared" ca="1" si="239"/>
        <v>100</v>
      </c>
      <c r="K1130" s="56">
        <f t="shared" ca="1" si="239"/>
        <v>300</v>
      </c>
      <c r="L1130" s="56">
        <f t="shared" ca="1" si="239"/>
        <v>1216.5</v>
      </c>
      <c r="M1130" s="56">
        <f t="shared" ca="1" si="240"/>
        <v>600</v>
      </c>
      <c r="N1130" s="56">
        <f t="shared" ca="1" si="240"/>
        <v>72.5</v>
      </c>
      <c r="O1130" s="56">
        <f t="shared" ca="1" si="240"/>
        <v>240</v>
      </c>
      <c r="P1130" s="56">
        <f t="shared" ca="1" si="240"/>
        <v>40</v>
      </c>
      <c r="Q1130" s="56">
        <f t="shared" ca="1" si="240"/>
        <v>315</v>
      </c>
      <c r="R1130" s="56">
        <f t="shared" ca="1" si="240"/>
        <v>100</v>
      </c>
      <c r="S1130" s="56">
        <f t="shared" ca="1" si="240"/>
        <v>695</v>
      </c>
      <c r="T1130" s="56">
        <f t="shared" ca="1" si="240"/>
        <v>33.333333333333336</v>
      </c>
      <c r="U1130" s="57"/>
      <c r="V1130" s="57"/>
      <c r="W1130" s="57"/>
      <c r="X1130" s="57"/>
      <c r="Y1130" s="57"/>
      <c r="Z1130" s="57"/>
      <c r="AA1130" s="57"/>
      <c r="AB1130" s="57"/>
      <c r="AC1130" s="57"/>
      <c r="AD1130" s="57"/>
    </row>
    <row r="1131" spans="1:30" ht="15">
      <c r="A1131" s="11">
        <f t="shared" si="235"/>
        <v>2088</v>
      </c>
      <c r="B1131" s="11">
        <f t="shared" si="238"/>
        <v>366</v>
      </c>
      <c r="C1131" s="56">
        <f t="shared" ca="1" si="239"/>
        <v>154.75825</v>
      </c>
      <c r="D1131" s="56">
        <f t="shared" ca="1" si="239"/>
        <v>281.0162499999999</v>
      </c>
      <c r="E1131" s="56">
        <f t="shared" ca="1" si="239"/>
        <v>109.1005</v>
      </c>
      <c r="F1131" s="56">
        <f t="shared" ca="1" si="239"/>
        <v>57.041666666666664</v>
      </c>
      <c r="G1131" s="56">
        <f t="shared" ca="1" si="239"/>
        <v>40</v>
      </c>
      <c r="H1131" s="56">
        <f t="shared" ca="1" si="239"/>
        <v>174.58333333333334</v>
      </c>
      <c r="I1131" s="56">
        <f t="shared" ca="1" si="239"/>
        <v>0</v>
      </c>
      <c r="J1131" s="56">
        <f t="shared" ca="1" si="239"/>
        <v>100</v>
      </c>
      <c r="K1131" s="56">
        <f t="shared" ca="1" si="239"/>
        <v>300</v>
      </c>
      <c r="L1131" s="56">
        <f t="shared" ca="1" si="239"/>
        <v>1216.5</v>
      </c>
      <c r="M1131" s="56">
        <f t="shared" ca="1" si="240"/>
        <v>600</v>
      </c>
      <c r="N1131" s="56">
        <f t="shared" ca="1" si="240"/>
        <v>72.5</v>
      </c>
      <c r="O1131" s="56">
        <f t="shared" ca="1" si="240"/>
        <v>240</v>
      </c>
      <c r="P1131" s="56">
        <f t="shared" ca="1" si="240"/>
        <v>40</v>
      </c>
      <c r="Q1131" s="56">
        <f t="shared" ca="1" si="240"/>
        <v>315</v>
      </c>
      <c r="R1131" s="56">
        <f t="shared" ca="1" si="240"/>
        <v>100</v>
      </c>
      <c r="S1131" s="56">
        <f t="shared" ca="1" si="240"/>
        <v>695</v>
      </c>
      <c r="T1131" s="56">
        <f t="shared" ca="1" si="240"/>
        <v>33.333333333333336</v>
      </c>
      <c r="U1131" s="57"/>
      <c r="V1131" s="57"/>
      <c r="W1131" s="57"/>
      <c r="X1131" s="57"/>
      <c r="Y1131" s="57"/>
      <c r="Z1131" s="57"/>
      <c r="AA1131" s="57"/>
      <c r="AB1131" s="57"/>
      <c r="AC1131" s="57"/>
      <c r="AD1131" s="57"/>
    </row>
    <row r="1132" spans="1:30" ht="15">
      <c r="A1132" s="11">
        <f t="shared" si="235"/>
        <v>2089</v>
      </c>
      <c r="B1132" s="11">
        <f t="shared" si="238"/>
        <v>365</v>
      </c>
      <c r="C1132" s="56">
        <f t="shared" ca="1" si="239"/>
        <v>154.75825</v>
      </c>
      <c r="D1132" s="56">
        <f t="shared" ca="1" si="239"/>
        <v>281.0162499999999</v>
      </c>
      <c r="E1132" s="56">
        <f t="shared" ca="1" si="239"/>
        <v>109.1005</v>
      </c>
      <c r="F1132" s="56">
        <f t="shared" ca="1" si="239"/>
        <v>57.041666666666664</v>
      </c>
      <c r="G1132" s="56">
        <f t="shared" ca="1" si="239"/>
        <v>40</v>
      </c>
      <c r="H1132" s="56">
        <f t="shared" ca="1" si="239"/>
        <v>174.58333333333334</v>
      </c>
      <c r="I1132" s="56">
        <f t="shared" ca="1" si="239"/>
        <v>0</v>
      </c>
      <c r="J1132" s="56">
        <f t="shared" ca="1" si="239"/>
        <v>100</v>
      </c>
      <c r="K1132" s="56">
        <f t="shared" ca="1" si="239"/>
        <v>300</v>
      </c>
      <c r="L1132" s="56">
        <f t="shared" ca="1" si="239"/>
        <v>1216.5</v>
      </c>
      <c r="M1132" s="56">
        <f t="shared" ca="1" si="240"/>
        <v>600</v>
      </c>
      <c r="N1132" s="56">
        <f t="shared" ca="1" si="240"/>
        <v>72.5</v>
      </c>
      <c r="O1132" s="56">
        <f t="shared" ca="1" si="240"/>
        <v>240</v>
      </c>
      <c r="P1132" s="56">
        <f t="shared" ca="1" si="240"/>
        <v>40</v>
      </c>
      <c r="Q1132" s="56">
        <f t="shared" ca="1" si="240"/>
        <v>315</v>
      </c>
      <c r="R1132" s="56">
        <f t="shared" ca="1" si="240"/>
        <v>100</v>
      </c>
      <c r="S1132" s="56">
        <f t="shared" ca="1" si="240"/>
        <v>695</v>
      </c>
      <c r="T1132" s="56">
        <f t="shared" ca="1" si="240"/>
        <v>33.333333333333336</v>
      </c>
      <c r="U1132" s="57"/>
      <c r="V1132" s="57"/>
      <c r="W1132" s="57"/>
      <c r="X1132" s="57"/>
      <c r="Y1132" s="57"/>
      <c r="Z1132" s="57"/>
      <c r="AA1132" s="57"/>
      <c r="AB1132" s="57"/>
      <c r="AC1132" s="57"/>
      <c r="AD1132" s="57"/>
    </row>
    <row r="1133" spans="1:30" ht="15">
      <c r="A1133" s="11">
        <f t="shared" si="235"/>
        <v>2090</v>
      </c>
      <c r="B1133" s="11">
        <f t="shared" si="238"/>
        <v>365</v>
      </c>
      <c r="C1133" s="56">
        <f t="shared" ca="1" si="239"/>
        <v>154.75825</v>
      </c>
      <c r="D1133" s="56">
        <f t="shared" ca="1" si="239"/>
        <v>281.0162499999999</v>
      </c>
      <c r="E1133" s="56">
        <f t="shared" ca="1" si="239"/>
        <v>109.1005</v>
      </c>
      <c r="F1133" s="56">
        <f t="shared" ca="1" si="239"/>
        <v>57.041666666666664</v>
      </c>
      <c r="G1133" s="56">
        <f t="shared" ca="1" si="239"/>
        <v>40</v>
      </c>
      <c r="H1133" s="56">
        <f t="shared" ca="1" si="239"/>
        <v>174.58333333333334</v>
      </c>
      <c r="I1133" s="56">
        <f t="shared" ca="1" si="239"/>
        <v>0</v>
      </c>
      <c r="J1133" s="56">
        <f t="shared" ca="1" si="239"/>
        <v>100</v>
      </c>
      <c r="K1133" s="56">
        <f t="shared" ca="1" si="239"/>
        <v>300</v>
      </c>
      <c r="L1133" s="56">
        <f t="shared" ca="1" si="239"/>
        <v>1216.5</v>
      </c>
      <c r="M1133" s="56">
        <f t="shared" ca="1" si="240"/>
        <v>600</v>
      </c>
      <c r="N1133" s="56">
        <f t="shared" ca="1" si="240"/>
        <v>72.5</v>
      </c>
      <c r="O1133" s="56">
        <f t="shared" ca="1" si="240"/>
        <v>240</v>
      </c>
      <c r="P1133" s="56">
        <f t="shared" ca="1" si="240"/>
        <v>40</v>
      </c>
      <c r="Q1133" s="56">
        <f t="shared" ca="1" si="240"/>
        <v>315</v>
      </c>
      <c r="R1133" s="56">
        <f t="shared" ca="1" si="240"/>
        <v>100</v>
      </c>
      <c r="S1133" s="56">
        <f t="shared" ca="1" si="240"/>
        <v>695</v>
      </c>
      <c r="T1133" s="56">
        <f t="shared" ca="1" si="240"/>
        <v>33.333333333333336</v>
      </c>
      <c r="U1133" s="57"/>
      <c r="V1133" s="57"/>
      <c r="W1133" s="57"/>
      <c r="X1133" s="57"/>
      <c r="Y1133" s="57"/>
      <c r="Z1133" s="57"/>
      <c r="AA1133" s="57"/>
      <c r="AB1133" s="57"/>
      <c r="AC1133" s="57"/>
      <c r="AD1133" s="57"/>
    </row>
    <row r="1134" spans="1:30" ht="15">
      <c r="A1134" s="11">
        <f t="shared" si="235"/>
        <v>2091</v>
      </c>
      <c r="B1134" s="11">
        <f t="shared" si="238"/>
        <v>365</v>
      </c>
      <c r="C1134" s="56">
        <f t="shared" ca="1" si="239"/>
        <v>154.75825</v>
      </c>
      <c r="D1134" s="56">
        <f t="shared" ca="1" si="239"/>
        <v>281.0162499999999</v>
      </c>
      <c r="E1134" s="56">
        <f t="shared" ca="1" si="239"/>
        <v>109.1005</v>
      </c>
      <c r="F1134" s="56">
        <f t="shared" ca="1" si="239"/>
        <v>57.041666666666664</v>
      </c>
      <c r="G1134" s="56">
        <f t="shared" ca="1" si="239"/>
        <v>40</v>
      </c>
      <c r="H1134" s="56">
        <f t="shared" ca="1" si="239"/>
        <v>174.58333333333334</v>
      </c>
      <c r="I1134" s="56">
        <f t="shared" ca="1" si="239"/>
        <v>0</v>
      </c>
      <c r="J1134" s="56">
        <f t="shared" ca="1" si="239"/>
        <v>100</v>
      </c>
      <c r="K1134" s="56">
        <f t="shared" ca="1" si="239"/>
        <v>300</v>
      </c>
      <c r="L1134" s="56">
        <f t="shared" ca="1" si="239"/>
        <v>1216.5</v>
      </c>
      <c r="M1134" s="56">
        <f t="shared" ca="1" si="240"/>
        <v>600</v>
      </c>
      <c r="N1134" s="56">
        <f t="shared" ca="1" si="240"/>
        <v>72.5</v>
      </c>
      <c r="O1134" s="56">
        <f t="shared" ca="1" si="240"/>
        <v>240</v>
      </c>
      <c r="P1134" s="56">
        <f t="shared" ca="1" si="240"/>
        <v>40</v>
      </c>
      <c r="Q1134" s="56">
        <f t="shared" ca="1" si="240"/>
        <v>315</v>
      </c>
      <c r="R1134" s="56">
        <f t="shared" ca="1" si="240"/>
        <v>100</v>
      </c>
      <c r="S1134" s="56">
        <f t="shared" ca="1" si="240"/>
        <v>695</v>
      </c>
      <c r="T1134" s="56">
        <f t="shared" ca="1" si="240"/>
        <v>33.333333333333336</v>
      </c>
    </row>
    <row r="1135" spans="1:30" ht="15">
      <c r="A1135" s="11">
        <f t="shared" si="235"/>
        <v>2092</v>
      </c>
      <c r="B1135" s="11">
        <f t="shared" si="238"/>
        <v>366</v>
      </c>
      <c r="C1135" s="56">
        <f t="shared" ref="C1135:L1143" ca="1" si="241">AVERAGE(OFFSET(C$588,($A1135-$A$1105)*12,0,12,1))</f>
        <v>154.75825</v>
      </c>
      <c r="D1135" s="56">
        <f t="shared" ca="1" si="241"/>
        <v>281.0162499999999</v>
      </c>
      <c r="E1135" s="56">
        <f t="shared" ca="1" si="241"/>
        <v>109.1005</v>
      </c>
      <c r="F1135" s="56">
        <f t="shared" ca="1" si="241"/>
        <v>57.041666666666664</v>
      </c>
      <c r="G1135" s="56">
        <f t="shared" ca="1" si="241"/>
        <v>40</v>
      </c>
      <c r="H1135" s="56">
        <f t="shared" ca="1" si="241"/>
        <v>174.58333333333334</v>
      </c>
      <c r="I1135" s="56">
        <f t="shared" ca="1" si="241"/>
        <v>0</v>
      </c>
      <c r="J1135" s="56">
        <f t="shared" ca="1" si="241"/>
        <v>100</v>
      </c>
      <c r="K1135" s="56">
        <f t="shared" ca="1" si="241"/>
        <v>300</v>
      </c>
      <c r="L1135" s="56">
        <f t="shared" ca="1" si="241"/>
        <v>1216.5</v>
      </c>
      <c r="M1135" s="56">
        <f t="shared" ref="M1135:T1143" ca="1" si="242">AVERAGE(OFFSET(M$588,($A1135-$A$1105)*12,0,12,1))</f>
        <v>600</v>
      </c>
      <c r="N1135" s="56">
        <f t="shared" ca="1" si="242"/>
        <v>72.5</v>
      </c>
      <c r="O1135" s="56">
        <f t="shared" ca="1" si="242"/>
        <v>240</v>
      </c>
      <c r="P1135" s="56">
        <f t="shared" ca="1" si="242"/>
        <v>40</v>
      </c>
      <c r="Q1135" s="56">
        <f t="shared" ca="1" si="242"/>
        <v>315</v>
      </c>
      <c r="R1135" s="56">
        <f t="shared" ca="1" si="242"/>
        <v>100</v>
      </c>
      <c r="S1135" s="56">
        <f t="shared" ca="1" si="242"/>
        <v>695</v>
      </c>
      <c r="T1135" s="56">
        <f t="shared" ca="1" si="242"/>
        <v>33.333333333333336</v>
      </c>
    </row>
    <row r="1136" spans="1:30" ht="15">
      <c r="A1136" s="11">
        <f t="shared" si="235"/>
        <v>2093</v>
      </c>
      <c r="B1136" s="11">
        <f t="shared" si="238"/>
        <v>365</v>
      </c>
      <c r="C1136" s="56">
        <f t="shared" ca="1" si="241"/>
        <v>154.75825</v>
      </c>
      <c r="D1136" s="56">
        <f t="shared" ca="1" si="241"/>
        <v>281.0162499999999</v>
      </c>
      <c r="E1136" s="56">
        <f t="shared" ca="1" si="241"/>
        <v>109.1005</v>
      </c>
      <c r="F1136" s="56">
        <f t="shared" ca="1" si="241"/>
        <v>57.041666666666664</v>
      </c>
      <c r="G1136" s="56">
        <f t="shared" ca="1" si="241"/>
        <v>40</v>
      </c>
      <c r="H1136" s="56">
        <f t="shared" ca="1" si="241"/>
        <v>174.58333333333334</v>
      </c>
      <c r="I1136" s="56">
        <f t="shared" ca="1" si="241"/>
        <v>0</v>
      </c>
      <c r="J1136" s="56">
        <f t="shared" ca="1" si="241"/>
        <v>100</v>
      </c>
      <c r="K1136" s="56">
        <f t="shared" ca="1" si="241"/>
        <v>300</v>
      </c>
      <c r="L1136" s="56">
        <f t="shared" ca="1" si="241"/>
        <v>1216.5</v>
      </c>
      <c r="M1136" s="56">
        <f t="shared" ca="1" si="242"/>
        <v>600</v>
      </c>
      <c r="N1136" s="56">
        <f t="shared" ca="1" si="242"/>
        <v>72.5</v>
      </c>
      <c r="O1136" s="56">
        <f t="shared" ca="1" si="242"/>
        <v>240</v>
      </c>
      <c r="P1136" s="56">
        <f t="shared" ca="1" si="242"/>
        <v>40</v>
      </c>
      <c r="Q1136" s="56">
        <f t="shared" ca="1" si="242"/>
        <v>315</v>
      </c>
      <c r="R1136" s="56">
        <f t="shared" ca="1" si="242"/>
        <v>100</v>
      </c>
      <c r="S1136" s="56">
        <f t="shared" ca="1" si="242"/>
        <v>695</v>
      </c>
      <c r="T1136" s="56">
        <f t="shared" ca="1" si="242"/>
        <v>33.333333333333336</v>
      </c>
    </row>
    <row r="1137" spans="1:20" ht="15">
      <c r="A1137" s="11">
        <f t="shared" si="235"/>
        <v>2094</v>
      </c>
      <c r="B1137" s="11">
        <f t="shared" si="238"/>
        <v>365</v>
      </c>
      <c r="C1137" s="56">
        <f t="shared" ca="1" si="241"/>
        <v>154.75825</v>
      </c>
      <c r="D1137" s="56">
        <f t="shared" ca="1" si="241"/>
        <v>281.0162499999999</v>
      </c>
      <c r="E1137" s="56">
        <f t="shared" ca="1" si="241"/>
        <v>109.1005</v>
      </c>
      <c r="F1137" s="56">
        <f t="shared" ca="1" si="241"/>
        <v>57.041666666666664</v>
      </c>
      <c r="G1137" s="56">
        <f t="shared" ca="1" si="241"/>
        <v>40</v>
      </c>
      <c r="H1137" s="56">
        <f t="shared" ca="1" si="241"/>
        <v>174.58333333333334</v>
      </c>
      <c r="I1137" s="56">
        <f t="shared" ca="1" si="241"/>
        <v>0</v>
      </c>
      <c r="J1137" s="56">
        <f t="shared" ca="1" si="241"/>
        <v>100</v>
      </c>
      <c r="K1137" s="56">
        <f t="shared" ca="1" si="241"/>
        <v>300</v>
      </c>
      <c r="L1137" s="56">
        <f t="shared" ca="1" si="241"/>
        <v>1216.5</v>
      </c>
      <c r="M1137" s="56">
        <f t="shared" ca="1" si="242"/>
        <v>600</v>
      </c>
      <c r="N1137" s="56">
        <f t="shared" ca="1" si="242"/>
        <v>72.5</v>
      </c>
      <c r="O1137" s="56">
        <f t="shared" ca="1" si="242"/>
        <v>240</v>
      </c>
      <c r="P1137" s="56">
        <f t="shared" ca="1" si="242"/>
        <v>40</v>
      </c>
      <c r="Q1137" s="56">
        <f t="shared" ca="1" si="242"/>
        <v>315</v>
      </c>
      <c r="R1137" s="56">
        <f t="shared" ca="1" si="242"/>
        <v>100</v>
      </c>
      <c r="S1137" s="56">
        <f t="shared" ca="1" si="242"/>
        <v>695</v>
      </c>
      <c r="T1137" s="56">
        <f t="shared" ca="1" si="242"/>
        <v>33.333333333333336</v>
      </c>
    </row>
    <row r="1138" spans="1:20" ht="15">
      <c r="A1138" s="11">
        <f t="shared" si="235"/>
        <v>2095</v>
      </c>
      <c r="B1138" s="11">
        <f t="shared" si="238"/>
        <v>365</v>
      </c>
      <c r="C1138" s="56">
        <f t="shared" ca="1" si="241"/>
        <v>154.75825</v>
      </c>
      <c r="D1138" s="56">
        <f t="shared" ca="1" si="241"/>
        <v>281.0162499999999</v>
      </c>
      <c r="E1138" s="56">
        <f t="shared" ca="1" si="241"/>
        <v>109.1005</v>
      </c>
      <c r="F1138" s="56">
        <f t="shared" ca="1" si="241"/>
        <v>57.041666666666664</v>
      </c>
      <c r="G1138" s="56">
        <f t="shared" ca="1" si="241"/>
        <v>40</v>
      </c>
      <c r="H1138" s="56">
        <f t="shared" ca="1" si="241"/>
        <v>174.58333333333334</v>
      </c>
      <c r="I1138" s="56">
        <f t="shared" ca="1" si="241"/>
        <v>0</v>
      </c>
      <c r="J1138" s="56">
        <f t="shared" ca="1" si="241"/>
        <v>100</v>
      </c>
      <c r="K1138" s="56">
        <f t="shared" ca="1" si="241"/>
        <v>300</v>
      </c>
      <c r="L1138" s="56">
        <f t="shared" ca="1" si="241"/>
        <v>1216.5</v>
      </c>
      <c r="M1138" s="56">
        <f t="shared" ca="1" si="242"/>
        <v>600</v>
      </c>
      <c r="N1138" s="56">
        <f t="shared" ca="1" si="242"/>
        <v>72.5</v>
      </c>
      <c r="O1138" s="56">
        <f t="shared" ca="1" si="242"/>
        <v>240</v>
      </c>
      <c r="P1138" s="56">
        <f t="shared" ca="1" si="242"/>
        <v>40</v>
      </c>
      <c r="Q1138" s="56">
        <f t="shared" ca="1" si="242"/>
        <v>315</v>
      </c>
      <c r="R1138" s="56">
        <f t="shared" ca="1" si="242"/>
        <v>100</v>
      </c>
      <c r="S1138" s="56">
        <f t="shared" ca="1" si="242"/>
        <v>695</v>
      </c>
      <c r="T1138" s="56">
        <f t="shared" ca="1" si="242"/>
        <v>33.333333333333336</v>
      </c>
    </row>
    <row r="1139" spans="1:20" ht="15">
      <c r="A1139" s="11">
        <f t="shared" si="235"/>
        <v>2096</v>
      </c>
      <c r="B1139" s="11">
        <f t="shared" si="238"/>
        <v>366</v>
      </c>
      <c r="C1139" s="56">
        <f t="shared" ca="1" si="241"/>
        <v>154.75825</v>
      </c>
      <c r="D1139" s="56">
        <f t="shared" ca="1" si="241"/>
        <v>281.0162499999999</v>
      </c>
      <c r="E1139" s="56">
        <f t="shared" ca="1" si="241"/>
        <v>109.1005</v>
      </c>
      <c r="F1139" s="56">
        <f t="shared" ca="1" si="241"/>
        <v>57.041666666666664</v>
      </c>
      <c r="G1139" s="56">
        <f t="shared" ca="1" si="241"/>
        <v>40</v>
      </c>
      <c r="H1139" s="56">
        <f t="shared" ca="1" si="241"/>
        <v>174.58333333333334</v>
      </c>
      <c r="I1139" s="56">
        <f t="shared" ca="1" si="241"/>
        <v>0</v>
      </c>
      <c r="J1139" s="56">
        <f t="shared" ca="1" si="241"/>
        <v>100</v>
      </c>
      <c r="K1139" s="56">
        <f t="shared" ca="1" si="241"/>
        <v>300</v>
      </c>
      <c r="L1139" s="56">
        <f t="shared" ca="1" si="241"/>
        <v>1216.5</v>
      </c>
      <c r="M1139" s="56">
        <f t="shared" ca="1" si="242"/>
        <v>600</v>
      </c>
      <c r="N1139" s="56">
        <f t="shared" ca="1" si="242"/>
        <v>72.5</v>
      </c>
      <c r="O1139" s="56">
        <f t="shared" ca="1" si="242"/>
        <v>240</v>
      </c>
      <c r="P1139" s="56">
        <f t="shared" ca="1" si="242"/>
        <v>40</v>
      </c>
      <c r="Q1139" s="56">
        <f t="shared" ca="1" si="242"/>
        <v>315</v>
      </c>
      <c r="R1139" s="56">
        <f t="shared" ca="1" si="242"/>
        <v>100</v>
      </c>
      <c r="S1139" s="56">
        <f t="shared" ca="1" si="242"/>
        <v>695</v>
      </c>
      <c r="T1139" s="56">
        <f t="shared" ca="1" si="242"/>
        <v>33.333333333333336</v>
      </c>
    </row>
    <row r="1140" spans="1:20" ht="15">
      <c r="A1140" s="11">
        <f t="shared" si="235"/>
        <v>2097</v>
      </c>
      <c r="B1140" s="11">
        <f t="shared" si="238"/>
        <v>365</v>
      </c>
      <c r="C1140" s="56">
        <f t="shared" ca="1" si="241"/>
        <v>154.75825</v>
      </c>
      <c r="D1140" s="56">
        <f t="shared" ca="1" si="241"/>
        <v>281.0162499999999</v>
      </c>
      <c r="E1140" s="56">
        <f t="shared" ca="1" si="241"/>
        <v>109.1005</v>
      </c>
      <c r="F1140" s="56">
        <f t="shared" ca="1" si="241"/>
        <v>57.041666666666664</v>
      </c>
      <c r="G1140" s="56">
        <f t="shared" ca="1" si="241"/>
        <v>40</v>
      </c>
      <c r="H1140" s="56">
        <f t="shared" ca="1" si="241"/>
        <v>174.58333333333334</v>
      </c>
      <c r="I1140" s="56">
        <f t="shared" ca="1" si="241"/>
        <v>0</v>
      </c>
      <c r="J1140" s="56">
        <f t="shared" ca="1" si="241"/>
        <v>100</v>
      </c>
      <c r="K1140" s="56">
        <f t="shared" ca="1" si="241"/>
        <v>300</v>
      </c>
      <c r="L1140" s="56">
        <f t="shared" ca="1" si="241"/>
        <v>1216.5</v>
      </c>
      <c r="M1140" s="56">
        <f t="shared" ca="1" si="242"/>
        <v>600</v>
      </c>
      <c r="N1140" s="56">
        <f t="shared" ca="1" si="242"/>
        <v>72.5</v>
      </c>
      <c r="O1140" s="56">
        <f t="shared" ca="1" si="242"/>
        <v>240</v>
      </c>
      <c r="P1140" s="56">
        <f t="shared" ca="1" si="242"/>
        <v>40</v>
      </c>
      <c r="Q1140" s="56">
        <f t="shared" ca="1" si="242"/>
        <v>315</v>
      </c>
      <c r="R1140" s="56">
        <f t="shared" ca="1" si="242"/>
        <v>100</v>
      </c>
      <c r="S1140" s="56">
        <f t="shared" ca="1" si="242"/>
        <v>695</v>
      </c>
      <c r="T1140" s="56">
        <f t="shared" ca="1" si="242"/>
        <v>33.333333333333336</v>
      </c>
    </row>
    <row r="1141" spans="1:20" ht="15">
      <c r="A1141" s="11">
        <f t="shared" si="235"/>
        <v>2098</v>
      </c>
      <c r="B1141" s="11">
        <f t="shared" si="238"/>
        <v>365</v>
      </c>
      <c r="C1141" s="56">
        <f t="shared" ca="1" si="241"/>
        <v>154.75825</v>
      </c>
      <c r="D1141" s="56">
        <f t="shared" ca="1" si="241"/>
        <v>281.0162499999999</v>
      </c>
      <c r="E1141" s="56">
        <f t="shared" ca="1" si="241"/>
        <v>109.1005</v>
      </c>
      <c r="F1141" s="56">
        <f t="shared" ca="1" si="241"/>
        <v>57.041666666666664</v>
      </c>
      <c r="G1141" s="56">
        <f t="shared" ca="1" si="241"/>
        <v>40</v>
      </c>
      <c r="H1141" s="56">
        <f t="shared" ca="1" si="241"/>
        <v>174.58333333333334</v>
      </c>
      <c r="I1141" s="56">
        <f t="shared" ca="1" si="241"/>
        <v>0</v>
      </c>
      <c r="J1141" s="56">
        <f t="shared" ca="1" si="241"/>
        <v>100</v>
      </c>
      <c r="K1141" s="56">
        <f t="shared" ca="1" si="241"/>
        <v>300</v>
      </c>
      <c r="L1141" s="56">
        <f t="shared" ca="1" si="241"/>
        <v>1216.5</v>
      </c>
      <c r="M1141" s="56">
        <f t="shared" ca="1" si="242"/>
        <v>600</v>
      </c>
      <c r="N1141" s="56">
        <f t="shared" ca="1" si="242"/>
        <v>72.5</v>
      </c>
      <c r="O1141" s="56">
        <f t="shared" ca="1" si="242"/>
        <v>240</v>
      </c>
      <c r="P1141" s="56">
        <f t="shared" ca="1" si="242"/>
        <v>40</v>
      </c>
      <c r="Q1141" s="56">
        <f t="shared" ca="1" si="242"/>
        <v>315</v>
      </c>
      <c r="R1141" s="56">
        <f t="shared" ca="1" si="242"/>
        <v>100</v>
      </c>
      <c r="S1141" s="56">
        <f t="shared" ca="1" si="242"/>
        <v>695</v>
      </c>
      <c r="T1141" s="56">
        <f t="shared" ca="1" si="242"/>
        <v>33.333333333333336</v>
      </c>
    </row>
    <row r="1142" spans="1:20" ht="15">
      <c r="A1142" s="11">
        <f t="shared" si="235"/>
        <v>2099</v>
      </c>
      <c r="B1142" s="11">
        <f t="shared" si="238"/>
        <v>365</v>
      </c>
      <c r="C1142" s="56">
        <f t="shared" ca="1" si="241"/>
        <v>154.75825</v>
      </c>
      <c r="D1142" s="56">
        <f t="shared" ca="1" si="241"/>
        <v>281.0162499999999</v>
      </c>
      <c r="E1142" s="56">
        <f t="shared" ca="1" si="241"/>
        <v>109.1005</v>
      </c>
      <c r="F1142" s="56">
        <f t="shared" ca="1" si="241"/>
        <v>57.041666666666664</v>
      </c>
      <c r="G1142" s="56">
        <f t="shared" ca="1" si="241"/>
        <v>40</v>
      </c>
      <c r="H1142" s="56">
        <f t="shared" ca="1" si="241"/>
        <v>174.58333333333334</v>
      </c>
      <c r="I1142" s="56">
        <f t="shared" ca="1" si="241"/>
        <v>0</v>
      </c>
      <c r="J1142" s="56">
        <f t="shared" ca="1" si="241"/>
        <v>100</v>
      </c>
      <c r="K1142" s="56">
        <f t="shared" ca="1" si="241"/>
        <v>300</v>
      </c>
      <c r="L1142" s="56">
        <f t="shared" ca="1" si="241"/>
        <v>1216.5</v>
      </c>
      <c r="M1142" s="56">
        <f t="shared" ca="1" si="242"/>
        <v>600</v>
      </c>
      <c r="N1142" s="56">
        <f t="shared" ca="1" si="242"/>
        <v>72.5</v>
      </c>
      <c r="O1142" s="56">
        <f t="shared" ca="1" si="242"/>
        <v>240</v>
      </c>
      <c r="P1142" s="56">
        <f t="shared" ca="1" si="242"/>
        <v>40</v>
      </c>
      <c r="Q1142" s="56">
        <f t="shared" ca="1" si="242"/>
        <v>315</v>
      </c>
      <c r="R1142" s="56">
        <f t="shared" ca="1" si="242"/>
        <v>100</v>
      </c>
      <c r="S1142" s="56">
        <f t="shared" ca="1" si="242"/>
        <v>695</v>
      </c>
      <c r="T1142" s="56">
        <f t="shared" ca="1" si="242"/>
        <v>33.333333333333336</v>
      </c>
    </row>
    <row r="1143" spans="1:20" ht="15">
      <c r="A1143" s="11">
        <f t="shared" si="235"/>
        <v>2100</v>
      </c>
      <c r="B1143" s="11">
        <f t="shared" si="238"/>
        <v>365</v>
      </c>
      <c r="C1143" s="56">
        <f t="shared" ca="1" si="241"/>
        <v>154.75825</v>
      </c>
      <c r="D1143" s="56">
        <f t="shared" ca="1" si="241"/>
        <v>281.0162499999999</v>
      </c>
      <c r="E1143" s="56">
        <f t="shared" ca="1" si="241"/>
        <v>109.1005</v>
      </c>
      <c r="F1143" s="56">
        <f t="shared" ca="1" si="241"/>
        <v>57.041666666666664</v>
      </c>
      <c r="G1143" s="56">
        <f t="shared" ca="1" si="241"/>
        <v>40</v>
      </c>
      <c r="H1143" s="56">
        <f t="shared" ca="1" si="241"/>
        <v>174.58333333333334</v>
      </c>
      <c r="I1143" s="56">
        <f t="shared" ca="1" si="241"/>
        <v>0</v>
      </c>
      <c r="J1143" s="56">
        <f t="shared" ca="1" si="241"/>
        <v>100</v>
      </c>
      <c r="K1143" s="56">
        <f t="shared" ca="1" si="241"/>
        <v>300</v>
      </c>
      <c r="L1143" s="56">
        <f t="shared" ca="1" si="241"/>
        <v>1216.5</v>
      </c>
      <c r="M1143" s="56">
        <f t="shared" ca="1" si="242"/>
        <v>600</v>
      </c>
      <c r="N1143" s="56">
        <f t="shared" ca="1" si="242"/>
        <v>72.5</v>
      </c>
      <c r="O1143" s="56">
        <f t="shared" ca="1" si="242"/>
        <v>240</v>
      </c>
      <c r="P1143" s="56">
        <f t="shared" ca="1" si="242"/>
        <v>40</v>
      </c>
      <c r="Q1143" s="56">
        <f t="shared" ca="1" si="242"/>
        <v>315</v>
      </c>
      <c r="R1143" s="56">
        <f t="shared" ca="1" si="242"/>
        <v>100</v>
      </c>
      <c r="S1143" s="56">
        <f t="shared" ca="1" si="242"/>
        <v>695</v>
      </c>
      <c r="T1143" s="56">
        <f t="shared" ca="1" si="242"/>
        <v>33.333333333333336</v>
      </c>
    </row>
    <row r="1144" spans="1:20">
      <c r="A1144" s="8"/>
      <c r="B1144" s="8"/>
    </row>
    <row r="1145" spans="1:20">
      <c r="A1145" s="8"/>
      <c r="B1145" s="8"/>
    </row>
    <row r="1146" spans="1:20">
      <c r="A1146" s="8"/>
      <c r="B1146" s="8"/>
    </row>
    <row r="1147" spans="1:20">
      <c r="A1147" s="8"/>
      <c r="B1147" s="8"/>
    </row>
    <row r="1148" spans="1:20">
      <c r="A1148" s="8"/>
      <c r="B1148" s="8"/>
    </row>
    <row r="1149" spans="1:20">
      <c r="A1149" s="8"/>
      <c r="B1149" s="8"/>
    </row>
    <row r="1150" spans="1:20">
      <c r="A1150" s="8"/>
      <c r="B1150" s="8"/>
    </row>
    <row r="1151" spans="1:20">
      <c r="A1151" s="8"/>
      <c r="B1151" s="8"/>
    </row>
    <row r="1152" spans="1:20">
      <c r="A1152" s="8"/>
      <c r="B1152" s="8"/>
    </row>
    <row r="1153" spans="1:2">
      <c r="A1153" s="8"/>
      <c r="B1153" s="8"/>
    </row>
    <row r="1154" spans="1:2">
      <c r="A1154" s="8"/>
      <c r="B1154" s="8"/>
    </row>
    <row r="1155" spans="1:2">
      <c r="A1155" s="8"/>
      <c r="B1155" s="8"/>
    </row>
    <row r="1156" spans="1:2">
      <c r="A1156" s="8"/>
      <c r="B1156" s="8"/>
    </row>
    <row r="1157" spans="1:2">
      <c r="A1157" s="8"/>
      <c r="B1157" s="8"/>
    </row>
    <row r="1158" spans="1:2">
      <c r="A1158" s="8"/>
      <c r="B1158" s="8"/>
    </row>
    <row r="1159" spans="1:2">
      <c r="A1159" s="8"/>
      <c r="B1159" s="8"/>
    </row>
    <row r="1160" spans="1:2">
      <c r="A1160" s="8"/>
      <c r="B1160" s="8"/>
    </row>
    <row r="1161" spans="1:2">
      <c r="A1161" s="8"/>
      <c r="B1161" s="8"/>
    </row>
    <row r="1162" spans="1:2">
      <c r="A1162" s="8"/>
      <c r="B1162" s="8"/>
    </row>
    <row r="1163" spans="1:2">
      <c r="A1163" s="8"/>
      <c r="B1163" s="8"/>
    </row>
  </sheetData>
  <mergeCells count="3">
    <mergeCell ref="C9:F9"/>
    <mergeCell ref="O9:Q9"/>
    <mergeCell ref="I9:K9"/>
  </mergeCells>
  <pageMargins left="0.25" right="0.25" top="0.5" bottom="0.5" header="0.25" footer="0.25"/>
  <pageSetup paperSize="3" scale="55" orientation="landscape" r:id="rId1"/>
  <headerFooter alignWithMargins="0"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S1145"/>
  <sheetViews>
    <sheetView tabSelected="1" zoomScale="70" zoomScaleNormal="70" workbookViewId="0">
      <pane xSplit="1" ySplit="13" topLeftCell="B14" activePane="bottomRight" state="frozen"/>
      <selection activeCell="C1056" sqref="C1056"/>
      <selection pane="topRight" activeCell="C1056" sqref="C1056"/>
      <selection pane="bottomLeft" activeCell="C1056" sqref="C1056"/>
      <selection pane="bottomRight" activeCell="A6" sqref="A6"/>
    </sheetView>
  </sheetViews>
  <sheetFormatPr defaultColWidth="7.109375" defaultRowHeight="12.75"/>
  <cols>
    <col min="1" max="1" width="14.5546875" style="8" customWidth="1"/>
    <col min="2" max="2" width="19" style="8" customWidth="1"/>
    <col min="3" max="3" width="16.109375" style="8" customWidth="1"/>
    <col min="4" max="4" width="20.21875" style="8" customWidth="1"/>
    <col min="5" max="5" width="20.6640625" style="8" customWidth="1"/>
    <col min="6" max="6" width="16.109375" style="8" customWidth="1"/>
    <col min="7" max="9" width="20" style="8" customWidth="1"/>
    <col min="10" max="10" width="16.109375" style="8" customWidth="1"/>
    <col min="11" max="13" width="19.109375" style="8" customWidth="1"/>
    <col min="14" max="14" width="16.109375" style="8" customWidth="1"/>
    <col min="15" max="15" width="19.77734375" style="8" customWidth="1"/>
    <col min="16" max="16" width="16.109375" style="8" customWidth="1"/>
    <col min="17" max="19" width="17.6640625" style="8" customWidth="1"/>
    <col min="20" max="16384" width="7.109375" style="8"/>
  </cols>
  <sheetData>
    <row r="1" spans="1:19" ht="15.75">
      <c r="A1" s="98" t="s">
        <v>93</v>
      </c>
    </row>
    <row r="2" spans="1:19" ht="15.75">
      <c r="A2" s="98" t="s">
        <v>94</v>
      </c>
    </row>
    <row r="3" spans="1:19" ht="15.75">
      <c r="A3" s="98" t="s">
        <v>95</v>
      </c>
    </row>
    <row r="4" spans="1:19" ht="15.75">
      <c r="A4" s="98" t="s">
        <v>96</v>
      </c>
    </row>
    <row r="5" spans="1:19" ht="15.75">
      <c r="A5" s="98" t="s">
        <v>98</v>
      </c>
    </row>
    <row r="6" spans="1:19" ht="15.75">
      <c r="A6" s="98" t="s">
        <v>103</v>
      </c>
    </row>
    <row r="7" spans="1:19" ht="20.25">
      <c r="A7" s="97"/>
    </row>
    <row r="8" spans="1:19" ht="18">
      <c r="A8" s="96" t="s">
        <v>28</v>
      </c>
      <c r="B8" s="96"/>
      <c r="H8" s="93" t="s">
        <v>92</v>
      </c>
    </row>
    <row r="9" spans="1:19" ht="18">
      <c r="A9" s="96"/>
      <c r="B9" s="95" t="s">
        <v>27</v>
      </c>
      <c r="C9" s="94">
        <f>1-0.149</f>
        <v>0.85099999999999998</v>
      </c>
      <c r="D9" s="95" t="s">
        <v>26</v>
      </c>
      <c r="E9" s="94">
        <f>1+0.149</f>
        <v>1.149</v>
      </c>
      <c r="H9" s="93"/>
      <c r="P9" s="102"/>
      <c r="Q9" s="102"/>
      <c r="R9" s="102"/>
      <c r="S9" s="102"/>
    </row>
    <row r="10" spans="1:19" ht="15.75">
      <c r="B10" s="110" t="s">
        <v>91</v>
      </c>
      <c r="C10" s="110"/>
      <c r="D10" s="110"/>
      <c r="E10" s="111" t="s">
        <v>90</v>
      </c>
      <c r="F10" s="111"/>
      <c r="G10" s="112"/>
      <c r="H10" s="113" t="s">
        <v>89</v>
      </c>
      <c r="I10" s="113"/>
      <c r="J10" s="113"/>
      <c r="K10" s="113"/>
      <c r="L10" s="112" t="s">
        <v>88</v>
      </c>
      <c r="M10" s="112"/>
      <c r="N10" s="112"/>
      <c r="O10" s="112"/>
      <c r="P10" s="102"/>
      <c r="Q10" s="102"/>
      <c r="R10" s="102"/>
      <c r="S10" s="102"/>
    </row>
    <row r="11" spans="1:19" ht="63">
      <c r="B11" s="92" t="s">
        <v>87</v>
      </c>
      <c r="C11" s="91" t="s">
        <v>85</v>
      </c>
      <c r="D11" s="90" t="s">
        <v>84</v>
      </c>
      <c r="E11" s="92" t="s">
        <v>87</v>
      </c>
      <c r="F11" s="91" t="s">
        <v>85</v>
      </c>
      <c r="G11" s="90" t="s">
        <v>84</v>
      </c>
      <c r="H11" s="92" t="s">
        <v>87</v>
      </c>
      <c r="I11" s="92" t="s">
        <v>86</v>
      </c>
      <c r="J11" s="91" t="s">
        <v>85</v>
      </c>
      <c r="K11" s="90" t="s">
        <v>84</v>
      </c>
      <c r="L11" s="92" t="s">
        <v>87</v>
      </c>
      <c r="M11" s="92" t="s">
        <v>86</v>
      </c>
      <c r="N11" s="91" t="s">
        <v>85</v>
      </c>
      <c r="O11" s="90" t="s">
        <v>84</v>
      </c>
      <c r="P11" s="89"/>
      <c r="Q11" s="85"/>
      <c r="R11" s="85"/>
      <c r="S11" s="85"/>
    </row>
    <row r="12" spans="1:19" ht="13.5" customHeight="1">
      <c r="B12" s="88"/>
      <c r="C12" s="87"/>
      <c r="D12" s="86"/>
      <c r="E12" s="88"/>
      <c r="F12" s="87"/>
      <c r="G12" s="86"/>
      <c r="H12" s="88"/>
      <c r="I12" s="88"/>
      <c r="J12" s="87"/>
      <c r="K12" s="86"/>
      <c r="L12" s="88"/>
      <c r="M12" s="88"/>
      <c r="N12" s="87"/>
      <c r="O12" s="86"/>
      <c r="P12" s="85"/>
      <c r="Q12" s="84"/>
      <c r="R12" s="84"/>
      <c r="S12" s="84"/>
    </row>
    <row r="13" spans="1:19" ht="20.25">
      <c r="A13" s="83" t="s">
        <v>15</v>
      </c>
      <c r="B13" s="82" t="s">
        <v>14</v>
      </c>
      <c r="C13" s="82" t="s">
        <v>14</v>
      </c>
      <c r="D13" s="82" t="s">
        <v>14</v>
      </c>
      <c r="E13" s="82" t="s">
        <v>14</v>
      </c>
      <c r="F13" s="82" t="s">
        <v>14</v>
      </c>
      <c r="G13" s="82" t="s">
        <v>14</v>
      </c>
      <c r="H13" s="82" t="s">
        <v>14</v>
      </c>
      <c r="I13" s="82" t="s">
        <v>14</v>
      </c>
      <c r="J13" s="82" t="s">
        <v>14</v>
      </c>
      <c r="K13" s="82" t="s">
        <v>14</v>
      </c>
      <c r="L13" s="82" t="s">
        <v>14</v>
      </c>
      <c r="M13" s="82" t="s">
        <v>14</v>
      </c>
      <c r="N13" s="82" t="s">
        <v>14</v>
      </c>
      <c r="O13" s="82" t="s">
        <v>14</v>
      </c>
      <c r="P13" s="82"/>
      <c r="Q13" s="82"/>
      <c r="R13" s="82"/>
      <c r="S13" s="82"/>
    </row>
    <row r="14" spans="1:19" ht="15">
      <c r="A14" s="16">
        <v>41640</v>
      </c>
      <c r="B14" s="80">
        <v>2.3259726527614299</v>
      </c>
      <c r="C14" s="80">
        <v>2.2881931818181802</v>
      </c>
      <c r="D14" s="80">
        <v>2.3271061818181802</v>
      </c>
      <c r="E14" s="81">
        <v>3.4997846904753001</v>
      </c>
      <c r="F14" s="81">
        <v>3.2737288135593201</v>
      </c>
      <c r="G14" s="81">
        <v>3.2866738135593199</v>
      </c>
      <c r="H14" s="81">
        <v>5.6851303602769301</v>
      </c>
      <c r="I14" s="81">
        <v>5.6980753602769303</v>
      </c>
      <c r="J14" s="81">
        <v>5.6851303602769301</v>
      </c>
      <c r="K14" s="81">
        <v>5.6980753602769303</v>
      </c>
      <c r="L14" s="81">
        <v>3.4997846904753001</v>
      </c>
      <c r="M14" s="81">
        <v>3.5127296904752998</v>
      </c>
      <c r="N14" s="81">
        <v>3.4997846904753001</v>
      </c>
      <c r="O14" s="81">
        <v>3.5127296904752998</v>
      </c>
      <c r="P14" s="10"/>
      <c r="Q14" s="81"/>
      <c r="R14" s="81"/>
    </row>
    <row r="15" spans="1:19" ht="15">
      <c r="A15" s="16">
        <v>41671</v>
      </c>
      <c r="B15" s="80">
        <f>2.3685 * CHOOSE(CONTROL!$C$32, $C$9, 100%, $E$9)</f>
        <v>2.3685</v>
      </c>
      <c r="C15" s="80">
        <f>2.329 * CHOOSE(CONTROL!$C$32, $C$9, 100%, $E$9)</f>
        <v>2.3290000000000002</v>
      </c>
      <c r="D15" s="80">
        <f>2.3326 * CHOOSE(CONTROL!$C$32, $C$9, 100%, $E$9)</f>
        <v>2.3325999999999998</v>
      </c>
      <c r="E15" s="81">
        <f>3.3397 * CHOOSE(CONTROL!$C$32, $C$9, 100%, $E$9)</f>
        <v>3.3397000000000001</v>
      </c>
      <c r="F15" s="81">
        <f>3.561 * CHOOSE(CONTROL!$C$32, $C$9, 100%, $E$9)</f>
        <v>3.5609999999999999</v>
      </c>
      <c r="G15" s="81">
        <f>3.5707 * CHOOSE(CONTROL!$C$32, $C$9, 100%, $E$9)</f>
        <v>3.5707</v>
      </c>
      <c r="H15" s="81">
        <f>5.8292 * CHOOSE(CONTROL!$C$32, $C$9, 100%, $E$9)</f>
        <v>5.8292000000000002</v>
      </c>
      <c r="I15" s="81">
        <f>5.8389 * CHOOSE(CONTROL!$C$32, $C$9, 100%, $E$9)</f>
        <v>5.8388999999999998</v>
      </c>
      <c r="J15" s="81">
        <f>5.8292 * CHOOSE(CONTROL!$C$32, $C$9, 100%, $E$9)</f>
        <v>5.8292000000000002</v>
      </c>
      <c r="K15" s="81">
        <f>5.8389 * CHOOSE(CONTROL!$C$32, $C$9, 100%, $E$9)</f>
        <v>5.8388999999999998</v>
      </c>
      <c r="L15" s="81">
        <f>3.3397 * CHOOSE(CONTROL!$C$32, $C$9, 100%, $E$9)</f>
        <v>3.3397000000000001</v>
      </c>
      <c r="M15" s="81">
        <f>3.3494 * CHOOSE(CONTROL!$C$32, $C$9, 100%, $E$9)</f>
        <v>3.3494000000000002</v>
      </c>
      <c r="N15" s="81">
        <f>3.3397 * CHOOSE(CONTROL!$C$32, $C$9, 100%, $E$9)</f>
        <v>3.3397000000000001</v>
      </c>
      <c r="O15" s="81">
        <f>3.3494 * CHOOSE(CONTROL!$C$32, $C$9, 100%, $E$9)</f>
        <v>3.3494000000000002</v>
      </c>
      <c r="P15" s="10"/>
      <c r="Q15" s="81"/>
      <c r="R15" s="81"/>
    </row>
    <row r="16" spans="1:19" ht="15">
      <c r="A16" s="16">
        <v>41699</v>
      </c>
      <c r="B16" s="80">
        <f>2.3683 * CHOOSE(CONTROL!$C$32, $C$9, 100%, $E$9)</f>
        <v>2.3683000000000001</v>
      </c>
      <c r="C16" s="80">
        <f>2.3227 * CHOOSE(CONTROL!$C$32, $C$9, 100%, $E$9)</f>
        <v>2.3227000000000002</v>
      </c>
      <c r="D16" s="80">
        <f>2.3262 * CHOOSE(CONTROL!$C$32, $C$9, 100%, $E$9)</f>
        <v>2.3262</v>
      </c>
      <c r="E16" s="81">
        <f>3.3703 * CHOOSE(CONTROL!$C$32, $C$9, 100%, $E$9)</f>
        <v>3.3702999999999999</v>
      </c>
      <c r="F16" s="81">
        <f>3.561 * CHOOSE(CONTROL!$C$32, $C$9, 100%, $E$9)</f>
        <v>3.5609999999999999</v>
      </c>
      <c r="G16" s="81">
        <f>3.5707 * CHOOSE(CONTROL!$C$32, $C$9, 100%, $E$9)</f>
        <v>3.5707</v>
      </c>
      <c r="H16" s="81">
        <f>5.8414 * CHOOSE(CONTROL!$C$32, $C$9, 100%, $E$9)</f>
        <v>5.8414000000000001</v>
      </c>
      <c r="I16" s="81">
        <f>5.851 * CHOOSE(CONTROL!$C$32, $C$9, 100%, $E$9)</f>
        <v>5.851</v>
      </c>
      <c r="J16" s="81">
        <f>5.8414 * CHOOSE(CONTROL!$C$32, $C$9, 100%, $E$9)</f>
        <v>5.8414000000000001</v>
      </c>
      <c r="K16" s="81">
        <f>5.851 * CHOOSE(CONTROL!$C$32, $C$9, 100%, $E$9)</f>
        <v>5.851</v>
      </c>
      <c r="L16" s="81">
        <f>3.3703 * CHOOSE(CONTROL!$C$32, $C$9, 100%, $E$9)</f>
        <v>3.3702999999999999</v>
      </c>
      <c r="M16" s="81">
        <f>3.38 * CHOOSE(CONTROL!$C$32, $C$9, 100%, $E$9)</f>
        <v>3.38</v>
      </c>
      <c r="N16" s="81">
        <f>3.3703 * CHOOSE(CONTROL!$C$32, $C$9, 100%, $E$9)</f>
        <v>3.3702999999999999</v>
      </c>
      <c r="O16" s="81">
        <f>3.38 * CHOOSE(CONTROL!$C$32, $C$9, 100%, $E$9)</f>
        <v>3.38</v>
      </c>
      <c r="P16" s="10"/>
      <c r="Q16" s="81"/>
      <c r="R16" s="81"/>
    </row>
    <row r="17" spans="1:18" ht="15">
      <c r="A17" s="16">
        <v>41730</v>
      </c>
      <c r="B17" s="80">
        <f>2.4658 * CHOOSE(CONTROL!$C$32, $C$9, 100%, $E$9)</f>
        <v>2.4658000000000002</v>
      </c>
      <c r="C17" s="80">
        <f>2.4194 * CHOOSE(CONTROL!$C$32, $C$9, 100%, $E$9)</f>
        <v>2.4194</v>
      </c>
      <c r="D17" s="80">
        <f>2.423 * CHOOSE(CONTROL!$C$32, $C$9, 100%, $E$9)</f>
        <v>2.423</v>
      </c>
      <c r="E17" s="81">
        <f>3.3266 * CHOOSE(CONTROL!$C$32, $C$9, 100%, $E$9)</f>
        <v>3.3266</v>
      </c>
      <c r="F17" s="81">
        <f>3.561 * CHOOSE(CONTROL!$C$32, $C$9, 100%, $E$9)</f>
        <v>3.5609999999999999</v>
      </c>
      <c r="G17" s="81">
        <f>3.5707 * CHOOSE(CONTROL!$C$32, $C$9, 100%, $E$9)</f>
        <v>3.5707</v>
      </c>
      <c r="H17" s="81">
        <f>5.8535 * CHOOSE(CONTROL!$C$32, $C$9, 100%, $E$9)</f>
        <v>5.8535000000000004</v>
      </c>
      <c r="I17" s="81">
        <f>5.8632 * CHOOSE(CONTROL!$C$32, $C$9, 100%, $E$9)</f>
        <v>5.8632</v>
      </c>
      <c r="J17" s="81">
        <f>5.8535 * CHOOSE(CONTROL!$C$32, $C$9, 100%, $E$9)</f>
        <v>5.8535000000000004</v>
      </c>
      <c r="K17" s="81">
        <f>5.8632 * CHOOSE(CONTROL!$C$32, $C$9, 100%, $E$9)</f>
        <v>5.8632</v>
      </c>
      <c r="L17" s="81">
        <f>3.3266 * CHOOSE(CONTROL!$C$32, $C$9, 100%, $E$9)</f>
        <v>3.3266</v>
      </c>
      <c r="M17" s="81">
        <f>3.3363 * CHOOSE(CONTROL!$C$32, $C$9, 100%, $E$9)</f>
        <v>3.3363</v>
      </c>
      <c r="N17" s="81">
        <f>3.3266 * CHOOSE(CONTROL!$C$32, $C$9, 100%, $E$9)</f>
        <v>3.3266</v>
      </c>
      <c r="O17" s="81">
        <f>3.3363 * CHOOSE(CONTROL!$C$32, $C$9, 100%, $E$9)</f>
        <v>3.3363</v>
      </c>
      <c r="P17" s="10"/>
      <c r="Q17" s="81"/>
      <c r="R17" s="81"/>
    </row>
    <row r="18" spans="1:18" ht="15">
      <c r="A18" s="16">
        <v>41760</v>
      </c>
      <c r="B18" s="80">
        <f>2.4818 * CHOOSE(CONTROL!$C$32, $C$9, 100%, $E$9)</f>
        <v>2.4817999999999998</v>
      </c>
      <c r="C18" s="80">
        <f>2.4328 * CHOOSE(CONTROL!$C$32, $C$9, 100%, $E$9)</f>
        <v>2.4327999999999999</v>
      </c>
      <c r="D18" s="80">
        <f>2.438 * CHOOSE(CONTROL!$C$32, $C$9, 100%, $E$9)</f>
        <v>2.4380000000000002</v>
      </c>
      <c r="E18" s="81">
        <f>3.2669 * CHOOSE(CONTROL!$C$32, $C$9, 100%, $E$9)</f>
        <v>3.2669000000000001</v>
      </c>
      <c r="F18" s="81">
        <f>3.282 * CHOOSE(CONTROL!$C$32, $C$9, 100%, $E$9)</f>
        <v>3.282</v>
      </c>
      <c r="G18" s="81">
        <f>3.296 * CHOOSE(CONTROL!$C$32, $C$9, 100%, $E$9)</f>
        <v>3.2959999999999998</v>
      </c>
      <c r="H18" s="81">
        <f>5.8657 * CHOOSE(CONTROL!$C$32, $C$9, 100%, $E$9)</f>
        <v>5.8657000000000004</v>
      </c>
      <c r="I18" s="81">
        <f>5.8797 * CHOOSE(CONTROL!$C$32, $C$9, 100%, $E$9)</f>
        <v>5.8796999999999997</v>
      </c>
      <c r="J18" s="81">
        <f>5.8657 * CHOOSE(CONTROL!$C$32, $C$9, 100%, $E$9)</f>
        <v>5.8657000000000004</v>
      </c>
      <c r="K18" s="81">
        <f>5.8797 * CHOOSE(CONTROL!$C$32, $C$9, 100%, $E$9)</f>
        <v>5.8796999999999997</v>
      </c>
      <c r="L18" s="81">
        <f>3.2669 * CHOOSE(CONTROL!$C$32, $C$9, 100%, $E$9)</f>
        <v>3.2669000000000001</v>
      </c>
      <c r="M18" s="81">
        <f>3.2809 * CHOOSE(CONTROL!$C$32, $C$9, 100%, $E$9)</f>
        <v>3.2808999999999999</v>
      </c>
      <c r="N18" s="81">
        <f>3.2669 * CHOOSE(CONTROL!$C$32, $C$9, 100%, $E$9)</f>
        <v>3.2669000000000001</v>
      </c>
      <c r="O18" s="81">
        <f>3.2809 * CHOOSE(CONTROL!$C$32, $C$9, 100%, $E$9)</f>
        <v>3.2808999999999999</v>
      </c>
      <c r="P18" s="10"/>
      <c r="Q18" s="81"/>
      <c r="R18" s="81"/>
    </row>
    <row r="19" spans="1:18" ht="15">
      <c r="A19" s="16">
        <v>41791</v>
      </c>
      <c r="B19" s="80">
        <f>2.4881 * CHOOSE(CONTROL!$C$32, $C$9, 100%, $E$9)</f>
        <v>2.4881000000000002</v>
      </c>
      <c r="C19" s="80">
        <f>2.4485 * CHOOSE(CONTROL!$C$32, $C$9, 100%, $E$9)</f>
        <v>2.4485000000000001</v>
      </c>
      <c r="D19" s="80">
        <f>2.4536 * CHOOSE(CONTROL!$C$32, $C$9, 100%, $E$9)</f>
        <v>2.4535999999999998</v>
      </c>
      <c r="E19" s="81">
        <f>3.2472 * CHOOSE(CONTROL!$C$32, $C$9, 100%, $E$9)</f>
        <v>3.2471999999999999</v>
      </c>
      <c r="F19" s="81">
        <f>3.561 * CHOOSE(CONTROL!$C$32, $C$9, 100%, $E$9)</f>
        <v>3.5609999999999999</v>
      </c>
      <c r="G19" s="81">
        <f>3.575 * CHOOSE(CONTROL!$C$32, $C$9, 100%, $E$9)</f>
        <v>3.5750000000000002</v>
      </c>
      <c r="H19" s="81">
        <f>5.8779 * CHOOSE(CONTROL!$C$32, $C$9, 100%, $E$9)</f>
        <v>5.8779000000000003</v>
      </c>
      <c r="I19" s="81">
        <f>5.892 * CHOOSE(CONTROL!$C$32, $C$9, 100%, $E$9)</f>
        <v>5.8920000000000003</v>
      </c>
      <c r="J19" s="81">
        <f>5.8779 * CHOOSE(CONTROL!$C$32, $C$9, 100%, $E$9)</f>
        <v>5.8779000000000003</v>
      </c>
      <c r="K19" s="81">
        <f>5.892 * CHOOSE(CONTROL!$C$32, $C$9, 100%, $E$9)</f>
        <v>5.8920000000000003</v>
      </c>
      <c r="L19" s="81">
        <f>3.2472 * CHOOSE(CONTROL!$C$32, $C$9, 100%, $E$9)</f>
        <v>3.2471999999999999</v>
      </c>
      <c r="M19" s="81">
        <f>3.2612 * CHOOSE(CONTROL!$C$32, $C$9, 100%, $E$9)</f>
        <v>3.2612000000000001</v>
      </c>
      <c r="N19" s="81">
        <f>3.2472 * CHOOSE(CONTROL!$C$32, $C$9, 100%, $E$9)</f>
        <v>3.2471999999999999</v>
      </c>
      <c r="O19" s="81">
        <f>3.2612 * CHOOSE(CONTROL!$C$32, $C$9, 100%, $E$9)</f>
        <v>3.2612000000000001</v>
      </c>
      <c r="P19" s="10"/>
      <c r="Q19" s="81"/>
      <c r="R19" s="81"/>
    </row>
    <row r="20" spans="1:18" ht="15">
      <c r="A20" s="16">
        <v>41821</v>
      </c>
      <c r="B20" s="80">
        <f>2.4092 * CHOOSE(CONTROL!$C$32, $C$9, 100%, $E$9)</f>
        <v>2.4091999999999998</v>
      </c>
      <c r="C20" s="80">
        <f>2.4023 * CHOOSE(CONTROL!$C$32, $C$9, 100%, $E$9)</f>
        <v>2.4022999999999999</v>
      </c>
      <c r="D20" s="80">
        <f>2.4074 * CHOOSE(CONTROL!$C$32, $C$9, 100%, $E$9)</f>
        <v>2.4074</v>
      </c>
      <c r="E20" s="81">
        <f>3.2484 * CHOOSE(CONTROL!$C$32, $C$9, 100%, $E$9)</f>
        <v>3.2484000000000002</v>
      </c>
      <c r="F20" s="81">
        <f>3.321 * CHOOSE(CONTROL!$C$32, $C$9, 100%, $E$9)</f>
        <v>3.3210000000000002</v>
      </c>
      <c r="G20" s="81">
        <f>3.335 * CHOOSE(CONTROL!$C$32, $C$9, 100%, $E$9)</f>
        <v>3.335</v>
      </c>
      <c r="H20" s="81">
        <f>5.8902 * CHOOSE(CONTROL!$C$32, $C$9, 100%, $E$9)</f>
        <v>5.8902000000000001</v>
      </c>
      <c r="I20" s="81">
        <f>5.9042 * CHOOSE(CONTROL!$C$32, $C$9, 100%, $E$9)</f>
        <v>5.9042000000000003</v>
      </c>
      <c r="J20" s="81">
        <f>5.8902 * CHOOSE(CONTROL!$C$32, $C$9, 100%, $E$9)</f>
        <v>5.8902000000000001</v>
      </c>
      <c r="K20" s="81">
        <f>5.9042 * CHOOSE(CONTROL!$C$32, $C$9, 100%, $E$9)</f>
        <v>5.9042000000000003</v>
      </c>
      <c r="L20" s="81">
        <f>3.2484 * CHOOSE(CONTROL!$C$32, $C$9, 100%, $E$9)</f>
        <v>3.2484000000000002</v>
      </c>
      <c r="M20" s="81">
        <f>3.2624 * CHOOSE(CONTROL!$C$32, $C$9, 100%, $E$9)</f>
        <v>3.2624</v>
      </c>
      <c r="N20" s="81">
        <f>3.2484 * CHOOSE(CONTROL!$C$32, $C$9, 100%, $E$9)</f>
        <v>3.2484000000000002</v>
      </c>
      <c r="O20" s="81">
        <f>3.2624 * CHOOSE(CONTROL!$C$32, $C$9, 100%, $E$9)</f>
        <v>3.2624</v>
      </c>
      <c r="P20" s="10"/>
      <c r="Q20" s="81"/>
      <c r="R20" s="81"/>
    </row>
    <row r="21" spans="1:18" ht="15">
      <c r="A21" s="16">
        <v>41852</v>
      </c>
      <c r="B21" s="80">
        <f>2.4115 * CHOOSE(CONTROL!$C$32, $C$9, 100%, $E$9)</f>
        <v>2.4115000000000002</v>
      </c>
      <c r="C21" s="80">
        <f>2.438 * CHOOSE(CONTROL!$C$32, $C$9, 100%, $E$9)</f>
        <v>2.4380000000000002</v>
      </c>
      <c r="D21" s="80">
        <f>2.4431 * CHOOSE(CONTROL!$C$32, $C$9, 100%, $E$9)</f>
        <v>2.4430999999999998</v>
      </c>
      <c r="E21" s="81">
        <f>3.2025 * CHOOSE(CONTROL!$C$32, $C$9, 100%, $E$9)</f>
        <v>3.2025000000000001</v>
      </c>
      <c r="F21" s="81">
        <f>3.282 * CHOOSE(CONTROL!$C$32, $C$9, 100%, $E$9)</f>
        <v>3.282</v>
      </c>
      <c r="G21" s="81">
        <f>3.296 * CHOOSE(CONTROL!$C$32, $C$9, 100%, $E$9)</f>
        <v>3.2959999999999998</v>
      </c>
      <c r="H21" s="81">
        <f>5.9025 * CHOOSE(CONTROL!$C$32, $C$9, 100%, $E$9)</f>
        <v>5.9024999999999999</v>
      </c>
      <c r="I21" s="81">
        <f>5.9165 * CHOOSE(CONTROL!$C$32, $C$9, 100%, $E$9)</f>
        <v>5.9165000000000001</v>
      </c>
      <c r="J21" s="81">
        <f>5.9025 * CHOOSE(CONTROL!$C$32, $C$9, 100%, $E$9)</f>
        <v>5.9024999999999999</v>
      </c>
      <c r="K21" s="81">
        <f>5.9165 * CHOOSE(CONTROL!$C$32, $C$9, 100%, $E$9)</f>
        <v>5.9165000000000001</v>
      </c>
      <c r="L21" s="81">
        <f>3.2025 * CHOOSE(CONTROL!$C$32, $C$9, 100%, $E$9)</f>
        <v>3.2025000000000001</v>
      </c>
      <c r="M21" s="81">
        <f>3.2165 * CHOOSE(CONTROL!$C$32, $C$9, 100%, $E$9)</f>
        <v>3.2164999999999999</v>
      </c>
      <c r="N21" s="81">
        <f>3.2025 * CHOOSE(CONTROL!$C$32, $C$9, 100%, $E$9)</f>
        <v>3.2025000000000001</v>
      </c>
      <c r="O21" s="81">
        <f>3.2165 * CHOOSE(CONTROL!$C$32, $C$9, 100%, $E$9)</f>
        <v>3.2164999999999999</v>
      </c>
      <c r="P21" s="10"/>
      <c r="Q21" s="81"/>
      <c r="R21" s="81"/>
    </row>
    <row r="22" spans="1:18" ht="15">
      <c r="A22" s="16">
        <v>41883</v>
      </c>
      <c r="B22" s="80">
        <f>2.4098 * CHOOSE(CONTROL!$C$32, $C$9, 100%, $E$9)</f>
        <v>2.4098000000000002</v>
      </c>
      <c r="C22" s="80">
        <f>2.435 * CHOOSE(CONTROL!$C$32, $C$9, 100%, $E$9)</f>
        <v>2.4350000000000001</v>
      </c>
      <c r="D22" s="80">
        <f>2.4402 * CHOOSE(CONTROL!$C$32, $C$9, 100%, $E$9)</f>
        <v>2.4401999999999999</v>
      </c>
      <c r="E22" s="81">
        <f>3.2621 * CHOOSE(CONTROL!$C$32, $C$9, 100%, $E$9)</f>
        <v>3.2621000000000002</v>
      </c>
      <c r="F22" s="81">
        <f>3.4 * CHOOSE(CONTROL!$C$32, $C$9, 100%, $E$9)</f>
        <v>3.4</v>
      </c>
      <c r="G22" s="81">
        <f>3.414 * CHOOSE(CONTROL!$C$32, $C$9, 100%, $E$9)</f>
        <v>3.4140000000000001</v>
      </c>
      <c r="H22" s="81">
        <f>5.9148 * CHOOSE(CONTROL!$C$32, $C$9, 100%, $E$9)</f>
        <v>5.9147999999999996</v>
      </c>
      <c r="I22" s="81">
        <f>5.9288 * CHOOSE(CONTROL!$C$32, $C$9, 100%, $E$9)</f>
        <v>5.9287999999999998</v>
      </c>
      <c r="J22" s="81">
        <f>5.9148 * CHOOSE(CONTROL!$C$32, $C$9, 100%, $E$9)</f>
        <v>5.9147999999999996</v>
      </c>
      <c r="K22" s="81">
        <f>5.9288 * CHOOSE(CONTROL!$C$32, $C$9, 100%, $E$9)</f>
        <v>5.9287999999999998</v>
      </c>
      <c r="L22" s="81">
        <f>3.2621 * CHOOSE(CONTROL!$C$32, $C$9, 100%, $E$9)</f>
        <v>3.2621000000000002</v>
      </c>
      <c r="M22" s="81">
        <f>3.2761 * CHOOSE(CONTROL!$C$32, $C$9, 100%, $E$9)</f>
        <v>3.2761</v>
      </c>
      <c r="N22" s="81">
        <f>3.2621 * CHOOSE(CONTROL!$C$32, $C$9, 100%, $E$9)</f>
        <v>3.2621000000000002</v>
      </c>
      <c r="O22" s="81">
        <f>3.2761 * CHOOSE(CONTROL!$C$32, $C$9, 100%, $E$9)</f>
        <v>3.2761</v>
      </c>
      <c r="P22" s="10"/>
      <c r="Q22" s="81"/>
      <c r="R22" s="81"/>
    </row>
    <row r="23" spans="1:18" ht="15">
      <c r="A23" s="16">
        <v>41913</v>
      </c>
      <c r="B23" s="80">
        <f>2.4178 * CHOOSE(CONTROL!$C$32, $C$9, 100%, $E$9)</f>
        <v>2.4178000000000002</v>
      </c>
      <c r="C23" s="80">
        <f>2.4347 * CHOOSE(CONTROL!$C$32, $C$9, 100%, $E$9)</f>
        <v>2.4346999999999999</v>
      </c>
      <c r="D23" s="80">
        <f>2.4382 * CHOOSE(CONTROL!$C$32, $C$9, 100%, $E$9)</f>
        <v>2.4382000000000001</v>
      </c>
      <c r="E23" s="81">
        <f>3.2947 * CHOOSE(CONTROL!$C$32, $C$9, 100%, $E$9)</f>
        <v>3.2947000000000002</v>
      </c>
      <c r="F23" s="81">
        <f>3.561 * CHOOSE(CONTROL!$C$32, $C$9, 100%, $E$9)</f>
        <v>3.5609999999999999</v>
      </c>
      <c r="G23" s="81">
        <f>3.5707 * CHOOSE(CONTROL!$C$32, $C$9, 100%, $E$9)</f>
        <v>3.5707</v>
      </c>
      <c r="H23" s="81">
        <f>5.9271 * CHOOSE(CONTROL!$C$32, $C$9, 100%, $E$9)</f>
        <v>5.9271000000000003</v>
      </c>
      <c r="I23" s="81">
        <f>5.9368 * CHOOSE(CONTROL!$C$32, $C$9, 100%, $E$9)</f>
        <v>5.9367999999999999</v>
      </c>
      <c r="J23" s="81">
        <f>5.9271 * CHOOSE(CONTROL!$C$32, $C$9, 100%, $E$9)</f>
        <v>5.9271000000000003</v>
      </c>
      <c r="K23" s="81">
        <f>5.9368 * CHOOSE(CONTROL!$C$32, $C$9, 100%, $E$9)</f>
        <v>5.9367999999999999</v>
      </c>
      <c r="L23" s="81">
        <f>3.2947 * CHOOSE(CONTROL!$C$32, $C$9, 100%, $E$9)</f>
        <v>3.2947000000000002</v>
      </c>
      <c r="M23" s="81">
        <f>3.3044 * CHOOSE(CONTROL!$C$32, $C$9, 100%, $E$9)</f>
        <v>3.3043999999999998</v>
      </c>
      <c r="N23" s="81">
        <f>3.2947 * CHOOSE(CONTROL!$C$32, $C$9, 100%, $E$9)</f>
        <v>3.2947000000000002</v>
      </c>
      <c r="O23" s="81">
        <f>3.3044 * CHOOSE(CONTROL!$C$32, $C$9, 100%, $E$9)</f>
        <v>3.3043999999999998</v>
      </c>
      <c r="P23" s="10"/>
      <c r="Q23" s="81"/>
      <c r="R23" s="81"/>
    </row>
    <row r="24" spans="1:18" ht="15">
      <c r="A24" s="16">
        <v>41944</v>
      </c>
      <c r="B24" s="80">
        <f>2.4171 * CHOOSE(CONTROL!$C$32, $C$9, 100%, $E$9)</f>
        <v>2.4171</v>
      </c>
      <c r="C24" s="80">
        <f>2.4431 * CHOOSE(CONTROL!$C$32, $C$9, 100%, $E$9)</f>
        <v>2.4430999999999998</v>
      </c>
      <c r="D24" s="80">
        <f>2.4466 * CHOOSE(CONTROL!$C$32, $C$9, 100%, $E$9)</f>
        <v>2.4466000000000001</v>
      </c>
      <c r="E24" s="81">
        <f>3.3121 * CHOOSE(CONTROL!$C$32, $C$9, 100%, $E$9)</f>
        <v>3.3121</v>
      </c>
      <c r="F24" s="81">
        <f>3.348 * CHOOSE(CONTROL!$C$32, $C$9, 100%, $E$9)</f>
        <v>3.3479999999999999</v>
      </c>
      <c r="G24" s="81">
        <f>3.3577 * CHOOSE(CONTROL!$C$32, $C$9, 100%, $E$9)</f>
        <v>3.3576999999999999</v>
      </c>
      <c r="H24" s="81">
        <f>5.9394 * CHOOSE(CONTROL!$C$32, $C$9, 100%, $E$9)</f>
        <v>5.9394</v>
      </c>
      <c r="I24" s="81">
        <f>5.9491 * CHOOSE(CONTROL!$C$32, $C$9, 100%, $E$9)</f>
        <v>5.9490999999999996</v>
      </c>
      <c r="J24" s="81">
        <f>5.9394 * CHOOSE(CONTROL!$C$32, $C$9, 100%, $E$9)</f>
        <v>5.9394</v>
      </c>
      <c r="K24" s="81">
        <f>5.9491 * CHOOSE(CONTROL!$C$32, $C$9, 100%, $E$9)</f>
        <v>5.9490999999999996</v>
      </c>
      <c r="L24" s="81">
        <f>3.3121 * CHOOSE(CONTROL!$C$32, $C$9, 100%, $E$9)</f>
        <v>3.3121</v>
      </c>
      <c r="M24" s="81">
        <f>3.3218 * CHOOSE(CONTROL!$C$32, $C$9, 100%, $E$9)</f>
        <v>3.3218000000000001</v>
      </c>
      <c r="N24" s="81">
        <f>3.3121 * CHOOSE(CONTROL!$C$32, $C$9, 100%, $E$9)</f>
        <v>3.3121</v>
      </c>
      <c r="O24" s="81">
        <f>3.3218 * CHOOSE(CONTROL!$C$32, $C$9, 100%, $E$9)</f>
        <v>3.3218000000000001</v>
      </c>
      <c r="P24" s="10"/>
      <c r="Q24" s="81"/>
      <c r="R24" s="81"/>
    </row>
    <row r="25" spans="1:18" ht="15">
      <c r="A25" s="16">
        <v>41974</v>
      </c>
      <c r="B25" s="80">
        <f>2.4197 * CHOOSE(CONTROL!$C$32, $C$9, 100%, $E$9)</f>
        <v>2.4197000000000002</v>
      </c>
      <c r="C25" s="80">
        <f>2.4491 * CHOOSE(CONTROL!$C$32, $C$9, 100%, $E$9)</f>
        <v>2.4491000000000001</v>
      </c>
      <c r="D25" s="80">
        <f>2.4527 * CHOOSE(CONTROL!$C$32, $C$9, 100%, $E$9)</f>
        <v>2.4527000000000001</v>
      </c>
      <c r="E25" s="81">
        <f>3.3287 * CHOOSE(CONTROL!$C$32, $C$9, 100%, $E$9)</f>
        <v>3.3287</v>
      </c>
      <c r="F25" s="81">
        <f>3.385 * CHOOSE(CONTROL!$C$32, $C$9, 100%, $E$9)</f>
        <v>3.3849999999999998</v>
      </c>
      <c r="G25" s="81">
        <f>3.3947 * CHOOSE(CONTROL!$C$32, $C$9, 100%, $E$9)</f>
        <v>3.3946999999999998</v>
      </c>
      <c r="H25" s="81">
        <f>5.9518 * CHOOSE(CONTROL!$C$32, $C$9, 100%, $E$9)</f>
        <v>5.9518000000000004</v>
      </c>
      <c r="I25" s="81">
        <f>5.9615 * CHOOSE(CONTROL!$C$32, $C$9, 100%, $E$9)</f>
        <v>5.9615</v>
      </c>
      <c r="J25" s="81">
        <f>5.9518 * CHOOSE(CONTROL!$C$32, $C$9, 100%, $E$9)</f>
        <v>5.9518000000000004</v>
      </c>
      <c r="K25" s="81">
        <f>5.9615 * CHOOSE(CONTROL!$C$32, $C$9, 100%, $E$9)</f>
        <v>5.9615</v>
      </c>
      <c r="L25" s="81">
        <f>3.3287 * CHOOSE(CONTROL!$C$32, $C$9, 100%, $E$9)</f>
        <v>3.3287</v>
      </c>
      <c r="M25" s="81">
        <f>3.3384 * CHOOSE(CONTROL!$C$32, $C$9, 100%, $E$9)</f>
        <v>3.3384</v>
      </c>
      <c r="N25" s="81">
        <f>3.3287 * CHOOSE(CONTROL!$C$32, $C$9, 100%, $E$9)</f>
        <v>3.3287</v>
      </c>
      <c r="O25" s="81">
        <f>3.3384 * CHOOSE(CONTROL!$C$32, $C$9, 100%, $E$9)</f>
        <v>3.3384</v>
      </c>
      <c r="P25" s="10"/>
      <c r="Q25" s="81"/>
      <c r="R25" s="81"/>
    </row>
    <row r="26" spans="1:18" ht="15">
      <c r="A26" s="16">
        <v>42005</v>
      </c>
      <c r="B26" s="80">
        <f>2.4907 * CHOOSE(CONTROL!$C$32, $C$9, 100%, $E$9)</f>
        <v>2.4906999999999999</v>
      </c>
      <c r="C26" s="80">
        <f>2.5129 * CHOOSE(CONTROL!$C$32, $C$9, 100%, $E$9)</f>
        <v>2.5129000000000001</v>
      </c>
      <c r="D26" s="80">
        <f>2.5165 * CHOOSE(CONTROL!$C$32, $C$9, 100%, $E$9)</f>
        <v>2.5165000000000002</v>
      </c>
      <c r="E26" s="81">
        <f>3.1876 * CHOOSE(CONTROL!$C$32, $C$9, 100%, $E$9)</f>
        <v>3.1876000000000002</v>
      </c>
      <c r="F26" s="81">
        <f>3.254 * CHOOSE(CONTROL!$C$32, $C$9, 100%, $E$9)</f>
        <v>3.254</v>
      </c>
      <c r="G26" s="81">
        <f>3.2584 * CHOOSE(CONTROL!$C$32, $C$9, 100%, $E$9)</f>
        <v>3.2584</v>
      </c>
      <c r="H26" s="81">
        <f>5.9642 * CHOOSE(CONTROL!$C$32, $C$9, 100%, $E$9)</f>
        <v>5.9641999999999999</v>
      </c>
      <c r="I26" s="81">
        <f>5.9686 * CHOOSE(CONTROL!$C$32, $C$9, 100%, $E$9)</f>
        <v>5.9686000000000003</v>
      </c>
      <c r="J26" s="81">
        <f>5.9642 * CHOOSE(CONTROL!$C$32, $C$9, 100%, $E$9)</f>
        <v>5.9641999999999999</v>
      </c>
      <c r="K26" s="81">
        <f>5.9686 * CHOOSE(CONTROL!$C$32, $C$9, 100%, $E$9)</f>
        <v>5.9686000000000003</v>
      </c>
      <c r="L26" s="81">
        <f>3.1876 * CHOOSE(CONTROL!$C$32, $C$9, 100%, $E$9)</f>
        <v>3.1876000000000002</v>
      </c>
      <c r="M26" s="81">
        <f>3.192 * CHOOSE(CONTROL!$C$32, $C$9, 100%, $E$9)</f>
        <v>3.1920000000000002</v>
      </c>
      <c r="N26" s="81">
        <f>3.1876 * CHOOSE(CONTROL!$C$32, $C$9, 100%, $E$9)</f>
        <v>3.1876000000000002</v>
      </c>
      <c r="O26" s="81">
        <f>3.192 * CHOOSE(CONTROL!$C$32, $C$9, 100%, $E$9)</f>
        <v>3.1920000000000002</v>
      </c>
      <c r="P26" s="10"/>
      <c r="Q26" s="81"/>
      <c r="R26" s="81"/>
    </row>
    <row r="27" spans="1:18" ht="15">
      <c r="A27" s="16">
        <v>42036</v>
      </c>
      <c r="B27" s="80">
        <f>2.4906 * CHOOSE(CONTROL!$C$32, $C$9, 100%, $E$9)</f>
        <v>2.4906000000000001</v>
      </c>
      <c r="C27" s="80">
        <f>2.5152 * CHOOSE(CONTROL!$C$32, $C$9, 100%, $E$9)</f>
        <v>2.5152000000000001</v>
      </c>
      <c r="D27" s="80">
        <f>2.5188 * CHOOSE(CONTROL!$C$32, $C$9, 100%, $E$9)</f>
        <v>2.5188000000000001</v>
      </c>
      <c r="E27" s="81">
        <f>3.1987 * CHOOSE(CONTROL!$C$32, $C$9, 100%, $E$9)</f>
        <v>3.1987000000000001</v>
      </c>
      <c r="F27" s="81">
        <f>3.254 * CHOOSE(CONTROL!$C$32, $C$9, 100%, $E$9)</f>
        <v>3.254</v>
      </c>
      <c r="G27" s="81">
        <f>3.2584 * CHOOSE(CONTROL!$C$32, $C$9, 100%, $E$9)</f>
        <v>3.2584</v>
      </c>
      <c r="H27" s="81">
        <f>5.9766 * CHOOSE(CONTROL!$C$32, $C$9, 100%, $E$9)</f>
        <v>5.9766000000000004</v>
      </c>
      <c r="I27" s="81">
        <f>5.981 * CHOOSE(CONTROL!$C$32, $C$9, 100%, $E$9)</f>
        <v>5.9809999999999999</v>
      </c>
      <c r="J27" s="81">
        <f>5.9766 * CHOOSE(CONTROL!$C$32, $C$9, 100%, $E$9)</f>
        <v>5.9766000000000004</v>
      </c>
      <c r="K27" s="81">
        <f>5.981 * CHOOSE(CONTROL!$C$32, $C$9, 100%, $E$9)</f>
        <v>5.9809999999999999</v>
      </c>
      <c r="L27" s="81">
        <f>3.1987 * CHOOSE(CONTROL!$C$32, $C$9, 100%, $E$9)</f>
        <v>3.1987000000000001</v>
      </c>
      <c r="M27" s="81">
        <f>3.203 * CHOOSE(CONTROL!$C$32, $C$9, 100%, $E$9)</f>
        <v>3.2029999999999998</v>
      </c>
      <c r="N27" s="81">
        <f>3.1987 * CHOOSE(CONTROL!$C$32, $C$9, 100%, $E$9)</f>
        <v>3.1987000000000001</v>
      </c>
      <c r="O27" s="81">
        <f>3.203 * CHOOSE(CONTROL!$C$32, $C$9, 100%, $E$9)</f>
        <v>3.2029999999999998</v>
      </c>
      <c r="P27" s="10"/>
      <c r="Q27" s="81"/>
      <c r="R27" s="81"/>
    </row>
    <row r="28" spans="1:18" ht="15">
      <c r="A28" s="16">
        <v>42064</v>
      </c>
      <c r="B28" s="80">
        <f>2.4913 * CHOOSE(CONTROL!$C$32, $C$9, 100%, $E$9)</f>
        <v>2.4912999999999998</v>
      </c>
      <c r="C28" s="80">
        <f>2.5122 * CHOOSE(CONTROL!$C$32, $C$9, 100%, $E$9)</f>
        <v>2.5122</v>
      </c>
      <c r="D28" s="80">
        <f>2.5157 * CHOOSE(CONTROL!$C$32, $C$9, 100%, $E$9)</f>
        <v>2.5156999999999998</v>
      </c>
      <c r="E28" s="81">
        <f>3.1433 * CHOOSE(CONTROL!$C$32, $C$9, 100%, $E$9)</f>
        <v>3.1433</v>
      </c>
      <c r="F28" s="81">
        <f>3.254 * CHOOSE(CONTROL!$C$32, $C$9, 100%, $E$9)</f>
        <v>3.254</v>
      </c>
      <c r="G28" s="81">
        <f>3.2584 * CHOOSE(CONTROL!$C$32, $C$9, 100%, $E$9)</f>
        <v>3.2584</v>
      </c>
      <c r="H28" s="81">
        <f>5.9891 * CHOOSE(CONTROL!$C$32, $C$9, 100%, $E$9)</f>
        <v>5.9890999999999996</v>
      </c>
      <c r="I28" s="81">
        <f>5.9934 * CHOOSE(CONTROL!$C$32, $C$9, 100%, $E$9)</f>
        <v>5.9934000000000003</v>
      </c>
      <c r="J28" s="81">
        <f>5.9891 * CHOOSE(CONTROL!$C$32, $C$9, 100%, $E$9)</f>
        <v>5.9890999999999996</v>
      </c>
      <c r="K28" s="81">
        <f>5.9934 * CHOOSE(CONTROL!$C$32, $C$9, 100%, $E$9)</f>
        <v>5.9934000000000003</v>
      </c>
      <c r="L28" s="81">
        <f>3.1433 * CHOOSE(CONTROL!$C$32, $C$9, 100%, $E$9)</f>
        <v>3.1433</v>
      </c>
      <c r="M28" s="81">
        <f>3.1477 * CHOOSE(CONTROL!$C$32, $C$9, 100%, $E$9)</f>
        <v>3.1476999999999999</v>
      </c>
      <c r="N28" s="81">
        <f>3.1433 * CHOOSE(CONTROL!$C$32, $C$9, 100%, $E$9)</f>
        <v>3.1433</v>
      </c>
      <c r="O28" s="81">
        <f>3.1477 * CHOOSE(CONTROL!$C$32, $C$9, 100%, $E$9)</f>
        <v>3.1476999999999999</v>
      </c>
      <c r="P28" s="10"/>
      <c r="Q28" s="81"/>
      <c r="R28" s="81"/>
    </row>
    <row r="29" spans="1:18" ht="15">
      <c r="A29" s="16">
        <v>42095</v>
      </c>
      <c r="B29" s="80">
        <f>2.489 * CHOOSE(CONTROL!$C$32, $C$9, 100%, $E$9)</f>
        <v>2.4889999999999999</v>
      </c>
      <c r="C29" s="80">
        <f>2.5091 * CHOOSE(CONTROL!$C$32, $C$9, 100%, $E$9)</f>
        <v>2.5091000000000001</v>
      </c>
      <c r="D29" s="80">
        <f>2.5127 * CHOOSE(CONTROL!$C$32, $C$9, 100%, $E$9)</f>
        <v>2.5127000000000002</v>
      </c>
      <c r="E29" s="81">
        <f>3.186 * CHOOSE(CONTROL!$C$32, $C$9, 100%, $E$9)</f>
        <v>3.1859999999999999</v>
      </c>
      <c r="F29" s="81">
        <f>3.254 * CHOOSE(CONTROL!$C$32, $C$9, 100%, $E$9)</f>
        <v>3.254</v>
      </c>
      <c r="G29" s="81">
        <f>3.2584 * CHOOSE(CONTROL!$C$32, $C$9, 100%, $E$9)</f>
        <v>3.2584</v>
      </c>
      <c r="H29" s="81">
        <f>6.0016 * CHOOSE(CONTROL!$C$32, $C$9, 100%, $E$9)</f>
        <v>6.0015999999999998</v>
      </c>
      <c r="I29" s="81">
        <f>6.0059 * CHOOSE(CONTROL!$C$32, $C$9, 100%, $E$9)</f>
        <v>6.0058999999999996</v>
      </c>
      <c r="J29" s="81">
        <f>6.0016 * CHOOSE(CONTROL!$C$32, $C$9, 100%, $E$9)</f>
        <v>6.0015999999999998</v>
      </c>
      <c r="K29" s="81">
        <f>6.0059 * CHOOSE(CONTROL!$C$32, $C$9, 100%, $E$9)</f>
        <v>6.0058999999999996</v>
      </c>
      <c r="L29" s="81">
        <f>3.186 * CHOOSE(CONTROL!$C$32, $C$9, 100%, $E$9)</f>
        <v>3.1859999999999999</v>
      </c>
      <c r="M29" s="81">
        <f>3.1904 * CHOOSE(CONTROL!$C$32, $C$9, 100%, $E$9)</f>
        <v>3.1903999999999999</v>
      </c>
      <c r="N29" s="81">
        <f>3.186 * CHOOSE(CONTROL!$C$32, $C$9, 100%, $E$9)</f>
        <v>3.1859999999999999</v>
      </c>
      <c r="O29" s="81">
        <f>3.1904 * CHOOSE(CONTROL!$C$32, $C$9, 100%, $E$9)</f>
        <v>3.1903999999999999</v>
      </c>
      <c r="P29" s="10"/>
      <c r="Q29" s="81"/>
      <c r="R29" s="81"/>
    </row>
    <row r="30" spans="1:18" ht="15">
      <c r="A30" s="16">
        <v>42125</v>
      </c>
      <c r="B30" s="80">
        <f>2.4919 * CHOOSE(CONTROL!$C$32, $C$9, 100%, $E$9)</f>
        <v>2.4918999999999998</v>
      </c>
      <c r="C30" s="80">
        <f>2.5114 * CHOOSE(CONTROL!$C$32, $C$9, 100%, $E$9)</f>
        <v>2.5114000000000001</v>
      </c>
      <c r="D30" s="80">
        <f>2.5166 * CHOOSE(CONTROL!$C$32, $C$9, 100%, $E$9)</f>
        <v>2.5165999999999999</v>
      </c>
      <c r="E30" s="81">
        <f>3.186 * CHOOSE(CONTROL!$C$32, $C$9, 100%, $E$9)</f>
        <v>3.1859999999999999</v>
      </c>
      <c r="F30" s="81">
        <f>3.254 * CHOOSE(CONTROL!$C$32, $C$9, 100%, $E$9)</f>
        <v>3.254</v>
      </c>
      <c r="G30" s="81">
        <f>3.2603 * CHOOSE(CONTROL!$C$32, $C$9, 100%, $E$9)</f>
        <v>3.2603</v>
      </c>
      <c r="H30" s="81">
        <f>6.0141 * CHOOSE(CONTROL!$C$32, $C$9, 100%, $E$9)</f>
        <v>6.0141</v>
      </c>
      <c r="I30" s="81">
        <f>6.0204 * CHOOSE(CONTROL!$C$32, $C$9, 100%, $E$9)</f>
        <v>6.0204000000000004</v>
      </c>
      <c r="J30" s="81">
        <f>6.0141 * CHOOSE(CONTROL!$C$32, $C$9, 100%, $E$9)</f>
        <v>6.0141</v>
      </c>
      <c r="K30" s="81">
        <f>6.0204 * CHOOSE(CONTROL!$C$32, $C$9, 100%, $E$9)</f>
        <v>6.0204000000000004</v>
      </c>
      <c r="L30" s="81">
        <f>3.186 * CHOOSE(CONTROL!$C$32, $C$9, 100%, $E$9)</f>
        <v>3.1859999999999999</v>
      </c>
      <c r="M30" s="81">
        <f>3.1923 * CHOOSE(CONTROL!$C$32, $C$9, 100%, $E$9)</f>
        <v>3.1922999999999999</v>
      </c>
      <c r="N30" s="81">
        <f>3.186 * CHOOSE(CONTROL!$C$32, $C$9, 100%, $E$9)</f>
        <v>3.1859999999999999</v>
      </c>
      <c r="O30" s="81">
        <f>3.1923 * CHOOSE(CONTROL!$C$32, $C$9, 100%, $E$9)</f>
        <v>3.1922999999999999</v>
      </c>
      <c r="P30" s="10"/>
      <c r="Q30" s="81"/>
      <c r="R30" s="81"/>
    </row>
    <row r="31" spans="1:18" ht="15">
      <c r="A31" s="16">
        <v>42156</v>
      </c>
      <c r="B31" s="80">
        <f>2.4945 * CHOOSE(CONTROL!$C$32, $C$9, 100%, $E$9)</f>
        <v>2.4944999999999999</v>
      </c>
      <c r="C31" s="80">
        <f>2.5175 * CHOOSE(CONTROL!$C$32, $C$9, 100%, $E$9)</f>
        <v>2.5175000000000001</v>
      </c>
      <c r="D31" s="80">
        <f>2.5226 * CHOOSE(CONTROL!$C$32, $C$9, 100%, $E$9)</f>
        <v>2.5226000000000002</v>
      </c>
      <c r="E31" s="81">
        <f>3.2268 * CHOOSE(CONTROL!$C$32, $C$9, 100%, $E$9)</f>
        <v>3.2267999999999999</v>
      </c>
      <c r="F31" s="81">
        <f>3.254 * CHOOSE(CONTROL!$C$32, $C$9, 100%, $E$9)</f>
        <v>3.254</v>
      </c>
      <c r="G31" s="81">
        <f>3.2603 * CHOOSE(CONTROL!$C$32, $C$9, 100%, $E$9)</f>
        <v>3.2603</v>
      </c>
      <c r="H31" s="81">
        <f>6.0266 * CHOOSE(CONTROL!$C$32, $C$9, 100%, $E$9)</f>
        <v>6.0266000000000002</v>
      </c>
      <c r="I31" s="81">
        <f>6.0329 * CHOOSE(CONTROL!$C$32, $C$9, 100%, $E$9)</f>
        <v>6.0328999999999997</v>
      </c>
      <c r="J31" s="81">
        <f>6.0266 * CHOOSE(CONTROL!$C$32, $C$9, 100%, $E$9)</f>
        <v>6.0266000000000002</v>
      </c>
      <c r="K31" s="81">
        <f>6.0329 * CHOOSE(CONTROL!$C$32, $C$9, 100%, $E$9)</f>
        <v>6.0328999999999997</v>
      </c>
      <c r="L31" s="81">
        <f>3.2268 * CHOOSE(CONTROL!$C$32, $C$9, 100%, $E$9)</f>
        <v>3.2267999999999999</v>
      </c>
      <c r="M31" s="81">
        <f>3.2331 * CHOOSE(CONTROL!$C$32, $C$9, 100%, $E$9)</f>
        <v>3.2330999999999999</v>
      </c>
      <c r="N31" s="81">
        <f>3.2268 * CHOOSE(CONTROL!$C$32, $C$9, 100%, $E$9)</f>
        <v>3.2267999999999999</v>
      </c>
      <c r="O31" s="81">
        <f>3.2331 * CHOOSE(CONTROL!$C$32, $C$9, 100%, $E$9)</f>
        <v>3.2330999999999999</v>
      </c>
      <c r="P31" s="10"/>
      <c r="Q31" s="81"/>
      <c r="R31" s="81"/>
    </row>
    <row r="32" spans="1:18" ht="15">
      <c r="A32" s="16">
        <v>42186</v>
      </c>
      <c r="B32" s="80">
        <f>2.5054 * CHOOSE(CONTROL!$C$32, $C$9, 100%, $E$9)</f>
        <v>2.5053999999999998</v>
      </c>
      <c r="C32" s="80">
        <f>2.5357 * CHOOSE(CONTROL!$C$32, $C$9, 100%, $E$9)</f>
        <v>2.5356999999999998</v>
      </c>
      <c r="D32" s="80">
        <f>2.5409 * CHOOSE(CONTROL!$C$32, $C$9, 100%, $E$9)</f>
        <v>2.5409000000000002</v>
      </c>
      <c r="E32" s="81">
        <f>3.2136 * CHOOSE(CONTROL!$C$32, $C$9, 100%, $E$9)</f>
        <v>3.2136</v>
      </c>
      <c r="F32" s="81">
        <f>3.254 * CHOOSE(CONTROL!$C$32, $C$9, 100%, $E$9)</f>
        <v>3.254</v>
      </c>
      <c r="G32" s="81">
        <f>3.2603 * CHOOSE(CONTROL!$C$32, $C$9, 100%, $E$9)</f>
        <v>3.2603</v>
      </c>
      <c r="H32" s="81">
        <f>6.0391 * CHOOSE(CONTROL!$C$32, $C$9, 100%, $E$9)</f>
        <v>6.0391000000000004</v>
      </c>
      <c r="I32" s="81">
        <f>6.0455 * CHOOSE(CONTROL!$C$32, $C$9, 100%, $E$9)</f>
        <v>6.0454999999999997</v>
      </c>
      <c r="J32" s="81">
        <f>6.0391 * CHOOSE(CONTROL!$C$32, $C$9, 100%, $E$9)</f>
        <v>6.0391000000000004</v>
      </c>
      <c r="K32" s="81">
        <f>6.0455 * CHOOSE(CONTROL!$C$32, $C$9, 100%, $E$9)</f>
        <v>6.0454999999999997</v>
      </c>
      <c r="L32" s="81">
        <f>3.2136 * CHOOSE(CONTROL!$C$32, $C$9, 100%, $E$9)</f>
        <v>3.2136</v>
      </c>
      <c r="M32" s="81">
        <f>3.2199 * CHOOSE(CONTROL!$C$32, $C$9, 100%, $E$9)</f>
        <v>3.2199</v>
      </c>
      <c r="N32" s="81">
        <f>3.2136 * CHOOSE(CONTROL!$C$32, $C$9, 100%, $E$9)</f>
        <v>3.2136</v>
      </c>
      <c r="O32" s="81">
        <f>3.2199 * CHOOSE(CONTROL!$C$32, $C$9, 100%, $E$9)</f>
        <v>3.2199</v>
      </c>
      <c r="P32" s="10"/>
      <c r="Q32" s="81"/>
      <c r="R32" s="81"/>
    </row>
    <row r="33" spans="1:18" ht="15">
      <c r="A33" s="16">
        <v>42217</v>
      </c>
      <c r="B33" s="80">
        <f>2.5144 * CHOOSE(CONTROL!$C$32, $C$9, 100%, $E$9)</f>
        <v>2.5144000000000002</v>
      </c>
      <c r="C33" s="80">
        <f>2.5502 * CHOOSE(CONTROL!$C$32, $C$9, 100%, $E$9)</f>
        <v>2.5501999999999998</v>
      </c>
      <c r="D33" s="80">
        <f>2.5553 * CHOOSE(CONTROL!$C$32, $C$9, 100%, $E$9)</f>
        <v>2.5552999999999999</v>
      </c>
      <c r="E33" s="81">
        <f>3.2338 * CHOOSE(CONTROL!$C$32, $C$9, 100%, $E$9)</f>
        <v>3.2338</v>
      </c>
      <c r="F33" s="81">
        <f>3.254 * CHOOSE(CONTROL!$C$32, $C$9, 100%, $E$9)</f>
        <v>3.254</v>
      </c>
      <c r="G33" s="81">
        <f>3.2603 * CHOOSE(CONTROL!$C$32, $C$9, 100%, $E$9)</f>
        <v>3.2603</v>
      </c>
      <c r="H33" s="81">
        <f>6.0517 * CHOOSE(CONTROL!$C$32, $C$9, 100%, $E$9)</f>
        <v>6.0517000000000003</v>
      </c>
      <c r="I33" s="81">
        <f>6.058 * CHOOSE(CONTROL!$C$32, $C$9, 100%, $E$9)</f>
        <v>6.0579999999999998</v>
      </c>
      <c r="J33" s="81">
        <f>6.0517 * CHOOSE(CONTROL!$C$32, $C$9, 100%, $E$9)</f>
        <v>6.0517000000000003</v>
      </c>
      <c r="K33" s="81">
        <f>6.058 * CHOOSE(CONTROL!$C$32, $C$9, 100%, $E$9)</f>
        <v>6.0579999999999998</v>
      </c>
      <c r="L33" s="81">
        <f>3.2338 * CHOOSE(CONTROL!$C$32, $C$9, 100%, $E$9)</f>
        <v>3.2338</v>
      </c>
      <c r="M33" s="81">
        <f>3.2401 * CHOOSE(CONTROL!$C$32, $C$9, 100%, $E$9)</f>
        <v>3.2401</v>
      </c>
      <c r="N33" s="81">
        <f>3.2338 * CHOOSE(CONTROL!$C$32, $C$9, 100%, $E$9)</f>
        <v>3.2338</v>
      </c>
      <c r="O33" s="81">
        <f>3.2401 * CHOOSE(CONTROL!$C$32, $C$9, 100%, $E$9)</f>
        <v>3.2401</v>
      </c>
      <c r="P33" s="10"/>
      <c r="Q33" s="81"/>
      <c r="R33" s="81"/>
    </row>
    <row r="34" spans="1:18" ht="15">
      <c r="A34" s="16">
        <v>42248</v>
      </c>
      <c r="B34" s="80">
        <f>2.5116 * CHOOSE(CONTROL!$C$32, $C$9, 100%, $E$9)</f>
        <v>2.5116000000000001</v>
      </c>
      <c r="C34" s="80">
        <f>2.5471 * CHOOSE(CONTROL!$C$32, $C$9, 100%, $E$9)</f>
        <v>2.5470999999999999</v>
      </c>
      <c r="D34" s="80">
        <f>2.5523 * CHOOSE(CONTROL!$C$32, $C$9, 100%, $E$9)</f>
        <v>2.5522999999999998</v>
      </c>
      <c r="E34" s="81">
        <f>3.2287 * CHOOSE(CONTROL!$C$32, $C$9, 100%, $E$9)</f>
        <v>3.2286999999999999</v>
      </c>
      <c r="F34" s="81">
        <f>3.254 * CHOOSE(CONTROL!$C$32, $C$9, 100%, $E$9)</f>
        <v>3.254</v>
      </c>
      <c r="G34" s="81">
        <f>3.2603 * CHOOSE(CONTROL!$C$32, $C$9, 100%, $E$9)</f>
        <v>3.2603</v>
      </c>
      <c r="H34" s="81">
        <f>6.0643 * CHOOSE(CONTROL!$C$32, $C$9, 100%, $E$9)</f>
        <v>6.0643000000000002</v>
      </c>
      <c r="I34" s="81">
        <f>6.0706 * CHOOSE(CONTROL!$C$32, $C$9, 100%, $E$9)</f>
        <v>6.0705999999999998</v>
      </c>
      <c r="J34" s="81">
        <f>6.0643 * CHOOSE(CONTROL!$C$32, $C$9, 100%, $E$9)</f>
        <v>6.0643000000000002</v>
      </c>
      <c r="K34" s="81">
        <f>6.0706 * CHOOSE(CONTROL!$C$32, $C$9, 100%, $E$9)</f>
        <v>6.0705999999999998</v>
      </c>
      <c r="L34" s="81">
        <f>3.2287 * CHOOSE(CONTROL!$C$32, $C$9, 100%, $E$9)</f>
        <v>3.2286999999999999</v>
      </c>
      <c r="M34" s="81">
        <f>3.2351 * CHOOSE(CONTROL!$C$32, $C$9, 100%, $E$9)</f>
        <v>3.2351000000000001</v>
      </c>
      <c r="N34" s="81">
        <f>3.2287 * CHOOSE(CONTROL!$C$32, $C$9, 100%, $E$9)</f>
        <v>3.2286999999999999</v>
      </c>
      <c r="O34" s="81">
        <f>3.2351 * CHOOSE(CONTROL!$C$32, $C$9, 100%, $E$9)</f>
        <v>3.2351000000000001</v>
      </c>
      <c r="P34" s="10"/>
      <c r="Q34" s="81"/>
      <c r="R34" s="81"/>
    </row>
    <row r="35" spans="1:18" ht="15">
      <c r="A35" s="16">
        <v>42278</v>
      </c>
      <c r="B35" s="80">
        <f>2.5077 * CHOOSE(CONTROL!$C$32, $C$9, 100%, $E$9)</f>
        <v>2.5076999999999998</v>
      </c>
      <c r="C35" s="80">
        <f>2.538 * CHOOSE(CONTROL!$C$32, $C$9, 100%, $E$9)</f>
        <v>2.5379999999999998</v>
      </c>
      <c r="D35" s="80">
        <f>2.5415 * CHOOSE(CONTROL!$C$32, $C$9, 100%, $E$9)</f>
        <v>2.5415000000000001</v>
      </c>
      <c r="E35" s="81">
        <f>3.2365 * CHOOSE(CONTROL!$C$32, $C$9, 100%, $E$9)</f>
        <v>3.2364999999999999</v>
      </c>
      <c r="F35" s="81">
        <f>3.254 * CHOOSE(CONTROL!$C$32, $C$9, 100%, $E$9)</f>
        <v>3.254</v>
      </c>
      <c r="G35" s="81">
        <f>3.2584 * CHOOSE(CONTROL!$C$32, $C$9, 100%, $E$9)</f>
        <v>3.2584</v>
      </c>
      <c r="H35" s="81">
        <f>6.077 * CHOOSE(CONTROL!$C$32, $C$9, 100%, $E$9)</f>
        <v>6.077</v>
      </c>
      <c r="I35" s="81">
        <f>6.0813 * CHOOSE(CONTROL!$C$32, $C$9, 100%, $E$9)</f>
        <v>6.0812999999999997</v>
      </c>
      <c r="J35" s="81">
        <f>6.077 * CHOOSE(CONTROL!$C$32, $C$9, 100%, $E$9)</f>
        <v>6.077</v>
      </c>
      <c r="K35" s="81">
        <f>6.0813 * CHOOSE(CONTROL!$C$32, $C$9, 100%, $E$9)</f>
        <v>6.0812999999999997</v>
      </c>
      <c r="L35" s="81">
        <f>3.2365 * CHOOSE(CONTROL!$C$32, $C$9, 100%, $E$9)</f>
        <v>3.2364999999999999</v>
      </c>
      <c r="M35" s="81">
        <f>3.2409 * CHOOSE(CONTROL!$C$32, $C$9, 100%, $E$9)</f>
        <v>3.2408999999999999</v>
      </c>
      <c r="N35" s="81">
        <f>3.2365 * CHOOSE(CONTROL!$C$32, $C$9, 100%, $E$9)</f>
        <v>3.2364999999999999</v>
      </c>
      <c r="O35" s="81">
        <f>3.2409 * CHOOSE(CONTROL!$C$32, $C$9, 100%, $E$9)</f>
        <v>3.2408999999999999</v>
      </c>
      <c r="P35" s="10"/>
      <c r="Q35" s="81"/>
      <c r="R35" s="81"/>
    </row>
    <row r="36" spans="1:18" ht="15">
      <c r="A36" s="16">
        <v>42309</v>
      </c>
      <c r="B36" s="80">
        <f>2.5106 * CHOOSE(CONTROL!$C$32, $C$9, 100%, $E$9)</f>
        <v>2.5106000000000002</v>
      </c>
      <c r="C36" s="80">
        <f>2.5433 * CHOOSE(CONTROL!$C$32, $C$9, 100%, $E$9)</f>
        <v>2.5432999999999999</v>
      </c>
      <c r="D36" s="80">
        <f>2.5468 * CHOOSE(CONTROL!$C$32, $C$9, 100%, $E$9)</f>
        <v>2.5468000000000002</v>
      </c>
      <c r="E36" s="81">
        <f>3.2365 * CHOOSE(CONTROL!$C$32, $C$9, 100%, $E$9)</f>
        <v>3.2364999999999999</v>
      </c>
      <c r="F36" s="81">
        <f>3.254 * CHOOSE(CONTROL!$C$32, $C$9, 100%, $E$9)</f>
        <v>3.254</v>
      </c>
      <c r="G36" s="81">
        <f>3.2584 * CHOOSE(CONTROL!$C$32, $C$9, 100%, $E$9)</f>
        <v>3.2584</v>
      </c>
      <c r="H36" s="81">
        <f>6.0896 * CHOOSE(CONTROL!$C$32, $C$9, 100%, $E$9)</f>
        <v>6.0895999999999999</v>
      </c>
      <c r="I36" s="81">
        <f>6.094 * CHOOSE(CONTROL!$C$32, $C$9, 100%, $E$9)</f>
        <v>6.0940000000000003</v>
      </c>
      <c r="J36" s="81">
        <f>6.0896 * CHOOSE(CONTROL!$C$32, $C$9, 100%, $E$9)</f>
        <v>6.0895999999999999</v>
      </c>
      <c r="K36" s="81">
        <f>6.094 * CHOOSE(CONTROL!$C$32, $C$9, 100%, $E$9)</f>
        <v>6.0940000000000003</v>
      </c>
      <c r="L36" s="81">
        <f>3.2365 * CHOOSE(CONTROL!$C$32, $C$9, 100%, $E$9)</f>
        <v>3.2364999999999999</v>
      </c>
      <c r="M36" s="81">
        <f>3.2409 * CHOOSE(CONTROL!$C$32, $C$9, 100%, $E$9)</f>
        <v>3.2408999999999999</v>
      </c>
      <c r="N36" s="81">
        <f>3.2365 * CHOOSE(CONTROL!$C$32, $C$9, 100%, $E$9)</f>
        <v>3.2364999999999999</v>
      </c>
      <c r="O36" s="81">
        <f>3.2409 * CHOOSE(CONTROL!$C$32, $C$9, 100%, $E$9)</f>
        <v>3.2408999999999999</v>
      </c>
      <c r="P36" s="10"/>
      <c r="Q36" s="81"/>
      <c r="R36" s="81"/>
    </row>
    <row r="37" spans="1:18" ht="15">
      <c r="A37" s="16">
        <v>42339</v>
      </c>
      <c r="B37" s="80">
        <f>2.5133 * CHOOSE(CONTROL!$C$32, $C$9, 100%, $E$9)</f>
        <v>2.5133000000000001</v>
      </c>
      <c r="C37" s="80">
        <f>2.5463 * CHOOSE(CONTROL!$C$32, $C$9, 100%, $E$9)</f>
        <v>2.5463</v>
      </c>
      <c r="D37" s="80">
        <f>2.5499 * CHOOSE(CONTROL!$C$32, $C$9, 100%, $E$9)</f>
        <v>2.5499000000000001</v>
      </c>
      <c r="E37" s="81">
        <f>3.2307 * CHOOSE(CONTROL!$C$32, $C$9, 100%, $E$9)</f>
        <v>3.2307000000000001</v>
      </c>
      <c r="F37" s="81">
        <f>3.254 * CHOOSE(CONTROL!$C$32, $C$9, 100%, $E$9)</f>
        <v>3.254</v>
      </c>
      <c r="G37" s="81">
        <f>3.2584 * CHOOSE(CONTROL!$C$32, $C$9, 100%, $E$9)</f>
        <v>3.2584</v>
      </c>
      <c r="H37" s="81">
        <f>6.1023 * CHOOSE(CONTROL!$C$32, $C$9, 100%, $E$9)</f>
        <v>6.1022999999999996</v>
      </c>
      <c r="I37" s="81">
        <f>6.1067 * CHOOSE(CONTROL!$C$32, $C$9, 100%, $E$9)</f>
        <v>6.1067</v>
      </c>
      <c r="J37" s="81">
        <f>6.1023 * CHOOSE(CONTROL!$C$32, $C$9, 100%, $E$9)</f>
        <v>6.1022999999999996</v>
      </c>
      <c r="K37" s="81">
        <f>6.1067 * CHOOSE(CONTROL!$C$32, $C$9, 100%, $E$9)</f>
        <v>6.1067</v>
      </c>
      <c r="L37" s="81">
        <f>3.2307 * CHOOSE(CONTROL!$C$32, $C$9, 100%, $E$9)</f>
        <v>3.2307000000000001</v>
      </c>
      <c r="M37" s="81">
        <f>3.235 * CHOOSE(CONTROL!$C$32, $C$9, 100%, $E$9)</f>
        <v>3.2349999999999999</v>
      </c>
      <c r="N37" s="81">
        <f>3.2307 * CHOOSE(CONTROL!$C$32, $C$9, 100%, $E$9)</f>
        <v>3.2307000000000001</v>
      </c>
      <c r="O37" s="81">
        <f>3.235 * CHOOSE(CONTROL!$C$32, $C$9, 100%, $E$9)</f>
        <v>3.2349999999999999</v>
      </c>
      <c r="P37" s="10"/>
      <c r="Q37" s="81"/>
      <c r="R37" s="81"/>
    </row>
    <row r="38" spans="1:18" ht="15">
      <c r="A38" s="16">
        <v>42370</v>
      </c>
      <c r="B38" s="80">
        <f>2.8414 * CHOOSE(CONTROL!$C$32, $C$9, 100%, $E$9)</f>
        <v>2.8414000000000001</v>
      </c>
      <c r="C38" s="80">
        <f>2.8414 * CHOOSE(CONTROL!$C$32, $C$9, 100%, $E$9)</f>
        <v>2.8414000000000001</v>
      </c>
      <c r="D38" s="80">
        <f>2.8449 * CHOOSE(CONTROL!$C$32, $C$9, 100%, $E$9)</f>
        <v>2.8449</v>
      </c>
      <c r="E38" s="81">
        <f>3.358 * CHOOSE(CONTROL!$C$32, $C$9, 100%, $E$9)</f>
        <v>3.3580000000000001</v>
      </c>
      <c r="F38" s="81">
        <f>3.446 * CHOOSE(CONTROL!$C$32, $C$9, 100%, $E$9)</f>
        <v>3.4460000000000002</v>
      </c>
      <c r="G38" s="81">
        <f>3.4504 * CHOOSE(CONTROL!$C$32, $C$9, 100%, $E$9)</f>
        <v>3.4504000000000001</v>
      </c>
      <c r="H38" s="81">
        <f>6.115 * CHOOSE(CONTROL!$C$32, $C$9, 100%, $E$9)</f>
        <v>6.1150000000000002</v>
      </c>
      <c r="I38" s="81">
        <f>6.1194 * CHOOSE(CONTROL!$C$32, $C$9, 100%, $E$9)</f>
        <v>6.1193999999999997</v>
      </c>
      <c r="J38" s="81">
        <f>6.115 * CHOOSE(CONTROL!$C$32, $C$9, 100%, $E$9)</f>
        <v>6.1150000000000002</v>
      </c>
      <c r="K38" s="81">
        <f>6.1194 * CHOOSE(CONTROL!$C$32, $C$9, 100%, $E$9)</f>
        <v>6.1193999999999997</v>
      </c>
      <c r="L38" s="81">
        <f>3.358 * CHOOSE(CONTROL!$C$32, $C$9, 100%, $E$9)</f>
        <v>3.3580000000000001</v>
      </c>
      <c r="M38" s="81">
        <f>3.3624 * CHOOSE(CONTROL!$C$32, $C$9, 100%, $E$9)</f>
        <v>3.3624000000000001</v>
      </c>
      <c r="N38" s="81">
        <f>3.358 * CHOOSE(CONTROL!$C$32, $C$9, 100%, $E$9)</f>
        <v>3.3580000000000001</v>
      </c>
      <c r="O38" s="81">
        <f>3.3624 * CHOOSE(CONTROL!$C$32, $C$9, 100%, $E$9)</f>
        <v>3.3624000000000001</v>
      </c>
      <c r="P38" s="10"/>
      <c r="Q38" s="81"/>
      <c r="R38" s="81"/>
    </row>
    <row r="39" spans="1:18" ht="15">
      <c r="A39" s="16">
        <v>42401</v>
      </c>
      <c r="B39" s="80">
        <f>2.8414 * CHOOSE(CONTROL!$C$32, $C$9, 100%, $E$9)</f>
        <v>2.8414000000000001</v>
      </c>
      <c r="C39" s="80">
        <f>2.8414 * CHOOSE(CONTROL!$C$32, $C$9, 100%, $E$9)</f>
        <v>2.8414000000000001</v>
      </c>
      <c r="D39" s="80">
        <f>2.8449 * CHOOSE(CONTROL!$C$32, $C$9, 100%, $E$9)</f>
        <v>2.8449</v>
      </c>
      <c r="E39" s="81">
        <f>3.402 * CHOOSE(CONTROL!$C$32, $C$9, 100%, $E$9)</f>
        <v>3.4020000000000001</v>
      </c>
      <c r="F39" s="81">
        <f>3.446 * CHOOSE(CONTROL!$C$32, $C$9, 100%, $E$9)</f>
        <v>3.4460000000000002</v>
      </c>
      <c r="G39" s="81">
        <f>3.4504 * CHOOSE(CONTROL!$C$32, $C$9, 100%, $E$9)</f>
        <v>3.4504000000000001</v>
      </c>
      <c r="H39" s="81">
        <f>6.1278 * CHOOSE(CONTROL!$C$32, $C$9, 100%, $E$9)</f>
        <v>6.1277999999999997</v>
      </c>
      <c r="I39" s="81">
        <f>6.1321 * CHOOSE(CONTROL!$C$32, $C$9, 100%, $E$9)</f>
        <v>6.1321000000000003</v>
      </c>
      <c r="J39" s="81">
        <f>6.1278 * CHOOSE(CONTROL!$C$32, $C$9, 100%, $E$9)</f>
        <v>6.1277999999999997</v>
      </c>
      <c r="K39" s="81">
        <f>6.1321 * CHOOSE(CONTROL!$C$32, $C$9, 100%, $E$9)</f>
        <v>6.1321000000000003</v>
      </c>
      <c r="L39" s="81">
        <f>3.402 * CHOOSE(CONTROL!$C$32, $C$9, 100%, $E$9)</f>
        <v>3.4020000000000001</v>
      </c>
      <c r="M39" s="81">
        <f>3.4064 * CHOOSE(CONTROL!$C$32, $C$9, 100%, $E$9)</f>
        <v>3.4064000000000001</v>
      </c>
      <c r="N39" s="81">
        <f>3.402 * CHOOSE(CONTROL!$C$32, $C$9, 100%, $E$9)</f>
        <v>3.4020000000000001</v>
      </c>
      <c r="O39" s="81">
        <f>3.4064 * CHOOSE(CONTROL!$C$32, $C$9, 100%, $E$9)</f>
        <v>3.4064000000000001</v>
      </c>
      <c r="P39" s="10"/>
      <c r="Q39" s="81"/>
      <c r="R39" s="81"/>
    </row>
    <row r="40" spans="1:18" ht="15">
      <c r="A40" s="16">
        <v>42430</v>
      </c>
      <c r="B40" s="80">
        <f>2.8384 * CHOOSE(CONTROL!$C$32, $C$9, 100%, $E$9)</f>
        <v>2.8384</v>
      </c>
      <c r="C40" s="80">
        <f>2.8384 * CHOOSE(CONTROL!$C$32, $C$9, 100%, $E$9)</f>
        <v>2.8384</v>
      </c>
      <c r="D40" s="80">
        <f>2.8419 * CHOOSE(CONTROL!$C$32, $C$9, 100%, $E$9)</f>
        <v>2.8418999999999999</v>
      </c>
      <c r="E40" s="81">
        <f>3.358 * CHOOSE(CONTROL!$C$32, $C$9, 100%, $E$9)</f>
        <v>3.3580000000000001</v>
      </c>
      <c r="F40" s="81">
        <f>3.446 * CHOOSE(CONTROL!$C$32, $C$9, 100%, $E$9)</f>
        <v>3.4460000000000002</v>
      </c>
      <c r="G40" s="81">
        <f>3.4504 * CHOOSE(CONTROL!$C$32, $C$9, 100%, $E$9)</f>
        <v>3.4504000000000001</v>
      </c>
      <c r="H40" s="81">
        <f>6.1405 * CHOOSE(CONTROL!$C$32, $C$9, 100%, $E$9)</f>
        <v>6.1405000000000003</v>
      </c>
      <c r="I40" s="81">
        <f>6.1449 * CHOOSE(CONTROL!$C$32, $C$9, 100%, $E$9)</f>
        <v>6.1448999999999998</v>
      </c>
      <c r="J40" s="81">
        <f>6.1405 * CHOOSE(CONTROL!$C$32, $C$9, 100%, $E$9)</f>
        <v>6.1405000000000003</v>
      </c>
      <c r="K40" s="81">
        <f>6.1449 * CHOOSE(CONTROL!$C$32, $C$9, 100%, $E$9)</f>
        <v>6.1448999999999998</v>
      </c>
      <c r="L40" s="81">
        <f>3.358 * CHOOSE(CONTROL!$C$32, $C$9, 100%, $E$9)</f>
        <v>3.3580000000000001</v>
      </c>
      <c r="M40" s="81">
        <f>3.3624 * CHOOSE(CONTROL!$C$32, $C$9, 100%, $E$9)</f>
        <v>3.3624000000000001</v>
      </c>
      <c r="N40" s="81">
        <f>3.358 * CHOOSE(CONTROL!$C$32, $C$9, 100%, $E$9)</f>
        <v>3.3580000000000001</v>
      </c>
      <c r="O40" s="81">
        <f>3.3624 * CHOOSE(CONTROL!$C$32, $C$9, 100%, $E$9)</f>
        <v>3.3624000000000001</v>
      </c>
      <c r="P40" s="10"/>
      <c r="Q40" s="81"/>
      <c r="R40" s="81"/>
    </row>
    <row r="41" spans="1:18" ht="15">
      <c r="A41" s="16">
        <v>42461</v>
      </c>
      <c r="B41" s="80">
        <f>2.8276 * CHOOSE(CONTROL!$C$32, $C$9, 100%, $E$9)</f>
        <v>2.8275999999999999</v>
      </c>
      <c r="C41" s="80">
        <f>2.8276 * CHOOSE(CONTROL!$C$32, $C$9, 100%, $E$9)</f>
        <v>2.8275999999999999</v>
      </c>
      <c r="D41" s="80">
        <f>2.8312 * CHOOSE(CONTROL!$C$32, $C$9, 100%, $E$9)</f>
        <v>2.8311999999999999</v>
      </c>
      <c r="E41" s="81">
        <f>3.402 * CHOOSE(CONTROL!$C$32, $C$9, 100%, $E$9)</f>
        <v>3.4020000000000001</v>
      </c>
      <c r="F41" s="81">
        <f>3.446 * CHOOSE(CONTROL!$C$32, $C$9, 100%, $E$9)</f>
        <v>3.4460000000000002</v>
      </c>
      <c r="G41" s="81">
        <f>3.4504 * CHOOSE(CONTROL!$C$32, $C$9, 100%, $E$9)</f>
        <v>3.4504000000000001</v>
      </c>
      <c r="H41" s="81">
        <f>6.1533 * CHOOSE(CONTROL!$C$32, $C$9, 100%, $E$9)</f>
        <v>6.1532999999999998</v>
      </c>
      <c r="I41" s="81">
        <f>6.1577 * CHOOSE(CONTROL!$C$32, $C$9, 100%, $E$9)</f>
        <v>6.1577000000000002</v>
      </c>
      <c r="J41" s="81">
        <f>6.1533 * CHOOSE(CONTROL!$C$32, $C$9, 100%, $E$9)</f>
        <v>6.1532999999999998</v>
      </c>
      <c r="K41" s="81">
        <f>6.1577 * CHOOSE(CONTROL!$C$32, $C$9, 100%, $E$9)</f>
        <v>6.1577000000000002</v>
      </c>
      <c r="L41" s="81">
        <f>3.402 * CHOOSE(CONTROL!$C$32, $C$9, 100%, $E$9)</f>
        <v>3.4020000000000001</v>
      </c>
      <c r="M41" s="81">
        <f>3.4064 * CHOOSE(CONTROL!$C$32, $C$9, 100%, $E$9)</f>
        <v>3.4064000000000001</v>
      </c>
      <c r="N41" s="81">
        <f>3.402 * CHOOSE(CONTROL!$C$32, $C$9, 100%, $E$9)</f>
        <v>3.4020000000000001</v>
      </c>
      <c r="O41" s="81">
        <f>3.4064 * CHOOSE(CONTROL!$C$32, $C$9, 100%, $E$9)</f>
        <v>3.4064000000000001</v>
      </c>
      <c r="P41" s="10"/>
      <c r="Q41" s="81"/>
      <c r="R41" s="81"/>
    </row>
    <row r="42" spans="1:18" ht="15">
      <c r="A42" s="16">
        <v>42491</v>
      </c>
      <c r="B42" s="80">
        <f>2.8307 * CHOOSE(CONTROL!$C$32, $C$9, 100%, $E$9)</f>
        <v>2.8307000000000002</v>
      </c>
      <c r="C42" s="80">
        <f>2.8307 * CHOOSE(CONTROL!$C$32, $C$9, 100%, $E$9)</f>
        <v>2.8307000000000002</v>
      </c>
      <c r="D42" s="80">
        <f>2.8358 * CHOOSE(CONTROL!$C$32, $C$9, 100%, $E$9)</f>
        <v>2.8357999999999999</v>
      </c>
      <c r="E42" s="81">
        <f>3.358 * CHOOSE(CONTROL!$C$32, $C$9, 100%, $E$9)</f>
        <v>3.3580000000000001</v>
      </c>
      <c r="F42" s="81">
        <f>3.446 * CHOOSE(CONTROL!$C$32, $C$9, 100%, $E$9)</f>
        <v>3.4460000000000002</v>
      </c>
      <c r="G42" s="81">
        <f>3.4523 * CHOOSE(CONTROL!$C$32, $C$9, 100%, $E$9)</f>
        <v>3.4523000000000001</v>
      </c>
      <c r="H42" s="81">
        <f>6.1661 * CHOOSE(CONTROL!$C$32, $C$9, 100%, $E$9)</f>
        <v>6.1661000000000001</v>
      </c>
      <c r="I42" s="81">
        <f>6.1725 * CHOOSE(CONTROL!$C$32, $C$9, 100%, $E$9)</f>
        <v>6.1725000000000003</v>
      </c>
      <c r="J42" s="81">
        <f>6.1661 * CHOOSE(CONTROL!$C$32, $C$9, 100%, $E$9)</f>
        <v>6.1661000000000001</v>
      </c>
      <c r="K42" s="81">
        <f>6.1725 * CHOOSE(CONTROL!$C$32, $C$9, 100%, $E$9)</f>
        <v>6.1725000000000003</v>
      </c>
      <c r="L42" s="81">
        <f>3.358 * CHOOSE(CONTROL!$C$32, $C$9, 100%, $E$9)</f>
        <v>3.3580000000000001</v>
      </c>
      <c r="M42" s="81">
        <f>3.3643 * CHOOSE(CONTROL!$C$32, $C$9, 100%, $E$9)</f>
        <v>3.3643000000000001</v>
      </c>
      <c r="N42" s="81">
        <f>3.358 * CHOOSE(CONTROL!$C$32, $C$9, 100%, $E$9)</f>
        <v>3.3580000000000001</v>
      </c>
      <c r="O42" s="81">
        <f>3.3643 * CHOOSE(CONTROL!$C$32, $C$9, 100%, $E$9)</f>
        <v>3.3643000000000001</v>
      </c>
      <c r="P42" s="10"/>
      <c r="Q42" s="81"/>
      <c r="R42" s="81"/>
    </row>
    <row r="43" spans="1:18" ht="15">
      <c r="A43" s="16">
        <v>42522</v>
      </c>
      <c r="B43" s="80">
        <f>2.8398 * CHOOSE(CONTROL!$C$32, $C$9, 100%, $E$9)</f>
        <v>2.8397999999999999</v>
      </c>
      <c r="C43" s="80">
        <f>2.8398 * CHOOSE(CONTROL!$C$32, $C$9, 100%, $E$9)</f>
        <v>2.8397999999999999</v>
      </c>
      <c r="D43" s="80">
        <f>2.845 * CHOOSE(CONTROL!$C$32, $C$9, 100%, $E$9)</f>
        <v>2.8450000000000002</v>
      </c>
      <c r="E43" s="81">
        <f>3.402 * CHOOSE(CONTROL!$C$32, $C$9, 100%, $E$9)</f>
        <v>3.4020000000000001</v>
      </c>
      <c r="F43" s="81">
        <f>3.446 * CHOOSE(CONTROL!$C$32, $C$9, 100%, $E$9)</f>
        <v>3.4460000000000002</v>
      </c>
      <c r="G43" s="81">
        <f>3.4523 * CHOOSE(CONTROL!$C$32, $C$9, 100%, $E$9)</f>
        <v>3.4523000000000001</v>
      </c>
      <c r="H43" s="81">
        <f>6.179 * CHOOSE(CONTROL!$C$32, $C$9, 100%, $E$9)</f>
        <v>6.1790000000000003</v>
      </c>
      <c r="I43" s="81">
        <f>6.1853 * CHOOSE(CONTROL!$C$32, $C$9, 100%, $E$9)</f>
        <v>6.1852999999999998</v>
      </c>
      <c r="J43" s="81">
        <f>6.179 * CHOOSE(CONTROL!$C$32, $C$9, 100%, $E$9)</f>
        <v>6.1790000000000003</v>
      </c>
      <c r="K43" s="81">
        <f>6.1853 * CHOOSE(CONTROL!$C$32, $C$9, 100%, $E$9)</f>
        <v>6.1852999999999998</v>
      </c>
      <c r="L43" s="81">
        <f>3.402 * CHOOSE(CONTROL!$C$32, $C$9, 100%, $E$9)</f>
        <v>3.4020000000000001</v>
      </c>
      <c r="M43" s="81">
        <f>3.4083 * CHOOSE(CONTROL!$C$32, $C$9, 100%, $E$9)</f>
        <v>3.4083000000000001</v>
      </c>
      <c r="N43" s="81">
        <f>3.402 * CHOOSE(CONTROL!$C$32, $C$9, 100%, $E$9)</f>
        <v>3.4020000000000001</v>
      </c>
      <c r="O43" s="81">
        <f>3.4083 * CHOOSE(CONTROL!$C$32, $C$9, 100%, $E$9)</f>
        <v>3.4083000000000001</v>
      </c>
      <c r="P43" s="10"/>
      <c r="Q43" s="81"/>
      <c r="R43" s="81"/>
    </row>
    <row r="44" spans="1:18" ht="15">
      <c r="A44" s="16">
        <v>42552</v>
      </c>
      <c r="B44" s="80">
        <f>2.8772 * CHOOSE(CONTROL!$C$32, $C$9, 100%, $E$9)</f>
        <v>2.8772000000000002</v>
      </c>
      <c r="C44" s="80">
        <f>2.8772 * CHOOSE(CONTROL!$C$32, $C$9, 100%, $E$9)</f>
        <v>2.8772000000000002</v>
      </c>
      <c r="D44" s="80">
        <f>2.8824 * CHOOSE(CONTROL!$C$32, $C$9, 100%, $E$9)</f>
        <v>2.8824000000000001</v>
      </c>
      <c r="E44" s="81">
        <f>3.3756 * CHOOSE(CONTROL!$C$32, $C$9, 100%, $E$9)</f>
        <v>3.3755999999999999</v>
      </c>
      <c r="F44" s="81">
        <f>3.446 * CHOOSE(CONTROL!$C$32, $C$9, 100%, $E$9)</f>
        <v>3.4460000000000002</v>
      </c>
      <c r="G44" s="81">
        <f>3.4523 * CHOOSE(CONTROL!$C$32, $C$9, 100%, $E$9)</f>
        <v>3.4523000000000001</v>
      </c>
      <c r="H44" s="81">
        <f>6.1919 * CHOOSE(CONTROL!$C$32, $C$9, 100%, $E$9)</f>
        <v>6.1919000000000004</v>
      </c>
      <c r="I44" s="81">
        <f>6.1982 * CHOOSE(CONTROL!$C$32, $C$9, 100%, $E$9)</f>
        <v>6.1981999999999999</v>
      </c>
      <c r="J44" s="81">
        <f>6.1919 * CHOOSE(CONTROL!$C$32, $C$9, 100%, $E$9)</f>
        <v>6.1919000000000004</v>
      </c>
      <c r="K44" s="81">
        <f>6.1982 * CHOOSE(CONTROL!$C$32, $C$9, 100%, $E$9)</f>
        <v>6.1981999999999999</v>
      </c>
      <c r="L44" s="81">
        <f>3.3756 * CHOOSE(CONTROL!$C$32, $C$9, 100%, $E$9)</f>
        <v>3.3755999999999999</v>
      </c>
      <c r="M44" s="81">
        <f>3.3819 * CHOOSE(CONTROL!$C$32, $C$9, 100%, $E$9)</f>
        <v>3.3818999999999999</v>
      </c>
      <c r="N44" s="81">
        <f>3.3756 * CHOOSE(CONTROL!$C$32, $C$9, 100%, $E$9)</f>
        <v>3.3755999999999999</v>
      </c>
      <c r="O44" s="81">
        <f>3.3819 * CHOOSE(CONTROL!$C$32, $C$9, 100%, $E$9)</f>
        <v>3.3818999999999999</v>
      </c>
      <c r="P44" s="10"/>
      <c r="Q44" s="10"/>
      <c r="R44" s="10"/>
    </row>
    <row r="45" spans="1:18" ht="15">
      <c r="A45" s="16">
        <v>42583</v>
      </c>
      <c r="B45" s="80">
        <f>2.9046 * CHOOSE(CONTROL!$C$32, $C$9, 100%, $E$9)</f>
        <v>2.9045999999999998</v>
      </c>
      <c r="C45" s="80">
        <f>2.9046 * CHOOSE(CONTROL!$C$32, $C$9, 100%, $E$9)</f>
        <v>2.9045999999999998</v>
      </c>
      <c r="D45" s="80">
        <f>2.9097 * CHOOSE(CONTROL!$C$32, $C$9, 100%, $E$9)</f>
        <v>2.9097</v>
      </c>
      <c r="E45" s="81">
        <f>3.4108 * CHOOSE(CONTROL!$C$32, $C$9, 100%, $E$9)</f>
        <v>3.4108000000000001</v>
      </c>
      <c r="F45" s="81">
        <f>3.446 * CHOOSE(CONTROL!$C$32, $C$9, 100%, $E$9)</f>
        <v>3.4460000000000002</v>
      </c>
      <c r="G45" s="81">
        <f>3.4523 * CHOOSE(CONTROL!$C$32, $C$9, 100%, $E$9)</f>
        <v>3.4523000000000001</v>
      </c>
      <c r="H45" s="81">
        <f>6.2048 * CHOOSE(CONTROL!$C$32, $C$9, 100%, $E$9)</f>
        <v>6.2047999999999996</v>
      </c>
      <c r="I45" s="81">
        <f>6.2111 * CHOOSE(CONTROL!$C$32, $C$9, 100%, $E$9)</f>
        <v>6.2111000000000001</v>
      </c>
      <c r="J45" s="81">
        <f>6.2048 * CHOOSE(CONTROL!$C$32, $C$9, 100%, $E$9)</f>
        <v>6.2047999999999996</v>
      </c>
      <c r="K45" s="81">
        <f>6.2111 * CHOOSE(CONTROL!$C$32, $C$9, 100%, $E$9)</f>
        <v>6.2111000000000001</v>
      </c>
      <c r="L45" s="81">
        <f>3.4108 * CHOOSE(CONTROL!$C$32, $C$9, 100%, $E$9)</f>
        <v>3.4108000000000001</v>
      </c>
      <c r="M45" s="81">
        <f>3.4171 * CHOOSE(CONTROL!$C$32, $C$9, 100%, $E$9)</f>
        <v>3.4171</v>
      </c>
      <c r="N45" s="81">
        <f>3.4108 * CHOOSE(CONTROL!$C$32, $C$9, 100%, $E$9)</f>
        <v>3.4108000000000001</v>
      </c>
      <c r="O45" s="81">
        <f>3.4171 * CHOOSE(CONTROL!$C$32, $C$9, 100%, $E$9)</f>
        <v>3.4171</v>
      </c>
      <c r="P45" s="10"/>
      <c r="Q45" s="10"/>
      <c r="R45" s="10"/>
    </row>
    <row r="46" spans="1:18" ht="15">
      <c r="A46" s="16">
        <v>42614</v>
      </c>
      <c r="B46" s="80">
        <f>2.8985 * CHOOSE(CONTROL!$C$32, $C$9, 100%, $E$9)</f>
        <v>2.8984999999999999</v>
      </c>
      <c r="C46" s="80">
        <f>2.8985 * CHOOSE(CONTROL!$C$32, $C$9, 100%, $E$9)</f>
        <v>2.8984999999999999</v>
      </c>
      <c r="D46" s="80">
        <f>2.9036 * CHOOSE(CONTROL!$C$32, $C$9, 100%, $E$9)</f>
        <v>2.9036</v>
      </c>
      <c r="E46" s="81">
        <f>3.358 * CHOOSE(CONTROL!$C$32, $C$9, 100%, $E$9)</f>
        <v>3.3580000000000001</v>
      </c>
      <c r="F46" s="81">
        <f>3.446 * CHOOSE(CONTROL!$C$32, $C$9, 100%, $E$9)</f>
        <v>3.4460000000000002</v>
      </c>
      <c r="G46" s="81">
        <f>3.4523 * CHOOSE(CONTROL!$C$32, $C$9, 100%, $E$9)</f>
        <v>3.4523000000000001</v>
      </c>
      <c r="H46" s="81">
        <f>6.2177 * CHOOSE(CONTROL!$C$32, $C$9, 100%, $E$9)</f>
        <v>6.2176999999999998</v>
      </c>
      <c r="I46" s="81">
        <f>6.224 * CHOOSE(CONTROL!$C$32, $C$9, 100%, $E$9)</f>
        <v>6.2240000000000002</v>
      </c>
      <c r="J46" s="81">
        <f>6.2177 * CHOOSE(CONTROL!$C$32, $C$9, 100%, $E$9)</f>
        <v>6.2176999999999998</v>
      </c>
      <c r="K46" s="81">
        <f>6.224 * CHOOSE(CONTROL!$C$32, $C$9, 100%, $E$9)</f>
        <v>6.2240000000000002</v>
      </c>
      <c r="L46" s="81">
        <f>3.358 * CHOOSE(CONTROL!$C$32, $C$9, 100%, $E$9)</f>
        <v>3.3580000000000001</v>
      </c>
      <c r="M46" s="81">
        <f>3.3643 * CHOOSE(CONTROL!$C$32, $C$9, 100%, $E$9)</f>
        <v>3.3643000000000001</v>
      </c>
      <c r="N46" s="81">
        <f>3.358 * CHOOSE(CONTROL!$C$32, $C$9, 100%, $E$9)</f>
        <v>3.3580000000000001</v>
      </c>
      <c r="O46" s="81">
        <f>3.3643 * CHOOSE(CONTROL!$C$32, $C$9, 100%, $E$9)</f>
        <v>3.3643000000000001</v>
      </c>
      <c r="P46" s="10"/>
      <c r="Q46" s="10"/>
      <c r="R46" s="10"/>
    </row>
    <row r="47" spans="1:18" ht="15">
      <c r="A47" s="16">
        <v>42644</v>
      </c>
      <c r="B47" s="80">
        <f>2.9149 * CHOOSE(CONTROL!$C$32, $C$9, 100%, $E$9)</f>
        <v>2.9148999999999998</v>
      </c>
      <c r="C47" s="80">
        <f>2.9149 * CHOOSE(CONTROL!$C$32, $C$9, 100%, $E$9)</f>
        <v>2.9148999999999998</v>
      </c>
      <c r="D47" s="80">
        <f>2.9185 * CHOOSE(CONTROL!$C$32, $C$9, 100%, $E$9)</f>
        <v>2.9184999999999999</v>
      </c>
      <c r="E47" s="81">
        <f>3.3756 * CHOOSE(CONTROL!$C$32, $C$9, 100%, $E$9)</f>
        <v>3.3755999999999999</v>
      </c>
      <c r="F47" s="81">
        <f>3.446 * CHOOSE(CONTROL!$C$32, $C$9, 100%, $E$9)</f>
        <v>3.4460000000000002</v>
      </c>
      <c r="G47" s="81">
        <f>3.4504 * CHOOSE(CONTROL!$C$32, $C$9, 100%, $E$9)</f>
        <v>3.4504000000000001</v>
      </c>
      <c r="H47" s="81">
        <f>6.2306 * CHOOSE(CONTROL!$C$32, $C$9, 100%, $E$9)</f>
        <v>6.2305999999999999</v>
      </c>
      <c r="I47" s="81">
        <f>6.235 * CHOOSE(CONTROL!$C$32, $C$9, 100%, $E$9)</f>
        <v>6.2350000000000003</v>
      </c>
      <c r="J47" s="81">
        <f>6.2306 * CHOOSE(CONTROL!$C$32, $C$9, 100%, $E$9)</f>
        <v>6.2305999999999999</v>
      </c>
      <c r="K47" s="81">
        <f>6.235 * CHOOSE(CONTROL!$C$32, $C$9, 100%, $E$9)</f>
        <v>6.2350000000000003</v>
      </c>
      <c r="L47" s="81">
        <f>3.3756 * CHOOSE(CONTROL!$C$32, $C$9, 100%, $E$9)</f>
        <v>3.3755999999999999</v>
      </c>
      <c r="M47" s="81">
        <f>3.38 * CHOOSE(CONTROL!$C$32, $C$9, 100%, $E$9)</f>
        <v>3.38</v>
      </c>
      <c r="N47" s="81">
        <f>3.3756 * CHOOSE(CONTROL!$C$32, $C$9, 100%, $E$9)</f>
        <v>3.3755999999999999</v>
      </c>
      <c r="O47" s="81">
        <f>3.38 * CHOOSE(CONTROL!$C$32, $C$9, 100%, $E$9)</f>
        <v>3.38</v>
      </c>
      <c r="P47" s="10"/>
      <c r="Q47" s="10"/>
      <c r="R47" s="10"/>
    </row>
    <row r="48" spans="1:18" ht="15">
      <c r="A48" s="16">
        <v>42675</v>
      </c>
      <c r="B48" s="80">
        <f>2.918 * CHOOSE(CONTROL!$C$32, $C$9, 100%, $E$9)</f>
        <v>2.9180000000000001</v>
      </c>
      <c r="C48" s="80">
        <f>2.918 * CHOOSE(CONTROL!$C$32, $C$9, 100%, $E$9)</f>
        <v>2.9180000000000001</v>
      </c>
      <c r="D48" s="80">
        <f>2.9215 * CHOOSE(CONTROL!$C$32, $C$9, 100%, $E$9)</f>
        <v>2.9215</v>
      </c>
      <c r="E48" s="81">
        <f>3.402 * CHOOSE(CONTROL!$C$32, $C$9, 100%, $E$9)</f>
        <v>3.4020000000000001</v>
      </c>
      <c r="F48" s="81">
        <f>3.446 * CHOOSE(CONTROL!$C$32, $C$9, 100%, $E$9)</f>
        <v>3.4460000000000002</v>
      </c>
      <c r="G48" s="81">
        <f>3.4504 * CHOOSE(CONTROL!$C$32, $C$9, 100%, $E$9)</f>
        <v>3.4504000000000001</v>
      </c>
      <c r="H48" s="81">
        <f>6.2436 * CHOOSE(CONTROL!$C$32, $C$9, 100%, $E$9)</f>
        <v>6.2435999999999998</v>
      </c>
      <c r="I48" s="81">
        <f>6.248 * CHOOSE(CONTROL!$C$32, $C$9, 100%, $E$9)</f>
        <v>6.2480000000000002</v>
      </c>
      <c r="J48" s="81">
        <f>6.2436 * CHOOSE(CONTROL!$C$32, $C$9, 100%, $E$9)</f>
        <v>6.2435999999999998</v>
      </c>
      <c r="K48" s="81">
        <f>6.248 * CHOOSE(CONTROL!$C$32, $C$9, 100%, $E$9)</f>
        <v>6.2480000000000002</v>
      </c>
      <c r="L48" s="81">
        <f>3.402 * CHOOSE(CONTROL!$C$32, $C$9, 100%, $E$9)</f>
        <v>3.4020000000000001</v>
      </c>
      <c r="M48" s="81">
        <f>3.4064 * CHOOSE(CONTROL!$C$32, $C$9, 100%, $E$9)</f>
        <v>3.4064000000000001</v>
      </c>
      <c r="N48" s="81">
        <f>3.402 * CHOOSE(CONTROL!$C$32, $C$9, 100%, $E$9)</f>
        <v>3.4020000000000001</v>
      </c>
      <c r="O48" s="81">
        <f>3.4064 * CHOOSE(CONTROL!$C$32, $C$9, 100%, $E$9)</f>
        <v>3.4064000000000001</v>
      </c>
      <c r="P48" s="10"/>
      <c r="Q48" s="10"/>
      <c r="R48" s="10"/>
    </row>
    <row r="49" spans="1:18" ht="15">
      <c r="A49" s="16">
        <v>42705</v>
      </c>
      <c r="B49" s="80">
        <f>2.921 * CHOOSE(CONTROL!$C$32, $C$9, 100%, $E$9)</f>
        <v>2.9209999999999998</v>
      </c>
      <c r="C49" s="80">
        <f>2.921 * CHOOSE(CONTROL!$C$32, $C$9, 100%, $E$9)</f>
        <v>2.9209999999999998</v>
      </c>
      <c r="D49" s="80">
        <f>2.9246 * CHOOSE(CONTROL!$C$32, $C$9, 100%, $E$9)</f>
        <v>2.9245999999999999</v>
      </c>
      <c r="E49" s="81">
        <f>3.446 * CHOOSE(CONTROL!$C$32, $C$9, 100%, $E$9)</f>
        <v>3.4460000000000002</v>
      </c>
      <c r="F49" s="81">
        <f>3.446 * CHOOSE(CONTROL!$C$32, $C$9, 100%, $E$9)</f>
        <v>3.4460000000000002</v>
      </c>
      <c r="G49" s="81">
        <f>3.4504 * CHOOSE(CONTROL!$C$32, $C$9, 100%, $E$9)</f>
        <v>3.4504000000000001</v>
      </c>
      <c r="H49" s="81">
        <f>6.2566 * CHOOSE(CONTROL!$C$32, $C$9, 100%, $E$9)</f>
        <v>6.2565999999999997</v>
      </c>
      <c r="I49" s="81">
        <f>6.261 * CHOOSE(CONTROL!$C$32, $C$9, 100%, $E$9)</f>
        <v>6.2610000000000001</v>
      </c>
      <c r="J49" s="81">
        <f>6.2566 * CHOOSE(CONTROL!$C$32, $C$9, 100%, $E$9)</f>
        <v>6.2565999999999997</v>
      </c>
      <c r="K49" s="81">
        <f>6.261 * CHOOSE(CONTROL!$C$32, $C$9, 100%, $E$9)</f>
        <v>6.2610000000000001</v>
      </c>
      <c r="L49" s="81">
        <f>3.446 * CHOOSE(CONTROL!$C$32, $C$9, 100%, $E$9)</f>
        <v>3.4460000000000002</v>
      </c>
      <c r="M49" s="81">
        <f>3.4504 * CHOOSE(CONTROL!$C$32, $C$9, 100%, $E$9)</f>
        <v>3.4504000000000001</v>
      </c>
      <c r="N49" s="81">
        <f>3.446 * CHOOSE(CONTROL!$C$32, $C$9, 100%, $E$9)</f>
        <v>3.4460000000000002</v>
      </c>
      <c r="O49" s="81">
        <f>3.4504 * CHOOSE(CONTROL!$C$32, $C$9, 100%, $E$9)</f>
        <v>3.4504000000000001</v>
      </c>
      <c r="P49" s="10"/>
      <c r="Q49" s="10"/>
      <c r="R49" s="10"/>
    </row>
    <row r="50" spans="1:18" ht="15">
      <c r="A50" s="16">
        <v>42736</v>
      </c>
      <c r="B50" s="80">
        <f>2.9632 * CHOOSE(CONTROL!$C$32, $C$9, 100%, $E$9)</f>
        <v>2.9632000000000001</v>
      </c>
      <c r="C50" s="80">
        <f>2.9632 * CHOOSE(CONTROL!$C$32, $C$9, 100%, $E$9)</f>
        <v>2.9632000000000001</v>
      </c>
      <c r="D50" s="80">
        <f>2.9667 * CHOOSE(CONTROL!$C$32, $C$9, 100%, $E$9)</f>
        <v>2.9666999999999999</v>
      </c>
      <c r="E50" s="81">
        <f>3.5517 * CHOOSE(CONTROL!$C$32, $C$9, 100%, $E$9)</f>
        <v>3.5516999999999999</v>
      </c>
      <c r="F50" s="81">
        <f>3.5517 * CHOOSE(CONTROL!$C$32, $C$9, 100%, $E$9)</f>
        <v>3.5516999999999999</v>
      </c>
      <c r="G50" s="81">
        <f>3.556 * CHOOSE(CONTROL!$C$32, $C$9, 100%, $E$9)</f>
        <v>3.556</v>
      </c>
      <c r="H50" s="81">
        <f>6.2697 * CHOOSE(CONTROL!$C$32, $C$9, 100%, $E$9)</f>
        <v>6.2697000000000003</v>
      </c>
      <c r="I50" s="81">
        <f>6.274 * CHOOSE(CONTROL!$C$32, $C$9, 100%, $E$9)</f>
        <v>6.274</v>
      </c>
      <c r="J50" s="81">
        <f>6.2697 * CHOOSE(CONTROL!$C$32, $C$9, 100%, $E$9)</f>
        <v>6.2697000000000003</v>
      </c>
      <c r="K50" s="81">
        <f>6.274 * CHOOSE(CONTROL!$C$32, $C$9, 100%, $E$9)</f>
        <v>6.274</v>
      </c>
      <c r="L50" s="81">
        <f>3.5517 * CHOOSE(CONTROL!$C$32, $C$9, 100%, $E$9)</f>
        <v>3.5516999999999999</v>
      </c>
      <c r="M50" s="81">
        <f>3.556 * CHOOSE(CONTROL!$C$32, $C$9, 100%, $E$9)</f>
        <v>3.556</v>
      </c>
      <c r="N50" s="81">
        <f>3.5517 * CHOOSE(CONTROL!$C$32, $C$9, 100%, $E$9)</f>
        <v>3.5516999999999999</v>
      </c>
      <c r="O50" s="81">
        <f>3.556 * CHOOSE(CONTROL!$C$32, $C$9, 100%, $E$9)</f>
        <v>3.556</v>
      </c>
      <c r="P50" s="10"/>
      <c r="Q50" s="10"/>
      <c r="R50" s="10"/>
    </row>
    <row r="51" spans="1:18" ht="15">
      <c r="A51" s="16">
        <v>42767</v>
      </c>
      <c r="B51" s="80">
        <f>2.9601 * CHOOSE(CONTROL!$C$32, $C$9, 100%, $E$9)</f>
        <v>2.9601000000000002</v>
      </c>
      <c r="C51" s="80">
        <f>2.9601 * CHOOSE(CONTROL!$C$32, $C$9, 100%, $E$9)</f>
        <v>2.9601000000000002</v>
      </c>
      <c r="D51" s="80">
        <f>2.9637 * CHOOSE(CONTROL!$C$32, $C$9, 100%, $E$9)</f>
        <v>2.9636999999999998</v>
      </c>
      <c r="E51" s="81">
        <f>3.521 * CHOOSE(CONTROL!$C$32, $C$9, 100%, $E$9)</f>
        <v>3.5209999999999999</v>
      </c>
      <c r="F51" s="81">
        <f>3.521 * CHOOSE(CONTROL!$C$32, $C$9, 100%, $E$9)</f>
        <v>3.5209999999999999</v>
      </c>
      <c r="G51" s="81">
        <f>3.5254 * CHOOSE(CONTROL!$C$32, $C$9, 100%, $E$9)</f>
        <v>3.5253999999999999</v>
      </c>
      <c r="H51" s="81">
        <f>6.2827 * CHOOSE(CONTROL!$C$32, $C$9, 100%, $E$9)</f>
        <v>6.2827000000000002</v>
      </c>
      <c r="I51" s="81">
        <f>6.2871 * CHOOSE(CONTROL!$C$32, $C$9, 100%, $E$9)</f>
        <v>6.2870999999999997</v>
      </c>
      <c r="J51" s="81">
        <f>6.2827 * CHOOSE(CONTROL!$C$32, $C$9, 100%, $E$9)</f>
        <v>6.2827000000000002</v>
      </c>
      <c r="K51" s="81">
        <f>6.2871 * CHOOSE(CONTROL!$C$32, $C$9, 100%, $E$9)</f>
        <v>6.2870999999999997</v>
      </c>
      <c r="L51" s="81">
        <f>3.521 * CHOOSE(CONTROL!$C$32, $C$9, 100%, $E$9)</f>
        <v>3.5209999999999999</v>
      </c>
      <c r="M51" s="81">
        <f>3.5254 * CHOOSE(CONTROL!$C$32, $C$9, 100%, $E$9)</f>
        <v>3.5253999999999999</v>
      </c>
      <c r="N51" s="81">
        <f>3.521 * CHOOSE(CONTROL!$C$32, $C$9, 100%, $E$9)</f>
        <v>3.5209999999999999</v>
      </c>
      <c r="O51" s="81">
        <f>3.5254 * CHOOSE(CONTROL!$C$32, $C$9, 100%, $E$9)</f>
        <v>3.5253999999999999</v>
      </c>
      <c r="P51" s="10"/>
      <c r="Q51" s="10"/>
      <c r="R51" s="10"/>
    </row>
    <row r="52" spans="1:18" ht="15">
      <c r="A52" s="16">
        <v>42795</v>
      </c>
      <c r="B52" s="80">
        <f>2.9571 * CHOOSE(CONTROL!$C$32, $C$9, 100%, $E$9)</f>
        <v>2.9571000000000001</v>
      </c>
      <c r="C52" s="80">
        <f>2.9571 * CHOOSE(CONTROL!$C$32, $C$9, 100%, $E$9)</f>
        <v>2.9571000000000001</v>
      </c>
      <c r="D52" s="80">
        <f>2.9606 * CHOOSE(CONTROL!$C$32, $C$9, 100%, $E$9)</f>
        <v>2.9605999999999999</v>
      </c>
      <c r="E52" s="81">
        <f>3.5414 * CHOOSE(CONTROL!$C$32, $C$9, 100%, $E$9)</f>
        <v>3.5413999999999999</v>
      </c>
      <c r="F52" s="81">
        <f>3.5414 * CHOOSE(CONTROL!$C$32, $C$9, 100%, $E$9)</f>
        <v>3.5413999999999999</v>
      </c>
      <c r="G52" s="81">
        <f>3.5458 * CHOOSE(CONTROL!$C$32, $C$9, 100%, $E$9)</f>
        <v>3.5457999999999998</v>
      </c>
      <c r="H52" s="81">
        <f>6.2958 * CHOOSE(CONTROL!$C$32, $C$9, 100%, $E$9)</f>
        <v>6.2957999999999998</v>
      </c>
      <c r="I52" s="81">
        <f>6.3002 * CHOOSE(CONTROL!$C$32, $C$9, 100%, $E$9)</f>
        <v>6.3002000000000002</v>
      </c>
      <c r="J52" s="81">
        <f>6.2958 * CHOOSE(CONTROL!$C$32, $C$9, 100%, $E$9)</f>
        <v>6.2957999999999998</v>
      </c>
      <c r="K52" s="81">
        <f>6.3002 * CHOOSE(CONTROL!$C$32, $C$9, 100%, $E$9)</f>
        <v>6.3002000000000002</v>
      </c>
      <c r="L52" s="81">
        <f>3.5414 * CHOOSE(CONTROL!$C$32, $C$9, 100%, $E$9)</f>
        <v>3.5413999999999999</v>
      </c>
      <c r="M52" s="81">
        <f>3.5458 * CHOOSE(CONTROL!$C$32, $C$9, 100%, $E$9)</f>
        <v>3.5457999999999998</v>
      </c>
      <c r="N52" s="81">
        <f>3.5414 * CHOOSE(CONTROL!$C$32, $C$9, 100%, $E$9)</f>
        <v>3.5413999999999999</v>
      </c>
      <c r="O52" s="81">
        <f>3.5458 * CHOOSE(CONTROL!$C$32, $C$9, 100%, $E$9)</f>
        <v>3.5457999999999998</v>
      </c>
      <c r="P52" s="10"/>
      <c r="Q52" s="10"/>
      <c r="R52" s="10"/>
    </row>
    <row r="53" spans="1:18" ht="15">
      <c r="A53" s="16">
        <v>42826</v>
      </c>
      <c r="B53" s="80">
        <f>2.9537 * CHOOSE(CONTROL!$C$32, $C$9, 100%, $E$9)</f>
        <v>2.9537</v>
      </c>
      <c r="C53" s="80">
        <f>2.9537 * CHOOSE(CONTROL!$C$32, $C$9, 100%, $E$9)</f>
        <v>2.9537</v>
      </c>
      <c r="D53" s="80">
        <f>2.9572 * CHOOSE(CONTROL!$C$32, $C$9, 100%, $E$9)</f>
        <v>2.9571999999999998</v>
      </c>
      <c r="E53" s="81">
        <f>3.5613 * CHOOSE(CONTROL!$C$32, $C$9, 100%, $E$9)</f>
        <v>3.5613000000000001</v>
      </c>
      <c r="F53" s="81">
        <f>3.5613 * CHOOSE(CONTROL!$C$32, $C$9, 100%, $E$9)</f>
        <v>3.5613000000000001</v>
      </c>
      <c r="G53" s="81">
        <f>3.5657 * CHOOSE(CONTROL!$C$32, $C$9, 100%, $E$9)</f>
        <v>3.5657000000000001</v>
      </c>
      <c r="H53" s="81">
        <f>6.3089 * CHOOSE(CONTROL!$C$32, $C$9, 100%, $E$9)</f>
        <v>6.3089000000000004</v>
      </c>
      <c r="I53" s="81">
        <f>6.3133 * CHOOSE(CONTROL!$C$32, $C$9, 100%, $E$9)</f>
        <v>6.3132999999999999</v>
      </c>
      <c r="J53" s="81">
        <f>6.3089 * CHOOSE(CONTROL!$C$32, $C$9, 100%, $E$9)</f>
        <v>6.3089000000000004</v>
      </c>
      <c r="K53" s="81">
        <f>6.3133 * CHOOSE(CONTROL!$C$32, $C$9, 100%, $E$9)</f>
        <v>6.3132999999999999</v>
      </c>
      <c r="L53" s="81">
        <f>3.5613 * CHOOSE(CONTROL!$C$32, $C$9, 100%, $E$9)</f>
        <v>3.5613000000000001</v>
      </c>
      <c r="M53" s="81">
        <f>3.5657 * CHOOSE(CONTROL!$C$32, $C$9, 100%, $E$9)</f>
        <v>3.5657000000000001</v>
      </c>
      <c r="N53" s="81">
        <f>3.5613 * CHOOSE(CONTROL!$C$32, $C$9, 100%, $E$9)</f>
        <v>3.5613000000000001</v>
      </c>
      <c r="O53" s="81">
        <f>3.5657 * CHOOSE(CONTROL!$C$32, $C$9, 100%, $E$9)</f>
        <v>3.5657000000000001</v>
      </c>
      <c r="P53" s="10"/>
      <c r="Q53" s="10"/>
      <c r="R53" s="10"/>
    </row>
    <row r="54" spans="1:18" ht="15">
      <c r="A54" s="16">
        <v>42856</v>
      </c>
      <c r="B54" s="80">
        <f>2.9537 * CHOOSE(CONTROL!$C$32, $C$9, 100%, $E$9)</f>
        <v>2.9537</v>
      </c>
      <c r="C54" s="80">
        <f>2.9537 * CHOOSE(CONTROL!$C$32, $C$9, 100%, $E$9)</f>
        <v>2.9537</v>
      </c>
      <c r="D54" s="80">
        <f>2.9588 * CHOOSE(CONTROL!$C$32, $C$9, 100%, $E$9)</f>
        <v>2.9588000000000001</v>
      </c>
      <c r="E54" s="81">
        <f>3.5704 * CHOOSE(CONTROL!$C$32, $C$9, 100%, $E$9)</f>
        <v>3.5703999999999998</v>
      </c>
      <c r="F54" s="81">
        <f>3.5704 * CHOOSE(CONTROL!$C$32, $C$9, 100%, $E$9)</f>
        <v>3.5703999999999998</v>
      </c>
      <c r="G54" s="81">
        <f>3.5767 * CHOOSE(CONTROL!$C$32, $C$9, 100%, $E$9)</f>
        <v>3.5767000000000002</v>
      </c>
      <c r="H54" s="81">
        <f>6.3221 * CHOOSE(CONTROL!$C$32, $C$9, 100%, $E$9)</f>
        <v>6.3220999999999998</v>
      </c>
      <c r="I54" s="81">
        <f>6.3284 * CHOOSE(CONTROL!$C$32, $C$9, 100%, $E$9)</f>
        <v>6.3284000000000002</v>
      </c>
      <c r="J54" s="81">
        <f>6.3221 * CHOOSE(CONTROL!$C$32, $C$9, 100%, $E$9)</f>
        <v>6.3220999999999998</v>
      </c>
      <c r="K54" s="81">
        <f>6.3284 * CHOOSE(CONTROL!$C$32, $C$9, 100%, $E$9)</f>
        <v>6.3284000000000002</v>
      </c>
      <c r="L54" s="81">
        <f>3.5704 * CHOOSE(CONTROL!$C$32, $C$9, 100%, $E$9)</f>
        <v>3.5703999999999998</v>
      </c>
      <c r="M54" s="81">
        <f>3.5767 * CHOOSE(CONTROL!$C$32, $C$9, 100%, $E$9)</f>
        <v>3.5767000000000002</v>
      </c>
      <c r="N54" s="81">
        <f>3.5704 * CHOOSE(CONTROL!$C$32, $C$9, 100%, $E$9)</f>
        <v>3.5703999999999998</v>
      </c>
      <c r="O54" s="81">
        <f>3.5767 * CHOOSE(CONTROL!$C$32, $C$9, 100%, $E$9)</f>
        <v>3.5767000000000002</v>
      </c>
      <c r="P54" s="10"/>
      <c r="Q54" s="10"/>
      <c r="R54" s="10"/>
    </row>
    <row r="55" spans="1:18" ht="15">
      <c r="A55" s="16">
        <v>42887</v>
      </c>
      <c r="B55" s="80">
        <f>2.9598 * CHOOSE(CONTROL!$C$32, $C$9, 100%, $E$9)</f>
        <v>2.9598</v>
      </c>
      <c r="C55" s="80">
        <f>2.9598 * CHOOSE(CONTROL!$C$32, $C$9, 100%, $E$9)</f>
        <v>2.9598</v>
      </c>
      <c r="D55" s="80">
        <f>2.9649 * CHOOSE(CONTROL!$C$32, $C$9, 100%, $E$9)</f>
        <v>2.9649000000000001</v>
      </c>
      <c r="E55" s="81">
        <f>3.5655 * CHOOSE(CONTROL!$C$32, $C$9, 100%, $E$9)</f>
        <v>3.5655000000000001</v>
      </c>
      <c r="F55" s="81">
        <f>3.5655 * CHOOSE(CONTROL!$C$32, $C$9, 100%, $E$9)</f>
        <v>3.5655000000000001</v>
      </c>
      <c r="G55" s="81">
        <f>3.5719 * CHOOSE(CONTROL!$C$32, $C$9, 100%, $E$9)</f>
        <v>3.5718999999999999</v>
      </c>
      <c r="H55" s="81">
        <f>6.3352 * CHOOSE(CONTROL!$C$32, $C$9, 100%, $E$9)</f>
        <v>6.3352000000000004</v>
      </c>
      <c r="I55" s="81">
        <f>6.3416 * CHOOSE(CONTROL!$C$32, $C$9, 100%, $E$9)</f>
        <v>6.3415999999999997</v>
      </c>
      <c r="J55" s="81">
        <f>6.3352 * CHOOSE(CONTROL!$C$32, $C$9, 100%, $E$9)</f>
        <v>6.3352000000000004</v>
      </c>
      <c r="K55" s="81">
        <f>6.3416 * CHOOSE(CONTROL!$C$32, $C$9, 100%, $E$9)</f>
        <v>6.3415999999999997</v>
      </c>
      <c r="L55" s="81">
        <f>3.5655 * CHOOSE(CONTROL!$C$32, $C$9, 100%, $E$9)</f>
        <v>3.5655000000000001</v>
      </c>
      <c r="M55" s="81">
        <f>3.5719 * CHOOSE(CONTROL!$C$32, $C$9, 100%, $E$9)</f>
        <v>3.5718999999999999</v>
      </c>
      <c r="N55" s="81">
        <f>3.5655 * CHOOSE(CONTROL!$C$32, $C$9, 100%, $E$9)</f>
        <v>3.5655000000000001</v>
      </c>
      <c r="O55" s="81">
        <f>3.5719 * CHOOSE(CONTROL!$C$32, $C$9, 100%, $E$9)</f>
        <v>3.5718999999999999</v>
      </c>
      <c r="P55" s="10"/>
      <c r="Q55" s="10"/>
      <c r="R55" s="10"/>
    </row>
    <row r="56" spans="1:18" ht="15">
      <c r="A56" s="16">
        <v>42917</v>
      </c>
      <c r="B56" s="80">
        <f>3.0475 * CHOOSE(CONTROL!$C$32, $C$9, 100%, $E$9)</f>
        <v>3.0474999999999999</v>
      </c>
      <c r="C56" s="80">
        <f>3.0475 * CHOOSE(CONTROL!$C$32, $C$9, 100%, $E$9)</f>
        <v>3.0474999999999999</v>
      </c>
      <c r="D56" s="80">
        <f>3.0527 * CHOOSE(CONTROL!$C$32, $C$9, 100%, $E$9)</f>
        <v>3.0527000000000002</v>
      </c>
      <c r="E56" s="81">
        <f>3.6468 * CHOOSE(CONTROL!$C$32, $C$9, 100%, $E$9)</f>
        <v>3.6467999999999998</v>
      </c>
      <c r="F56" s="81">
        <f>3.6468 * CHOOSE(CONTROL!$C$32, $C$9, 100%, $E$9)</f>
        <v>3.6467999999999998</v>
      </c>
      <c r="G56" s="81">
        <f>3.6531 * CHOOSE(CONTROL!$C$32, $C$9, 100%, $E$9)</f>
        <v>3.6530999999999998</v>
      </c>
      <c r="H56" s="81">
        <f>6.3484 * CHOOSE(CONTROL!$C$32, $C$9, 100%, $E$9)</f>
        <v>6.3483999999999998</v>
      </c>
      <c r="I56" s="81">
        <f>6.3548 * CHOOSE(CONTROL!$C$32, $C$9, 100%, $E$9)</f>
        <v>6.3548</v>
      </c>
      <c r="J56" s="81">
        <f>6.3484 * CHOOSE(CONTROL!$C$32, $C$9, 100%, $E$9)</f>
        <v>6.3483999999999998</v>
      </c>
      <c r="K56" s="81">
        <f>6.3548 * CHOOSE(CONTROL!$C$32, $C$9, 100%, $E$9)</f>
        <v>6.3548</v>
      </c>
      <c r="L56" s="81">
        <f>3.6468 * CHOOSE(CONTROL!$C$32, $C$9, 100%, $E$9)</f>
        <v>3.6467999999999998</v>
      </c>
      <c r="M56" s="81">
        <f>3.6531 * CHOOSE(CONTROL!$C$32, $C$9, 100%, $E$9)</f>
        <v>3.6530999999999998</v>
      </c>
      <c r="N56" s="81">
        <f>3.6468 * CHOOSE(CONTROL!$C$32, $C$9, 100%, $E$9)</f>
        <v>3.6467999999999998</v>
      </c>
      <c r="O56" s="81">
        <f>3.6531 * CHOOSE(CONTROL!$C$32, $C$9, 100%, $E$9)</f>
        <v>3.6530999999999998</v>
      </c>
      <c r="P56" s="10"/>
      <c r="Q56" s="10"/>
      <c r="R56" s="10"/>
    </row>
    <row r="57" spans="1:18" ht="15">
      <c r="A57" s="16">
        <v>42948</v>
      </c>
      <c r="B57" s="80">
        <f>3.0542 * CHOOSE(CONTROL!$C$32, $C$9, 100%, $E$9)</f>
        <v>3.0541999999999998</v>
      </c>
      <c r="C57" s="80">
        <f>3.0542 * CHOOSE(CONTROL!$C$32, $C$9, 100%, $E$9)</f>
        <v>3.0541999999999998</v>
      </c>
      <c r="D57" s="80">
        <f>3.0594 * CHOOSE(CONTROL!$C$32, $C$9, 100%, $E$9)</f>
        <v>3.0594000000000001</v>
      </c>
      <c r="E57" s="81">
        <f>3.6242 * CHOOSE(CONTROL!$C$32, $C$9, 100%, $E$9)</f>
        <v>3.6242000000000001</v>
      </c>
      <c r="F57" s="81">
        <f>3.6242 * CHOOSE(CONTROL!$C$32, $C$9, 100%, $E$9)</f>
        <v>3.6242000000000001</v>
      </c>
      <c r="G57" s="81">
        <f>3.6306 * CHOOSE(CONTROL!$C$32, $C$9, 100%, $E$9)</f>
        <v>3.6305999999999998</v>
      </c>
      <c r="H57" s="81">
        <f>6.3617 * CHOOSE(CONTROL!$C$32, $C$9, 100%, $E$9)</f>
        <v>6.3616999999999999</v>
      </c>
      <c r="I57" s="81">
        <f>6.368 * CHOOSE(CONTROL!$C$32, $C$9, 100%, $E$9)</f>
        <v>6.3680000000000003</v>
      </c>
      <c r="J57" s="81">
        <f>6.3617 * CHOOSE(CONTROL!$C$32, $C$9, 100%, $E$9)</f>
        <v>6.3616999999999999</v>
      </c>
      <c r="K57" s="81">
        <f>6.368 * CHOOSE(CONTROL!$C$32, $C$9, 100%, $E$9)</f>
        <v>6.3680000000000003</v>
      </c>
      <c r="L57" s="81">
        <f>3.6242 * CHOOSE(CONTROL!$C$32, $C$9, 100%, $E$9)</f>
        <v>3.6242000000000001</v>
      </c>
      <c r="M57" s="81">
        <f>3.6306 * CHOOSE(CONTROL!$C$32, $C$9, 100%, $E$9)</f>
        <v>3.6305999999999998</v>
      </c>
      <c r="N57" s="81">
        <f>3.6242 * CHOOSE(CONTROL!$C$32, $C$9, 100%, $E$9)</f>
        <v>3.6242000000000001</v>
      </c>
      <c r="O57" s="81">
        <f>3.6306 * CHOOSE(CONTROL!$C$32, $C$9, 100%, $E$9)</f>
        <v>3.6305999999999998</v>
      </c>
      <c r="P57" s="10"/>
      <c r="Q57" s="10"/>
      <c r="R57" s="10"/>
    </row>
    <row r="58" spans="1:18" ht="15">
      <c r="A58" s="16">
        <v>42979</v>
      </c>
      <c r="B58" s="80">
        <f>3.0512 * CHOOSE(CONTROL!$C$32, $C$9, 100%, $E$9)</f>
        <v>3.0512000000000001</v>
      </c>
      <c r="C58" s="80">
        <f>3.0512 * CHOOSE(CONTROL!$C$32, $C$9, 100%, $E$9)</f>
        <v>3.0512000000000001</v>
      </c>
      <c r="D58" s="80">
        <f>3.0563 * CHOOSE(CONTROL!$C$32, $C$9, 100%, $E$9)</f>
        <v>3.0562999999999998</v>
      </c>
      <c r="E58" s="81">
        <f>3.6191 * CHOOSE(CONTROL!$C$32, $C$9, 100%, $E$9)</f>
        <v>3.6191</v>
      </c>
      <c r="F58" s="81">
        <f>3.6191 * CHOOSE(CONTROL!$C$32, $C$9, 100%, $E$9)</f>
        <v>3.6191</v>
      </c>
      <c r="G58" s="81">
        <f>3.6254 * CHOOSE(CONTROL!$C$32, $C$9, 100%, $E$9)</f>
        <v>3.6254</v>
      </c>
      <c r="H58" s="81">
        <f>6.3749 * CHOOSE(CONTROL!$C$32, $C$9, 100%, $E$9)</f>
        <v>6.3749000000000002</v>
      </c>
      <c r="I58" s="81">
        <f>6.3812 * CHOOSE(CONTROL!$C$32, $C$9, 100%, $E$9)</f>
        <v>6.3811999999999998</v>
      </c>
      <c r="J58" s="81">
        <f>6.3749 * CHOOSE(CONTROL!$C$32, $C$9, 100%, $E$9)</f>
        <v>6.3749000000000002</v>
      </c>
      <c r="K58" s="81">
        <f>6.3812 * CHOOSE(CONTROL!$C$32, $C$9, 100%, $E$9)</f>
        <v>6.3811999999999998</v>
      </c>
      <c r="L58" s="81">
        <f>3.6191 * CHOOSE(CONTROL!$C$32, $C$9, 100%, $E$9)</f>
        <v>3.6191</v>
      </c>
      <c r="M58" s="81">
        <f>3.6254 * CHOOSE(CONTROL!$C$32, $C$9, 100%, $E$9)</f>
        <v>3.6254</v>
      </c>
      <c r="N58" s="81">
        <f>3.6191 * CHOOSE(CONTROL!$C$32, $C$9, 100%, $E$9)</f>
        <v>3.6191</v>
      </c>
      <c r="O58" s="81">
        <f>3.6254 * CHOOSE(CONTROL!$C$32, $C$9, 100%, $E$9)</f>
        <v>3.6254</v>
      </c>
      <c r="P58" s="10"/>
      <c r="Q58" s="10"/>
      <c r="R58" s="10"/>
    </row>
    <row r="59" spans="1:18" ht="15">
      <c r="A59" s="16">
        <v>43009</v>
      </c>
      <c r="B59" s="80">
        <f>3.0423 * CHOOSE(CONTROL!$C$32, $C$9, 100%, $E$9)</f>
        <v>3.0423</v>
      </c>
      <c r="C59" s="80">
        <f>3.0423 * CHOOSE(CONTROL!$C$32, $C$9, 100%, $E$9)</f>
        <v>3.0423</v>
      </c>
      <c r="D59" s="80">
        <f>3.0459 * CHOOSE(CONTROL!$C$32, $C$9, 100%, $E$9)</f>
        <v>3.0459000000000001</v>
      </c>
      <c r="E59" s="81">
        <f>3.6178 * CHOOSE(CONTROL!$C$32, $C$9, 100%, $E$9)</f>
        <v>3.6177999999999999</v>
      </c>
      <c r="F59" s="81">
        <f>3.6178 * CHOOSE(CONTROL!$C$32, $C$9, 100%, $E$9)</f>
        <v>3.6177999999999999</v>
      </c>
      <c r="G59" s="81">
        <f>3.6221 * CHOOSE(CONTROL!$C$32, $C$9, 100%, $E$9)</f>
        <v>3.6221000000000001</v>
      </c>
      <c r="H59" s="81">
        <f>6.3882 * CHOOSE(CONTROL!$C$32, $C$9, 100%, $E$9)</f>
        <v>6.3882000000000003</v>
      </c>
      <c r="I59" s="81">
        <f>6.3926 * CHOOSE(CONTROL!$C$32, $C$9, 100%, $E$9)</f>
        <v>6.3925999999999998</v>
      </c>
      <c r="J59" s="81">
        <f>6.3882 * CHOOSE(CONTROL!$C$32, $C$9, 100%, $E$9)</f>
        <v>6.3882000000000003</v>
      </c>
      <c r="K59" s="81">
        <f>6.3926 * CHOOSE(CONTROL!$C$32, $C$9, 100%, $E$9)</f>
        <v>6.3925999999999998</v>
      </c>
      <c r="L59" s="81">
        <f>3.6178 * CHOOSE(CONTROL!$C$32, $C$9, 100%, $E$9)</f>
        <v>3.6177999999999999</v>
      </c>
      <c r="M59" s="81">
        <f>3.6221 * CHOOSE(CONTROL!$C$32, $C$9, 100%, $E$9)</f>
        <v>3.6221000000000001</v>
      </c>
      <c r="N59" s="81">
        <f>3.6178 * CHOOSE(CONTROL!$C$32, $C$9, 100%, $E$9)</f>
        <v>3.6177999999999999</v>
      </c>
      <c r="O59" s="81">
        <f>3.6221 * CHOOSE(CONTROL!$C$32, $C$9, 100%, $E$9)</f>
        <v>3.6221000000000001</v>
      </c>
      <c r="P59" s="10"/>
      <c r="Q59" s="10"/>
      <c r="R59" s="10"/>
    </row>
    <row r="60" spans="1:18" ht="15">
      <c r="A60" s="16">
        <v>43040</v>
      </c>
      <c r="B60" s="80">
        <f>3.0454 * CHOOSE(CONTROL!$C$32, $C$9, 100%, $E$9)</f>
        <v>3.0453999999999999</v>
      </c>
      <c r="C60" s="80">
        <f>3.0454 * CHOOSE(CONTROL!$C$32, $C$9, 100%, $E$9)</f>
        <v>3.0453999999999999</v>
      </c>
      <c r="D60" s="80">
        <f>3.0489 * CHOOSE(CONTROL!$C$32, $C$9, 100%, $E$9)</f>
        <v>3.0489000000000002</v>
      </c>
      <c r="E60" s="81">
        <f>3.6259 * CHOOSE(CONTROL!$C$32, $C$9, 100%, $E$9)</f>
        <v>3.6259000000000001</v>
      </c>
      <c r="F60" s="81">
        <f>3.6259 * CHOOSE(CONTROL!$C$32, $C$9, 100%, $E$9)</f>
        <v>3.6259000000000001</v>
      </c>
      <c r="G60" s="81">
        <f>3.6303 * CHOOSE(CONTROL!$C$32, $C$9, 100%, $E$9)</f>
        <v>3.6303000000000001</v>
      </c>
      <c r="H60" s="81">
        <f>6.4015 * CHOOSE(CONTROL!$C$32, $C$9, 100%, $E$9)</f>
        <v>6.4015000000000004</v>
      </c>
      <c r="I60" s="81">
        <f>6.4059 * CHOOSE(CONTROL!$C$32, $C$9, 100%, $E$9)</f>
        <v>6.4058999999999999</v>
      </c>
      <c r="J60" s="81">
        <f>6.4015 * CHOOSE(CONTROL!$C$32, $C$9, 100%, $E$9)</f>
        <v>6.4015000000000004</v>
      </c>
      <c r="K60" s="81">
        <f>6.4059 * CHOOSE(CONTROL!$C$32, $C$9, 100%, $E$9)</f>
        <v>6.4058999999999999</v>
      </c>
      <c r="L60" s="81">
        <f>3.6259 * CHOOSE(CONTROL!$C$32, $C$9, 100%, $E$9)</f>
        <v>3.6259000000000001</v>
      </c>
      <c r="M60" s="81">
        <f>3.6303 * CHOOSE(CONTROL!$C$32, $C$9, 100%, $E$9)</f>
        <v>3.6303000000000001</v>
      </c>
      <c r="N60" s="81">
        <f>3.6259 * CHOOSE(CONTROL!$C$32, $C$9, 100%, $E$9)</f>
        <v>3.6259000000000001</v>
      </c>
      <c r="O60" s="81">
        <f>3.6303 * CHOOSE(CONTROL!$C$32, $C$9, 100%, $E$9)</f>
        <v>3.6303000000000001</v>
      </c>
      <c r="P60" s="10"/>
      <c r="Q60" s="10"/>
      <c r="R60" s="10"/>
    </row>
    <row r="61" spans="1:18" ht="15">
      <c r="A61" s="16">
        <v>43070</v>
      </c>
      <c r="B61" s="80">
        <f>3.0454 * CHOOSE(CONTROL!$C$32, $C$9, 100%, $E$9)</f>
        <v>3.0453999999999999</v>
      </c>
      <c r="C61" s="80">
        <f>3.0454 * CHOOSE(CONTROL!$C$32, $C$9, 100%, $E$9)</f>
        <v>3.0453999999999999</v>
      </c>
      <c r="D61" s="80">
        <f>3.0489 * CHOOSE(CONTROL!$C$32, $C$9, 100%, $E$9)</f>
        <v>3.0489000000000002</v>
      </c>
      <c r="E61" s="81">
        <f>3.6108 * CHOOSE(CONTROL!$C$32, $C$9, 100%, $E$9)</f>
        <v>3.6107999999999998</v>
      </c>
      <c r="F61" s="81">
        <f>3.6108 * CHOOSE(CONTROL!$C$32, $C$9, 100%, $E$9)</f>
        <v>3.6107999999999998</v>
      </c>
      <c r="G61" s="81">
        <f>3.6152 * CHOOSE(CONTROL!$C$32, $C$9, 100%, $E$9)</f>
        <v>3.6152000000000002</v>
      </c>
      <c r="H61" s="81">
        <f>6.4148 * CHOOSE(CONTROL!$C$32, $C$9, 100%, $E$9)</f>
        <v>6.4147999999999996</v>
      </c>
      <c r="I61" s="81">
        <f>6.4192 * CHOOSE(CONTROL!$C$32, $C$9, 100%, $E$9)</f>
        <v>6.4192</v>
      </c>
      <c r="J61" s="81">
        <f>6.4148 * CHOOSE(CONTROL!$C$32, $C$9, 100%, $E$9)</f>
        <v>6.4147999999999996</v>
      </c>
      <c r="K61" s="81">
        <f>6.4192 * CHOOSE(CONTROL!$C$32, $C$9, 100%, $E$9)</f>
        <v>6.4192</v>
      </c>
      <c r="L61" s="81">
        <f>3.6108 * CHOOSE(CONTROL!$C$32, $C$9, 100%, $E$9)</f>
        <v>3.6107999999999998</v>
      </c>
      <c r="M61" s="81">
        <f>3.6152 * CHOOSE(CONTROL!$C$32, $C$9, 100%, $E$9)</f>
        <v>3.6152000000000002</v>
      </c>
      <c r="N61" s="81">
        <f>3.6108 * CHOOSE(CONTROL!$C$32, $C$9, 100%, $E$9)</f>
        <v>3.6107999999999998</v>
      </c>
      <c r="O61" s="81">
        <f>3.6152 * CHOOSE(CONTROL!$C$32, $C$9, 100%, $E$9)</f>
        <v>3.6152000000000002</v>
      </c>
      <c r="P61" s="10"/>
      <c r="Q61" s="10"/>
      <c r="R61" s="10"/>
    </row>
    <row r="62" spans="1:18" ht="15">
      <c r="A62" s="16">
        <v>43101</v>
      </c>
      <c r="B62" s="80">
        <f>3.0799 * CHOOSE(CONTROL!$C$32, $C$9, 100%, $E$9)</f>
        <v>3.0798999999999999</v>
      </c>
      <c r="C62" s="80">
        <f>3.0799 * CHOOSE(CONTROL!$C$32, $C$9, 100%, $E$9)</f>
        <v>3.0798999999999999</v>
      </c>
      <c r="D62" s="80">
        <f>3.0835 * CHOOSE(CONTROL!$C$32, $C$9, 100%, $E$9)</f>
        <v>3.0834999999999999</v>
      </c>
      <c r="E62" s="81">
        <f>3.7211 * CHOOSE(CONTROL!$C$32, $C$9, 100%, $E$9)</f>
        <v>3.7210999999999999</v>
      </c>
      <c r="F62" s="81">
        <f>3.7211 * CHOOSE(CONTROL!$C$32, $C$9, 100%, $E$9)</f>
        <v>3.7210999999999999</v>
      </c>
      <c r="G62" s="81">
        <f>3.7255 * CHOOSE(CONTROL!$C$32, $C$9, 100%, $E$9)</f>
        <v>3.7254999999999998</v>
      </c>
      <c r="H62" s="81">
        <f>6.4282 * CHOOSE(CONTROL!$C$32, $C$9, 100%, $E$9)</f>
        <v>6.4282000000000004</v>
      </c>
      <c r="I62" s="81">
        <f>6.4326 * CHOOSE(CONTROL!$C$32, $C$9, 100%, $E$9)</f>
        <v>6.4325999999999999</v>
      </c>
      <c r="J62" s="81">
        <f>6.4282 * CHOOSE(CONTROL!$C$32, $C$9, 100%, $E$9)</f>
        <v>6.4282000000000004</v>
      </c>
      <c r="K62" s="81">
        <f>6.4326 * CHOOSE(CONTROL!$C$32, $C$9, 100%, $E$9)</f>
        <v>6.4325999999999999</v>
      </c>
      <c r="L62" s="81">
        <f>3.7211 * CHOOSE(CONTROL!$C$32, $C$9, 100%, $E$9)</f>
        <v>3.7210999999999999</v>
      </c>
      <c r="M62" s="81">
        <f>3.7255 * CHOOSE(CONTROL!$C$32, $C$9, 100%, $E$9)</f>
        <v>3.7254999999999998</v>
      </c>
      <c r="N62" s="81">
        <f>3.7211 * CHOOSE(CONTROL!$C$32, $C$9, 100%, $E$9)</f>
        <v>3.7210999999999999</v>
      </c>
      <c r="O62" s="81">
        <f>3.7255 * CHOOSE(CONTROL!$C$32, $C$9, 100%, $E$9)</f>
        <v>3.7254999999999998</v>
      </c>
      <c r="P62" s="10"/>
      <c r="Q62" s="10"/>
      <c r="R62" s="10"/>
    </row>
    <row r="63" spans="1:18" ht="15">
      <c r="A63" s="16">
        <v>43132</v>
      </c>
      <c r="B63" s="80">
        <f>3.0769 * CHOOSE(CONTROL!$C$32, $C$9, 100%, $E$9)</f>
        <v>3.0769000000000002</v>
      </c>
      <c r="C63" s="80">
        <f>3.0769 * CHOOSE(CONTROL!$C$32, $C$9, 100%, $E$9)</f>
        <v>3.0769000000000002</v>
      </c>
      <c r="D63" s="80">
        <f>3.0804 * CHOOSE(CONTROL!$C$32, $C$9, 100%, $E$9)</f>
        <v>3.0804</v>
      </c>
      <c r="E63" s="81">
        <f>3.6823 * CHOOSE(CONTROL!$C$32, $C$9, 100%, $E$9)</f>
        <v>3.6823000000000001</v>
      </c>
      <c r="F63" s="81">
        <f>3.6823 * CHOOSE(CONTROL!$C$32, $C$9, 100%, $E$9)</f>
        <v>3.6823000000000001</v>
      </c>
      <c r="G63" s="81">
        <f>3.6866 * CHOOSE(CONTROL!$C$32, $C$9, 100%, $E$9)</f>
        <v>3.6865999999999999</v>
      </c>
      <c r="H63" s="81">
        <f>6.4416 * CHOOSE(CONTROL!$C$32, $C$9, 100%, $E$9)</f>
        <v>6.4416000000000002</v>
      </c>
      <c r="I63" s="81">
        <f>6.446 * CHOOSE(CONTROL!$C$32, $C$9, 100%, $E$9)</f>
        <v>6.4459999999999997</v>
      </c>
      <c r="J63" s="81">
        <f>6.4416 * CHOOSE(CONTROL!$C$32, $C$9, 100%, $E$9)</f>
        <v>6.4416000000000002</v>
      </c>
      <c r="K63" s="81">
        <f>6.446 * CHOOSE(CONTROL!$C$32, $C$9, 100%, $E$9)</f>
        <v>6.4459999999999997</v>
      </c>
      <c r="L63" s="81">
        <f>3.6823 * CHOOSE(CONTROL!$C$32, $C$9, 100%, $E$9)</f>
        <v>3.6823000000000001</v>
      </c>
      <c r="M63" s="81">
        <f>3.6866 * CHOOSE(CONTROL!$C$32, $C$9, 100%, $E$9)</f>
        <v>3.6865999999999999</v>
      </c>
      <c r="N63" s="81">
        <f>3.6823 * CHOOSE(CONTROL!$C$32, $C$9, 100%, $E$9)</f>
        <v>3.6823000000000001</v>
      </c>
      <c r="O63" s="81">
        <f>3.6866 * CHOOSE(CONTROL!$C$32, $C$9, 100%, $E$9)</f>
        <v>3.6865999999999999</v>
      </c>
      <c r="P63" s="10"/>
      <c r="Q63" s="10"/>
      <c r="R63" s="10"/>
    </row>
    <row r="64" spans="1:18" ht="15">
      <c r="A64" s="16">
        <v>43160</v>
      </c>
      <c r="B64" s="80">
        <f>3.0739 * CHOOSE(CONTROL!$C$32, $C$9, 100%, $E$9)</f>
        <v>3.0739000000000001</v>
      </c>
      <c r="C64" s="80">
        <f>3.0739 * CHOOSE(CONTROL!$C$32, $C$9, 100%, $E$9)</f>
        <v>3.0739000000000001</v>
      </c>
      <c r="D64" s="80">
        <f>3.0774 * CHOOSE(CONTROL!$C$32, $C$9, 100%, $E$9)</f>
        <v>3.0773999999999999</v>
      </c>
      <c r="E64" s="81">
        <f>3.7091 * CHOOSE(CONTROL!$C$32, $C$9, 100%, $E$9)</f>
        <v>3.7090999999999998</v>
      </c>
      <c r="F64" s="81">
        <f>3.7091 * CHOOSE(CONTROL!$C$32, $C$9, 100%, $E$9)</f>
        <v>3.7090999999999998</v>
      </c>
      <c r="G64" s="81">
        <f>3.7134 * CHOOSE(CONTROL!$C$32, $C$9, 100%, $E$9)</f>
        <v>3.7134</v>
      </c>
      <c r="H64" s="81">
        <f>6.455 * CHOOSE(CONTROL!$C$32, $C$9, 100%, $E$9)</f>
        <v>6.4550000000000001</v>
      </c>
      <c r="I64" s="81">
        <f>6.4594 * CHOOSE(CONTROL!$C$32, $C$9, 100%, $E$9)</f>
        <v>6.4593999999999996</v>
      </c>
      <c r="J64" s="81">
        <f>6.455 * CHOOSE(CONTROL!$C$32, $C$9, 100%, $E$9)</f>
        <v>6.4550000000000001</v>
      </c>
      <c r="K64" s="81">
        <f>6.4594 * CHOOSE(CONTROL!$C$32, $C$9, 100%, $E$9)</f>
        <v>6.4593999999999996</v>
      </c>
      <c r="L64" s="81">
        <f>3.7091 * CHOOSE(CONTROL!$C$32, $C$9, 100%, $E$9)</f>
        <v>3.7090999999999998</v>
      </c>
      <c r="M64" s="81">
        <f>3.7134 * CHOOSE(CONTROL!$C$32, $C$9, 100%, $E$9)</f>
        <v>3.7134</v>
      </c>
      <c r="N64" s="81">
        <f>3.7091 * CHOOSE(CONTROL!$C$32, $C$9, 100%, $E$9)</f>
        <v>3.7090999999999998</v>
      </c>
      <c r="O64" s="81">
        <f>3.7134 * CHOOSE(CONTROL!$C$32, $C$9, 100%, $E$9)</f>
        <v>3.7134</v>
      </c>
      <c r="P64" s="10"/>
      <c r="Q64" s="10"/>
      <c r="R64" s="10"/>
    </row>
    <row r="65" spans="1:18" ht="15">
      <c r="A65" s="16">
        <v>43191</v>
      </c>
      <c r="B65" s="80">
        <f>3.0705 * CHOOSE(CONTROL!$C$32, $C$9, 100%, $E$9)</f>
        <v>3.0705</v>
      </c>
      <c r="C65" s="80">
        <f>3.0705 * CHOOSE(CONTROL!$C$32, $C$9, 100%, $E$9)</f>
        <v>3.0705</v>
      </c>
      <c r="D65" s="80">
        <f>3.0741 * CHOOSE(CONTROL!$C$32, $C$9, 100%, $E$9)</f>
        <v>3.0741000000000001</v>
      </c>
      <c r="E65" s="81">
        <f>3.7359 * CHOOSE(CONTROL!$C$32, $C$9, 100%, $E$9)</f>
        <v>3.7359</v>
      </c>
      <c r="F65" s="81">
        <f>3.7359 * CHOOSE(CONTROL!$C$32, $C$9, 100%, $E$9)</f>
        <v>3.7359</v>
      </c>
      <c r="G65" s="81">
        <f>3.7403 * CHOOSE(CONTROL!$C$32, $C$9, 100%, $E$9)</f>
        <v>3.7403</v>
      </c>
      <c r="H65" s="81">
        <f>6.4685 * CHOOSE(CONTROL!$C$32, $C$9, 100%, $E$9)</f>
        <v>6.4684999999999997</v>
      </c>
      <c r="I65" s="81">
        <f>6.4728 * CHOOSE(CONTROL!$C$32, $C$9, 100%, $E$9)</f>
        <v>6.4728000000000003</v>
      </c>
      <c r="J65" s="81">
        <f>6.4685 * CHOOSE(CONTROL!$C$32, $C$9, 100%, $E$9)</f>
        <v>6.4684999999999997</v>
      </c>
      <c r="K65" s="81">
        <f>6.4728 * CHOOSE(CONTROL!$C$32, $C$9, 100%, $E$9)</f>
        <v>6.4728000000000003</v>
      </c>
      <c r="L65" s="81">
        <f>3.7359 * CHOOSE(CONTROL!$C$32, $C$9, 100%, $E$9)</f>
        <v>3.7359</v>
      </c>
      <c r="M65" s="81">
        <f>3.7403 * CHOOSE(CONTROL!$C$32, $C$9, 100%, $E$9)</f>
        <v>3.7403</v>
      </c>
      <c r="N65" s="81">
        <f>3.7359 * CHOOSE(CONTROL!$C$32, $C$9, 100%, $E$9)</f>
        <v>3.7359</v>
      </c>
      <c r="O65" s="81">
        <f>3.7403 * CHOOSE(CONTROL!$C$32, $C$9, 100%, $E$9)</f>
        <v>3.7403</v>
      </c>
      <c r="P65" s="10"/>
      <c r="Q65" s="10"/>
      <c r="R65" s="10"/>
    </row>
    <row r="66" spans="1:18" ht="15">
      <c r="A66" s="16">
        <v>43221</v>
      </c>
      <c r="B66" s="80">
        <f>3.0705 * CHOOSE(CONTROL!$C$32, $C$9, 100%, $E$9)</f>
        <v>3.0705</v>
      </c>
      <c r="C66" s="80">
        <f>3.0705 * CHOOSE(CONTROL!$C$32, $C$9, 100%, $E$9)</f>
        <v>3.0705</v>
      </c>
      <c r="D66" s="80">
        <f>3.0757 * CHOOSE(CONTROL!$C$32, $C$9, 100%, $E$9)</f>
        <v>3.0756999999999999</v>
      </c>
      <c r="E66" s="81">
        <f>3.7476 * CHOOSE(CONTROL!$C$32, $C$9, 100%, $E$9)</f>
        <v>3.7475999999999998</v>
      </c>
      <c r="F66" s="81">
        <f>3.7476 * CHOOSE(CONTROL!$C$32, $C$9, 100%, $E$9)</f>
        <v>3.7475999999999998</v>
      </c>
      <c r="G66" s="81">
        <f>3.7539 * CHOOSE(CONTROL!$C$32, $C$9, 100%, $E$9)</f>
        <v>3.7538999999999998</v>
      </c>
      <c r="H66" s="81">
        <f>6.482 * CHOOSE(CONTROL!$C$32, $C$9, 100%, $E$9)</f>
        <v>6.4820000000000002</v>
      </c>
      <c r="I66" s="81">
        <f>6.4883 * CHOOSE(CONTROL!$C$32, $C$9, 100%, $E$9)</f>
        <v>6.4882999999999997</v>
      </c>
      <c r="J66" s="81">
        <f>6.482 * CHOOSE(CONTROL!$C$32, $C$9, 100%, $E$9)</f>
        <v>6.4820000000000002</v>
      </c>
      <c r="K66" s="81">
        <f>6.4883 * CHOOSE(CONTROL!$C$32, $C$9, 100%, $E$9)</f>
        <v>6.4882999999999997</v>
      </c>
      <c r="L66" s="81">
        <f>3.7476 * CHOOSE(CONTROL!$C$32, $C$9, 100%, $E$9)</f>
        <v>3.7475999999999998</v>
      </c>
      <c r="M66" s="81">
        <f>3.7539 * CHOOSE(CONTROL!$C$32, $C$9, 100%, $E$9)</f>
        <v>3.7538999999999998</v>
      </c>
      <c r="N66" s="81">
        <f>3.7476 * CHOOSE(CONTROL!$C$32, $C$9, 100%, $E$9)</f>
        <v>3.7475999999999998</v>
      </c>
      <c r="O66" s="81">
        <f>3.7539 * CHOOSE(CONTROL!$C$32, $C$9, 100%, $E$9)</f>
        <v>3.7538999999999998</v>
      </c>
      <c r="P66" s="10"/>
      <c r="Q66" s="10"/>
      <c r="R66" s="10"/>
    </row>
    <row r="67" spans="1:18" ht="15">
      <c r="A67" s="16">
        <v>43252</v>
      </c>
      <c r="B67" s="80">
        <f>3.0766 * CHOOSE(CONTROL!$C$32, $C$9, 100%, $E$9)</f>
        <v>3.0766</v>
      </c>
      <c r="C67" s="80">
        <f>3.0766 * CHOOSE(CONTROL!$C$32, $C$9, 100%, $E$9)</f>
        <v>3.0766</v>
      </c>
      <c r="D67" s="80">
        <f>3.0818 * CHOOSE(CONTROL!$C$32, $C$9, 100%, $E$9)</f>
        <v>3.0817999999999999</v>
      </c>
      <c r="E67" s="81">
        <f>3.7402 * CHOOSE(CONTROL!$C$32, $C$9, 100%, $E$9)</f>
        <v>3.7402000000000002</v>
      </c>
      <c r="F67" s="81">
        <f>3.7402 * CHOOSE(CONTROL!$C$32, $C$9, 100%, $E$9)</f>
        <v>3.7402000000000002</v>
      </c>
      <c r="G67" s="81">
        <f>3.7465 * CHOOSE(CONTROL!$C$32, $C$9, 100%, $E$9)</f>
        <v>3.7465000000000002</v>
      </c>
      <c r="H67" s="81">
        <f>6.4955 * CHOOSE(CONTROL!$C$32, $C$9, 100%, $E$9)</f>
        <v>6.4954999999999998</v>
      </c>
      <c r="I67" s="81">
        <f>6.5018 * CHOOSE(CONTROL!$C$32, $C$9, 100%, $E$9)</f>
        <v>6.5018000000000002</v>
      </c>
      <c r="J67" s="81">
        <f>6.4955 * CHOOSE(CONTROL!$C$32, $C$9, 100%, $E$9)</f>
        <v>6.4954999999999998</v>
      </c>
      <c r="K67" s="81">
        <f>6.5018 * CHOOSE(CONTROL!$C$32, $C$9, 100%, $E$9)</f>
        <v>6.5018000000000002</v>
      </c>
      <c r="L67" s="81">
        <f>3.7402 * CHOOSE(CONTROL!$C$32, $C$9, 100%, $E$9)</f>
        <v>3.7402000000000002</v>
      </c>
      <c r="M67" s="81">
        <f>3.7465 * CHOOSE(CONTROL!$C$32, $C$9, 100%, $E$9)</f>
        <v>3.7465000000000002</v>
      </c>
      <c r="N67" s="81">
        <f>3.7402 * CHOOSE(CONTROL!$C$32, $C$9, 100%, $E$9)</f>
        <v>3.7402000000000002</v>
      </c>
      <c r="O67" s="81">
        <f>3.7465 * CHOOSE(CONTROL!$C$32, $C$9, 100%, $E$9)</f>
        <v>3.7465000000000002</v>
      </c>
      <c r="P67" s="10"/>
      <c r="Q67" s="10"/>
      <c r="R67" s="10"/>
    </row>
    <row r="68" spans="1:18" ht="15">
      <c r="A68" s="16">
        <v>43282</v>
      </c>
      <c r="B68" s="80">
        <f>3.1468 * CHOOSE(CONTROL!$C$32, $C$9, 100%, $E$9)</f>
        <v>3.1467999999999998</v>
      </c>
      <c r="C68" s="80">
        <f>3.1468 * CHOOSE(CONTROL!$C$32, $C$9, 100%, $E$9)</f>
        <v>3.1467999999999998</v>
      </c>
      <c r="D68" s="80">
        <f>3.152 * CHOOSE(CONTROL!$C$32, $C$9, 100%, $E$9)</f>
        <v>3.1520000000000001</v>
      </c>
      <c r="E68" s="81">
        <f>3.7912 * CHOOSE(CONTROL!$C$32, $C$9, 100%, $E$9)</f>
        <v>3.7911999999999999</v>
      </c>
      <c r="F68" s="81">
        <f>3.7912 * CHOOSE(CONTROL!$C$32, $C$9, 100%, $E$9)</f>
        <v>3.7911999999999999</v>
      </c>
      <c r="G68" s="81">
        <f>3.7976 * CHOOSE(CONTROL!$C$32, $C$9, 100%, $E$9)</f>
        <v>3.7976000000000001</v>
      </c>
      <c r="H68" s="81">
        <f>6.509 * CHOOSE(CONTROL!$C$32, $C$9, 100%, $E$9)</f>
        <v>6.5090000000000003</v>
      </c>
      <c r="I68" s="81">
        <f>6.5153 * CHOOSE(CONTROL!$C$32, $C$9, 100%, $E$9)</f>
        <v>6.5152999999999999</v>
      </c>
      <c r="J68" s="81">
        <f>6.509 * CHOOSE(CONTROL!$C$32, $C$9, 100%, $E$9)</f>
        <v>6.5090000000000003</v>
      </c>
      <c r="K68" s="81">
        <f>6.5153 * CHOOSE(CONTROL!$C$32, $C$9, 100%, $E$9)</f>
        <v>6.5152999999999999</v>
      </c>
      <c r="L68" s="81">
        <f>3.7912 * CHOOSE(CONTROL!$C$32, $C$9, 100%, $E$9)</f>
        <v>3.7911999999999999</v>
      </c>
      <c r="M68" s="81">
        <f>3.7976 * CHOOSE(CONTROL!$C$32, $C$9, 100%, $E$9)</f>
        <v>3.7976000000000001</v>
      </c>
      <c r="N68" s="81">
        <f>3.7912 * CHOOSE(CONTROL!$C$32, $C$9, 100%, $E$9)</f>
        <v>3.7911999999999999</v>
      </c>
      <c r="O68" s="81">
        <f>3.7976 * CHOOSE(CONTROL!$C$32, $C$9, 100%, $E$9)</f>
        <v>3.7976000000000001</v>
      </c>
      <c r="P68" s="10"/>
      <c r="Q68" s="10"/>
      <c r="R68" s="10"/>
    </row>
    <row r="69" spans="1:18" ht="15">
      <c r="A69" s="16">
        <v>43313</v>
      </c>
      <c r="B69" s="80">
        <f>3.1535 * CHOOSE(CONTROL!$C$32, $C$9, 100%, $E$9)</f>
        <v>3.1535000000000002</v>
      </c>
      <c r="C69" s="80">
        <f>3.1535 * CHOOSE(CONTROL!$C$32, $C$9, 100%, $E$9)</f>
        <v>3.1535000000000002</v>
      </c>
      <c r="D69" s="80">
        <f>3.1587 * CHOOSE(CONTROL!$C$32, $C$9, 100%, $E$9)</f>
        <v>3.1587000000000001</v>
      </c>
      <c r="E69" s="81">
        <f>3.7609 * CHOOSE(CONTROL!$C$32, $C$9, 100%, $E$9)</f>
        <v>3.7608999999999999</v>
      </c>
      <c r="F69" s="81">
        <f>3.7609 * CHOOSE(CONTROL!$C$32, $C$9, 100%, $E$9)</f>
        <v>3.7608999999999999</v>
      </c>
      <c r="G69" s="81">
        <f>3.7673 * CHOOSE(CONTROL!$C$32, $C$9, 100%, $E$9)</f>
        <v>3.7673000000000001</v>
      </c>
      <c r="H69" s="81">
        <f>6.5225 * CHOOSE(CONTROL!$C$32, $C$9, 100%, $E$9)</f>
        <v>6.5225</v>
      </c>
      <c r="I69" s="81">
        <f>6.5289 * CHOOSE(CONTROL!$C$32, $C$9, 100%, $E$9)</f>
        <v>6.5289000000000001</v>
      </c>
      <c r="J69" s="81">
        <f>6.5225 * CHOOSE(CONTROL!$C$32, $C$9, 100%, $E$9)</f>
        <v>6.5225</v>
      </c>
      <c r="K69" s="81">
        <f>6.5289 * CHOOSE(CONTROL!$C$32, $C$9, 100%, $E$9)</f>
        <v>6.5289000000000001</v>
      </c>
      <c r="L69" s="81">
        <f>3.7609 * CHOOSE(CONTROL!$C$32, $C$9, 100%, $E$9)</f>
        <v>3.7608999999999999</v>
      </c>
      <c r="M69" s="81">
        <f>3.7673 * CHOOSE(CONTROL!$C$32, $C$9, 100%, $E$9)</f>
        <v>3.7673000000000001</v>
      </c>
      <c r="N69" s="81">
        <f>3.7609 * CHOOSE(CONTROL!$C$32, $C$9, 100%, $E$9)</f>
        <v>3.7608999999999999</v>
      </c>
      <c r="O69" s="81">
        <f>3.7673 * CHOOSE(CONTROL!$C$32, $C$9, 100%, $E$9)</f>
        <v>3.7673000000000001</v>
      </c>
      <c r="P69" s="10"/>
      <c r="Q69" s="10"/>
      <c r="R69" s="10"/>
    </row>
    <row r="70" spans="1:18" ht="15">
      <c r="A70" s="16">
        <v>43344</v>
      </c>
      <c r="B70" s="80">
        <f>3.1505 * CHOOSE(CONTROL!$C$32, $C$9, 100%, $E$9)</f>
        <v>3.1505000000000001</v>
      </c>
      <c r="C70" s="80">
        <f>3.1505 * CHOOSE(CONTROL!$C$32, $C$9, 100%, $E$9)</f>
        <v>3.1505000000000001</v>
      </c>
      <c r="D70" s="80">
        <f>3.1556 * CHOOSE(CONTROL!$C$32, $C$9, 100%, $E$9)</f>
        <v>3.1556000000000002</v>
      </c>
      <c r="E70" s="81">
        <f>3.7549 * CHOOSE(CONTROL!$C$32, $C$9, 100%, $E$9)</f>
        <v>3.7549000000000001</v>
      </c>
      <c r="F70" s="81">
        <f>3.7549 * CHOOSE(CONTROL!$C$32, $C$9, 100%, $E$9)</f>
        <v>3.7549000000000001</v>
      </c>
      <c r="G70" s="81">
        <f>3.7613 * CHOOSE(CONTROL!$C$32, $C$9, 100%, $E$9)</f>
        <v>3.7612999999999999</v>
      </c>
      <c r="H70" s="81">
        <f>6.5361 * CHOOSE(CONTROL!$C$32, $C$9, 100%, $E$9)</f>
        <v>6.5361000000000002</v>
      </c>
      <c r="I70" s="81">
        <f>6.5425 * CHOOSE(CONTROL!$C$32, $C$9, 100%, $E$9)</f>
        <v>6.5425000000000004</v>
      </c>
      <c r="J70" s="81">
        <f>6.5361 * CHOOSE(CONTROL!$C$32, $C$9, 100%, $E$9)</f>
        <v>6.5361000000000002</v>
      </c>
      <c r="K70" s="81">
        <f>6.5425 * CHOOSE(CONTROL!$C$32, $C$9, 100%, $E$9)</f>
        <v>6.5425000000000004</v>
      </c>
      <c r="L70" s="81">
        <f>3.7549 * CHOOSE(CONTROL!$C$32, $C$9, 100%, $E$9)</f>
        <v>3.7549000000000001</v>
      </c>
      <c r="M70" s="81">
        <f>3.7613 * CHOOSE(CONTROL!$C$32, $C$9, 100%, $E$9)</f>
        <v>3.7612999999999999</v>
      </c>
      <c r="N70" s="81">
        <f>3.7549 * CHOOSE(CONTROL!$C$32, $C$9, 100%, $E$9)</f>
        <v>3.7549000000000001</v>
      </c>
      <c r="O70" s="81">
        <f>3.7613 * CHOOSE(CONTROL!$C$32, $C$9, 100%, $E$9)</f>
        <v>3.7612999999999999</v>
      </c>
      <c r="P70" s="10"/>
      <c r="Q70" s="10"/>
      <c r="R70" s="10"/>
    </row>
    <row r="71" spans="1:18" ht="15">
      <c r="A71" s="16">
        <v>43374</v>
      </c>
      <c r="B71" s="80">
        <f>3.1419 * CHOOSE(CONTROL!$C$32, $C$9, 100%, $E$9)</f>
        <v>3.1419000000000001</v>
      </c>
      <c r="C71" s="80">
        <f>3.1419 * CHOOSE(CONTROL!$C$32, $C$9, 100%, $E$9)</f>
        <v>3.1419000000000001</v>
      </c>
      <c r="D71" s="80">
        <f>3.1454 * CHOOSE(CONTROL!$C$32, $C$9, 100%, $E$9)</f>
        <v>3.1454</v>
      </c>
      <c r="E71" s="81">
        <f>3.7571 * CHOOSE(CONTROL!$C$32, $C$9, 100%, $E$9)</f>
        <v>3.7570999999999999</v>
      </c>
      <c r="F71" s="81">
        <f>3.7571 * CHOOSE(CONTROL!$C$32, $C$9, 100%, $E$9)</f>
        <v>3.7570999999999999</v>
      </c>
      <c r="G71" s="81">
        <f>3.7614 * CHOOSE(CONTROL!$C$32, $C$9, 100%, $E$9)</f>
        <v>3.7614000000000001</v>
      </c>
      <c r="H71" s="81">
        <f>6.5498 * CHOOSE(CONTROL!$C$32, $C$9, 100%, $E$9)</f>
        <v>6.5498000000000003</v>
      </c>
      <c r="I71" s="81">
        <f>6.5541 * CHOOSE(CONTROL!$C$32, $C$9, 100%, $E$9)</f>
        <v>6.5541</v>
      </c>
      <c r="J71" s="81">
        <f>6.5498 * CHOOSE(CONTROL!$C$32, $C$9, 100%, $E$9)</f>
        <v>6.5498000000000003</v>
      </c>
      <c r="K71" s="81">
        <f>6.5541 * CHOOSE(CONTROL!$C$32, $C$9, 100%, $E$9)</f>
        <v>6.5541</v>
      </c>
      <c r="L71" s="81">
        <f>3.7571 * CHOOSE(CONTROL!$C$32, $C$9, 100%, $E$9)</f>
        <v>3.7570999999999999</v>
      </c>
      <c r="M71" s="81">
        <f>3.7614 * CHOOSE(CONTROL!$C$32, $C$9, 100%, $E$9)</f>
        <v>3.7614000000000001</v>
      </c>
      <c r="N71" s="81">
        <f>3.7571 * CHOOSE(CONTROL!$C$32, $C$9, 100%, $E$9)</f>
        <v>3.7570999999999999</v>
      </c>
      <c r="O71" s="81">
        <f>3.7614 * CHOOSE(CONTROL!$C$32, $C$9, 100%, $E$9)</f>
        <v>3.7614000000000001</v>
      </c>
      <c r="P71" s="10"/>
      <c r="Q71" s="10"/>
      <c r="R71" s="10"/>
    </row>
    <row r="72" spans="1:18" ht="15">
      <c r="A72" s="16">
        <v>43405</v>
      </c>
      <c r="B72" s="80">
        <f>3.1449 * CHOOSE(CONTROL!$C$32, $C$9, 100%, $E$9)</f>
        <v>3.1448999999999998</v>
      </c>
      <c r="C72" s="80">
        <f>3.1449 * CHOOSE(CONTROL!$C$32, $C$9, 100%, $E$9)</f>
        <v>3.1448999999999998</v>
      </c>
      <c r="D72" s="80">
        <f>3.1485 * CHOOSE(CONTROL!$C$32, $C$9, 100%, $E$9)</f>
        <v>3.1484999999999999</v>
      </c>
      <c r="E72" s="81">
        <f>3.767 * CHOOSE(CONTROL!$C$32, $C$9, 100%, $E$9)</f>
        <v>3.7669999999999999</v>
      </c>
      <c r="F72" s="81">
        <f>3.767 * CHOOSE(CONTROL!$C$32, $C$9, 100%, $E$9)</f>
        <v>3.7669999999999999</v>
      </c>
      <c r="G72" s="81">
        <f>3.7713 * CHOOSE(CONTROL!$C$32, $C$9, 100%, $E$9)</f>
        <v>3.7713000000000001</v>
      </c>
      <c r="H72" s="81">
        <f>6.5634 * CHOOSE(CONTROL!$C$32, $C$9, 100%, $E$9)</f>
        <v>6.5633999999999997</v>
      </c>
      <c r="I72" s="81">
        <f>6.5678 * CHOOSE(CONTROL!$C$32, $C$9, 100%, $E$9)</f>
        <v>6.5678000000000001</v>
      </c>
      <c r="J72" s="81">
        <f>6.5634 * CHOOSE(CONTROL!$C$32, $C$9, 100%, $E$9)</f>
        <v>6.5633999999999997</v>
      </c>
      <c r="K72" s="81">
        <f>6.5678 * CHOOSE(CONTROL!$C$32, $C$9, 100%, $E$9)</f>
        <v>6.5678000000000001</v>
      </c>
      <c r="L72" s="81">
        <f>3.767 * CHOOSE(CONTROL!$C$32, $C$9, 100%, $E$9)</f>
        <v>3.7669999999999999</v>
      </c>
      <c r="M72" s="81">
        <f>3.7713 * CHOOSE(CONTROL!$C$32, $C$9, 100%, $E$9)</f>
        <v>3.7713000000000001</v>
      </c>
      <c r="N72" s="81">
        <f>3.767 * CHOOSE(CONTROL!$C$32, $C$9, 100%, $E$9)</f>
        <v>3.7669999999999999</v>
      </c>
      <c r="O72" s="81">
        <f>3.7713 * CHOOSE(CONTROL!$C$32, $C$9, 100%, $E$9)</f>
        <v>3.7713000000000001</v>
      </c>
      <c r="P72" s="10"/>
      <c r="Q72" s="10"/>
      <c r="R72" s="10"/>
    </row>
    <row r="73" spans="1:18" ht="15">
      <c r="A73" s="16">
        <v>43435</v>
      </c>
      <c r="B73" s="80">
        <f>3.1449 * CHOOSE(CONTROL!$C$32, $C$9, 100%, $E$9)</f>
        <v>3.1448999999999998</v>
      </c>
      <c r="C73" s="80">
        <f>3.1449 * CHOOSE(CONTROL!$C$32, $C$9, 100%, $E$9)</f>
        <v>3.1448999999999998</v>
      </c>
      <c r="D73" s="80">
        <f>3.1485 * CHOOSE(CONTROL!$C$32, $C$9, 100%, $E$9)</f>
        <v>3.1484999999999999</v>
      </c>
      <c r="E73" s="81">
        <f>3.7475 * CHOOSE(CONTROL!$C$32, $C$9, 100%, $E$9)</f>
        <v>3.7475000000000001</v>
      </c>
      <c r="F73" s="81">
        <f>3.7475 * CHOOSE(CONTROL!$C$32, $C$9, 100%, $E$9)</f>
        <v>3.7475000000000001</v>
      </c>
      <c r="G73" s="81">
        <f>3.7519 * CHOOSE(CONTROL!$C$32, $C$9, 100%, $E$9)</f>
        <v>3.7519</v>
      </c>
      <c r="H73" s="81">
        <f>6.5771 * CHOOSE(CONTROL!$C$32, $C$9, 100%, $E$9)</f>
        <v>6.5770999999999997</v>
      </c>
      <c r="I73" s="81">
        <f>6.5814 * CHOOSE(CONTROL!$C$32, $C$9, 100%, $E$9)</f>
        <v>6.5814000000000004</v>
      </c>
      <c r="J73" s="81">
        <f>6.5771 * CHOOSE(CONTROL!$C$32, $C$9, 100%, $E$9)</f>
        <v>6.5770999999999997</v>
      </c>
      <c r="K73" s="81">
        <f>6.5814 * CHOOSE(CONTROL!$C$32, $C$9, 100%, $E$9)</f>
        <v>6.5814000000000004</v>
      </c>
      <c r="L73" s="81">
        <f>3.7475 * CHOOSE(CONTROL!$C$32, $C$9, 100%, $E$9)</f>
        <v>3.7475000000000001</v>
      </c>
      <c r="M73" s="81">
        <f>3.7519 * CHOOSE(CONTROL!$C$32, $C$9, 100%, $E$9)</f>
        <v>3.7519</v>
      </c>
      <c r="N73" s="81">
        <f>3.7475 * CHOOSE(CONTROL!$C$32, $C$9, 100%, $E$9)</f>
        <v>3.7475000000000001</v>
      </c>
      <c r="O73" s="81">
        <f>3.7519 * CHOOSE(CONTROL!$C$32, $C$9, 100%, $E$9)</f>
        <v>3.7519</v>
      </c>
      <c r="P73" s="10"/>
      <c r="Q73" s="10"/>
      <c r="R73" s="10"/>
    </row>
    <row r="74" spans="1:18" ht="15">
      <c r="A74" s="16">
        <v>43466</v>
      </c>
      <c r="B74" s="80">
        <f>3.1467 * CHOOSE(CONTROL!$C$32, $C$9, 100%, $E$9)</f>
        <v>3.1467000000000001</v>
      </c>
      <c r="C74" s="80">
        <f>3.1467 * CHOOSE(CONTROL!$C$32, $C$9, 100%, $E$9)</f>
        <v>3.1467000000000001</v>
      </c>
      <c r="D74" s="80">
        <f>3.1503 * CHOOSE(CONTROL!$C$32, $C$9, 100%, $E$9)</f>
        <v>3.1503000000000001</v>
      </c>
      <c r="E74" s="81">
        <f>3.844 * CHOOSE(CONTROL!$C$32, $C$9, 100%, $E$9)</f>
        <v>3.8439999999999999</v>
      </c>
      <c r="F74" s="81">
        <f>3.844 * CHOOSE(CONTROL!$C$32, $C$9, 100%, $E$9)</f>
        <v>3.8439999999999999</v>
      </c>
      <c r="G74" s="81">
        <f>3.8484 * CHOOSE(CONTROL!$C$32, $C$9, 100%, $E$9)</f>
        <v>3.8483999999999998</v>
      </c>
      <c r="H74" s="81">
        <f>6.5908 * CHOOSE(CONTROL!$C$32, $C$9, 100%, $E$9)</f>
        <v>6.5907999999999998</v>
      </c>
      <c r="I74" s="81">
        <f>6.5951 * CHOOSE(CONTROL!$C$32, $C$9, 100%, $E$9)</f>
        <v>6.5951000000000004</v>
      </c>
      <c r="J74" s="81">
        <f>6.5908 * CHOOSE(CONTROL!$C$32, $C$9, 100%, $E$9)</f>
        <v>6.5907999999999998</v>
      </c>
      <c r="K74" s="81">
        <f>6.5951 * CHOOSE(CONTROL!$C$32, $C$9, 100%, $E$9)</f>
        <v>6.5951000000000004</v>
      </c>
      <c r="L74" s="81">
        <f>3.844 * CHOOSE(CONTROL!$C$32, $C$9, 100%, $E$9)</f>
        <v>3.8439999999999999</v>
      </c>
      <c r="M74" s="81">
        <f>3.8484 * CHOOSE(CONTROL!$C$32, $C$9, 100%, $E$9)</f>
        <v>3.8483999999999998</v>
      </c>
      <c r="N74" s="81">
        <f>3.844 * CHOOSE(CONTROL!$C$32, $C$9, 100%, $E$9)</f>
        <v>3.8439999999999999</v>
      </c>
      <c r="O74" s="81">
        <f>3.8484 * CHOOSE(CONTROL!$C$32, $C$9, 100%, $E$9)</f>
        <v>3.8483999999999998</v>
      </c>
      <c r="P74" s="10"/>
      <c r="Q74" s="10"/>
      <c r="R74" s="10"/>
    </row>
    <row r="75" spans="1:18" ht="15">
      <c r="A75" s="16">
        <v>43497</v>
      </c>
      <c r="B75" s="80">
        <f>3.1437 * CHOOSE(CONTROL!$C$32, $C$9, 100%, $E$9)</f>
        <v>3.1436999999999999</v>
      </c>
      <c r="C75" s="80">
        <f>3.1437 * CHOOSE(CONTROL!$C$32, $C$9, 100%, $E$9)</f>
        <v>3.1436999999999999</v>
      </c>
      <c r="D75" s="80">
        <f>3.1472 * CHOOSE(CONTROL!$C$32, $C$9, 100%, $E$9)</f>
        <v>3.1472000000000002</v>
      </c>
      <c r="E75" s="81">
        <f>3.7978 * CHOOSE(CONTROL!$C$32, $C$9, 100%, $E$9)</f>
        <v>3.7978000000000001</v>
      </c>
      <c r="F75" s="81">
        <f>3.7978 * CHOOSE(CONTROL!$C$32, $C$9, 100%, $E$9)</f>
        <v>3.7978000000000001</v>
      </c>
      <c r="G75" s="81">
        <f>3.8021 * CHOOSE(CONTROL!$C$32, $C$9, 100%, $E$9)</f>
        <v>3.8020999999999998</v>
      </c>
      <c r="H75" s="81">
        <f>6.6045 * CHOOSE(CONTROL!$C$32, $C$9, 100%, $E$9)</f>
        <v>6.6044999999999998</v>
      </c>
      <c r="I75" s="81">
        <f>6.6089 * CHOOSE(CONTROL!$C$32, $C$9, 100%, $E$9)</f>
        <v>6.6089000000000002</v>
      </c>
      <c r="J75" s="81">
        <f>6.6045 * CHOOSE(CONTROL!$C$32, $C$9, 100%, $E$9)</f>
        <v>6.6044999999999998</v>
      </c>
      <c r="K75" s="81">
        <f>6.6089 * CHOOSE(CONTROL!$C$32, $C$9, 100%, $E$9)</f>
        <v>6.6089000000000002</v>
      </c>
      <c r="L75" s="81">
        <f>3.7978 * CHOOSE(CONTROL!$C$32, $C$9, 100%, $E$9)</f>
        <v>3.7978000000000001</v>
      </c>
      <c r="M75" s="81">
        <f>3.8021 * CHOOSE(CONTROL!$C$32, $C$9, 100%, $E$9)</f>
        <v>3.8020999999999998</v>
      </c>
      <c r="N75" s="81">
        <f>3.7978 * CHOOSE(CONTROL!$C$32, $C$9, 100%, $E$9)</f>
        <v>3.7978000000000001</v>
      </c>
      <c r="O75" s="81">
        <f>3.8021 * CHOOSE(CONTROL!$C$32, $C$9, 100%, $E$9)</f>
        <v>3.8020999999999998</v>
      </c>
      <c r="P75" s="10"/>
      <c r="Q75" s="10"/>
      <c r="R75" s="10"/>
    </row>
    <row r="76" spans="1:18" ht="15">
      <c r="A76" s="16">
        <v>43525</v>
      </c>
      <c r="B76" s="80">
        <f>3.1407 * CHOOSE(CONTROL!$C$32, $C$9, 100%, $E$9)</f>
        <v>3.1406999999999998</v>
      </c>
      <c r="C76" s="80">
        <f>3.1407 * CHOOSE(CONTROL!$C$32, $C$9, 100%, $E$9)</f>
        <v>3.1406999999999998</v>
      </c>
      <c r="D76" s="80">
        <f>3.1442 * CHOOSE(CONTROL!$C$32, $C$9, 100%, $E$9)</f>
        <v>3.1442000000000001</v>
      </c>
      <c r="E76" s="81">
        <f>3.8304 * CHOOSE(CONTROL!$C$32, $C$9, 100%, $E$9)</f>
        <v>3.8304</v>
      </c>
      <c r="F76" s="81">
        <f>3.8304 * CHOOSE(CONTROL!$C$32, $C$9, 100%, $E$9)</f>
        <v>3.8304</v>
      </c>
      <c r="G76" s="81">
        <f>3.8348 * CHOOSE(CONTROL!$C$32, $C$9, 100%, $E$9)</f>
        <v>3.8348</v>
      </c>
      <c r="H76" s="81">
        <f>6.6183 * CHOOSE(CONTROL!$C$32, $C$9, 100%, $E$9)</f>
        <v>6.6182999999999996</v>
      </c>
      <c r="I76" s="81">
        <f>6.6226 * CHOOSE(CONTROL!$C$32, $C$9, 100%, $E$9)</f>
        <v>6.6226000000000003</v>
      </c>
      <c r="J76" s="81">
        <f>6.6183 * CHOOSE(CONTROL!$C$32, $C$9, 100%, $E$9)</f>
        <v>6.6182999999999996</v>
      </c>
      <c r="K76" s="81">
        <f>6.6226 * CHOOSE(CONTROL!$C$32, $C$9, 100%, $E$9)</f>
        <v>6.6226000000000003</v>
      </c>
      <c r="L76" s="81">
        <f>3.8304 * CHOOSE(CONTROL!$C$32, $C$9, 100%, $E$9)</f>
        <v>3.8304</v>
      </c>
      <c r="M76" s="81">
        <f>3.8348 * CHOOSE(CONTROL!$C$32, $C$9, 100%, $E$9)</f>
        <v>3.8348</v>
      </c>
      <c r="N76" s="81">
        <f>3.8304 * CHOOSE(CONTROL!$C$32, $C$9, 100%, $E$9)</f>
        <v>3.8304</v>
      </c>
      <c r="O76" s="81">
        <f>3.8348 * CHOOSE(CONTROL!$C$32, $C$9, 100%, $E$9)</f>
        <v>3.8348</v>
      </c>
      <c r="P76" s="10"/>
      <c r="Q76" s="10"/>
      <c r="R76" s="10"/>
    </row>
    <row r="77" spans="1:18" ht="15">
      <c r="A77" s="16">
        <v>43556</v>
      </c>
      <c r="B77" s="80">
        <f>3.1374 * CHOOSE(CONTROL!$C$32, $C$9, 100%, $E$9)</f>
        <v>3.1374</v>
      </c>
      <c r="C77" s="80">
        <f>3.1374 * CHOOSE(CONTROL!$C$32, $C$9, 100%, $E$9)</f>
        <v>3.1374</v>
      </c>
      <c r="D77" s="80">
        <f>3.1409 * CHOOSE(CONTROL!$C$32, $C$9, 100%, $E$9)</f>
        <v>3.1408999999999998</v>
      </c>
      <c r="E77" s="81">
        <f>3.8635 * CHOOSE(CONTROL!$C$32, $C$9, 100%, $E$9)</f>
        <v>3.8635000000000002</v>
      </c>
      <c r="F77" s="81">
        <f>3.8635 * CHOOSE(CONTROL!$C$32, $C$9, 100%, $E$9)</f>
        <v>3.8635000000000002</v>
      </c>
      <c r="G77" s="81">
        <f>3.8679 * CHOOSE(CONTROL!$C$32, $C$9, 100%, $E$9)</f>
        <v>3.8679000000000001</v>
      </c>
      <c r="H77" s="81">
        <f>6.6321 * CHOOSE(CONTROL!$C$32, $C$9, 100%, $E$9)</f>
        <v>6.6321000000000003</v>
      </c>
      <c r="I77" s="81">
        <f>6.6364 * CHOOSE(CONTROL!$C$32, $C$9, 100%, $E$9)</f>
        <v>6.6364000000000001</v>
      </c>
      <c r="J77" s="81">
        <f>6.6321 * CHOOSE(CONTROL!$C$32, $C$9, 100%, $E$9)</f>
        <v>6.6321000000000003</v>
      </c>
      <c r="K77" s="81">
        <f>6.6364 * CHOOSE(CONTROL!$C$32, $C$9, 100%, $E$9)</f>
        <v>6.6364000000000001</v>
      </c>
      <c r="L77" s="81">
        <f>3.8635 * CHOOSE(CONTROL!$C$32, $C$9, 100%, $E$9)</f>
        <v>3.8635000000000002</v>
      </c>
      <c r="M77" s="81">
        <f>3.8679 * CHOOSE(CONTROL!$C$32, $C$9, 100%, $E$9)</f>
        <v>3.8679000000000001</v>
      </c>
      <c r="N77" s="81">
        <f>3.8635 * CHOOSE(CONTROL!$C$32, $C$9, 100%, $E$9)</f>
        <v>3.8635000000000002</v>
      </c>
      <c r="O77" s="81">
        <f>3.8679 * CHOOSE(CONTROL!$C$32, $C$9, 100%, $E$9)</f>
        <v>3.8679000000000001</v>
      </c>
      <c r="P77" s="10"/>
      <c r="Q77" s="10"/>
      <c r="R77" s="10"/>
    </row>
    <row r="78" spans="1:18" ht="15">
      <c r="A78" s="16">
        <v>43586</v>
      </c>
      <c r="B78" s="80">
        <f>3.1374 * CHOOSE(CONTROL!$C$32, $C$9, 100%, $E$9)</f>
        <v>3.1374</v>
      </c>
      <c r="C78" s="80">
        <f>3.1374 * CHOOSE(CONTROL!$C$32, $C$9, 100%, $E$9)</f>
        <v>3.1374</v>
      </c>
      <c r="D78" s="80">
        <f>3.1425 * CHOOSE(CONTROL!$C$32, $C$9, 100%, $E$9)</f>
        <v>3.1425000000000001</v>
      </c>
      <c r="E78" s="81">
        <f>3.8775 * CHOOSE(CONTROL!$C$32, $C$9, 100%, $E$9)</f>
        <v>3.8774999999999999</v>
      </c>
      <c r="F78" s="81">
        <f>3.8775 * CHOOSE(CONTROL!$C$32, $C$9, 100%, $E$9)</f>
        <v>3.8774999999999999</v>
      </c>
      <c r="G78" s="81">
        <f>3.8839 * CHOOSE(CONTROL!$C$32, $C$9, 100%, $E$9)</f>
        <v>3.8839000000000001</v>
      </c>
      <c r="H78" s="81">
        <f>6.6459 * CHOOSE(CONTROL!$C$32, $C$9, 100%, $E$9)</f>
        <v>6.6459000000000001</v>
      </c>
      <c r="I78" s="81">
        <f>6.6522 * CHOOSE(CONTROL!$C$32, $C$9, 100%, $E$9)</f>
        <v>6.6521999999999997</v>
      </c>
      <c r="J78" s="81">
        <f>6.6459 * CHOOSE(CONTROL!$C$32, $C$9, 100%, $E$9)</f>
        <v>6.6459000000000001</v>
      </c>
      <c r="K78" s="81">
        <f>6.6522 * CHOOSE(CONTROL!$C$32, $C$9, 100%, $E$9)</f>
        <v>6.6521999999999997</v>
      </c>
      <c r="L78" s="81">
        <f>3.8775 * CHOOSE(CONTROL!$C$32, $C$9, 100%, $E$9)</f>
        <v>3.8774999999999999</v>
      </c>
      <c r="M78" s="81">
        <f>3.8839 * CHOOSE(CONTROL!$C$32, $C$9, 100%, $E$9)</f>
        <v>3.8839000000000001</v>
      </c>
      <c r="N78" s="81">
        <f>3.8775 * CHOOSE(CONTROL!$C$32, $C$9, 100%, $E$9)</f>
        <v>3.8774999999999999</v>
      </c>
      <c r="O78" s="81">
        <f>3.8839 * CHOOSE(CONTROL!$C$32, $C$9, 100%, $E$9)</f>
        <v>3.8839000000000001</v>
      </c>
      <c r="P78" s="10"/>
      <c r="Q78" s="10"/>
      <c r="R78" s="10"/>
    </row>
    <row r="79" spans="1:18" ht="15">
      <c r="A79" s="16">
        <v>43617</v>
      </c>
      <c r="B79" s="80">
        <f>3.1435 * CHOOSE(CONTROL!$C$32, $C$9, 100%, $E$9)</f>
        <v>3.1435</v>
      </c>
      <c r="C79" s="80">
        <f>3.1435 * CHOOSE(CONTROL!$C$32, $C$9, 100%, $E$9)</f>
        <v>3.1435</v>
      </c>
      <c r="D79" s="80">
        <f>3.1486 * CHOOSE(CONTROL!$C$32, $C$9, 100%, $E$9)</f>
        <v>3.1486000000000001</v>
      </c>
      <c r="E79" s="81">
        <f>3.8678 * CHOOSE(CONTROL!$C$32, $C$9, 100%, $E$9)</f>
        <v>3.8677999999999999</v>
      </c>
      <c r="F79" s="81">
        <f>3.8678 * CHOOSE(CONTROL!$C$32, $C$9, 100%, $E$9)</f>
        <v>3.8677999999999999</v>
      </c>
      <c r="G79" s="81">
        <f>3.8741 * CHOOSE(CONTROL!$C$32, $C$9, 100%, $E$9)</f>
        <v>3.8740999999999999</v>
      </c>
      <c r="H79" s="81">
        <f>6.6597 * CHOOSE(CONTROL!$C$32, $C$9, 100%, $E$9)</f>
        <v>6.6597</v>
      </c>
      <c r="I79" s="81">
        <f>6.666 * CHOOSE(CONTROL!$C$32, $C$9, 100%, $E$9)</f>
        <v>6.6660000000000004</v>
      </c>
      <c r="J79" s="81">
        <f>6.6597 * CHOOSE(CONTROL!$C$32, $C$9, 100%, $E$9)</f>
        <v>6.6597</v>
      </c>
      <c r="K79" s="81">
        <f>6.666 * CHOOSE(CONTROL!$C$32, $C$9, 100%, $E$9)</f>
        <v>6.6660000000000004</v>
      </c>
      <c r="L79" s="81">
        <f>3.8678 * CHOOSE(CONTROL!$C$32, $C$9, 100%, $E$9)</f>
        <v>3.8677999999999999</v>
      </c>
      <c r="M79" s="81">
        <f>3.8741 * CHOOSE(CONTROL!$C$32, $C$9, 100%, $E$9)</f>
        <v>3.8740999999999999</v>
      </c>
      <c r="N79" s="81">
        <f>3.8678 * CHOOSE(CONTROL!$C$32, $C$9, 100%, $E$9)</f>
        <v>3.8677999999999999</v>
      </c>
      <c r="O79" s="81">
        <f>3.8741 * CHOOSE(CONTROL!$C$32, $C$9, 100%, $E$9)</f>
        <v>3.8740999999999999</v>
      </c>
      <c r="P79" s="10"/>
      <c r="Q79" s="10"/>
      <c r="R79" s="10"/>
    </row>
    <row r="80" spans="1:18" ht="15">
      <c r="A80" s="16">
        <v>43647</v>
      </c>
      <c r="B80" s="80">
        <f>3.1331 * CHOOSE(CONTROL!$C$32, $C$9, 100%, $E$9)</f>
        <v>3.1331000000000002</v>
      </c>
      <c r="C80" s="80">
        <f>3.1331 * CHOOSE(CONTROL!$C$32, $C$9, 100%, $E$9)</f>
        <v>3.1331000000000002</v>
      </c>
      <c r="D80" s="80">
        <f>3.1382 * CHOOSE(CONTROL!$C$32, $C$9, 100%, $E$9)</f>
        <v>3.1381999999999999</v>
      </c>
      <c r="E80" s="81">
        <f>3.901 * CHOOSE(CONTROL!$C$32, $C$9, 100%, $E$9)</f>
        <v>3.9009999999999998</v>
      </c>
      <c r="F80" s="81">
        <f>3.901 * CHOOSE(CONTROL!$C$32, $C$9, 100%, $E$9)</f>
        <v>3.9009999999999998</v>
      </c>
      <c r="G80" s="81">
        <f>3.9073 * CHOOSE(CONTROL!$C$32, $C$9, 100%, $E$9)</f>
        <v>3.9073000000000002</v>
      </c>
      <c r="H80" s="81">
        <f>6.6736 * CHOOSE(CONTROL!$C$32, $C$9, 100%, $E$9)</f>
        <v>6.6736000000000004</v>
      </c>
      <c r="I80" s="81">
        <f>6.6799 * CHOOSE(CONTROL!$C$32, $C$9, 100%, $E$9)</f>
        <v>6.6798999999999999</v>
      </c>
      <c r="J80" s="81">
        <f>6.6736 * CHOOSE(CONTROL!$C$32, $C$9, 100%, $E$9)</f>
        <v>6.6736000000000004</v>
      </c>
      <c r="K80" s="81">
        <f>6.6799 * CHOOSE(CONTROL!$C$32, $C$9, 100%, $E$9)</f>
        <v>6.6798999999999999</v>
      </c>
      <c r="L80" s="81">
        <f>3.901 * CHOOSE(CONTROL!$C$32, $C$9, 100%, $E$9)</f>
        <v>3.9009999999999998</v>
      </c>
      <c r="M80" s="81">
        <f>3.9073 * CHOOSE(CONTROL!$C$32, $C$9, 100%, $E$9)</f>
        <v>3.9073000000000002</v>
      </c>
      <c r="N80" s="81">
        <f>3.901 * CHOOSE(CONTROL!$C$32, $C$9, 100%, $E$9)</f>
        <v>3.9009999999999998</v>
      </c>
      <c r="O80" s="81">
        <f>3.9073 * CHOOSE(CONTROL!$C$32, $C$9, 100%, $E$9)</f>
        <v>3.9073000000000002</v>
      </c>
      <c r="P80" s="10"/>
      <c r="Q80" s="10"/>
      <c r="R80" s="10"/>
    </row>
    <row r="81" spans="1:18" ht="15">
      <c r="A81" s="16">
        <v>43678</v>
      </c>
      <c r="B81" s="80">
        <f>3.1398 * CHOOSE(CONTROL!$C$32, $C$9, 100%, $E$9)</f>
        <v>3.1398000000000001</v>
      </c>
      <c r="C81" s="80">
        <f>3.1398 * CHOOSE(CONTROL!$C$32, $C$9, 100%, $E$9)</f>
        <v>3.1398000000000001</v>
      </c>
      <c r="D81" s="80">
        <f>3.1449 * CHOOSE(CONTROL!$C$32, $C$9, 100%, $E$9)</f>
        <v>3.1448999999999998</v>
      </c>
      <c r="E81" s="81">
        <f>3.8637 * CHOOSE(CONTROL!$C$32, $C$9, 100%, $E$9)</f>
        <v>3.8637000000000001</v>
      </c>
      <c r="F81" s="81">
        <f>3.8637 * CHOOSE(CONTROL!$C$32, $C$9, 100%, $E$9)</f>
        <v>3.8637000000000001</v>
      </c>
      <c r="G81" s="81">
        <f>3.87 * CHOOSE(CONTROL!$C$32, $C$9, 100%, $E$9)</f>
        <v>3.87</v>
      </c>
      <c r="H81" s="81">
        <f>6.6875 * CHOOSE(CONTROL!$C$32, $C$9, 100%, $E$9)</f>
        <v>6.6875</v>
      </c>
      <c r="I81" s="81">
        <f>6.6938 * CHOOSE(CONTROL!$C$32, $C$9, 100%, $E$9)</f>
        <v>6.6938000000000004</v>
      </c>
      <c r="J81" s="81">
        <f>6.6875 * CHOOSE(CONTROL!$C$32, $C$9, 100%, $E$9)</f>
        <v>6.6875</v>
      </c>
      <c r="K81" s="81">
        <f>6.6938 * CHOOSE(CONTROL!$C$32, $C$9, 100%, $E$9)</f>
        <v>6.6938000000000004</v>
      </c>
      <c r="L81" s="81">
        <f>3.8637 * CHOOSE(CONTROL!$C$32, $C$9, 100%, $E$9)</f>
        <v>3.8637000000000001</v>
      </c>
      <c r="M81" s="81">
        <f>3.87 * CHOOSE(CONTROL!$C$32, $C$9, 100%, $E$9)</f>
        <v>3.87</v>
      </c>
      <c r="N81" s="81">
        <f>3.8637 * CHOOSE(CONTROL!$C$32, $C$9, 100%, $E$9)</f>
        <v>3.8637000000000001</v>
      </c>
      <c r="O81" s="81">
        <f>3.87 * CHOOSE(CONTROL!$C$32, $C$9, 100%, $E$9)</f>
        <v>3.87</v>
      </c>
      <c r="P81" s="10"/>
      <c r="Q81" s="10"/>
      <c r="R81" s="10"/>
    </row>
    <row r="82" spans="1:18" ht="15">
      <c r="A82" s="16">
        <v>43709</v>
      </c>
      <c r="B82" s="80">
        <f>3.1367 * CHOOSE(CONTROL!$C$32, $C$9, 100%, $E$9)</f>
        <v>3.1366999999999998</v>
      </c>
      <c r="C82" s="80">
        <f>3.1367 * CHOOSE(CONTROL!$C$32, $C$9, 100%, $E$9)</f>
        <v>3.1366999999999998</v>
      </c>
      <c r="D82" s="80">
        <f>3.1419 * CHOOSE(CONTROL!$C$32, $C$9, 100%, $E$9)</f>
        <v>3.1419000000000001</v>
      </c>
      <c r="E82" s="81">
        <f>3.8569 * CHOOSE(CONTROL!$C$32, $C$9, 100%, $E$9)</f>
        <v>3.8569</v>
      </c>
      <c r="F82" s="81">
        <f>3.8569 * CHOOSE(CONTROL!$C$32, $C$9, 100%, $E$9)</f>
        <v>3.8569</v>
      </c>
      <c r="G82" s="81">
        <f>3.8632 * CHOOSE(CONTROL!$C$32, $C$9, 100%, $E$9)</f>
        <v>3.8632</v>
      </c>
      <c r="H82" s="81">
        <f>6.7014 * CHOOSE(CONTROL!$C$32, $C$9, 100%, $E$9)</f>
        <v>6.7013999999999996</v>
      </c>
      <c r="I82" s="81">
        <f>6.7077 * CHOOSE(CONTROL!$C$32, $C$9, 100%, $E$9)</f>
        <v>6.7077</v>
      </c>
      <c r="J82" s="81">
        <f>6.7014 * CHOOSE(CONTROL!$C$32, $C$9, 100%, $E$9)</f>
        <v>6.7013999999999996</v>
      </c>
      <c r="K82" s="81">
        <f>6.7077 * CHOOSE(CONTROL!$C$32, $C$9, 100%, $E$9)</f>
        <v>6.7077</v>
      </c>
      <c r="L82" s="81">
        <f>3.8569 * CHOOSE(CONTROL!$C$32, $C$9, 100%, $E$9)</f>
        <v>3.8569</v>
      </c>
      <c r="M82" s="81">
        <f>3.8632 * CHOOSE(CONTROL!$C$32, $C$9, 100%, $E$9)</f>
        <v>3.8632</v>
      </c>
      <c r="N82" s="81">
        <f>3.8569 * CHOOSE(CONTROL!$C$32, $C$9, 100%, $E$9)</f>
        <v>3.8569</v>
      </c>
      <c r="O82" s="81">
        <f>3.8632 * CHOOSE(CONTROL!$C$32, $C$9, 100%, $E$9)</f>
        <v>3.8632</v>
      </c>
      <c r="P82" s="10"/>
      <c r="Q82" s="10"/>
      <c r="R82" s="10"/>
    </row>
    <row r="83" spans="1:18" ht="15">
      <c r="A83" s="16">
        <v>43739</v>
      </c>
      <c r="B83" s="80">
        <f>3.1284 * CHOOSE(CONTROL!$C$32, $C$9, 100%, $E$9)</f>
        <v>3.1284000000000001</v>
      </c>
      <c r="C83" s="80">
        <f>3.1284 * CHOOSE(CONTROL!$C$32, $C$9, 100%, $E$9)</f>
        <v>3.1284000000000001</v>
      </c>
      <c r="D83" s="80">
        <f>3.1319 * CHOOSE(CONTROL!$C$32, $C$9, 100%, $E$9)</f>
        <v>3.1318999999999999</v>
      </c>
      <c r="E83" s="81">
        <f>3.8621 * CHOOSE(CONTROL!$C$32, $C$9, 100%, $E$9)</f>
        <v>3.8620999999999999</v>
      </c>
      <c r="F83" s="81">
        <f>3.8621 * CHOOSE(CONTROL!$C$32, $C$9, 100%, $E$9)</f>
        <v>3.8620999999999999</v>
      </c>
      <c r="G83" s="81">
        <f>3.8665 * CHOOSE(CONTROL!$C$32, $C$9, 100%, $E$9)</f>
        <v>3.8664999999999998</v>
      </c>
      <c r="H83" s="81">
        <f>6.7154 * CHOOSE(CONTROL!$C$32, $C$9, 100%, $E$9)</f>
        <v>6.7153999999999998</v>
      </c>
      <c r="I83" s="81">
        <f>6.7198 * CHOOSE(CONTROL!$C$32, $C$9, 100%, $E$9)</f>
        <v>6.7198000000000002</v>
      </c>
      <c r="J83" s="81">
        <f>6.7154 * CHOOSE(CONTROL!$C$32, $C$9, 100%, $E$9)</f>
        <v>6.7153999999999998</v>
      </c>
      <c r="K83" s="81">
        <f>6.7198 * CHOOSE(CONTROL!$C$32, $C$9, 100%, $E$9)</f>
        <v>6.7198000000000002</v>
      </c>
      <c r="L83" s="81">
        <f>3.8621 * CHOOSE(CONTROL!$C$32, $C$9, 100%, $E$9)</f>
        <v>3.8620999999999999</v>
      </c>
      <c r="M83" s="81">
        <f>3.8665 * CHOOSE(CONTROL!$C$32, $C$9, 100%, $E$9)</f>
        <v>3.8664999999999998</v>
      </c>
      <c r="N83" s="81">
        <f>3.8621 * CHOOSE(CONTROL!$C$32, $C$9, 100%, $E$9)</f>
        <v>3.8620999999999999</v>
      </c>
      <c r="O83" s="81">
        <f>3.8665 * CHOOSE(CONTROL!$C$32, $C$9, 100%, $E$9)</f>
        <v>3.8664999999999998</v>
      </c>
      <c r="P83" s="10"/>
      <c r="Q83" s="10"/>
      <c r="R83" s="10"/>
    </row>
    <row r="84" spans="1:18" ht="15">
      <c r="A84" s="16">
        <v>43770</v>
      </c>
      <c r="B84" s="80">
        <f>3.1314 * CHOOSE(CONTROL!$C$32, $C$9, 100%, $E$9)</f>
        <v>3.1314000000000002</v>
      </c>
      <c r="C84" s="80">
        <f>3.1314 * CHOOSE(CONTROL!$C$32, $C$9, 100%, $E$9)</f>
        <v>3.1314000000000002</v>
      </c>
      <c r="D84" s="80">
        <f>3.135 * CHOOSE(CONTROL!$C$32, $C$9, 100%, $E$9)</f>
        <v>3.1349999999999998</v>
      </c>
      <c r="E84" s="81">
        <f>3.8736 * CHOOSE(CONTROL!$C$32, $C$9, 100%, $E$9)</f>
        <v>3.8736000000000002</v>
      </c>
      <c r="F84" s="81">
        <f>3.8736 * CHOOSE(CONTROL!$C$32, $C$9, 100%, $E$9)</f>
        <v>3.8736000000000002</v>
      </c>
      <c r="G84" s="81">
        <f>3.878 * CHOOSE(CONTROL!$C$32, $C$9, 100%, $E$9)</f>
        <v>3.8780000000000001</v>
      </c>
      <c r="H84" s="81">
        <f>6.7294 * CHOOSE(CONTROL!$C$32, $C$9, 100%, $E$9)</f>
        <v>6.7294</v>
      </c>
      <c r="I84" s="81">
        <f>6.7337 * CHOOSE(CONTROL!$C$32, $C$9, 100%, $E$9)</f>
        <v>6.7336999999999998</v>
      </c>
      <c r="J84" s="81">
        <f>6.7294 * CHOOSE(CONTROL!$C$32, $C$9, 100%, $E$9)</f>
        <v>6.7294</v>
      </c>
      <c r="K84" s="81">
        <f>6.7337 * CHOOSE(CONTROL!$C$32, $C$9, 100%, $E$9)</f>
        <v>6.7336999999999998</v>
      </c>
      <c r="L84" s="81">
        <f>3.8736 * CHOOSE(CONTROL!$C$32, $C$9, 100%, $E$9)</f>
        <v>3.8736000000000002</v>
      </c>
      <c r="M84" s="81">
        <f>3.878 * CHOOSE(CONTROL!$C$32, $C$9, 100%, $E$9)</f>
        <v>3.8780000000000001</v>
      </c>
      <c r="N84" s="81">
        <f>3.8736 * CHOOSE(CONTROL!$C$32, $C$9, 100%, $E$9)</f>
        <v>3.8736000000000002</v>
      </c>
      <c r="O84" s="81">
        <f>3.878 * CHOOSE(CONTROL!$C$32, $C$9, 100%, $E$9)</f>
        <v>3.8780000000000001</v>
      </c>
      <c r="P84" s="10"/>
      <c r="Q84" s="10"/>
      <c r="R84" s="10"/>
    </row>
    <row r="85" spans="1:18" ht="15">
      <c r="A85" s="16">
        <v>43800</v>
      </c>
      <c r="B85" s="80">
        <f>3.1314 * CHOOSE(CONTROL!$C$32, $C$9, 100%, $E$9)</f>
        <v>3.1314000000000002</v>
      </c>
      <c r="C85" s="80">
        <f>3.1314 * CHOOSE(CONTROL!$C$32, $C$9, 100%, $E$9)</f>
        <v>3.1314000000000002</v>
      </c>
      <c r="D85" s="80">
        <f>3.135 * CHOOSE(CONTROL!$C$32, $C$9, 100%, $E$9)</f>
        <v>3.1349999999999998</v>
      </c>
      <c r="E85" s="81">
        <f>3.8503 * CHOOSE(CONTROL!$C$32, $C$9, 100%, $E$9)</f>
        <v>3.8502999999999998</v>
      </c>
      <c r="F85" s="81">
        <f>3.8503 * CHOOSE(CONTROL!$C$32, $C$9, 100%, $E$9)</f>
        <v>3.8502999999999998</v>
      </c>
      <c r="G85" s="81">
        <f>3.8546 * CHOOSE(CONTROL!$C$32, $C$9, 100%, $E$9)</f>
        <v>3.8546</v>
      </c>
      <c r="H85" s="81">
        <f>6.7434 * CHOOSE(CONTROL!$C$32, $C$9, 100%, $E$9)</f>
        <v>6.7434000000000003</v>
      </c>
      <c r="I85" s="81">
        <f>6.7478 * CHOOSE(CONTROL!$C$32, $C$9, 100%, $E$9)</f>
        <v>6.7477999999999998</v>
      </c>
      <c r="J85" s="81">
        <f>6.7434 * CHOOSE(CONTROL!$C$32, $C$9, 100%, $E$9)</f>
        <v>6.7434000000000003</v>
      </c>
      <c r="K85" s="81">
        <f>6.7478 * CHOOSE(CONTROL!$C$32, $C$9, 100%, $E$9)</f>
        <v>6.7477999999999998</v>
      </c>
      <c r="L85" s="81">
        <f>3.8503 * CHOOSE(CONTROL!$C$32, $C$9, 100%, $E$9)</f>
        <v>3.8502999999999998</v>
      </c>
      <c r="M85" s="81">
        <f>3.8546 * CHOOSE(CONTROL!$C$32, $C$9, 100%, $E$9)</f>
        <v>3.8546</v>
      </c>
      <c r="N85" s="81">
        <f>3.8503 * CHOOSE(CONTROL!$C$32, $C$9, 100%, $E$9)</f>
        <v>3.8502999999999998</v>
      </c>
      <c r="O85" s="81">
        <f>3.8546 * CHOOSE(CONTROL!$C$32, $C$9, 100%, $E$9)</f>
        <v>3.8546</v>
      </c>
      <c r="P85" s="10"/>
      <c r="Q85" s="10"/>
      <c r="R85" s="10"/>
    </row>
    <row r="86" spans="1:18" ht="15">
      <c r="A86" s="16">
        <v>43831</v>
      </c>
      <c r="B86" s="80">
        <f>3.167 * CHOOSE(CONTROL!$C$32, $C$9, 100%, $E$9)</f>
        <v>3.1669999999999998</v>
      </c>
      <c r="C86" s="80">
        <f>3.167 * CHOOSE(CONTROL!$C$32, $C$9, 100%, $E$9)</f>
        <v>3.1669999999999998</v>
      </c>
      <c r="D86" s="80">
        <f>3.1705 * CHOOSE(CONTROL!$C$32, $C$9, 100%, $E$9)</f>
        <v>3.1705000000000001</v>
      </c>
      <c r="E86" s="81">
        <f>3.8608 * CHOOSE(CONTROL!$C$32, $C$9, 100%, $E$9)</f>
        <v>3.8607999999999998</v>
      </c>
      <c r="F86" s="81">
        <f>3.8608 * CHOOSE(CONTROL!$C$32, $C$9, 100%, $E$9)</f>
        <v>3.8607999999999998</v>
      </c>
      <c r="G86" s="81">
        <f>3.8652 * CHOOSE(CONTROL!$C$32, $C$9, 100%, $E$9)</f>
        <v>3.8652000000000002</v>
      </c>
      <c r="H86" s="81">
        <f>6.7574 * CHOOSE(CONTROL!$C$32, $C$9, 100%, $E$9)</f>
        <v>6.7573999999999996</v>
      </c>
      <c r="I86" s="81">
        <f>6.7618 * CHOOSE(CONTROL!$C$32, $C$9, 100%, $E$9)</f>
        <v>6.7618</v>
      </c>
      <c r="J86" s="81">
        <f>6.7574 * CHOOSE(CONTROL!$C$32, $C$9, 100%, $E$9)</f>
        <v>6.7573999999999996</v>
      </c>
      <c r="K86" s="81">
        <f>6.7618 * CHOOSE(CONTROL!$C$32, $C$9, 100%, $E$9)</f>
        <v>6.7618</v>
      </c>
      <c r="L86" s="81">
        <f>3.8608 * CHOOSE(CONTROL!$C$32, $C$9, 100%, $E$9)</f>
        <v>3.8607999999999998</v>
      </c>
      <c r="M86" s="81">
        <f>3.8652 * CHOOSE(CONTROL!$C$32, $C$9, 100%, $E$9)</f>
        <v>3.8652000000000002</v>
      </c>
      <c r="N86" s="81">
        <f>3.8608 * CHOOSE(CONTROL!$C$32, $C$9, 100%, $E$9)</f>
        <v>3.8607999999999998</v>
      </c>
      <c r="O86" s="81">
        <f>3.8652 * CHOOSE(CONTROL!$C$32, $C$9, 100%, $E$9)</f>
        <v>3.8652000000000002</v>
      </c>
      <c r="P86" s="10"/>
      <c r="Q86" s="10"/>
      <c r="R86" s="10"/>
    </row>
    <row r="87" spans="1:18" ht="15">
      <c r="A87" s="16">
        <v>43862</v>
      </c>
      <c r="B87" s="80">
        <f>3.164 * CHOOSE(CONTROL!$C$32, $C$9, 100%, $E$9)</f>
        <v>3.1640000000000001</v>
      </c>
      <c r="C87" s="80">
        <f>3.164 * CHOOSE(CONTROL!$C$32, $C$9, 100%, $E$9)</f>
        <v>3.1640000000000001</v>
      </c>
      <c r="D87" s="80">
        <f>3.1675 * CHOOSE(CONTROL!$C$32, $C$9, 100%, $E$9)</f>
        <v>3.1675</v>
      </c>
      <c r="E87" s="81">
        <f>3.8041 * CHOOSE(CONTROL!$C$32, $C$9, 100%, $E$9)</f>
        <v>3.8041</v>
      </c>
      <c r="F87" s="81">
        <f>3.8041 * CHOOSE(CONTROL!$C$32, $C$9, 100%, $E$9)</f>
        <v>3.8041</v>
      </c>
      <c r="G87" s="81">
        <f>3.8084 * CHOOSE(CONTROL!$C$32, $C$9, 100%, $E$9)</f>
        <v>3.8083999999999998</v>
      </c>
      <c r="H87" s="81">
        <f>6.7715 * CHOOSE(CONTROL!$C$32, $C$9, 100%, $E$9)</f>
        <v>6.7714999999999996</v>
      </c>
      <c r="I87" s="81">
        <f>6.7759 * CHOOSE(CONTROL!$C$32, $C$9, 100%, $E$9)</f>
        <v>6.7759</v>
      </c>
      <c r="J87" s="81">
        <f>6.7715 * CHOOSE(CONTROL!$C$32, $C$9, 100%, $E$9)</f>
        <v>6.7714999999999996</v>
      </c>
      <c r="K87" s="81">
        <f>6.7759 * CHOOSE(CONTROL!$C$32, $C$9, 100%, $E$9)</f>
        <v>6.7759</v>
      </c>
      <c r="L87" s="81">
        <f>3.8041 * CHOOSE(CONTROL!$C$32, $C$9, 100%, $E$9)</f>
        <v>3.8041</v>
      </c>
      <c r="M87" s="81">
        <f>3.8084 * CHOOSE(CONTROL!$C$32, $C$9, 100%, $E$9)</f>
        <v>3.8083999999999998</v>
      </c>
      <c r="N87" s="81">
        <f>3.8041 * CHOOSE(CONTROL!$C$32, $C$9, 100%, $E$9)</f>
        <v>3.8041</v>
      </c>
      <c r="O87" s="81">
        <f>3.8084 * CHOOSE(CONTROL!$C$32, $C$9, 100%, $E$9)</f>
        <v>3.8083999999999998</v>
      </c>
      <c r="P87" s="10"/>
      <c r="Q87" s="10"/>
      <c r="R87" s="10"/>
    </row>
    <row r="88" spans="1:18" ht="15">
      <c r="A88" s="16">
        <v>43891</v>
      </c>
      <c r="B88" s="80">
        <f>3.1609 * CHOOSE(CONTROL!$C$32, $C$9, 100%, $E$9)</f>
        <v>3.1608999999999998</v>
      </c>
      <c r="C88" s="80">
        <f>3.1609 * CHOOSE(CONTROL!$C$32, $C$9, 100%, $E$9)</f>
        <v>3.1608999999999998</v>
      </c>
      <c r="D88" s="80">
        <f>3.1645 * CHOOSE(CONTROL!$C$32, $C$9, 100%, $E$9)</f>
        <v>3.1644999999999999</v>
      </c>
      <c r="E88" s="81">
        <f>3.845 * CHOOSE(CONTROL!$C$32, $C$9, 100%, $E$9)</f>
        <v>3.8450000000000002</v>
      </c>
      <c r="F88" s="81">
        <f>3.845 * CHOOSE(CONTROL!$C$32, $C$9, 100%, $E$9)</f>
        <v>3.8450000000000002</v>
      </c>
      <c r="G88" s="81">
        <f>3.8494 * CHOOSE(CONTROL!$C$32, $C$9, 100%, $E$9)</f>
        <v>3.8494000000000002</v>
      </c>
      <c r="H88" s="81">
        <f>6.7856 * CHOOSE(CONTROL!$C$32, $C$9, 100%, $E$9)</f>
        <v>6.7855999999999996</v>
      </c>
      <c r="I88" s="81">
        <f>6.79 * CHOOSE(CONTROL!$C$32, $C$9, 100%, $E$9)</f>
        <v>6.79</v>
      </c>
      <c r="J88" s="81">
        <f>6.7856 * CHOOSE(CONTROL!$C$32, $C$9, 100%, $E$9)</f>
        <v>6.7855999999999996</v>
      </c>
      <c r="K88" s="81">
        <f>6.79 * CHOOSE(CONTROL!$C$32, $C$9, 100%, $E$9)</f>
        <v>6.79</v>
      </c>
      <c r="L88" s="81">
        <f>3.845 * CHOOSE(CONTROL!$C$32, $C$9, 100%, $E$9)</f>
        <v>3.8450000000000002</v>
      </c>
      <c r="M88" s="81">
        <f>3.8494 * CHOOSE(CONTROL!$C$32, $C$9, 100%, $E$9)</f>
        <v>3.8494000000000002</v>
      </c>
      <c r="N88" s="81">
        <f>3.845 * CHOOSE(CONTROL!$C$32, $C$9, 100%, $E$9)</f>
        <v>3.8450000000000002</v>
      </c>
      <c r="O88" s="81">
        <f>3.8494 * CHOOSE(CONTROL!$C$32, $C$9, 100%, $E$9)</f>
        <v>3.8494000000000002</v>
      </c>
      <c r="P88" s="10"/>
      <c r="Q88" s="10"/>
      <c r="R88" s="10"/>
    </row>
    <row r="89" spans="1:18" ht="15">
      <c r="A89" s="16">
        <v>43922</v>
      </c>
      <c r="B89" s="80">
        <f>3.1577 * CHOOSE(CONTROL!$C$32, $C$9, 100%, $E$9)</f>
        <v>3.1577000000000002</v>
      </c>
      <c r="C89" s="80">
        <f>3.1577 * CHOOSE(CONTROL!$C$32, $C$9, 100%, $E$9)</f>
        <v>3.1577000000000002</v>
      </c>
      <c r="D89" s="80">
        <f>3.1613 * CHOOSE(CONTROL!$C$32, $C$9, 100%, $E$9)</f>
        <v>3.1613000000000002</v>
      </c>
      <c r="E89" s="81">
        <f>3.8871 * CHOOSE(CONTROL!$C$32, $C$9, 100%, $E$9)</f>
        <v>3.8871000000000002</v>
      </c>
      <c r="F89" s="81">
        <f>3.8871 * CHOOSE(CONTROL!$C$32, $C$9, 100%, $E$9)</f>
        <v>3.8871000000000002</v>
      </c>
      <c r="G89" s="81">
        <f>3.8915 * CHOOSE(CONTROL!$C$32, $C$9, 100%, $E$9)</f>
        <v>3.8915000000000002</v>
      </c>
      <c r="H89" s="81">
        <f>6.7998 * CHOOSE(CONTROL!$C$32, $C$9, 100%, $E$9)</f>
        <v>6.7998000000000003</v>
      </c>
      <c r="I89" s="81">
        <f>6.8041 * CHOOSE(CONTROL!$C$32, $C$9, 100%, $E$9)</f>
        <v>6.8041</v>
      </c>
      <c r="J89" s="81">
        <f>6.7998 * CHOOSE(CONTROL!$C$32, $C$9, 100%, $E$9)</f>
        <v>6.7998000000000003</v>
      </c>
      <c r="K89" s="81">
        <f>6.8041 * CHOOSE(CONTROL!$C$32, $C$9, 100%, $E$9)</f>
        <v>6.8041</v>
      </c>
      <c r="L89" s="81">
        <f>3.8871 * CHOOSE(CONTROL!$C$32, $C$9, 100%, $E$9)</f>
        <v>3.8871000000000002</v>
      </c>
      <c r="M89" s="81">
        <f>3.8915 * CHOOSE(CONTROL!$C$32, $C$9, 100%, $E$9)</f>
        <v>3.8915000000000002</v>
      </c>
      <c r="N89" s="81">
        <f>3.8871 * CHOOSE(CONTROL!$C$32, $C$9, 100%, $E$9)</f>
        <v>3.8871000000000002</v>
      </c>
      <c r="O89" s="81">
        <f>3.8915 * CHOOSE(CONTROL!$C$32, $C$9, 100%, $E$9)</f>
        <v>3.8915000000000002</v>
      </c>
      <c r="P89" s="10"/>
      <c r="Q89" s="10"/>
      <c r="R89" s="10"/>
    </row>
    <row r="90" spans="1:18" ht="15">
      <c r="A90" s="16">
        <v>43952</v>
      </c>
      <c r="B90" s="80">
        <f>3.1577 * CHOOSE(CONTROL!$C$32, $C$9, 100%, $E$9)</f>
        <v>3.1577000000000002</v>
      </c>
      <c r="C90" s="80">
        <f>3.1577 * CHOOSE(CONTROL!$C$32, $C$9, 100%, $E$9)</f>
        <v>3.1577000000000002</v>
      </c>
      <c r="D90" s="80">
        <f>3.1629 * CHOOSE(CONTROL!$C$32, $C$9, 100%, $E$9)</f>
        <v>3.1629</v>
      </c>
      <c r="E90" s="81">
        <f>3.9044 * CHOOSE(CONTROL!$C$32, $C$9, 100%, $E$9)</f>
        <v>3.9043999999999999</v>
      </c>
      <c r="F90" s="81">
        <f>3.9044 * CHOOSE(CONTROL!$C$32, $C$9, 100%, $E$9)</f>
        <v>3.9043999999999999</v>
      </c>
      <c r="G90" s="81">
        <f>3.9108 * CHOOSE(CONTROL!$C$32, $C$9, 100%, $E$9)</f>
        <v>3.9108000000000001</v>
      </c>
      <c r="H90" s="81">
        <f>6.8139 * CHOOSE(CONTROL!$C$32, $C$9, 100%, $E$9)</f>
        <v>6.8139000000000003</v>
      </c>
      <c r="I90" s="81">
        <f>6.8202 * CHOOSE(CONTROL!$C$32, $C$9, 100%, $E$9)</f>
        <v>6.8201999999999998</v>
      </c>
      <c r="J90" s="81">
        <f>6.8139 * CHOOSE(CONTROL!$C$32, $C$9, 100%, $E$9)</f>
        <v>6.8139000000000003</v>
      </c>
      <c r="K90" s="81">
        <f>6.8202 * CHOOSE(CONTROL!$C$32, $C$9, 100%, $E$9)</f>
        <v>6.8201999999999998</v>
      </c>
      <c r="L90" s="81">
        <f>3.9044 * CHOOSE(CONTROL!$C$32, $C$9, 100%, $E$9)</f>
        <v>3.9043999999999999</v>
      </c>
      <c r="M90" s="81">
        <f>3.9108 * CHOOSE(CONTROL!$C$32, $C$9, 100%, $E$9)</f>
        <v>3.9108000000000001</v>
      </c>
      <c r="N90" s="81">
        <f>3.9044 * CHOOSE(CONTROL!$C$32, $C$9, 100%, $E$9)</f>
        <v>3.9043999999999999</v>
      </c>
      <c r="O90" s="81">
        <f>3.9108 * CHOOSE(CONTROL!$C$32, $C$9, 100%, $E$9)</f>
        <v>3.9108000000000001</v>
      </c>
      <c r="P90" s="10"/>
      <c r="Q90" s="10"/>
      <c r="R90" s="10"/>
    </row>
    <row r="91" spans="1:18" ht="15">
      <c r="A91" s="16">
        <v>43983</v>
      </c>
      <c r="B91" s="80">
        <f>3.1638 * CHOOSE(CONTROL!$C$32, $C$9, 100%, $E$9)</f>
        <v>3.1638000000000002</v>
      </c>
      <c r="C91" s="80">
        <f>3.1638 * CHOOSE(CONTROL!$C$32, $C$9, 100%, $E$9)</f>
        <v>3.1638000000000002</v>
      </c>
      <c r="D91" s="80">
        <f>3.169 * CHOOSE(CONTROL!$C$32, $C$9, 100%, $E$9)</f>
        <v>3.169</v>
      </c>
      <c r="E91" s="81">
        <f>3.8913 * CHOOSE(CONTROL!$C$32, $C$9, 100%, $E$9)</f>
        <v>3.8913000000000002</v>
      </c>
      <c r="F91" s="81">
        <f>3.8913 * CHOOSE(CONTROL!$C$32, $C$9, 100%, $E$9)</f>
        <v>3.8913000000000002</v>
      </c>
      <c r="G91" s="81">
        <f>3.8976 * CHOOSE(CONTROL!$C$32, $C$9, 100%, $E$9)</f>
        <v>3.8976000000000002</v>
      </c>
      <c r="H91" s="81">
        <f>6.8281 * CHOOSE(CONTROL!$C$32, $C$9, 100%, $E$9)</f>
        <v>6.8281000000000001</v>
      </c>
      <c r="I91" s="81">
        <f>6.8344 * CHOOSE(CONTROL!$C$32, $C$9, 100%, $E$9)</f>
        <v>6.8343999999999996</v>
      </c>
      <c r="J91" s="81">
        <f>6.8281 * CHOOSE(CONTROL!$C$32, $C$9, 100%, $E$9)</f>
        <v>6.8281000000000001</v>
      </c>
      <c r="K91" s="81">
        <f>6.8344 * CHOOSE(CONTROL!$C$32, $C$9, 100%, $E$9)</f>
        <v>6.8343999999999996</v>
      </c>
      <c r="L91" s="81">
        <f>3.8913 * CHOOSE(CONTROL!$C$32, $C$9, 100%, $E$9)</f>
        <v>3.8913000000000002</v>
      </c>
      <c r="M91" s="81">
        <f>3.8976 * CHOOSE(CONTROL!$C$32, $C$9, 100%, $E$9)</f>
        <v>3.8976000000000002</v>
      </c>
      <c r="N91" s="81">
        <f>3.8913 * CHOOSE(CONTROL!$C$32, $C$9, 100%, $E$9)</f>
        <v>3.8913000000000002</v>
      </c>
      <c r="O91" s="81">
        <f>3.8976 * CHOOSE(CONTROL!$C$32, $C$9, 100%, $E$9)</f>
        <v>3.8976000000000002</v>
      </c>
      <c r="P91" s="10"/>
      <c r="Q91" s="10"/>
      <c r="R91" s="10"/>
    </row>
    <row r="92" spans="1:18" ht="15">
      <c r="A92" s="16">
        <v>44013</v>
      </c>
      <c r="B92" s="80">
        <f>3.2348 * CHOOSE(CONTROL!$C$32, $C$9, 100%, $E$9)</f>
        <v>3.2347999999999999</v>
      </c>
      <c r="C92" s="80">
        <f>3.2348 * CHOOSE(CONTROL!$C$32, $C$9, 100%, $E$9)</f>
        <v>3.2347999999999999</v>
      </c>
      <c r="D92" s="80">
        <f>3.24 * CHOOSE(CONTROL!$C$32, $C$9, 100%, $E$9)</f>
        <v>3.24</v>
      </c>
      <c r="E92" s="81">
        <f>3.6313 * CHOOSE(CONTROL!$C$32, $C$9, 100%, $E$9)</f>
        <v>3.6313</v>
      </c>
      <c r="F92" s="81">
        <f>3.6313 * CHOOSE(CONTROL!$C$32, $C$9, 100%, $E$9)</f>
        <v>3.6313</v>
      </c>
      <c r="G92" s="81">
        <f>3.6376 * CHOOSE(CONTROL!$C$32, $C$9, 100%, $E$9)</f>
        <v>3.6375999999999999</v>
      </c>
      <c r="H92" s="81">
        <f>6.8424 * CHOOSE(CONTROL!$C$32, $C$9, 100%, $E$9)</f>
        <v>6.8423999999999996</v>
      </c>
      <c r="I92" s="81">
        <f>6.8487 * CHOOSE(CONTROL!$C$32, $C$9, 100%, $E$9)</f>
        <v>6.8487</v>
      </c>
      <c r="J92" s="81">
        <f>6.8424 * CHOOSE(CONTROL!$C$32, $C$9, 100%, $E$9)</f>
        <v>6.8423999999999996</v>
      </c>
      <c r="K92" s="81">
        <f>6.8487 * CHOOSE(CONTROL!$C$32, $C$9, 100%, $E$9)</f>
        <v>6.8487</v>
      </c>
      <c r="L92" s="81">
        <f>3.6313 * CHOOSE(CONTROL!$C$32, $C$9, 100%, $E$9)</f>
        <v>3.6313</v>
      </c>
      <c r="M92" s="81">
        <f>3.6376 * CHOOSE(CONTROL!$C$32, $C$9, 100%, $E$9)</f>
        <v>3.6375999999999999</v>
      </c>
      <c r="N92" s="81">
        <f>3.6313 * CHOOSE(CONTROL!$C$32, $C$9, 100%, $E$9)</f>
        <v>3.6313</v>
      </c>
      <c r="O92" s="81">
        <f>3.6376 * CHOOSE(CONTROL!$C$32, $C$9, 100%, $E$9)</f>
        <v>3.6375999999999999</v>
      </c>
      <c r="P92" s="10"/>
      <c r="Q92" s="10"/>
      <c r="R92" s="10"/>
    </row>
    <row r="93" spans="1:18" ht="15">
      <c r="A93" s="16">
        <v>44044</v>
      </c>
      <c r="B93" s="80">
        <f>3.2415 * CHOOSE(CONTROL!$C$32, $C$9, 100%, $E$9)</f>
        <v>3.2414999999999998</v>
      </c>
      <c r="C93" s="80">
        <f>3.2415 * CHOOSE(CONTROL!$C$32, $C$9, 100%, $E$9)</f>
        <v>3.2414999999999998</v>
      </c>
      <c r="D93" s="80">
        <f>3.2466 * CHOOSE(CONTROL!$C$32, $C$9, 100%, $E$9)</f>
        <v>3.2465999999999999</v>
      </c>
      <c r="E93" s="81">
        <f>3.5839 * CHOOSE(CONTROL!$C$32, $C$9, 100%, $E$9)</f>
        <v>3.5838999999999999</v>
      </c>
      <c r="F93" s="81">
        <f>3.5839 * CHOOSE(CONTROL!$C$32, $C$9, 100%, $E$9)</f>
        <v>3.5838999999999999</v>
      </c>
      <c r="G93" s="81">
        <f>3.5902 * CHOOSE(CONTROL!$C$32, $C$9, 100%, $E$9)</f>
        <v>3.5901999999999998</v>
      </c>
      <c r="H93" s="81">
        <f>6.8566 * CHOOSE(CONTROL!$C$32, $C$9, 100%, $E$9)</f>
        <v>6.8566000000000003</v>
      </c>
      <c r="I93" s="81">
        <f>6.8629 * CHOOSE(CONTROL!$C$32, $C$9, 100%, $E$9)</f>
        <v>6.8628999999999998</v>
      </c>
      <c r="J93" s="81">
        <f>6.8566 * CHOOSE(CONTROL!$C$32, $C$9, 100%, $E$9)</f>
        <v>6.8566000000000003</v>
      </c>
      <c r="K93" s="81">
        <f>6.8629 * CHOOSE(CONTROL!$C$32, $C$9, 100%, $E$9)</f>
        <v>6.8628999999999998</v>
      </c>
      <c r="L93" s="81">
        <f>3.5839 * CHOOSE(CONTROL!$C$32, $C$9, 100%, $E$9)</f>
        <v>3.5838999999999999</v>
      </c>
      <c r="M93" s="81">
        <f>3.5902 * CHOOSE(CONTROL!$C$32, $C$9, 100%, $E$9)</f>
        <v>3.5901999999999998</v>
      </c>
      <c r="N93" s="81">
        <f>3.5839 * CHOOSE(CONTROL!$C$32, $C$9, 100%, $E$9)</f>
        <v>3.5838999999999999</v>
      </c>
      <c r="O93" s="81">
        <f>3.5902 * CHOOSE(CONTROL!$C$32, $C$9, 100%, $E$9)</f>
        <v>3.5901999999999998</v>
      </c>
      <c r="P93" s="10"/>
      <c r="Q93" s="10"/>
      <c r="R93" s="10"/>
    </row>
    <row r="94" spans="1:18" ht="15">
      <c r="A94" s="16">
        <v>44075</v>
      </c>
      <c r="B94" s="80">
        <f>3.2384 * CHOOSE(CONTROL!$C$32, $C$9, 100%, $E$9)</f>
        <v>3.2383999999999999</v>
      </c>
      <c r="C94" s="80">
        <f>3.2384 * CHOOSE(CONTROL!$C$32, $C$9, 100%, $E$9)</f>
        <v>3.2383999999999999</v>
      </c>
      <c r="D94" s="80">
        <f>3.2436 * CHOOSE(CONTROL!$C$32, $C$9, 100%, $E$9)</f>
        <v>3.2435999999999998</v>
      </c>
      <c r="E94" s="81">
        <f>3.576 * CHOOSE(CONTROL!$C$32, $C$9, 100%, $E$9)</f>
        <v>3.5760000000000001</v>
      </c>
      <c r="F94" s="81">
        <f>3.576 * CHOOSE(CONTROL!$C$32, $C$9, 100%, $E$9)</f>
        <v>3.5760000000000001</v>
      </c>
      <c r="G94" s="81">
        <f>3.5823 * CHOOSE(CONTROL!$C$32, $C$9, 100%, $E$9)</f>
        <v>3.5823</v>
      </c>
      <c r="H94" s="81">
        <f>6.8709 * CHOOSE(CONTROL!$C$32, $C$9, 100%, $E$9)</f>
        <v>6.8708999999999998</v>
      </c>
      <c r="I94" s="81">
        <f>6.8772 * CHOOSE(CONTROL!$C$32, $C$9, 100%, $E$9)</f>
        <v>6.8772000000000002</v>
      </c>
      <c r="J94" s="81">
        <f>6.8709 * CHOOSE(CONTROL!$C$32, $C$9, 100%, $E$9)</f>
        <v>6.8708999999999998</v>
      </c>
      <c r="K94" s="81">
        <f>6.8772 * CHOOSE(CONTROL!$C$32, $C$9, 100%, $E$9)</f>
        <v>6.8772000000000002</v>
      </c>
      <c r="L94" s="81">
        <f>3.576 * CHOOSE(CONTROL!$C$32, $C$9, 100%, $E$9)</f>
        <v>3.5760000000000001</v>
      </c>
      <c r="M94" s="81">
        <f>3.5823 * CHOOSE(CONTROL!$C$32, $C$9, 100%, $E$9)</f>
        <v>3.5823</v>
      </c>
      <c r="N94" s="81">
        <f>3.576 * CHOOSE(CONTROL!$C$32, $C$9, 100%, $E$9)</f>
        <v>3.5760000000000001</v>
      </c>
      <c r="O94" s="81">
        <f>3.5823 * CHOOSE(CONTROL!$C$32, $C$9, 100%, $E$9)</f>
        <v>3.5823</v>
      </c>
      <c r="P94" s="10"/>
      <c r="Q94" s="10"/>
      <c r="R94" s="10"/>
    </row>
    <row r="95" spans="1:18" ht="15">
      <c r="A95" s="16">
        <v>44105</v>
      </c>
      <c r="B95" s="80">
        <f>3.2304 * CHOOSE(CONTROL!$C$32, $C$9, 100%, $E$9)</f>
        <v>3.2303999999999999</v>
      </c>
      <c r="C95" s="80">
        <f>3.2304 * CHOOSE(CONTROL!$C$32, $C$9, 100%, $E$9)</f>
        <v>3.2303999999999999</v>
      </c>
      <c r="D95" s="80">
        <f>3.234 * CHOOSE(CONTROL!$C$32, $C$9, 100%, $E$9)</f>
        <v>3.234</v>
      </c>
      <c r="E95" s="81">
        <f>3.5857 * CHOOSE(CONTROL!$C$32, $C$9, 100%, $E$9)</f>
        <v>3.5857000000000001</v>
      </c>
      <c r="F95" s="81">
        <f>3.5857 * CHOOSE(CONTROL!$C$32, $C$9, 100%, $E$9)</f>
        <v>3.5857000000000001</v>
      </c>
      <c r="G95" s="81">
        <f>3.5901 * CHOOSE(CONTROL!$C$32, $C$9, 100%, $E$9)</f>
        <v>3.5901000000000001</v>
      </c>
      <c r="H95" s="81">
        <f>6.8852 * CHOOSE(CONTROL!$C$32, $C$9, 100%, $E$9)</f>
        <v>6.8852000000000002</v>
      </c>
      <c r="I95" s="81">
        <f>6.8896 * CHOOSE(CONTROL!$C$32, $C$9, 100%, $E$9)</f>
        <v>6.8895999999999997</v>
      </c>
      <c r="J95" s="81">
        <f>6.8852 * CHOOSE(CONTROL!$C$32, $C$9, 100%, $E$9)</f>
        <v>6.8852000000000002</v>
      </c>
      <c r="K95" s="81">
        <f>6.8896 * CHOOSE(CONTROL!$C$32, $C$9, 100%, $E$9)</f>
        <v>6.8895999999999997</v>
      </c>
      <c r="L95" s="81">
        <f>3.5857 * CHOOSE(CONTROL!$C$32, $C$9, 100%, $E$9)</f>
        <v>3.5857000000000001</v>
      </c>
      <c r="M95" s="81">
        <f>3.5901 * CHOOSE(CONTROL!$C$32, $C$9, 100%, $E$9)</f>
        <v>3.5901000000000001</v>
      </c>
      <c r="N95" s="81">
        <f>3.5857 * CHOOSE(CONTROL!$C$32, $C$9, 100%, $E$9)</f>
        <v>3.5857000000000001</v>
      </c>
      <c r="O95" s="81">
        <f>3.5901 * CHOOSE(CONTROL!$C$32, $C$9, 100%, $E$9)</f>
        <v>3.5901000000000001</v>
      </c>
      <c r="P95" s="10"/>
      <c r="Q95" s="10"/>
      <c r="R95" s="10"/>
    </row>
    <row r="96" spans="1:18" ht="15">
      <c r="A96" s="16">
        <v>44136</v>
      </c>
      <c r="B96" s="80">
        <f>3.2335 * CHOOSE(CONTROL!$C$32, $C$9, 100%, $E$9)</f>
        <v>3.2334999999999998</v>
      </c>
      <c r="C96" s="80">
        <f>3.2335 * CHOOSE(CONTROL!$C$32, $C$9, 100%, $E$9)</f>
        <v>3.2334999999999998</v>
      </c>
      <c r="D96" s="80">
        <f>3.237 * CHOOSE(CONTROL!$C$32, $C$9, 100%, $E$9)</f>
        <v>3.2370000000000001</v>
      </c>
      <c r="E96" s="81">
        <f>3.5994 * CHOOSE(CONTROL!$C$32, $C$9, 100%, $E$9)</f>
        <v>3.5994000000000002</v>
      </c>
      <c r="F96" s="81">
        <f>3.5994 * CHOOSE(CONTROL!$C$32, $C$9, 100%, $E$9)</f>
        <v>3.5994000000000002</v>
      </c>
      <c r="G96" s="81">
        <f>3.6037 * CHOOSE(CONTROL!$C$32, $C$9, 100%, $E$9)</f>
        <v>3.6036999999999999</v>
      </c>
      <c r="H96" s="81">
        <f>6.8996 * CHOOSE(CONTROL!$C$32, $C$9, 100%, $E$9)</f>
        <v>6.8996000000000004</v>
      </c>
      <c r="I96" s="81">
        <f>6.9039 * CHOOSE(CONTROL!$C$32, $C$9, 100%, $E$9)</f>
        <v>6.9039000000000001</v>
      </c>
      <c r="J96" s="81">
        <f>6.8996 * CHOOSE(CONTROL!$C$32, $C$9, 100%, $E$9)</f>
        <v>6.8996000000000004</v>
      </c>
      <c r="K96" s="81">
        <f>6.9039 * CHOOSE(CONTROL!$C$32, $C$9, 100%, $E$9)</f>
        <v>6.9039000000000001</v>
      </c>
      <c r="L96" s="81">
        <f>3.5994 * CHOOSE(CONTROL!$C$32, $C$9, 100%, $E$9)</f>
        <v>3.5994000000000002</v>
      </c>
      <c r="M96" s="81">
        <f>3.6037 * CHOOSE(CONTROL!$C$32, $C$9, 100%, $E$9)</f>
        <v>3.6036999999999999</v>
      </c>
      <c r="N96" s="81">
        <f>3.5994 * CHOOSE(CONTROL!$C$32, $C$9, 100%, $E$9)</f>
        <v>3.5994000000000002</v>
      </c>
      <c r="O96" s="81">
        <f>3.6037 * CHOOSE(CONTROL!$C$32, $C$9, 100%, $E$9)</f>
        <v>3.6036999999999999</v>
      </c>
      <c r="P96" s="10"/>
      <c r="Q96" s="10"/>
      <c r="R96" s="10"/>
    </row>
    <row r="97" spans="1:18" ht="15">
      <c r="A97" s="16">
        <v>44166</v>
      </c>
      <c r="B97" s="80">
        <f>3.2335 * CHOOSE(CONTROL!$C$32, $C$9, 100%, $E$9)</f>
        <v>3.2334999999999998</v>
      </c>
      <c r="C97" s="80">
        <f>3.2335 * CHOOSE(CONTROL!$C$32, $C$9, 100%, $E$9)</f>
        <v>3.2334999999999998</v>
      </c>
      <c r="D97" s="80">
        <f>3.237 * CHOOSE(CONTROL!$C$32, $C$9, 100%, $E$9)</f>
        <v>3.2370000000000001</v>
      </c>
      <c r="E97" s="81">
        <f>3.5704 * CHOOSE(CONTROL!$C$32, $C$9, 100%, $E$9)</f>
        <v>3.5703999999999998</v>
      </c>
      <c r="F97" s="81">
        <f>3.5704 * CHOOSE(CONTROL!$C$32, $C$9, 100%, $E$9)</f>
        <v>3.5703999999999998</v>
      </c>
      <c r="G97" s="81">
        <f>3.5748 * CHOOSE(CONTROL!$C$32, $C$9, 100%, $E$9)</f>
        <v>3.5748000000000002</v>
      </c>
      <c r="H97" s="81">
        <f>6.9139 * CHOOSE(CONTROL!$C$32, $C$9, 100%, $E$9)</f>
        <v>6.9138999999999999</v>
      </c>
      <c r="I97" s="81">
        <f>6.9183 * CHOOSE(CONTROL!$C$32, $C$9, 100%, $E$9)</f>
        <v>6.9183000000000003</v>
      </c>
      <c r="J97" s="81">
        <f>6.9139 * CHOOSE(CONTROL!$C$32, $C$9, 100%, $E$9)</f>
        <v>6.9138999999999999</v>
      </c>
      <c r="K97" s="81">
        <f>6.9183 * CHOOSE(CONTROL!$C$32, $C$9, 100%, $E$9)</f>
        <v>6.9183000000000003</v>
      </c>
      <c r="L97" s="81">
        <f>3.5704 * CHOOSE(CONTROL!$C$32, $C$9, 100%, $E$9)</f>
        <v>3.5703999999999998</v>
      </c>
      <c r="M97" s="81">
        <f>3.5748 * CHOOSE(CONTROL!$C$32, $C$9, 100%, $E$9)</f>
        <v>3.5748000000000002</v>
      </c>
      <c r="N97" s="81">
        <f>3.5704 * CHOOSE(CONTROL!$C$32, $C$9, 100%, $E$9)</f>
        <v>3.5703999999999998</v>
      </c>
      <c r="O97" s="81">
        <f>3.5748 * CHOOSE(CONTROL!$C$32, $C$9, 100%, $E$9)</f>
        <v>3.5748000000000002</v>
      </c>
      <c r="P97" s="10"/>
      <c r="Q97" s="10"/>
      <c r="R97" s="10"/>
    </row>
    <row r="98" spans="1:18" ht="15">
      <c r="A98" s="16">
        <v>44197</v>
      </c>
      <c r="B98" s="80">
        <f>3.2543 * CHOOSE(CONTROL!$C$32, $C$9, 100%, $E$9)</f>
        <v>3.2543000000000002</v>
      </c>
      <c r="C98" s="80">
        <f>3.2543 * CHOOSE(CONTROL!$C$32, $C$9, 100%, $E$9)</f>
        <v>3.2543000000000002</v>
      </c>
      <c r="D98" s="80">
        <f>3.2578 * CHOOSE(CONTROL!$C$32, $C$9, 100%, $E$9)</f>
        <v>3.2578</v>
      </c>
      <c r="E98" s="81">
        <f>3.6909 * CHOOSE(CONTROL!$C$32, $C$9, 100%, $E$9)</f>
        <v>3.6909000000000001</v>
      </c>
      <c r="F98" s="81">
        <f>3.6909 * CHOOSE(CONTROL!$C$32, $C$9, 100%, $E$9)</f>
        <v>3.6909000000000001</v>
      </c>
      <c r="G98" s="81">
        <f>3.6952 * CHOOSE(CONTROL!$C$32, $C$9, 100%, $E$9)</f>
        <v>3.6951999999999998</v>
      </c>
      <c r="H98" s="81">
        <f>6.9283 * CHOOSE(CONTROL!$C$32, $C$9, 100%, $E$9)</f>
        <v>6.9283000000000001</v>
      </c>
      <c r="I98" s="81">
        <f>6.9327 * CHOOSE(CONTROL!$C$32, $C$9, 100%, $E$9)</f>
        <v>6.9326999999999996</v>
      </c>
      <c r="J98" s="81">
        <f>6.9283 * CHOOSE(CONTROL!$C$32, $C$9, 100%, $E$9)</f>
        <v>6.9283000000000001</v>
      </c>
      <c r="K98" s="81">
        <f>6.9327 * CHOOSE(CONTROL!$C$32, $C$9, 100%, $E$9)</f>
        <v>6.9326999999999996</v>
      </c>
      <c r="L98" s="81">
        <f>3.6909 * CHOOSE(CONTROL!$C$32, $C$9, 100%, $E$9)</f>
        <v>3.6909000000000001</v>
      </c>
      <c r="M98" s="81">
        <f>3.6952 * CHOOSE(CONTROL!$C$32, $C$9, 100%, $E$9)</f>
        <v>3.6951999999999998</v>
      </c>
      <c r="N98" s="81">
        <f>3.6909 * CHOOSE(CONTROL!$C$32, $C$9, 100%, $E$9)</f>
        <v>3.6909000000000001</v>
      </c>
      <c r="O98" s="81">
        <f>3.6952 * CHOOSE(CONTROL!$C$32, $C$9, 100%, $E$9)</f>
        <v>3.6951999999999998</v>
      </c>
      <c r="P98" s="10"/>
      <c r="Q98" s="10"/>
      <c r="R98" s="10"/>
    </row>
    <row r="99" spans="1:18" ht="15">
      <c r="A99" s="16">
        <v>44228</v>
      </c>
      <c r="B99" s="80">
        <f>3.2513 * CHOOSE(CONTROL!$C$32, $C$9, 100%, $E$9)</f>
        <v>3.2513000000000001</v>
      </c>
      <c r="C99" s="80">
        <f>3.2513 * CHOOSE(CONTROL!$C$32, $C$9, 100%, $E$9)</f>
        <v>3.2513000000000001</v>
      </c>
      <c r="D99" s="80">
        <f>3.2548 * CHOOSE(CONTROL!$C$32, $C$9, 100%, $E$9)</f>
        <v>3.2547999999999999</v>
      </c>
      <c r="E99" s="81">
        <f>3.6298 * CHOOSE(CONTROL!$C$32, $C$9, 100%, $E$9)</f>
        <v>3.6297999999999999</v>
      </c>
      <c r="F99" s="81">
        <f>3.6298 * CHOOSE(CONTROL!$C$32, $C$9, 100%, $E$9)</f>
        <v>3.6297999999999999</v>
      </c>
      <c r="G99" s="81">
        <f>3.6342 * CHOOSE(CONTROL!$C$32, $C$9, 100%, $E$9)</f>
        <v>3.6341999999999999</v>
      </c>
      <c r="H99" s="81">
        <f>6.9428 * CHOOSE(CONTROL!$C$32, $C$9, 100%, $E$9)</f>
        <v>6.9428000000000001</v>
      </c>
      <c r="I99" s="81">
        <f>6.9471 * CHOOSE(CONTROL!$C$32, $C$9, 100%, $E$9)</f>
        <v>6.9470999999999998</v>
      </c>
      <c r="J99" s="81">
        <f>6.9428 * CHOOSE(CONTROL!$C$32, $C$9, 100%, $E$9)</f>
        <v>6.9428000000000001</v>
      </c>
      <c r="K99" s="81">
        <f>6.9471 * CHOOSE(CONTROL!$C$32, $C$9, 100%, $E$9)</f>
        <v>6.9470999999999998</v>
      </c>
      <c r="L99" s="81">
        <f>3.6298 * CHOOSE(CONTROL!$C$32, $C$9, 100%, $E$9)</f>
        <v>3.6297999999999999</v>
      </c>
      <c r="M99" s="81">
        <f>3.6342 * CHOOSE(CONTROL!$C$32, $C$9, 100%, $E$9)</f>
        <v>3.6341999999999999</v>
      </c>
      <c r="N99" s="81">
        <f>3.6298 * CHOOSE(CONTROL!$C$32, $C$9, 100%, $E$9)</f>
        <v>3.6297999999999999</v>
      </c>
      <c r="O99" s="81">
        <f>3.6342 * CHOOSE(CONTROL!$C$32, $C$9, 100%, $E$9)</f>
        <v>3.6341999999999999</v>
      </c>
      <c r="P99" s="10"/>
      <c r="Q99" s="10"/>
      <c r="R99" s="10"/>
    </row>
    <row r="100" spans="1:18" ht="15">
      <c r="A100" s="16">
        <v>44256</v>
      </c>
      <c r="B100" s="80">
        <f>3.2482 * CHOOSE(CONTROL!$C$32, $C$9, 100%, $E$9)</f>
        <v>3.2482000000000002</v>
      </c>
      <c r="C100" s="80">
        <f>3.2482 * CHOOSE(CONTROL!$C$32, $C$9, 100%, $E$9)</f>
        <v>3.2482000000000002</v>
      </c>
      <c r="D100" s="80">
        <f>3.2518 * CHOOSE(CONTROL!$C$32, $C$9, 100%, $E$9)</f>
        <v>3.2517999999999998</v>
      </c>
      <c r="E100" s="81">
        <f>3.6741 * CHOOSE(CONTROL!$C$32, $C$9, 100%, $E$9)</f>
        <v>3.6741000000000001</v>
      </c>
      <c r="F100" s="81">
        <f>3.6741 * CHOOSE(CONTROL!$C$32, $C$9, 100%, $E$9)</f>
        <v>3.6741000000000001</v>
      </c>
      <c r="G100" s="81">
        <f>3.6785 * CHOOSE(CONTROL!$C$32, $C$9, 100%, $E$9)</f>
        <v>3.6785000000000001</v>
      </c>
      <c r="H100" s="81">
        <f>6.9572 * CHOOSE(CONTROL!$C$32, $C$9, 100%, $E$9)</f>
        <v>6.9572000000000003</v>
      </c>
      <c r="I100" s="81">
        <f>6.9616 * CHOOSE(CONTROL!$C$32, $C$9, 100%, $E$9)</f>
        <v>6.9615999999999998</v>
      </c>
      <c r="J100" s="81">
        <f>6.9572 * CHOOSE(CONTROL!$C$32, $C$9, 100%, $E$9)</f>
        <v>6.9572000000000003</v>
      </c>
      <c r="K100" s="81">
        <f>6.9616 * CHOOSE(CONTROL!$C$32, $C$9, 100%, $E$9)</f>
        <v>6.9615999999999998</v>
      </c>
      <c r="L100" s="81">
        <f>3.6741 * CHOOSE(CONTROL!$C$32, $C$9, 100%, $E$9)</f>
        <v>3.6741000000000001</v>
      </c>
      <c r="M100" s="81">
        <f>3.6785 * CHOOSE(CONTROL!$C$32, $C$9, 100%, $E$9)</f>
        <v>3.6785000000000001</v>
      </c>
      <c r="N100" s="81">
        <f>3.6741 * CHOOSE(CONTROL!$C$32, $C$9, 100%, $E$9)</f>
        <v>3.6741000000000001</v>
      </c>
      <c r="O100" s="81">
        <f>3.6785 * CHOOSE(CONTROL!$C$32, $C$9, 100%, $E$9)</f>
        <v>3.6785000000000001</v>
      </c>
      <c r="P100" s="10"/>
      <c r="Q100" s="10"/>
      <c r="R100" s="10"/>
    </row>
    <row r="101" spans="1:18" ht="15">
      <c r="A101" s="16">
        <v>44287</v>
      </c>
      <c r="B101" s="80">
        <f>3.2451 * CHOOSE(CONTROL!$C$32, $C$9, 100%, $E$9)</f>
        <v>3.2450999999999999</v>
      </c>
      <c r="C101" s="80">
        <f>3.2451 * CHOOSE(CONTROL!$C$32, $C$9, 100%, $E$9)</f>
        <v>3.2450999999999999</v>
      </c>
      <c r="D101" s="80">
        <f>3.2486 * CHOOSE(CONTROL!$C$32, $C$9, 100%, $E$9)</f>
        <v>3.2486000000000002</v>
      </c>
      <c r="E101" s="81">
        <f>3.7198 * CHOOSE(CONTROL!$C$32, $C$9, 100%, $E$9)</f>
        <v>3.7198000000000002</v>
      </c>
      <c r="F101" s="81">
        <f>3.7198 * CHOOSE(CONTROL!$C$32, $C$9, 100%, $E$9)</f>
        <v>3.7198000000000002</v>
      </c>
      <c r="G101" s="81">
        <f>3.7242 * CHOOSE(CONTROL!$C$32, $C$9, 100%, $E$9)</f>
        <v>3.7242000000000002</v>
      </c>
      <c r="H101" s="81">
        <f>6.9717 * CHOOSE(CONTROL!$C$32, $C$9, 100%, $E$9)</f>
        <v>6.9717000000000002</v>
      </c>
      <c r="I101" s="81">
        <f>6.9761 * CHOOSE(CONTROL!$C$32, $C$9, 100%, $E$9)</f>
        <v>6.9760999999999997</v>
      </c>
      <c r="J101" s="81">
        <f>6.9717 * CHOOSE(CONTROL!$C$32, $C$9, 100%, $E$9)</f>
        <v>6.9717000000000002</v>
      </c>
      <c r="K101" s="81">
        <f>6.9761 * CHOOSE(CONTROL!$C$32, $C$9, 100%, $E$9)</f>
        <v>6.9760999999999997</v>
      </c>
      <c r="L101" s="81">
        <f>3.7198 * CHOOSE(CONTROL!$C$32, $C$9, 100%, $E$9)</f>
        <v>3.7198000000000002</v>
      </c>
      <c r="M101" s="81">
        <f>3.7242 * CHOOSE(CONTROL!$C$32, $C$9, 100%, $E$9)</f>
        <v>3.7242000000000002</v>
      </c>
      <c r="N101" s="81">
        <f>3.7198 * CHOOSE(CONTROL!$C$32, $C$9, 100%, $E$9)</f>
        <v>3.7198000000000002</v>
      </c>
      <c r="O101" s="81">
        <f>3.7242 * CHOOSE(CONTROL!$C$32, $C$9, 100%, $E$9)</f>
        <v>3.7242000000000002</v>
      </c>
      <c r="P101" s="10"/>
      <c r="Q101" s="10"/>
      <c r="R101" s="10"/>
    </row>
    <row r="102" spans="1:18" ht="15">
      <c r="A102" s="16">
        <v>44317</v>
      </c>
      <c r="B102" s="80">
        <f>3.2451 * CHOOSE(CONTROL!$C$32, $C$9, 100%, $E$9)</f>
        <v>3.2450999999999999</v>
      </c>
      <c r="C102" s="80">
        <f>3.2451 * CHOOSE(CONTROL!$C$32, $C$9, 100%, $E$9)</f>
        <v>3.2450999999999999</v>
      </c>
      <c r="D102" s="80">
        <f>3.2503 * CHOOSE(CONTROL!$C$32, $C$9, 100%, $E$9)</f>
        <v>3.2503000000000002</v>
      </c>
      <c r="E102" s="81">
        <f>3.7385 * CHOOSE(CONTROL!$C$32, $C$9, 100%, $E$9)</f>
        <v>3.7385000000000002</v>
      </c>
      <c r="F102" s="81">
        <f>3.7385 * CHOOSE(CONTROL!$C$32, $C$9, 100%, $E$9)</f>
        <v>3.7385000000000002</v>
      </c>
      <c r="G102" s="81">
        <f>3.7448 * CHOOSE(CONTROL!$C$32, $C$9, 100%, $E$9)</f>
        <v>3.7448000000000001</v>
      </c>
      <c r="H102" s="81">
        <f>6.9862 * CHOOSE(CONTROL!$C$32, $C$9, 100%, $E$9)</f>
        <v>6.9862000000000002</v>
      </c>
      <c r="I102" s="81">
        <f>6.9926 * CHOOSE(CONTROL!$C$32, $C$9, 100%, $E$9)</f>
        <v>6.9926000000000004</v>
      </c>
      <c r="J102" s="81">
        <f>6.9862 * CHOOSE(CONTROL!$C$32, $C$9, 100%, $E$9)</f>
        <v>6.9862000000000002</v>
      </c>
      <c r="K102" s="81">
        <f>6.9926 * CHOOSE(CONTROL!$C$32, $C$9, 100%, $E$9)</f>
        <v>6.9926000000000004</v>
      </c>
      <c r="L102" s="81">
        <f>3.7385 * CHOOSE(CONTROL!$C$32, $C$9, 100%, $E$9)</f>
        <v>3.7385000000000002</v>
      </c>
      <c r="M102" s="81">
        <f>3.7448 * CHOOSE(CONTROL!$C$32, $C$9, 100%, $E$9)</f>
        <v>3.7448000000000001</v>
      </c>
      <c r="N102" s="81">
        <f>3.7385 * CHOOSE(CONTROL!$C$32, $C$9, 100%, $E$9)</f>
        <v>3.7385000000000002</v>
      </c>
      <c r="O102" s="81">
        <f>3.7448 * CHOOSE(CONTROL!$C$32, $C$9, 100%, $E$9)</f>
        <v>3.7448000000000001</v>
      </c>
      <c r="P102" s="10"/>
      <c r="Q102" s="10"/>
      <c r="R102" s="10"/>
    </row>
    <row r="103" spans="1:18" ht="15">
      <c r="A103" s="16">
        <v>44348</v>
      </c>
      <c r="B103" s="80">
        <f>3.2512 * CHOOSE(CONTROL!$C$32, $C$9, 100%, $E$9)</f>
        <v>3.2511999999999999</v>
      </c>
      <c r="C103" s="80">
        <f>3.2512 * CHOOSE(CONTROL!$C$32, $C$9, 100%, $E$9)</f>
        <v>3.2511999999999999</v>
      </c>
      <c r="D103" s="80">
        <f>3.2563 * CHOOSE(CONTROL!$C$32, $C$9, 100%, $E$9)</f>
        <v>3.2563</v>
      </c>
      <c r="E103" s="81">
        <f>3.724 * CHOOSE(CONTROL!$C$32, $C$9, 100%, $E$9)</f>
        <v>3.7240000000000002</v>
      </c>
      <c r="F103" s="81">
        <f>3.724 * CHOOSE(CONTROL!$C$32, $C$9, 100%, $E$9)</f>
        <v>3.7240000000000002</v>
      </c>
      <c r="G103" s="81">
        <f>3.7304 * CHOOSE(CONTROL!$C$32, $C$9, 100%, $E$9)</f>
        <v>3.7303999999999999</v>
      </c>
      <c r="H103" s="81">
        <f>7.0008 * CHOOSE(CONTROL!$C$32, $C$9, 100%, $E$9)</f>
        <v>7.0007999999999999</v>
      </c>
      <c r="I103" s="81">
        <f>7.0071 * CHOOSE(CONTROL!$C$32, $C$9, 100%, $E$9)</f>
        <v>7.0071000000000003</v>
      </c>
      <c r="J103" s="81">
        <f>7.0008 * CHOOSE(CONTROL!$C$32, $C$9, 100%, $E$9)</f>
        <v>7.0007999999999999</v>
      </c>
      <c r="K103" s="81">
        <f>7.0071 * CHOOSE(CONTROL!$C$32, $C$9, 100%, $E$9)</f>
        <v>7.0071000000000003</v>
      </c>
      <c r="L103" s="81">
        <f>3.724 * CHOOSE(CONTROL!$C$32, $C$9, 100%, $E$9)</f>
        <v>3.7240000000000002</v>
      </c>
      <c r="M103" s="81">
        <f>3.7304 * CHOOSE(CONTROL!$C$32, $C$9, 100%, $E$9)</f>
        <v>3.7303999999999999</v>
      </c>
      <c r="N103" s="81">
        <f>3.724 * CHOOSE(CONTROL!$C$32, $C$9, 100%, $E$9)</f>
        <v>3.7240000000000002</v>
      </c>
      <c r="O103" s="81">
        <f>3.7304 * CHOOSE(CONTROL!$C$32, $C$9, 100%, $E$9)</f>
        <v>3.7303999999999999</v>
      </c>
      <c r="P103" s="10"/>
      <c r="Q103" s="10"/>
      <c r="R103" s="10"/>
    </row>
    <row r="104" spans="1:18" ht="15">
      <c r="A104" s="16">
        <v>44378</v>
      </c>
      <c r="B104" s="80">
        <f>3.2867 * CHOOSE(CONTROL!$C$32, $C$9, 100%, $E$9)</f>
        <v>3.2867000000000002</v>
      </c>
      <c r="C104" s="80">
        <f>3.2867 * CHOOSE(CONTROL!$C$32, $C$9, 100%, $E$9)</f>
        <v>3.2867000000000002</v>
      </c>
      <c r="D104" s="80">
        <f>3.2918 * CHOOSE(CONTROL!$C$32, $C$9, 100%, $E$9)</f>
        <v>3.2917999999999998</v>
      </c>
      <c r="E104" s="81">
        <f>3.8884 * CHOOSE(CONTROL!$C$32, $C$9, 100%, $E$9)</f>
        <v>3.8883999999999999</v>
      </c>
      <c r="F104" s="81">
        <f>3.8884 * CHOOSE(CONTROL!$C$32, $C$9, 100%, $E$9)</f>
        <v>3.8883999999999999</v>
      </c>
      <c r="G104" s="81">
        <f>3.8947 * CHOOSE(CONTROL!$C$32, $C$9, 100%, $E$9)</f>
        <v>3.8946999999999998</v>
      </c>
      <c r="H104" s="81">
        <f>7.0154 * CHOOSE(CONTROL!$C$32, $C$9, 100%, $E$9)</f>
        <v>7.0153999999999996</v>
      </c>
      <c r="I104" s="81">
        <f>7.0217 * CHOOSE(CONTROL!$C$32, $C$9, 100%, $E$9)</f>
        <v>7.0217000000000001</v>
      </c>
      <c r="J104" s="81">
        <f>7.0154 * CHOOSE(CONTROL!$C$32, $C$9, 100%, $E$9)</f>
        <v>7.0153999999999996</v>
      </c>
      <c r="K104" s="81">
        <f>7.0217 * CHOOSE(CONTROL!$C$32, $C$9, 100%, $E$9)</f>
        <v>7.0217000000000001</v>
      </c>
      <c r="L104" s="81">
        <f>3.8884 * CHOOSE(CONTROL!$C$32, $C$9, 100%, $E$9)</f>
        <v>3.8883999999999999</v>
      </c>
      <c r="M104" s="81">
        <f>3.8947 * CHOOSE(CONTROL!$C$32, $C$9, 100%, $E$9)</f>
        <v>3.8946999999999998</v>
      </c>
      <c r="N104" s="81">
        <f>3.8884 * CHOOSE(CONTROL!$C$32, $C$9, 100%, $E$9)</f>
        <v>3.8883999999999999</v>
      </c>
      <c r="O104" s="81">
        <f>3.8947 * CHOOSE(CONTROL!$C$32, $C$9, 100%, $E$9)</f>
        <v>3.8946999999999998</v>
      </c>
      <c r="P104" s="10"/>
      <c r="Q104" s="10"/>
      <c r="R104" s="10"/>
    </row>
    <row r="105" spans="1:18" ht="15">
      <c r="A105" s="16">
        <v>44409</v>
      </c>
      <c r="B105" s="80">
        <f>3.2934 * CHOOSE(CONTROL!$C$32, $C$9, 100%, $E$9)</f>
        <v>3.2934000000000001</v>
      </c>
      <c r="C105" s="80">
        <f>3.2934 * CHOOSE(CONTROL!$C$32, $C$9, 100%, $E$9)</f>
        <v>3.2934000000000001</v>
      </c>
      <c r="D105" s="80">
        <f>3.2985 * CHOOSE(CONTROL!$C$32, $C$9, 100%, $E$9)</f>
        <v>3.2985000000000002</v>
      </c>
      <c r="E105" s="81">
        <f>3.8369 * CHOOSE(CONTROL!$C$32, $C$9, 100%, $E$9)</f>
        <v>3.8369</v>
      </c>
      <c r="F105" s="81">
        <f>3.8369 * CHOOSE(CONTROL!$C$32, $C$9, 100%, $E$9)</f>
        <v>3.8369</v>
      </c>
      <c r="G105" s="81">
        <f>3.8432 * CHOOSE(CONTROL!$C$32, $C$9, 100%, $E$9)</f>
        <v>3.8431999999999999</v>
      </c>
      <c r="H105" s="81">
        <f>7.03 * CHOOSE(CONTROL!$C$32, $C$9, 100%, $E$9)</f>
        <v>7.03</v>
      </c>
      <c r="I105" s="81">
        <f>7.0363 * CHOOSE(CONTROL!$C$32, $C$9, 100%, $E$9)</f>
        <v>7.0362999999999998</v>
      </c>
      <c r="J105" s="81">
        <f>7.03 * CHOOSE(CONTROL!$C$32, $C$9, 100%, $E$9)</f>
        <v>7.03</v>
      </c>
      <c r="K105" s="81">
        <f>7.0363 * CHOOSE(CONTROL!$C$32, $C$9, 100%, $E$9)</f>
        <v>7.0362999999999998</v>
      </c>
      <c r="L105" s="81">
        <f>3.8369 * CHOOSE(CONTROL!$C$32, $C$9, 100%, $E$9)</f>
        <v>3.8369</v>
      </c>
      <c r="M105" s="81">
        <f>3.8432 * CHOOSE(CONTROL!$C$32, $C$9, 100%, $E$9)</f>
        <v>3.8431999999999999</v>
      </c>
      <c r="N105" s="81">
        <f>3.8369 * CHOOSE(CONTROL!$C$32, $C$9, 100%, $E$9)</f>
        <v>3.8369</v>
      </c>
      <c r="O105" s="81">
        <f>3.8432 * CHOOSE(CONTROL!$C$32, $C$9, 100%, $E$9)</f>
        <v>3.8431999999999999</v>
      </c>
      <c r="P105" s="10"/>
      <c r="Q105" s="10"/>
      <c r="R105" s="10"/>
    </row>
    <row r="106" spans="1:18" ht="15">
      <c r="A106" s="16">
        <v>44440</v>
      </c>
      <c r="B106" s="80">
        <f>3.2903 * CHOOSE(CONTROL!$C$32, $C$9, 100%, $E$9)</f>
        <v>3.2902999999999998</v>
      </c>
      <c r="C106" s="80">
        <f>3.2903 * CHOOSE(CONTROL!$C$32, $C$9, 100%, $E$9)</f>
        <v>3.2902999999999998</v>
      </c>
      <c r="D106" s="80">
        <f>3.2955 * CHOOSE(CONTROL!$C$32, $C$9, 100%, $E$9)</f>
        <v>3.2955000000000001</v>
      </c>
      <c r="E106" s="81">
        <f>3.8285 * CHOOSE(CONTROL!$C$32, $C$9, 100%, $E$9)</f>
        <v>3.8285</v>
      </c>
      <c r="F106" s="81">
        <f>3.8285 * CHOOSE(CONTROL!$C$32, $C$9, 100%, $E$9)</f>
        <v>3.8285</v>
      </c>
      <c r="G106" s="81">
        <f>3.8349 * CHOOSE(CONTROL!$C$32, $C$9, 100%, $E$9)</f>
        <v>3.8349000000000002</v>
      </c>
      <c r="H106" s="81">
        <f>7.0446 * CHOOSE(CONTROL!$C$32, $C$9, 100%, $E$9)</f>
        <v>7.0446</v>
      </c>
      <c r="I106" s="81">
        <f>7.051 * CHOOSE(CONTROL!$C$32, $C$9, 100%, $E$9)</f>
        <v>7.0510000000000002</v>
      </c>
      <c r="J106" s="81">
        <f>7.0446 * CHOOSE(CONTROL!$C$32, $C$9, 100%, $E$9)</f>
        <v>7.0446</v>
      </c>
      <c r="K106" s="81">
        <f>7.051 * CHOOSE(CONTROL!$C$32, $C$9, 100%, $E$9)</f>
        <v>7.0510000000000002</v>
      </c>
      <c r="L106" s="81">
        <f>3.8285 * CHOOSE(CONTROL!$C$32, $C$9, 100%, $E$9)</f>
        <v>3.8285</v>
      </c>
      <c r="M106" s="81">
        <f>3.8349 * CHOOSE(CONTROL!$C$32, $C$9, 100%, $E$9)</f>
        <v>3.8349000000000002</v>
      </c>
      <c r="N106" s="81">
        <f>3.8285 * CHOOSE(CONTROL!$C$32, $C$9, 100%, $E$9)</f>
        <v>3.8285</v>
      </c>
      <c r="O106" s="81">
        <f>3.8349 * CHOOSE(CONTROL!$C$32, $C$9, 100%, $E$9)</f>
        <v>3.8349000000000002</v>
      </c>
      <c r="P106" s="10"/>
      <c r="Q106" s="10"/>
      <c r="R106" s="10"/>
    </row>
    <row r="107" spans="1:18" ht="15">
      <c r="A107" s="16">
        <v>44470</v>
      </c>
      <c r="B107" s="80">
        <f>3.2826 * CHOOSE(CONTROL!$C$32, $C$9, 100%, $E$9)</f>
        <v>3.2826</v>
      </c>
      <c r="C107" s="80">
        <f>3.2826 * CHOOSE(CONTROL!$C$32, $C$9, 100%, $E$9)</f>
        <v>3.2826</v>
      </c>
      <c r="D107" s="80">
        <f>3.2861 * CHOOSE(CONTROL!$C$32, $C$9, 100%, $E$9)</f>
        <v>3.2860999999999998</v>
      </c>
      <c r="E107" s="81">
        <f>3.8401 * CHOOSE(CONTROL!$C$32, $C$9, 100%, $E$9)</f>
        <v>3.8401000000000001</v>
      </c>
      <c r="F107" s="81">
        <f>3.8401 * CHOOSE(CONTROL!$C$32, $C$9, 100%, $E$9)</f>
        <v>3.8401000000000001</v>
      </c>
      <c r="G107" s="81">
        <f>3.8444 * CHOOSE(CONTROL!$C$32, $C$9, 100%, $E$9)</f>
        <v>3.8443999999999998</v>
      </c>
      <c r="H107" s="81">
        <f>7.0593 * CHOOSE(CONTROL!$C$32, $C$9, 100%, $E$9)</f>
        <v>7.0593000000000004</v>
      </c>
      <c r="I107" s="81">
        <f>7.0637 * CHOOSE(CONTROL!$C$32, $C$9, 100%, $E$9)</f>
        <v>7.0636999999999999</v>
      </c>
      <c r="J107" s="81">
        <f>7.0593 * CHOOSE(CONTROL!$C$32, $C$9, 100%, $E$9)</f>
        <v>7.0593000000000004</v>
      </c>
      <c r="K107" s="81">
        <f>7.0637 * CHOOSE(CONTROL!$C$32, $C$9, 100%, $E$9)</f>
        <v>7.0636999999999999</v>
      </c>
      <c r="L107" s="81">
        <f>3.8401 * CHOOSE(CONTROL!$C$32, $C$9, 100%, $E$9)</f>
        <v>3.8401000000000001</v>
      </c>
      <c r="M107" s="81">
        <f>3.8444 * CHOOSE(CONTROL!$C$32, $C$9, 100%, $E$9)</f>
        <v>3.8443999999999998</v>
      </c>
      <c r="N107" s="81">
        <f>3.8401 * CHOOSE(CONTROL!$C$32, $C$9, 100%, $E$9)</f>
        <v>3.8401000000000001</v>
      </c>
      <c r="O107" s="81">
        <f>3.8444 * CHOOSE(CONTROL!$C$32, $C$9, 100%, $E$9)</f>
        <v>3.8443999999999998</v>
      </c>
      <c r="P107" s="10"/>
      <c r="Q107" s="10"/>
      <c r="R107" s="10"/>
    </row>
    <row r="108" spans="1:18" ht="15">
      <c r="A108" s="16">
        <v>44501</v>
      </c>
      <c r="B108" s="80">
        <f>3.2856 * CHOOSE(CONTROL!$C$32, $C$9, 100%, $E$9)</f>
        <v>3.2856000000000001</v>
      </c>
      <c r="C108" s="80">
        <f>3.2856 * CHOOSE(CONTROL!$C$32, $C$9, 100%, $E$9)</f>
        <v>3.2856000000000001</v>
      </c>
      <c r="D108" s="80">
        <f>3.2892 * CHOOSE(CONTROL!$C$32, $C$9, 100%, $E$9)</f>
        <v>3.2892000000000001</v>
      </c>
      <c r="E108" s="81">
        <f>3.8547 * CHOOSE(CONTROL!$C$32, $C$9, 100%, $E$9)</f>
        <v>3.8546999999999998</v>
      </c>
      <c r="F108" s="81">
        <f>3.8547 * CHOOSE(CONTROL!$C$32, $C$9, 100%, $E$9)</f>
        <v>3.8546999999999998</v>
      </c>
      <c r="G108" s="81">
        <f>3.859 * CHOOSE(CONTROL!$C$32, $C$9, 100%, $E$9)</f>
        <v>3.859</v>
      </c>
      <c r="H108" s="81">
        <f>7.074 * CHOOSE(CONTROL!$C$32, $C$9, 100%, $E$9)</f>
        <v>7.0739999999999998</v>
      </c>
      <c r="I108" s="81">
        <f>7.0784 * CHOOSE(CONTROL!$C$32, $C$9, 100%, $E$9)</f>
        <v>7.0784000000000002</v>
      </c>
      <c r="J108" s="81">
        <f>7.074 * CHOOSE(CONTROL!$C$32, $C$9, 100%, $E$9)</f>
        <v>7.0739999999999998</v>
      </c>
      <c r="K108" s="81">
        <f>7.0784 * CHOOSE(CONTROL!$C$32, $C$9, 100%, $E$9)</f>
        <v>7.0784000000000002</v>
      </c>
      <c r="L108" s="81">
        <f>3.8547 * CHOOSE(CONTROL!$C$32, $C$9, 100%, $E$9)</f>
        <v>3.8546999999999998</v>
      </c>
      <c r="M108" s="81">
        <f>3.859 * CHOOSE(CONTROL!$C$32, $C$9, 100%, $E$9)</f>
        <v>3.859</v>
      </c>
      <c r="N108" s="81">
        <f>3.8547 * CHOOSE(CONTROL!$C$32, $C$9, 100%, $E$9)</f>
        <v>3.8546999999999998</v>
      </c>
      <c r="O108" s="81">
        <f>3.859 * CHOOSE(CONTROL!$C$32, $C$9, 100%, $E$9)</f>
        <v>3.859</v>
      </c>
      <c r="P108" s="10"/>
      <c r="Q108" s="10"/>
      <c r="R108" s="10"/>
    </row>
    <row r="109" spans="1:18" ht="15">
      <c r="A109" s="16">
        <v>44531</v>
      </c>
      <c r="B109" s="80">
        <f>3.2856 * CHOOSE(CONTROL!$C$32, $C$9, 100%, $E$9)</f>
        <v>3.2856000000000001</v>
      </c>
      <c r="C109" s="80">
        <f>3.2856 * CHOOSE(CONTROL!$C$32, $C$9, 100%, $E$9)</f>
        <v>3.2856000000000001</v>
      </c>
      <c r="D109" s="80">
        <f>3.2892 * CHOOSE(CONTROL!$C$32, $C$9, 100%, $E$9)</f>
        <v>3.2892000000000001</v>
      </c>
      <c r="E109" s="81">
        <f>3.8235 * CHOOSE(CONTROL!$C$32, $C$9, 100%, $E$9)</f>
        <v>3.8235000000000001</v>
      </c>
      <c r="F109" s="81">
        <f>3.8235 * CHOOSE(CONTROL!$C$32, $C$9, 100%, $E$9)</f>
        <v>3.8235000000000001</v>
      </c>
      <c r="G109" s="81">
        <f>3.8278 * CHOOSE(CONTROL!$C$32, $C$9, 100%, $E$9)</f>
        <v>3.8277999999999999</v>
      </c>
      <c r="H109" s="81">
        <f>7.0888 * CHOOSE(CONTROL!$C$32, $C$9, 100%, $E$9)</f>
        <v>7.0888</v>
      </c>
      <c r="I109" s="81">
        <f>7.0931 * CHOOSE(CONTROL!$C$32, $C$9, 100%, $E$9)</f>
        <v>7.0930999999999997</v>
      </c>
      <c r="J109" s="81">
        <f>7.0888 * CHOOSE(CONTROL!$C$32, $C$9, 100%, $E$9)</f>
        <v>7.0888</v>
      </c>
      <c r="K109" s="81">
        <f>7.0931 * CHOOSE(CONTROL!$C$32, $C$9, 100%, $E$9)</f>
        <v>7.0930999999999997</v>
      </c>
      <c r="L109" s="81">
        <f>3.8235 * CHOOSE(CONTROL!$C$32, $C$9, 100%, $E$9)</f>
        <v>3.8235000000000001</v>
      </c>
      <c r="M109" s="81">
        <f>3.8278 * CHOOSE(CONTROL!$C$32, $C$9, 100%, $E$9)</f>
        <v>3.8277999999999999</v>
      </c>
      <c r="N109" s="81">
        <f>3.8235 * CHOOSE(CONTROL!$C$32, $C$9, 100%, $E$9)</f>
        <v>3.8235000000000001</v>
      </c>
      <c r="O109" s="81">
        <f>3.8278 * CHOOSE(CONTROL!$C$32, $C$9, 100%, $E$9)</f>
        <v>3.8277999999999999</v>
      </c>
      <c r="P109" s="10"/>
      <c r="Q109" s="10"/>
      <c r="R109" s="10"/>
    </row>
    <row r="110" spans="1:18" ht="15">
      <c r="A110" s="16">
        <v>44562</v>
      </c>
      <c r="B110" s="80">
        <f>3.315 * CHOOSE(CONTROL!$C$32, $C$9, 100%, $E$9)</f>
        <v>3.3149999999999999</v>
      </c>
      <c r="C110" s="80">
        <f>3.315 * CHOOSE(CONTROL!$C$32, $C$9, 100%, $E$9)</f>
        <v>3.3149999999999999</v>
      </c>
      <c r="D110" s="80">
        <f>3.3186 * CHOOSE(CONTROL!$C$32, $C$9, 100%, $E$9)</f>
        <v>3.3186</v>
      </c>
      <c r="E110" s="81">
        <f>3.9024 * CHOOSE(CONTROL!$C$32, $C$9, 100%, $E$9)</f>
        <v>3.9024000000000001</v>
      </c>
      <c r="F110" s="81">
        <f>3.9024 * CHOOSE(CONTROL!$C$32, $C$9, 100%, $E$9)</f>
        <v>3.9024000000000001</v>
      </c>
      <c r="G110" s="81">
        <f>3.9068 * CHOOSE(CONTROL!$C$32, $C$9, 100%, $E$9)</f>
        <v>3.9068000000000001</v>
      </c>
      <c r="H110" s="81">
        <f>7.1035 * CHOOSE(CONTROL!$C$32, $C$9, 100%, $E$9)</f>
        <v>7.1035000000000004</v>
      </c>
      <c r="I110" s="81">
        <f>7.1079 * CHOOSE(CONTROL!$C$32, $C$9, 100%, $E$9)</f>
        <v>7.1078999999999999</v>
      </c>
      <c r="J110" s="81">
        <f>7.1035 * CHOOSE(CONTROL!$C$32, $C$9, 100%, $E$9)</f>
        <v>7.1035000000000004</v>
      </c>
      <c r="K110" s="81">
        <f>7.1079 * CHOOSE(CONTROL!$C$32, $C$9, 100%, $E$9)</f>
        <v>7.1078999999999999</v>
      </c>
      <c r="L110" s="81">
        <f>3.9024 * CHOOSE(CONTROL!$C$32, $C$9, 100%, $E$9)</f>
        <v>3.9024000000000001</v>
      </c>
      <c r="M110" s="81">
        <f>3.9068 * CHOOSE(CONTROL!$C$32, $C$9, 100%, $E$9)</f>
        <v>3.9068000000000001</v>
      </c>
      <c r="N110" s="81">
        <f>3.9024 * CHOOSE(CONTROL!$C$32, $C$9, 100%, $E$9)</f>
        <v>3.9024000000000001</v>
      </c>
      <c r="O110" s="81">
        <f>3.9068 * CHOOSE(CONTROL!$C$32, $C$9, 100%, $E$9)</f>
        <v>3.9068000000000001</v>
      </c>
      <c r="P110" s="10"/>
      <c r="Q110" s="10"/>
      <c r="R110" s="10"/>
    </row>
    <row r="111" spans="1:18" ht="15">
      <c r="A111" s="16">
        <v>44593</v>
      </c>
      <c r="B111" s="80">
        <f>3.312 * CHOOSE(CONTROL!$C$32, $C$9, 100%, $E$9)</f>
        <v>3.3119999999999998</v>
      </c>
      <c r="C111" s="80">
        <f>3.312 * CHOOSE(CONTROL!$C$32, $C$9, 100%, $E$9)</f>
        <v>3.3119999999999998</v>
      </c>
      <c r="D111" s="80">
        <f>3.3156 * CHOOSE(CONTROL!$C$32, $C$9, 100%, $E$9)</f>
        <v>3.3155999999999999</v>
      </c>
      <c r="E111" s="81">
        <f>3.8381 * CHOOSE(CONTROL!$C$32, $C$9, 100%, $E$9)</f>
        <v>3.8380999999999998</v>
      </c>
      <c r="F111" s="81">
        <f>3.8381 * CHOOSE(CONTROL!$C$32, $C$9, 100%, $E$9)</f>
        <v>3.8380999999999998</v>
      </c>
      <c r="G111" s="81">
        <f>3.8425 * CHOOSE(CONTROL!$C$32, $C$9, 100%, $E$9)</f>
        <v>3.8424999999999998</v>
      </c>
      <c r="H111" s="81">
        <f>7.1183 * CHOOSE(CONTROL!$C$32, $C$9, 100%, $E$9)</f>
        <v>7.1182999999999996</v>
      </c>
      <c r="I111" s="81">
        <f>7.1227 * CHOOSE(CONTROL!$C$32, $C$9, 100%, $E$9)</f>
        <v>7.1227</v>
      </c>
      <c r="J111" s="81">
        <f>7.1183 * CHOOSE(CONTROL!$C$32, $C$9, 100%, $E$9)</f>
        <v>7.1182999999999996</v>
      </c>
      <c r="K111" s="81">
        <f>7.1227 * CHOOSE(CONTROL!$C$32, $C$9, 100%, $E$9)</f>
        <v>7.1227</v>
      </c>
      <c r="L111" s="81">
        <f>3.8381 * CHOOSE(CONTROL!$C$32, $C$9, 100%, $E$9)</f>
        <v>3.8380999999999998</v>
      </c>
      <c r="M111" s="81">
        <f>3.8425 * CHOOSE(CONTROL!$C$32, $C$9, 100%, $E$9)</f>
        <v>3.8424999999999998</v>
      </c>
      <c r="N111" s="81">
        <f>3.8381 * CHOOSE(CONTROL!$C$32, $C$9, 100%, $E$9)</f>
        <v>3.8380999999999998</v>
      </c>
      <c r="O111" s="81">
        <f>3.8425 * CHOOSE(CONTROL!$C$32, $C$9, 100%, $E$9)</f>
        <v>3.8424999999999998</v>
      </c>
      <c r="P111" s="10"/>
      <c r="Q111" s="10"/>
      <c r="R111" s="10"/>
    </row>
    <row r="112" spans="1:18" ht="15">
      <c r="A112" s="16">
        <v>44621</v>
      </c>
      <c r="B112" s="80">
        <f>3.309 * CHOOSE(CONTROL!$C$32, $C$9, 100%, $E$9)</f>
        <v>3.3090000000000002</v>
      </c>
      <c r="C112" s="80">
        <f>3.309 * CHOOSE(CONTROL!$C$32, $C$9, 100%, $E$9)</f>
        <v>3.3090000000000002</v>
      </c>
      <c r="D112" s="80">
        <f>3.3125 * CHOOSE(CONTROL!$C$32, $C$9, 100%, $E$9)</f>
        <v>3.3125</v>
      </c>
      <c r="E112" s="81">
        <f>3.885 * CHOOSE(CONTROL!$C$32, $C$9, 100%, $E$9)</f>
        <v>3.8849999999999998</v>
      </c>
      <c r="F112" s="81">
        <f>3.885 * CHOOSE(CONTROL!$C$32, $C$9, 100%, $E$9)</f>
        <v>3.8849999999999998</v>
      </c>
      <c r="G112" s="81">
        <f>3.8894 * CHOOSE(CONTROL!$C$32, $C$9, 100%, $E$9)</f>
        <v>3.8894000000000002</v>
      </c>
      <c r="H112" s="81">
        <f>7.1332 * CHOOSE(CONTROL!$C$32, $C$9, 100%, $E$9)</f>
        <v>7.1332000000000004</v>
      </c>
      <c r="I112" s="81">
        <f>7.1375 * CHOOSE(CONTROL!$C$32, $C$9, 100%, $E$9)</f>
        <v>7.1375000000000002</v>
      </c>
      <c r="J112" s="81">
        <f>7.1332 * CHOOSE(CONTROL!$C$32, $C$9, 100%, $E$9)</f>
        <v>7.1332000000000004</v>
      </c>
      <c r="K112" s="81">
        <f>7.1375 * CHOOSE(CONTROL!$C$32, $C$9, 100%, $E$9)</f>
        <v>7.1375000000000002</v>
      </c>
      <c r="L112" s="81">
        <f>3.885 * CHOOSE(CONTROL!$C$32, $C$9, 100%, $E$9)</f>
        <v>3.8849999999999998</v>
      </c>
      <c r="M112" s="81">
        <f>3.8894 * CHOOSE(CONTROL!$C$32, $C$9, 100%, $E$9)</f>
        <v>3.8894000000000002</v>
      </c>
      <c r="N112" s="81">
        <f>3.885 * CHOOSE(CONTROL!$C$32, $C$9, 100%, $E$9)</f>
        <v>3.8849999999999998</v>
      </c>
      <c r="O112" s="81">
        <f>3.8894 * CHOOSE(CONTROL!$C$32, $C$9, 100%, $E$9)</f>
        <v>3.8894000000000002</v>
      </c>
      <c r="P112" s="10"/>
      <c r="Q112" s="10"/>
      <c r="R112" s="10"/>
    </row>
    <row r="113" spans="1:18" ht="15">
      <c r="A113" s="16">
        <v>44652</v>
      </c>
      <c r="B113" s="80">
        <f>3.3059 * CHOOSE(CONTROL!$C$32, $C$9, 100%, $E$9)</f>
        <v>3.3058999999999998</v>
      </c>
      <c r="C113" s="80">
        <f>3.3059 * CHOOSE(CONTROL!$C$32, $C$9, 100%, $E$9)</f>
        <v>3.3058999999999998</v>
      </c>
      <c r="D113" s="80">
        <f>3.3095 * CHOOSE(CONTROL!$C$32, $C$9, 100%, $E$9)</f>
        <v>3.3094999999999999</v>
      </c>
      <c r="E113" s="81">
        <f>3.9334 * CHOOSE(CONTROL!$C$32, $C$9, 100%, $E$9)</f>
        <v>3.9333999999999998</v>
      </c>
      <c r="F113" s="81">
        <f>3.9334 * CHOOSE(CONTROL!$C$32, $C$9, 100%, $E$9)</f>
        <v>3.9333999999999998</v>
      </c>
      <c r="G113" s="81">
        <f>3.9378 * CHOOSE(CONTROL!$C$32, $C$9, 100%, $E$9)</f>
        <v>3.9378000000000002</v>
      </c>
      <c r="H113" s="81">
        <f>7.148 * CHOOSE(CONTROL!$C$32, $C$9, 100%, $E$9)</f>
        <v>7.1479999999999997</v>
      </c>
      <c r="I113" s="81">
        <f>7.1524 * CHOOSE(CONTROL!$C$32, $C$9, 100%, $E$9)</f>
        <v>7.1524000000000001</v>
      </c>
      <c r="J113" s="81">
        <f>7.148 * CHOOSE(CONTROL!$C$32, $C$9, 100%, $E$9)</f>
        <v>7.1479999999999997</v>
      </c>
      <c r="K113" s="81">
        <f>7.1524 * CHOOSE(CONTROL!$C$32, $C$9, 100%, $E$9)</f>
        <v>7.1524000000000001</v>
      </c>
      <c r="L113" s="81">
        <f>3.9334 * CHOOSE(CONTROL!$C$32, $C$9, 100%, $E$9)</f>
        <v>3.9333999999999998</v>
      </c>
      <c r="M113" s="81">
        <f>3.9378 * CHOOSE(CONTROL!$C$32, $C$9, 100%, $E$9)</f>
        <v>3.9378000000000002</v>
      </c>
      <c r="N113" s="81">
        <f>3.9334 * CHOOSE(CONTROL!$C$32, $C$9, 100%, $E$9)</f>
        <v>3.9333999999999998</v>
      </c>
      <c r="O113" s="81">
        <f>3.9378 * CHOOSE(CONTROL!$C$32, $C$9, 100%, $E$9)</f>
        <v>3.9378000000000002</v>
      </c>
      <c r="P113" s="10"/>
      <c r="Q113" s="10"/>
      <c r="R113" s="10"/>
    </row>
    <row r="114" spans="1:18" ht="15">
      <c r="A114" s="16">
        <v>44682</v>
      </c>
      <c r="B114" s="80">
        <f>3.3059 * CHOOSE(CONTROL!$C$32, $C$9, 100%, $E$9)</f>
        <v>3.3058999999999998</v>
      </c>
      <c r="C114" s="80">
        <f>3.3059 * CHOOSE(CONTROL!$C$32, $C$9, 100%, $E$9)</f>
        <v>3.3058999999999998</v>
      </c>
      <c r="D114" s="80">
        <f>3.3111 * CHOOSE(CONTROL!$C$32, $C$9, 100%, $E$9)</f>
        <v>3.3111000000000002</v>
      </c>
      <c r="E114" s="81">
        <f>3.9531 * CHOOSE(CONTROL!$C$32, $C$9, 100%, $E$9)</f>
        <v>3.9531000000000001</v>
      </c>
      <c r="F114" s="81">
        <f>3.9531 * CHOOSE(CONTROL!$C$32, $C$9, 100%, $E$9)</f>
        <v>3.9531000000000001</v>
      </c>
      <c r="G114" s="81">
        <f>3.9595 * CHOOSE(CONTROL!$C$32, $C$9, 100%, $E$9)</f>
        <v>3.9594999999999998</v>
      </c>
      <c r="H114" s="81">
        <f>7.1629 * CHOOSE(CONTROL!$C$32, $C$9, 100%, $E$9)</f>
        <v>7.1628999999999996</v>
      </c>
      <c r="I114" s="81">
        <f>7.1692 * CHOOSE(CONTROL!$C$32, $C$9, 100%, $E$9)</f>
        <v>7.1692</v>
      </c>
      <c r="J114" s="81">
        <f>7.1629 * CHOOSE(CONTROL!$C$32, $C$9, 100%, $E$9)</f>
        <v>7.1628999999999996</v>
      </c>
      <c r="K114" s="81">
        <f>7.1692 * CHOOSE(CONTROL!$C$32, $C$9, 100%, $E$9)</f>
        <v>7.1692</v>
      </c>
      <c r="L114" s="81">
        <f>3.9531 * CHOOSE(CONTROL!$C$32, $C$9, 100%, $E$9)</f>
        <v>3.9531000000000001</v>
      </c>
      <c r="M114" s="81">
        <f>3.9595 * CHOOSE(CONTROL!$C$32, $C$9, 100%, $E$9)</f>
        <v>3.9594999999999998</v>
      </c>
      <c r="N114" s="81">
        <f>3.9531 * CHOOSE(CONTROL!$C$32, $C$9, 100%, $E$9)</f>
        <v>3.9531000000000001</v>
      </c>
      <c r="O114" s="81">
        <f>3.9595 * CHOOSE(CONTROL!$C$32, $C$9, 100%, $E$9)</f>
        <v>3.9594999999999998</v>
      </c>
      <c r="P114" s="10"/>
      <c r="Q114" s="10"/>
      <c r="R114" s="10"/>
    </row>
    <row r="115" spans="1:18" ht="15">
      <c r="A115" s="16">
        <v>44713</v>
      </c>
      <c r="B115" s="80">
        <f>3.312 * CHOOSE(CONTROL!$C$32, $C$9, 100%, $E$9)</f>
        <v>3.3119999999999998</v>
      </c>
      <c r="C115" s="80">
        <f>3.312 * CHOOSE(CONTROL!$C$32, $C$9, 100%, $E$9)</f>
        <v>3.3119999999999998</v>
      </c>
      <c r="D115" s="80">
        <f>3.3172 * CHOOSE(CONTROL!$C$32, $C$9, 100%, $E$9)</f>
        <v>3.3172000000000001</v>
      </c>
      <c r="E115" s="81">
        <f>3.9376 * CHOOSE(CONTROL!$C$32, $C$9, 100%, $E$9)</f>
        <v>3.9376000000000002</v>
      </c>
      <c r="F115" s="81">
        <f>3.9376 * CHOOSE(CONTROL!$C$32, $C$9, 100%, $E$9)</f>
        <v>3.9376000000000002</v>
      </c>
      <c r="G115" s="81">
        <f>3.944 * CHOOSE(CONTROL!$C$32, $C$9, 100%, $E$9)</f>
        <v>3.944</v>
      </c>
      <c r="H115" s="81">
        <f>7.1778 * CHOOSE(CONTROL!$C$32, $C$9, 100%, $E$9)</f>
        <v>7.1778000000000004</v>
      </c>
      <c r="I115" s="81">
        <f>7.1842 * CHOOSE(CONTROL!$C$32, $C$9, 100%, $E$9)</f>
        <v>7.1841999999999997</v>
      </c>
      <c r="J115" s="81">
        <f>7.1778 * CHOOSE(CONTROL!$C$32, $C$9, 100%, $E$9)</f>
        <v>7.1778000000000004</v>
      </c>
      <c r="K115" s="81">
        <f>7.1842 * CHOOSE(CONTROL!$C$32, $C$9, 100%, $E$9)</f>
        <v>7.1841999999999997</v>
      </c>
      <c r="L115" s="81">
        <f>3.9376 * CHOOSE(CONTROL!$C$32, $C$9, 100%, $E$9)</f>
        <v>3.9376000000000002</v>
      </c>
      <c r="M115" s="81">
        <f>3.944 * CHOOSE(CONTROL!$C$32, $C$9, 100%, $E$9)</f>
        <v>3.944</v>
      </c>
      <c r="N115" s="81">
        <f>3.9376 * CHOOSE(CONTROL!$C$32, $C$9, 100%, $E$9)</f>
        <v>3.9376000000000002</v>
      </c>
      <c r="O115" s="81">
        <f>3.944 * CHOOSE(CONTROL!$C$32, $C$9, 100%, $E$9)</f>
        <v>3.944</v>
      </c>
      <c r="P115" s="10"/>
      <c r="Q115" s="10"/>
      <c r="R115" s="10"/>
    </row>
    <row r="116" spans="1:18" ht="15">
      <c r="A116" s="16">
        <v>44743</v>
      </c>
      <c r="B116" s="80">
        <f>3.3675 * CHOOSE(CONTROL!$C$32, $C$9, 100%, $E$9)</f>
        <v>3.3675000000000002</v>
      </c>
      <c r="C116" s="80">
        <f>3.3675 * CHOOSE(CONTROL!$C$32, $C$9, 100%, $E$9)</f>
        <v>3.3675000000000002</v>
      </c>
      <c r="D116" s="80">
        <f>3.3726 * CHOOSE(CONTROL!$C$32, $C$9, 100%, $E$9)</f>
        <v>3.3725999999999998</v>
      </c>
      <c r="E116" s="81">
        <f>4.0252 * CHOOSE(CONTROL!$C$32, $C$9, 100%, $E$9)</f>
        <v>4.0251999999999999</v>
      </c>
      <c r="F116" s="81">
        <f>4.0252 * CHOOSE(CONTROL!$C$32, $C$9, 100%, $E$9)</f>
        <v>4.0251999999999999</v>
      </c>
      <c r="G116" s="81">
        <f>4.0315 * CHOOSE(CONTROL!$C$32, $C$9, 100%, $E$9)</f>
        <v>4.0315000000000003</v>
      </c>
      <c r="H116" s="81">
        <f>7.1928 * CHOOSE(CONTROL!$C$32, $C$9, 100%, $E$9)</f>
        <v>7.1928000000000001</v>
      </c>
      <c r="I116" s="81">
        <f>7.1991 * CHOOSE(CONTROL!$C$32, $C$9, 100%, $E$9)</f>
        <v>7.1990999999999996</v>
      </c>
      <c r="J116" s="81">
        <f>7.1928 * CHOOSE(CONTROL!$C$32, $C$9, 100%, $E$9)</f>
        <v>7.1928000000000001</v>
      </c>
      <c r="K116" s="81">
        <f>7.1991 * CHOOSE(CONTROL!$C$32, $C$9, 100%, $E$9)</f>
        <v>7.1990999999999996</v>
      </c>
      <c r="L116" s="81">
        <f>4.0252 * CHOOSE(CONTROL!$C$32, $C$9, 100%, $E$9)</f>
        <v>4.0251999999999999</v>
      </c>
      <c r="M116" s="81">
        <f>4.0315 * CHOOSE(CONTROL!$C$32, $C$9, 100%, $E$9)</f>
        <v>4.0315000000000003</v>
      </c>
      <c r="N116" s="81">
        <f>4.0252 * CHOOSE(CONTROL!$C$32, $C$9, 100%, $E$9)</f>
        <v>4.0251999999999999</v>
      </c>
      <c r="O116" s="81">
        <f>4.0315 * CHOOSE(CONTROL!$C$32, $C$9, 100%, $E$9)</f>
        <v>4.0315000000000003</v>
      </c>
      <c r="P116" s="10"/>
      <c r="Q116" s="10"/>
      <c r="R116" s="10"/>
    </row>
    <row r="117" spans="1:18" ht="15">
      <c r="A117" s="16">
        <v>44774</v>
      </c>
      <c r="B117" s="80">
        <f>3.3742 * CHOOSE(CONTROL!$C$32, $C$9, 100%, $E$9)</f>
        <v>3.3742000000000001</v>
      </c>
      <c r="C117" s="80">
        <f>3.3742 * CHOOSE(CONTROL!$C$32, $C$9, 100%, $E$9)</f>
        <v>3.3742000000000001</v>
      </c>
      <c r="D117" s="80">
        <f>3.3793 * CHOOSE(CONTROL!$C$32, $C$9, 100%, $E$9)</f>
        <v>3.3793000000000002</v>
      </c>
      <c r="E117" s="81">
        <f>3.9706 * CHOOSE(CONTROL!$C$32, $C$9, 100%, $E$9)</f>
        <v>3.9706000000000001</v>
      </c>
      <c r="F117" s="81">
        <f>3.9706 * CHOOSE(CONTROL!$C$32, $C$9, 100%, $E$9)</f>
        <v>3.9706000000000001</v>
      </c>
      <c r="G117" s="81">
        <f>3.9769 * CHOOSE(CONTROL!$C$32, $C$9, 100%, $E$9)</f>
        <v>3.9769000000000001</v>
      </c>
      <c r="H117" s="81">
        <f>7.2078 * CHOOSE(CONTROL!$C$32, $C$9, 100%, $E$9)</f>
        <v>7.2077999999999998</v>
      </c>
      <c r="I117" s="81">
        <f>7.2141 * CHOOSE(CONTROL!$C$32, $C$9, 100%, $E$9)</f>
        <v>7.2141000000000002</v>
      </c>
      <c r="J117" s="81">
        <f>7.2078 * CHOOSE(CONTROL!$C$32, $C$9, 100%, $E$9)</f>
        <v>7.2077999999999998</v>
      </c>
      <c r="K117" s="81">
        <f>7.2141 * CHOOSE(CONTROL!$C$32, $C$9, 100%, $E$9)</f>
        <v>7.2141000000000002</v>
      </c>
      <c r="L117" s="81">
        <f>3.9706 * CHOOSE(CONTROL!$C$32, $C$9, 100%, $E$9)</f>
        <v>3.9706000000000001</v>
      </c>
      <c r="M117" s="81">
        <f>3.9769 * CHOOSE(CONTROL!$C$32, $C$9, 100%, $E$9)</f>
        <v>3.9769000000000001</v>
      </c>
      <c r="N117" s="81">
        <f>3.9706 * CHOOSE(CONTROL!$C$32, $C$9, 100%, $E$9)</f>
        <v>3.9706000000000001</v>
      </c>
      <c r="O117" s="81">
        <f>3.9769 * CHOOSE(CONTROL!$C$32, $C$9, 100%, $E$9)</f>
        <v>3.9769000000000001</v>
      </c>
      <c r="P117" s="10"/>
      <c r="Q117" s="10"/>
      <c r="R117" s="10"/>
    </row>
    <row r="118" spans="1:18" ht="15">
      <c r="A118" s="16">
        <v>44805</v>
      </c>
      <c r="B118" s="80">
        <f>3.3711 * CHOOSE(CONTROL!$C$32, $C$9, 100%, $E$9)</f>
        <v>3.3711000000000002</v>
      </c>
      <c r="C118" s="80">
        <f>3.3711 * CHOOSE(CONTROL!$C$32, $C$9, 100%, $E$9)</f>
        <v>3.3711000000000002</v>
      </c>
      <c r="D118" s="80">
        <f>3.3763 * CHOOSE(CONTROL!$C$32, $C$9, 100%, $E$9)</f>
        <v>3.3763000000000001</v>
      </c>
      <c r="E118" s="81">
        <f>3.9619 * CHOOSE(CONTROL!$C$32, $C$9, 100%, $E$9)</f>
        <v>3.9619</v>
      </c>
      <c r="F118" s="81">
        <f>3.9619 * CHOOSE(CONTROL!$C$32, $C$9, 100%, $E$9)</f>
        <v>3.9619</v>
      </c>
      <c r="G118" s="81">
        <f>3.9682 * CHOOSE(CONTROL!$C$32, $C$9, 100%, $E$9)</f>
        <v>3.9681999999999999</v>
      </c>
      <c r="H118" s="81">
        <f>7.2228 * CHOOSE(CONTROL!$C$32, $C$9, 100%, $E$9)</f>
        <v>7.2228000000000003</v>
      </c>
      <c r="I118" s="81">
        <f>7.2291 * CHOOSE(CONTROL!$C$32, $C$9, 100%, $E$9)</f>
        <v>7.2290999999999999</v>
      </c>
      <c r="J118" s="81">
        <f>7.2228 * CHOOSE(CONTROL!$C$32, $C$9, 100%, $E$9)</f>
        <v>7.2228000000000003</v>
      </c>
      <c r="K118" s="81">
        <f>7.2291 * CHOOSE(CONTROL!$C$32, $C$9, 100%, $E$9)</f>
        <v>7.2290999999999999</v>
      </c>
      <c r="L118" s="81">
        <f>3.9619 * CHOOSE(CONTROL!$C$32, $C$9, 100%, $E$9)</f>
        <v>3.9619</v>
      </c>
      <c r="M118" s="81">
        <f>3.9682 * CHOOSE(CONTROL!$C$32, $C$9, 100%, $E$9)</f>
        <v>3.9681999999999999</v>
      </c>
      <c r="N118" s="81">
        <f>3.9619 * CHOOSE(CONTROL!$C$32, $C$9, 100%, $E$9)</f>
        <v>3.9619</v>
      </c>
      <c r="O118" s="81">
        <f>3.9682 * CHOOSE(CONTROL!$C$32, $C$9, 100%, $E$9)</f>
        <v>3.9681999999999999</v>
      </c>
      <c r="P118" s="10"/>
      <c r="Q118" s="10"/>
      <c r="R118" s="10"/>
    </row>
    <row r="119" spans="1:18" ht="15">
      <c r="A119" s="16">
        <v>44835</v>
      </c>
      <c r="B119" s="80">
        <f>3.3637 * CHOOSE(CONTROL!$C$32, $C$9, 100%, $E$9)</f>
        <v>3.3637000000000001</v>
      </c>
      <c r="C119" s="80">
        <f>3.3637 * CHOOSE(CONTROL!$C$32, $C$9, 100%, $E$9)</f>
        <v>3.3637000000000001</v>
      </c>
      <c r="D119" s="80">
        <f>3.3672 * CHOOSE(CONTROL!$C$32, $C$9, 100%, $E$9)</f>
        <v>3.3672</v>
      </c>
      <c r="E119" s="81">
        <f>3.9748 * CHOOSE(CONTROL!$C$32, $C$9, 100%, $E$9)</f>
        <v>3.9748000000000001</v>
      </c>
      <c r="F119" s="81">
        <f>3.9748 * CHOOSE(CONTROL!$C$32, $C$9, 100%, $E$9)</f>
        <v>3.9748000000000001</v>
      </c>
      <c r="G119" s="81">
        <f>3.9792 * CHOOSE(CONTROL!$C$32, $C$9, 100%, $E$9)</f>
        <v>3.9792000000000001</v>
      </c>
      <c r="H119" s="81">
        <f>7.2378 * CHOOSE(CONTROL!$C$32, $C$9, 100%, $E$9)</f>
        <v>7.2378</v>
      </c>
      <c r="I119" s="81">
        <f>7.2422 * CHOOSE(CONTROL!$C$32, $C$9, 100%, $E$9)</f>
        <v>7.2422000000000004</v>
      </c>
      <c r="J119" s="81">
        <f>7.2378 * CHOOSE(CONTROL!$C$32, $C$9, 100%, $E$9)</f>
        <v>7.2378</v>
      </c>
      <c r="K119" s="81">
        <f>7.2422 * CHOOSE(CONTROL!$C$32, $C$9, 100%, $E$9)</f>
        <v>7.2422000000000004</v>
      </c>
      <c r="L119" s="81">
        <f>3.9748 * CHOOSE(CONTROL!$C$32, $C$9, 100%, $E$9)</f>
        <v>3.9748000000000001</v>
      </c>
      <c r="M119" s="81">
        <f>3.9792 * CHOOSE(CONTROL!$C$32, $C$9, 100%, $E$9)</f>
        <v>3.9792000000000001</v>
      </c>
      <c r="N119" s="81">
        <f>3.9748 * CHOOSE(CONTROL!$C$32, $C$9, 100%, $E$9)</f>
        <v>3.9748000000000001</v>
      </c>
      <c r="O119" s="81">
        <f>3.9792 * CHOOSE(CONTROL!$C$32, $C$9, 100%, $E$9)</f>
        <v>3.9792000000000001</v>
      </c>
      <c r="P119" s="10"/>
      <c r="Q119" s="10"/>
      <c r="R119" s="10"/>
    </row>
    <row r="120" spans="1:18" ht="15">
      <c r="A120" s="16">
        <v>44866</v>
      </c>
      <c r="B120" s="80">
        <f>3.3667 * CHOOSE(CONTROL!$C$32, $C$9, 100%, $E$9)</f>
        <v>3.3666999999999998</v>
      </c>
      <c r="C120" s="80">
        <f>3.3667 * CHOOSE(CONTROL!$C$32, $C$9, 100%, $E$9)</f>
        <v>3.3666999999999998</v>
      </c>
      <c r="D120" s="80">
        <f>3.3703 * CHOOSE(CONTROL!$C$32, $C$9, 100%, $E$9)</f>
        <v>3.3702999999999999</v>
      </c>
      <c r="E120" s="81">
        <f>3.9901 * CHOOSE(CONTROL!$C$32, $C$9, 100%, $E$9)</f>
        <v>3.9901</v>
      </c>
      <c r="F120" s="81">
        <f>3.9901 * CHOOSE(CONTROL!$C$32, $C$9, 100%, $E$9)</f>
        <v>3.9901</v>
      </c>
      <c r="G120" s="81">
        <f>3.9945 * CHOOSE(CONTROL!$C$32, $C$9, 100%, $E$9)</f>
        <v>3.9944999999999999</v>
      </c>
      <c r="H120" s="81">
        <f>7.2529 * CHOOSE(CONTROL!$C$32, $C$9, 100%, $E$9)</f>
        <v>7.2529000000000003</v>
      </c>
      <c r="I120" s="81">
        <f>7.2573 * CHOOSE(CONTROL!$C$32, $C$9, 100%, $E$9)</f>
        <v>7.2572999999999999</v>
      </c>
      <c r="J120" s="81">
        <f>7.2529 * CHOOSE(CONTROL!$C$32, $C$9, 100%, $E$9)</f>
        <v>7.2529000000000003</v>
      </c>
      <c r="K120" s="81">
        <f>7.2573 * CHOOSE(CONTROL!$C$32, $C$9, 100%, $E$9)</f>
        <v>7.2572999999999999</v>
      </c>
      <c r="L120" s="81">
        <f>3.9901 * CHOOSE(CONTROL!$C$32, $C$9, 100%, $E$9)</f>
        <v>3.9901</v>
      </c>
      <c r="M120" s="81">
        <f>3.9945 * CHOOSE(CONTROL!$C$32, $C$9, 100%, $E$9)</f>
        <v>3.9944999999999999</v>
      </c>
      <c r="N120" s="81">
        <f>3.9901 * CHOOSE(CONTROL!$C$32, $C$9, 100%, $E$9)</f>
        <v>3.9901</v>
      </c>
      <c r="O120" s="81">
        <f>3.9945 * CHOOSE(CONTROL!$C$32, $C$9, 100%, $E$9)</f>
        <v>3.9944999999999999</v>
      </c>
      <c r="P120" s="10"/>
      <c r="Q120" s="10"/>
      <c r="R120" s="10"/>
    </row>
    <row r="121" spans="1:18" ht="15">
      <c r="A121" s="16">
        <v>44896</v>
      </c>
      <c r="B121" s="80">
        <f>3.3667 * CHOOSE(CONTROL!$C$32, $C$9, 100%, $E$9)</f>
        <v>3.3666999999999998</v>
      </c>
      <c r="C121" s="80">
        <f>3.3667 * CHOOSE(CONTROL!$C$32, $C$9, 100%, $E$9)</f>
        <v>3.3666999999999998</v>
      </c>
      <c r="D121" s="80">
        <f>3.3703 * CHOOSE(CONTROL!$C$32, $C$9, 100%, $E$9)</f>
        <v>3.3702999999999999</v>
      </c>
      <c r="E121" s="81">
        <f>3.9572 * CHOOSE(CONTROL!$C$32, $C$9, 100%, $E$9)</f>
        <v>3.9571999999999998</v>
      </c>
      <c r="F121" s="81">
        <f>3.9572 * CHOOSE(CONTROL!$C$32, $C$9, 100%, $E$9)</f>
        <v>3.9571999999999998</v>
      </c>
      <c r="G121" s="81">
        <f>3.9616 * CHOOSE(CONTROL!$C$32, $C$9, 100%, $E$9)</f>
        <v>3.9615999999999998</v>
      </c>
      <c r="H121" s="81">
        <f>7.268 * CHOOSE(CONTROL!$C$32, $C$9, 100%, $E$9)</f>
        <v>7.2679999999999998</v>
      </c>
      <c r="I121" s="81">
        <f>7.2724 * CHOOSE(CONTROL!$C$32, $C$9, 100%, $E$9)</f>
        <v>7.2724000000000002</v>
      </c>
      <c r="J121" s="81">
        <f>7.268 * CHOOSE(CONTROL!$C$32, $C$9, 100%, $E$9)</f>
        <v>7.2679999999999998</v>
      </c>
      <c r="K121" s="81">
        <f>7.2724 * CHOOSE(CONTROL!$C$32, $C$9, 100%, $E$9)</f>
        <v>7.2724000000000002</v>
      </c>
      <c r="L121" s="81">
        <f>3.9572 * CHOOSE(CONTROL!$C$32, $C$9, 100%, $E$9)</f>
        <v>3.9571999999999998</v>
      </c>
      <c r="M121" s="81">
        <f>3.9616 * CHOOSE(CONTROL!$C$32, $C$9, 100%, $E$9)</f>
        <v>3.9615999999999998</v>
      </c>
      <c r="N121" s="81">
        <f>3.9572 * CHOOSE(CONTROL!$C$32, $C$9, 100%, $E$9)</f>
        <v>3.9571999999999998</v>
      </c>
      <c r="O121" s="81">
        <f>3.9616 * CHOOSE(CONTROL!$C$32, $C$9, 100%, $E$9)</f>
        <v>3.9615999999999998</v>
      </c>
      <c r="P121" s="10"/>
      <c r="Q121" s="10"/>
      <c r="R121" s="10"/>
    </row>
    <row r="122" spans="1:18" ht="15">
      <c r="A122" s="16">
        <v>44927</v>
      </c>
      <c r="B122" s="80">
        <f>3.3924 * CHOOSE(CONTROL!$C$32, $C$9, 100%, $E$9)</f>
        <v>3.3923999999999999</v>
      </c>
      <c r="C122" s="80">
        <f>3.3924 * CHOOSE(CONTROL!$C$32, $C$9, 100%, $E$9)</f>
        <v>3.3923999999999999</v>
      </c>
      <c r="D122" s="80">
        <f>3.3959 * CHOOSE(CONTROL!$C$32, $C$9, 100%, $E$9)</f>
        <v>3.3959000000000001</v>
      </c>
      <c r="E122" s="81">
        <f>4.0337 * CHOOSE(CONTROL!$C$32, $C$9, 100%, $E$9)</f>
        <v>4.0336999999999996</v>
      </c>
      <c r="F122" s="81">
        <f>4.0337 * CHOOSE(CONTROL!$C$32, $C$9, 100%, $E$9)</f>
        <v>4.0336999999999996</v>
      </c>
      <c r="G122" s="81">
        <f>4.0381 * CHOOSE(CONTROL!$C$32, $C$9, 100%, $E$9)</f>
        <v>4.0381</v>
      </c>
      <c r="H122" s="81">
        <f>7.2832 * CHOOSE(CONTROL!$C$32, $C$9, 100%, $E$9)</f>
        <v>7.2831999999999999</v>
      </c>
      <c r="I122" s="81">
        <f>7.2875 * CHOOSE(CONTROL!$C$32, $C$9, 100%, $E$9)</f>
        <v>7.2874999999999996</v>
      </c>
      <c r="J122" s="81">
        <f>7.2832 * CHOOSE(CONTROL!$C$32, $C$9, 100%, $E$9)</f>
        <v>7.2831999999999999</v>
      </c>
      <c r="K122" s="81">
        <f>7.2875 * CHOOSE(CONTROL!$C$32, $C$9, 100%, $E$9)</f>
        <v>7.2874999999999996</v>
      </c>
      <c r="L122" s="81">
        <f>4.0337 * CHOOSE(CONTROL!$C$32, $C$9, 100%, $E$9)</f>
        <v>4.0336999999999996</v>
      </c>
      <c r="M122" s="81">
        <f>4.0381 * CHOOSE(CONTROL!$C$32, $C$9, 100%, $E$9)</f>
        <v>4.0381</v>
      </c>
      <c r="N122" s="81">
        <f>4.0337 * CHOOSE(CONTROL!$C$32, $C$9, 100%, $E$9)</f>
        <v>4.0336999999999996</v>
      </c>
      <c r="O122" s="81">
        <f>4.0381 * CHOOSE(CONTROL!$C$32, $C$9, 100%, $E$9)</f>
        <v>4.0381</v>
      </c>
      <c r="P122" s="10"/>
      <c r="Q122" s="10"/>
      <c r="R122" s="10"/>
    </row>
    <row r="123" spans="1:18" ht="15">
      <c r="A123" s="16">
        <v>44958</v>
      </c>
      <c r="B123" s="80">
        <f>3.3894 * CHOOSE(CONTROL!$C$32, $C$9, 100%, $E$9)</f>
        <v>3.3894000000000002</v>
      </c>
      <c r="C123" s="80">
        <f>3.3894 * CHOOSE(CONTROL!$C$32, $C$9, 100%, $E$9)</f>
        <v>3.3894000000000002</v>
      </c>
      <c r="D123" s="80">
        <f>3.3929 * CHOOSE(CONTROL!$C$32, $C$9, 100%, $E$9)</f>
        <v>3.3929</v>
      </c>
      <c r="E123" s="81">
        <f>3.9661 * CHOOSE(CONTROL!$C$32, $C$9, 100%, $E$9)</f>
        <v>3.9661</v>
      </c>
      <c r="F123" s="81">
        <f>3.9661 * CHOOSE(CONTROL!$C$32, $C$9, 100%, $E$9)</f>
        <v>3.9661</v>
      </c>
      <c r="G123" s="81">
        <f>3.9705 * CHOOSE(CONTROL!$C$32, $C$9, 100%, $E$9)</f>
        <v>3.9704999999999999</v>
      </c>
      <c r="H123" s="81">
        <f>7.2983 * CHOOSE(CONTROL!$C$32, $C$9, 100%, $E$9)</f>
        <v>7.2983000000000002</v>
      </c>
      <c r="I123" s="81">
        <f>7.3027 * CHOOSE(CONTROL!$C$32, $C$9, 100%, $E$9)</f>
        <v>7.3026999999999997</v>
      </c>
      <c r="J123" s="81">
        <f>7.2983 * CHOOSE(CONTROL!$C$32, $C$9, 100%, $E$9)</f>
        <v>7.2983000000000002</v>
      </c>
      <c r="K123" s="81">
        <f>7.3027 * CHOOSE(CONTROL!$C$32, $C$9, 100%, $E$9)</f>
        <v>7.3026999999999997</v>
      </c>
      <c r="L123" s="81">
        <f>3.9661 * CHOOSE(CONTROL!$C$32, $C$9, 100%, $E$9)</f>
        <v>3.9661</v>
      </c>
      <c r="M123" s="81">
        <f>3.9705 * CHOOSE(CONTROL!$C$32, $C$9, 100%, $E$9)</f>
        <v>3.9704999999999999</v>
      </c>
      <c r="N123" s="81">
        <f>3.9661 * CHOOSE(CONTROL!$C$32, $C$9, 100%, $E$9)</f>
        <v>3.9661</v>
      </c>
      <c r="O123" s="81">
        <f>3.9705 * CHOOSE(CONTROL!$C$32, $C$9, 100%, $E$9)</f>
        <v>3.9704999999999999</v>
      </c>
      <c r="P123" s="10"/>
      <c r="Q123" s="10"/>
      <c r="R123" s="10"/>
    </row>
    <row r="124" spans="1:18" ht="15">
      <c r="A124" s="16">
        <v>44986</v>
      </c>
      <c r="B124" s="80">
        <f>3.3863 * CHOOSE(CONTROL!$C$32, $C$9, 100%, $E$9)</f>
        <v>3.3862999999999999</v>
      </c>
      <c r="C124" s="80">
        <f>3.3863 * CHOOSE(CONTROL!$C$32, $C$9, 100%, $E$9)</f>
        <v>3.3862999999999999</v>
      </c>
      <c r="D124" s="80">
        <f>3.3899 * CHOOSE(CONTROL!$C$32, $C$9, 100%, $E$9)</f>
        <v>3.3898999999999999</v>
      </c>
      <c r="E124" s="81">
        <f>4.0156 * CHOOSE(CONTROL!$C$32, $C$9, 100%, $E$9)</f>
        <v>4.0156000000000001</v>
      </c>
      <c r="F124" s="81">
        <f>4.0156 * CHOOSE(CONTROL!$C$32, $C$9, 100%, $E$9)</f>
        <v>4.0156000000000001</v>
      </c>
      <c r="G124" s="81">
        <f>4.02 * CHOOSE(CONTROL!$C$32, $C$9, 100%, $E$9)</f>
        <v>4.0199999999999996</v>
      </c>
      <c r="H124" s="81">
        <f>7.3136 * CHOOSE(CONTROL!$C$32, $C$9, 100%, $E$9)</f>
        <v>7.3136000000000001</v>
      </c>
      <c r="I124" s="81">
        <f>7.3179 * CHOOSE(CONTROL!$C$32, $C$9, 100%, $E$9)</f>
        <v>7.3178999999999998</v>
      </c>
      <c r="J124" s="81">
        <f>7.3136 * CHOOSE(CONTROL!$C$32, $C$9, 100%, $E$9)</f>
        <v>7.3136000000000001</v>
      </c>
      <c r="K124" s="81">
        <f>7.3179 * CHOOSE(CONTROL!$C$32, $C$9, 100%, $E$9)</f>
        <v>7.3178999999999998</v>
      </c>
      <c r="L124" s="81">
        <f>4.0156 * CHOOSE(CONTROL!$C$32, $C$9, 100%, $E$9)</f>
        <v>4.0156000000000001</v>
      </c>
      <c r="M124" s="81">
        <f>4.02 * CHOOSE(CONTROL!$C$32, $C$9, 100%, $E$9)</f>
        <v>4.0199999999999996</v>
      </c>
      <c r="N124" s="81">
        <f>4.0156 * CHOOSE(CONTROL!$C$32, $C$9, 100%, $E$9)</f>
        <v>4.0156000000000001</v>
      </c>
      <c r="O124" s="81">
        <f>4.02 * CHOOSE(CONTROL!$C$32, $C$9, 100%, $E$9)</f>
        <v>4.0199999999999996</v>
      </c>
      <c r="P124" s="10"/>
      <c r="Q124" s="10"/>
      <c r="R124" s="10"/>
    </row>
    <row r="125" spans="1:18" ht="15">
      <c r="A125" s="16">
        <v>45017</v>
      </c>
      <c r="B125" s="80">
        <f>3.3833 * CHOOSE(CONTROL!$C$32, $C$9, 100%, $E$9)</f>
        <v>3.3833000000000002</v>
      </c>
      <c r="C125" s="80">
        <f>3.3833 * CHOOSE(CONTROL!$C$32, $C$9, 100%, $E$9)</f>
        <v>3.3833000000000002</v>
      </c>
      <c r="D125" s="80">
        <f>3.3869 * CHOOSE(CONTROL!$C$32, $C$9, 100%, $E$9)</f>
        <v>3.3868999999999998</v>
      </c>
      <c r="E125" s="81">
        <f>4.0669 * CHOOSE(CONTROL!$C$32, $C$9, 100%, $E$9)</f>
        <v>4.0669000000000004</v>
      </c>
      <c r="F125" s="81">
        <f>4.0669 * CHOOSE(CONTROL!$C$32, $C$9, 100%, $E$9)</f>
        <v>4.0669000000000004</v>
      </c>
      <c r="G125" s="81">
        <f>4.0712 * CHOOSE(CONTROL!$C$32, $C$9, 100%, $E$9)</f>
        <v>4.0712000000000002</v>
      </c>
      <c r="H125" s="81">
        <f>7.3288 * CHOOSE(CONTROL!$C$32, $C$9, 100%, $E$9)</f>
        <v>7.3288000000000002</v>
      </c>
      <c r="I125" s="81">
        <f>7.3332 * CHOOSE(CONTROL!$C$32, $C$9, 100%, $E$9)</f>
        <v>7.3331999999999997</v>
      </c>
      <c r="J125" s="81">
        <f>7.3288 * CHOOSE(CONTROL!$C$32, $C$9, 100%, $E$9)</f>
        <v>7.3288000000000002</v>
      </c>
      <c r="K125" s="81">
        <f>7.3332 * CHOOSE(CONTROL!$C$32, $C$9, 100%, $E$9)</f>
        <v>7.3331999999999997</v>
      </c>
      <c r="L125" s="81">
        <f>4.0669 * CHOOSE(CONTROL!$C$32, $C$9, 100%, $E$9)</f>
        <v>4.0669000000000004</v>
      </c>
      <c r="M125" s="81">
        <f>4.0712 * CHOOSE(CONTROL!$C$32, $C$9, 100%, $E$9)</f>
        <v>4.0712000000000002</v>
      </c>
      <c r="N125" s="81">
        <f>4.0669 * CHOOSE(CONTROL!$C$32, $C$9, 100%, $E$9)</f>
        <v>4.0669000000000004</v>
      </c>
      <c r="O125" s="81">
        <f>4.0712 * CHOOSE(CONTROL!$C$32, $C$9, 100%, $E$9)</f>
        <v>4.0712000000000002</v>
      </c>
      <c r="P125" s="10"/>
      <c r="Q125" s="10"/>
      <c r="R125" s="10"/>
    </row>
    <row r="126" spans="1:18" ht="15">
      <c r="A126" s="16">
        <v>45047</v>
      </c>
      <c r="B126" s="80">
        <f>3.3833 * CHOOSE(CONTROL!$C$32, $C$9, 100%, $E$9)</f>
        <v>3.3833000000000002</v>
      </c>
      <c r="C126" s="80">
        <f>3.3833 * CHOOSE(CONTROL!$C$32, $C$9, 100%, $E$9)</f>
        <v>3.3833000000000002</v>
      </c>
      <c r="D126" s="80">
        <f>3.3885 * CHOOSE(CONTROL!$C$32, $C$9, 100%, $E$9)</f>
        <v>3.3885000000000001</v>
      </c>
      <c r="E126" s="81">
        <f>4.0877 * CHOOSE(CONTROL!$C$32, $C$9, 100%, $E$9)</f>
        <v>4.0876999999999999</v>
      </c>
      <c r="F126" s="81">
        <f>4.0877 * CHOOSE(CONTROL!$C$32, $C$9, 100%, $E$9)</f>
        <v>4.0876999999999999</v>
      </c>
      <c r="G126" s="81">
        <f>4.094 * CHOOSE(CONTROL!$C$32, $C$9, 100%, $E$9)</f>
        <v>4.0940000000000003</v>
      </c>
      <c r="H126" s="81">
        <f>7.3441 * CHOOSE(CONTROL!$C$32, $C$9, 100%, $E$9)</f>
        <v>7.3441000000000001</v>
      </c>
      <c r="I126" s="81">
        <f>7.3504 * CHOOSE(CONTROL!$C$32, $C$9, 100%, $E$9)</f>
        <v>7.3503999999999996</v>
      </c>
      <c r="J126" s="81">
        <f>7.3441 * CHOOSE(CONTROL!$C$32, $C$9, 100%, $E$9)</f>
        <v>7.3441000000000001</v>
      </c>
      <c r="K126" s="81">
        <f>7.3504 * CHOOSE(CONTROL!$C$32, $C$9, 100%, $E$9)</f>
        <v>7.3503999999999996</v>
      </c>
      <c r="L126" s="81">
        <f>4.0877 * CHOOSE(CONTROL!$C$32, $C$9, 100%, $E$9)</f>
        <v>4.0876999999999999</v>
      </c>
      <c r="M126" s="81">
        <f>4.094 * CHOOSE(CONTROL!$C$32, $C$9, 100%, $E$9)</f>
        <v>4.0940000000000003</v>
      </c>
      <c r="N126" s="81">
        <f>4.0877 * CHOOSE(CONTROL!$C$32, $C$9, 100%, $E$9)</f>
        <v>4.0876999999999999</v>
      </c>
      <c r="O126" s="81">
        <f>4.094 * CHOOSE(CONTROL!$C$32, $C$9, 100%, $E$9)</f>
        <v>4.0940000000000003</v>
      </c>
      <c r="P126" s="10"/>
      <c r="Q126" s="10"/>
      <c r="R126" s="10"/>
    </row>
    <row r="127" spans="1:18" ht="15">
      <c r="A127" s="16">
        <v>45078</v>
      </c>
      <c r="B127" s="80">
        <f>3.3894 * CHOOSE(CONTROL!$C$32, $C$9, 100%, $E$9)</f>
        <v>3.3894000000000002</v>
      </c>
      <c r="C127" s="80">
        <f>3.3894 * CHOOSE(CONTROL!$C$32, $C$9, 100%, $E$9)</f>
        <v>3.3894000000000002</v>
      </c>
      <c r="D127" s="80">
        <f>3.3946 * CHOOSE(CONTROL!$C$32, $C$9, 100%, $E$9)</f>
        <v>3.3946000000000001</v>
      </c>
      <c r="E127" s="81">
        <f>4.0711 * CHOOSE(CONTROL!$C$32, $C$9, 100%, $E$9)</f>
        <v>4.0711000000000004</v>
      </c>
      <c r="F127" s="81">
        <f>4.0711 * CHOOSE(CONTROL!$C$32, $C$9, 100%, $E$9)</f>
        <v>4.0711000000000004</v>
      </c>
      <c r="G127" s="81">
        <f>4.0774 * CHOOSE(CONTROL!$C$32, $C$9, 100%, $E$9)</f>
        <v>4.0773999999999999</v>
      </c>
      <c r="H127" s="81">
        <f>7.3594 * CHOOSE(CONTROL!$C$32, $C$9, 100%, $E$9)</f>
        <v>7.3593999999999999</v>
      </c>
      <c r="I127" s="81">
        <f>7.3657 * CHOOSE(CONTROL!$C$32, $C$9, 100%, $E$9)</f>
        <v>7.3657000000000004</v>
      </c>
      <c r="J127" s="81">
        <f>7.3594 * CHOOSE(CONTROL!$C$32, $C$9, 100%, $E$9)</f>
        <v>7.3593999999999999</v>
      </c>
      <c r="K127" s="81">
        <f>7.3657 * CHOOSE(CONTROL!$C$32, $C$9, 100%, $E$9)</f>
        <v>7.3657000000000004</v>
      </c>
      <c r="L127" s="81">
        <f>4.0711 * CHOOSE(CONTROL!$C$32, $C$9, 100%, $E$9)</f>
        <v>4.0711000000000004</v>
      </c>
      <c r="M127" s="81">
        <f>4.0774 * CHOOSE(CONTROL!$C$32, $C$9, 100%, $E$9)</f>
        <v>4.0773999999999999</v>
      </c>
      <c r="N127" s="81">
        <f>4.0711 * CHOOSE(CONTROL!$C$32, $C$9, 100%, $E$9)</f>
        <v>4.0711000000000004</v>
      </c>
      <c r="O127" s="81">
        <f>4.0774 * CHOOSE(CONTROL!$C$32, $C$9, 100%, $E$9)</f>
        <v>4.0773999999999999</v>
      </c>
      <c r="P127" s="10"/>
      <c r="Q127" s="10"/>
      <c r="R127" s="10"/>
    </row>
    <row r="128" spans="1:18" ht="15">
      <c r="A128" s="16">
        <v>45108</v>
      </c>
      <c r="B128" s="80">
        <f>3.4356 * CHOOSE(CONTROL!$C$32, $C$9, 100%, $E$9)</f>
        <v>3.4356</v>
      </c>
      <c r="C128" s="80">
        <f>3.4356 * CHOOSE(CONTROL!$C$32, $C$9, 100%, $E$9)</f>
        <v>3.4356</v>
      </c>
      <c r="D128" s="80">
        <f>3.4408 * CHOOSE(CONTROL!$C$32, $C$9, 100%, $E$9)</f>
        <v>3.4407999999999999</v>
      </c>
      <c r="E128" s="81">
        <f>4.1492 * CHOOSE(CONTROL!$C$32, $C$9, 100%, $E$9)</f>
        <v>4.1492000000000004</v>
      </c>
      <c r="F128" s="81">
        <f>4.1492 * CHOOSE(CONTROL!$C$32, $C$9, 100%, $E$9)</f>
        <v>4.1492000000000004</v>
      </c>
      <c r="G128" s="81">
        <f>4.1555 * CHOOSE(CONTROL!$C$32, $C$9, 100%, $E$9)</f>
        <v>4.1555</v>
      </c>
      <c r="H128" s="81">
        <f>7.3747 * CHOOSE(CONTROL!$C$32, $C$9, 100%, $E$9)</f>
        <v>7.3746999999999998</v>
      </c>
      <c r="I128" s="81">
        <f>7.381 * CHOOSE(CONTROL!$C$32, $C$9, 100%, $E$9)</f>
        <v>7.3810000000000002</v>
      </c>
      <c r="J128" s="81">
        <f>7.3747 * CHOOSE(CONTROL!$C$32, $C$9, 100%, $E$9)</f>
        <v>7.3746999999999998</v>
      </c>
      <c r="K128" s="81">
        <f>7.381 * CHOOSE(CONTROL!$C$32, $C$9, 100%, $E$9)</f>
        <v>7.3810000000000002</v>
      </c>
      <c r="L128" s="81">
        <f>4.1492 * CHOOSE(CONTROL!$C$32, $C$9, 100%, $E$9)</f>
        <v>4.1492000000000004</v>
      </c>
      <c r="M128" s="81">
        <f>4.1555 * CHOOSE(CONTROL!$C$32, $C$9, 100%, $E$9)</f>
        <v>4.1555</v>
      </c>
      <c r="N128" s="81">
        <f>4.1492 * CHOOSE(CONTROL!$C$32, $C$9, 100%, $E$9)</f>
        <v>4.1492000000000004</v>
      </c>
      <c r="O128" s="81">
        <f>4.1555 * CHOOSE(CONTROL!$C$32, $C$9, 100%, $E$9)</f>
        <v>4.1555</v>
      </c>
      <c r="P128" s="10"/>
      <c r="Q128" s="10"/>
      <c r="R128" s="10"/>
    </row>
    <row r="129" spans="1:18" ht="15">
      <c r="A129" s="16">
        <v>45139</v>
      </c>
      <c r="B129" s="80">
        <f>3.4423 * CHOOSE(CONTROL!$C$32, $C$9, 100%, $E$9)</f>
        <v>3.4422999999999999</v>
      </c>
      <c r="C129" s="80">
        <f>3.4423 * CHOOSE(CONTROL!$C$32, $C$9, 100%, $E$9)</f>
        <v>3.4422999999999999</v>
      </c>
      <c r="D129" s="80">
        <f>3.4475 * CHOOSE(CONTROL!$C$32, $C$9, 100%, $E$9)</f>
        <v>3.4474999999999998</v>
      </c>
      <c r="E129" s="81">
        <f>4.0915 * CHOOSE(CONTROL!$C$32, $C$9, 100%, $E$9)</f>
        <v>4.0914999999999999</v>
      </c>
      <c r="F129" s="81">
        <f>4.0915 * CHOOSE(CONTROL!$C$32, $C$9, 100%, $E$9)</f>
        <v>4.0914999999999999</v>
      </c>
      <c r="G129" s="81">
        <f>4.0978 * CHOOSE(CONTROL!$C$32, $C$9, 100%, $E$9)</f>
        <v>4.0978000000000003</v>
      </c>
      <c r="H129" s="81">
        <f>7.3901 * CHOOSE(CONTROL!$C$32, $C$9, 100%, $E$9)</f>
        <v>7.3901000000000003</v>
      </c>
      <c r="I129" s="81">
        <f>7.3964 * CHOOSE(CONTROL!$C$32, $C$9, 100%, $E$9)</f>
        <v>7.3963999999999999</v>
      </c>
      <c r="J129" s="81">
        <f>7.3901 * CHOOSE(CONTROL!$C$32, $C$9, 100%, $E$9)</f>
        <v>7.3901000000000003</v>
      </c>
      <c r="K129" s="81">
        <f>7.3964 * CHOOSE(CONTROL!$C$32, $C$9, 100%, $E$9)</f>
        <v>7.3963999999999999</v>
      </c>
      <c r="L129" s="81">
        <f>4.0915 * CHOOSE(CONTROL!$C$32, $C$9, 100%, $E$9)</f>
        <v>4.0914999999999999</v>
      </c>
      <c r="M129" s="81">
        <f>4.0978 * CHOOSE(CONTROL!$C$32, $C$9, 100%, $E$9)</f>
        <v>4.0978000000000003</v>
      </c>
      <c r="N129" s="81">
        <f>4.0915 * CHOOSE(CONTROL!$C$32, $C$9, 100%, $E$9)</f>
        <v>4.0914999999999999</v>
      </c>
      <c r="O129" s="81">
        <f>4.0978 * CHOOSE(CONTROL!$C$32, $C$9, 100%, $E$9)</f>
        <v>4.0978000000000003</v>
      </c>
      <c r="P129" s="10"/>
      <c r="Q129" s="10"/>
      <c r="R129" s="10"/>
    </row>
    <row r="130" spans="1:18" ht="15">
      <c r="A130" s="16">
        <v>45170</v>
      </c>
      <c r="B130" s="80">
        <f>3.4393 * CHOOSE(CONTROL!$C$32, $C$9, 100%, $E$9)</f>
        <v>3.4392999999999998</v>
      </c>
      <c r="C130" s="80">
        <f>3.4393 * CHOOSE(CONTROL!$C$32, $C$9, 100%, $E$9)</f>
        <v>3.4392999999999998</v>
      </c>
      <c r="D130" s="80">
        <f>3.4445 * CHOOSE(CONTROL!$C$32, $C$9, 100%, $E$9)</f>
        <v>3.4445000000000001</v>
      </c>
      <c r="E130" s="81">
        <f>4.0824 * CHOOSE(CONTROL!$C$32, $C$9, 100%, $E$9)</f>
        <v>4.0823999999999998</v>
      </c>
      <c r="F130" s="81">
        <f>4.0824 * CHOOSE(CONTROL!$C$32, $C$9, 100%, $E$9)</f>
        <v>4.0823999999999998</v>
      </c>
      <c r="G130" s="81">
        <f>4.0888 * CHOOSE(CONTROL!$C$32, $C$9, 100%, $E$9)</f>
        <v>4.0888</v>
      </c>
      <c r="H130" s="81">
        <f>7.4054 * CHOOSE(CONTROL!$C$32, $C$9, 100%, $E$9)</f>
        <v>7.4054000000000002</v>
      </c>
      <c r="I130" s="81">
        <f>7.4118 * CHOOSE(CONTROL!$C$32, $C$9, 100%, $E$9)</f>
        <v>7.4118000000000004</v>
      </c>
      <c r="J130" s="81">
        <f>7.4054 * CHOOSE(CONTROL!$C$32, $C$9, 100%, $E$9)</f>
        <v>7.4054000000000002</v>
      </c>
      <c r="K130" s="81">
        <f>7.4118 * CHOOSE(CONTROL!$C$32, $C$9, 100%, $E$9)</f>
        <v>7.4118000000000004</v>
      </c>
      <c r="L130" s="81">
        <f>4.0824 * CHOOSE(CONTROL!$C$32, $C$9, 100%, $E$9)</f>
        <v>4.0823999999999998</v>
      </c>
      <c r="M130" s="81">
        <f>4.0888 * CHOOSE(CONTROL!$C$32, $C$9, 100%, $E$9)</f>
        <v>4.0888</v>
      </c>
      <c r="N130" s="81">
        <f>4.0824 * CHOOSE(CONTROL!$C$32, $C$9, 100%, $E$9)</f>
        <v>4.0823999999999998</v>
      </c>
      <c r="O130" s="81">
        <f>4.0888 * CHOOSE(CONTROL!$C$32, $C$9, 100%, $E$9)</f>
        <v>4.0888</v>
      </c>
      <c r="P130" s="10"/>
      <c r="Q130" s="10"/>
      <c r="R130" s="10"/>
    </row>
    <row r="131" spans="1:18" ht="15">
      <c r="A131" s="16">
        <v>45200</v>
      </c>
      <c r="B131" s="80">
        <f>3.4321 * CHOOSE(CONTROL!$C$32, $C$9, 100%, $E$9)</f>
        <v>3.4321000000000002</v>
      </c>
      <c r="C131" s="80">
        <f>3.4321 * CHOOSE(CONTROL!$C$32, $C$9, 100%, $E$9)</f>
        <v>3.4321000000000002</v>
      </c>
      <c r="D131" s="80">
        <f>3.4357 * CHOOSE(CONTROL!$C$32, $C$9, 100%, $E$9)</f>
        <v>3.4357000000000002</v>
      </c>
      <c r="E131" s="81">
        <f>4.0968 * CHOOSE(CONTROL!$C$32, $C$9, 100%, $E$9)</f>
        <v>4.0968</v>
      </c>
      <c r="F131" s="81">
        <f>4.0968 * CHOOSE(CONTROL!$C$32, $C$9, 100%, $E$9)</f>
        <v>4.0968</v>
      </c>
      <c r="G131" s="81">
        <f>4.1011 * CHOOSE(CONTROL!$C$32, $C$9, 100%, $E$9)</f>
        <v>4.1010999999999997</v>
      </c>
      <c r="H131" s="81">
        <f>7.4209 * CHOOSE(CONTROL!$C$32, $C$9, 100%, $E$9)</f>
        <v>7.4208999999999996</v>
      </c>
      <c r="I131" s="81">
        <f>7.4252 * CHOOSE(CONTROL!$C$32, $C$9, 100%, $E$9)</f>
        <v>7.4252000000000002</v>
      </c>
      <c r="J131" s="81">
        <f>7.4209 * CHOOSE(CONTROL!$C$32, $C$9, 100%, $E$9)</f>
        <v>7.4208999999999996</v>
      </c>
      <c r="K131" s="81">
        <f>7.4252 * CHOOSE(CONTROL!$C$32, $C$9, 100%, $E$9)</f>
        <v>7.4252000000000002</v>
      </c>
      <c r="L131" s="81">
        <f>4.0968 * CHOOSE(CONTROL!$C$32, $C$9, 100%, $E$9)</f>
        <v>4.0968</v>
      </c>
      <c r="M131" s="81">
        <f>4.1011 * CHOOSE(CONTROL!$C$32, $C$9, 100%, $E$9)</f>
        <v>4.1010999999999997</v>
      </c>
      <c r="N131" s="81">
        <f>4.0968 * CHOOSE(CONTROL!$C$32, $C$9, 100%, $E$9)</f>
        <v>4.0968</v>
      </c>
      <c r="O131" s="81">
        <f>4.1011 * CHOOSE(CONTROL!$C$32, $C$9, 100%, $E$9)</f>
        <v>4.1010999999999997</v>
      </c>
      <c r="P131" s="10"/>
      <c r="Q131" s="10"/>
      <c r="R131" s="10"/>
    </row>
    <row r="132" spans="1:18" ht="15">
      <c r="A132" s="16">
        <v>45231</v>
      </c>
      <c r="B132" s="80">
        <f>3.4352 * CHOOSE(CONTROL!$C$32, $C$9, 100%, $E$9)</f>
        <v>3.4352</v>
      </c>
      <c r="C132" s="80">
        <f>3.4352 * CHOOSE(CONTROL!$C$32, $C$9, 100%, $E$9)</f>
        <v>3.4352</v>
      </c>
      <c r="D132" s="80">
        <f>3.4387 * CHOOSE(CONTROL!$C$32, $C$9, 100%, $E$9)</f>
        <v>3.4386999999999999</v>
      </c>
      <c r="E132" s="81">
        <f>4.1127 * CHOOSE(CONTROL!$C$32, $C$9, 100%, $E$9)</f>
        <v>4.1127000000000002</v>
      </c>
      <c r="F132" s="81">
        <f>4.1127 * CHOOSE(CONTROL!$C$32, $C$9, 100%, $E$9)</f>
        <v>4.1127000000000002</v>
      </c>
      <c r="G132" s="81">
        <f>4.1171 * CHOOSE(CONTROL!$C$32, $C$9, 100%, $E$9)</f>
        <v>4.1170999999999998</v>
      </c>
      <c r="H132" s="81">
        <f>7.4363 * CHOOSE(CONTROL!$C$32, $C$9, 100%, $E$9)</f>
        <v>7.4363000000000001</v>
      </c>
      <c r="I132" s="81">
        <f>7.4407 * CHOOSE(CONTROL!$C$32, $C$9, 100%, $E$9)</f>
        <v>7.4406999999999996</v>
      </c>
      <c r="J132" s="81">
        <f>7.4363 * CHOOSE(CONTROL!$C$32, $C$9, 100%, $E$9)</f>
        <v>7.4363000000000001</v>
      </c>
      <c r="K132" s="81">
        <f>7.4407 * CHOOSE(CONTROL!$C$32, $C$9, 100%, $E$9)</f>
        <v>7.4406999999999996</v>
      </c>
      <c r="L132" s="81">
        <f>4.1127 * CHOOSE(CONTROL!$C$32, $C$9, 100%, $E$9)</f>
        <v>4.1127000000000002</v>
      </c>
      <c r="M132" s="81">
        <f>4.1171 * CHOOSE(CONTROL!$C$32, $C$9, 100%, $E$9)</f>
        <v>4.1170999999999998</v>
      </c>
      <c r="N132" s="81">
        <f>4.1127 * CHOOSE(CONTROL!$C$32, $C$9, 100%, $E$9)</f>
        <v>4.1127000000000002</v>
      </c>
      <c r="O132" s="81">
        <f>4.1171 * CHOOSE(CONTROL!$C$32, $C$9, 100%, $E$9)</f>
        <v>4.1170999999999998</v>
      </c>
      <c r="P132" s="10"/>
      <c r="Q132" s="10"/>
      <c r="R132" s="10"/>
    </row>
    <row r="133" spans="1:18" ht="15">
      <c r="A133" s="16">
        <v>45261</v>
      </c>
      <c r="B133" s="80">
        <f>3.4352 * CHOOSE(CONTROL!$C$32, $C$9, 100%, $E$9)</f>
        <v>3.4352</v>
      </c>
      <c r="C133" s="80">
        <f>3.4352 * CHOOSE(CONTROL!$C$32, $C$9, 100%, $E$9)</f>
        <v>3.4352</v>
      </c>
      <c r="D133" s="80">
        <f>3.4387 * CHOOSE(CONTROL!$C$32, $C$9, 100%, $E$9)</f>
        <v>3.4386999999999999</v>
      </c>
      <c r="E133" s="81">
        <f>4.0781 * CHOOSE(CONTROL!$C$32, $C$9, 100%, $E$9)</f>
        <v>4.0781000000000001</v>
      </c>
      <c r="F133" s="81">
        <f>4.0781 * CHOOSE(CONTROL!$C$32, $C$9, 100%, $E$9)</f>
        <v>4.0781000000000001</v>
      </c>
      <c r="G133" s="81">
        <f>4.0824 * CHOOSE(CONTROL!$C$32, $C$9, 100%, $E$9)</f>
        <v>4.0823999999999998</v>
      </c>
      <c r="H133" s="81">
        <f>7.4518 * CHOOSE(CONTROL!$C$32, $C$9, 100%, $E$9)</f>
        <v>7.4518000000000004</v>
      </c>
      <c r="I133" s="81">
        <f>7.4562 * CHOOSE(CONTROL!$C$32, $C$9, 100%, $E$9)</f>
        <v>7.4561999999999999</v>
      </c>
      <c r="J133" s="81">
        <f>7.4518 * CHOOSE(CONTROL!$C$32, $C$9, 100%, $E$9)</f>
        <v>7.4518000000000004</v>
      </c>
      <c r="K133" s="81">
        <f>7.4562 * CHOOSE(CONTROL!$C$32, $C$9, 100%, $E$9)</f>
        <v>7.4561999999999999</v>
      </c>
      <c r="L133" s="81">
        <f>4.0781 * CHOOSE(CONTROL!$C$32, $C$9, 100%, $E$9)</f>
        <v>4.0781000000000001</v>
      </c>
      <c r="M133" s="81">
        <f>4.0824 * CHOOSE(CONTROL!$C$32, $C$9, 100%, $E$9)</f>
        <v>4.0823999999999998</v>
      </c>
      <c r="N133" s="81">
        <f>4.0781 * CHOOSE(CONTROL!$C$32, $C$9, 100%, $E$9)</f>
        <v>4.0781000000000001</v>
      </c>
      <c r="O133" s="81">
        <f>4.0824 * CHOOSE(CONTROL!$C$32, $C$9, 100%, $E$9)</f>
        <v>4.0823999999999998</v>
      </c>
      <c r="P133" s="10"/>
      <c r="Q133" s="10"/>
      <c r="R133" s="10"/>
    </row>
    <row r="134" spans="1:18" ht="15">
      <c r="A134" s="16">
        <v>45292</v>
      </c>
      <c r="B134" s="80">
        <f>3.4652 * CHOOSE(CONTROL!$C$32, $C$9, 100%, $E$9)</f>
        <v>3.4651999999999998</v>
      </c>
      <c r="C134" s="80">
        <f>3.4652 * CHOOSE(CONTROL!$C$32, $C$9, 100%, $E$9)</f>
        <v>3.4651999999999998</v>
      </c>
      <c r="D134" s="80">
        <f>3.4687 * CHOOSE(CONTROL!$C$32, $C$9, 100%, $E$9)</f>
        <v>3.4687000000000001</v>
      </c>
      <c r="E134" s="81">
        <f>4.1228 * CHOOSE(CONTROL!$C$32, $C$9, 100%, $E$9)</f>
        <v>4.1227999999999998</v>
      </c>
      <c r="F134" s="81">
        <f>4.1228 * CHOOSE(CONTROL!$C$32, $C$9, 100%, $E$9)</f>
        <v>4.1227999999999998</v>
      </c>
      <c r="G134" s="81">
        <f>4.1271 * CHOOSE(CONTROL!$C$32, $C$9, 100%, $E$9)</f>
        <v>4.1271000000000004</v>
      </c>
      <c r="H134" s="81">
        <f>7.4674 * CHOOSE(CONTROL!$C$32, $C$9, 100%, $E$9)</f>
        <v>7.4673999999999996</v>
      </c>
      <c r="I134" s="81">
        <f>7.4717 * CHOOSE(CONTROL!$C$32, $C$9, 100%, $E$9)</f>
        <v>7.4717000000000002</v>
      </c>
      <c r="J134" s="81">
        <f>7.4674 * CHOOSE(CONTROL!$C$32, $C$9, 100%, $E$9)</f>
        <v>7.4673999999999996</v>
      </c>
      <c r="K134" s="81">
        <f>7.4717 * CHOOSE(CONTROL!$C$32, $C$9, 100%, $E$9)</f>
        <v>7.4717000000000002</v>
      </c>
      <c r="L134" s="81">
        <f>4.1228 * CHOOSE(CONTROL!$C$32, $C$9, 100%, $E$9)</f>
        <v>4.1227999999999998</v>
      </c>
      <c r="M134" s="81">
        <f>4.1271 * CHOOSE(CONTROL!$C$32, $C$9, 100%, $E$9)</f>
        <v>4.1271000000000004</v>
      </c>
      <c r="N134" s="81">
        <f>4.1228 * CHOOSE(CONTROL!$C$32, $C$9, 100%, $E$9)</f>
        <v>4.1227999999999998</v>
      </c>
      <c r="O134" s="81">
        <f>4.1271 * CHOOSE(CONTROL!$C$32, $C$9, 100%, $E$9)</f>
        <v>4.1271000000000004</v>
      </c>
      <c r="P134" s="10"/>
      <c r="Q134" s="10"/>
      <c r="R134" s="10"/>
    </row>
    <row r="135" spans="1:18" ht="15">
      <c r="A135" s="16">
        <v>45323</v>
      </c>
      <c r="B135" s="80">
        <f>3.4621 * CHOOSE(CONTROL!$C$32, $C$9, 100%, $E$9)</f>
        <v>3.4621</v>
      </c>
      <c r="C135" s="80">
        <f>3.4621 * CHOOSE(CONTROL!$C$32, $C$9, 100%, $E$9)</f>
        <v>3.4621</v>
      </c>
      <c r="D135" s="80">
        <f>3.4657 * CHOOSE(CONTROL!$C$32, $C$9, 100%, $E$9)</f>
        <v>3.4657</v>
      </c>
      <c r="E135" s="81">
        <f>4.0546 * CHOOSE(CONTROL!$C$32, $C$9, 100%, $E$9)</f>
        <v>4.0545999999999998</v>
      </c>
      <c r="F135" s="81">
        <f>4.0546 * CHOOSE(CONTROL!$C$32, $C$9, 100%, $E$9)</f>
        <v>4.0545999999999998</v>
      </c>
      <c r="G135" s="81">
        <f>4.0589 * CHOOSE(CONTROL!$C$32, $C$9, 100%, $E$9)</f>
        <v>4.0589000000000004</v>
      </c>
      <c r="H135" s="81">
        <f>7.4829 * CHOOSE(CONTROL!$C$32, $C$9, 100%, $E$9)</f>
        <v>7.4828999999999999</v>
      </c>
      <c r="I135" s="81">
        <f>7.4873 * CHOOSE(CONTROL!$C$32, $C$9, 100%, $E$9)</f>
        <v>7.4873000000000003</v>
      </c>
      <c r="J135" s="81">
        <f>7.4829 * CHOOSE(CONTROL!$C$32, $C$9, 100%, $E$9)</f>
        <v>7.4828999999999999</v>
      </c>
      <c r="K135" s="81">
        <f>7.4873 * CHOOSE(CONTROL!$C$32, $C$9, 100%, $E$9)</f>
        <v>7.4873000000000003</v>
      </c>
      <c r="L135" s="81">
        <f>4.0546 * CHOOSE(CONTROL!$C$32, $C$9, 100%, $E$9)</f>
        <v>4.0545999999999998</v>
      </c>
      <c r="M135" s="81">
        <f>4.0589 * CHOOSE(CONTROL!$C$32, $C$9, 100%, $E$9)</f>
        <v>4.0589000000000004</v>
      </c>
      <c r="N135" s="81">
        <f>4.0546 * CHOOSE(CONTROL!$C$32, $C$9, 100%, $E$9)</f>
        <v>4.0545999999999998</v>
      </c>
      <c r="O135" s="81">
        <f>4.0589 * CHOOSE(CONTROL!$C$32, $C$9, 100%, $E$9)</f>
        <v>4.0589000000000004</v>
      </c>
      <c r="P135" s="10"/>
      <c r="Q135" s="10"/>
      <c r="R135" s="10"/>
    </row>
    <row r="136" spans="1:18" ht="15">
      <c r="A136" s="16">
        <v>45352</v>
      </c>
      <c r="B136" s="80">
        <f>3.4591 * CHOOSE(CONTROL!$C$32, $C$9, 100%, $E$9)</f>
        <v>3.4590999999999998</v>
      </c>
      <c r="C136" s="80">
        <f>3.4591 * CHOOSE(CONTROL!$C$32, $C$9, 100%, $E$9)</f>
        <v>3.4590999999999998</v>
      </c>
      <c r="D136" s="80">
        <f>3.4626 * CHOOSE(CONTROL!$C$32, $C$9, 100%, $E$9)</f>
        <v>3.4626000000000001</v>
      </c>
      <c r="E136" s="81">
        <f>4.1046 * CHOOSE(CONTROL!$C$32, $C$9, 100%, $E$9)</f>
        <v>4.1045999999999996</v>
      </c>
      <c r="F136" s="81">
        <f>4.1046 * CHOOSE(CONTROL!$C$32, $C$9, 100%, $E$9)</f>
        <v>4.1045999999999996</v>
      </c>
      <c r="G136" s="81">
        <f>4.1089 * CHOOSE(CONTROL!$C$32, $C$9, 100%, $E$9)</f>
        <v>4.1089000000000002</v>
      </c>
      <c r="H136" s="81">
        <f>7.4985 * CHOOSE(CONTROL!$C$32, $C$9, 100%, $E$9)</f>
        <v>7.4984999999999999</v>
      </c>
      <c r="I136" s="81">
        <f>7.5029 * CHOOSE(CONTROL!$C$32, $C$9, 100%, $E$9)</f>
        <v>7.5029000000000003</v>
      </c>
      <c r="J136" s="81">
        <f>7.4985 * CHOOSE(CONTROL!$C$32, $C$9, 100%, $E$9)</f>
        <v>7.4984999999999999</v>
      </c>
      <c r="K136" s="81">
        <f>7.5029 * CHOOSE(CONTROL!$C$32, $C$9, 100%, $E$9)</f>
        <v>7.5029000000000003</v>
      </c>
      <c r="L136" s="81">
        <f>4.1046 * CHOOSE(CONTROL!$C$32, $C$9, 100%, $E$9)</f>
        <v>4.1045999999999996</v>
      </c>
      <c r="M136" s="81">
        <f>4.1089 * CHOOSE(CONTROL!$C$32, $C$9, 100%, $E$9)</f>
        <v>4.1089000000000002</v>
      </c>
      <c r="N136" s="81">
        <f>4.1046 * CHOOSE(CONTROL!$C$32, $C$9, 100%, $E$9)</f>
        <v>4.1045999999999996</v>
      </c>
      <c r="O136" s="81">
        <f>4.1089 * CHOOSE(CONTROL!$C$32, $C$9, 100%, $E$9)</f>
        <v>4.1089000000000002</v>
      </c>
      <c r="P136" s="10"/>
      <c r="Q136" s="10"/>
      <c r="R136" s="10"/>
    </row>
    <row r="137" spans="1:18" ht="15">
      <c r="A137" s="16">
        <v>45383</v>
      </c>
      <c r="B137" s="80">
        <f>3.4562 * CHOOSE(CONTROL!$C$32, $C$9, 100%, $E$9)</f>
        <v>3.4561999999999999</v>
      </c>
      <c r="C137" s="80">
        <f>3.4562 * CHOOSE(CONTROL!$C$32, $C$9, 100%, $E$9)</f>
        <v>3.4561999999999999</v>
      </c>
      <c r="D137" s="80">
        <f>3.4597 * CHOOSE(CONTROL!$C$32, $C$9, 100%, $E$9)</f>
        <v>3.4597000000000002</v>
      </c>
      <c r="E137" s="81">
        <f>4.1563 * CHOOSE(CONTROL!$C$32, $C$9, 100%, $E$9)</f>
        <v>4.1562999999999999</v>
      </c>
      <c r="F137" s="81">
        <f>4.1563 * CHOOSE(CONTROL!$C$32, $C$9, 100%, $E$9)</f>
        <v>4.1562999999999999</v>
      </c>
      <c r="G137" s="81">
        <f>4.1606 * CHOOSE(CONTROL!$C$32, $C$9, 100%, $E$9)</f>
        <v>4.1605999999999996</v>
      </c>
      <c r="H137" s="81">
        <f>7.5141 * CHOOSE(CONTROL!$C$32, $C$9, 100%, $E$9)</f>
        <v>7.5141</v>
      </c>
      <c r="I137" s="81">
        <f>7.5185 * CHOOSE(CONTROL!$C$32, $C$9, 100%, $E$9)</f>
        <v>7.5185000000000004</v>
      </c>
      <c r="J137" s="81">
        <f>7.5141 * CHOOSE(CONTROL!$C$32, $C$9, 100%, $E$9)</f>
        <v>7.5141</v>
      </c>
      <c r="K137" s="81">
        <f>7.5185 * CHOOSE(CONTROL!$C$32, $C$9, 100%, $E$9)</f>
        <v>7.5185000000000004</v>
      </c>
      <c r="L137" s="81">
        <f>4.1563 * CHOOSE(CONTROL!$C$32, $C$9, 100%, $E$9)</f>
        <v>4.1562999999999999</v>
      </c>
      <c r="M137" s="81">
        <f>4.1606 * CHOOSE(CONTROL!$C$32, $C$9, 100%, $E$9)</f>
        <v>4.1605999999999996</v>
      </c>
      <c r="N137" s="81">
        <f>4.1563 * CHOOSE(CONTROL!$C$32, $C$9, 100%, $E$9)</f>
        <v>4.1562999999999999</v>
      </c>
      <c r="O137" s="81">
        <f>4.1606 * CHOOSE(CONTROL!$C$32, $C$9, 100%, $E$9)</f>
        <v>4.1605999999999996</v>
      </c>
      <c r="P137" s="10"/>
      <c r="Q137" s="10"/>
      <c r="R137" s="10"/>
    </row>
    <row r="138" spans="1:18" ht="15">
      <c r="A138" s="16">
        <v>45413</v>
      </c>
      <c r="B138" s="80">
        <f>3.4562 * CHOOSE(CONTROL!$C$32, $C$9, 100%, $E$9)</f>
        <v>3.4561999999999999</v>
      </c>
      <c r="C138" s="80">
        <f>3.4562 * CHOOSE(CONTROL!$C$32, $C$9, 100%, $E$9)</f>
        <v>3.4561999999999999</v>
      </c>
      <c r="D138" s="80">
        <f>3.4614 * CHOOSE(CONTROL!$C$32, $C$9, 100%, $E$9)</f>
        <v>3.4613999999999998</v>
      </c>
      <c r="E138" s="81">
        <f>4.1772 * CHOOSE(CONTROL!$C$32, $C$9, 100%, $E$9)</f>
        <v>4.1772</v>
      </c>
      <c r="F138" s="81">
        <f>4.1772 * CHOOSE(CONTROL!$C$32, $C$9, 100%, $E$9)</f>
        <v>4.1772</v>
      </c>
      <c r="G138" s="81">
        <f>4.1835 * CHOOSE(CONTROL!$C$32, $C$9, 100%, $E$9)</f>
        <v>4.1835000000000004</v>
      </c>
      <c r="H138" s="81">
        <f>7.5298 * CHOOSE(CONTROL!$C$32, $C$9, 100%, $E$9)</f>
        <v>7.5297999999999998</v>
      </c>
      <c r="I138" s="81">
        <f>7.5361 * CHOOSE(CONTROL!$C$32, $C$9, 100%, $E$9)</f>
        <v>7.5361000000000002</v>
      </c>
      <c r="J138" s="81">
        <f>7.5298 * CHOOSE(CONTROL!$C$32, $C$9, 100%, $E$9)</f>
        <v>7.5297999999999998</v>
      </c>
      <c r="K138" s="81">
        <f>7.5361 * CHOOSE(CONTROL!$C$32, $C$9, 100%, $E$9)</f>
        <v>7.5361000000000002</v>
      </c>
      <c r="L138" s="81">
        <f>4.1772 * CHOOSE(CONTROL!$C$32, $C$9, 100%, $E$9)</f>
        <v>4.1772</v>
      </c>
      <c r="M138" s="81">
        <f>4.1835 * CHOOSE(CONTROL!$C$32, $C$9, 100%, $E$9)</f>
        <v>4.1835000000000004</v>
      </c>
      <c r="N138" s="81">
        <f>4.1772 * CHOOSE(CONTROL!$C$32, $C$9, 100%, $E$9)</f>
        <v>4.1772</v>
      </c>
      <c r="O138" s="81">
        <f>4.1835 * CHOOSE(CONTROL!$C$32, $C$9, 100%, $E$9)</f>
        <v>4.1835000000000004</v>
      </c>
      <c r="P138" s="10"/>
      <c r="Q138" s="10"/>
      <c r="R138" s="10"/>
    </row>
    <row r="139" spans="1:18" ht="15">
      <c r="A139" s="16">
        <v>45444</v>
      </c>
      <c r="B139" s="80">
        <f>3.4623 * CHOOSE(CONTROL!$C$32, $C$9, 100%, $E$9)</f>
        <v>3.4622999999999999</v>
      </c>
      <c r="C139" s="80">
        <f>3.4623 * CHOOSE(CONTROL!$C$32, $C$9, 100%, $E$9)</f>
        <v>3.4622999999999999</v>
      </c>
      <c r="D139" s="80">
        <f>3.4674 * CHOOSE(CONTROL!$C$32, $C$9, 100%, $E$9)</f>
        <v>3.4674</v>
      </c>
      <c r="E139" s="81">
        <f>4.1605 * CHOOSE(CONTROL!$C$32, $C$9, 100%, $E$9)</f>
        <v>4.1604999999999999</v>
      </c>
      <c r="F139" s="81">
        <f>4.1605 * CHOOSE(CONTROL!$C$32, $C$9, 100%, $E$9)</f>
        <v>4.1604999999999999</v>
      </c>
      <c r="G139" s="81">
        <f>4.1668 * CHOOSE(CONTROL!$C$32, $C$9, 100%, $E$9)</f>
        <v>4.1668000000000003</v>
      </c>
      <c r="H139" s="81">
        <f>7.5455 * CHOOSE(CONTROL!$C$32, $C$9, 100%, $E$9)</f>
        <v>7.5454999999999997</v>
      </c>
      <c r="I139" s="81">
        <f>7.5518 * CHOOSE(CONTROL!$C$32, $C$9, 100%, $E$9)</f>
        <v>7.5518000000000001</v>
      </c>
      <c r="J139" s="81">
        <f>7.5455 * CHOOSE(CONTROL!$C$32, $C$9, 100%, $E$9)</f>
        <v>7.5454999999999997</v>
      </c>
      <c r="K139" s="81">
        <f>7.5518 * CHOOSE(CONTROL!$C$32, $C$9, 100%, $E$9)</f>
        <v>7.5518000000000001</v>
      </c>
      <c r="L139" s="81">
        <f>4.1605 * CHOOSE(CONTROL!$C$32, $C$9, 100%, $E$9)</f>
        <v>4.1604999999999999</v>
      </c>
      <c r="M139" s="81">
        <f>4.1668 * CHOOSE(CONTROL!$C$32, $C$9, 100%, $E$9)</f>
        <v>4.1668000000000003</v>
      </c>
      <c r="N139" s="81">
        <f>4.1605 * CHOOSE(CONTROL!$C$32, $C$9, 100%, $E$9)</f>
        <v>4.1604999999999999</v>
      </c>
      <c r="O139" s="81">
        <f>4.1668 * CHOOSE(CONTROL!$C$32, $C$9, 100%, $E$9)</f>
        <v>4.1668000000000003</v>
      </c>
      <c r="P139" s="10"/>
      <c r="Q139" s="10"/>
      <c r="R139" s="10"/>
    </row>
    <row r="140" spans="1:18" ht="15">
      <c r="A140" s="16">
        <v>45474</v>
      </c>
      <c r="B140" s="80">
        <f>3.5185 * CHOOSE(CONTROL!$C$32, $C$9, 100%, $E$9)</f>
        <v>3.5185</v>
      </c>
      <c r="C140" s="80">
        <f>3.5185 * CHOOSE(CONTROL!$C$32, $C$9, 100%, $E$9)</f>
        <v>3.5185</v>
      </c>
      <c r="D140" s="80">
        <f>3.5236 * CHOOSE(CONTROL!$C$32, $C$9, 100%, $E$9)</f>
        <v>3.5236000000000001</v>
      </c>
      <c r="E140" s="81">
        <f>4.2301 * CHOOSE(CONTROL!$C$32, $C$9, 100%, $E$9)</f>
        <v>4.2301000000000002</v>
      </c>
      <c r="F140" s="81">
        <f>4.2301 * CHOOSE(CONTROL!$C$32, $C$9, 100%, $E$9)</f>
        <v>4.2301000000000002</v>
      </c>
      <c r="G140" s="81">
        <f>4.2364 * CHOOSE(CONTROL!$C$32, $C$9, 100%, $E$9)</f>
        <v>4.2363999999999997</v>
      </c>
      <c r="H140" s="81">
        <f>7.5612 * CHOOSE(CONTROL!$C$32, $C$9, 100%, $E$9)</f>
        <v>7.5612000000000004</v>
      </c>
      <c r="I140" s="81">
        <f>7.5675 * CHOOSE(CONTROL!$C$32, $C$9, 100%, $E$9)</f>
        <v>7.5674999999999999</v>
      </c>
      <c r="J140" s="81">
        <f>7.5612 * CHOOSE(CONTROL!$C$32, $C$9, 100%, $E$9)</f>
        <v>7.5612000000000004</v>
      </c>
      <c r="K140" s="81">
        <f>7.5675 * CHOOSE(CONTROL!$C$32, $C$9, 100%, $E$9)</f>
        <v>7.5674999999999999</v>
      </c>
      <c r="L140" s="81">
        <f>4.2301 * CHOOSE(CONTROL!$C$32, $C$9, 100%, $E$9)</f>
        <v>4.2301000000000002</v>
      </c>
      <c r="M140" s="81">
        <f>4.2364 * CHOOSE(CONTROL!$C$32, $C$9, 100%, $E$9)</f>
        <v>4.2363999999999997</v>
      </c>
      <c r="N140" s="81">
        <f>4.2301 * CHOOSE(CONTROL!$C$32, $C$9, 100%, $E$9)</f>
        <v>4.2301000000000002</v>
      </c>
      <c r="O140" s="81">
        <f>4.2364 * CHOOSE(CONTROL!$C$32, $C$9, 100%, $E$9)</f>
        <v>4.2363999999999997</v>
      </c>
      <c r="P140" s="10"/>
      <c r="Q140" s="10"/>
      <c r="R140" s="10"/>
    </row>
    <row r="141" spans="1:18" ht="15">
      <c r="A141" s="16">
        <v>45505</v>
      </c>
      <c r="B141" s="80">
        <f>3.5251 * CHOOSE(CONTROL!$C$32, $C$9, 100%, $E$9)</f>
        <v>3.5251000000000001</v>
      </c>
      <c r="C141" s="80">
        <f>3.5251 * CHOOSE(CONTROL!$C$32, $C$9, 100%, $E$9)</f>
        <v>3.5251000000000001</v>
      </c>
      <c r="D141" s="80">
        <f>3.5303 * CHOOSE(CONTROL!$C$32, $C$9, 100%, $E$9)</f>
        <v>3.5303</v>
      </c>
      <c r="E141" s="81">
        <f>4.1718 * CHOOSE(CONTROL!$C$32, $C$9, 100%, $E$9)</f>
        <v>4.1718000000000002</v>
      </c>
      <c r="F141" s="81">
        <f>4.1718 * CHOOSE(CONTROL!$C$32, $C$9, 100%, $E$9)</f>
        <v>4.1718000000000002</v>
      </c>
      <c r="G141" s="81">
        <f>4.1781 * CHOOSE(CONTROL!$C$32, $C$9, 100%, $E$9)</f>
        <v>4.1780999999999997</v>
      </c>
      <c r="H141" s="81">
        <f>7.5769 * CHOOSE(CONTROL!$C$32, $C$9, 100%, $E$9)</f>
        <v>7.5769000000000002</v>
      </c>
      <c r="I141" s="81">
        <f>7.5833 * CHOOSE(CONTROL!$C$32, $C$9, 100%, $E$9)</f>
        <v>7.5833000000000004</v>
      </c>
      <c r="J141" s="81">
        <f>7.5769 * CHOOSE(CONTROL!$C$32, $C$9, 100%, $E$9)</f>
        <v>7.5769000000000002</v>
      </c>
      <c r="K141" s="81">
        <f>7.5833 * CHOOSE(CONTROL!$C$32, $C$9, 100%, $E$9)</f>
        <v>7.5833000000000004</v>
      </c>
      <c r="L141" s="81">
        <f>4.1718 * CHOOSE(CONTROL!$C$32, $C$9, 100%, $E$9)</f>
        <v>4.1718000000000002</v>
      </c>
      <c r="M141" s="81">
        <f>4.1781 * CHOOSE(CONTROL!$C$32, $C$9, 100%, $E$9)</f>
        <v>4.1780999999999997</v>
      </c>
      <c r="N141" s="81">
        <f>4.1718 * CHOOSE(CONTROL!$C$32, $C$9, 100%, $E$9)</f>
        <v>4.1718000000000002</v>
      </c>
      <c r="O141" s="81">
        <f>4.1781 * CHOOSE(CONTROL!$C$32, $C$9, 100%, $E$9)</f>
        <v>4.1780999999999997</v>
      </c>
      <c r="P141" s="10"/>
      <c r="Q141" s="10"/>
      <c r="R141" s="10"/>
    </row>
    <row r="142" spans="1:18" ht="15">
      <c r="A142" s="16">
        <v>45536</v>
      </c>
      <c r="B142" s="80">
        <f>3.5221 * CHOOSE(CONTROL!$C$32, $C$9, 100%, $E$9)</f>
        <v>3.5221</v>
      </c>
      <c r="C142" s="80">
        <f>3.5221 * CHOOSE(CONTROL!$C$32, $C$9, 100%, $E$9)</f>
        <v>3.5221</v>
      </c>
      <c r="D142" s="80">
        <f>3.5273 * CHOOSE(CONTROL!$C$32, $C$9, 100%, $E$9)</f>
        <v>3.5272999999999999</v>
      </c>
      <c r="E142" s="81">
        <f>4.1627 * CHOOSE(CONTROL!$C$32, $C$9, 100%, $E$9)</f>
        <v>4.1627000000000001</v>
      </c>
      <c r="F142" s="81">
        <f>4.1627 * CHOOSE(CONTROL!$C$32, $C$9, 100%, $E$9)</f>
        <v>4.1627000000000001</v>
      </c>
      <c r="G142" s="81">
        <f>4.169 * CHOOSE(CONTROL!$C$32, $C$9, 100%, $E$9)</f>
        <v>4.1689999999999996</v>
      </c>
      <c r="H142" s="81">
        <f>7.5927 * CHOOSE(CONTROL!$C$32, $C$9, 100%, $E$9)</f>
        <v>7.5926999999999998</v>
      </c>
      <c r="I142" s="81">
        <f>7.599 * CHOOSE(CONTROL!$C$32, $C$9, 100%, $E$9)</f>
        <v>7.5990000000000002</v>
      </c>
      <c r="J142" s="81">
        <f>7.5927 * CHOOSE(CONTROL!$C$32, $C$9, 100%, $E$9)</f>
        <v>7.5926999999999998</v>
      </c>
      <c r="K142" s="81">
        <f>7.599 * CHOOSE(CONTROL!$C$32, $C$9, 100%, $E$9)</f>
        <v>7.5990000000000002</v>
      </c>
      <c r="L142" s="81">
        <f>4.1627 * CHOOSE(CONTROL!$C$32, $C$9, 100%, $E$9)</f>
        <v>4.1627000000000001</v>
      </c>
      <c r="M142" s="81">
        <f>4.169 * CHOOSE(CONTROL!$C$32, $C$9, 100%, $E$9)</f>
        <v>4.1689999999999996</v>
      </c>
      <c r="N142" s="81">
        <f>4.1627 * CHOOSE(CONTROL!$C$32, $C$9, 100%, $E$9)</f>
        <v>4.1627000000000001</v>
      </c>
      <c r="O142" s="81">
        <f>4.169 * CHOOSE(CONTROL!$C$32, $C$9, 100%, $E$9)</f>
        <v>4.1689999999999996</v>
      </c>
      <c r="P142" s="10"/>
      <c r="Q142" s="10"/>
      <c r="R142" s="10"/>
    </row>
    <row r="143" spans="1:18" ht="15">
      <c r="A143" s="16">
        <v>45566</v>
      </c>
      <c r="B143" s="80">
        <f>3.5152 * CHOOSE(CONTROL!$C$32, $C$9, 100%, $E$9)</f>
        <v>3.5152000000000001</v>
      </c>
      <c r="C143" s="80">
        <f>3.5152 * CHOOSE(CONTROL!$C$32, $C$9, 100%, $E$9)</f>
        <v>3.5152000000000001</v>
      </c>
      <c r="D143" s="80">
        <f>3.5188 * CHOOSE(CONTROL!$C$32, $C$9, 100%, $E$9)</f>
        <v>3.5188000000000001</v>
      </c>
      <c r="E143" s="81">
        <f>4.1773 * CHOOSE(CONTROL!$C$32, $C$9, 100%, $E$9)</f>
        <v>4.1772999999999998</v>
      </c>
      <c r="F143" s="81">
        <f>4.1773 * CHOOSE(CONTROL!$C$32, $C$9, 100%, $E$9)</f>
        <v>4.1772999999999998</v>
      </c>
      <c r="G143" s="81">
        <f>4.1816 * CHOOSE(CONTROL!$C$32, $C$9, 100%, $E$9)</f>
        <v>4.1816000000000004</v>
      </c>
      <c r="H143" s="81">
        <f>7.6085 * CHOOSE(CONTROL!$C$32, $C$9, 100%, $E$9)</f>
        <v>7.6085000000000003</v>
      </c>
      <c r="I143" s="81">
        <f>7.6129 * CHOOSE(CONTROL!$C$32, $C$9, 100%, $E$9)</f>
        <v>7.6128999999999998</v>
      </c>
      <c r="J143" s="81">
        <f>7.6085 * CHOOSE(CONTROL!$C$32, $C$9, 100%, $E$9)</f>
        <v>7.6085000000000003</v>
      </c>
      <c r="K143" s="81">
        <f>7.6129 * CHOOSE(CONTROL!$C$32, $C$9, 100%, $E$9)</f>
        <v>7.6128999999999998</v>
      </c>
      <c r="L143" s="81">
        <f>4.1773 * CHOOSE(CONTROL!$C$32, $C$9, 100%, $E$9)</f>
        <v>4.1772999999999998</v>
      </c>
      <c r="M143" s="81">
        <f>4.1816 * CHOOSE(CONTROL!$C$32, $C$9, 100%, $E$9)</f>
        <v>4.1816000000000004</v>
      </c>
      <c r="N143" s="81">
        <f>4.1773 * CHOOSE(CONTROL!$C$32, $C$9, 100%, $E$9)</f>
        <v>4.1772999999999998</v>
      </c>
      <c r="O143" s="81">
        <f>4.1816 * CHOOSE(CONTROL!$C$32, $C$9, 100%, $E$9)</f>
        <v>4.1816000000000004</v>
      </c>
      <c r="P143" s="10"/>
      <c r="Q143" s="10"/>
      <c r="R143" s="10"/>
    </row>
    <row r="144" spans="1:18" ht="15">
      <c r="A144" s="16">
        <v>45597</v>
      </c>
      <c r="B144" s="80">
        <f>3.5183 * CHOOSE(CONTROL!$C$32, $C$9, 100%, $E$9)</f>
        <v>3.5183</v>
      </c>
      <c r="C144" s="80">
        <f>3.5183 * CHOOSE(CONTROL!$C$32, $C$9, 100%, $E$9)</f>
        <v>3.5183</v>
      </c>
      <c r="D144" s="80">
        <f>3.5218 * CHOOSE(CONTROL!$C$32, $C$9, 100%, $E$9)</f>
        <v>3.5217999999999998</v>
      </c>
      <c r="E144" s="81">
        <f>4.1934 * CHOOSE(CONTROL!$C$32, $C$9, 100%, $E$9)</f>
        <v>4.1933999999999996</v>
      </c>
      <c r="F144" s="81">
        <f>4.1934 * CHOOSE(CONTROL!$C$32, $C$9, 100%, $E$9)</f>
        <v>4.1933999999999996</v>
      </c>
      <c r="G144" s="81">
        <f>4.1977 * CHOOSE(CONTROL!$C$32, $C$9, 100%, $E$9)</f>
        <v>4.1977000000000002</v>
      </c>
      <c r="H144" s="81">
        <f>7.6244 * CHOOSE(CONTROL!$C$32, $C$9, 100%, $E$9)</f>
        <v>7.6243999999999996</v>
      </c>
      <c r="I144" s="81">
        <f>7.6288 * CHOOSE(CONTROL!$C$32, $C$9, 100%, $E$9)</f>
        <v>7.6288</v>
      </c>
      <c r="J144" s="81">
        <f>7.6244 * CHOOSE(CONTROL!$C$32, $C$9, 100%, $E$9)</f>
        <v>7.6243999999999996</v>
      </c>
      <c r="K144" s="81">
        <f>7.6288 * CHOOSE(CONTROL!$C$32, $C$9, 100%, $E$9)</f>
        <v>7.6288</v>
      </c>
      <c r="L144" s="81">
        <f>4.1934 * CHOOSE(CONTROL!$C$32, $C$9, 100%, $E$9)</f>
        <v>4.1933999999999996</v>
      </c>
      <c r="M144" s="81">
        <f>4.1977 * CHOOSE(CONTROL!$C$32, $C$9, 100%, $E$9)</f>
        <v>4.1977000000000002</v>
      </c>
      <c r="N144" s="81">
        <f>4.1934 * CHOOSE(CONTROL!$C$32, $C$9, 100%, $E$9)</f>
        <v>4.1933999999999996</v>
      </c>
      <c r="O144" s="81">
        <f>4.1977 * CHOOSE(CONTROL!$C$32, $C$9, 100%, $E$9)</f>
        <v>4.1977000000000002</v>
      </c>
      <c r="P144" s="10"/>
      <c r="Q144" s="10"/>
      <c r="R144" s="10"/>
    </row>
    <row r="145" spans="1:18" ht="15">
      <c r="A145" s="16">
        <v>45627</v>
      </c>
      <c r="B145" s="80">
        <f>3.5183 * CHOOSE(CONTROL!$C$32, $C$9, 100%, $E$9)</f>
        <v>3.5183</v>
      </c>
      <c r="C145" s="80">
        <f>3.5183 * CHOOSE(CONTROL!$C$32, $C$9, 100%, $E$9)</f>
        <v>3.5183</v>
      </c>
      <c r="D145" s="80">
        <f>3.5218 * CHOOSE(CONTROL!$C$32, $C$9, 100%, $E$9)</f>
        <v>3.5217999999999998</v>
      </c>
      <c r="E145" s="81">
        <f>4.1584 * CHOOSE(CONTROL!$C$32, $C$9, 100%, $E$9)</f>
        <v>4.1584000000000003</v>
      </c>
      <c r="F145" s="81">
        <f>4.1584 * CHOOSE(CONTROL!$C$32, $C$9, 100%, $E$9)</f>
        <v>4.1584000000000003</v>
      </c>
      <c r="G145" s="81">
        <f>4.1628 * CHOOSE(CONTROL!$C$32, $C$9, 100%, $E$9)</f>
        <v>4.1627999999999998</v>
      </c>
      <c r="H145" s="81">
        <f>7.6403 * CHOOSE(CONTROL!$C$32, $C$9, 100%, $E$9)</f>
        <v>7.6402999999999999</v>
      </c>
      <c r="I145" s="81">
        <f>7.6446 * CHOOSE(CONTROL!$C$32, $C$9, 100%, $E$9)</f>
        <v>7.6445999999999996</v>
      </c>
      <c r="J145" s="81">
        <f>7.6403 * CHOOSE(CONTROL!$C$32, $C$9, 100%, $E$9)</f>
        <v>7.6402999999999999</v>
      </c>
      <c r="K145" s="81">
        <f>7.6446 * CHOOSE(CONTROL!$C$32, $C$9, 100%, $E$9)</f>
        <v>7.6445999999999996</v>
      </c>
      <c r="L145" s="81">
        <f>4.1584 * CHOOSE(CONTROL!$C$32, $C$9, 100%, $E$9)</f>
        <v>4.1584000000000003</v>
      </c>
      <c r="M145" s="81">
        <f>4.1628 * CHOOSE(CONTROL!$C$32, $C$9, 100%, $E$9)</f>
        <v>4.1627999999999998</v>
      </c>
      <c r="N145" s="81">
        <f>4.1584 * CHOOSE(CONTROL!$C$32, $C$9, 100%, $E$9)</f>
        <v>4.1584000000000003</v>
      </c>
      <c r="O145" s="81">
        <f>4.1628 * CHOOSE(CONTROL!$C$32, $C$9, 100%, $E$9)</f>
        <v>4.1627999999999998</v>
      </c>
      <c r="P145" s="10"/>
      <c r="Q145" s="10"/>
      <c r="R145" s="10"/>
    </row>
    <row r="146" spans="1:18" ht="15">
      <c r="A146" s="16">
        <v>45658</v>
      </c>
      <c r="B146" s="80">
        <f>3.5476 * CHOOSE(CONTROL!$C$32, $C$9, 100%, $E$9)</f>
        <v>3.5476000000000001</v>
      </c>
      <c r="C146" s="80">
        <f>3.5476 * CHOOSE(CONTROL!$C$32, $C$9, 100%, $E$9)</f>
        <v>3.5476000000000001</v>
      </c>
      <c r="D146" s="80">
        <f>3.5511 * CHOOSE(CONTROL!$C$32, $C$9, 100%, $E$9)</f>
        <v>3.5510999999999999</v>
      </c>
      <c r="E146" s="81">
        <f>4.2052 * CHOOSE(CONTROL!$C$32, $C$9, 100%, $E$9)</f>
        <v>4.2051999999999996</v>
      </c>
      <c r="F146" s="81">
        <f>4.2052 * CHOOSE(CONTROL!$C$32, $C$9, 100%, $E$9)</f>
        <v>4.2051999999999996</v>
      </c>
      <c r="G146" s="81">
        <f>4.2096 * CHOOSE(CONTROL!$C$32, $C$9, 100%, $E$9)</f>
        <v>4.2096</v>
      </c>
      <c r="H146" s="81">
        <f>7.6562 * CHOOSE(CONTROL!$C$32, $C$9, 100%, $E$9)</f>
        <v>7.6562000000000001</v>
      </c>
      <c r="I146" s="81">
        <f>7.6606 * CHOOSE(CONTROL!$C$32, $C$9, 100%, $E$9)</f>
        <v>7.6605999999999996</v>
      </c>
      <c r="J146" s="81">
        <f>7.6562 * CHOOSE(CONTROL!$C$32, $C$9, 100%, $E$9)</f>
        <v>7.6562000000000001</v>
      </c>
      <c r="K146" s="81">
        <f>7.6606 * CHOOSE(CONTROL!$C$32, $C$9, 100%, $E$9)</f>
        <v>7.6605999999999996</v>
      </c>
      <c r="L146" s="81">
        <f>4.2052 * CHOOSE(CONTROL!$C$32, $C$9, 100%, $E$9)</f>
        <v>4.2051999999999996</v>
      </c>
      <c r="M146" s="81">
        <f>4.2096 * CHOOSE(CONTROL!$C$32, $C$9, 100%, $E$9)</f>
        <v>4.2096</v>
      </c>
      <c r="N146" s="81">
        <f>4.2052 * CHOOSE(CONTROL!$C$32, $C$9, 100%, $E$9)</f>
        <v>4.2051999999999996</v>
      </c>
      <c r="O146" s="81">
        <f>4.2096 * CHOOSE(CONTROL!$C$32, $C$9, 100%, $E$9)</f>
        <v>4.2096</v>
      </c>
      <c r="P146" s="10"/>
      <c r="Q146" s="10"/>
      <c r="R146" s="10"/>
    </row>
    <row r="147" spans="1:18" ht="15">
      <c r="A147" s="16">
        <v>45689</v>
      </c>
      <c r="B147" s="80">
        <f>3.5445 * CHOOSE(CONTROL!$C$32, $C$9, 100%, $E$9)</f>
        <v>3.5445000000000002</v>
      </c>
      <c r="C147" s="80">
        <f>3.5445 * CHOOSE(CONTROL!$C$32, $C$9, 100%, $E$9)</f>
        <v>3.5445000000000002</v>
      </c>
      <c r="D147" s="80">
        <f>3.5481 * CHOOSE(CONTROL!$C$32, $C$9, 100%, $E$9)</f>
        <v>3.5480999999999998</v>
      </c>
      <c r="E147" s="81">
        <f>4.1366 * CHOOSE(CONTROL!$C$32, $C$9, 100%, $E$9)</f>
        <v>4.1365999999999996</v>
      </c>
      <c r="F147" s="81">
        <f>4.1366 * CHOOSE(CONTROL!$C$32, $C$9, 100%, $E$9)</f>
        <v>4.1365999999999996</v>
      </c>
      <c r="G147" s="81">
        <f>4.1409 * CHOOSE(CONTROL!$C$32, $C$9, 100%, $E$9)</f>
        <v>4.1409000000000002</v>
      </c>
      <c r="H147" s="81">
        <f>7.6721 * CHOOSE(CONTROL!$C$32, $C$9, 100%, $E$9)</f>
        <v>7.6721000000000004</v>
      </c>
      <c r="I147" s="81">
        <f>7.6765 * CHOOSE(CONTROL!$C$32, $C$9, 100%, $E$9)</f>
        <v>7.6764999999999999</v>
      </c>
      <c r="J147" s="81">
        <f>7.6721 * CHOOSE(CONTROL!$C$32, $C$9, 100%, $E$9)</f>
        <v>7.6721000000000004</v>
      </c>
      <c r="K147" s="81">
        <f>7.6765 * CHOOSE(CONTROL!$C$32, $C$9, 100%, $E$9)</f>
        <v>7.6764999999999999</v>
      </c>
      <c r="L147" s="81">
        <f>4.1366 * CHOOSE(CONTROL!$C$32, $C$9, 100%, $E$9)</f>
        <v>4.1365999999999996</v>
      </c>
      <c r="M147" s="81">
        <f>4.1409 * CHOOSE(CONTROL!$C$32, $C$9, 100%, $E$9)</f>
        <v>4.1409000000000002</v>
      </c>
      <c r="N147" s="81">
        <f>4.1366 * CHOOSE(CONTROL!$C$32, $C$9, 100%, $E$9)</f>
        <v>4.1365999999999996</v>
      </c>
      <c r="O147" s="81">
        <f>4.1409 * CHOOSE(CONTROL!$C$32, $C$9, 100%, $E$9)</f>
        <v>4.1409000000000002</v>
      </c>
      <c r="P147" s="10"/>
      <c r="Q147" s="10"/>
      <c r="R147" s="10"/>
    </row>
    <row r="148" spans="1:18" ht="15">
      <c r="A148" s="16">
        <v>45717</v>
      </c>
      <c r="B148" s="80">
        <f>3.5415 * CHOOSE(CONTROL!$C$32, $C$9, 100%, $E$9)</f>
        <v>3.5415000000000001</v>
      </c>
      <c r="C148" s="80">
        <f>3.5415 * CHOOSE(CONTROL!$C$32, $C$9, 100%, $E$9)</f>
        <v>3.5415000000000001</v>
      </c>
      <c r="D148" s="80">
        <f>3.545 * CHOOSE(CONTROL!$C$32, $C$9, 100%, $E$9)</f>
        <v>3.5449999999999999</v>
      </c>
      <c r="E148" s="81">
        <f>4.1869 * CHOOSE(CONTROL!$C$32, $C$9, 100%, $E$9)</f>
        <v>4.1868999999999996</v>
      </c>
      <c r="F148" s="81">
        <f>4.1869 * CHOOSE(CONTROL!$C$32, $C$9, 100%, $E$9)</f>
        <v>4.1868999999999996</v>
      </c>
      <c r="G148" s="81">
        <f>4.1913 * CHOOSE(CONTROL!$C$32, $C$9, 100%, $E$9)</f>
        <v>4.1913</v>
      </c>
      <c r="H148" s="81">
        <f>7.6881 * CHOOSE(CONTROL!$C$32, $C$9, 100%, $E$9)</f>
        <v>7.6881000000000004</v>
      </c>
      <c r="I148" s="81">
        <f>7.6925 * CHOOSE(CONTROL!$C$32, $C$9, 100%, $E$9)</f>
        <v>7.6924999999999999</v>
      </c>
      <c r="J148" s="81">
        <f>7.6881 * CHOOSE(CONTROL!$C$32, $C$9, 100%, $E$9)</f>
        <v>7.6881000000000004</v>
      </c>
      <c r="K148" s="81">
        <f>7.6925 * CHOOSE(CONTROL!$C$32, $C$9, 100%, $E$9)</f>
        <v>7.6924999999999999</v>
      </c>
      <c r="L148" s="81">
        <f>4.1869 * CHOOSE(CONTROL!$C$32, $C$9, 100%, $E$9)</f>
        <v>4.1868999999999996</v>
      </c>
      <c r="M148" s="81">
        <f>4.1913 * CHOOSE(CONTROL!$C$32, $C$9, 100%, $E$9)</f>
        <v>4.1913</v>
      </c>
      <c r="N148" s="81">
        <f>4.1869 * CHOOSE(CONTROL!$C$32, $C$9, 100%, $E$9)</f>
        <v>4.1868999999999996</v>
      </c>
      <c r="O148" s="81">
        <f>4.1913 * CHOOSE(CONTROL!$C$32, $C$9, 100%, $E$9)</f>
        <v>4.1913</v>
      </c>
      <c r="P148" s="10"/>
      <c r="Q148" s="10"/>
      <c r="R148" s="10"/>
    </row>
    <row r="149" spans="1:18" ht="15">
      <c r="A149" s="16">
        <v>45748</v>
      </c>
      <c r="B149" s="80">
        <f>3.5386 * CHOOSE(CONTROL!$C$32, $C$9, 100%, $E$9)</f>
        <v>3.5386000000000002</v>
      </c>
      <c r="C149" s="80">
        <f>3.5386 * CHOOSE(CONTROL!$C$32, $C$9, 100%, $E$9)</f>
        <v>3.5386000000000002</v>
      </c>
      <c r="D149" s="80">
        <f>3.5422 * CHOOSE(CONTROL!$C$32, $C$9, 100%, $E$9)</f>
        <v>3.5421999999999998</v>
      </c>
      <c r="E149" s="81">
        <f>4.239 * CHOOSE(CONTROL!$C$32, $C$9, 100%, $E$9)</f>
        <v>4.2389999999999999</v>
      </c>
      <c r="F149" s="81">
        <f>4.239 * CHOOSE(CONTROL!$C$32, $C$9, 100%, $E$9)</f>
        <v>4.2389999999999999</v>
      </c>
      <c r="G149" s="81">
        <f>4.2434 * CHOOSE(CONTROL!$C$32, $C$9, 100%, $E$9)</f>
        <v>4.2434000000000003</v>
      </c>
      <c r="H149" s="81">
        <f>7.7041 * CHOOSE(CONTROL!$C$32, $C$9, 100%, $E$9)</f>
        <v>7.7041000000000004</v>
      </c>
      <c r="I149" s="81">
        <f>7.7085 * CHOOSE(CONTROL!$C$32, $C$9, 100%, $E$9)</f>
        <v>7.7084999999999999</v>
      </c>
      <c r="J149" s="81">
        <f>7.7041 * CHOOSE(CONTROL!$C$32, $C$9, 100%, $E$9)</f>
        <v>7.7041000000000004</v>
      </c>
      <c r="K149" s="81">
        <f>7.7085 * CHOOSE(CONTROL!$C$32, $C$9, 100%, $E$9)</f>
        <v>7.7084999999999999</v>
      </c>
      <c r="L149" s="81">
        <f>4.239 * CHOOSE(CONTROL!$C$32, $C$9, 100%, $E$9)</f>
        <v>4.2389999999999999</v>
      </c>
      <c r="M149" s="81">
        <f>4.2434 * CHOOSE(CONTROL!$C$32, $C$9, 100%, $E$9)</f>
        <v>4.2434000000000003</v>
      </c>
      <c r="N149" s="81">
        <f>4.239 * CHOOSE(CONTROL!$C$32, $C$9, 100%, $E$9)</f>
        <v>4.2389999999999999</v>
      </c>
      <c r="O149" s="81">
        <f>4.2434 * CHOOSE(CONTROL!$C$32, $C$9, 100%, $E$9)</f>
        <v>4.2434000000000003</v>
      </c>
      <c r="P149" s="10"/>
      <c r="Q149" s="10"/>
      <c r="R149" s="10"/>
    </row>
    <row r="150" spans="1:18" ht="15">
      <c r="A150" s="16">
        <v>45778</v>
      </c>
      <c r="B150" s="80">
        <f>3.5386 * CHOOSE(CONTROL!$C$32, $C$9, 100%, $E$9)</f>
        <v>3.5386000000000002</v>
      </c>
      <c r="C150" s="80">
        <f>3.5386 * CHOOSE(CONTROL!$C$32, $C$9, 100%, $E$9)</f>
        <v>3.5386000000000002</v>
      </c>
      <c r="D150" s="80">
        <f>3.5438 * CHOOSE(CONTROL!$C$32, $C$9, 100%, $E$9)</f>
        <v>3.5438000000000001</v>
      </c>
      <c r="E150" s="81">
        <f>4.2602 * CHOOSE(CONTROL!$C$32, $C$9, 100%, $E$9)</f>
        <v>4.2602000000000002</v>
      </c>
      <c r="F150" s="81">
        <f>4.2602 * CHOOSE(CONTROL!$C$32, $C$9, 100%, $E$9)</f>
        <v>4.2602000000000002</v>
      </c>
      <c r="G150" s="81">
        <f>4.2665 * CHOOSE(CONTROL!$C$32, $C$9, 100%, $E$9)</f>
        <v>4.2664999999999997</v>
      </c>
      <c r="H150" s="81">
        <f>7.7202 * CHOOSE(CONTROL!$C$32, $C$9, 100%, $E$9)</f>
        <v>7.7202000000000002</v>
      </c>
      <c r="I150" s="81">
        <f>7.7265 * CHOOSE(CONTROL!$C$32, $C$9, 100%, $E$9)</f>
        <v>7.7264999999999997</v>
      </c>
      <c r="J150" s="81">
        <f>7.7202 * CHOOSE(CONTROL!$C$32, $C$9, 100%, $E$9)</f>
        <v>7.7202000000000002</v>
      </c>
      <c r="K150" s="81">
        <f>7.7265 * CHOOSE(CONTROL!$C$32, $C$9, 100%, $E$9)</f>
        <v>7.7264999999999997</v>
      </c>
      <c r="L150" s="81">
        <f>4.2602 * CHOOSE(CONTROL!$C$32, $C$9, 100%, $E$9)</f>
        <v>4.2602000000000002</v>
      </c>
      <c r="M150" s="81">
        <f>4.2665 * CHOOSE(CONTROL!$C$32, $C$9, 100%, $E$9)</f>
        <v>4.2664999999999997</v>
      </c>
      <c r="N150" s="81">
        <f>4.2602 * CHOOSE(CONTROL!$C$32, $C$9, 100%, $E$9)</f>
        <v>4.2602000000000002</v>
      </c>
      <c r="O150" s="81">
        <f>4.2665 * CHOOSE(CONTROL!$C$32, $C$9, 100%, $E$9)</f>
        <v>4.2664999999999997</v>
      </c>
      <c r="P150" s="10"/>
      <c r="Q150" s="10"/>
      <c r="R150" s="10"/>
    </row>
    <row r="151" spans="1:18" ht="15">
      <c r="A151" s="16">
        <v>45809</v>
      </c>
      <c r="B151" s="80">
        <f>3.5447 * CHOOSE(CONTROL!$C$32, $C$9, 100%, $E$9)</f>
        <v>3.5447000000000002</v>
      </c>
      <c r="C151" s="80">
        <f>3.5447 * CHOOSE(CONTROL!$C$32, $C$9, 100%, $E$9)</f>
        <v>3.5447000000000002</v>
      </c>
      <c r="D151" s="80">
        <f>3.5499 * CHOOSE(CONTROL!$C$32, $C$9, 100%, $E$9)</f>
        <v>3.5499000000000001</v>
      </c>
      <c r="E151" s="81">
        <f>4.2433 * CHOOSE(CONTROL!$C$32, $C$9, 100%, $E$9)</f>
        <v>4.2432999999999996</v>
      </c>
      <c r="F151" s="81">
        <f>4.2433 * CHOOSE(CONTROL!$C$32, $C$9, 100%, $E$9)</f>
        <v>4.2432999999999996</v>
      </c>
      <c r="G151" s="81">
        <f>4.2496 * CHOOSE(CONTROL!$C$32, $C$9, 100%, $E$9)</f>
        <v>4.2496</v>
      </c>
      <c r="H151" s="81">
        <f>7.7363 * CHOOSE(CONTROL!$C$32, $C$9, 100%, $E$9)</f>
        <v>7.7363</v>
      </c>
      <c r="I151" s="81">
        <f>7.7426 * CHOOSE(CONTROL!$C$32, $C$9, 100%, $E$9)</f>
        <v>7.7426000000000004</v>
      </c>
      <c r="J151" s="81">
        <f>7.7363 * CHOOSE(CONTROL!$C$32, $C$9, 100%, $E$9)</f>
        <v>7.7363</v>
      </c>
      <c r="K151" s="81">
        <f>7.7426 * CHOOSE(CONTROL!$C$32, $C$9, 100%, $E$9)</f>
        <v>7.7426000000000004</v>
      </c>
      <c r="L151" s="81">
        <f>4.2433 * CHOOSE(CONTROL!$C$32, $C$9, 100%, $E$9)</f>
        <v>4.2432999999999996</v>
      </c>
      <c r="M151" s="81">
        <f>4.2496 * CHOOSE(CONTROL!$C$32, $C$9, 100%, $E$9)</f>
        <v>4.2496</v>
      </c>
      <c r="N151" s="81">
        <f>4.2433 * CHOOSE(CONTROL!$C$32, $C$9, 100%, $E$9)</f>
        <v>4.2432999999999996</v>
      </c>
      <c r="O151" s="81">
        <f>4.2496 * CHOOSE(CONTROL!$C$32, $C$9, 100%, $E$9)</f>
        <v>4.2496</v>
      </c>
      <c r="P151" s="10"/>
      <c r="Q151" s="10"/>
      <c r="R151" s="10"/>
    </row>
    <row r="152" spans="1:18" ht="15">
      <c r="A152" s="16">
        <v>45839</v>
      </c>
      <c r="B152" s="80">
        <f>3.5989 * CHOOSE(CONTROL!$C$32, $C$9, 100%, $E$9)</f>
        <v>3.5989</v>
      </c>
      <c r="C152" s="80">
        <f>3.5989 * CHOOSE(CONTROL!$C$32, $C$9, 100%, $E$9)</f>
        <v>3.5989</v>
      </c>
      <c r="D152" s="80">
        <f>3.604 * CHOOSE(CONTROL!$C$32, $C$9, 100%, $E$9)</f>
        <v>3.6040000000000001</v>
      </c>
      <c r="E152" s="81">
        <f>4.3194 * CHOOSE(CONTROL!$C$32, $C$9, 100%, $E$9)</f>
        <v>4.3193999999999999</v>
      </c>
      <c r="F152" s="81">
        <f>4.3194 * CHOOSE(CONTROL!$C$32, $C$9, 100%, $E$9)</f>
        <v>4.3193999999999999</v>
      </c>
      <c r="G152" s="81">
        <f>4.3258 * CHOOSE(CONTROL!$C$32, $C$9, 100%, $E$9)</f>
        <v>4.3258000000000001</v>
      </c>
      <c r="H152" s="81">
        <f>7.7524 * CHOOSE(CONTROL!$C$32, $C$9, 100%, $E$9)</f>
        <v>7.7523999999999997</v>
      </c>
      <c r="I152" s="81">
        <f>7.7587 * CHOOSE(CONTROL!$C$32, $C$9, 100%, $E$9)</f>
        <v>7.7587000000000002</v>
      </c>
      <c r="J152" s="81">
        <f>7.7524 * CHOOSE(CONTROL!$C$32, $C$9, 100%, $E$9)</f>
        <v>7.7523999999999997</v>
      </c>
      <c r="K152" s="81">
        <f>7.7587 * CHOOSE(CONTROL!$C$32, $C$9, 100%, $E$9)</f>
        <v>7.7587000000000002</v>
      </c>
      <c r="L152" s="81">
        <f>4.3194 * CHOOSE(CONTROL!$C$32, $C$9, 100%, $E$9)</f>
        <v>4.3193999999999999</v>
      </c>
      <c r="M152" s="81">
        <f>4.3258 * CHOOSE(CONTROL!$C$32, $C$9, 100%, $E$9)</f>
        <v>4.3258000000000001</v>
      </c>
      <c r="N152" s="81">
        <f>4.3194 * CHOOSE(CONTROL!$C$32, $C$9, 100%, $E$9)</f>
        <v>4.3193999999999999</v>
      </c>
      <c r="O152" s="81">
        <f>4.3258 * CHOOSE(CONTROL!$C$32, $C$9, 100%, $E$9)</f>
        <v>4.3258000000000001</v>
      </c>
      <c r="P152" s="10"/>
      <c r="Q152" s="10"/>
      <c r="R152" s="10"/>
    </row>
    <row r="153" spans="1:18" ht="15">
      <c r="A153" s="16">
        <v>45870</v>
      </c>
      <c r="B153" s="80">
        <f>3.6055 * CHOOSE(CONTROL!$C$32, $C$9, 100%, $E$9)</f>
        <v>3.6055000000000001</v>
      </c>
      <c r="C153" s="80">
        <f>3.6055 * CHOOSE(CONTROL!$C$32, $C$9, 100%, $E$9)</f>
        <v>3.6055000000000001</v>
      </c>
      <c r="D153" s="80">
        <f>3.6107 * CHOOSE(CONTROL!$C$32, $C$9, 100%, $E$9)</f>
        <v>3.6107</v>
      </c>
      <c r="E153" s="81">
        <f>4.2607 * CHOOSE(CONTROL!$C$32, $C$9, 100%, $E$9)</f>
        <v>4.2606999999999999</v>
      </c>
      <c r="F153" s="81">
        <f>4.2607 * CHOOSE(CONTROL!$C$32, $C$9, 100%, $E$9)</f>
        <v>4.2606999999999999</v>
      </c>
      <c r="G153" s="81">
        <f>4.267 * CHOOSE(CONTROL!$C$32, $C$9, 100%, $E$9)</f>
        <v>4.2670000000000003</v>
      </c>
      <c r="H153" s="81">
        <f>7.7685 * CHOOSE(CONTROL!$C$32, $C$9, 100%, $E$9)</f>
        <v>7.7685000000000004</v>
      </c>
      <c r="I153" s="81">
        <f>7.7749 * CHOOSE(CONTROL!$C$32, $C$9, 100%, $E$9)</f>
        <v>7.7748999999999997</v>
      </c>
      <c r="J153" s="81">
        <f>7.7685 * CHOOSE(CONTROL!$C$32, $C$9, 100%, $E$9)</f>
        <v>7.7685000000000004</v>
      </c>
      <c r="K153" s="81">
        <f>7.7749 * CHOOSE(CONTROL!$C$32, $C$9, 100%, $E$9)</f>
        <v>7.7748999999999997</v>
      </c>
      <c r="L153" s="81">
        <f>4.2607 * CHOOSE(CONTROL!$C$32, $C$9, 100%, $E$9)</f>
        <v>4.2606999999999999</v>
      </c>
      <c r="M153" s="81">
        <f>4.267 * CHOOSE(CONTROL!$C$32, $C$9, 100%, $E$9)</f>
        <v>4.2670000000000003</v>
      </c>
      <c r="N153" s="81">
        <f>4.2607 * CHOOSE(CONTROL!$C$32, $C$9, 100%, $E$9)</f>
        <v>4.2606999999999999</v>
      </c>
      <c r="O153" s="81">
        <f>4.267 * CHOOSE(CONTROL!$C$32, $C$9, 100%, $E$9)</f>
        <v>4.2670000000000003</v>
      </c>
      <c r="P153" s="10"/>
      <c r="Q153" s="10"/>
      <c r="R153" s="10"/>
    </row>
    <row r="154" spans="1:18" ht="15">
      <c r="A154" s="16">
        <v>45901</v>
      </c>
      <c r="B154" s="80">
        <f>3.6025 * CHOOSE(CONTROL!$C$32, $C$9, 100%, $E$9)</f>
        <v>3.6025</v>
      </c>
      <c r="C154" s="80">
        <f>3.6025 * CHOOSE(CONTROL!$C$32, $C$9, 100%, $E$9)</f>
        <v>3.6025</v>
      </c>
      <c r="D154" s="80">
        <f>3.6077 * CHOOSE(CONTROL!$C$32, $C$9, 100%, $E$9)</f>
        <v>3.6076999999999999</v>
      </c>
      <c r="E154" s="81">
        <f>4.2515 * CHOOSE(CONTROL!$C$32, $C$9, 100%, $E$9)</f>
        <v>4.2515000000000001</v>
      </c>
      <c r="F154" s="81">
        <f>4.2515 * CHOOSE(CONTROL!$C$32, $C$9, 100%, $E$9)</f>
        <v>4.2515000000000001</v>
      </c>
      <c r="G154" s="81">
        <f>4.2578 * CHOOSE(CONTROL!$C$32, $C$9, 100%, $E$9)</f>
        <v>4.2577999999999996</v>
      </c>
      <c r="H154" s="81">
        <f>7.7847 * CHOOSE(CONTROL!$C$32, $C$9, 100%, $E$9)</f>
        <v>7.7847</v>
      </c>
      <c r="I154" s="81">
        <f>7.791 * CHOOSE(CONTROL!$C$32, $C$9, 100%, $E$9)</f>
        <v>7.7910000000000004</v>
      </c>
      <c r="J154" s="81">
        <f>7.7847 * CHOOSE(CONTROL!$C$32, $C$9, 100%, $E$9)</f>
        <v>7.7847</v>
      </c>
      <c r="K154" s="81">
        <f>7.791 * CHOOSE(CONTROL!$C$32, $C$9, 100%, $E$9)</f>
        <v>7.7910000000000004</v>
      </c>
      <c r="L154" s="81">
        <f>4.2515 * CHOOSE(CONTROL!$C$32, $C$9, 100%, $E$9)</f>
        <v>4.2515000000000001</v>
      </c>
      <c r="M154" s="81">
        <f>4.2578 * CHOOSE(CONTROL!$C$32, $C$9, 100%, $E$9)</f>
        <v>4.2577999999999996</v>
      </c>
      <c r="N154" s="81">
        <f>4.2515 * CHOOSE(CONTROL!$C$32, $C$9, 100%, $E$9)</f>
        <v>4.2515000000000001</v>
      </c>
      <c r="O154" s="81">
        <f>4.2578 * CHOOSE(CONTROL!$C$32, $C$9, 100%, $E$9)</f>
        <v>4.2577999999999996</v>
      </c>
      <c r="P154" s="10"/>
      <c r="Q154" s="10"/>
      <c r="R154" s="10"/>
    </row>
    <row r="155" spans="1:18" ht="15">
      <c r="A155" s="16">
        <v>45931</v>
      </c>
      <c r="B155" s="80">
        <f>3.596 * CHOOSE(CONTROL!$C$32, $C$9, 100%, $E$9)</f>
        <v>3.5960000000000001</v>
      </c>
      <c r="C155" s="80">
        <f>3.596 * CHOOSE(CONTROL!$C$32, $C$9, 100%, $E$9)</f>
        <v>3.5960000000000001</v>
      </c>
      <c r="D155" s="80">
        <f>3.5995 * CHOOSE(CONTROL!$C$32, $C$9, 100%, $E$9)</f>
        <v>3.5994999999999999</v>
      </c>
      <c r="E155" s="81">
        <f>4.2663 * CHOOSE(CONTROL!$C$32, $C$9, 100%, $E$9)</f>
        <v>4.2663000000000002</v>
      </c>
      <c r="F155" s="81">
        <f>4.2663 * CHOOSE(CONTROL!$C$32, $C$9, 100%, $E$9)</f>
        <v>4.2663000000000002</v>
      </c>
      <c r="G155" s="81">
        <f>4.2707 * CHOOSE(CONTROL!$C$32, $C$9, 100%, $E$9)</f>
        <v>4.2706999999999997</v>
      </c>
      <c r="H155" s="81">
        <f>7.8009 * CHOOSE(CONTROL!$C$32, $C$9, 100%, $E$9)</f>
        <v>7.8009000000000004</v>
      </c>
      <c r="I155" s="81">
        <f>7.8053 * CHOOSE(CONTROL!$C$32, $C$9, 100%, $E$9)</f>
        <v>7.8052999999999999</v>
      </c>
      <c r="J155" s="81">
        <f>7.8009 * CHOOSE(CONTROL!$C$32, $C$9, 100%, $E$9)</f>
        <v>7.8009000000000004</v>
      </c>
      <c r="K155" s="81">
        <f>7.8053 * CHOOSE(CONTROL!$C$32, $C$9, 100%, $E$9)</f>
        <v>7.8052999999999999</v>
      </c>
      <c r="L155" s="81">
        <f>4.2663 * CHOOSE(CONTROL!$C$32, $C$9, 100%, $E$9)</f>
        <v>4.2663000000000002</v>
      </c>
      <c r="M155" s="81">
        <f>4.2707 * CHOOSE(CONTROL!$C$32, $C$9, 100%, $E$9)</f>
        <v>4.2706999999999997</v>
      </c>
      <c r="N155" s="81">
        <f>4.2663 * CHOOSE(CONTROL!$C$32, $C$9, 100%, $E$9)</f>
        <v>4.2663000000000002</v>
      </c>
      <c r="O155" s="81">
        <f>4.2707 * CHOOSE(CONTROL!$C$32, $C$9, 100%, $E$9)</f>
        <v>4.2706999999999997</v>
      </c>
      <c r="P155" s="10"/>
      <c r="Q155" s="10"/>
      <c r="R155" s="10"/>
    </row>
    <row r="156" spans="1:18" ht="15">
      <c r="A156" s="16">
        <v>45962</v>
      </c>
      <c r="B156" s="80">
        <f>3.599 * CHOOSE(CONTROL!$C$32, $C$9, 100%, $E$9)</f>
        <v>3.5990000000000002</v>
      </c>
      <c r="C156" s="80">
        <f>3.599 * CHOOSE(CONTROL!$C$32, $C$9, 100%, $E$9)</f>
        <v>3.5990000000000002</v>
      </c>
      <c r="D156" s="80">
        <f>3.6025 * CHOOSE(CONTROL!$C$32, $C$9, 100%, $E$9)</f>
        <v>3.6025</v>
      </c>
      <c r="E156" s="81">
        <f>4.2825 * CHOOSE(CONTROL!$C$32, $C$9, 100%, $E$9)</f>
        <v>4.2824999999999998</v>
      </c>
      <c r="F156" s="81">
        <f>4.2825 * CHOOSE(CONTROL!$C$32, $C$9, 100%, $E$9)</f>
        <v>4.2824999999999998</v>
      </c>
      <c r="G156" s="81">
        <f>4.2869 * CHOOSE(CONTROL!$C$32, $C$9, 100%, $E$9)</f>
        <v>4.2869000000000002</v>
      </c>
      <c r="H156" s="81">
        <f>7.8172 * CHOOSE(CONTROL!$C$32, $C$9, 100%, $E$9)</f>
        <v>7.8171999999999997</v>
      </c>
      <c r="I156" s="81">
        <f>7.8216 * CHOOSE(CONTROL!$C$32, $C$9, 100%, $E$9)</f>
        <v>7.8216000000000001</v>
      </c>
      <c r="J156" s="81">
        <f>7.8172 * CHOOSE(CONTROL!$C$32, $C$9, 100%, $E$9)</f>
        <v>7.8171999999999997</v>
      </c>
      <c r="K156" s="81">
        <f>7.8216 * CHOOSE(CONTROL!$C$32, $C$9, 100%, $E$9)</f>
        <v>7.8216000000000001</v>
      </c>
      <c r="L156" s="81">
        <f>4.2825 * CHOOSE(CONTROL!$C$32, $C$9, 100%, $E$9)</f>
        <v>4.2824999999999998</v>
      </c>
      <c r="M156" s="81">
        <f>4.2869 * CHOOSE(CONTROL!$C$32, $C$9, 100%, $E$9)</f>
        <v>4.2869000000000002</v>
      </c>
      <c r="N156" s="81">
        <f>4.2825 * CHOOSE(CONTROL!$C$32, $C$9, 100%, $E$9)</f>
        <v>4.2824999999999998</v>
      </c>
      <c r="O156" s="81">
        <f>4.2869 * CHOOSE(CONTROL!$C$32, $C$9, 100%, $E$9)</f>
        <v>4.2869000000000002</v>
      </c>
    </row>
    <row r="157" spans="1:18" ht="15">
      <c r="A157" s="16">
        <v>45992</v>
      </c>
      <c r="B157" s="80">
        <f>3.599 * CHOOSE(CONTROL!$C$32, $C$9, 100%, $E$9)</f>
        <v>3.5990000000000002</v>
      </c>
      <c r="C157" s="80">
        <f>3.599 * CHOOSE(CONTROL!$C$32, $C$9, 100%, $E$9)</f>
        <v>3.5990000000000002</v>
      </c>
      <c r="D157" s="80">
        <f>3.6025 * CHOOSE(CONTROL!$C$32, $C$9, 100%, $E$9)</f>
        <v>3.6025</v>
      </c>
      <c r="E157" s="81">
        <f>4.2473 * CHOOSE(CONTROL!$C$32, $C$9, 100%, $E$9)</f>
        <v>4.2473000000000001</v>
      </c>
      <c r="F157" s="81">
        <f>4.2473 * CHOOSE(CONTROL!$C$32, $C$9, 100%, $E$9)</f>
        <v>4.2473000000000001</v>
      </c>
      <c r="G157" s="81">
        <f>4.2516 * CHOOSE(CONTROL!$C$32, $C$9, 100%, $E$9)</f>
        <v>4.2515999999999998</v>
      </c>
      <c r="H157" s="81">
        <f>7.8335 * CHOOSE(CONTROL!$C$32, $C$9, 100%, $E$9)</f>
        <v>7.8334999999999999</v>
      </c>
      <c r="I157" s="81">
        <f>7.8379 * CHOOSE(CONTROL!$C$32, $C$9, 100%, $E$9)</f>
        <v>7.8379000000000003</v>
      </c>
      <c r="J157" s="81">
        <f>7.8335 * CHOOSE(CONTROL!$C$32, $C$9, 100%, $E$9)</f>
        <v>7.8334999999999999</v>
      </c>
      <c r="K157" s="81">
        <f>7.8379 * CHOOSE(CONTROL!$C$32, $C$9, 100%, $E$9)</f>
        <v>7.8379000000000003</v>
      </c>
      <c r="L157" s="81">
        <f>4.2473 * CHOOSE(CONTROL!$C$32, $C$9, 100%, $E$9)</f>
        <v>4.2473000000000001</v>
      </c>
      <c r="M157" s="81">
        <f>4.2516 * CHOOSE(CONTROL!$C$32, $C$9, 100%, $E$9)</f>
        <v>4.2515999999999998</v>
      </c>
      <c r="N157" s="81">
        <f>4.2473 * CHOOSE(CONTROL!$C$32, $C$9, 100%, $E$9)</f>
        <v>4.2473000000000001</v>
      </c>
      <c r="O157" s="81">
        <f>4.2516 * CHOOSE(CONTROL!$C$32, $C$9, 100%, $E$9)</f>
        <v>4.2515999999999998</v>
      </c>
    </row>
    <row r="158" spans="1:18" ht="15">
      <c r="A158" s="16">
        <v>46023</v>
      </c>
      <c r="B158" s="80">
        <f>3.6288 * CHOOSE(CONTROL!$C$32, $C$9, 100%, $E$9)</f>
        <v>3.6288</v>
      </c>
      <c r="C158" s="80">
        <f>3.6288 * CHOOSE(CONTROL!$C$32, $C$9, 100%, $E$9)</f>
        <v>3.6288</v>
      </c>
      <c r="D158" s="80">
        <f>3.6323 * CHOOSE(CONTROL!$C$32, $C$9, 100%, $E$9)</f>
        <v>3.6322999999999999</v>
      </c>
      <c r="E158" s="81">
        <f>4.3063 * CHOOSE(CONTROL!$C$32, $C$9, 100%, $E$9)</f>
        <v>4.3063000000000002</v>
      </c>
      <c r="F158" s="81">
        <f>4.3063 * CHOOSE(CONTROL!$C$32, $C$9, 100%, $E$9)</f>
        <v>4.3063000000000002</v>
      </c>
      <c r="G158" s="81">
        <f>4.3107 * CHOOSE(CONTROL!$C$32, $C$9, 100%, $E$9)</f>
        <v>4.3106999999999998</v>
      </c>
      <c r="H158" s="81">
        <f>7.8498 * CHOOSE(CONTROL!$C$32, $C$9, 100%, $E$9)</f>
        <v>7.8498000000000001</v>
      </c>
      <c r="I158" s="81">
        <f>7.8542 * CHOOSE(CONTROL!$C$32, $C$9, 100%, $E$9)</f>
        <v>7.8541999999999996</v>
      </c>
      <c r="J158" s="81">
        <f>7.8498 * CHOOSE(CONTROL!$C$32, $C$9, 100%, $E$9)</f>
        <v>7.8498000000000001</v>
      </c>
      <c r="K158" s="81">
        <f>7.8542 * CHOOSE(CONTROL!$C$32, $C$9, 100%, $E$9)</f>
        <v>7.8541999999999996</v>
      </c>
      <c r="L158" s="81">
        <f>4.3063 * CHOOSE(CONTROL!$C$32, $C$9, 100%, $E$9)</f>
        <v>4.3063000000000002</v>
      </c>
      <c r="M158" s="81">
        <f>4.3107 * CHOOSE(CONTROL!$C$32, $C$9, 100%, $E$9)</f>
        <v>4.3106999999999998</v>
      </c>
      <c r="N158" s="81">
        <f>4.3063 * CHOOSE(CONTROL!$C$32, $C$9, 100%, $E$9)</f>
        <v>4.3063000000000002</v>
      </c>
      <c r="O158" s="81">
        <f>4.3107 * CHOOSE(CONTROL!$C$32, $C$9, 100%, $E$9)</f>
        <v>4.3106999999999998</v>
      </c>
    </row>
    <row r="159" spans="1:18" ht="15">
      <c r="A159" s="16">
        <v>46054</v>
      </c>
      <c r="B159" s="80">
        <f>3.6257 * CHOOSE(CONTROL!$C$32, $C$9, 100%, $E$9)</f>
        <v>3.6257000000000001</v>
      </c>
      <c r="C159" s="80">
        <f>3.6257 * CHOOSE(CONTROL!$C$32, $C$9, 100%, $E$9)</f>
        <v>3.6257000000000001</v>
      </c>
      <c r="D159" s="80">
        <f>3.6293 * CHOOSE(CONTROL!$C$32, $C$9, 100%, $E$9)</f>
        <v>3.6293000000000002</v>
      </c>
      <c r="E159" s="81">
        <f>4.236 * CHOOSE(CONTROL!$C$32, $C$9, 100%, $E$9)</f>
        <v>4.2359999999999998</v>
      </c>
      <c r="F159" s="81">
        <f>4.236 * CHOOSE(CONTROL!$C$32, $C$9, 100%, $E$9)</f>
        <v>4.2359999999999998</v>
      </c>
      <c r="G159" s="81">
        <f>4.2403 * CHOOSE(CONTROL!$C$32, $C$9, 100%, $E$9)</f>
        <v>4.2403000000000004</v>
      </c>
      <c r="H159" s="81">
        <f>7.8662 * CHOOSE(CONTROL!$C$32, $C$9, 100%, $E$9)</f>
        <v>7.8662000000000001</v>
      </c>
      <c r="I159" s="81">
        <f>7.8705 * CHOOSE(CONTROL!$C$32, $C$9, 100%, $E$9)</f>
        <v>7.8704999999999998</v>
      </c>
      <c r="J159" s="81">
        <f>7.8662 * CHOOSE(CONTROL!$C$32, $C$9, 100%, $E$9)</f>
        <v>7.8662000000000001</v>
      </c>
      <c r="K159" s="81">
        <f>7.8705 * CHOOSE(CONTROL!$C$32, $C$9, 100%, $E$9)</f>
        <v>7.8704999999999998</v>
      </c>
      <c r="L159" s="81">
        <f>4.236 * CHOOSE(CONTROL!$C$32, $C$9, 100%, $E$9)</f>
        <v>4.2359999999999998</v>
      </c>
      <c r="M159" s="81">
        <f>4.2403 * CHOOSE(CONTROL!$C$32, $C$9, 100%, $E$9)</f>
        <v>4.2403000000000004</v>
      </c>
      <c r="N159" s="81">
        <f>4.236 * CHOOSE(CONTROL!$C$32, $C$9, 100%, $E$9)</f>
        <v>4.2359999999999998</v>
      </c>
      <c r="O159" s="81">
        <f>4.2403 * CHOOSE(CONTROL!$C$32, $C$9, 100%, $E$9)</f>
        <v>4.2403000000000004</v>
      </c>
    </row>
    <row r="160" spans="1:18" ht="15">
      <c r="A160" s="16">
        <v>46082</v>
      </c>
      <c r="B160" s="80">
        <f>3.6227 * CHOOSE(CONTROL!$C$32, $C$9, 100%, $E$9)</f>
        <v>3.6227</v>
      </c>
      <c r="C160" s="80">
        <f>3.6227 * CHOOSE(CONTROL!$C$32, $C$9, 100%, $E$9)</f>
        <v>3.6227</v>
      </c>
      <c r="D160" s="80">
        <f>3.6262 * CHOOSE(CONTROL!$C$32, $C$9, 100%, $E$9)</f>
        <v>3.6261999999999999</v>
      </c>
      <c r="E160" s="81">
        <f>4.2876 * CHOOSE(CONTROL!$C$32, $C$9, 100%, $E$9)</f>
        <v>4.2876000000000003</v>
      </c>
      <c r="F160" s="81">
        <f>4.2876 * CHOOSE(CONTROL!$C$32, $C$9, 100%, $E$9)</f>
        <v>4.2876000000000003</v>
      </c>
      <c r="G160" s="81">
        <f>4.292 * CHOOSE(CONTROL!$C$32, $C$9, 100%, $E$9)</f>
        <v>4.2919999999999998</v>
      </c>
      <c r="H160" s="81">
        <f>7.8825 * CHOOSE(CONTROL!$C$32, $C$9, 100%, $E$9)</f>
        <v>7.8825000000000003</v>
      </c>
      <c r="I160" s="81">
        <f>7.8869 * CHOOSE(CONTROL!$C$32, $C$9, 100%, $E$9)</f>
        <v>7.8868999999999998</v>
      </c>
      <c r="J160" s="81">
        <f>7.8825 * CHOOSE(CONTROL!$C$32, $C$9, 100%, $E$9)</f>
        <v>7.8825000000000003</v>
      </c>
      <c r="K160" s="81">
        <f>7.8869 * CHOOSE(CONTROL!$C$32, $C$9, 100%, $E$9)</f>
        <v>7.8868999999999998</v>
      </c>
      <c r="L160" s="81">
        <f>4.2876 * CHOOSE(CONTROL!$C$32, $C$9, 100%, $E$9)</f>
        <v>4.2876000000000003</v>
      </c>
      <c r="M160" s="81">
        <f>4.292 * CHOOSE(CONTROL!$C$32, $C$9, 100%, $E$9)</f>
        <v>4.2919999999999998</v>
      </c>
      <c r="N160" s="81">
        <f>4.2876 * CHOOSE(CONTROL!$C$32, $C$9, 100%, $E$9)</f>
        <v>4.2876000000000003</v>
      </c>
      <c r="O160" s="81">
        <f>4.292 * CHOOSE(CONTROL!$C$32, $C$9, 100%, $E$9)</f>
        <v>4.2919999999999998</v>
      </c>
    </row>
    <row r="161" spans="1:15" ht="15">
      <c r="A161" s="16">
        <v>46113</v>
      </c>
      <c r="B161" s="80">
        <f>3.62 * CHOOSE(CONTROL!$C$32, $C$9, 100%, $E$9)</f>
        <v>3.62</v>
      </c>
      <c r="C161" s="80">
        <f>3.62 * CHOOSE(CONTROL!$C$32, $C$9, 100%, $E$9)</f>
        <v>3.62</v>
      </c>
      <c r="D161" s="80">
        <f>3.6235 * CHOOSE(CONTROL!$C$32, $C$9, 100%, $E$9)</f>
        <v>3.6234999999999999</v>
      </c>
      <c r="E161" s="81">
        <f>4.3412 * CHOOSE(CONTROL!$C$32, $C$9, 100%, $E$9)</f>
        <v>4.3411999999999997</v>
      </c>
      <c r="F161" s="81">
        <f>4.3412 * CHOOSE(CONTROL!$C$32, $C$9, 100%, $E$9)</f>
        <v>4.3411999999999997</v>
      </c>
      <c r="G161" s="81">
        <f>4.3455 * CHOOSE(CONTROL!$C$32, $C$9, 100%, $E$9)</f>
        <v>4.3455000000000004</v>
      </c>
      <c r="H161" s="81">
        <f>7.899 * CHOOSE(CONTROL!$C$32, $C$9, 100%, $E$9)</f>
        <v>7.899</v>
      </c>
      <c r="I161" s="81">
        <f>7.9033 * CHOOSE(CONTROL!$C$32, $C$9, 100%, $E$9)</f>
        <v>7.9032999999999998</v>
      </c>
      <c r="J161" s="81">
        <f>7.899 * CHOOSE(CONTROL!$C$32, $C$9, 100%, $E$9)</f>
        <v>7.899</v>
      </c>
      <c r="K161" s="81">
        <f>7.9033 * CHOOSE(CONTROL!$C$32, $C$9, 100%, $E$9)</f>
        <v>7.9032999999999998</v>
      </c>
      <c r="L161" s="81">
        <f>4.3412 * CHOOSE(CONTROL!$C$32, $C$9, 100%, $E$9)</f>
        <v>4.3411999999999997</v>
      </c>
      <c r="M161" s="81">
        <f>4.3455 * CHOOSE(CONTROL!$C$32, $C$9, 100%, $E$9)</f>
        <v>4.3455000000000004</v>
      </c>
      <c r="N161" s="81">
        <f>4.3412 * CHOOSE(CONTROL!$C$32, $C$9, 100%, $E$9)</f>
        <v>4.3411999999999997</v>
      </c>
      <c r="O161" s="81">
        <f>4.3455 * CHOOSE(CONTROL!$C$32, $C$9, 100%, $E$9)</f>
        <v>4.3455000000000004</v>
      </c>
    </row>
    <row r="162" spans="1:15" ht="15">
      <c r="A162" s="16">
        <v>46143</v>
      </c>
      <c r="B162" s="80">
        <f>3.62 * CHOOSE(CONTROL!$C$32, $C$9, 100%, $E$9)</f>
        <v>3.62</v>
      </c>
      <c r="C162" s="80">
        <f>3.62 * CHOOSE(CONTROL!$C$32, $C$9, 100%, $E$9)</f>
        <v>3.62</v>
      </c>
      <c r="D162" s="80">
        <f>3.6251 * CHOOSE(CONTROL!$C$32, $C$9, 100%, $E$9)</f>
        <v>3.6251000000000002</v>
      </c>
      <c r="E162" s="81">
        <f>4.3628 * CHOOSE(CONTROL!$C$32, $C$9, 100%, $E$9)</f>
        <v>4.3628</v>
      </c>
      <c r="F162" s="81">
        <f>4.3628 * CHOOSE(CONTROL!$C$32, $C$9, 100%, $E$9)</f>
        <v>4.3628</v>
      </c>
      <c r="G162" s="81">
        <f>4.3691 * CHOOSE(CONTROL!$C$32, $C$9, 100%, $E$9)</f>
        <v>4.3691000000000004</v>
      </c>
      <c r="H162" s="81">
        <f>7.9154 * CHOOSE(CONTROL!$C$32, $C$9, 100%, $E$9)</f>
        <v>7.9154</v>
      </c>
      <c r="I162" s="81">
        <f>7.9217 * CHOOSE(CONTROL!$C$32, $C$9, 100%, $E$9)</f>
        <v>7.9217000000000004</v>
      </c>
      <c r="J162" s="81">
        <f>7.9154 * CHOOSE(CONTROL!$C$32, $C$9, 100%, $E$9)</f>
        <v>7.9154</v>
      </c>
      <c r="K162" s="81">
        <f>7.9217 * CHOOSE(CONTROL!$C$32, $C$9, 100%, $E$9)</f>
        <v>7.9217000000000004</v>
      </c>
      <c r="L162" s="81">
        <f>4.3628 * CHOOSE(CONTROL!$C$32, $C$9, 100%, $E$9)</f>
        <v>4.3628</v>
      </c>
      <c r="M162" s="81">
        <f>4.3691 * CHOOSE(CONTROL!$C$32, $C$9, 100%, $E$9)</f>
        <v>4.3691000000000004</v>
      </c>
      <c r="N162" s="81">
        <f>4.3628 * CHOOSE(CONTROL!$C$32, $C$9, 100%, $E$9)</f>
        <v>4.3628</v>
      </c>
      <c r="O162" s="81">
        <f>4.3691 * CHOOSE(CONTROL!$C$32, $C$9, 100%, $E$9)</f>
        <v>4.3691000000000004</v>
      </c>
    </row>
    <row r="163" spans="1:15" ht="15">
      <c r="A163" s="16">
        <v>46174</v>
      </c>
      <c r="B163" s="80">
        <f>3.626 * CHOOSE(CONTROL!$C$32, $C$9, 100%, $E$9)</f>
        <v>3.6259999999999999</v>
      </c>
      <c r="C163" s="80">
        <f>3.626 * CHOOSE(CONTROL!$C$32, $C$9, 100%, $E$9)</f>
        <v>3.6259999999999999</v>
      </c>
      <c r="D163" s="80">
        <f>3.6312 * CHOOSE(CONTROL!$C$32, $C$9, 100%, $E$9)</f>
        <v>3.6312000000000002</v>
      </c>
      <c r="E163" s="81">
        <f>4.3454 * CHOOSE(CONTROL!$C$32, $C$9, 100%, $E$9)</f>
        <v>4.3453999999999997</v>
      </c>
      <c r="F163" s="81">
        <f>4.3454 * CHOOSE(CONTROL!$C$32, $C$9, 100%, $E$9)</f>
        <v>4.3453999999999997</v>
      </c>
      <c r="G163" s="81">
        <f>4.3517 * CHOOSE(CONTROL!$C$32, $C$9, 100%, $E$9)</f>
        <v>4.3517000000000001</v>
      </c>
      <c r="H163" s="81">
        <f>7.9319 * CHOOSE(CONTROL!$C$32, $C$9, 100%, $E$9)</f>
        <v>7.9318999999999997</v>
      </c>
      <c r="I163" s="81">
        <f>7.9382 * CHOOSE(CONTROL!$C$32, $C$9, 100%, $E$9)</f>
        <v>7.9382000000000001</v>
      </c>
      <c r="J163" s="81">
        <f>7.9319 * CHOOSE(CONTROL!$C$32, $C$9, 100%, $E$9)</f>
        <v>7.9318999999999997</v>
      </c>
      <c r="K163" s="81">
        <f>7.9382 * CHOOSE(CONTROL!$C$32, $C$9, 100%, $E$9)</f>
        <v>7.9382000000000001</v>
      </c>
      <c r="L163" s="81">
        <f>4.3454 * CHOOSE(CONTROL!$C$32, $C$9, 100%, $E$9)</f>
        <v>4.3453999999999997</v>
      </c>
      <c r="M163" s="81">
        <f>4.3517 * CHOOSE(CONTROL!$C$32, $C$9, 100%, $E$9)</f>
        <v>4.3517000000000001</v>
      </c>
      <c r="N163" s="81">
        <f>4.3454 * CHOOSE(CONTROL!$C$32, $C$9, 100%, $E$9)</f>
        <v>4.3453999999999997</v>
      </c>
      <c r="O163" s="81">
        <f>4.3517 * CHOOSE(CONTROL!$C$32, $C$9, 100%, $E$9)</f>
        <v>4.3517000000000001</v>
      </c>
    </row>
    <row r="164" spans="1:15" ht="15">
      <c r="A164" s="16">
        <v>46204</v>
      </c>
      <c r="B164" s="80">
        <f>3.6807 * CHOOSE(CONTROL!$C$32, $C$9, 100%, $E$9)</f>
        <v>3.6806999999999999</v>
      </c>
      <c r="C164" s="80">
        <f>3.6807 * CHOOSE(CONTROL!$C$32, $C$9, 100%, $E$9)</f>
        <v>3.6806999999999999</v>
      </c>
      <c r="D164" s="80">
        <f>3.6858 * CHOOSE(CONTROL!$C$32, $C$9, 100%, $E$9)</f>
        <v>3.6858</v>
      </c>
      <c r="E164" s="81">
        <f>4.4213 * CHOOSE(CONTROL!$C$32, $C$9, 100%, $E$9)</f>
        <v>4.4212999999999996</v>
      </c>
      <c r="F164" s="81">
        <f>4.4213 * CHOOSE(CONTROL!$C$32, $C$9, 100%, $E$9)</f>
        <v>4.4212999999999996</v>
      </c>
      <c r="G164" s="81">
        <f>4.4276 * CHOOSE(CONTROL!$C$32, $C$9, 100%, $E$9)</f>
        <v>4.4276</v>
      </c>
      <c r="H164" s="81">
        <f>7.9484 * CHOOSE(CONTROL!$C$32, $C$9, 100%, $E$9)</f>
        <v>7.9484000000000004</v>
      </c>
      <c r="I164" s="81">
        <f>7.9548 * CHOOSE(CONTROL!$C$32, $C$9, 100%, $E$9)</f>
        <v>7.9547999999999996</v>
      </c>
      <c r="J164" s="81">
        <f>7.9484 * CHOOSE(CONTROL!$C$32, $C$9, 100%, $E$9)</f>
        <v>7.9484000000000004</v>
      </c>
      <c r="K164" s="81">
        <f>7.9548 * CHOOSE(CONTROL!$C$32, $C$9, 100%, $E$9)</f>
        <v>7.9547999999999996</v>
      </c>
      <c r="L164" s="81">
        <f>4.4213 * CHOOSE(CONTROL!$C$32, $C$9, 100%, $E$9)</f>
        <v>4.4212999999999996</v>
      </c>
      <c r="M164" s="81">
        <f>4.4276 * CHOOSE(CONTROL!$C$32, $C$9, 100%, $E$9)</f>
        <v>4.4276</v>
      </c>
      <c r="N164" s="81">
        <f>4.4213 * CHOOSE(CONTROL!$C$32, $C$9, 100%, $E$9)</f>
        <v>4.4212999999999996</v>
      </c>
      <c r="O164" s="81">
        <f>4.4276 * CHOOSE(CONTROL!$C$32, $C$9, 100%, $E$9)</f>
        <v>4.4276</v>
      </c>
    </row>
    <row r="165" spans="1:15" ht="15">
      <c r="A165" s="16">
        <v>46235</v>
      </c>
      <c r="B165" s="80">
        <f>3.6874 * CHOOSE(CONTROL!$C$32, $C$9, 100%, $E$9)</f>
        <v>3.6873999999999998</v>
      </c>
      <c r="C165" s="80">
        <f>3.6874 * CHOOSE(CONTROL!$C$32, $C$9, 100%, $E$9)</f>
        <v>3.6873999999999998</v>
      </c>
      <c r="D165" s="80">
        <f>3.6925 * CHOOSE(CONTROL!$C$32, $C$9, 100%, $E$9)</f>
        <v>3.6924999999999999</v>
      </c>
      <c r="E165" s="81">
        <f>4.3609 * CHOOSE(CONTROL!$C$32, $C$9, 100%, $E$9)</f>
        <v>4.3609</v>
      </c>
      <c r="F165" s="81">
        <f>4.3609 * CHOOSE(CONTROL!$C$32, $C$9, 100%, $E$9)</f>
        <v>4.3609</v>
      </c>
      <c r="G165" s="81">
        <f>4.3673 * CHOOSE(CONTROL!$C$32, $C$9, 100%, $E$9)</f>
        <v>4.3673000000000002</v>
      </c>
      <c r="H165" s="81">
        <f>7.965 * CHOOSE(CONTROL!$C$32, $C$9, 100%, $E$9)</f>
        <v>7.9649999999999999</v>
      </c>
      <c r="I165" s="81">
        <f>7.9713 * CHOOSE(CONTROL!$C$32, $C$9, 100%, $E$9)</f>
        <v>7.9713000000000003</v>
      </c>
      <c r="J165" s="81">
        <f>7.965 * CHOOSE(CONTROL!$C$32, $C$9, 100%, $E$9)</f>
        <v>7.9649999999999999</v>
      </c>
      <c r="K165" s="81">
        <f>7.9713 * CHOOSE(CONTROL!$C$32, $C$9, 100%, $E$9)</f>
        <v>7.9713000000000003</v>
      </c>
      <c r="L165" s="81">
        <f>4.3609 * CHOOSE(CONTROL!$C$32, $C$9, 100%, $E$9)</f>
        <v>4.3609</v>
      </c>
      <c r="M165" s="81">
        <f>4.3673 * CHOOSE(CONTROL!$C$32, $C$9, 100%, $E$9)</f>
        <v>4.3673000000000002</v>
      </c>
      <c r="N165" s="81">
        <f>4.3609 * CHOOSE(CONTROL!$C$32, $C$9, 100%, $E$9)</f>
        <v>4.3609</v>
      </c>
      <c r="O165" s="81">
        <f>4.3673 * CHOOSE(CONTROL!$C$32, $C$9, 100%, $E$9)</f>
        <v>4.3673000000000002</v>
      </c>
    </row>
    <row r="166" spans="1:15" ht="15">
      <c r="A166" s="16">
        <v>46266</v>
      </c>
      <c r="B166" s="80">
        <f>3.6843 * CHOOSE(CONTROL!$C$32, $C$9, 100%, $E$9)</f>
        <v>3.6842999999999999</v>
      </c>
      <c r="C166" s="80">
        <f>3.6843 * CHOOSE(CONTROL!$C$32, $C$9, 100%, $E$9)</f>
        <v>3.6842999999999999</v>
      </c>
      <c r="D166" s="80">
        <f>3.6895 * CHOOSE(CONTROL!$C$32, $C$9, 100%, $E$9)</f>
        <v>3.6894999999999998</v>
      </c>
      <c r="E166" s="81">
        <f>4.3516 * CHOOSE(CONTROL!$C$32, $C$9, 100%, $E$9)</f>
        <v>4.3516000000000004</v>
      </c>
      <c r="F166" s="81">
        <f>4.3516 * CHOOSE(CONTROL!$C$32, $C$9, 100%, $E$9)</f>
        <v>4.3516000000000004</v>
      </c>
      <c r="G166" s="81">
        <f>4.3579 * CHOOSE(CONTROL!$C$32, $C$9, 100%, $E$9)</f>
        <v>4.3578999999999999</v>
      </c>
      <c r="H166" s="81">
        <f>7.9816 * CHOOSE(CONTROL!$C$32, $C$9, 100%, $E$9)</f>
        <v>7.9816000000000003</v>
      </c>
      <c r="I166" s="81">
        <f>7.9879 * CHOOSE(CONTROL!$C$32, $C$9, 100%, $E$9)</f>
        <v>7.9878999999999998</v>
      </c>
      <c r="J166" s="81">
        <f>7.9816 * CHOOSE(CONTROL!$C$32, $C$9, 100%, $E$9)</f>
        <v>7.9816000000000003</v>
      </c>
      <c r="K166" s="81">
        <f>7.9879 * CHOOSE(CONTROL!$C$32, $C$9, 100%, $E$9)</f>
        <v>7.9878999999999998</v>
      </c>
      <c r="L166" s="81">
        <f>4.3516 * CHOOSE(CONTROL!$C$32, $C$9, 100%, $E$9)</f>
        <v>4.3516000000000004</v>
      </c>
      <c r="M166" s="81">
        <f>4.3579 * CHOOSE(CONTROL!$C$32, $C$9, 100%, $E$9)</f>
        <v>4.3578999999999999</v>
      </c>
      <c r="N166" s="81">
        <f>4.3516 * CHOOSE(CONTROL!$C$32, $C$9, 100%, $E$9)</f>
        <v>4.3516000000000004</v>
      </c>
      <c r="O166" s="81">
        <f>4.3579 * CHOOSE(CONTROL!$C$32, $C$9, 100%, $E$9)</f>
        <v>4.3578999999999999</v>
      </c>
    </row>
    <row r="167" spans="1:15" ht="15">
      <c r="A167" s="16">
        <v>46296</v>
      </c>
      <c r="B167" s="80">
        <f>3.6781 * CHOOSE(CONTROL!$C$32, $C$9, 100%, $E$9)</f>
        <v>3.6781000000000001</v>
      </c>
      <c r="C167" s="80">
        <f>3.6781 * CHOOSE(CONTROL!$C$32, $C$9, 100%, $E$9)</f>
        <v>3.6781000000000001</v>
      </c>
      <c r="D167" s="80">
        <f>3.6816 * CHOOSE(CONTROL!$C$32, $C$9, 100%, $E$9)</f>
        <v>3.6816</v>
      </c>
      <c r="E167" s="81">
        <f>4.3671 * CHOOSE(CONTROL!$C$32, $C$9, 100%, $E$9)</f>
        <v>4.3670999999999998</v>
      </c>
      <c r="F167" s="81">
        <f>4.3671 * CHOOSE(CONTROL!$C$32, $C$9, 100%, $E$9)</f>
        <v>4.3670999999999998</v>
      </c>
      <c r="G167" s="81">
        <f>4.3714 * CHOOSE(CONTROL!$C$32, $C$9, 100%, $E$9)</f>
        <v>4.3714000000000004</v>
      </c>
      <c r="H167" s="81">
        <f>7.9982 * CHOOSE(CONTROL!$C$32, $C$9, 100%, $E$9)</f>
        <v>7.9981999999999998</v>
      </c>
      <c r="I167" s="81">
        <f>8.0026 * CHOOSE(CONTROL!$C$32, $C$9, 100%, $E$9)</f>
        <v>8.0025999999999993</v>
      </c>
      <c r="J167" s="81">
        <f>7.9982 * CHOOSE(CONTROL!$C$32, $C$9, 100%, $E$9)</f>
        <v>7.9981999999999998</v>
      </c>
      <c r="K167" s="81">
        <f>8.0026 * CHOOSE(CONTROL!$C$32, $C$9, 100%, $E$9)</f>
        <v>8.0025999999999993</v>
      </c>
      <c r="L167" s="81">
        <f>4.3671 * CHOOSE(CONTROL!$C$32, $C$9, 100%, $E$9)</f>
        <v>4.3670999999999998</v>
      </c>
      <c r="M167" s="81">
        <f>4.3714 * CHOOSE(CONTROL!$C$32, $C$9, 100%, $E$9)</f>
        <v>4.3714000000000004</v>
      </c>
      <c r="N167" s="81">
        <f>4.3671 * CHOOSE(CONTROL!$C$32, $C$9, 100%, $E$9)</f>
        <v>4.3670999999999998</v>
      </c>
      <c r="O167" s="81">
        <f>4.3714 * CHOOSE(CONTROL!$C$32, $C$9, 100%, $E$9)</f>
        <v>4.3714000000000004</v>
      </c>
    </row>
    <row r="168" spans="1:15" ht="15">
      <c r="A168" s="16">
        <v>46327</v>
      </c>
      <c r="B168" s="80">
        <f>3.6811 * CHOOSE(CONTROL!$C$32, $C$9, 100%, $E$9)</f>
        <v>3.6810999999999998</v>
      </c>
      <c r="C168" s="80">
        <f>3.6811 * CHOOSE(CONTROL!$C$32, $C$9, 100%, $E$9)</f>
        <v>3.6810999999999998</v>
      </c>
      <c r="D168" s="80">
        <f>3.6847 * CHOOSE(CONTROL!$C$32, $C$9, 100%, $E$9)</f>
        <v>3.6846999999999999</v>
      </c>
      <c r="E168" s="81">
        <f>4.3836 * CHOOSE(CONTROL!$C$32, $C$9, 100%, $E$9)</f>
        <v>4.3836000000000004</v>
      </c>
      <c r="F168" s="81">
        <f>4.3836 * CHOOSE(CONTROL!$C$32, $C$9, 100%, $E$9)</f>
        <v>4.3836000000000004</v>
      </c>
      <c r="G168" s="81">
        <f>4.388 * CHOOSE(CONTROL!$C$32, $C$9, 100%, $E$9)</f>
        <v>4.3879999999999999</v>
      </c>
      <c r="H168" s="81">
        <f>8.0149 * CHOOSE(CONTROL!$C$32, $C$9, 100%, $E$9)</f>
        <v>8.0149000000000008</v>
      </c>
      <c r="I168" s="81">
        <f>8.0192 * CHOOSE(CONTROL!$C$32, $C$9, 100%, $E$9)</f>
        <v>8.0191999999999997</v>
      </c>
      <c r="J168" s="81">
        <f>8.0149 * CHOOSE(CONTROL!$C$32, $C$9, 100%, $E$9)</f>
        <v>8.0149000000000008</v>
      </c>
      <c r="K168" s="81">
        <f>8.0192 * CHOOSE(CONTROL!$C$32, $C$9, 100%, $E$9)</f>
        <v>8.0191999999999997</v>
      </c>
      <c r="L168" s="81">
        <f>4.3836 * CHOOSE(CONTROL!$C$32, $C$9, 100%, $E$9)</f>
        <v>4.3836000000000004</v>
      </c>
      <c r="M168" s="81">
        <f>4.388 * CHOOSE(CONTROL!$C$32, $C$9, 100%, $E$9)</f>
        <v>4.3879999999999999</v>
      </c>
      <c r="N168" s="81">
        <f>4.3836 * CHOOSE(CONTROL!$C$32, $C$9, 100%, $E$9)</f>
        <v>4.3836000000000004</v>
      </c>
      <c r="O168" s="81">
        <f>4.388 * CHOOSE(CONTROL!$C$32, $C$9, 100%, $E$9)</f>
        <v>4.3879999999999999</v>
      </c>
    </row>
    <row r="169" spans="1:15" ht="15">
      <c r="A169" s="16">
        <v>46357</v>
      </c>
      <c r="B169" s="80">
        <f>3.6811 * CHOOSE(CONTROL!$C$32, $C$9, 100%, $E$9)</f>
        <v>3.6810999999999998</v>
      </c>
      <c r="C169" s="80">
        <f>3.6811 * CHOOSE(CONTROL!$C$32, $C$9, 100%, $E$9)</f>
        <v>3.6810999999999998</v>
      </c>
      <c r="D169" s="80">
        <f>3.6847 * CHOOSE(CONTROL!$C$32, $C$9, 100%, $E$9)</f>
        <v>3.6846999999999999</v>
      </c>
      <c r="E169" s="81">
        <f>4.3475 * CHOOSE(CONTROL!$C$32, $C$9, 100%, $E$9)</f>
        <v>4.3475000000000001</v>
      </c>
      <c r="F169" s="81">
        <f>4.3475 * CHOOSE(CONTROL!$C$32, $C$9, 100%, $E$9)</f>
        <v>4.3475000000000001</v>
      </c>
      <c r="G169" s="81">
        <f>4.3519 * CHOOSE(CONTROL!$C$32, $C$9, 100%, $E$9)</f>
        <v>4.3518999999999997</v>
      </c>
      <c r="H169" s="81">
        <f>8.0316 * CHOOSE(CONTROL!$C$32, $C$9, 100%, $E$9)</f>
        <v>8.0315999999999992</v>
      </c>
      <c r="I169" s="81">
        <f>8.0359 * CHOOSE(CONTROL!$C$32, $C$9, 100%, $E$9)</f>
        <v>8.0358999999999998</v>
      </c>
      <c r="J169" s="81">
        <f>8.0316 * CHOOSE(CONTROL!$C$32, $C$9, 100%, $E$9)</f>
        <v>8.0315999999999992</v>
      </c>
      <c r="K169" s="81">
        <f>8.0359 * CHOOSE(CONTROL!$C$32, $C$9, 100%, $E$9)</f>
        <v>8.0358999999999998</v>
      </c>
      <c r="L169" s="81">
        <f>4.3475 * CHOOSE(CONTROL!$C$32, $C$9, 100%, $E$9)</f>
        <v>4.3475000000000001</v>
      </c>
      <c r="M169" s="81">
        <f>4.3519 * CHOOSE(CONTROL!$C$32, $C$9, 100%, $E$9)</f>
        <v>4.3518999999999997</v>
      </c>
      <c r="N169" s="81">
        <f>4.3475 * CHOOSE(CONTROL!$C$32, $C$9, 100%, $E$9)</f>
        <v>4.3475000000000001</v>
      </c>
      <c r="O169" s="81">
        <f>4.3519 * CHOOSE(CONTROL!$C$32, $C$9, 100%, $E$9)</f>
        <v>4.3518999999999997</v>
      </c>
    </row>
    <row r="170" spans="1:15" ht="15">
      <c r="A170" s="16">
        <v>46388</v>
      </c>
      <c r="B170" s="80">
        <f>3.7098 * CHOOSE(CONTROL!$C$32, $C$9, 100%, $E$9)</f>
        <v>3.7098</v>
      </c>
      <c r="C170" s="80">
        <f>3.7098 * CHOOSE(CONTROL!$C$32, $C$9, 100%, $E$9)</f>
        <v>3.7098</v>
      </c>
      <c r="D170" s="80">
        <f>3.7133 * CHOOSE(CONTROL!$C$32, $C$9, 100%, $E$9)</f>
        <v>3.7132999999999998</v>
      </c>
      <c r="E170" s="81">
        <f>4.4079 * CHOOSE(CONTROL!$C$32, $C$9, 100%, $E$9)</f>
        <v>4.4078999999999997</v>
      </c>
      <c r="F170" s="81">
        <f>4.4079 * CHOOSE(CONTROL!$C$32, $C$9, 100%, $E$9)</f>
        <v>4.4078999999999997</v>
      </c>
      <c r="G170" s="81">
        <f>4.4123 * CHOOSE(CONTROL!$C$32, $C$9, 100%, $E$9)</f>
        <v>4.4123000000000001</v>
      </c>
      <c r="H170" s="81">
        <f>8.0483 * CHOOSE(CONTROL!$C$32, $C$9, 100%, $E$9)</f>
        <v>8.0482999999999993</v>
      </c>
      <c r="I170" s="81">
        <f>8.0527 * CHOOSE(CONTROL!$C$32, $C$9, 100%, $E$9)</f>
        <v>8.0526999999999997</v>
      </c>
      <c r="J170" s="81">
        <f>8.0483 * CHOOSE(CONTROL!$C$32, $C$9, 100%, $E$9)</f>
        <v>8.0482999999999993</v>
      </c>
      <c r="K170" s="81">
        <f>8.0527 * CHOOSE(CONTROL!$C$32, $C$9, 100%, $E$9)</f>
        <v>8.0526999999999997</v>
      </c>
      <c r="L170" s="81">
        <f>4.4079 * CHOOSE(CONTROL!$C$32, $C$9, 100%, $E$9)</f>
        <v>4.4078999999999997</v>
      </c>
      <c r="M170" s="81">
        <f>4.4123 * CHOOSE(CONTROL!$C$32, $C$9, 100%, $E$9)</f>
        <v>4.4123000000000001</v>
      </c>
      <c r="N170" s="81">
        <f>4.4079 * CHOOSE(CONTROL!$C$32, $C$9, 100%, $E$9)</f>
        <v>4.4078999999999997</v>
      </c>
      <c r="O170" s="81">
        <f>4.4123 * CHOOSE(CONTROL!$C$32, $C$9, 100%, $E$9)</f>
        <v>4.4123000000000001</v>
      </c>
    </row>
    <row r="171" spans="1:15" ht="15">
      <c r="A171" s="16">
        <v>46419</v>
      </c>
      <c r="B171" s="80">
        <f>3.7067 * CHOOSE(CONTROL!$C$32, $C$9, 100%, $E$9)</f>
        <v>3.7067000000000001</v>
      </c>
      <c r="C171" s="80">
        <f>3.7067 * CHOOSE(CONTROL!$C$32, $C$9, 100%, $E$9)</f>
        <v>3.7067000000000001</v>
      </c>
      <c r="D171" s="80">
        <f>3.7103 * CHOOSE(CONTROL!$C$32, $C$9, 100%, $E$9)</f>
        <v>3.7103000000000002</v>
      </c>
      <c r="E171" s="81">
        <f>4.3359 * CHOOSE(CONTROL!$C$32, $C$9, 100%, $E$9)</f>
        <v>4.3358999999999996</v>
      </c>
      <c r="F171" s="81">
        <f>4.3359 * CHOOSE(CONTROL!$C$32, $C$9, 100%, $E$9)</f>
        <v>4.3358999999999996</v>
      </c>
      <c r="G171" s="81">
        <f>4.3402 * CHOOSE(CONTROL!$C$32, $C$9, 100%, $E$9)</f>
        <v>4.3402000000000003</v>
      </c>
      <c r="H171" s="81">
        <f>8.0651 * CHOOSE(CONTROL!$C$32, $C$9, 100%, $E$9)</f>
        <v>8.0650999999999993</v>
      </c>
      <c r="I171" s="81">
        <f>8.0694 * CHOOSE(CONTROL!$C$32, $C$9, 100%, $E$9)</f>
        <v>8.0693999999999999</v>
      </c>
      <c r="J171" s="81">
        <f>8.0651 * CHOOSE(CONTROL!$C$32, $C$9, 100%, $E$9)</f>
        <v>8.0650999999999993</v>
      </c>
      <c r="K171" s="81">
        <f>8.0694 * CHOOSE(CONTROL!$C$32, $C$9, 100%, $E$9)</f>
        <v>8.0693999999999999</v>
      </c>
      <c r="L171" s="81">
        <f>4.3359 * CHOOSE(CONTROL!$C$32, $C$9, 100%, $E$9)</f>
        <v>4.3358999999999996</v>
      </c>
      <c r="M171" s="81">
        <f>4.3402 * CHOOSE(CONTROL!$C$32, $C$9, 100%, $E$9)</f>
        <v>4.3402000000000003</v>
      </c>
      <c r="N171" s="81">
        <f>4.3359 * CHOOSE(CONTROL!$C$32, $C$9, 100%, $E$9)</f>
        <v>4.3358999999999996</v>
      </c>
      <c r="O171" s="81">
        <f>4.3402 * CHOOSE(CONTROL!$C$32, $C$9, 100%, $E$9)</f>
        <v>4.3402000000000003</v>
      </c>
    </row>
    <row r="172" spans="1:15" ht="15">
      <c r="A172" s="16">
        <v>46447</v>
      </c>
      <c r="B172" s="80">
        <f>3.7037 * CHOOSE(CONTROL!$C$32, $C$9, 100%, $E$9)</f>
        <v>3.7037</v>
      </c>
      <c r="C172" s="80">
        <f>3.7037 * CHOOSE(CONTROL!$C$32, $C$9, 100%, $E$9)</f>
        <v>3.7037</v>
      </c>
      <c r="D172" s="80">
        <f>3.7072 * CHOOSE(CONTROL!$C$32, $C$9, 100%, $E$9)</f>
        <v>3.7071999999999998</v>
      </c>
      <c r="E172" s="81">
        <f>4.3889 * CHOOSE(CONTROL!$C$32, $C$9, 100%, $E$9)</f>
        <v>4.3888999999999996</v>
      </c>
      <c r="F172" s="81">
        <f>4.3889 * CHOOSE(CONTROL!$C$32, $C$9, 100%, $E$9)</f>
        <v>4.3888999999999996</v>
      </c>
      <c r="G172" s="81">
        <f>4.3933 * CHOOSE(CONTROL!$C$32, $C$9, 100%, $E$9)</f>
        <v>4.3933</v>
      </c>
      <c r="H172" s="81">
        <f>8.0819 * CHOOSE(CONTROL!$C$32, $C$9, 100%, $E$9)</f>
        <v>8.0818999999999992</v>
      </c>
      <c r="I172" s="81">
        <f>8.0862 * CHOOSE(CONTROL!$C$32, $C$9, 100%, $E$9)</f>
        <v>8.0861999999999998</v>
      </c>
      <c r="J172" s="81">
        <f>8.0819 * CHOOSE(CONTROL!$C$32, $C$9, 100%, $E$9)</f>
        <v>8.0818999999999992</v>
      </c>
      <c r="K172" s="81">
        <f>8.0862 * CHOOSE(CONTROL!$C$32, $C$9, 100%, $E$9)</f>
        <v>8.0861999999999998</v>
      </c>
      <c r="L172" s="81">
        <f>4.3889 * CHOOSE(CONTROL!$C$32, $C$9, 100%, $E$9)</f>
        <v>4.3888999999999996</v>
      </c>
      <c r="M172" s="81">
        <f>4.3933 * CHOOSE(CONTROL!$C$32, $C$9, 100%, $E$9)</f>
        <v>4.3933</v>
      </c>
      <c r="N172" s="81">
        <f>4.3889 * CHOOSE(CONTROL!$C$32, $C$9, 100%, $E$9)</f>
        <v>4.3888999999999996</v>
      </c>
      <c r="O172" s="81">
        <f>4.3933 * CHOOSE(CONTROL!$C$32, $C$9, 100%, $E$9)</f>
        <v>4.3933</v>
      </c>
    </row>
    <row r="173" spans="1:15" ht="15">
      <c r="A173" s="16">
        <v>46478</v>
      </c>
      <c r="B173" s="80">
        <f>3.701 * CHOOSE(CONTROL!$C$32, $C$9, 100%, $E$9)</f>
        <v>3.7010000000000001</v>
      </c>
      <c r="C173" s="80">
        <f>3.701 * CHOOSE(CONTROL!$C$32, $C$9, 100%, $E$9)</f>
        <v>3.7010000000000001</v>
      </c>
      <c r="D173" s="80">
        <f>3.7046 * CHOOSE(CONTROL!$C$32, $C$9, 100%, $E$9)</f>
        <v>3.7046000000000001</v>
      </c>
      <c r="E173" s="81">
        <f>4.4439 * CHOOSE(CONTROL!$C$32, $C$9, 100%, $E$9)</f>
        <v>4.4439000000000002</v>
      </c>
      <c r="F173" s="81">
        <f>4.4439 * CHOOSE(CONTROL!$C$32, $C$9, 100%, $E$9)</f>
        <v>4.4439000000000002</v>
      </c>
      <c r="G173" s="81">
        <f>4.4483 * CHOOSE(CONTROL!$C$32, $C$9, 100%, $E$9)</f>
        <v>4.4482999999999997</v>
      </c>
      <c r="H173" s="81">
        <f>8.0987 * CHOOSE(CONTROL!$C$32, $C$9, 100%, $E$9)</f>
        <v>8.0986999999999991</v>
      </c>
      <c r="I173" s="81">
        <f>8.1031 * CHOOSE(CONTROL!$C$32, $C$9, 100%, $E$9)</f>
        <v>8.1030999999999995</v>
      </c>
      <c r="J173" s="81">
        <f>8.0987 * CHOOSE(CONTROL!$C$32, $C$9, 100%, $E$9)</f>
        <v>8.0986999999999991</v>
      </c>
      <c r="K173" s="81">
        <f>8.1031 * CHOOSE(CONTROL!$C$32, $C$9, 100%, $E$9)</f>
        <v>8.1030999999999995</v>
      </c>
      <c r="L173" s="81">
        <f>4.4439 * CHOOSE(CONTROL!$C$32, $C$9, 100%, $E$9)</f>
        <v>4.4439000000000002</v>
      </c>
      <c r="M173" s="81">
        <f>4.4483 * CHOOSE(CONTROL!$C$32, $C$9, 100%, $E$9)</f>
        <v>4.4482999999999997</v>
      </c>
      <c r="N173" s="81">
        <f>4.4439 * CHOOSE(CONTROL!$C$32, $C$9, 100%, $E$9)</f>
        <v>4.4439000000000002</v>
      </c>
      <c r="O173" s="81">
        <f>4.4483 * CHOOSE(CONTROL!$C$32, $C$9, 100%, $E$9)</f>
        <v>4.4482999999999997</v>
      </c>
    </row>
    <row r="174" spans="1:15" ht="15">
      <c r="A174" s="16">
        <v>46508</v>
      </c>
      <c r="B174" s="80">
        <f>3.701 * CHOOSE(CONTROL!$C$32, $C$9, 100%, $E$9)</f>
        <v>3.7010000000000001</v>
      </c>
      <c r="C174" s="80">
        <f>3.701 * CHOOSE(CONTROL!$C$32, $C$9, 100%, $E$9)</f>
        <v>3.7010000000000001</v>
      </c>
      <c r="D174" s="80">
        <f>3.7062 * CHOOSE(CONTROL!$C$32, $C$9, 100%, $E$9)</f>
        <v>3.7061999999999999</v>
      </c>
      <c r="E174" s="81">
        <f>4.4661 * CHOOSE(CONTROL!$C$32, $C$9, 100%, $E$9)</f>
        <v>4.4661</v>
      </c>
      <c r="F174" s="81">
        <f>4.4661 * CHOOSE(CONTROL!$C$32, $C$9, 100%, $E$9)</f>
        <v>4.4661</v>
      </c>
      <c r="G174" s="81">
        <f>4.4724 * CHOOSE(CONTROL!$C$32, $C$9, 100%, $E$9)</f>
        <v>4.4724000000000004</v>
      </c>
      <c r="H174" s="81">
        <f>8.1156 * CHOOSE(CONTROL!$C$32, $C$9, 100%, $E$9)</f>
        <v>8.1156000000000006</v>
      </c>
      <c r="I174" s="81">
        <f>8.1219 * CHOOSE(CONTROL!$C$32, $C$9, 100%, $E$9)</f>
        <v>8.1219000000000001</v>
      </c>
      <c r="J174" s="81">
        <f>8.1156 * CHOOSE(CONTROL!$C$32, $C$9, 100%, $E$9)</f>
        <v>8.1156000000000006</v>
      </c>
      <c r="K174" s="81">
        <f>8.1219 * CHOOSE(CONTROL!$C$32, $C$9, 100%, $E$9)</f>
        <v>8.1219000000000001</v>
      </c>
      <c r="L174" s="81">
        <f>4.4661 * CHOOSE(CONTROL!$C$32, $C$9, 100%, $E$9)</f>
        <v>4.4661</v>
      </c>
      <c r="M174" s="81">
        <f>4.4724 * CHOOSE(CONTROL!$C$32, $C$9, 100%, $E$9)</f>
        <v>4.4724000000000004</v>
      </c>
      <c r="N174" s="81">
        <f>4.4661 * CHOOSE(CONTROL!$C$32, $C$9, 100%, $E$9)</f>
        <v>4.4661</v>
      </c>
      <c r="O174" s="81">
        <f>4.4724 * CHOOSE(CONTROL!$C$32, $C$9, 100%, $E$9)</f>
        <v>4.4724000000000004</v>
      </c>
    </row>
    <row r="175" spans="1:15" ht="15">
      <c r="A175" s="16">
        <v>46539</v>
      </c>
      <c r="B175" s="80">
        <f>3.7071 * CHOOSE(CONTROL!$C$32, $C$9, 100%, $E$9)</f>
        <v>3.7071000000000001</v>
      </c>
      <c r="C175" s="80">
        <f>3.7071 * CHOOSE(CONTROL!$C$32, $C$9, 100%, $E$9)</f>
        <v>3.7071000000000001</v>
      </c>
      <c r="D175" s="80">
        <f>3.7123 * CHOOSE(CONTROL!$C$32, $C$9, 100%, $E$9)</f>
        <v>3.7122999999999999</v>
      </c>
      <c r="E175" s="81">
        <f>4.4481 * CHOOSE(CONTROL!$C$32, $C$9, 100%, $E$9)</f>
        <v>4.4481000000000002</v>
      </c>
      <c r="F175" s="81">
        <f>4.4481 * CHOOSE(CONTROL!$C$32, $C$9, 100%, $E$9)</f>
        <v>4.4481000000000002</v>
      </c>
      <c r="G175" s="81">
        <f>4.4544 * CHOOSE(CONTROL!$C$32, $C$9, 100%, $E$9)</f>
        <v>4.4543999999999997</v>
      </c>
      <c r="H175" s="81">
        <f>8.1325 * CHOOSE(CONTROL!$C$32, $C$9, 100%, $E$9)</f>
        <v>8.1325000000000003</v>
      </c>
      <c r="I175" s="81">
        <f>8.1388 * CHOOSE(CONTROL!$C$32, $C$9, 100%, $E$9)</f>
        <v>8.1387999999999998</v>
      </c>
      <c r="J175" s="81">
        <f>8.1325 * CHOOSE(CONTROL!$C$32, $C$9, 100%, $E$9)</f>
        <v>8.1325000000000003</v>
      </c>
      <c r="K175" s="81">
        <f>8.1388 * CHOOSE(CONTROL!$C$32, $C$9, 100%, $E$9)</f>
        <v>8.1387999999999998</v>
      </c>
      <c r="L175" s="81">
        <f>4.4481 * CHOOSE(CONTROL!$C$32, $C$9, 100%, $E$9)</f>
        <v>4.4481000000000002</v>
      </c>
      <c r="M175" s="81">
        <f>4.4544 * CHOOSE(CONTROL!$C$32, $C$9, 100%, $E$9)</f>
        <v>4.4543999999999997</v>
      </c>
      <c r="N175" s="81">
        <f>4.4481 * CHOOSE(CONTROL!$C$32, $C$9, 100%, $E$9)</f>
        <v>4.4481000000000002</v>
      </c>
      <c r="O175" s="81">
        <f>4.4544 * CHOOSE(CONTROL!$C$32, $C$9, 100%, $E$9)</f>
        <v>4.4543999999999997</v>
      </c>
    </row>
    <row r="176" spans="1:15" ht="15">
      <c r="A176" s="16">
        <v>46569</v>
      </c>
      <c r="B176" s="80">
        <f>3.7587 * CHOOSE(CONTROL!$C$32, $C$9, 100%, $E$9)</f>
        <v>3.7587000000000002</v>
      </c>
      <c r="C176" s="80">
        <f>3.7587 * CHOOSE(CONTROL!$C$32, $C$9, 100%, $E$9)</f>
        <v>3.7587000000000002</v>
      </c>
      <c r="D176" s="80">
        <f>3.7638 * CHOOSE(CONTROL!$C$32, $C$9, 100%, $E$9)</f>
        <v>3.7637999999999998</v>
      </c>
      <c r="E176" s="81">
        <f>4.5253 * CHOOSE(CONTROL!$C$32, $C$9, 100%, $E$9)</f>
        <v>4.5252999999999997</v>
      </c>
      <c r="F176" s="81">
        <f>4.5253 * CHOOSE(CONTROL!$C$32, $C$9, 100%, $E$9)</f>
        <v>4.5252999999999997</v>
      </c>
      <c r="G176" s="81">
        <f>4.5316 * CHOOSE(CONTROL!$C$32, $C$9, 100%, $E$9)</f>
        <v>4.5316000000000001</v>
      </c>
      <c r="H176" s="81">
        <f>8.1494 * CHOOSE(CONTROL!$C$32, $C$9, 100%, $E$9)</f>
        <v>8.1494</v>
      </c>
      <c r="I176" s="81">
        <f>8.1558 * CHOOSE(CONTROL!$C$32, $C$9, 100%, $E$9)</f>
        <v>8.1557999999999993</v>
      </c>
      <c r="J176" s="81">
        <f>8.1494 * CHOOSE(CONTROL!$C$32, $C$9, 100%, $E$9)</f>
        <v>8.1494</v>
      </c>
      <c r="K176" s="81">
        <f>8.1558 * CHOOSE(CONTROL!$C$32, $C$9, 100%, $E$9)</f>
        <v>8.1557999999999993</v>
      </c>
      <c r="L176" s="81">
        <f>4.5253 * CHOOSE(CONTROL!$C$32, $C$9, 100%, $E$9)</f>
        <v>4.5252999999999997</v>
      </c>
      <c r="M176" s="81">
        <f>4.5316 * CHOOSE(CONTROL!$C$32, $C$9, 100%, $E$9)</f>
        <v>4.5316000000000001</v>
      </c>
      <c r="N176" s="81">
        <f>4.5253 * CHOOSE(CONTROL!$C$32, $C$9, 100%, $E$9)</f>
        <v>4.5252999999999997</v>
      </c>
      <c r="O176" s="81">
        <f>4.5316 * CHOOSE(CONTROL!$C$32, $C$9, 100%, $E$9)</f>
        <v>4.5316000000000001</v>
      </c>
    </row>
    <row r="177" spans="1:15" ht="15">
      <c r="A177" s="16">
        <v>46600</v>
      </c>
      <c r="B177" s="80">
        <f>3.7654 * CHOOSE(CONTROL!$C$32, $C$9, 100%, $E$9)</f>
        <v>3.7654000000000001</v>
      </c>
      <c r="C177" s="80">
        <f>3.7654 * CHOOSE(CONTROL!$C$32, $C$9, 100%, $E$9)</f>
        <v>3.7654000000000001</v>
      </c>
      <c r="D177" s="80">
        <f>3.7705 * CHOOSE(CONTROL!$C$32, $C$9, 100%, $E$9)</f>
        <v>3.7705000000000002</v>
      </c>
      <c r="E177" s="81">
        <f>4.4633 * CHOOSE(CONTROL!$C$32, $C$9, 100%, $E$9)</f>
        <v>4.4633000000000003</v>
      </c>
      <c r="F177" s="81">
        <f>4.4633 * CHOOSE(CONTROL!$C$32, $C$9, 100%, $E$9)</f>
        <v>4.4633000000000003</v>
      </c>
      <c r="G177" s="81">
        <f>4.4696 * CHOOSE(CONTROL!$C$32, $C$9, 100%, $E$9)</f>
        <v>4.4695999999999998</v>
      </c>
      <c r="H177" s="81">
        <f>8.1664 * CHOOSE(CONTROL!$C$32, $C$9, 100%, $E$9)</f>
        <v>8.1663999999999994</v>
      </c>
      <c r="I177" s="81">
        <f>8.1727 * CHOOSE(CONTROL!$C$32, $C$9, 100%, $E$9)</f>
        <v>8.1727000000000007</v>
      </c>
      <c r="J177" s="81">
        <f>8.1664 * CHOOSE(CONTROL!$C$32, $C$9, 100%, $E$9)</f>
        <v>8.1663999999999994</v>
      </c>
      <c r="K177" s="81">
        <f>8.1727 * CHOOSE(CONTROL!$C$32, $C$9, 100%, $E$9)</f>
        <v>8.1727000000000007</v>
      </c>
      <c r="L177" s="81">
        <f>4.4633 * CHOOSE(CONTROL!$C$32, $C$9, 100%, $E$9)</f>
        <v>4.4633000000000003</v>
      </c>
      <c r="M177" s="81">
        <f>4.4696 * CHOOSE(CONTROL!$C$32, $C$9, 100%, $E$9)</f>
        <v>4.4695999999999998</v>
      </c>
      <c r="N177" s="81">
        <f>4.4633 * CHOOSE(CONTROL!$C$32, $C$9, 100%, $E$9)</f>
        <v>4.4633000000000003</v>
      </c>
      <c r="O177" s="81">
        <f>4.4696 * CHOOSE(CONTROL!$C$32, $C$9, 100%, $E$9)</f>
        <v>4.4695999999999998</v>
      </c>
    </row>
    <row r="178" spans="1:15" ht="15">
      <c r="A178" s="16">
        <v>46631</v>
      </c>
      <c r="B178" s="80">
        <f>3.7623 * CHOOSE(CONTROL!$C$32, $C$9, 100%, $E$9)</f>
        <v>3.7623000000000002</v>
      </c>
      <c r="C178" s="80">
        <f>3.7623 * CHOOSE(CONTROL!$C$32, $C$9, 100%, $E$9)</f>
        <v>3.7623000000000002</v>
      </c>
      <c r="D178" s="80">
        <f>3.7675 * CHOOSE(CONTROL!$C$32, $C$9, 100%, $E$9)</f>
        <v>3.7675000000000001</v>
      </c>
      <c r="E178" s="81">
        <f>4.4538 * CHOOSE(CONTROL!$C$32, $C$9, 100%, $E$9)</f>
        <v>4.4538000000000002</v>
      </c>
      <c r="F178" s="81">
        <f>4.4538 * CHOOSE(CONTROL!$C$32, $C$9, 100%, $E$9)</f>
        <v>4.4538000000000002</v>
      </c>
      <c r="G178" s="81">
        <f>4.4601 * CHOOSE(CONTROL!$C$32, $C$9, 100%, $E$9)</f>
        <v>4.4600999999999997</v>
      </c>
      <c r="H178" s="81">
        <f>8.1834 * CHOOSE(CONTROL!$C$32, $C$9, 100%, $E$9)</f>
        <v>8.1834000000000007</v>
      </c>
      <c r="I178" s="81">
        <f>8.1898 * CHOOSE(CONTROL!$C$32, $C$9, 100%, $E$9)</f>
        <v>8.1898</v>
      </c>
      <c r="J178" s="81">
        <f>8.1834 * CHOOSE(CONTROL!$C$32, $C$9, 100%, $E$9)</f>
        <v>8.1834000000000007</v>
      </c>
      <c r="K178" s="81">
        <f>8.1898 * CHOOSE(CONTROL!$C$32, $C$9, 100%, $E$9)</f>
        <v>8.1898</v>
      </c>
      <c r="L178" s="81">
        <f>4.4538 * CHOOSE(CONTROL!$C$32, $C$9, 100%, $E$9)</f>
        <v>4.4538000000000002</v>
      </c>
      <c r="M178" s="81">
        <f>4.4601 * CHOOSE(CONTROL!$C$32, $C$9, 100%, $E$9)</f>
        <v>4.4600999999999997</v>
      </c>
      <c r="N178" s="81">
        <f>4.4538 * CHOOSE(CONTROL!$C$32, $C$9, 100%, $E$9)</f>
        <v>4.4538000000000002</v>
      </c>
      <c r="O178" s="81">
        <f>4.4601 * CHOOSE(CONTROL!$C$32, $C$9, 100%, $E$9)</f>
        <v>4.4600999999999997</v>
      </c>
    </row>
    <row r="179" spans="1:15" ht="15">
      <c r="A179" s="16">
        <v>46661</v>
      </c>
      <c r="B179" s="80">
        <f>3.7564 * CHOOSE(CONTROL!$C$32, $C$9, 100%, $E$9)</f>
        <v>3.7564000000000002</v>
      </c>
      <c r="C179" s="80">
        <f>3.7564 * CHOOSE(CONTROL!$C$32, $C$9, 100%, $E$9)</f>
        <v>3.7564000000000002</v>
      </c>
      <c r="D179" s="80">
        <f>3.76 * CHOOSE(CONTROL!$C$32, $C$9, 100%, $E$9)</f>
        <v>3.76</v>
      </c>
      <c r="E179" s="81">
        <f>4.47 * CHOOSE(CONTROL!$C$32, $C$9, 100%, $E$9)</f>
        <v>4.47</v>
      </c>
      <c r="F179" s="81">
        <f>4.47 * CHOOSE(CONTROL!$C$32, $C$9, 100%, $E$9)</f>
        <v>4.47</v>
      </c>
      <c r="G179" s="81">
        <f>4.4743 * CHOOSE(CONTROL!$C$32, $C$9, 100%, $E$9)</f>
        <v>4.4743000000000004</v>
      </c>
      <c r="H179" s="81">
        <f>8.2005 * CHOOSE(CONTROL!$C$32, $C$9, 100%, $E$9)</f>
        <v>8.2004999999999999</v>
      </c>
      <c r="I179" s="81">
        <f>8.2048 * CHOOSE(CONTROL!$C$32, $C$9, 100%, $E$9)</f>
        <v>8.2048000000000005</v>
      </c>
      <c r="J179" s="81">
        <f>8.2005 * CHOOSE(CONTROL!$C$32, $C$9, 100%, $E$9)</f>
        <v>8.2004999999999999</v>
      </c>
      <c r="K179" s="81">
        <f>8.2048 * CHOOSE(CONTROL!$C$32, $C$9, 100%, $E$9)</f>
        <v>8.2048000000000005</v>
      </c>
      <c r="L179" s="81">
        <f>4.47 * CHOOSE(CONTROL!$C$32, $C$9, 100%, $E$9)</f>
        <v>4.47</v>
      </c>
      <c r="M179" s="81">
        <f>4.4743 * CHOOSE(CONTROL!$C$32, $C$9, 100%, $E$9)</f>
        <v>4.4743000000000004</v>
      </c>
      <c r="N179" s="81">
        <f>4.47 * CHOOSE(CONTROL!$C$32, $C$9, 100%, $E$9)</f>
        <v>4.47</v>
      </c>
      <c r="O179" s="81">
        <f>4.4743 * CHOOSE(CONTROL!$C$32, $C$9, 100%, $E$9)</f>
        <v>4.4743000000000004</v>
      </c>
    </row>
    <row r="180" spans="1:15" ht="15">
      <c r="A180" s="16">
        <v>46692</v>
      </c>
      <c r="B180" s="80">
        <f>3.7595 * CHOOSE(CONTROL!$C$32, $C$9, 100%, $E$9)</f>
        <v>3.7595000000000001</v>
      </c>
      <c r="C180" s="80">
        <f>3.7595 * CHOOSE(CONTROL!$C$32, $C$9, 100%, $E$9)</f>
        <v>3.7595000000000001</v>
      </c>
      <c r="D180" s="80">
        <f>3.763 * CHOOSE(CONTROL!$C$32, $C$9, 100%, $E$9)</f>
        <v>3.7629999999999999</v>
      </c>
      <c r="E180" s="81">
        <f>4.4869 * CHOOSE(CONTROL!$C$32, $C$9, 100%, $E$9)</f>
        <v>4.4869000000000003</v>
      </c>
      <c r="F180" s="81">
        <f>4.4869 * CHOOSE(CONTROL!$C$32, $C$9, 100%, $E$9)</f>
        <v>4.4869000000000003</v>
      </c>
      <c r="G180" s="81">
        <f>4.4913 * CHOOSE(CONTROL!$C$32, $C$9, 100%, $E$9)</f>
        <v>4.4912999999999998</v>
      </c>
      <c r="H180" s="81">
        <f>8.2176 * CHOOSE(CONTROL!$C$32, $C$9, 100%, $E$9)</f>
        <v>8.2175999999999991</v>
      </c>
      <c r="I180" s="81">
        <f>8.2219 * CHOOSE(CONTROL!$C$32, $C$9, 100%, $E$9)</f>
        <v>8.2218999999999998</v>
      </c>
      <c r="J180" s="81">
        <f>8.2176 * CHOOSE(CONTROL!$C$32, $C$9, 100%, $E$9)</f>
        <v>8.2175999999999991</v>
      </c>
      <c r="K180" s="81">
        <f>8.2219 * CHOOSE(CONTROL!$C$32, $C$9, 100%, $E$9)</f>
        <v>8.2218999999999998</v>
      </c>
      <c r="L180" s="81">
        <f>4.4869 * CHOOSE(CONTROL!$C$32, $C$9, 100%, $E$9)</f>
        <v>4.4869000000000003</v>
      </c>
      <c r="M180" s="81">
        <f>4.4913 * CHOOSE(CONTROL!$C$32, $C$9, 100%, $E$9)</f>
        <v>4.4912999999999998</v>
      </c>
      <c r="N180" s="81">
        <f>4.4869 * CHOOSE(CONTROL!$C$32, $C$9, 100%, $E$9)</f>
        <v>4.4869000000000003</v>
      </c>
      <c r="O180" s="81">
        <f>4.4913 * CHOOSE(CONTROL!$C$32, $C$9, 100%, $E$9)</f>
        <v>4.4912999999999998</v>
      </c>
    </row>
    <row r="181" spans="1:15" ht="15">
      <c r="A181" s="16">
        <v>46722</v>
      </c>
      <c r="B181" s="80">
        <f>3.7595 * CHOOSE(CONTROL!$C$32, $C$9, 100%, $E$9)</f>
        <v>3.7595000000000001</v>
      </c>
      <c r="C181" s="80">
        <f>3.7595 * CHOOSE(CONTROL!$C$32, $C$9, 100%, $E$9)</f>
        <v>3.7595000000000001</v>
      </c>
      <c r="D181" s="80">
        <f>3.763 * CHOOSE(CONTROL!$C$32, $C$9, 100%, $E$9)</f>
        <v>3.7629999999999999</v>
      </c>
      <c r="E181" s="81">
        <f>4.4499 * CHOOSE(CONTROL!$C$32, $C$9, 100%, $E$9)</f>
        <v>4.4499000000000004</v>
      </c>
      <c r="F181" s="81">
        <f>4.4499 * CHOOSE(CONTROL!$C$32, $C$9, 100%, $E$9)</f>
        <v>4.4499000000000004</v>
      </c>
      <c r="G181" s="81">
        <f>4.4543 * CHOOSE(CONTROL!$C$32, $C$9, 100%, $E$9)</f>
        <v>4.4542999999999999</v>
      </c>
      <c r="H181" s="81">
        <f>8.2347 * CHOOSE(CONTROL!$C$32, $C$9, 100%, $E$9)</f>
        <v>8.2347000000000001</v>
      </c>
      <c r="I181" s="81">
        <f>8.2391 * CHOOSE(CONTROL!$C$32, $C$9, 100%, $E$9)</f>
        <v>8.2391000000000005</v>
      </c>
      <c r="J181" s="81">
        <f>8.2347 * CHOOSE(CONTROL!$C$32, $C$9, 100%, $E$9)</f>
        <v>8.2347000000000001</v>
      </c>
      <c r="K181" s="81">
        <f>8.2391 * CHOOSE(CONTROL!$C$32, $C$9, 100%, $E$9)</f>
        <v>8.2391000000000005</v>
      </c>
      <c r="L181" s="81">
        <f>4.4499 * CHOOSE(CONTROL!$C$32, $C$9, 100%, $E$9)</f>
        <v>4.4499000000000004</v>
      </c>
      <c r="M181" s="81">
        <f>4.4543 * CHOOSE(CONTROL!$C$32, $C$9, 100%, $E$9)</f>
        <v>4.4542999999999999</v>
      </c>
      <c r="N181" s="81">
        <f>4.4499 * CHOOSE(CONTROL!$C$32, $C$9, 100%, $E$9)</f>
        <v>4.4499000000000004</v>
      </c>
      <c r="O181" s="81">
        <f>4.4543 * CHOOSE(CONTROL!$C$32, $C$9, 100%, $E$9)</f>
        <v>4.4542999999999999</v>
      </c>
    </row>
    <row r="182" spans="1:15" ht="15">
      <c r="A182" s="16">
        <v>46753</v>
      </c>
      <c r="B182" s="80">
        <f>3.7926 * CHOOSE(CONTROL!$C$32, $C$9, 100%, $E$9)</f>
        <v>3.7926000000000002</v>
      </c>
      <c r="C182" s="80">
        <f>3.7926 * CHOOSE(CONTROL!$C$32, $C$9, 100%, $E$9)</f>
        <v>3.7926000000000002</v>
      </c>
      <c r="D182" s="80">
        <f>3.7961 * CHOOSE(CONTROL!$C$32, $C$9, 100%, $E$9)</f>
        <v>3.7961</v>
      </c>
      <c r="E182" s="81">
        <f>4.5119 * CHOOSE(CONTROL!$C$32, $C$9, 100%, $E$9)</f>
        <v>4.5118999999999998</v>
      </c>
      <c r="F182" s="81">
        <f>4.5119 * CHOOSE(CONTROL!$C$32, $C$9, 100%, $E$9)</f>
        <v>4.5118999999999998</v>
      </c>
      <c r="G182" s="81">
        <f>4.5163 * CHOOSE(CONTROL!$C$32, $C$9, 100%, $E$9)</f>
        <v>4.5163000000000002</v>
      </c>
      <c r="H182" s="81">
        <f>8.2518 * CHOOSE(CONTROL!$C$32, $C$9, 100%, $E$9)</f>
        <v>8.2517999999999994</v>
      </c>
      <c r="I182" s="81">
        <f>8.2562 * CHOOSE(CONTROL!$C$32, $C$9, 100%, $E$9)</f>
        <v>8.2561999999999998</v>
      </c>
      <c r="J182" s="81">
        <f>8.2518 * CHOOSE(CONTROL!$C$32, $C$9, 100%, $E$9)</f>
        <v>8.2517999999999994</v>
      </c>
      <c r="K182" s="81">
        <f>8.2562 * CHOOSE(CONTROL!$C$32, $C$9, 100%, $E$9)</f>
        <v>8.2561999999999998</v>
      </c>
      <c r="L182" s="81">
        <f>4.5119 * CHOOSE(CONTROL!$C$32, $C$9, 100%, $E$9)</f>
        <v>4.5118999999999998</v>
      </c>
      <c r="M182" s="81">
        <f>4.5163 * CHOOSE(CONTROL!$C$32, $C$9, 100%, $E$9)</f>
        <v>4.5163000000000002</v>
      </c>
      <c r="N182" s="81">
        <f>4.5119 * CHOOSE(CONTROL!$C$32, $C$9, 100%, $E$9)</f>
        <v>4.5118999999999998</v>
      </c>
      <c r="O182" s="81">
        <f>4.5163 * CHOOSE(CONTROL!$C$32, $C$9, 100%, $E$9)</f>
        <v>4.5163000000000002</v>
      </c>
    </row>
    <row r="183" spans="1:15" ht="15">
      <c r="A183" s="16">
        <v>46784</v>
      </c>
      <c r="B183" s="80">
        <f>3.7896 * CHOOSE(CONTROL!$C$32, $C$9, 100%, $E$9)</f>
        <v>3.7896000000000001</v>
      </c>
      <c r="C183" s="80">
        <f>3.7896 * CHOOSE(CONTROL!$C$32, $C$9, 100%, $E$9)</f>
        <v>3.7896000000000001</v>
      </c>
      <c r="D183" s="80">
        <f>3.7931 * CHOOSE(CONTROL!$C$32, $C$9, 100%, $E$9)</f>
        <v>3.7930999999999999</v>
      </c>
      <c r="E183" s="81">
        <f>4.438 * CHOOSE(CONTROL!$C$32, $C$9, 100%, $E$9)</f>
        <v>4.4379999999999997</v>
      </c>
      <c r="F183" s="81">
        <f>4.438 * CHOOSE(CONTROL!$C$32, $C$9, 100%, $E$9)</f>
        <v>4.4379999999999997</v>
      </c>
      <c r="G183" s="81">
        <f>4.4424 * CHOOSE(CONTROL!$C$32, $C$9, 100%, $E$9)</f>
        <v>4.4424000000000001</v>
      </c>
      <c r="H183" s="81">
        <f>8.269 * CHOOSE(CONTROL!$C$32, $C$9, 100%, $E$9)</f>
        <v>8.2690000000000001</v>
      </c>
      <c r="I183" s="81">
        <f>8.2734 * CHOOSE(CONTROL!$C$32, $C$9, 100%, $E$9)</f>
        <v>8.2734000000000005</v>
      </c>
      <c r="J183" s="81">
        <f>8.269 * CHOOSE(CONTROL!$C$32, $C$9, 100%, $E$9)</f>
        <v>8.2690000000000001</v>
      </c>
      <c r="K183" s="81">
        <f>8.2734 * CHOOSE(CONTROL!$C$32, $C$9, 100%, $E$9)</f>
        <v>8.2734000000000005</v>
      </c>
      <c r="L183" s="81">
        <f>4.438 * CHOOSE(CONTROL!$C$32, $C$9, 100%, $E$9)</f>
        <v>4.4379999999999997</v>
      </c>
      <c r="M183" s="81">
        <f>4.4424 * CHOOSE(CONTROL!$C$32, $C$9, 100%, $E$9)</f>
        <v>4.4424000000000001</v>
      </c>
      <c r="N183" s="81">
        <f>4.438 * CHOOSE(CONTROL!$C$32, $C$9, 100%, $E$9)</f>
        <v>4.4379999999999997</v>
      </c>
      <c r="O183" s="81">
        <f>4.4424 * CHOOSE(CONTROL!$C$32, $C$9, 100%, $E$9)</f>
        <v>4.4424000000000001</v>
      </c>
    </row>
    <row r="184" spans="1:15" ht="15">
      <c r="A184" s="16">
        <v>46813</v>
      </c>
      <c r="B184" s="80">
        <f>3.7865 * CHOOSE(CONTROL!$C$32, $C$9, 100%, $E$9)</f>
        <v>3.7865000000000002</v>
      </c>
      <c r="C184" s="80">
        <f>3.7865 * CHOOSE(CONTROL!$C$32, $C$9, 100%, $E$9)</f>
        <v>3.7865000000000002</v>
      </c>
      <c r="D184" s="80">
        <f>3.7901 * CHOOSE(CONTROL!$C$32, $C$9, 100%, $E$9)</f>
        <v>3.7900999999999998</v>
      </c>
      <c r="E184" s="81">
        <f>4.4925 * CHOOSE(CONTROL!$C$32, $C$9, 100%, $E$9)</f>
        <v>4.4924999999999997</v>
      </c>
      <c r="F184" s="81">
        <f>4.4925 * CHOOSE(CONTROL!$C$32, $C$9, 100%, $E$9)</f>
        <v>4.4924999999999997</v>
      </c>
      <c r="G184" s="81">
        <f>4.4968 * CHOOSE(CONTROL!$C$32, $C$9, 100%, $E$9)</f>
        <v>4.4968000000000004</v>
      </c>
      <c r="H184" s="81">
        <f>8.2863 * CHOOSE(CONTROL!$C$32, $C$9, 100%, $E$9)</f>
        <v>8.2863000000000007</v>
      </c>
      <c r="I184" s="81">
        <f>8.2906 * CHOOSE(CONTROL!$C$32, $C$9, 100%, $E$9)</f>
        <v>8.2905999999999995</v>
      </c>
      <c r="J184" s="81">
        <f>8.2863 * CHOOSE(CONTROL!$C$32, $C$9, 100%, $E$9)</f>
        <v>8.2863000000000007</v>
      </c>
      <c r="K184" s="81">
        <f>8.2906 * CHOOSE(CONTROL!$C$32, $C$9, 100%, $E$9)</f>
        <v>8.2905999999999995</v>
      </c>
      <c r="L184" s="81">
        <f>4.4925 * CHOOSE(CONTROL!$C$32, $C$9, 100%, $E$9)</f>
        <v>4.4924999999999997</v>
      </c>
      <c r="M184" s="81">
        <f>4.4968 * CHOOSE(CONTROL!$C$32, $C$9, 100%, $E$9)</f>
        <v>4.4968000000000004</v>
      </c>
      <c r="N184" s="81">
        <f>4.4925 * CHOOSE(CONTROL!$C$32, $C$9, 100%, $E$9)</f>
        <v>4.4924999999999997</v>
      </c>
      <c r="O184" s="81">
        <f>4.4968 * CHOOSE(CONTROL!$C$32, $C$9, 100%, $E$9)</f>
        <v>4.4968000000000004</v>
      </c>
    </row>
    <row r="185" spans="1:15" ht="15">
      <c r="A185" s="16">
        <v>46844</v>
      </c>
      <c r="B185" s="80">
        <f>3.7839 * CHOOSE(CONTROL!$C$32, $C$9, 100%, $E$9)</f>
        <v>3.7839</v>
      </c>
      <c r="C185" s="80">
        <f>3.7839 * CHOOSE(CONTROL!$C$32, $C$9, 100%, $E$9)</f>
        <v>3.7839</v>
      </c>
      <c r="D185" s="80">
        <f>3.7875 * CHOOSE(CONTROL!$C$32, $C$9, 100%, $E$9)</f>
        <v>3.7875000000000001</v>
      </c>
      <c r="E185" s="81">
        <f>4.549 * CHOOSE(CONTROL!$C$32, $C$9, 100%, $E$9)</f>
        <v>4.5490000000000004</v>
      </c>
      <c r="F185" s="81">
        <f>4.549 * CHOOSE(CONTROL!$C$32, $C$9, 100%, $E$9)</f>
        <v>4.5490000000000004</v>
      </c>
      <c r="G185" s="81">
        <f>4.5534 * CHOOSE(CONTROL!$C$32, $C$9, 100%, $E$9)</f>
        <v>4.5533999999999999</v>
      </c>
      <c r="H185" s="81">
        <f>8.3035 * CHOOSE(CONTROL!$C$32, $C$9, 100%, $E$9)</f>
        <v>8.3034999999999997</v>
      </c>
      <c r="I185" s="81">
        <f>8.3079 * CHOOSE(CONTROL!$C$32, $C$9, 100%, $E$9)</f>
        <v>8.3079000000000001</v>
      </c>
      <c r="J185" s="81">
        <f>8.3035 * CHOOSE(CONTROL!$C$32, $C$9, 100%, $E$9)</f>
        <v>8.3034999999999997</v>
      </c>
      <c r="K185" s="81">
        <f>8.3079 * CHOOSE(CONTROL!$C$32, $C$9, 100%, $E$9)</f>
        <v>8.3079000000000001</v>
      </c>
      <c r="L185" s="81">
        <f>4.549 * CHOOSE(CONTROL!$C$32, $C$9, 100%, $E$9)</f>
        <v>4.5490000000000004</v>
      </c>
      <c r="M185" s="81">
        <f>4.5534 * CHOOSE(CONTROL!$C$32, $C$9, 100%, $E$9)</f>
        <v>4.5533999999999999</v>
      </c>
      <c r="N185" s="81">
        <f>4.549 * CHOOSE(CONTROL!$C$32, $C$9, 100%, $E$9)</f>
        <v>4.5490000000000004</v>
      </c>
      <c r="O185" s="81">
        <f>4.5534 * CHOOSE(CONTROL!$C$32, $C$9, 100%, $E$9)</f>
        <v>4.5533999999999999</v>
      </c>
    </row>
    <row r="186" spans="1:15" ht="15">
      <c r="A186" s="16">
        <v>46874</v>
      </c>
      <c r="B186" s="80">
        <f>3.7839 * CHOOSE(CONTROL!$C$32, $C$9, 100%, $E$9)</f>
        <v>3.7839</v>
      </c>
      <c r="C186" s="80">
        <f>3.7839 * CHOOSE(CONTROL!$C$32, $C$9, 100%, $E$9)</f>
        <v>3.7839</v>
      </c>
      <c r="D186" s="80">
        <f>3.7891 * CHOOSE(CONTROL!$C$32, $C$9, 100%, $E$9)</f>
        <v>3.7890999999999999</v>
      </c>
      <c r="E186" s="81">
        <f>4.5718 * CHOOSE(CONTROL!$C$32, $C$9, 100%, $E$9)</f>
        <v>4.5717999999999996</v>
      </c>
      <c r="F186" s="81">
        <f>4.5718 * CHOOSE(CONTROL!$C$32, $C$9, 100%, $E$9)</f>
        <v>4.5717999999999996</v>
      </c>
      <c r="G186" s="81">
        <f>4.5781 * CHOOSE(CONTROL!$C$32, $C$9, 100%, $E$9)</f>
        <v>4.5781000000000001</v>
      </c>
      <c r="H186" s="81">
        <f>8.3208 * CHOOSE(CONTROL!$C$32, $C$9, 100%, $E$9)</f>
        <v>8.3208000000000002</v>
      </c>
      <c r="I186" s="81">
        <f>8.3271 * CHOOSE(CONTROL!$C$32, $C$9, 100%, $E$9)</f>
        <v>8.3270999999999997</v>
      </c>
      <c r="J186" s="81">
        <f>8.3208 * CHOOSE(CONTROL!$C$32, $C$9, 100%, $E$9)</f>
        <v>8.3208000000000002</v>
      </c>
      <c r="K186" s="81">
        <f>8.3271 * CHOOSE(CONTROL!$C$32, $C$9, 100%, $E$9)</f>
        <v>8.3270999999999997</v>
      </c>
      <c r="L186" s="81">
        <f>4.5718 * CHOOSE(CONTROL!$C$32, $C$9, 100%, $E$9)</f>
        <v>4.5717999999999996</v>
      </c>
      <c r="M186" s="81">
        <f>4.5781 * CHOOSE(CONTROL!$C$32, $C$9, 100%, $E$9)</f>
        <v>4.5781000000000001</v>
      </c>
      <c r="N186" s="81">
        <f>4.5718 * CHOOSE(CONTROL!$C$32, $C$9, 100%, $E$9)</f>
        <v>4.5717999999999996</v>
      </c>
      <c r="O186" s="81">
        <f>4.5781 * CHOOSE(CONTROL!$C$32, $C$9, 100%, $E$9)</f>
        <v>4.5781000000000001</v>
      </c>
    </row>
    <row r="187" spans="1:15" ht="15">
      <c r="A187" s="16">
        <v>46905</v>
      </c>
      <c r="B187" s="80">
        <f>3.79 * CHOOSE(CONTROL!$C$32, $C$9, 100%, $E$9)</f>
        <v>3.79</v>
      </c>
      <c r="C187" s="80">
        <f>3.79 * CHOOSE(CONTROL!$C$32, $C$9, 100%, $E$9)</f>
        <v>3.79</v>
      </c>
      <c r="D187" s="80">
        <f>3.7952 * CHOOSE(CONTROL!$C$32, $C$9, 100%, $E$9)</f>
        <v>3.7951999999999999</v>
      </c>
      <c r="E187" s="81">
        <f>4.5532 * CHOOSE(CONTROL!$C$32, $C$9, 100%, $E$9)</f>
        <v>4.5532000000000004</v>
      </c>
      <c r="F187" s="81">
        <f>4.5532 * CHOOSE(CONTROL!$C$32, $C$9, 100%, $E$9)</f>
        <v>4.5532000000000004</v>
      </c>
      <c r="G187" s="81">
        <f>4.5596 * CHOOSE(CONTROL!$C$32, $C$9, 100%, $E$9)</f>
        <v>4.5595999999999997</v>
      </c>
      <c r="H187" s="81">
        <f>8.3382 * CHOOSE(CONTROL!$C$32, $C$9, 100%, $E$9)</f>
        <v>8.3382000000000005</v>
      </c>
      <c r="I187" s="81">
        <f>8.3445 * CHOOSE(CONTROL!$C$32, $C$9, 100%, $E$9)</f>
        <v>8.3445</v>
      </c>
      <c r="J187" s="81">
        <f>8.3382 * CHOOSE(CONTROL!$C$32, $C$9, 100%, $E$9)</f>
        <v>8.3382000000000005</v>
      </c>
      <c r="K187" s="81">
        <f>8.3445 * CHOOSE(CONTROL!$C$32, $C$9, 100%, $E$9)</f>
        <v>8.3445</v>
      </c>
      <c r="L187" s="81">
        <f>4.5532 * CHOOSE(CONTROL!$C$32, $C$9, 100%, $E$9)</f>
        <v>4.5532000000000004</v>
      </c>
      <c r="M187" s="81">
        <f>4.5596 * CHOOSE(CONTROL!$C$32, $C$9, 100%, $E$9)</f>
        <v>4.5595999999999997</v>
      </c>
      <c r="N187" s="81">
        <f>4.5532 * CHOOSE(CONTROL!$C$32, $C$9, 100%, $E$9)</f>
        <v>4.5532000000000004</v>
      </c>
      <c r="O187" s="81">
        <f>4.5596 * CHOOSE(CONTROL!$C$32, $C$9, 100%, $E$9)</f>
        <v>4.5595999999999997</v>
      </c>
    </row>
    <row r="188" spans="1:15" ht="15">
      <c r="A188" s="16">
        <v>46935</v>
      </c>
      <c r="B188" s="80">
        <f>3.8518 * CHOOSE(CONTROL!$C$32, $C$9, 100%, $E$9)</f>
        <v>3.8517999999999999</v>
      </c>
      <c r="C188" s="80">
        <f>3.8518 * CHOOSE(CONTROL!$C$32, $C$9, 100%, $E$9)</f>
        <v>3.8517999999999999</v>
      </c>
      <c r="D188" s="80">
        <f>3.8569 * CHOOSE(CONTROL!$C$32, $C$9, 100%, $E$9)</f>
        <v>3.8569</v>
      </c>
      <c r="E188" s="81">
        <f>4.6316 * CHOOSE(CONTROL!$C$32, $C$9, 100%, $E$9)</f>
        <v>4.6315999999999997</v>
      </c>
      <c r="F188" s="81">
        <f>4.6316 * CHOOSE(CONTROL!$C$32, $C$9, 100%, $E$9)</f>
        <v>4.6315999999999997</v>
      </c>
      <c r="G188" s="81">
        <f>4.6379 * CHOOSE(CONTROL!$C$32, $C$9, 100%, $E$9)</f>
        <v>4.6379000000000001</v>
      </c>
      <c r="H188" s="81">
        <f>8.3555 * CHOOSE(CONTROL!$C$32, $C$9, 100%, $E$9)</f>
        <v>8.3554999999999993</v>
      </c>
      <c r="I188" s="81">
        <f>8.3618 * CHOOSE(CONTROL!$C$32, $C$9, 100%, $E$9)</f>
        <v>8.3618000000000006</v>
      </c>
      <c r="J188" s="81">
        <f>8.3555 * CHOOSE(CONTROL!$C$32, $C$9, 100%, $E$9)</f>
        <v>8.3554999999999993</v>
      </c>
      <c r="K188" s="81">
        <f>8.3618 * CHOOSE(CONTROL!$C$32, $C$9, 100%, $E$9)</f>
        <v>8.3618000000000006</v>
      </c>
      <c r="L188" s="81">
        <f>4.6316 * CHOOSE(CONTROL!$C$32, $C$9, 100%, $E$9)</f>
        <v>4.6315999999999997</v>
      </c>
      <c r="M188" s="81">
        <f>4.6379 * CHOOSE(CONTROL!$C$32, $C$9, 100%, $E$9)</f>
        <v>4.6379000000000001</v>
      </c>
      <c r="N188" s="81">
        <f>4.6316 * CHOOSE(CONTROL!$C$32, $C$9, 100%, $E$9)</f>
        <v>4.6315999999999997</v>
      </c>
      <c r="O188" s="81">
        <f>4.6379 * CHOOSE(CONTROL!$C$32, $C$9, 100%, $E$9)</f>
        <v>4.6379000000000001</v>
      </c>
    </row>
    <row r="189" spans="1:15" ht="15">
      <c r="A189" s="16">
        <v>46966</v>
      </c>
      <c r="B189" s="80">
        <f>3.8585 * CHOOSE(CONTROL!$C$32, $C$9, 100%, $E$9)</f>
        <v>3.8584999999999998</v>
      </c>
      <c r="C189" s="80">
        <f>3.8585 * CHOOSE(CONTROL!$C$32, $C$9, 100%, $E$9)</f>
        <v>3.8584999999999998</v>
      </c>
      <c r="D189" s="80">
        <f>3.8636 * CHOOSE(CONTROL!$C$32, $C$9, 100%, $E$9)</f>
        <v>3.8635999999999999</v>
      </c>
      <c r="E189" s="81">
        <f>4.5679 * CHOOSE(CONTROL!$C$32, $C$9, 100%, $E$9)</f>
        <v>4.5678999999999998</v>
      </c>
      <c r="F189" s="81">
        <f>4.5679 * CHOOSE(CONTROL!$C$32, $C$9, 100%, $E$9)</f>
        <v>4.5678999999999998</v>
      </c>
      <c r="G189" s="81">
        <f>4.5742 * CHOOSE(CONTROL!$C$32, $C$9, 100%, $E$9)</f>
        <v>4.5742000000000003</v>
      </c>
      <c r="H189" s="81">
        <f>8.3729 * CHOOSE(CONTROL!$C$32, $C$9, 100%, $E$9)</f>
        <v>8.3728999999999996</v>
      </c>
      <c r="I189" s="81">
        <f>8.3793 * CHOOSE(CONTROL!$C$32, $C$9, 100%, $E$9)</f>
        <v>8.3793000000000006</v>
      </c>
      <c r="J189" s="81">
        <f>8.3729 * CHOOSE(CONTROL!$C$32, $C$9, 100%, $E$9)</f>
        <v>8.3728999999999996</v>
      </c>
      <c r="K189" s="81">
        <f>8.3793 * CHOOSE(CONTROL!$C$32, $C$9, 100%, $E$9)</f>
        <v>8.3793000000000006</v>
      </c>
      <c r="L189" s="81">
        <f>4.5679 * CHOOSE(CONTROL!$C$32, $C$9, 100%, $E$9)</f>
        <v>4.5678999999999998</v>
      </c>
      <c r="M189" s="81">
        <f>4.5742 * CHOOSE(CONTROL!$C$32, $C$9, 100%, $E$9)</f>
        <v>4.5742000000000003</v>
      </c>
      <c r="N189" s="81">
        <f>4.5679 * CHOOSE(CONTROL!$C$32, $C$9, 100%, $E$9)</f>
        <v>4.5678999999999998</v>
      </c>
      <c r="O189" s="81">
        <f>4.5742 * CHOOSE(CONTROL!$C$32, $C$9, 100%, $E$9)</f>
        <v>4.5742000000000003</v>
      </c>
    </row>
    <row r="190" spans="1:15" ht="15">
      <c r="A190" s="16">
        <v>46997</v>
      </c>
      <c r="B190" s="80">
        <f>3.8554 * CHOOSE(CONTROL!$C$32, $C$9, 100%, $E$9)</f>
        <v>3.8553999999999999</v>
      </c>
      <c r="C190" s="80">
        <f>3.8554 * CHOOSE(CONTROL!$C$32, $C$9, 100%, $E$9)</f>
        <v>3.8553999999999999</v>
      </c>
      <c r="D190" s="80">
        <f>3.8606 * CHOOSE(CONTROL!$C$32, $C$9, 100%, $E$9)</f>
        <v>3.8605999999999998</v>
      </c>
      <c r="E190" s="81">
        <f>4.5582 * CHOOSE(CONTROL!$C$32, $C$9, 100%, $E$9)</f>
        <v>4.5582000000000003</v>
      </c>
      <c r="F190" s="81">
        <f>4.5582 * CHOOSE(CONTROL!$C$32, $C$9, 100%, $E$9)</f>
        <v>4.5582000000000003</v>
      </c>
      <c r="G190" s="81">
        <f>4.5645 * CHOOSE(CONTROL!$C$32, $C$9, 100%, $E$9)</f>
        <v>4.5644999999999998</v>
      </c>
      <c r="H190" s="81">
        <f>8.3904 * CHOOSE(CONTROL!$C$32, $C$9, 100%, $E$9)</f>
        <v>8.3903999999999996</v>
      </c>
      <c r="I190" s="81">
        <f>8.3967 * CHOOSE(CONTROL!$C$32, $C$9, 100%, $E$9)</f>
        <v>8.3966999999999992</v>
      </c>
      <c r="J190" s="81">
        <f>8.3904 * CHOOSE(CONTROL!$C$32, $C$9, 100%, $E$9)</f>
        <v>8.3903999999999996</v>
      </c>
      <c r="K190" s="81">
        <f>8.3967 * CHOOSE(CONTROL!$C$32, $C$9, 100%, $E$9)</f>
        <v>8.3966999999999992</v>
      </c>
      <c r="L190" s="81">
        <f>4.5582 * CHOOSE(CONTROL!$C$32, $C$9, 100%, $E$9)</f>
        <v>4.5582000000000003</v>
      </c>
      <c r="M190" s="81">
        <f>4.5645 * CHOOSE(CONTROL!$C$32, $C$9, 100%, $E$9)</f>
        <v>4.5644999999999998</v>
      </c>
      <c r="N190" s="81">
        <f>4.5582 * CHOOSE(CONTROL!$C$32, $C$9, 100%, $E$9)</f>
        <v>4.5582000000000003</v>
      </c>
      <c r="O190" s="81">
        <f>4.5645 * CHOOSE(CONTROL!$C$32, $C$9, 100%, $E$9)</f>
        <v>4.5644999999999998</v>
      </c>
    </row>
    <row r="191" spans="1:15" ht="15">
      <c r="A191" s="16">
        <v>47027</v>
      </c>
      <c r="B191" s="80">
        <f>3.8498 * CHOOSE(CONTROL!$C$32, $C$9, 100%, $E$9)</f>
        <v>3.8498000000000001</v>
      </c>
      <c r="C191" s="80">
        <f>3.8498 * CHOOSE(CONTROL!$C$32, $C$9, 100%, $E$9)</f>
        <v>3.8498000000000001</v>
      </c>
      <c r="D191" s="80">
        <f>3.8534 * CHOOSE(CONTROL!$C$32, $C$9, 100%, $E$9)</f>
        <v>3.8534000000000002</v>
      </c>
      <c r="E191" s="81">
        <f>4.5751 * CHOOSE(CONTROL!$C$32, $C$9, 100%, $E$9)</f>
        <v>4.5750999999999999</v>
      </c>
      <c r="F191" s="81">
        <f>4.5751 * CHOOSE(CONTROL!$C$32, $C$9, 100%, $E$9)</f>
        <v>4.5750999999999999</v>
      </c>
      <c r="G191" s="81">
        <f>4.5795 * CHOOSE(CONTROL!$C$32, $C$9, 100%, $E$9)</f>
        <v>4.5795000000000003</v>
      </c>
      <c r="H191" s="81">
        <f>8.4079 * CHOOSE(CONTROL!$C$32, $C$9, 100%, $E$9)</f>
        <v>8.4078999999999997</v>
      </c>
      <c r="I191" s="81">
        <f>8.4122 * CHOOSE(CONTROL!$C$32, $C$9, 100%, $E$9)</f>
        <v>8.4122000000000003</v>
      </c>
      <c r="J191" s="81">
        <f>8.4079 * CHOOSE(CONTROL!$C$32, $C$9, 100%, $E$9)</f>
        <v>8.4078999999999997</v>
      </c>
      <c r="K191" s="81">
        <f>8.4122 * CHOOSE(CONTROL!$C$32, $C$9, 100%, $E$9)</f>
        <v>8.4122000000000003</v>
      </c>
      <c r="L191" s="81">
        <f>4.5751 * CHOOSE(CONTROL!$C$32, $C$9, 100%, $E$9)</f>
        <v>4.5750999999999999</v>
      </c>
      <c r="M191" s="81">
        <f>4.5795 * CHOOSE(CONTROL!$C$32, $C$9, 100%, $E$9)</f>
        <v>4.5795000000000003</v>
      </c>
      <c r="N191" s="81">
        <f>4.5751 * CHOOSE(CONTROL!$C$32, $C$9, 100%, $E$9)</f>
        <v>4.5750999999999999</v>
      </c>
      <c r="O191" s="81">
        <f>4.5795 * CHOOSE(CONTROL!$C$32, $C$9, 100%, $E$9)</f>
        <v>4.5795000000000003</v>
      </c>
    </row>
    <row r="192" spans="1:15" ht="15">
      <c r="A192" s="16">
        <v>47058</v>
      </c>
      <c r="B192" s="80">
        <f>3.8529 * CHOOSE(CONTROL!$C$32, $C$9, 100%, $E$9)</f>
        <v>3.8529</v>
      </c>
      <c r="C192" s="80">
        <f>3.8529 * CHOOSE(CONTROL!$C$32, $C$9, 100%, $E$9)</f>
        <v>3.8529</v>
      </c>
      <c r="D192" s="80">
        <f>3.8564 * CHOOSE(CONTROL!$C$32, $C$9, 100%, $E$9)</f>
        <v>3.8563999999999998</v>
      </c>
      <c r="E192" s="81">
        <f>4.5924 * CHOOSE(CONTROL!$C$32, $C$9, 100%, $E$9)</f>
        <v>4.5923999999999996</v>
      </c>
      <c r="F192" s="81">
        <f>4.5924 * CHOOSE(CONTROL!$C$32, $C$9, 100%, $E$9)</f>
        <v>4.5923999999999996</v>
      </c>
      <c r="G192" s="81">
        <f>4.5968 * CHOOSE(CONTROL!$C$32, $C$9, 100%, $E$9)</f>
        <v>4.5968</v>
      </c>
      <c r="H192" s="81">
        <f>8.4254 * CHOOSE(CONTROL!$C$32, $C$9, 100%, $E$9)</f>
        <v>8.4253999999999998</v>
      </c>
      <c r="I192" s="81">
        <f>8.4297 * CHOOSE(CONTROL!$C$32, $C$9, 100%, $E$9)</f>
        <v>8.4297000000000004</v>
      </c>
      <c r="J192" s="81">
        <f>8.4254 * CHOOSE(CONTROL!$C$32, $C$9, 100%, $E$9)</f>
        <v>8.4253999999999998</v>
      </c>
      <c r="K192" s="81">
        <f>8.4297 * CHOOSE(CONTROL!$C$32, $C$9, 100%, $E$9)</f>
        <v>8.4297000000000004</v>
      </c>
      <c r="L192" s="81">
        <f>4.5924 * CHOOSE(CONTROL!$C$32, $C$9, 100%, $E$9)</f>
        <v>4.5923999999999996</v>
      </c>
      <c r="M192" s="81">
        <f>4.5968 * CHOOSE(CONTROL!$C$32, $C$9, 100%, $E$9)</f>
        <v>4.5968</v>
      </c>
      <c r="N192" s="81">
        <f>4.5924 * CHOOSE(CONTROL!$C$32, $C$9, 100%, $E$9)</f>
        <v>4.5923999999999996</v>
      </c>
      <c r="O192" s="81">
        <f>4.5968 * CHOOSE(CONTROL!$C$32, $C$9, 100%, $E$9)</f>
        <v>4.5968</v>
      </c>
    </row>
    <row r="193" spans="1:15" ht="15">
      <c r="A193" s="16">
        <v>47088</v>
      </c>
      <c r="B193" s="80">
        <f>3.8529 * CHOOSE(CONTROL!$C$32, $C$9, 100%, $E$9)</f>
        <v>3.8529</v>
      </c>
      <c r="C193" s="80">
        <f>3.8529 * CHOOSE(CONTROL!$C$32, $C$9, 100%, $E$9)</f>
        <v>3.8529</v>
      </c>
      <c r="D193" s="80">
        <f>3.8564 * CHOOSE(CONTROL!$C$32, $C$9, 100%, $E$9)</f>
        <v>3.8563999999999998</v>
      </c>
      <c r="E193" s="81">
        <f>4.5545 * CHOOSE(CONTROL!$C$32, $C$9, 100%, $E$9)</f>
        <v>4.5545</v>
      </c>
      <c r="F193" s="81">
        <f>4.5545 * CHOOSE(CONTROL!$C$32, $C$9, 100%, $E$9)</f>
        <v>4.5545</v>
      </c>
      <c r="G193" s="81">
        <f>4.5588 * CHOOSE(CONTROL!$C$32, $C$9, 100%, $E$9)</f>
        <v>4.5587999999999997</v>
      </c>
      <c r="H193" s="81">
        <f>8.4429 * CHOOSE(CONTROL!$C$32, $C$9, 100%, $E$9)</f>
        <v>8.4428999999999998</v>
      </c>
      <c r="I193" s="81">
        <f>8.4473 * CHOOSE(CONTROL!$C$32, $C$9, 100%, $E$9)</f>
        <v>8.4473000000000003</v>
      </c>
      <c r="J193" s="81">
        <f>8.4429 * CHOOSE(CONTROL!$C$32, $C$9, 100%, $E$9)</f>
        <v>8.4428999999999998</v>
      </c>
      <c r="K193" s="81">
        <f>8.4473 * CHOOSE(CONTROL!$C$32, $C$9, 100%, $E$9)</f>
        <v>8.4473000000000003</v>
      </c>
      <c r="L193" s="81">
        <f>4.5545 * CHOOSE(CONTROL!$C$32, $C$9, 100%, $E$9)</f>
        <v>4.5545</v>
      </c>
      <c r="M193" s="81">
        <f>4.5588 * CHOOSE(CONTROL!$C$32, $C$9, 100%, $E$9)</f>
        <v>4.5587999999999997</v>
      </c>
      <c r="N193" s="81">
        <f>4.5545 * CHOOSE(CONTROL!$C$32, $C$9, 100%, $E$9)</f>
        <v>4.5545</v>
      </c>
      <c r="O193" s="81">
        <f>4.5588 * CHOOSE(CONTROL!$C$32, $C$9, 100%, $E$9)</f>
        <v>4.5587999999999997</v>
      </c>
    </row>
    <row r="194" spans="1:15" ht="15">
      <c r="A194" s="16">
        <v>47119</v>
      </c>
      <c r="B194" s="80">
        <f>3.8828 * CHOOSE(CONTROL!$C$32, $C$9, 100%, $E$9)</f>
        <v>3.8828</v>
      </c>
      <c r="C194" s="80">
        <f>3.8828 * CHOOSE(CONTROL!$C$32, $C$9, 100%, $E$9)</f>
        <v>3.8828</v>
      </c>
      <c r="D194" s="80">
        <f>3.8864 * CHOOSE(CONTROL!$C$32, $C$9, 100%, $E$9)</f>
        <v>3.8864000000000001</v>
      </c>
      <c r="E194" s="81">
        <f>4.6181 * CHOOSE(CONTROL!$C$32, $C$9, 100%, $E$9)</f>
        <v>4.6181000000000001</v>
      </c>
      <c r="F194" s="81">
        <f>4.6181 * CHOOSE(CONTROL!$C$32, $C$9, 100%, $E$9)</f>
        <v>4.6181000000000001</v>
      </c>
      <c r="G194" s="81">
        <f>4.6225 * CHOOSE(CONTROL!$C$32, $C$9, 100%, $E$9)</f>
        <v>4.6224999999999996</v>
      </c>
      <c r="H194" s="81">
        <f>8.4605 * CHOOSE(CONTROL!$C$32, $C$9, 100%, $E$9)</f>
        <v>8.4604999999999997</v>
      </c>
      <c r="I194" s="81">
        <f>8.4649 * CHOOSE(CONTROL!$C$32, $C$9, 100%, $E$9)</f>
        <v>8.4649000000000001</v>
      </c>
      <c r="J194" s="81">
        <f>8.4605 * CHOOSE(CONTROL!$C$32, $C$9, 100%, $E$9)</f>
        <v>8.4604999999999997</v>
      </c>
      <c r="K194" s="81">
        <f>8.4649 * CHOOSE(CONTROL!$C$32, $C$9, 100%, $E$9)</f>
        <v>8.4649000000000001</v>
      </c>
      <c r="L194" s="81">
        <f>4.6181 * CHOOSE(CONTROL!$C$32, $C$9, 100%, $E$9)</f>
        <v>4.6181000000000001</v>
      </c>
      <c r="M194" s="81">
        <f>4.6225 * CHOOSE(CONTROL!$C$32, $C$9, 100%, $E$9)</f>
        <v>4.6224999999999996</v>
      </c>
      <c r="N194" s="81">
        <f>4.6181 * CHOOSE(CONTROL!$C$32, $C$9, 100%, $E$9)</f>
        <v>4.6181000000000001</v>
      </c>
      <c r="O194" s="81">
        <f>4.6225 * CHOOSE(CONTROL!$C$32, $C$9, 100%, $E$9)</f>
        <v>4.6224999999999996</v>
      </c>
    </row>
    <row r="195" spans="1:15" ht="15">
      <c r="A195" s="16">
        <v>47150</v>
      </c>
      <c r="B195" s="80">
        <f>3.8798 * CHOOSE(CONTROL!$C$32, $C$9, 100%, $E$9)</f>
        <v>3.8797999999999999</v>
      </c>
      <c r="C195" s="80">
        <f>3.8798 * CHOOSE(CONTROL!$C$32, $C$9, 100%, $E$9)</f>
        <v>3.8797999999999999</v>
      </c>
      <c r="D195" s="80">
        <f>3.8833 * CHOOSE(CONTROL!$C$32, $C$9, 100%, $E$9)</f>
        <v>3.8833000000000002</v>
      </c>
      <c r="E195" s="81">
        <f>4.5424 * CHOOSE(CONTROL!$C$32, $C$9, 100%, $E$9)</f>
        <v>4.5423999999999998</v>
      </c>
      <c r="F195" s="81">
        <f>4.5424 * CHOOSE(CONTROL!$C$32, $C$9, 100%, $E$9)</f>
        <v>4.5423999999999998</v>
      </c>
      <c r="G195" s="81">
        <f>4.5467 * CHOOSE(CONTROL!$C$32, $C$9, 100%, $E$9)</f>
        <v>4.5467000000000004</v>
      </c>
      <c r="H195" s="81">
        <f>8.4781 * CHOOSE(CONTROL!$C$32, $C$9, 100%, $E$9)</f>
        <v>8.4780999999999995</v>
      </c>
      <c r="I195" s="81">
        <f>8.4825 * CHOOSE(CONTROL!$C$32, $C$9, 100%, $E$9)</f>
        <v>8.4824999999999999</v>
      </c>
      <c r="J195" s="81">
        <f>8.4781 * CHOOSE(CONTROL!$C$32, $C$9, 100%, $E$9)</f>
        <v>8.4780999999999995</v>
      </c>
      <c r="K195" s="81">
        <f>8.4825 * CHOOSE(CONTROL!$C$32, $C$9, 100%, $E$9)</f>
        <v>8.4824999999999999</v>
      </c>
      <c r="L195" s="81">
        <f>4.5424 * CHOOSE(CONTROL!$C$32, $C$9, 100%, $E$9)</f>
        <v>4.5423999999999998</v>
      </c>
      <c r="M195" s="81">
        <f>4.5467 * CHOOSE(CONTROL!$C$32, $C$9, 100%, $E$9)</f>
        <v>4.5467000000000004</v>
      </c>
      <c r="N195" s="81">
        <f>4.5424 * CHOOSE(CONTROL!$C$32, $C$9, 100%, $E$9)</f>
        <v>4.5423999999999998</v>
      </c>
      <c r="O195" s="81">
        <f>4.5467 * CHOOSE(CONTROL!$C$32, $C$9, 100%, $E$9)</f>
        <v>4.5467000000000004</v>
      </c>
    </row>
    <row r="196" spans="1:15" ht="15">
      <c r="A196" s="16">
        <v>47178</v>
      </c>
      <c r="B196" s="80">
        <f>3.8767 * CHOOSE(CONTROL!$C$32, $C$9, 100%, $E$9)</f>
        <v>3.8767</v>
      </c>
      <c r="C196" s="80">
        <f>3.8767 * CHOOSE(CONTROL!$C$32, $C$9, 100%, $E$9)</f>
        <v>3.8767</v>
      </c>
      <c r="D196" s="80">
        <f>3.8803 * CHOOSE(CONTROL!$C$32, $C$9, 100%, $E$9)</f>
        <v>3.8803000000000001</v>
      </c>
      <c r="E196" s="81">
        <f>4.5983 * CHOOSE(CONTROL!$C$32, $C$9, 100%, $E$9)</f>
        <v>4.5983000000000001</v>
      </c>
      <c r="F196" s="81">
        <f>4.5983 * CHOOSE(CONTROL!$C$32, $C$9, 100%, $E$9)</f>
        <v>4.5983000000000001</v>
      </c>
      <c r="G196" s="81">
        <f>4.6026 * CHOOSE(CONTROL!$C$32, $C$9, 100%, $E$9)</f>
        <v>4.6025999999999998</v>
      </c>
      <c r="H196" s="81">
        <f>8.4958 * CHOOSE(CONTROL!$C$32, $C$9, 100%, $E$9)</f>
        <v>8.4957999999999991</v>
      </c>
      <c r="I196" s="81">
        <f>8.5002 * CHOOSE(CONTROL!$C$32, $C$9, 100%, $E$9)</f>
        <v>8.5001999999999995</v>
      </c>
      <c r="J196" s="81">
        <f>8.4958 * CHOOSE(CONTROL!$C$32, $C$9, 100%, $E$9)</f>
        <v>8.4957999999999991</v>
      </c>
      <c r="K196" s="81">
        <f>8.5002 * CHOOSE(CONTROL!$C$32, $C$9, 100%, $E$9)</f>
        <v>8.5001999999999995</v>
      </c>
      <c r="L196" s="81">
        <f>4.5983 * CHOOSE(CONTROL!$C$32, $C$9, 100%, $E$9)</f>
        <v>4.5983000000000001</v>
      </c>
      <c r="M196" s="81">
        <f>4.6026 * CHOOSE(CONTROL!$C$32, $C$9, 100%, $E$9)</f>
        <v>4.6025999999999998</v>
      </c>
      <c r="N196" s="81">
        <f>4.5983 * CHOOSE(CONTROL!$C$32, $C$9, 100%, $E$9)</f>
        <v>4.5983000000000001</v>
      </c>
      <c r="O196" s="81">
        <f>4.6026 * CHOOSE(CONTROL!$C$32, $C$9, 100%, $E$9)</f>
        <v>4.6025999999999998</v>
      </c>
    </row>
    <row r="197" spans="1:15" ht="15">
      <c r="A197" s="16">
        <v>47209</v>
      </c>
      <c r="B197" s="80">
        <f>3.8743 * CHOOSE(CONTROL!$C$32, $C$9, 100%, $E$9)</f>
        <v>3.8742999999999999</v>
      </c>
      <c r="C197" s="80">
        <f>3.8743 * CHOOSE(CONTROL!$C$32, $C$9, 100%, $E$9)</f>
        <v>3.8742999999999999</v>
      </c>
      <c r="D197" s="80">
        <f>3.8778 * CHOOSE(CONTROL!$C$32, $C$9, 100%, $E$9)</f>
        <v>3.8778000000000001</v>
      </c>
      <c r="E197" s="81">
        <f>4.6563 * CHOOSE(CONTROL!$C$32, $C$9, 100%, $E$9)</f>
        <v>4.6562999999999999</v>
      </c>
      <c r="F197" s="81">
        <f>4.6563 * CHOOSE(CONTROL!$C$32, $C$9, 100%, $E$9)</f>
        <v>4.6562999999999999</v>
      </c>
      <c r="G197" s="81">
        <f>4.6607 * CHOOSE(CONTROL!$C$32, $C$9, 100%, $E$9)</f>
        <v>4.6607000000000003</v>
      </c>
      <c r="H197" s="81">
        <f>8.5135 * CHOOSE(CONTROL!$C$32, $C$9, 100%, $E$9)</f>
        <v>8.5135000000000005</v>
      </c>
      <c r="I197" s="81">
        <f>8.5179 * CHOOSE(CONTROL!$C$32, $C$9, 100%, $E$9)</f>
        <v>8.5178999999999991</v>
      </c>
      <c r="J197" s="81">
        <f>8.5135 * CHOOSE(CONTROL!$C$32, $C$9, 100%, $E$9)</f>
        <v>8.5135000000000005</v>
      </c>
      <c r="K197" s="81">
        <f>8.5179 * CHOOSE(CONTROL!$C$32, $C$9, 100%, $E$9)</f>
        <v>8.5178999999999991</v>
      </c>
      <c r="L197" s="81">
        <f>4.6563 * CHOOSE(CONTROL!$C$32, $C$9, 100%, $E$9)</f>
        <v>4.6562999999999999</v>
      </c>
      <c r="M197" s="81">
        <f>4.6607 * CHOOSE(CONTROL!$C$32, $C$9, 100%, $E$9)</f>
        <v>4.6607000000000003</v>
      </c>
      <c r="N197" s="81">
        <f>4.6563 * CHOOSE(CONTROL!$C$32, $C$9, 100%, $E$9)</f>
        <v>4.6562999999999999</v>
      </c>
      <c r="O197" s="81">
        <f>4.6607 * CHOOSE(CONTROL!$C$32, $C$9, 100%, $E$9)</f>
        <v>4.6607000000000003</v>
      </c>
    </row>
    <row r="198" spans="1:15" ht="15">
      <c r="A198" s="16">
        <v>47239</v>
      </c>
      <c r="B198" s="80">
        <f>3.8743 * CHOOSE(CONTROL!$C$32, $C$9, 100%, $E$9)</f>
        <v>3.8742999999999999</v>
      </c>
      <c r="C198" s="80">
        <f>3.8743 * CHOOSE(CONTROL!$C$32, $C$9, 100%, $E$9)</f>
        <v>3.8742999999999999</v>
      </c>
      <c r="D198" s="80">
        <f>3.8794 * CHOOSE(CONTROL!$C$32, $C$9, 100%, $E$9)</f>
        <v>3.8794</v>
      </c>
      <c r="E198" s="81">
        <f>4.6797 * CHOOSE(CONTROL!$C$32, $C$9, 100%, $E$9)</f>
        <v>4.6797000000000004</v>
      </c>
      <c r="F198" s="81">
        <f>4.6797 * CHOOSE(CONTROL!$C$32, $C$9, 100%, $E$9)</f>
        <v>4.6797000000000004</v>
      </c>
      <c r="G198" s="81">
        <f>4.686 * CHOOSE(CONTROL!$C$32, $C$9, 100%, $E$9)</f>
        <v>4.6859999999999999</v>
      </c>
      <c r="H198" s="81">
        <f>8.5312 * CHOOSE(CONTROL!$C$32, $C$9, 100%, $E$9)</f>
        <v>8.5312000000000001</v>
      </c>
      <c r="I198" s="81">
        <f>8.5376 * CHOOSE(CONTROL!$C$32, $C$9, 100%, $E$9)</f>
        <v>8.5375999999999994</v>
      </c>
      <c r="J198" s="81">
        <f>8.5312 * CHOOSE(CONTROL!$C$32, $C$9, 100%, $E$9)</f>
        <v>8.5312000000000001</v>
      </c>
      <c r="K198" s="81">
        <f>8.5376 * CHOOSE(CONTROL!$C$32, $C$9, 100%, $E$9)</f>
        <v>8.5375999999999994</v>
      </c>
      <c r="L198" s="81">
        <f>4.6797 * CHOOSE(CONTROL!$C$32, $C$9, 100%, $E$9)</f>
        <v>4.6797000000000004</v>
      </c>
      <c r="M198" s="81">
        <f>4.686 * CHOOSE(CONTROL!$C$32, $C$9, 100%, $E$9)</f>
        <v>4.6859999999999999</v>
      </c>
      <c r="N198" s="81">
        <f>4.6797 * CHOOSE(CONTROL!$C$32, $C$9, 100%, $E$9)</f>
        <v>4.6797000000000004</v>
      </c>
      <c r="O198" s="81">
        <f>4.686 * CHOOSE(CONTROL!$C$32, $C$9, 100%, $E$9)</f>
        <v>4.6859999999999999</v>
      </c>
    </row>
    <row r="199" spans="1:15" ht="15">
      <c r="A199" s="16">
        <v>47270</v>
      </c>
      <c r="B199" s="80">
        <f>3.8803 * CHOOSE(CONTROL!$C$32, $C$9, 100%, $E$9)</f>
        <v>3.8803000000000001</v>
      </c>
      <c r="C199" s="80">
        <f>3.8803 * CHOOSE(CONTROL!$C$32, $C$9, 100%, $E$9)</f>
        <v>3.8803000000000001</v>
      </c>
      <c r="D199" s="80">
        <f>3.8855 * CHOOSE(CONTROL!$C$32, $C$9, 100%, $E$9)</f>
        <v>3.8855</v>
      </c>
      <c r="E199" s="81">
        <f>4.6606 * CHOOSE(CONTROL!$C$32, $C$9, 100%, $E$9)</f>
        <v>4.6605999999999996</v>
      </c>
      <c r="F199" s="81">
        <f>4.6606 * CHOOSE(CONTROL!$C$32, $C$9, 100%, $E$9)</f>
        <v>4.6605999999999996</v>
      </c>
      <c r="G199" s="81">
        <f>4.6669 * CHOOSE(CONTROL!$C$32, $C$9, 100%, $E$9)</f>
        <v>4.6669</v>
      </c>
      <c r="H199" s="81">
        <f>8.549 * CHOOSE(CONTROL!$C$32, $C$9, 100%, $E$9)</f>
        <v>8.5489999999999995</v>
      </c>
      <c r="I199" s="81">
        <f>8.5553 * CHOOSE(CONTROL!$C$32, $C$9, 100%, $E$9)</f>
        <v>8.5553000000000008</v>
      </c>
      <c r="J199" s="81">
        <f>8.549 * CHOOSE(CONTROL!$C$32, $C$9, 100%, $E$9)</f>
        <v>8.5489999999999995</v>
      </c>
      <c r="K199" s="81">
        <f>8.5553 * CHOOSE(CONTROL!$C$32, $C$9, 100%, $E$9)</f>
        <v>8.5553000000000008</v>
      </c>
      <c r="L199" s="81">
        <f>4.6606 * CHOOSE(CONTROL!$C$32, $C$9, 100%, $E$9)</f>
        <v>4.6605999999999996</v>
      </c>
      <c r="M199" s="81">
        <f>4.6669 * CHOOSE(CONTROL!$C$32, $C$9, 100%, $E$9)</f>
        <v>4.6669</v>
      </c>
      <c r="N199" s="81">
        <f>4.6606 * CHOOSE(CONTROL!$C$32, $C$9, 100%, $E$9)</f>
        <v>4.6605999999999996</v>
      </c>
      <c r="O199" s="81">
        <f>4.6669 * CHOOSE(CONTROL!$C$32, $C$9, 100%, $E$9)</f>
        <v>4.6669</v>
      </c>
    </row>
    <row r="200" spans="1:15" ht="15">
      <c r="A200" s="16">
        <v>47300</v>
      </c>
      <c r="B200" s="80">
        <f>3.9341 * CHOOSE(CONTROL!$C$32, $C$9, 100%, $E$9)</f>
        <v>3.9340999999999999</v>
      </c>
      <c r="C200" s="80">
        <f>3.9341 * CHOOSE(CONTROL!$C$32, $C$9, 100%, $E$9)</f>
        <v>3.9340999999999999</v>
      </c>
      <c r="D200" s="80">
        <f>3.9392 * CHOOSE(CONTROL!$C$32, $C$9, 100%, $E$9)</f>
        <v>3.9392</v>
      </c>
      <c r="E200" s="81">
        <f>4.7415 * CHOOSE(CONTROL!$C$32, $C$9, 100%, $E$9)</f>
        <v>4.7415000000000003</v>
      </c>
      <c r="F200" s="81">
        <f>4.7415 * CHOOSE(CONTROL!$C$32, $C$9, 100%, $E$9)</f>
        <v>4.7415000000000003</v>
      </c>
      <c r="G200" s="81">
        <f>4.7478 * CHOOSE(CONTROL!$C$32, $C$9, 100%, $E$9)</f>
        <v>4.7477999999999998</v>
      </c>
      <c r="H200" s="81">
        <f>8.5668 * CHOOSE(CONTROL!$C$32, $C$9, 100%, $E$9)</f>
        <v>8.5668000000000006</v>
      </c>
      <c r="I200" s="81">
        <f>8.5731 * CHOOSE(CONTROL!$C$32, $C$9, 100%, $E$9)</f>
        <v>8.5731000000000002</v>
      </c>
      <c r="J200" s="81">
        <f>8.5668 * CHOOSE(CONTROL!$C$32, $C$9, 100%, $E$9)</f>
        <v>8.5668000000000006</v>
      </c>
      <c r="K200" s="81">
        <f>8.5731 * CHOOSE(CONTROL!$C$32, $C$9, 100%, $E$9)</f>
        <v>8.5731000000000002</v>
      </c>
      <c r="L200" s="81">
        <f>4.7415 * CHOOSE(CONTROL!$C$32, $C$9, 100%, $E$9)</f>
        <v>4.7415000000000003</v>
      </c>
      <c r="M200" s="81">
        <f>4.7478 * CHOOSE(CONTROL!$C$32, $C$9, 100%, $E$9)</f>
        <v>4.7477999999999998</v>
      </c>
      <c r="N200" s="81">
        <f>4.7415 * CHOOSE(CONTROL!$C$32, $C$9, 100%, $E$9)</f>
        <v>4.7415000000000003</v>
      </c>
      <c r="O200" s="81">
        <f>4.7478 * CHOOSE(CONTROL!$C$32, $C$9, 100%, $E$9)</f>
        <v>4.7477999999999998</v>
      </c>
    </row>
    <row r="201" spans="1:15" ht="15">
      <c r="A201" s="16">
        <v>47331</v>
      </c>
      <c r="B201" s="80">
        <f>3.9407 * CHOOSE(CONTROL!$C$32, $C$9, 100%, $E$9)</f>
        <v>3.9407000000000001</v>
      </c>
      <c r="C201" s="80">
        <f>3.9407 * CHOOSE(CONTROL!$C$32, $C$9, 100%, $E$9)</f>
        <v>3.9407000000000001</v>
      </c>
      <c r="D201" s="80">
        <f>3.9459 * CHOOSE(CONTROL!$C$32, $C$9, 100%, $E$9)</f>
        <v>3.9459</v>
      </c>
      <c r="E201" s="81">
        <f>4.676 * CHOOSE(CONTROL!$C$32, $C$9, 100%, $E$9)</f>
        <v>4.6760000000000002</v>
      </c>
      <c r="F201" s="81">
        <f>4.676 * CHOOSE(CONTROL!$C$32, $C$9, 100%, $E$9)</f>
        <v>4.6760000000000002</v>
      </c>
      <c r="G201" s="81">
        <f>4.6823 * CHOOSE(CONTROL!$C$32, $C$9, 100%, $E$9)</f>
        <v>4.6822999999999997</v>
      </c>
      <c r="H201" s="81">
        <f>8.5847 * CHOOSE(CONTROL!$C$32, $C$9, 100%, $E$9)</f>
        <v>8.5846999999999998</v>
      </c>
      <c r="I201" s="81">
        <f>8.591 * CHOOSE(CONTROL!$C$32, $C$9, 100%, $E$9)</f>
        <v>8.5909999999999993</v>
      </c>
      <c r="J201" s="81">
        <f>8.5847 * CHOOSE(CONTROL!$C$32, $C$9, 100%, $E$9)</f>
        <v>8.5846999999999998</v>
      </c>
      <c r="K201" s="81">
        <f>8.591 * CHOOSE(CONTROL!$C$32, $C$9, 100%, $E$9)</f>
        <v>8.5909999999999993</v>
      </c>
      <c r="L201" s="81">
        <f>4.676 * CHOOSE(CONTROL!$C$32, $C$9, 100%, $E$9)</f>
        <v>4.6760000000000002</v>
      </c>
      <c r="M201" s="81">
        <f>4.6823 * CHOOSE(CONTROL!$C$32, $C$9, 100%, $E$9)</f>
        <v>4.6822999999999997</v>
      </c>
      <c r="N201" s="81">
        <f>4.676 * CHOOSE(CONTROL!$C$32, $C$9, 100%, $E$9)</f>
        <v>4.6760000000000002</v>
      </c>
      <c r="O201" s="81">
        <f>4.6823 * CHOOSE(CONTROL!$C$32, $C$9, 100%, $E$9)</f>
        <v>4.6822999999999997</v>
      </c>
    </row>
    <row r="202" spans="1:15" ht="15">
      <c r="A202" s="16">
        <v>47362</v>
      </c>
      <c r="B202" s="80">
        <f>3.9377 * CHOOSE(CONTROL!$C$32, $C$9, 100%, $E$9)</f>
        <v>3.9377</v>
      </c>
      <c r="C202" s="80">
        <f>3.9377 * CHOOSE(CONTROL!$C$32, $C$9, 100%, $E$9)</f>
        <v>3.9377</v>
      </c>
      <c r="D202" s="80">
        <f>3.9429 * CHOOSE(CONTROL!$C$32, $C$9, 100%, $E$9)</f>
        <v>3.9428999999999998</v>
      </c>
      <c r="E202" s="81">
        <f>4.6661 * CHOOSE(CONTROL!$C$32, $C$9, 100%, $E$9)</f>
        <v>4.6661000000000001</v>
      </c>
      <c r="F202" s="81">
        <f>4.6661 * CHOOSE(CONTROL!$C$32, $C$9, 100%, $E$9)</f>
        <v>4.6661000000000001</v>
      </c>
      <c r="G202" s="81">
        <f>4.6724 * CHOOSE(CONTROL!$C$32, $C$9, 100%, $E$9)</f>
        <v>4.6723999999999997</v>
      </c>
      <c r="H202" s="81">
        <f>8.6026 * CHOOSE(CONTROL!$C$32, $C$9, 100%, $E$9)</f>
        <v>8.6026000000000007</v>
      </c>
      <c r="I202" s="81">
        <f>8.6089 * CHOOSE(CONTROL!$C$32, $C$9, 100%, $E$9)</f>
        <v>8.6089000000000002</v>
      </c>
      <c r="J202" s="81">
        <f>8.6026 * CHOOSE(CONTROL!$C$32, $C$9, 100%, $E$9)</f>
        <v>8.6026000000000007</v>
      </c>
      <c r="K202" s="81">
        <f>8.6089 * CHOOSE(CONTROL!$C$32, $C$9, 100%, $E$9)</f>
        <v>8.6089000000000002</v>
      </c>
      <c r="L202" s="81">
        <f>4.6661 * CHOOSE(CONTROL!$C$32, $C$9, 100%, $E$9)</f>
        <v>4.6661000000000001</v>
      </c>
      <c r="M202" s="81">
        <f>4.6724 * CHOOSE(CONTROL!$C$32, $C$9, 100%, $E$9)</f>
        <v>4.6723999999999997</v>
      </c>
      <c r="N202" s="81">
        <f>4.6661 * CHOOSE(CONTROL!$C$32, $C$9, 100%, $E$9)</f>
        <v>4.6661000000000001</v>
      </c>
      <c r="O202" s="81">
        <f>4.6724 * CHOOSE(CONTROL!$C$32, $C$9, 100%, $E$9)</f>
        <v>4.6723999999999997</v>
      </c>
    </row>
    <row r="203" spans="1:15" ht="15">
      <c r="A203" s="16">
        <v>47392</v>
      </c>
      <c r="B203" s="80">
        <f>3.9325 * CHOOSE(CONTROL!$C$32, $C$9, 100%, $E$9)</f>
        <v>3.9325000000000001</v>
      </c>
      <c r="C203" s="80">
        <f>3.9325 * CHOOSE(CONTROL!$C$32, $C$9, 100%, $E$9)</f>
        <v>3.9325000000000001</v>
      </c>
      <c r="D203" s="80">
        <f>3.936 * CHOOSE(CONTROL!$C$32, $C$9, 100%, $E$9)</f>
        <v>3.9359999999999999</v>
      </c>
      <c r="E203" s="81">
        <f>4.6838 * CHOOSE(CONTROL!$C$32, $C$9, 100%, $E$9)</f>
        <v>4.6837999999999997</v>
      </c>
      <c r="F203" s="81">
        <f>4.6838 * CHOOSE(CONTROL!$C$32, $C$9, 100%, $E$9)</f>
        <v>4.6837999999999997</v>
      </c>
      <c r="G203" s="81">
        <f>4.6882 * CHOOSE(CONTROL!$C$32, $C$9, 100%, $E$9)</f>
        <v>4.6882000000000001</v>
      </c>
      <c r="H203" s="81">
        <f>8.6205 * CHOOSE(CONTROL!$C$32, $C$9, 100%, $E$9)</f>
        <v>8.6204999999999998</v>
      </c>
      <c r="I203" s="81">
        <f>8.6248 * CHOOSE(CONTROL!$C$32, $C$9, 100%, $E$9)</f>
        <v>8.6248000000000005</v>
      </c>
      <c r="J203" s="81">
        <f>8.6205 * CHOOSE(CONTROL!$C$32, $C$9, 100%, $E$9)</f>
        <v>8.6204999999999998</v>
      </c>
      <c r="K203" s="81">
        <f>8.6248 * CHOOSE(CONTROL!$C$32, $C$9, 100%, $E$9)</f>
        <v>8.6248000000000005</v>
      </c>
      <c r="L203" s="81">
        <f>4.6838 * CHOOSE(CONTROL!$C$32, $C$9, 100%, $E$9)</f>
        <v>4.6837999999999997</v>
      </c>
      <c r="M203" s="81">
        <f>4.6882 * CHOOSE(CONTROL!$C$32, $C$9, 100%, $E$9)</f>
        <v>4.6882000000000001</v>
      </c>
      <c r="N203" s="81">
        <f>4.6838 * CHOOSE(CONTROL!$C$32, $C$9, 100%, $E$9)</f>
        <v>4.6837999999999997</v>
      </c>
      <c r="O203" s="81">
        <f>4.6882 * CHOOSE(CONTROL!$C$32, $C$9, 100%, $E$9)</f>
        <v>4.6882000000000001</v>
      </c>
    </row>
    <row r="204" spans="1:15" ht="15">
      <c r="A204" s="16">
        <v>47423</v>
      </c>
      <c r="B204" s="80">
        <f>3.9355 * CHOOSE(CONTROL!$C$32, $C$9, 100%, $E$9)</f>
        <v>3.9355000000000002</v>
      </c>
      <c r="C204" s="80">
        <f>3.9355 * CHOOSE(CONTROL!$C$32, $C$9, 100%, $E$9)</f>
        <v>3.9355000000000002</v>
      </c>
      <c r="D204" s="80">
        <f>3.9391 * CHOOSE(CONTROL!$C$32, $C$9, 100%, $E$9)</f>
        <v>3.9390999999999998</v>
      </c>
      <c r="E204" s="81">
        <f>4.7015 * CHOOSE(CONTROL!$C$32, $C$9, 100%, $E$9)</f>
        <v>4.7015000000000002</v>
      </c>
      <c r="F204" s="81">
        <f>4.7015 * CHOOSE(CONTROL!$C$32, $C$9, 100%, $E$9)</f>
        <v>4.7015000000000002</v>
      </c>
      <c r="G204" s="81">
        <f>4.7059 * CHOOSE(CONTROL!$C$32, $C$9, 100%, $E$9)</f>
        <v>4.7058999999999997</v>
      </c>
      <c r="H204" s="81">
        <f>8.6384 * CHOOSE(CONTROL!$C$32, $C$9, 100%, $E$9)</f>
        <v>8.6384000000000007</v>
      </c>
      <c r="I204" s="81">
        <f>8.6428 * CHOOSE(CONTROL!$C$32, $C$9, 100%, $E$9)</f>
        <v>8.6427999999999994</v>
      </c>
      <c r="J204" s="81">
        <f>8.6384 * CHOOSE(CONTROL!$C$32, $C$9, 100%, $E$9)</f>
        <v>8.6384000000000007</v>
      </c>
      <c r="K204" s="81">
        <f>8.6428 * CHOOSE(CONTROL!$C$32, $C$9, 100%, $E$9)</f>
        <v>8.6427999999999994</v>
      </c>
      <c r="L204" s="81">
        <f>4.7015 * CHOOSE(CONTROL!$C$32, $C$9, 100%, $E$9)</f>
        <v>4.7015000000000002</v>
      </c>
      <c r="M204" s="81">
        <f>4.7059 * CHOOSE(CONTROL!$C$32, $C$9, 100%, $E$9)</f>
        <v>4.7058999999999997</v>
      </c>
      <c r="N204" s="81">
        <f>4.7015 * CHOOSE(CONTROL!$C$32, $C$9, 100%, $E$9)</f>
        <v>4.7015000000000002</v>
      </c>
      <c r="O204" s="81">
        <f>4.7059 * CHOOSE(CONTROL!$C$32, $C$9, 100%, $E$9)</f>
        <v>4.7058999999999997</v>
      </c>
    </row>
    <row r="205" spans="1:15" ht="15">
      <c r="A205" s="16">
        <v>47453</v>
      </c>
      <c r="B205" s="80">
        <f>3.9355 * CHOOSE(CONTROL!$C$32, $C$9, 100%, $E$9)</f>
        <v>3.9355000000000002</v>
      </c>
      <c r="C205" s="80">
        <f>3.9355 * CHOOSE(CONTROL!$C$32, $C$9, 100%, $E$9)</f>
        <v>3.9355000000000002</v>
      </c>
      <c r="D205" s="80">
        <f>3.9391 * CHOOSE(CONTROL!$C$32, $C$9, 100%, $E$9)</f>
        <v>3.9390999999999998</v>
      </c>
      <c r="E205" s="81">
        <f>4.6626 * CHOOSE(CONTROL!$C$32, $C$9, 100%, $E$9)</f>
        <v>4.6626000000000003</v>
      </c>
      <c r="F205" s="81">
        <f>4.6626 * CHOOSE(CONTROL!$C$32, $C$9, 100%, $E$9)</f>
        <v>4.6626000000000003</v>
      </c>
      <c r="G205" s="81">
        <f>4.667 * CHOOSE(CONTROL!$C$32, $C$9, 100%, $E$9)</f>
        <v>4.6669999999999998</v>
      </c>
      <c r="H205" s="81">
        <f>8.6564 * CHOOSE(CONTROL!$C$32, $C$9, 100%, $E$9)</f>
        <v>8.6563999999999997</v>
      </c>
      <c r="I205" s="81">
        <f>8.6608 * CHOOSE(CONTROL!$C$32, $C$9, 100%, $E$9)</f>
        <v>8.6608000000000001</v>
      </c>
      <c r="J205" s="81">
        <f>8.6564 * CHOOSE(CONTROL!$C$32, $C$9, 100%, $E$9)</f>
        <v>8.6563999999999997</v>
      </c>
      <c r="K205" s="81">
        <f>8.6608 * CHOOSE(CONTROL!$C$32, $C$9, 100%, $E$9)</f>
        <v>8.6608000000000001</v>
      </c>
      <c r="L205" s="81">
        <f>4.6626 * CHOOSE(CONTROL!$C$32, $C$9, 100%, $E$9)</f>
        <v>4.6626000000000003</v>
      </c>
      <c r="M205" s="81">
        <f>4.667 * CHOOSE(CONTROL!$C$32, $C$9, 100%, $E$9)</f>
        <v>4.6669999999999998</v>
      </c>
      <c r="N205" s="81">
        <f>4.6626 * CHOOSE(CONTROL!$C$32, $C$9, 100%, $E$9)</f>
        <v>4.6626000000000003</v>
      </c>
      <c r="O205" s="81">
        <f>4.667 * CHOOSE(CONTROL!$C$32, $C$9, 100%, $E$9)</f>
        <v>4.6669999999999998</v>
      </c>
    </row>
    <row r="206" spans="1:15" ht="15">
      <c r="A206" s="16">
        <v>47484</v>
      </c>
      <c r="B206" s="80">
        <f>3.9695 * CHOOSE(CONTROL!$C$32, $C$9, 100%, $E$9)</f>
        <v>3.9695</v>
      </c>
      <c r="C206" s="80">
        <f>3.9695 * CHOOSE(CONTROL!$C$32, $C$9, 100%, $E$9)</f>
        <v>3.9695</v>
      </c>
      <c r="D206" s="80">
        <f>3.973 * CHOOSE(CONTROL!$C$32, $C$9, 100%, $E$9)</f>
        <v>3.9729999999999999</v>
      </c>
      <c r="E206" s="81">
        <f>4.7284 * CHOOSE(CONTROL!$C$32, $C$9, 100%, $E$9)</f>
        <v>4.7283999999999997</v>
      </c>
      <c r="F206" s="81">
        <f>4.7284 * CHOOSE(CONTROL!$C$32, $C$9, 100%, $E$9)</f>
        <v>4.7283999999999997</v>
      </c>
      <c r="G206" s="81">
        <f>4.7328 * CHOOSE(CONTROL!$C$32, $C$9, 100%, $E$9)</f>
        <v>4.7328000000000001</v>
      </c>
      <c r="H206" s="81">
        <f>8.6745 * CHOOSE(CONTROL!$C$32, $C$9, 100%, $E$9)</f>
        <v>8.6745000000000001</v>
      </c>
      <c r="I206" s="81">
        <f>8.6788 * CHOOSE(CONTROL!$C$32, $C$9, 100%, $E$9)</f>
        <v>8.6788000000000007</v>
      </c>
      <c r="J206" s="81">
        <f>8.6745 * CHOOSE(CONTROL!$C$32, $C$9, 100%, $E$9)</f>
        <v>8.6745000000000001</v>
      </c>
      <c r="K206" s="81">
        <f>8.6788 * CHOOSE(CONTROL!$C$32, $C$9, 100%, $E$9)</f>
        <v>8.6788000000000007</v>
      </c>
      <c r="L206" s="81">
        <f>4.7284 * CHOOSE(CONTROL!$C$32, $C$9, 100%, $E$9)</f>
        <v>4.7283999999999997</v>
      </c>
      <c r="M206" s="81">
        <f>4.7328 * CHOOSE(CONTROL!$C$32, $C$9, 100%, $E$9)</f>
        <v>4.7328000000000001</v>
      </c>
      <c r="N206" s="81">
        <f>4.7284 * CHOOSE(CONTROL!$C$32, $C$9, 100%, $E$9)</f>
        <v>4.7283999999999997</v>
      </c>
      <c r="O206" s="81">
        <f>4.7328 * CHOOSE(CONTROL!$C$32, $C$9, 100%, $E$9)</f>
        <v>4.7328000000000001</v>
      </c>
    </row>
    <row r="207" spans="1:15" ht="15">
      <c r="A207" s="16">
        <v>47515</v>
      </c>
      <c r="B207" s="80">
        <f>3.9664 * CHOOSE(CONTROL!$C$32, $C$9, 100%, $E$9)</f>
        <v>3.9664000000000001</v>
      </c>
      <c r="C207" s="80">
        <f>3.9664 * CHOOSE(CONTROL!$C$32, $C$9, 100%, $E$9)</f>
        <v>3.9664000000000001</v>
      </c>
      <c r="D207" s="80">
        <f>3.97 * CHOOSE(CONTROL!$C$32, $C$9, 100%, $E$9)</f>
        <v>3.97</v>
      </c>
      <c r="E207" s="81">
        <f>4.6508 * CHOOSE(CONTROL!$C$32, $C$9, 100%, $E$9)</f>
        <v>4.6508000000000003</v>
      </c>
      <c r="F207" s="81">
        <f>4.6508 * CHOOSE(CONTROL!$C$32, $C$9, 100%, $E$9)</f>
        <v>4.6508000000000003</v>
      </c>
      <c r="G207" s="81">
        <f>4.6552 * CHOOSE(CONTROL!$C$32, $C$9, 100%, $E$9)</f>
        <v>4.6551999999999998</v>
      </c>
      <c r="H207" s="81">
        <f>8.6925 * CHOOSE(CONTROL!$C$32, $C$9, 100%, $E$9)</f>
        <v>8.6925000000000008</v>
      </c>
      <c r="I207" s="81">
        <f>8.6969 * CHOOSE(CONTROL!$C$32, $C$9, 100%, $E$9)</f>
        <v>8.6968999999999994</v>
      </c>
      <c r="J207" s="81">
        <f>8.6925 * CHOOSE(CONTROL!$C$32, $C$9, 100%, $E$9)</f>
        <v>8.6925000000000008</v>
      </c>
      <c r="K207" s="81">
        <f>8.6969 * CHOOSE(CONTROL!$C$32, $C$9, 100%, $E$9)</f>
        <v>8.6968999999999994</v>
      </c>
      <c r="L207" s="81">
        <f>4.6508 * CHOOSE(CONTROL!$C$32, $C$9, 100%, $E$9)</f>
        <v>4.6508000000000003</v>
      </c>
      <c r="M207" s="81">
        <f>4.6552 * CHOOSE(CONTROL!$C$32, $C$9, 100%, $E$9)</f>
        <v>4.6551999999999998</v>
      </c>
      <c r="N207" s="81">
        <f>4.6508 * CHOOSE(CONTROL!$C$32, $C$9, 100%, $E$9)</f>
        <v>4.6508000000000003</v>
      </c>
      <c r="O207" s="81">
        <f>4.6552 * CHOOSE(CONTROL!$C$32, $C$9, 100%, $E$9)</f>
        <v>4.6551999999999998</v>
      </c>
    </row>
    <row r="208" spans="1:15" ht="15">
      <c r="A208" s="16">
        <v>47543</v>
      </c>
      <c r="B208" s="80">
        <f>3.9634 * CHOOSE(CONTROL!$C$32, $C$9, 100%, $E$9)</f>
        <v>3.9634</v>
      </c>
      <c r="C208" s="80">
        <f>3.9634 * CHOOSE(CONTROL!$C$32, $C$9, 100%, $E$9)</f>
        <v>3.9634</v>
      </c>
      <c r="D208" s="80">
        <f>3.967 * CHOOSE(CONTROL!$C$32, $C$9, 100%, $E$9)</f>
        <v>3.9670000000000001</v>
      </c>
      <c r="E208" s="81">
        <f>4.7082 * CHOOSE(CONTROL!$C$32, $C$9, 100%, $E$9)</f>
        <v>4.7081999999999997</v>
      </c>
      <c r="F208" s="81">
        <f>4.7082 * CHOOSE(CONTROL!$C$32, $C$9, 100%, $E$9)</f>
        <v>4.7081999999999997</v>
      </c>
      <c r="G208" s="81">
        <f>4.7126 * CHOOSE(CONTROL!$C$32, $C$9, 100%, $E$9)</f>
        <v>4.7126000000000001</v>
      </c>
      <c r="H208" s="81">
        <f>8.7107 * CHOOSE(CONTROL!$C$32, $C$9, 100%, $E$9)</f>
        <v>8.7106999999999992</v>
      </c>
      <c r="I208" s="81">
        <f>8.715 * CHOOSE(CONTROL!$C$32, $C$9, 100%, $E$9)</f>
        <v>8.7149999999999999</v>
      </c>
      <c r="J208" s="81">
        <f>8.7107 * CHOOSE(CONTROL!$C$32, $C$9, 100%, $E$9)</f>
        <v>8.7106999999999992</v>
      </c>
      <c r="K208" s="81">
        <f>8.715 * CHOOSE(CONTROL!$C$32, $C$9, 100%, $E$9)</f>
        <v>8.7149999999999999</v>
      </c>
      <c r="L208" s="81">
        <f>4.7082 * CHOOSE(CONTROL!$C$32, $C$9, 100%, $E$9)</f>
        <v>4.7081999999999997</v>
      </c>
      <c r="M208" s="81">
        <f>4.7126 * CHOOSE(CONTROL!$C$32, $C$9, 100%, $E$9)</f>
        <v>4.7126000000000001</v>
      </c>
      <c r="N208" s="81">
        <f>4.7082 * CHOOSE(CONTROL!$C$32, $C$9, 100%, $E$9)</f>
        <v>4.7081999999999997</v>
      </c>
      <c r="O208" s="81">
        <f>4.7126 * CHOOSE(CONTROL!$C$32, $C$9, 100%, $E$9)</f>
        <v>4.7126000000000001</v>
      </c>
    </row>
    <row r="209" spans="1:15" ht="15">
      <c r="A209" s="16">
        <v>47574</v>
      </c>
      <c r="B209" s="80">
        <f>3.961 * CHOOSE(CONTROL!$C$32, $C$9, 100%, $E$9)</f>
        <v>3.9609999999999999</v>
      </c>
      <c r="C209" s="80">
        <f>3.961 * CHOOSE(CONTROL!$C$32, $C$9, 100%, $E$9)</f>
        <v>3.9609999999999999</v>
      </c>
      <c r="D209" s="80">
        <f>3.9646 * CHOOSE(CONTROL!$C$32, $C$9, 100%, $E$9)</f>
        <v>3.9645999999999999</v>
      </c>
      <c r="E209" s="81">
        <f>4.7679 * CHOOSE(CONTROL!$C$32, $C$9, 100%, $E$9)</f>
        <v>4.7679</v>
      </c>
      <c r="F209" s="81">
        <f>4.7679 * CHOOSE(CONTROL!$C$32, $C$9, 100%, $E$9)</f>
        <v>4.7679</v>
      </c>
      <c r="G209" s="81">
        <f>4.7722 * CHOOSE(CONTROL!$C$32, $C$9, 100%, $E$9)</f>
        <v>4.7721999999999998</v>
      </c>
      <c r="H209" s="81">
        <f>8.7288 * CHOOSE(CONTROL!$C$32, $C$9, 100%, $E$9)</f>
        <v>8.7287999999999997</v>
      </c>
      <c r="I209" s="81">
        <f>8.7332 * CHOOSE(CONTROL!$C$32, $C$9, 100%, $E$9)</f>
        <v>8.7332000000000001</v>
      </c>
      <c r="J209" s="81">
        <f>8.7288 * CHOOSE(CONTROL!$C$32, $C$9, 100%, $E$9)</f>
        <v>8.7287999999999997</v>
      </c>
      <c r="K209" s="81">
        <f>8.7332 * CHOOSE(CONTROL!$C$32, $C$9, 100%, $E$9)</f>
        <v>8.7332000000000001</v>
      </c>
      <c r="L209" s="81">
        <f>4.7679 * CHOOSE(CONTROL!$C$32, $C$9, 100%, $E$9)</f>
        <v>4.7679</v>
      </c>
      <c r="M209" s="81">
        <f>4.7722 * CHOOSE(CONTROL!$C$32, $C$9, 100%, $E$9)</f>
        <v>4.7721999999999998</v>
      </c>
      <c r="N209" s="81">
        <f>4.7679 * CHOOSE(CONTROL!$C$32, $C$9, 100%, $E$9)</f>
        <v>4.7679</v>
      </c>
      <c r="O209" s="81">
        <f>4.7722 * CHOOSE(CONTROL!$C$32, $C$9, 100%, $E$9)</f>
        <v>4.7721999999999998</v>
      </c>
    </row>
    <row r="210" spans="1:15" ht="15">
      <c r="A210" s="16">
        <v>47604</v>
      </c>
      <c r="B210" s="80">
        <f>3.961 * CHOOSE(CONTROL!$C$32, $C$9, 100%, $E$9)</f>
        <v>3.9609999999999999</v>
      </c>
      <c r="C210" s="80">
        <f>3.961 * CHOOSE(CONTROL!$C$32, $C$9, 100%, $E$9)</f>
        <v>3.9609999999999999</v>
      </c>
      <c r="D210" s="80">
        <f>3.9662 * CHOOSE(CONTROL!$C$32, $C$9, 100%, $E$9)</f>
        <v>3.9662000000000002</v>
      </c>
      <c r="E210" s="81">
        <f>4.7918 * CHOOSE(CONTROL!$C$32, $C$9, 100%, $E$9)</f>
        <v>4.7918000000000003</v>
      </c>
      <c r="F210" s="81">
        <f>4.7918 * CHOOSE(CONTROL!$C$32, $C$9, 100%, $E$9)</f>
        <v>4.7918000000000003</v>
      </c>
      <c r="G210" s="81">
        <f>4.7982 * CHOOSE(CONTROL!$C$32, $C$9, 100%, $E$9)</f>
        <v>4.7981999999999996</v>
      </c>
      <c r="H210" s="81">
        <f>8.747 * CHOOSE(CONTROL!$C$32, $C$9, 100%, $E$9)</f>
        <v>8.7469999999999999</v>
      </c>
      <c r="I210" s="81">
        <f>8.7533 * CHOOSE(CONTROL!$C$32, $C$9, 100%, $E$9)</f>
        <v>8.7532999999999994</v>
      </c>
      <c r="J210" s="81">
        <f>8.747 * CHOOSE(CONTROL!$C$32, $C$9, 100%, $E$9)</f>
        <v>8.7469999999999999</v>
      </c>
      <c r="K210" s="81">
        <f>8.7533 * CHOOSE(CONTROL!$C$32, $C$9, 100%, $E$9)</f>
        <v>8.7532999999999994</v>
      </c>
      <c r="L210" s="81">
        <f>4.7918 * CHOOSE(CONTROL!$C$32, $C$9, 100%, $E$9)</f>
        <v>4.7918000000000003</v>
      </c>
      <c r="M210" s="81">
        <f>4.7982 * CHOOSE(CONTROL!$C$32, $C$9, 100%, $E$9)</f>
        <v>4.7981999999999996</v>
      </c>
      <c r="N210" s="81">
        <f>4.7918 * CHOOSE(CONTROL!$C$32, $C$9, 100%, $E$9)</f>
        <v>4.7918000000000003</v>
      </c>
      <c r="O210" s="81">
        <f>4.7982 * CHOOSE(CONTROL!$C$32, $C$9, 100%, $E$9)</f>
        <v>4.7981999999999996</v>
      </c>
    </row>
    <row r="211" spans="1:15" ht="15">
      <c r="A211" s="16">
        <v>47635</v>
      </c>
      <c r="B211" s="80">
        <f>3.9671 * CHOOSE(CONTROL!$C$32, $C$9, 100%, $E$9)</f>
        <v>3.9670999999999998</v>
      </c>
      <c r="C211" s="80">
        <f>3.9671 * CHOOSE(CONTROL!$C$32, $C$9, 100%, $E$9)</f>
        <v>3.9670999999999998</v>
      </c>
      <c r="D211" s="80">
        <f>3.9723 * CHOOSE(CONTROL!$C$32, $C$9, 100%, $E$9)</f>
        <v>3.9723000000000002</v>
      </c>
      <c r="E211" s="81">
        <f>4.7721 * CHOOSE(CONTROL!$C$32, $C$9, 100%, $E$9)</f>
        <v>4.7721</v>
      </c>
      <c r="F211" s="81">
        <f>4.7721 * CHOOSE(CONTROL!$C$32, $C$9, 100%, $E$9)</f>
        <v>4.7721</v>
      </c>
      <c r="G211" s="81">
        <f>4.7784 * CHOOSE(CONTROL!$C$32, $C$9, 100%, $E$9)</f>
        <v>4.7784000000000004</v>
      </c>
      <c r="H211" s="81">
        <f>8.7652 * CHOOSE(CONTROL!$C$32, $C$9, 100%, $E$9)</f>
        <v>8.7652000000000001</v>
      </c>
      <c r="I211" s="81">
        <f>8.7715 * CHOOSE(CONTROL!$C$32, $C$9, 100%, $E$9)</f>
        <v>8.7714999999999996</v>
      </c>
      <c r="J211" s="81">
        <f>8.7652 * CHOOSE(CONTROL!$C$32, $C$9, 100%, $E$9)</f>
        <v>8.7652000000000001</v>
      </c>
      <c r="K211" s="81">
        <f>8.7715 * CHOOSE(CONTROL!$C$32, $C$9, 100%, $E$9)</f>
        <v>8.7714999999999996</v>
      </c>
      <c r="L211" s="81">
        <f>4.7721 * CHOOSE(CONTROL!$C$32, $C$9, 100%, $E$9)</f>
        <v>4.7721</v>
      </c>
      <c r="M211" s="81">
        <f>4.7784 * CHOOSE(CONTROL!$C$32, $C$9, 100%, $E$9)</f>
        <v>4.7784000000000004</v>
      </c>
      <c r="N211" s="81">
        <f>4.7721 * CHOOSE(CONTROL!$C$32, $C$9, 100%, $E$9)</f>
        <v>4.7721</v>
      </c>
      <c r="O211" s="81">
        <f>4.7784 * CHOOSE(CONTROL!$C$32, $C$9, 100%, $E$9)</f>
        <v>4.7784000000000004</v>
      </c>
    </row>
    <row r="212" spans="1:15" ht="15">
      <c r="A212" s="16">
        <v>47665</v>
      </c>
      <c r="B212" s="80">
        <f>4.0298 * CHOOSE(CONTROL!$C$32, $C$9, 100%, $E$9)</f>
        <v>4.0297999999999998</v>
      </c>
      <c r="C212" s="80">
        <f>4.0298 * CHOOSE(CONTROL!$C$32, $C$9, 100%, $E$9)</f>
        <v>4.0297999999999998</v>
      </c>
      <c r="D212" s="80">
        <f>4.0349 * CHOOSE(CONTROL!$C$32, $C$9, 100%, $E$9)</f>
        <v>4.0349000000000004</v>
      </c>
      <c r="E212" s="81">
        <f>4.8562 * CHOOSE(CONTROL!$C$32, $C$9, 100%, $E$9)</f>
        <v>4.8562000000000003</v>
      </c>
      <c r="F212" s="81">
        <f>4.8562 * CHOOSE(CONTROL!$C$32, $C$9, 100%, $E$9)</f>
        <v>4.8562000000000003</v>
      </c>
      <c r="G212" s="81">
        <f>4.8625 * CHOOSE(CONTROL!$C$32, $C$9, 100%, $E$9)</f>
        <v>4.8624999999999998</v>
      </c>
      <c r="H212" s="81">
        <f>8.7835 * CHOOSE(CONTROL!$C$32, $C$9, 100%, $E$9)</f>
        <v>8.7835000000000001</v>
      </c>
      <c r="I212" s="81">
        <f>8.7898 * CHOOSE(CONTROL!$C$32, $C$9, 100%, $E$9)</f>
        <v>8.7897999999999996</v>
      </c>
      <c r="J212" s="81">
        <f>8.7835 * CHOOSE(CONTROL!$C$32, $C$9, 100%, $E$9)</f>
        <v>8.7835000000000001</v>
      </c>
      <c r="K212" s="81">
        <f>8.7898 * CHOOSE(CONTROL!$C$32, $C$9, 100%, $E$9)</f>
        <v>8.7897999999999996</v>
      </c>
      <c r="L212" s="81">
        <f>4.8562 * CHOOSE(CONTROL!$C$32, $C$9, 100%, $E$9)</f>
        <v>4.8562000000000003</v>
      </c>
      <c r="M212" s="81">
        <f>4.8625 * CHOOSE(CONTROL!$C$32, $C$9, 100%, $E$9)</f>
        <v>4.8624999999999998</v>
      </c>
      <c r="N212" s="81">
        <f>4.8562 * CHOOSE(CONTROL!$C$32, $C$9, 100%, $E$9)</f>
        <v>4.8562000000000003</v>
      </c>
      <c r="O212" s="81">
        <f>4.8625 * CHOOSE(CONTROL!$C$32, $C$9, 100%, $E$9)</f>
        <v>4.8624999999999998</v>
      </c>
    </row>
    <row r="213" spans="1:15" ht="15">
      <c r="A213" s="16">
        <v>47696</v>
      </c>
      <c r="B213" s="80">
        <f>4.0365 * CHOOSE(CONTROL!$C$32, $C$9, 100%, $E$9)</f>
        <v>4.0365000000000002</v>
      </c>
      <c r="C213" s="80">
        <f>4.0365 * CHOOSE(CONTROL!$C$32, $C$9, 100%, $E$9)</f>
        <v>4.0365000000000002</v>
      </c>
      <c r="D213" s="80">
        <f>4.0416 * CHOOSE(CONTROL!$C$32, $C$9, 100%, $E$9)</f>
        <v>4.0415999999999999</v>
      </c>
      <c r="E213" s="81">
        <f>4.7889 * CHOOSE(CONTROL!$C$32, $C$9, 100%, $E$9)</f>
        <v>4.7888999999999999</v>
      </c>
      <c r="F213" s="81">
        <f>4.7889 * CHOOSE(CONTROL!$C$32, $C$9, 100%, $E$9)</f>
        <v>4.7888999999999999</v>
      </c>
      <c r="G213" s="81">
        <f>4.7953 * CHOOSE(CONTROL!$C$32, $C$9, 100%, $E$9)</f>
        <v>4.7953000000000001</v>
      </c>
      <c r="H213" s="81">
        <f>8.8018 * CHOOSE(CONTROL!$C$32, $C$9, 100%, $E$9)</f>
        <v>8.8018000000000001</v>
      </c>
      <c r="I213" s="81">
        <f>8.8081 * CHOOSE(CONTROL!$C$32, $C$9, 100%, $E$9)</f>
        <v>8.8080999999999996</v>
      </c>
      <c r="J213" s="81">
        <f>8.8018 * CHOOSE(CONTROL!$C$32, $C$9, 100%, $E$9)</f>
        <v>8.8018000000000001</v>
      </c>
      <c r="K213" s="81">
        <f>8.8081 * CHOOSE(CONTROL!$C$32, $C$9, 100%, $E$9)</f>
        <v>8.8080999999999996</v>
      </c>
      <c r="L213" s="81">
        <f>4.7889 * CHOOSE(CONTROL!$C$32, $C$9, 100%, $E$9)</f>
        <v>4.7888999999999999</v>
      </c>
      <c r="M213" s="81">
        <f>4.7953 * CHOOSE(CONTROL!$C$32, $C$9, 100%, $E$9)</f>
        <v>4.7953000000000001</v>
      </c>
      <c r="N213" s="81">
        <f>4.7889 * CHOOSE(CONTROL!$C$32, $C$9, 100%, $E$9)</f>
        <v>4.7888999999999999</v>
      </c>
      <c r="O213" s="81">
        <f>4.7953 * CHOOSE(CONTROL!$C$32, $C$9, 100%, $E$9)</f>
        <v>4.7953000000000001</v>
      </c>
    </row>
    <row r="214" spans="1:15" ht="15">
      <c r="A214" s="16">
        <v>47727</v>
      </c>
      <c r="B214" s="80">
        <f>4.0334 * CHOOSE(CONTROL!$C$32, $C$9, 100%, $E$9)</f>
        <v>4.0334000000000003</v>
      </c>
      <c r="C214" s="80">
        <f>4.0334 * CHOOSE(CONTROL!$C$32, $C$9, 100%, $E$9)</f>
        <v>4.0334000000000003</v>
      </c>
      <c r="D214" s="80">
        <f>4.0386 * CHOOSE(CONTROL!$C$32, $C$9, 100%, $E$9)</f>
        <v>4.0385999999999997</v>
      </c>
      <c r="E214" s="81">
        <f>4.7788 * CHOOSE(CONTROL!$C$32, $C$9, 100%, $E$9)</f>
        <v>4.7788000000000004</v>
      </c>
      <c r="F214" s="81">
        <f>4.7788 * CHOOSE(CONTROL!$C$32, $C$9, 100%, $E$9)</f>
        <v>4.7788000000000004</v>
      </c>
      <c r="G214" s="81">
        <f>4.7851 * CHOOSE(CONTROL!$C$32, $C$9, 100%, $E$9)</f>
        <v>4.7850999999999999</v>
      </c>
      <c r="H214" s="81">
        <f>8.8201 * CHOOSE(CONTROL!$C$32, $C$9, 100%, $E$9)</f>
        <v>8.8201000000000001</v>
      </c>
      <c r="I214" s="81">
        <f>8.8264 * CHOOSE(CONTROL!$C$32, $C$9, 100%, $E$9)</f>
        <v>8.8263999999999996</v>
      </c>
      <c r="J214" s="81">
        <f>8.8201 * CHOOSE(CONTROL!$C$32, $C$9, 100%, $E$9)</f>
        <v>8.8201000000000001</v>
      </c>
      <c r="K214" s="81">
        <f>8.8264 * CHOOSE(CONTROL!$C$32, $C$9, 100%, $E$9)</f>
        <v>8.8263999999999996</v>
      </c>
      <c r="L214" s="81">
        <f>4.7788 * CHOOSE(CONTROL!$C$32, $C$9, 100%, $E$9)</f>
        <v>4.7788000000000004</v>
      </c>
      <c r="M214" s="81">
        <f>4.7851 * CHOOSE(CONTROL!$C$32, $C$9, 100%, $E$9)</f>
        <v>4.7850999999999999</v>
      </c>
      <c r="N214" s="81">
        <f>4.7788 * CHOOSE(CONTROL!$C$32, $C$9, 100%, $E$9)</f>
        <v>4.7788000000000004</v>
      </c>
      <c r="O214" s="81">
        <f>4.7851 * CHOOSE(CONTROL!$C$32, $C$9, 100%, $E$9)</f>
        <v>4.7850999999999999</v>
      </c>
    </row>
    <row r="215" spans="1:15" ht="15">
      <c r="A215" s="16">
        <v>47757</v>
      </c>
      <c r="B215" s="80">
        <f>4.0286 * CHOOSE(CONTROL!$C$32, $C$9, 100%, $E$9)</f>
        <v>4.0286</v>
      </c>
      <c r="C215" s="80">
        <f>4.0286 * CHOOSE(CONTROL!$C$32, $C$9, 100%, $E$9)</f>
        <v>4.0286</v>
      </c>
      <c r="D215" s="80">
        <f>4.0321 * CHOOSE(CONTROL!$C$32, $C$9, 100%, $E$9)</f>
        <v>4.0320999999999998</v>
      </c>
      <c r="E215" s="81">
        <f>4.7974 * CHOOSE(CONTROL!$C$32, $C$9, 100%, $E$9)</f>
        <v>4.7973999999999997</v>
      </c>
      <c r="F215" s="81">
        <f>4.7974 * CHOOSE(CONTROL!$C$32, $C$9, 100%, $E$9)</f>
        <v>4.7973999999999997</v>
      </c>
      <c r="G215" s="81">
        <f>4.8017 * CHOOSE(CONTROL!$C$32, $C$9, 100%, $E$9)</f>
        <v>4.8017000000000003</v>
      </c>
      <c r="H215" s="81">
        <f>8.8385 * CHOOSE(CONTROL!$C$32, $C$9, 100%, $E$9)</f>
        <v>8.8384999999999998</v>
      </c>
      <c r="I215" s="81">
        <f>8.8428 * CHOOSE(CONTROL!$C$32, $C$9, 100%, $E$9)</f>
        <v>8.8428000000000004</v>
      </c>
      <c r="J215" s="81">
        <f>8.8385 * CHOOSE(CONTROL!$C$32, $C$9, 100%, $E$9)</f>
        <v>8.8384999999999998</v>
      </c>
      <c r="K215" s="81">
        <f>8.8428 * CHOOSE(CONTROL!$C$32, $C$9, 100%, $E$9)</f>
        <v>8.8428000000000004</v>
      </c>
      <c r="L215" s="81">
        <f>4.7974 * CHOOSE(CONTROL!$C$32, $C$9, 100%, $E$9)</f>
        <v>4.7973999999999997</v>
      </c>
      <c r="M215" s="81">
        <f>4.8017 * CHOOSE(CONTROL!$C$32, $C$9, 100%, $E$9)</f>
        <v>4.8017000000000003</v>
      </c>
      <c r="N215" s="81">
        <f>4.7974 * CHOOSE(CONTROL!$C$32, $C$9, 100%, $E$9)</f>
        <v>4.7973999999999997</v>
      </c>
      <c r="O215" s="81">
        <f>4.8017 * CHOOSE(CONTROL!$C$32, $C$9, 100%, $E$9)</f>
        <v>4.8017000000000003</v>
      </c>
    </row>
    <row r="216" spans="1:15" ht="15">
      <c r="A216" s="16">
        <v>47788</v>
      </c>
      <c r="B216" s="80">
        <f>4.0316 * CHOOSE(CONTROL!$C$32, $C$9, 100%, $E$9)</f>
        <v>4.0316000000000001</v>
      </c>
      <c r="C216" s="80">
        <f>4.0316 * CHOOSE(CONTROL!$C$32, $C$9, 100%, $E$9)</f>
        <v>4.0316000000000001</v>
      </c>
      <c r="D216" s="80">
        <f>4.0351 * CHOOSE(CONTROL!$C$32, $C$9, 100%, $E$9)</f>
        <v>4.0350999999999999</v>
      </c>
      <c r="E216" s="81">
        <f>4.8155 * CHOOSE(CONTROL!$C$32, $C$9, 100%, $E$9)</f>
        <v>4.8155000000000001</v>
      </c>
      <c r="F216" s="81">
        <f>4.8155 * CHOOSE(CONTROL!$C$32, $C$9, 100%, $E$9)</f>
        <v>4.8155000000000001</v>
      </c>
      <c r="G216" s="81">
        <f>4.8198 * CHOOSE(CONTROL!$C$32, $C$9, 100%, $E$9)</f>
        <v>4.8197999999999999</v>
      </c>
      <c r="H216" s="81">
        <f>8.8569 * CHOOSE(CONTROL!$C$32, $C$9, 100%, $E$9)</f>
        <v>8.8568999999999996</v>
      </c>
      <c r="I216" s="81">
        <f>8.8613 * CHOOSE(CONTROL!$C$32, $C$9, 100%, $E$9)</f>
        <v>8.8613</v>
      </c>
      <c r="J216" s="81">
        <f>8.8569 * CHOOSE(CONTROL!$C$32, $C$9, 100%, $E$9)</f>
        <v>8.8568999999999996</v>
      </c>
      <c r="K216" s="81">
        <f>8.8613 * CHOOSE(CONTROL!$C$32, $C$9, 100%, $E$9)</f>
        <v>8.8613</v>
      </c>
      <c r="L216" s="81">
        <f>4.8155 * CHOOSE(CONTROL!$C$32, $C$9, 100%, $E$9)</f>
        <v>4.8155000000000001</v>
      </c>
      <c r="M216" s="81">
        <f>4.8198 * CHOOSE(CONTROL!$C$32, $C$9, 100%, $E$9)</f>
        <v>4.8197999999999999</v>
      </c>
      <c r="N216" s="81">
        <f>4.8155 * CHOOSE(CONTROL!$C$32, $C$9, 100%, $E$9)</f>
        <v>4.8155000000000001</v>
      </c>
      <c r="O216" s="81">
        <f>4.8198 * CHOOSE(CONTROL!$C$32, $C$9, 100%, $E$9)</f>
        <v>4.8197999999999999</v>
      </c>
    </row>
    <row r="217" spans="1:15" ht="15">
      <c r="A217" s="16">
        <v>47818</v>
      </c>
      <c r="B217" s="80">
        <f>4.0316 * CHOOSE(CONTROL!$C$32, $C$9, 100%, $E$9)</f>
        <v>4.0316000000000001</v>
      </c>
      <c r="C217" s="80">
        <f>4.0316 * CHOOSE(CONTROL!$C$32, $C$9, 100%, $E$9)</f>
        <v>4.0316000000000001</v>
      </c>
      <c r="D217" s="80">
        <f>4.0351 * CHOOSE(CONTROL!$C$32, $C$9, 100%, $E$9)</f>
        <v>4.0350999999999999</v>
      </c>
      <c r="E217" s="81">
        <f>4.7755 * CHOOSE(CONTROL!$C$32, $C$9, 100%, $E$9)</f>
        <v>4.7755000000000001</v>
      </c>
      <c r="F217" s="81">
        <f>4.7755 * CHOOSE(CONTROL!$C$32, $C$9, 100%, $E$9)</f>
        <v>4.7755000000000001</v>
      </c>
      <c r="G217" s="81">
        <f>4.7799 * CHOOSE(CONTROL!$C$32, $C$9, 100%, $E$9)</f>
        <v>4.7798999999999996</v>
      </c>
      <c r="H217" s="81">
        <f>8.8753 * CHOOSE(CONTROL!$C$32, $C$9, 100%, $E$9)</f>
        <v>8.8752999999999993</v>
      </c>
      <c r="I217" s="81">
        <f>8.8797 * CHOOSE(CONTROL!$C$32, $C$9, 100%, $E$9)</f>
        <v>8.8796999999999997</v>
      </c>
      <c r="J217" s="81">
        <f>8.8753 * CHOOSE(CONTROL!$C$32, $C$9, 100%, $E$9)</f>
        <v>8.8752999999999993</v>
      </c>
      <c r="K217" s="81">
        <f>8.8797 * CHOOSE(CONTROL!$C$32, $C$9, 100%, $E$9)</f>
        <v>8.8796999999999997</v>
      </c>
      <c r="L217" s="81">
        <f>4.7755 * CHOOSE(CONTROL!$C$32, $C$9, 100%, $E$9)</f>
        <v>4.7755000000000001</v>
      </c>
      <c r="M217" s="81">
        <f>4.7799 * CHOOSE(CONTROL!$C$32, $C$9, 100%, $E$9)</f>
        <v>4.7798999999999996</v>
      </c>
      <c r="N217" s="81">
        <f>4.7755 * CHOOSE(CONTROL!$C$32, $C$9, 100%, $E$9)</f>
        <v>4.7755000000000001</v>
      </c>
      <c r="O217" s="81">
        <f>4.7799 * CHOOSE(CONTROL!$C$32, $C$9, 100%, $E$9)</f>
        <v>4.7798999999999996</v>
      </c>
    </row>
    <row r="218" spans="1:15" ht="15">
      <c r="A218" s="16">
        <v>47849</v>
      </c>
      <c r="B218" s="80">
        <f>4.065 * CHOOSE(CONTROL!$C$32, $C$9, 100%, $E$9)</f>
        <v>4.0650000000000004</v>
      </c>
      <c r="C218" s="80">
        <f>4.065 * CHOOSE(CONTROL!$C$32, $C$9, 100%, $E$9)</f>
        <v>4.0650000000000004</v>
      </c>
      <c r="D218" s="80">
        <f>4.0686 * CHOOSE(CONTROL!$C$32, $C$9, 100%, $E$9)</f>
        <v>4.0686</v>
      </c>
      <c r="E218" s="81">
        <f>4.8568 * CHOOSE(CONTROL!$C$32, $C$9, 100%, $E$9)</f>
        <v>4.8567999999999998</v>
      </c>
      <c r="F218" s="81">
        <f>4.8568 * CHOOSE(CONTROL!$C$32, $C$9, 100%, $E$9)</f>
        <v>4.8567999999999998</v>
      </c>
      <c r="G218" s="81">
        <f>4.8611 * CHOOSE(CONTROL!$C$32, $C$9, 100%, $E$9)</f>
        <v>4.8611000000000004</v>
      </c>
      <c r="H218" s="81">
        <f>8.8938 * CHOOSE(CONTROL!$C$32, $C$9, 100%, $E$9)</f>
        <v>8.8938000000000006</v>
      </c>
      <c r="I218" s="81">
        <f>8.8982 * CHOOSE(CONTROL!$C$32, $C$9, 100%, $E$9)</f>
        <v>8.8981999999999992</v>
      </c>
      <c r="J218" s="81">
        <f>8.8938 * CHOOSE(CONTROL!$C$32, $C$9, 100%, $E$9)</f>
        <v>8.8938000000000006</v>
      </c>
      <c r="K218" s="81">
        <f>8.8982 * CHOOSE(CONTROL!$C$32, $C$9, 100%, $E$9)</f>
        <v>8.8981999999999992</v>
      </c>
      <c r="L218" s="81">
        <f>4.8568 * CHOOSE(CONTROL!$C$32, $C$9, 100%, $E$9)</f>
        <v>4.8567999999999998</v>
      </c>
      <c r="M218" s="81">
        <f>4.8611 * CHOOSE(CONTROL!$C$32, $C$9, 100%, $E$9)</f>
        <v>4.8611000000000004</v>
      </c>
      <c r="N218" s="81">
        <f>4.8568 * CHOOSE(CONTROL!$C$32, $C$9, 100%, $E$9)</f>
        <v>4.8567999999999998</v>
      </c>
      <c r="O218" s="81">
        <f>4.8611 * CHOOSE(CONTROL!$C$32, $C$9, 100%, $E$9)</f>
        <v>4.8611000000000004</v>
      </c>
    </row>
    <row r="219" spans="1:15" ht="15">
      <c r="A219" s="16">
        <v>47880</v>
      </c>
      <c r="B219" s="80">
        <f>4.062 * CHOOSE(CONTROL!$C$32, $C$9, 100%, $E$9)</f>
        <v>4.0620000000000003</v>
      </c>
      <c r="C219" s="80">
        <f>4.062 * CHOOSE(CONTROL!$C$32, $C$9, 100%, $E$9)</f>
        <v>4.0620000000000003</v>
      </c>
      <c r="D219" s="80">
        <f>4.0655 * CHOOSE(CONTROL!$C$32, $C$9, 100%, $E$9)</f>
        <v>4.0655000000000001</v>
      </c>
      <c r="E219" s="81">
        <f>4.7772 * CHOOSE(CONTROL!$C$32, $C$9, 100%, $E$9)</f>
        <v>4.7771999999999997</v>
      </c>
      <c r="F219" s="81">
        <f>4.7772 * CHOOSE(CONTROL!$C$32, $C$9, 100%, $E$9)</f>
        <v>4.7771999999999997</v>
      </c>
      <c r="G219" s="81">
        <f>4.7816 * CHOOSE(CONTROL!$C$32, $C$9, 100%, $E$9)</f>
        <v>4.7816000000000001</v>
      </c>
      <c r="H219" s="81">
        <f>8.9124 * CHOOSE(CONTROL!$C$32, $C$9, 100%, $E$9)</f>
        <v>8.9123999999999999</v>
      </c>
      <c r="I219" s="81">
        <f>8.9167 * CHOOSE(CONTROL!$C$32, $C$9, 100%, $E$9)</f>
        <v>8.9167000000000005</v>
      </c>
      <c r="J219" s="81">
        <f>8.9124 * CHOOSE(CONTROL!$C$32, $C$9, 100%, $E$9)</f>
        <v>8.9123999999999999</v>
      </c>
      <c r="K219" s="81">
        <f>8.9167 * CHOOSE(CONTROL!$C$32, $C$9, 100%, $E$9)</f>
        <v>8.9167000000000005</v>
      </c>
      <c r="L219" s="81">
        <f>4.7772 * CHOOSE(CONTROL!$C$32, $C$9, 100%, $E$9)</f>
        <v>4.7771999999999997</v>
      </c>
      <c r="M219" s="81">
        <f>4.7816 * CHOOSE(CONTROL!$C$32, $C$9, 100%, $E$9)</f>
        <v>4.7816000000000001</v>
      </c>
      <c r="N219" s="81">
        <f>4.7772 * CHOOSE(CONTROL!$C$32, $C$9, 100%, $E$9)</f>
        <v>4.7771999999999997</v>
      </c>
      <c r="O219" s="81">
        <f>4.7816 * CHOOSE(CONTROL!$C$32, $C$9, 100%, $E$9)</f>
        <v>4.7816000000000001</v>
      </c>
    </row>
    <row r="220" spans="1:15" ht="15">
      <c r="A220" s="16">
        <v>47908</v>
      </c>
      <c r="B220" s="80">
        <f>4.059 * CHOOSE(CONTROL!$C$32, $C$9, 100%, $E$9)</f>
        <v>4.0590000000000002</v>
      </c>
      <c r="C220" s="80">
        <f>4.059 * CHOOSE(CONTROL!$C$32, $C$9, 100%, $E$9)</f>
        <v>4.0590000000000002</v>
      </c>
      <c r="D220" s="80">
        <f>4.0625 * CHOOSE(CONTROL!$C$32, $C$9, 100%, $E$9)</f>
        <v>4.0625</v>
      </c>
      <c r="E220" s="81">
        <f>4.8362 * CHOOSE(CONTROL!$C$32, $C$9, 100%, $E$9)</f>
        <v>4.8361999999999998</v>
      </c>
      <c r="F220" s="81">
        <f>4.8362 * CHOOSE(CONTROL!$C$32, $C$9, 100%, $E$9)</f>
        <v>4.8361999999999998</v>
      </c>
      <c r="G220" s="81">
        <f>4.8405 * CHOOSE(CONTROL!$C$32, $C$9, 100%, $E$9)</f>
        <v>4.8404999999999996</v>
      </c>
      <c r="H220" s="81">
        <f>8.9309 * CHOOSE(CONTROL!$C$32, $C$9, 100%, $E$9)</f>
        <v>8.9308999999999994</v>
      </c>
      <c r="I220" s="81">
        <f>8.9353 * CHOOSE(CONTROL!$C$32, $C$9, 100%, $E$9)</f>
        <v>8.9352999999999998</v>
      </c>
      <c r="J220" s="81">
        <f>8.9309 * CHOOSE(CONTROL!$C$32, $C$9, 100%, $E$9)</f>
        <v>8.9308999999999994</v>
      </c>
      <c r="K220" s="81">
        <f>8.9353 * CHOOSE(CONTROL!$C$32, $C$9, 100%, $E$9)</f>
        <v>8.9352999999999998</v>
      </c>
      <c r="L220" s="81">
        <f>4.8362 * CHOOSE(CONTROL!$C$32, $C$9, 100%, $E$9)</f>
        <v>4.8361999999999998</v>
      </c>
      <c r="M220" s="81">
        <f>4.8405 * CHOOSE(CONTROL!$C$32, $C$9, 100%, $E$9)</f>
        <v>4.8404999999999996</v>
      </c>
      <c r="N220" s="81">
        <f>4.8362 * CHOOSE(CONTROL!$C$32, $C$9, 100%, $E$9)</f>
        <v>4.8361999999999998</v>
      </c>
      <c r="O220" s="81">
        <f>4.8405 * CHOOSE(CONTROL!$C$32, $C$9, 100%, $E$9)</f>
        <v>4.8404999999999996</v>
      </c>
    </row>
    <row r="221" spans="1:15" ht="15">
      <c r="A221" s="16">
        <v>47939</v>
      </c>
      <c r="B221" s="80">
        <f>4.0567 * CHOOSE(CONTROL!$C$32, $C$9, 100%, $E$9)</f>
        <v>4.0567000000000002</v>
      </c>
      <c r="C221" s="80">
        <f>4.0567 * CHOOSE(CONTROL!$C$32, $C$9, 100%, $E$9)</f>
        <v>4.0567000000000002</v>
      </c>
      <c r="D221" s="80">
        <f>4.0602 * CHOOSE(CONTROL!$C$32, $C$9, 100%, $E$9)</f>
        <v>4.0602</v>
      </c>
      <c r="E221" s="81">
        <f>4.8975 * CHOOSE(CONTROL!$C$32, $C$9, 100%, $E$9)</f>
        <v>4.8975</v>
      </c>
      <c r="F221" s="81">
        <f>4.8975 * CHOOSE(CONTROL!$C$32, $C$9, 100%, $E$9)</f>
        <v>4.8975</v>
      </c>
      <c r="G221" s="81">
        <f>4.9018 * CHOOSE(CONTROL!$C$32, $C$9, 100%, $E$9)</f>
        <v>4.9017999999999997</v>
      </c>
      <c r="H221" s="81">
        <f>8.9495 * CHOOSE(CONTROL!$C$32, $C$9, 100%, $E$9)</f>
        <v>8.9495000000000005</v>
      </c>
      <c r="I221" s="81">
        <f>8.9539 * CHOOSE(CONTROL!$C$32, $C$9, 100%, $E$9)</f>
        <v>8.9539000000000009</v>
      </c>
      <c r="J221" s="81">
        <f>8.9495 * CHOOSE(CONTROL!$C$32, $C$9, 100%, $E$9)</f>
        <v>8.9495000000000005</v>
      </c>
      <c r="K221" s="81">
        <f>8.9539 * CHOOSE(CONTROL!$C$32, $C$9, 100%, $E$9)</f>
        <v>8.9539000000000009</v>
      </c>
      <c r="L221" s="81">
        <f>4.8975 * CHOOSE(CONTROL!$C$32, $C$9, 100%, $E$9)</f>
        <v>4.8975</v>
      </c>
      <c r="M221" s="81">
        <f>4.9018 * CHOOSE(CONTROL!$C$32, $C$9, 100%, $E$9)</f>
        <v>4.9017999999999997</v>
      </c>
      <c r="N221" s="81">
        <f>4.8975 * CHOOSE(CONTROL!$C$32, $C$9, 100%, $E$9)</f>
        <v>4.8975</v>
      </c>
      <c r="O221" s="81">
        <f>4.9018 * CHOOSE(CONTROL!$C$32, $C$9, 100%, $E$9)</f>
        <v>4.9017999999999997</v>
      </c>
    </row>
    <row r="222" spans="1:15" ht="15">
      <c r="A222" s="16">
        <v>47969</v>
      </c>
      <c r="B222" s="80">
        <f>4.0567 * CHOOSE(CONTROL!$C$32, $C$9, 100%, $E$9)</f>
        <v>4.0567000000000002</v>
      </c>
      <c r="C222" s="80">
        <f>4.0567 * CHOOSE(CONTROL!$C$32, $C$9, 100%, $E$9)</f>
        <v>4.0567000000000002</v>
      </c>
      <c r="D222" s="80">
        <f>4.0618 * CHOOSE(CONTROL!$C$32, $C$9, 100%, $E$9)</f>
        <v>4.0617999999999999</v>
      </c>
      <c r="E222" s="81">
        <f>4.9221 * CHOOSE(CONTROL!$C$32, $C$9, 100%, $E$9)</f>
        <v>4.9221000000000004</v>
      </c>
      <c r="F222" s="81">
        <f>4.9221 * CHOOSE(CONTROL!$C$32, $C$9, 100%, $E$9)</f>
        <v>4.9221000000000004</v>
      </c>
      <c r="G222" s="81">
        <f>4.9284 * CHOOSE(CONTROL!$C$32, $C$9, 100%, $E$9)</f>
        <v>4.9283999999999999</v>
      </c>
      <c r="H222" s="81">
        <f>8.9682 * CHOOSE(CONTROL!$C$32, $C$9, 100%, $E$9)</f>
        <v>8.9681999999999995</v>
      </c>
      <c r="I222" s="81">
        <f>8.9745 * CHOOSE(CONTROL!$C$32, $C$9, 100%, $E$9)</f>
        <v>8.9745000000000008</v>
      </c>
      <c r="J222" s="81">
        <f>8.9682 * CHOOSE(CONTROL!$C$32, $C$9, 100%, $E$9)</f>
        <v>8.9681999999999995</v>
      </c>
      <c r="K222" s="81">
        <f>8.9745 * CHOOSE(CONTROL!$C$32, $C$9, 100%, $E$9)</f>
        <v>8.9745000000000008</v>
      </c>
      <c r="L222" s="81">
        <f>4.9221 * CHOOSE(CONTROL!$C$32, $C$9, 100%, $E$9)</f>
        <v>4.9221000000000004</v>
      </c>
      <c r="M222" s="81">
        <f>4.9284 * CHOOSE(CONTROL!$C$32, $C$9, 100%, $E$9)</f>
        <v>4.9283999999999999</v>
      </c>
      <c r="N222" s="81">
        <f>4.9221 * CHOOSE(CONTROL!$C$32, $C$9, 100%, $E$9)</f>
        <v>4.9221000000000004</v>
      </c>
      <c r="O222" s="81">
        <f>4.9284 * CHOOSE(CONTROL!$C$32, $C$9, 100%, $E$9)</f>
        <v>4.9283999999999999</v>
      </c>
    </row>
    <row r="223" spans="1:15" ht="15">
      <c r="A223" s="16">
        <v>48000</v>
      </c>
      <c r="B223" s="80">
        <f>4.0627 * CHOOSE(CONTROL!$C$32, $C$9, 100%, $E$9)</f>
        <v>4.0627000000000004</v>
      </c>
      <c r="C223" s="80">
        <f>4.0627 * CHOOSE(CONTROL!$C$32, $C$9, 100%, $E$9)</f>
        <v>4.0627000000000004</v>
      </c>
      <c r="D223" s="80">
        <f>4.0679 * CHOOSE(CONTROL!$C$32, $C$9, 100%, $E$9)</f>
        <v>4.0678999999999998</v>
      </c>
      <c r="E223" s="81">
        <f>4.9017 * CHOOSE(CONTROL!$C$32, $C$9, 100%, $E$9)</f>
        <v>4.9016999999999999</v>
      </c>
      <c r="F223" s="81">
        <f>4.9017 * CHOOSE(CONTROL!$C$32, $C$9, 100%, $E$9)</f>
        <v>4.9016999999999999</v>
      </c>
      <c r="G223" s="81">
        <f>4.908 * CHOOSE(CONTROL!$C$32, $C$9, 100%, $E$9)</f>
        <v>4.9080000000000004</v>
      </c>
      <c r="H223" s="81">
        <f>8.9869 * CHOOSE(CONTROL!$C$32, $C$9, 100%, $E$9)</f>
        <v>8.9869000000000003</v>
      </c>
      <c r="I223" s="81">
        <f>8.9932 * CHOOSE(CONTROL!$C$32, $C$9, 100%, $E$9)</f>
        <v>8.9931999999999999</v>
      </c>
      <c r="J223" s="81">
        <f>8.9869 * CHOOSE(CONTROL!$C$32, $C$9, 100%, $E$9)</f>
        <v>8.9869000000000003</v>
      </c>
      <c r="K223" s="81">
        <f>8.9932 * CHOOSE(CONTROL!$C$32, $C$9, 100%, $E$9)</f>
        <v>8.9931999999999999</v>
      </c>
      <c r="L223" s="81">
        <f>4.9017 * CHOOSE(CONTROL!$C$32, $C$9, 100%, $E$9)</f>
        <v>4.9016999999999999</v>
      </c>
      <c r="M223" s="81">
        <f>4.908 * CHOOSE(CONTROL!$C$32, $C$9, 100%, $E$9)</f>
        <v>4.9080000000000004</v>
      </c>
      <c r="N223" s="81">
        <f>4.9017 * CHOOSE(CONTROL!$C$32, $C$9, 100%, $E$9)</f>
        <v>4.9016999999999999</v>
      </c>
      <c r="O223" s="81">
        <f>4.908 * CHOOSE(CONTROL!$C$32, $C$9, 100%, $E$9)</f>
        <v>4.9080000000000004</v>
      </c>
    </row>
    <row r="224" spans="1:15" ht="15">
      <c r="A224" s="16">
        <v>48030</v>
      </c>
      <c r="B224" s="80">
        <f>4.1241 * CHOOSE(CONTROL!$C$32, $C$9, 100%, $E$9)</f>
        <v>4.1241000000000003</v>
      </c>
      <c r="C224" s="80">
        <f>4.1241 * CHOOSE(CONTROL!$C$32, $C$9, 100%, $E$9)</f>
        <v>4.1241000000000003</v>
      </c>
      <c r="D224" s="80">
        <f>4.1293 * CHOOSE(CONTROL!$C$32, $C$9, 100%, $E$9)</f>
        <v>4.1292999999999997</v>
      </c>
      <c r="E224" s="81">
        <f>5.0209 * CHOOSE(CONTROL!$C$32, $C$9, 100%, $E$9)</f>
        <v>5.0209000000000001</v>
      </c>
      <c r="F224" s="81">
        <f>5.0209 * CHOOSE(CONTROL!$C$32, $C$9, 100%, $E$9)</f>
        <v>5.0209000000000001</v>
      </c>
      <c r="G224" s="81">
        <f>5.0273 * CHOOSE(CONTROL!$C$32, $C$9, 100%, $E$9)</f>
        <v>5.0273000000000003</v>
      </c>
      <c r="H224" s="81">
        <f>9.0056 * CHOOSE(CONTROL!$C$32, $C$9, 100%, $E$9)</f>
        <v>9.0055999999999994</v>
      </c>
      <c r="I224" s="81">
        <f>9.0119 * CHOOSE(CONTROL!$C$32, $C$9, 100%, $E$9)</f>
        <v>9.0119000000000007</v>
      </c>
      <c r="J224" s="81">
        <f>9.0056 * CHOOSE(CONTROL!$C$32, $C$9, 100%, $E$9)</f>
        <v>9.0055999999999994</v>
      </c>
      <c r="K224" s="81">
        <f>9.0119 * CHOOSE(CONTROL!$C$32, $C$9, 100%, $E$9)</f>
        <v>9.0119000000000007</v>
      </c>
      <c r="L224" s="81">
        <f>5.0209 * CHOOSE(CONTROL!$C$32, $C$9, 100%, $E$9)</f>
        <v>5.0209000000000001</v>
      </c>
      <c r="M224" s="81">
        <f>5.0273 * CHOOSE(CONTROL!$C$32, $C$9, 100%, $E$9)</f>
        <v>5.0273000000000003</v>
      </c>
      <c r="N224" s="81">
        <f>5.0209 * CHOOSE(CONTROL!$C$32, $C$9, 100%, $E$9)</f>
        <v>5.0209000000000001</v>
      </c>
      <c r="O224" s="81">
        <f>5.0273 * CHOOSE(CONTROL!$C$32, $C$9, 100%, $E$9)</f>
        <v>5.0273000000000003</v>
      </c>
    </row>
    <row r="225" spans="1:15" ht="15">
      <c r="A225" s="16">
        <v>48061</v>
      </c>
      <c r="B225" s="80">
        <f>4.1308 * CHOOSE(CONTROL!$C$32, $C$9, 100%, $E$9)</f>
        <v>4.1307999999999998</v>
      </c>
      <c r="C225" s="80">
        <f>4.1308 * CHOOSE(CONTROL!$C$32, $C$9, 100%, $E$9)</f>
        <v>4.1307999999999998</v>
      </c>
      <c r="D225" s="80">
        <f>4.136 * CHOOSE(CONTROL!$C$32, $C$9, 100%, $E$9)</f>
        <v>4.1360000000000001</v>
      </c>
      <c r="E225" s="81">
        <f>4.9519 * CHOOSE(CONTROL!$C$32, $C$9, 100%, $E$9)</f>
        <v>4.9519000000000002</v>
      </c>
      <c r="F225" s="81">
        <f>4.9519 * CHOOSE(CONTROL!$C$32, $C$9, 100%, $E$9)</f>
        <v>4.9519000000000002</v>
      </c>
      <c r="G225" s="81">
        <f>4.9582 * CHOOSE(CONTROL!$C$32, $C$9, 100%, $E$9)</f>
        <v>4.9581999999999997</v>
      </c>
      <c r="H225" s="81">
        <f>9.0244 * CHOOSE(CONTROL!$C$32, $C$9, 100%, $E$9)</f>
        <v>9.0244</v>
      </c>
      <c r="I225" s="81">
        <f>9.0307 * CHOOSE(CONTROL!$C$32, $C$9, 100%, $E$9)</f>
        <v>9.0306999999999995</v>
      </c>
      <c r="J225" s="81">
        <f>9.0244 * CHOOSE(CONTROL!$C$32, $C$9, 100%, $E$9)</f>
        <v>9.0244</v>
      </c>
      <c r="K225" s="81">
        <f>9.0307 * CHOOSE(CONTROL!$C$32, $C$9, 100%, $E$9)</f>
        <v>9.0306999999999995</v>
      </c>
      <c r="L225" s="81">
        <f>4.9519 * CHOOSE(CONTROL!$C$32, $C$9, 100%, $E$9)</f>
        <v>4.9519000000000002</v>
      </c>
      <c r="M225" s="81">
        <f>4.9582 * CHOOSE(CONTROL!$C$32, $C$9, 100%, $E$9)</f>
        <v>4.9581999999999997</v>
      </c>
      <c r="N225" s="81">
        <f>4.9519 * CHOOSE(CONTROL!$C$32, $C$9, 100%, $E$9)</f>
        <v>4.9519000000000002</v>
      </c>
      <c r="O225" s="81">
        <f>4.9582 * CHOOSE(CONTROL!$C$32, $C$9, 100%, $E$9)</f>
        <v>4.9581999999999997</v>
      </c>
    </row>
    <row r="226" spans="1:15" ht="15">
      <c r="A226" s="16">
        <v>48092</v>
      </c>
      <c r="B226" s="80">
        <f>4.1278 * CHOOSE(CONTROL!$C$32, $C$9, 100%, $E$9)</f>
        <v>4.1277999999999997</v>
      </c>
      <c r="C226" s="80">
        <f>4.1278 * CHOOSE(CONTROL!$C$32, $C$9, 100%, $E$9)</f>
        <v>4.1277999999999997</v>
      </c>
      <c r="D226" s="80">
        <f>4.1329 * CHOOSE(CONTROL!$C$32, $C$9, 100%, $E$9)</f>
        <v>4.1329000000000002</v>
      </c>
      <c r="E226" s="81">
        <f>4.9415 * CHOOSE(CONTROL!$C$32, $C$9, 100%, $E$9)</f>
        <v>4.9414999999999996</v>
      </c>
      <c r="F226" s="81">
        <f>4.9415 * CHOOSE(CONTROL!$C$32, $C$9, 100%, $E$9)</f>
        <v>4.9414999999999996</v>
      </c>
      <c r="G226" s="81">
        <f>4.9479 * CHOOSE(CONTROL!$C$32, $C$9, 100%, $E$9)</f>
        <v>4.9478999999999997</v>
      </c>
      <c r="H226" s="81">
        <f>9.0432 * CHOOSE(CONTROL!$C$32, $C$9, 100%, $E$9)</f>
        <v>9.0432000000000006</v>
      </c>
      <c r="I226" s="81">
        <f>9.0495 * CHOOSE(CONTROL!$C$32, $C$9, 100%, $E$9)</f>
        <v>9.0495000000000001</v>
      </c>
      <c r="J226" s="81">
        <f>9.0432 * CHOOSE(CONTROL!$C$32, $C$9, 100%, $E$9)</f>
        <v>9.0432000000000006</v>
      </c>
      <c r="K226" s="81">
        <f>9.0495 * CHOOSE(CONTROL!$C$32, $C$9, 100%, $E$9)</f>
        <v>9.0495000000000001</v>
      </c>
      <c r="L226" s="81">
        <f>4.9415 * CHOOSE(CONTROL!$C$32, $C$9, 100%, $E$9)</f>
        <v>4.9414999999999996</v>
      </c>
      <c r="M226" s="81">
        <f>4.9479 * CHOOSE(CONTROL!$C$32, $C$9, 100%, $E$9)</f>
        <v>4.9478999999999997</v>
      </c>
      <c r="N226" s="81">
        <f>4.9415 * CHOOSE(CONTROL!$C$32, $C$9, 100%, $E$9)</f>
        <v>4.9414999999999996</v>
      </c>
      <c r="O226" s="81">
        <f>4.9479 * CHOOSE(CONTROL!$C$32, $C$9, 100%, $E$9)</f>
        <v>4.9478999999999997</v>
      </c>
    </row>
    <row r="227" spans="1:15" ht="15">
      <c r="A227" s="16">
        <v>48122</v>
      </c>
      <c r="B227" s="80">
        <f>4.1232 * CHOOSE(CONTROL!$C$32, $C$9, 100%, $E$9)</f>
        <v>4.1231999999999998</v>
      </c>
      <c r="C227" s="80">
        <f>4.1232 * CHOOSE(CONTROL!$C$32, $C$9, 100%, $E$9)</f>
        <v>4.1231999999999998</v>
      </c>
      <c r="D227" s="80">
        <f>4.1268 * CHOOSE(CONTROL!$C$32, $C$9, 100%, $E$9)</f>
        <v>4.1268000000000002</v>
      </c>
      <c r="E227" s="81">
        <f>4.9609 * CHOOSE(CONTROL!$C$32, $C$9, 100%, $E$9)</f>
        <v>4.9608999999999996</v>
      </c>
      <c r="F227" s="81">
        <f>4.9609 * CHOOSE(CONTROL!$C$32, $C$9, 100%, $E$9)</f>
        <v>4.9608999999999996</v>
      </c>
      <c r="G227" s="81">
        <f>4.9653 * CHOOSE(CONTROL!$C$32, $C$9, 100%, $E$9)</f>
        <v>4.9653</v>
      </c>
      <c r="H227" s="81">
        <f>9.062 * CHOOSE(CONTROL!$C$32, $C$9, 100%, $E$9)</f>
        <v>9.0619999999999994</v>
      </c>
      <c r="I227" s="81">
        <f>9.0664 * CHOOSE(CONTROL!$C$32, $C$9, 100%, $E$9)</f>
        <v>9.0663999999999998</v>
      </c>
      <c r="J227" s="81">
        <f>9.062 * CHOOSE(CONTROL!$C$32, $C$9, 100%, $E$9)</f>
        <v>9.0619999999999994</v>
      </c>
      <c r="K227" s="81">
        <f>9.0664 * CHOOSE(CONTROL!$C$32, $C$9, 100%, $E$9)</f>
        <v>9.0663999999999998</v>
      </c>
      <c r="L227" s="81">
        <f>4.9609 * CHOOSE(CONTROL!$C$32, $C$9, 100%, $E$9)</f>
        <v>4.9608999999999996</v>
      </c>
      <c r="M227" s="81">
        <f>4.9653 * CHOOSE(CONTROL!$C$32, $C$9, 100%, $E$9)</f>
        <v>4.9653</v>
      </c>
      <c r="N227" s="81">
        <f>4.9609 * CHOOSE(CONTROL!$C$32, $C$9, 100%, $E$9)</f>
        <v>4.9608999999999996</v>
      </c>
      <c r="O227" s="81">
        <f>4.9653 * CHOOSE(CONTROL!$C$32, $C$9, 100%, $E$9)</f>
        <v>4.9653</v>
      </c>
    </row>
    <row r="228" spans="1:15" ht="15">
      <c r="A228" s="16">
        <v>48153</v>
      </c>
      <c r="B228" s="80">
        <f>4.1263 * CHOOSE(CONTROL!$C$32, $C$9, 100%, $E$9)</f>
        <v>4.1262999999999996</v>
      </c>
      <c r="C228" s="80">
        <f>4.1263 * CHOOSE(CONTROL!$C$32, $C$9, 100%, $E$9)</f>
        <v>4.1262999999999996</v>
      </c>
      <c r="D228" s="80">
        <f>4.1298 * CHOOSE(CONTROL!$C$32, $C$9, 100%, $E$9)</f>
        <v>4.1298000000000004</v>
      </c>
      <c r="E228" s="81">
        <f>4.9794 * CHOOSE(CONTROL!$C$32, $C$9, 100%, $E$9)</f>
        <v>4.9794</v>
      </c>
      <c r="F228" s="81">
        <f>4.9794 * CHOOSE(CONTROL!$C$32, $C$9, 100%, $E$9)</f>
        <v>4.9794</v>
      </c>
      <c r="G228" s="81">
        <f>4.9838 * CHOOSE(CONTROL!$C$32, $C$9, 100%, $E$9)</f>
        <v>4.9837999999999996</v>
      </c>
      <c r="H228" s="81">
        <f>9.0809 * CHOOSE(CONTROL!$C$32, $C$9, 100%, $E$9)</f>
        <v>9.0808999999999997</v>
      </c>
      <c r="I228" s="81">
        <f>9.0852 * CHOOSE(CONTROL!$C$32, $C$9, 100%, $E$9)</f>
        <v>9.0852000000000004</v>
      </c>
      <c r="J228" s="81">
        <f>9.0809 * CHOOSE(CONTROL!$C$32, $C$9, 100%, $E$9)</f>
        <v>9.0808999999999997</v>
      </c>
      <c r="K228" s="81">
        <f>9.0852 * CHOOSE(CONTROL!$C$32, $C$9, 100%, $E$9)</f>
        <v>9.0852000000000004</v>
      </c>
      <c r="L228" s="81">
        <f>4.9794 * CHOOSE(CONTROL!$C$32, $C$9, 100%, $E$9)</f>
        <v>4.9794</v>
      </c>
      <c r="M228" s="81">
        <f>4.9838 * CHOOSE(CONTROL!$C$32, $C$9, 100%, $E$9)</f>
        <v>4.9837999999999996</v>
      </c>
      <c r="N228" s="81">
        <f>4.9794 * CHOOSE(CONTROL!$C$32, $C$9, 100%, $E$9)</f>
        <v>4.9794</v>
      </c>
      <c r="O228" s="81">
        <f>4.9838 * CHOOSE(CONTROL!$C$32, $C$9, 100%, $E$9)</f>
        <v>4.9837999999999996</v>
      </c>
    </row>
    <row r="229" spans="1:15" ht="15">
      <c r="A229" s="16">
        <v>48183</v>
      </c>
      <c r="B229" s="80">
        <f>4.1263 * CHOOSE(CONTROL!$C$32, $C$9, 100%, $E$9)</f>
        <v>4.1262999999999996</v>
      </c>
      <c r="C229" s="80">
        <f>4.1263 * CHOOSE(CONTROL!$C$32, $C$9, 100%, $E$9)</f>
        <v>4.1262999999999996</v>
      </c>
      <c r="D229" s="80">
        <f>4.1298 * CHOOSE(CONTROL!$C$32, $C$9, 100%, $E$9)</f>
        <v>4.1298000000000004</v>
      </c>
      <c r="E229" s="81">
        <f>4.9384 * CHOOSE(CONTROL!$C$32, $C$9, 100%, $E$9)</f>
        <v>4.9383999999999997</v>
      </c>
      <c r="F229" s="81">
        <f>4.9384 * CHOOSE(CONTROL!$C$32, $C$9, 100%, $E$9)</f>
        <v>4.9383999999999997</v>
      </c>
      <c r="G229" s="81">
        <f>4.9428 * CHOOSE(CONTROL!$C$32, $C$9, 100%, $E$9)</f>
        <v>4.9428000000000001</v>
      </c>
      <c r="H229" s="81">
        <f>9.0998 * CHOOSE(CONTROL!$C$32, $C$9, 100%, $E$9)</f>
        <v>9.0998000000000001</v>
      </c>
      <c r="I229" s="81">
        <f>9.1042 * CHOOSE(CONTROL!$C$32, $C$9, 100%, $E$9)</f>
        <v>9.1042000000000005</v>
      </c>
      <c r="J229" s="81">
        <f>9.0998 * CHOOSE(CONTROL!$C$32, $C$9, 100%, $E$9)</f>
        <v>9.0998000000000001</v>
      </c>
      <c r="K229" s="81">
        <f>9.1042 * CHOOSE(CONTROL!$C$32, $C$9, 100%, $E$9)</f>
        <v>9.1042000000000005</v>
      </c>
      <c r="L229" s="81">
        <f>4.9384 * CHOOSE(CONTROL!$C$32, $C$9, 100%, $E$9)</f>
        <v>4.9383999999999997</v>
      </c>
      <c r="M229" s="81">
        <f>4.9428 * CHOOSE(CONTROL!$C$32, $C$9, 100%, $E$9)</f>
        <v>4.9428000000000001</v>
      </c>
      <c r="N229" s="81">
        <f>4.9384 * CHOOSE(CONTROL!$C$32, $C$9, 100%, $E$9)</f>
        <v>4.9383999999999997</v>
      </c>
      <c r="O229" s="81">
        <f>4.9428 * CHOOSE(CONTROL!$C$32, $C$9, 100%, $E$9)</f>
        <v>4.9428000000000001</v>
      </c>
    </row>
    <row r="230" spans="1:15" ht="15">
      <c r="A230" s="16">
        <v>48214</v>
      </c>
      <c r="B230" s="80">
        <f>4.1645 * CHOOSE(CONTROL!$C$32, $C$9, 100%, $E$9)</f>
        <v>4.1645000000000003</v>
      </c>
      <c r="C230" s="80">
        <f>4.1645 * CHOOSE(CONTROL!$C$32, $C$9, 100%, $E$9)</f>
        <v>4.1645000000000003</v>
      </c>
      <c r="D230" s="80">
        <f>4.168 * CHOOSE(CONTROL!$C$32, $C$9, 100%, $E$9)</f>
        <v>4.1680000000000001</v>
      </c>
      <c r="E230" s="81">
        <f>5.0152 * CHOOSE(CONTROL!$C$32, $C$9, 100%, $E$9)</f>
        <v>5.0152000000000001</v>
      </c>
      <c r="F230" s="81">
        <f>5.0152 * CHOOSE(CONTROL!$C$32, $C$9, 100%, $E$9)</f>
        <v>5.0152000000000001</v>
      </c>
      <c r="G230" s="81">
        <f>5.0196 * CHOOSE(CONTROL!$C$32, $C$9, 100%, $E$9)</f>
        <v>5.0195999999999996</v>
      </c>
      <c r="H230" s="81">
        <f>9.1187 * CHOOSE(CONTROL!$C$32, $C$9, 100%, $E$9)</f>
        <v>9.1187000000000005</v>
      </c>
      <c r="I230" s="81">
        <f>9.1231 * CHOOSE(CONTROL!$C$32, $C$9, 100%, $E$9)</f>
        <v>9.1231000000000009</v>
      </c>
      <c r="J230" s="81">
        <f>9.1187 * CHOOSE(CONTROL!$C$32, $C$9, 100%, $E$9)</f>
        <v>9.1187000000000005</v>
      </c>
      <c r="K230" s="81">
        <f>9.1231 * CHOOSE(CONTROL!$C$32, $C$9, 100%, $E$9)</f>
        <v>9.1231000000000009</v>
      </c>
      <c r="L230" s="81">
        <f>5.0152 * CHOOSE(CONTROL!$C$32, $C$9, 100%, $E$9)</f>
        <v>5.0152000000000001</v>
      </c>
      <c r="M230" s="81">
        <f>5.0196 * CHOOSE(CONTROL!$C$32, $C$9, 100%, $E$9)</f>
        <v>5.0195999999999996</v>
      </c>
      <c r="N230" s="81">
        <f>5.0152 * CHOOSE(CONTROL!$C$32, $C$9, 100%, $E$9)</f>
        <v>5.0152000000000001</v>
      </c>
      <c r="O230" s="81">
        <f>5.0196 * CHOOSE(CONTROL!$C$32, $C$9, 100%, $E$9)</f>
        <v>5.0195999999999996</v>
      </c>
    </row>
    <row r="231" spans="1:15" ht="15">
      <c r="A231" s="16">
        <v>48245</v>
      </c>
      <c r="B231" s="80">
        <f>4.1614 * CHOOSE(CONTROL!$C$32, $C$9, 100%, $E$9)</f>
        <v>4.1614000000000004</v>
      </c>
      <c r="C231" s="80">
        <f>4.1614 * CHOOSE(CONTROL!$C$32, $C$9, 100%, $E$9)</f>
        <v>4.1614000000000004</v>
      </c>
      <c r="D231" s="80">
        <f>4.165 * CHOOSE(CONTROL!$C$32, $C$9, 100%, $E$9)</f>
        <v>4.165</v>
      </c>
      <c r="E231" s="81">
        <f>4.9336 * CHOOSE(CONTROL!$C$32, $C$9, 100%, $E$9)</f>
        <v>4.9336000000000002</v>
      </c>
      <c r="F231" s="81">
        <f>4.9336 * CHOOSE(CONTROL!$C$32, $C$9, 100%, $E$9)</f>
        <v>4.9336000000000002</v>
      </c>
      <c r="G231" s="81">
        <f>4.938 * CHOOSE(CONTROL!$C$32, $C$9, 100%, $E$9)</f>
        <v>4.9379999999999997</v>
      </c>
      <c r="H231" s="81">
        <f>9.1377 * CHOOSE(CONTROL!$C$32, $C$9, 100%, $E$9)</f>
        <v>9.1377000000000006</v>
      </c>
      <c r="I231" s="81">
        <f>9.1421 * CHOOSE(CONTROL!$C$32, $C$9, 100%, $E$9)</f>
        <v>9.1420999999999992</v>
      </c>
      <c r="J231" s="81">
        <f>9.1377 * CHOOSE(CONTROL!$C$32, $C$9, 100%, $E$9)</f>
        <v>9.1377000000000006</v>
      </c>
      <c r="K231" s="81">
        <f>9.1421 * CHOOSE(CONTROL!$C$32, $C$9, 100%, $E$9)</f>
        <v>9.1420999999999992</v>
      </c>
      <c r="L231" s="81">
        <f>4.9336 * CHOOSE(CONTROL!$C$32, $C$9, 100%, $E$9)</f>
        <v>4.9336000000000002</v>
      </c>
      <c r="M231" s="81">
        <f>4.938 * CHOOSE(CONTROL!$C$32, $C$9, 100%, $E$9)</f>
        <v>4.9379999999999997</v>
      </c>
      <c r="N231" s="81">
        <f>4.9336 * CHOOSE(CONTROL!$C$32, $C$9, 100%, $E$9)</f>
        <v>4.9336000000000002</v>
      </c>
      <c r="O231" s="81">
        <f>4.938 * CHOOSE(CONTROL!$C$32, $C$9, 100%, $E$9)</f>
        <v>4.9379999999999997</v>
      </c>
    </row>
    <row r="232" spans="1:15" ht="15">
      <c r="A232" s="16">
        <v>48274</v>
      </c>
      <c r="B232" s="80">
        <f>4.1584 * CHOOSE(CONTROL!$C$32, $C$9, 100%, $E$9)</f>
        <v>4.1584000000000003</v>
      </c>
      <c r="C232" s="80">
        <f>4.1584 * CHOOSE(CONTROL!$C$32, $C$9, 100%, $E$9)</f>
        <v>4.1584000000000003</v>
      </c>
      <c r="D232" s="80">
        <f>4.1619 * CHOOSE(CONTROL!$C$32, $C$9, 100%, $E$9)</f>
        <v>4.1619000000000002</v>
      </c>
      <c r="E232" s="81">
        <f>4.9942 * CHOOSE(CONTROL!$C$32, $C$9, 100%, $E$9)</f>
        <v>4.9942000000000002</v>
      </c>
      <c r="F232" s="81">
        <f>4.9942 * CHOOSE(CONTROL!$C$32, $C$9, 100%, $E$9)</f>
        <v>4.9942000000000002</v>
      </c>
      <c r="G232" s="81">
        <f>4.9985 * CHOOSE(CONTROL!$C$32, $C$9, 100%, $E$9)</f>
        <v>4.9984999999999999</v>
      </c>
      <c r="H232" s="81">
        <f>9.1568 * CHOOSE(CONTROL!$C$32, $C$9, 100%, $E$9)</f>
        <v>9.1568000000000005</v>
      </c>
      <c r="I232" s="81">
        <f>9.1611 * CHOOSE(CONTROL!$C$32, $C$9, 100%, $E$9)</f>
        <v>9.1610999999999994</v>
      </c>
      <c r="J232" s="81">
        <f>9.1568 * CHOOSE(CONTROL!$C$32, $C$9, 100%, $E$9)</f>
        <v>9.1568000000000005</v>
      </c>
      <c r="K232" s="81">
        <f>9.1611 * CHOOSE(CONTROL!$C$32, $C$9, 100%, $E$9)</f>
        <v>9.1610999999999994</v>
      </c>
      <c r="L232" s="81">
        <f>4.9942 * CHOOSE(CONTROL!$C$32, $C$9, 100%, $E$9)</f>
        <v>4.9942000000000002</v>
      </c>
      <c r="M232" s="81">
        <f>4.9985 * CHOOSE(CONTROL!$C$32, $C$9, 100%, $E$9)</f>
        <v>4.9984999999999999</v>
      </c>
      <c r="N232" s="81">
        <f>4.9942 * CHOOSE(CONTROL!$C$32, $C$9, 100%, $E$9)</f>
        <v>4.9942000000000002</v>
      </c>
      <c r="O232" s="81">
        <f>4.9985 * CHOOSE(CONTROL!$C$32, $C$9, 100%, $E$9)</f>
        <v>4.9984999999999999</v>
      </c>
    </row>
    <row r="233" spans="1:15" ht="15">
      <c r="A233" s="16">
        <v>48305</v>
      </c>
      <c r="B233" s="80">
        <f>4.1562 * CHOOSE(CONTROL!$C$32, $C$9, 100%, $E$9)</f>
        <v>4.1562000000000001</v>
      </c>
      <c r="C233" s="80">
        <f>4.1562 * CHOOSE(CONTROL!$C$32, $C$9, 100%, $E$9)</f>
        <v>4.1562000000000001</v>
      </c>
      <c r="D233" s="80">
        <f>4.1597 * CHOOSE(CONTROL!$C$32, $C$9, 100%, $E$9)</f>
        <v>4.1597</v>
      </c>
      <c r="E233" s="81">
        <f>5.0572 * CHOOSE(CONTROL!$C$32, $C$9, 100%, $E$9)</f>
        <v>5.0571999999999999</v>
      </c>
      <c r="F233" s="81">
        <f>5.0572 * CHOOSE(CONTROL!$C$32, $C$9, 100%, $E$9)</f>
        <v>5.0571999999999999</v>
      </c>
      <c r="G233" s="81">
        <f>5.0616 * CHOOSE(CONTROL!$C$32, $C$9, 100%, $E$9)</f>
        <v>5.0616000000000003</v>
      </c>
      <c r="H233" s="81">
        <f>9.1759 * CHOOSE(CONTROL!$C$32, $C$9, 100%, $E$9)</f>
        <v>9.1759000000000004</v>
      </c>
      <c r="I233" s="81">
        <f>9.1802 * CHOOSE(CONTROL!$C$32, $C$9, 100%, $E$9)</f>
        <v>9.1801999999999992</v>
      </c>
      <c r="J233" s="81">
        <f>9.1759 * CHOOSE(CONTROL!$C$32, $C$9, 100%, $E$9)</f>
        <v>9.1759000000000004</v>
      </c>
      <c r="K233" s="81">
        <f>9.1802 * CHOOSE(CONTROL!$C$32, $C$9, 100%, $E$9)</f>
        <v>9.1801999999999992</v>
      </c>
      <c r="L233" s="81">
        <f>5.0572 * CHOOSE(CONTROL!$C$32, $C$9, 100%, $E$9)</f>
        <v>5.0571999999999999</v>
      </c>
      <c r="M233" s="81">
        <f>5.0616 * CHOOSE(CONTROL!$C$32, $C$9, 100%, $E$9)</f>
        <v>5.0616000000000003</v>
      </c>
      <c r="N233" s="81">
        <f>5.0572 * CHOOSE(CONTROL!$C$32, $C$9, 100%, $E$9)</f>
        <v>5.0571999999999999</v>
      </c>
      <c r="O233" s="81">
        <f>5.0616 * CHOOSE(CONTROL!$C$32, $C$9, 100%, $E$9)</f>
        <v>5.0616000000000003</v>
      </c>
    </row>
    <row r="234" spans="1:15" ht="15">
      <c r="A234" s="16">
        <v>48335</v>
      </c>
      <c r="B234" s="80">
        <f>4.1562 * CHOOSE(CONTROL!$C$32, $C$9, 100%, $E$9)</f>
        <v>4.1562000000000001</v>
      </c>
      <c r="C234" s="80">
        <f>4.1562 * CHOOSE(CONTROL!$C$32, $C$9, 100%, $E$9)</f>
        <v>4.1562000000000001</v>
      </c>
      <c r="D234" s="80">
        <f>4.1614 * CHOOSE(CONTROL!$C$32, $C$9, 100%, $E$9)</f>
        <v>4.1614000000000004</v>
      </c>
      <c r="E234" s="81">
        <f>5.0825 * CHOOSE(CONTROL!$C$32, $C$9, 100%, $E$9)</f>
        <v>5.0824999999999996</v>
      </c>
      <c r="F234" s="81">
        <f>5.0825 * CHOOSE(CONTROL!$C$32, $C$9, 100%, $E$9)</f>
        <v>5.0824999999999996</v>
      </c>
      <c r="G234" s="81">
        <f>5.0888 * CHOOSE(CONTROL!$C$32, $C$9, 100%, $E$9)</f>
        <v>5.0888</v>
      </c>
      <c r="H234" s="81">
        <f>9.195 * CHOOSE(CONTROL!$C$32, $C$9, 100%, $E$9)</f>
        <v>9.1950000000000003</v>
      </c>
      <c r="I234" s="81">
        <f>9.2013 * CHOOSE(CONTROL!$C$32, $C$9, 100%, $E$9)</f>
        <v>9.2012999999999998</v>
      </c>
      <c r="J234" s="81">
        <f>9.195 * CHOOSE(CONTROL!$C$32, $C$9, 100%, $E$9)</f>
        <v>9.1950000000000003</v>
      </c>
      <c r="K234" s="81">
        <f>9.2013 * CHOOSE(CONTROL!$C$32, $C$9, 100%, $E$9)</f>
        <v>9.2012999999999998</v>
      </c>
      <c r="L234" s="81">
        <f>5.0825 * CHOOSE(CONTROL!$C$32, $C$9, 100%, $E$9)</f>
        <v>5.0824999999999996</v>
      </c>
      <c r="M234" s="81">
        <f>5.0888 * CHOOSE(CONTROL!$C$32, $C$9, 100%, $E$9)</f>
        <v>5.0888</v>
      </c>
      <c r="N234" s="81">
        <f>5.0825 * CHOOSE(CONTROL!$C$32, $C$9, 100%, $E$9)</f>
        <v>5.0824999999999996</v>
      </c>
      <c r="O234" s="81">
        <f>5.0888 * CHOOSE(CONTROL!$C$32, $C$9, 100%, $E$9)</f>
        <v>5.0888</v>
      </c>
    </row>
    <row r="235" spans="1:15" ht="15">
      <c r="A235" s="16">
        <v>48366</v>
      </c>
      <c r="B235" s="80">
        <f>4.1623 * CHOOSE(CONTROL!$C$32, $C$9, 100%, $E$9)</f>
        <v>4.1623000000000001</v>
      </c>
      <c r="C235" s="80">
        <f>4.1623 * CHOOSE(CONTROL!$C$32, $C$9, 100%, $E$9)</f>
        <v>4.1623000000000001</v>
      </c>
      <c r="D235" s="80">
        <f>4.1674 * CHOOSE(CONTROL!$C$32, $C$9, 100%, $E$9)</f>
        <v>4.1673999999999998</v>
      </c>
      <c r="E235" s="81">
        <f>5.0615 * CHOOSE(CONTROL!$C$32, $C$9, 100%, $E$9)</f>
        <v>5.0614999999999997</v>
      </c>
      <c r="F235" s="81">
        <f>5.0615 * CHOOSE(CONTROL!$C$32, $C$9, 100%, $E$9)</f>
        <v>5.0614999999999997</v>
      </c>
      <c r="G235" s="81">
        <f>5.0678 * CHOOSE(CONTROL!$C$32, $C$9, 100%, $E$9)</f>
        <v>5.0678000000000001</v>
      </c>
      <c r="H235" s="81">
        <f>9.2141 * CHOOSE(CONTROL!$C$32, $C$9, 100%, $E$9)</f>
        <v>9.2141000000000002</v>
      </c>
      <c r="I235" s="81">
        <f>9.2204 * CHOOSE(CONTROL!$C$32, $C$9, 100%, $E$9)</f>
        <v>9.2203999999999997</v>
      </c>
      <c r="J235" s="81">
        <f>9.2141 * CHOOSE(CONTROL!$C$32, $C$9, 100%, $E$9)</f>
        <v>9.2141000000000002</v>
      </c>
      <c r="K235" s="81">
        <f>9.2204 * CHOOSE(CONTROL!$C$32, $C$9, 100%, $E$9)</f>
        <v>9.2203999999999997</v>
      </c>
      <c r="L235" s="81">
        <f>5.0615 * CHOOSE(CONTROL!$C$32, $C$9, 100%, $E$9)</f>
        <v>5.0614999999999997</v>
      </c>
      <c r="M235" s="81">
        <f>5.0678 * CHOOSE(CONTROL!$C$32, $C$9, 100%, $E$9)</f>
        <v>5.0678000000000001</v>
      </c>
      <c r="N235" s="81">
        <f>5.0615 * CHOOSE(CONTROL!$C$32, $C$9, 100%, $E$9)</f>
        <v>5.0614999999999997</v>
      </c>
      <c r="O235" s="81">
        <f>5.0678 * CHOOSE(CONTROL!$C$32, $C$9, 100%, $E$9)</f>
        <v>5.0678000000000001</v>
      </c>
    </row>
    <row r="236" spans="1:15" ht="15">
      <c r="A236" s="16">
        <v>48396</v>
      </c>
      <c r="B236" s="80">
        <f>4.2341 * CHOOSE(CONTROL!$C$32, $C$9, 100%, $E$9)</f>
        <v>4.2340999999999998</v>
      </c>
      <c r="C236" s="80">
        <f>4.2341 * CHOOSE(CONTROL!$C$32, $C$9, 100%, $E$9)</f>
        <v>4.2340999999999998</v>
      </c>
      <c r="D236" s="80">
        <f>4.2393 * CHOOSE(CONTROL!$C$32, $C$9, 100%, $E$9)</f>
        <v>4.2393000000000001</v>
      </c>
      <c r="E236" s="81">
        <f>5.166 * CHOOSE(CONTROL!$C$32, $C$9, 100%, $E$9)</f>
        <v>5.1660000000000004</v>
      </c>
      <c r="F236" s="81">
        <f>5.166 * CHOOSE(CONTROL!$C$32, $C$9, 100%, $E$9)</f>
        <v>5.1660000000000004</v>
      </c>
      <c r="G236" s="81">
        <f>5.1723 * CHOOSE(CONTROL!$C$32, $C$9, 100%, $E$9)</f>
        <v>5.1722999999999999</v>
      </c>
      <c r="H236" s="81">
        <f>9.2333 * CHOOSE(CONTROL!$C$32, $C$9, 100%, $E$9)</f>
        <v>9.2332999999999998</v>
      </c>
      <c r="I236" s="81">
        <f>9.2396 * CHOOSE(CONTROL!$C$32, $C$9, 100%, $E$9)</f>
        <v>9.2395999999999994</v>
      </c>
      <c r="J236" s="81">
        <f>9.2333 * CHOOSE(CONTROL!$C$32, $C$9, 100%, $E$9)</f>
        <v>9.2332999999999998</v>
      </c>
      <c r="K236" s="81">
        <f>9.2396 * CHOOSE(CONTROL!$C$32, $C$9, 100%, $E$9)</f>
        <v>9.2395999999999994</v>
      </c>
      <c r="L236" s="81">
        <f>5.166 * CHOOSE(CONTROL!$C$32, $C$9, 100%, $E$9)</f>
        <v>5.1660000000000004</v>
      </c>
      <c r="M236" s="81">
        <f>5.1723 * CHOOSE(CONTROL!$C$32, $C$9, 100%, $E$9)</f>
        <v>5.1722999999999999</v>
      </c>
      <c r="N236" s="81">
        <f>5.166 * CHOOSE(CONTROL!$C$32, $C$9, 100%, $E$9)</f>
        <v>5.1660000000000004</v>
      </c>
      <c r="O236" s="81">
        <f>5.1723 * CHOOSE(CONTROL!$C$32, $C$9, 100%, $E$9)</f>
        <v>5.1722999999999999</v>
      </c>
    </row>
    <row r="237" spans="1:15" ht="15">
      <c r="A237" s="16">
        <v>48427</v>
      </c>
      <c r="B237" s="80">
        <f>4.2408 * CHOOSE(CONTROL!$C$32, $C$9, 100%, $E$9)</f>
        <v>4.2408000000000001</v>
      </c>
      <c r="C237" s="80">
        <f>4.2408 * CHOOSE(CONTROL!$C$32, $C$9, 100%, $E$9)</f>
        <v>4.2408000000000001</v>
      </c>
      <c r="D237" s="80">
        <f>4.246 * CHOOSE(CONTROL!$C$32, $C$9, 100%, $E$9)</f>
        <v>4.2460000000000004</v>
      </c>
      <c r="E237" s="81">
        <f>5.095 * CHOOSE(CONTROL!$C$32, $C$9, 100%, $E$9)</f>
        <v>5.0949999999999998</v>
      </c>
      <c r="F237" s="81">
        <f>5.095 * CHOOSE(CONTROL!$C$32, $C$9, 100%, $E$9)</f>
        <v>5.0949999999999998</v>
      </c>
      <c r="G237" s="81">
        <f>5.1013 * CHOOSE(CONTROL!$C$32, $C$9, 100%, $E$9)</f>
        <v>5.1013000000000002</v>
      </c>
      <c r="H237" s="81">
        <f>9.2526 * CHOOSE(CONTROL!$C$32, $C$9, 100%, $E$9)</f>
        <v>9.2525999999999993</v>
      </c>
      <c r="I237" s="81">
        <f>9.2589 * CHOOSE(CONTROL!$C$32, $C$9, 100%, $E$9)</f>
        <v>9.2589000000000006</v>
      </c>
      <c r="J237" s="81">
        <f>9.2526 * CHOOSE(CONTROL!$C$32, $C$9, 100%, $E$9)</f>
        <v>9.2525999999999993</v>
      </c>
      <c r="K237" s="81">
        <f>9.2589 * CHOOSE(CONTROL!$C$32, $C$9, 100%, $E$9)</f>
        <v>9.2589000000000006</v>
      </c>
      <c r="L237" s="81">
        <f>5.095 * CHOOSE(CONTROL!$C$32, $C$9, 100%, $E$9)</f>
        <v>5.0949999999999998</v>
      </c>
      <c r="M237" s="81">
        <f>5.1013 * CHOOSE(CONTROL!$C$32, $C$9, 100%, $E$9)</f>
        <v>5.1013000000000002</v>
      </c>
      <c r="N237" s="81">
        <f>5.095 * CHOOSE(CONTROL!$C$32, $C$9, 100%, $E$9)</f>
        <v>5.0949999999999998</v>
      </c>
      <c r="O237" s="81">
        <f>5.1013 * CHOOSE(CONTROL!$C$32, $C$9, 100%, $E$9)</f>
        <v>5.1013000000000002</v>
      </c>
    </row>
    <row r="238" spans="1:15" ht="15">
      <c r="A238" s="16">
        <v>48458</v>
      </c>
      <c r="B238" s="80">
        <f>4.2378 * CHOOSE(CONTROL!$C$32, $C$9, 100%, $E$9)</f>
        <v>4.2378</v>
      </c>
      <c r="C238" s="80">
        <f>4.2378 * CHOOSE(CONTROL!$C$32, $C$9, 100%, $E$9)</f>
        <v>4.2378</v>
      </c>
      <c r="D238" s="80">
        <f>4.2429 * CHOOSE(CONTROL!$C$32, $C$9, 100%, $E$9)</f>
        <v>4.2428999999999997</v>
      </c>
      <c r="E238" s="81">
        <f>5.0844 * CHOOSE(CONTROL!$C$32, $C$9, 100%, $E$9)</f>
        <v>5.0843999999999996</v>
      </c>
      <c r="F238" s="81">
        <f>5.0844 * CHOOSE(CONTROL!$C$32, $C$9, 100%, $E$9)</f>
        <v>5.0843999999999996</v>
      </c>
      <c r="G238" s="81">
        <f>5.0907 * CHOOSE(CONTROL!$C$32, $C$9, 100%, $E$9)</f>
        <v>5.0907</v>
      </c>
      <c r="H238" s="81">
        <f>9.2718 * CHOOSE(CONTROL!$C$32, $C$9, 100%, $E$9)</f>
        <v>9.2718000000000007</v>
      </c>
      <c r="I238" s="81">
        <f>9.2782 * CHOOSE(CONTROL!$C$32, $C$9, 100%, $E$9)</f>
        <v>9.2782</v>
      </c>
      <c r="J238" s="81">
        <f>9.2718 * CHOOSE(CONTROL!$C$32, $C$9, 100%, $E$9)</f>
        <v>9.2718000000000007</v>
      </c>
      <c r="K238" s="81">
        <f>9.2782 * CHOOSE(CONTROL!$C$32, $C$9, 100%, $E$9)</f>
        <v>9.2782</v>
      </c>
      <c r="L238" s="81">
        <f>5.0844 * CHOOSE(CONTROL!$C$32, $C$9, 100%, $E$9)</f>
        <v>5.0843999999999996</v>
      </c>
      <c r="M238" s="81">
        <f>5.0907 * CHOOSE(CONTROL!$C$32, $C$9, 100%, $E$9)</f>
        <v>5.0907</v>
      </c>
      <c r="N238" s="81">
        <f>5.0844 * CHOOSE(CONTROL!$C$32, $C$9, 100%, $E$9)</f>
        <v>5.0843999999999996</v>
      </c>
      <c r="O238" s="81">
        <f>5.0907 * CHOOSE(CONTROL!$C$32, $C$9, 100%, $E$9)</f>
        <v>5.0907</v>
      </c>
    </row>
    <row r="239" spans="1:15" ht="15">
      <c r="A239" s="16">
        <v>48488</v>
      </c>
      <c r="B239" s="80">
        <f>4.2336 * CHOOSE(CONTROL!$C$32, $C$9, 100%, $E$9)</f>
        <v>4.2336</v>
      </c>
      <c r="C239" s="80">
        <f>4.2336 * CHOOSE(CONTROL!$C$32, $C$9, 100%, $E$9)</f>
        <v>4.2336</v>
      </c>
      <c r="D239" s="80">
        <f>4.2372 * CHOOSE(CONTROL!$C$32, $C$9, 100%, $E$9)</f>
        <v>4.2371999999999996</v>
      </c>
      <c r="E239" s="81">
        <f>5.1047 * CHOOSE(CONTROL!$C$32, $C$9, 100%, $E$9)</f>
        <v>5.1047000000000002</v>
      </c>
      <c r="F239" s="81">
        <f>5.1047 * CHOOSE(CONTROL!$C$32, $C$9, 100%, $E$9)</f>
        <v>5.1047000000000002</v>
      </c>
      <c r="G239" s="81">
        <f>5.109 * CHOOSE(CONTROL!$C$32, $C$9, 100%, $E$9)</f>
        <v>5.109</v>
      </c>
      <c r="H239" s="81">
        <f>9.2912 * CHOOSE(CONTROL!$C$32, $C$9, 100%, $E$9)</f>
        <v>9.2911999999999999</v>
      </c>
      <c r="I239" s="81">
        <f>9.2955 * CHOOSE(CONTROL!$C$32, $C$9, 100%, $E$9)</f>
        <v>9.2955000000000005</v>
      </c>
      <c r="J239" s="81">
        <f>9.2912 * CHOOSE(CONTROL!$C$32, $C$9, 100%, $E$9)</f>
        <v>9.2911999999999999</v>
      </c>
      <c r="K239" s="81">
        <f>9.2955 * CHOOSE(CONTROL!$C$32, $C$9, 100%, $E$9)</f>
        <v>9.2955000000000005</v>
      </c>
      <c r="L239" s="81">
        <f>5.1047 * CHOOSE(CONTROL!$C$32, $C$9, 100%, $E$9)</f>
        <v>5.1047000000000002</v>
      </c>
      <c r="M239" s="81">
        <f>5.109 * CHOOSE(CONTROL!$C$32, $C$9, 100%, $E$9)</f>
        <v>5.109</v>
      </c>
      <c r="N239" s="81">
        <f>5.1047 * CHOOSE(CONTROL!$C$32, $C$9, 100%, $E$9)</f>
        <v>5.1047000000000002</v>
      </c>
      <c r="O239" s="81">
        <f>5.109 * CHOOSE(CONTROL!$C$32, $C$9, 100%, $E$9)</f>
        <v>5.109</v>
      </c>
    </row>
    <row r="240" spans="1:15" ht="15">
      <c r="A240" s="16">
        <v>48519</v>
      </c>
      <c r="B240" s="80">
        <f>4.2367 * CHOOSE(CONTROL!$C$32, $C$9, 100%, $E$9)</f>
        <v>4.2366999999999999</v>
      </c>
      <c r="C240" s="80">
        <f>4.2367 * CHOOSE(CONTROL!$C$32, $C$9, 100%, $E$9)</f>
        <v>4.2366999999999999</v>
      </c>
      <c r="D240" s="80">
        <f>4.2402 * CHOOSE(CONTROL!$C$32, $C$9, 100%, $E$9)</f>
        <v>4.2401999999999997</v>
      </c>
      <c r="E240" s="81">
        <f>5.1236 * CHOOSE(CONTROL!$C$32, $C$9, 100%, $E$9)</f>
        <v>5.1235999999999997</v>
      </c>
      <c r="F240" s="81">
        <f>5.1236 * CHOOSE(CONTROL!$C$32, $C$9, 100%, $E$9)</f>
        <v>5.1235999999999997</v>
      </c>
      <c r="G240" s="81">
        <f>5.128 * CHOOSE(CONTROL!$C$32, $C$9, 100%, $E$9)</f>
        <v>5.1280000000000001</v>
      </c>
      <c r="H240" s="81">
        <f>9.3105 * CHOOSE(CONTROL!$C$32, $C$9, 100%, $E$9)</f>
        <v>9.3104999999999993</v>
      </c>
      <c r="I240" s="81">
        <f>9.3149 * CHOOSE(CONTROL!$C$32, $C$9, 100%, $E$9)</f>
        <v>9.3148999999999997</v>
      </c>
      <c r="J240" s="81">
        <f>9.3105 * CHOOSE(CONTROL!$C$32, $C$9, 100%, $E$9)</f>
        <v>9.3104999999999993</v>
      </c>
      <c r="K240" s="81">
        <f>9.3149 * CHOOSE(CONTROL!$C$32, $C$9, 100%, $E$9)</f>
        <v>9.3148999999999997</v>
      </c>
      <c r="L240" s="81">
        <f>5.1236 * CHOOSE(CONTROL!$C$32, $C$9, 100%, $E$9)</f>
        <v>5.1235999999999997</v>
      </c>
      <c r="M240" s="81">
        <f>5.128 * CHOOSE(CONTROL!$C$32, $C$9, 100%, $E$9)</f>
        <v>5.1280000000000001</v>
      </c>
      <c r="N240" s="81">
        <f>5.1236 * CHOOSE(CONTROL!$C$32, $C$9, 100%, $E$9)</f>
        <v>5.1235999999999997</v>
      </c>
      <c r="O240" s="81">
        <f>5.128 * CHOOSE(CONTROL!$C$32, $C$9, 100%, $E$9)</f>
        <v>5.1280000000000001</v>
      </c>
    </row>
    <row r="241" spans="1:15" ht="15">
      <c r="A241" s="16">
        <v>48549</v>
      </c>
      <c r="B241" s="80">
        <f>4.2367 * CHOOSE(CONTROL!$C$32, $C$9, 100%, $E$9)</f>
        <v>4.2366999999999999</v>
      </c>
      <c r="C241" s="80">
        <f>4.2367 * CHOOSE(CONTROL!$C$32, $C$9, 100%, $E$9)</f>
        <v>4.2366999999999999</v>
      </c>
      <c r="D241" s="80">
        <f>4.2402 * CHOOSE(CONTROL!$C$32, $C$9, 100%, $E$9)</f>
        <v>4.2401999999999997</v>
      </c>
      <c r="E241" s="81">
        <f>5.0815 * CHOOSE(CONTROL!$C$32, $C$9, 100%, $E$9)</f>
        <v>5.0815000000000001</v>
      </c>
      <c r="F241" s="81">
        <f>5.0815 * CHOOSE(CONTROL!$C$32, $C$9, 100%, $E$9)</f>
        <v>5.0815000000000001</v>
      </c>
      <c r="G241" s="81">
        <f>5.0859 * CHOOSE(CONTROL!$C$32, $C$9, 100%, $E$9)</f>
        <v>5.0858999999999996</v>
      </c>
      <c r="H241" s="81">
        <f>9.3299 * CHOOSE(CONTROL!$C$32, $C$9, 100%, $E$9)</f>
        <v>9.3299000000000003</v>
      </c>
      <c r="I241" s="81">
        <f>9.3343 * CHOOSE(CONTROL!$C$32, $C$9, 100%, $E$9)</f>
        <v>9.3343000000000007</v>
      </c>
      <c r="J241" s="81">
        <f>9.3299 * CHOOSE(CONTROL!$C$32, $C$9, 100%, $E$9)</f>
        <v>9.3299000000000003</v>
      </c>
      <c r="K241" s="81">
        <f>9.3343 * CHOOSE(CONTROL!$C$32, $C$9, 100%, $E$9)</f>
        <v>9.3343000000000007</v>
      </c>
      <c r="L241" s="81">
        <f>5.0815 * CHOOSE(CONTROL!$C$32, $C$9, 100%, $E$9)</f>
        <v>5.0815000000000001</v>
      </c>
      <c r="M241" s="81">
        <f>5.0859 * CHOOSE(CONTROL!$C$32, $C$9, 100%, $E$9)</f>
        <v>5.0858999999999996</v>
      </c>
      <c r="N241" s="81">
        <f>5.0815 * CHOOSE(CONTROL!$C$32, $C$9, 100%, $E$9)</f>
        <v>5.0815000000000001</v>
      </c>
      <c r="O241" s="81">
        <f>5.0859 * CHOOSE(CONTROL!$C$32, $C$9, 100%, $E$9)</f>
        <v>5.0858999999999996</v>
      </c>
    </row>
    <row r="242" spans="1:15" ht="15">
      <c r="A242" s="16">
        <v>48580</v>
      </c>
      <c r="B242" s="80">
        <f>4.2764 * CHOOSE(CONTROL!$C$32, $C$9, 100%, $E$9)</f>
        <v>4.2763999999999998</v>
      </c>
      <c r="C242" s="80">
        <f>4.2764 * CHOOSE(CONTROL!$C$32, $C$9, 100%, $E$9)</f>
        <v>4.2763999999999998</v>
      </c>
      <c r="D242" s="80">
        <f>4.28 * CHOOSE(CONTROL!$C$32, $C$9, 100%, $E$9)</f>
        <v>4.28</v>
      </c>
      <c r="E242" s="81">
        <f>5.1642 * CHOOSE(CONTROL!$C$32, $C$9, 100%, $E$9)</f>
        <v>5.1642000000000001</v>
      </c>
      <c r="F242" s="81">
        <f>5.1642 * CHOOSE(CONTROL!$C$32, $C$9, 100%, $E$9)</f>
        <v>5.1642000000000001</v>
      </c>
      <c r="G242" s="81">
        <f>5.1686 * CHOOSE(CONTROL!$C$32, $C$9, 100%, $E$9)</f>
        <v>5.1685999999999996</v>
      </c>
      <c r="H242" s="81">
        <f>9.3493 * CHOOSE(CONTROL!$C$32, $C$9, 100%, $E$9)</f>
        <v>9.3492999999999995</v>
      </c>
      <c r="I242" s="81">
        <f>9.3537 * CHOOSE(CONTROL!$C$32, $C$9, 100%, $E$9)</f>
        <v>9.3536999999999999</v>
      </c>
      <c r="J242" s="81">
        <f>9.3493 * CHOOSE(CONTROL!$C$32, $C$9, 100%, $E$9)</f>
        <v>9.3492999999999995</v>
      </c>
      <c r="K242" s="81">
        <f>9.3537 * CHOOSE(CONTROL!$C$32, $C$9, 100%, $E$9)</f>
        <v>9.3536999999999999</v>
      </c>
      <c r="L242" s="81">
        <f>5.1642 * CHOOSE(CONTROL!$C$32, $C$9, 100%, $E$9)</f>
        <v>5.1642000000000001</v>
      </c>
      <c r="M242" s="81">
        <f>5.1686 * CHOOSE(CONTROL!$C$32, $C$9, 100%, $E$9)</f>
        <v>5.1685999999999996</v>
      </c>
      <c r="N242" s="81">
        <f>5.1642 * CHOOSE(CONTROL!$C$32, $C$9, 100%, $E$9)</f>
        <v>5.1642000000000001</v>
      </c>
      <c r="O242" s="81">
        <f>5.1686 * CHOOSE(CONTROL!$C$32, $C$9, 100%, $E$9)</f>
        <v>5.1685999999999996</v>
      </c>
    </row>
    <row r="243" spans="1:15" ht="15">
      <c r="A243" s="16">
        <v>48611</v>
      </c>
      <c r="B243" s="80">
        <f>4.2734 * CHOOSE(CONTROL!$C$32, $C$9, 100%, $E$9)</f>
        <v>4.2733999999999996</v>
      </c>
      <c r="C243" s="80">
        <f>4.2734 * CHOOSE(CONTROL!$C$32, $C$9, 100%, $E$9)</f>
        <v>4.2733999999999996</v>
      </c>
      <c r="D243" s="80">
        <f>4.2769 * CHOOSE(CONTROL!$C$32, $C$9, 100%, $E$9)</f>
        <v>4.2769000000000004</v>
      </c>
      <c r="E243" s="81">
        <f>5.0805 * CHOOSE(CONTROL!$C$32, $C$9, 100%, $E$9)</f>
        <v>5.0804999999999998</v>
      </c>
      <c r="F243" s="81">
        <f>5.0805 * CHOOSE(CONTROL!$C$32, $C$9, 100%, $E$9)</f>
        <v>5.0804999999999998</v>
      </c>
      <c r="G243" s="81">
        <f>5.0849 * CHOOSE(CONTROL!$C$32, $C$9, 100%, $E$9)</f>
        <v>5.0849000000000002</v>
      </c>
      <c r="H243" s="81">
        <f>9.3688 * CHOOSE(CONTROL!$C$32, $C$9, 100%, $E$9)</f>
        <v>9.3688000000000002</v>
      </c>
      <c r="I243" s="81">
        <f>9.3732 * CHOOSE(CONTROL!$C$32, $C$9, 100%, $E$9)</f>
        <v>9.3732000000000006</v>
      </c>
      <c r="J243" s="81">
        <f>9.3688 * CHOOSE(CONTROL!$C$32, $C$9, 100%, $E$9)</f>
        <v>9.3688000000000002</v>
      </c>
      <c r="K243" s="81">
        <f>9.3732 * CHOOSE(CONTROL!$C$32, $C$9, 100%, $E$9)</f>
        <v>9.3732000000000006</v>
      </c>
      <c r="L243" s="81">
        <f>5.0805 * CHOOSE(CONTROL!$C$32, $C$9, 100%, $E$9)</f>
        <v>5.0804999999999998</v>
      </c>
      <c r="M243" s="81">
        <f>5.0849 * CHOOSE(CONTROL!$C$32, $C$9, 100%, $E$9)</f>
        <v>5.0849000000000002</v>
      </c>
      <c r="N243" s="81">
        <f>5.0805 * CHOOSE(CONTROL!$C$32, $C$9, 100%, $E$9)</f>
        <v>5.0804999999999998</v>
      </c>
      <c r="O243" s="81">
        <f>5.0849 * CHOOSE(CONTROL!$C$32, $C$9, 100%, $E$9)</f>
        <v>5.0849000000000002</v>
      </c>
    </row>
    <row r="244" spans="1:15" ht="15">
      <c r="A244" s="16">
        <v>48639</v>
      </c>
      <c r="B244" s="80">
        <f>4.2703 * CHOOSE(CONTROL!$C$32, $C$9, 100%, $E$9)</f>
        <v>4.2702999999999998</v>
      </c>
      <c r="C244" s="80">
        <f>4.2703 * CHOOSE(CONTROL!$C$32, $C$9, 100%, $E$9)</f>
        <v>4.2702999999999998</v>
      </c>
      <c r="D244" s="80">
        <f>4.2739 * CHOOSE(CONTROL!$C$32, $C$9, 100%, $E$9)</f>
        <v>4.2739000000000003</v>
      </c>
      <c r="E244" s="81">
        <f>5.1427 * CHOOSE(CONTROL!$C$32, $C$9, 100%, $E$9)</f>
        <v>5.1426999999999996</v>
      </c>
      <c r="F244" s="81">
        <f>5.1427 * CHOOSE(CONTROL!$C$32, $C$9, 100%, $E$9)</f>
        <v>5.1426999999999996</v>
      </c>
      <c r="G244" s="81">
        <f>5.1471 * CHOOSE(CONTROL!$C$32, $C$9, 100%, $E$9)</f>
        <v>5.1471</v>
      </c>
      <c r="H244" s="81">
        <f>9.3883 * CHOOSE(CONTROL!$C$32, $C$9, 100%, $E$9)</f>
        <v>9.3882999999999992</v>
      </c>
      <c r="I244" s="81">
        <f>9.3927 * CHOOSE(CONTROL!$C$32, $C$9, 100%, $E$9)</f>
        <v>9.3926999999999996</v>
      </c>
      <c r="J244" s="81">
        <f>9.3883 * CHOOSE(CONTROL!$C$32, $C$9, 100%, $E$9)</f>
        <v>9.3882999999999992</v>
      </c>
      <c r="K244" s="81">
        <f>9.3927 * CHOOSE(CONTROL!$C$32, $C$9, 100%, $E$9)</f>
        <v>9.3926999999999996</v>
      </c>
      <c r="L244" s="81">
        <f>5.1427 * CHOOSE(CONTROL!$C$32, $C$9, 100%, $E$9)</f>
        <v>5.1426999999999996</v>
      </c>
      <c r="M244" s="81">
        <f>5.1471 * CHOOSE(CONTROL!$C$32, $C$9, 100%, $E$9)</f>
        <v>5.1471</v>
      </c>
      <c r="N244" s="81">
        <f>5.1427 * CHOOSE(CONTROL!$C$32, $C$9, 100%, $E$9)</f>
        <v>5.1426999999999996</v>
      </c>
      <c r="O244" s="81">
        <f>5.1471 * CHOOSE(CONTROL!$C$32, $C$9, 100%, $E$9)</f>
        <v>5.1471</v>
      </c>
    </row>
    <row r="245" spans="1:15" ht="15">
      <c r="A245" s="16">
        <v>48670</v>
      </c>
      <c r="B245" s="80">
        <f>4.2682 * CHOOSE(CONTROL!$C$32, $C$9, 100%, $E$9)</f>
        <v>4.2682000000000002</v>
      </c>
      <c r="C245" s="80">
        <f>4.2682 * CHOOSE(CONTROL!$C$32, $C$9, 100%, $E$9)</f>
        <v>4.2682000000000002</v>
      </c>
      <c r="D245" s="80">
        <f>4.2718 * CHOOSE(CONTROL!$C$32, $C$9, 100%, $E$9)</f>
        <v>4.2717999999999998</v>
      </c>
      <c r="E245" s="81">
        <f>5.2076 * CHOOSE(CONTROL!$C$32, $C$9, 100%, $E$9)</f>
        <v>5.2076000000000002</v>
      </c>
      <c r="F245" s="81">
        <f>5.2076 * CHOOSE(CONTROL!$C$32, $C$9, 100%, $E$9)</f>
        <v>5.2076000000000002</v>
      </c>
      <c r="G245" s="81">
        <f>5.2119 * CHOOSE(CONTROL!$C$32, $C$9, 100%, $E$9)</f>
        <v>5.2119</v>
      </c>
      <c r="H245" s="81">
        <f>9.4079 * CHOOSE(CONTROL!$C$32, $C$9, 100%, $E$9)</f>
        <v>9.4078999999999997</v>
      </c>
      <c r="I245" s="81">
        <f>9.4123 * CHOOSE(CONTROL!$C$32, $C$9, 100%, $E$9)</f>
        <v>9.4123000000000001</v>
      </c>
      <c r="J245" s="81">
        <f>9.4079 * CHOOSE(CONTROL!$C$32, $C$9, 100%, $E$9)</f>
        <v>9.4078999999999997</v>
      </c>
      <c r="K245" s="81">
        <f>9.4123 * CHOOSE(CONTROL!$C$32, $C$9, 100%, $E$9)</f>
        <v>9.4123000000000001</v>
      </c>
      <c r="L245" s="81">
        <f>5.2076 * CHOOSE(CONTROL!$C$32, $C$9, 100%, $E$9)</f>
        <v>5.2076000000000002</v>
      </c>
      <c r="M245" s="81">
        <f>5.2119 * CHOOSE(CONTROL!$C$32, $C$9, 100%, $E$9)</f>
        <v>5.2119</v>
      </c>
      <c r="N245" s="81">
        <f>5.2076 * CHOOSE(CONTROL!$C$32, $C$9, 100%, $E$9)</f>
        <v>5.2076000000000002</v>
      </c>
      <c r="O245" s="81">
        <f>5.2119 * CHOOSE(CONTROL!$C$32, $C$9, 100%, $E$9)</f>
        <v>5.2119</v>
      </c>
    </row>
    <row r="246" spans="1:15" ht="15">
      <c r="A246" s="16">
        <v>48700</v>
      </c>
      <c r="B246" s="80">
        <f>4.2682 * CHOOSE(CONTROL!$C$32, $C$9, 100%, $E$9)</f>
        <v>4.2682000000000002</v>
      </c>
      <c r="C246" s="80">
        <f>4.2682 * CHOOSE(CONTROL!$C$32, $C$9, 100%, $E$9)</f>
        <v>4.2682000000000002</v>
      </c>
      <c r="D246" s="80">
        <f>4.2734 * CHOOSE(CONTROL!$C$32, $C$9, 100%, $E$9)</f>
        <v>4.2733999999999996</v>
      </c>
      <c r="E246" s="81">
        <f>5.2335 * CHOOSE(CONTROL!$C$32, $C$9, 100%, $E$9)</f>
        <v>5.2335000000000003</v>
      </c>
      <c r="F246" s="81">
        <f>5.2335 * CHOOSE(CONTROL!$C$32, $C$9, 100%, $E$9)</f>
        <v>5.2335000000000003</v>
      </c>
      <c r="G246" s="81">
        <f>5.2398 * CHOOSE(CONTROL!$C$32, $C$9, 100%, $E$9)</f>
        <v>5.2397999999999998</v>
      </c>
      <c r="H246" s="81">
        <f>9.4275 * CHOOSE(CONTROL!$C$32, $C$9, 100%, $E$9)</f>
        <v>9.4275000000000002</v>
      </c>
      <c r="I246" s="81">
        <f>9.4338 * CHOOSE(CONTROL!$C$32, $C$9, 100%, $E$9)</f>
        <v>9.4337999999999997</v>
      </c>
      <c r="J246" s="81">
        <f>9.4275 * CHOOSE(CONTROL!$C$32, $C$9, 100%, $E$9)</f>
        <v>9.4275000000000002</v>
      </c>
      <c r="K246" s="81">
        <f>9.4338 * CHOOSE(CONTROL!$C$32, $C$9, 100%, $E$9)</f>
        <v>9.4337999999999997</v>
      </c>
      <c r="L246" s="81">
        <f>5.2335 * CHOOSE(CONTROL!$C$32, $C$9, 100%, $E$9)</f>
        <v>5.2335000000000003</v>
      </c>
      <c r="M246" s="81">
        <f>5.2398 * CHOOSE(CONTROL!$C$32, $C$9, 100%, $E$9)</f>
        <v>5.2397999999999998</v>
      </c>
      <c r="N246" s="81">
        <f>5.2335 * CHOOSE(CONTROL!$C$32, $C$9, 100%, $E$9)</f>
        <v>5.2335000000000003</v>
      </c>
      <c r="O246" s="81">
        <f>5.2398 * CHOOSE(CONTROL!$C$32, $C$9, 100%, $E$9)</f>
        <v>5.2397999999999998</v>
      </c>
    </row>
    <row r="247" spans="1:15" ht="15">
      <c r="A247" s="16">
        <v>48731</v>
      </c>
      <c r="B247" s="80">
        <f>4.2743 * CHOOSE(CONTROL!$C$32, $C$9, 100%, $E$9)</f>
        <v>4.2743000000000002</v>
      </c>
      <c r="C247" s="80">
        <f>4.2743 * CHOOSE(CONTROL!$C$32, $C$9, 100%, $E$9)</f>
        <v>4.2743000000000002</v>
      </c>
      <c r="D247" s="80">
        <f>4.2795 * CHOOSE(CONTROL!$C$32, $C$9, 100%, $E$9)</f>
        <v>4.2794999999999996</v>
      </c>
      <c r="E247" s="81">
        <f>5.2118 * CHOOSE(CONTROL!$C$32, $C$9, 100%, $E$9)</f>
        <v>5.2118000000000002</v>
      </c>
      <c r="F247" s="81">
        <f>5.2118 * CHOOSE(CONTROL!$C$32, $C$9, 100%, $E$9)</f>
        <v>5.2118000000000002</v>
      </c>
      <c r="G247" s="81">
        <f>5.2181 * CHOOSE(CONTROL!$C$32, $C$9, 100%, $E$9)</f>
        <v>5.2180999999999997</v>
      </c>
      <c r="H247" s="81">
        <f>9.4471 * CHOOSE(CONTROL!$C$32, $C$9, 100%, $E$9)</f>
        <v>9.4471000000000007</v>
      </c>
      <c r="I247" s="81">
        <f>9.4535 * CHOOSE(CONTROL!$C$32, $C$9, 100%, $E$9)</f>
        <v>9.4535</v>
      </c>
      <c r="J247" s="81">
        <f>9.4471 * CHOOSE(CONTROL!$C$32, $C$9, 100%, $E$9)</f>
        <v>9.4471000000000007</v>
      </c>
      <c r="K247" s="81">
        <f>9.4535 * CHOOSE(CONTROL!$C$32, $C$9, 100%, $E$9)</f>
        <v>9.4535</v>
      </c>
      <c r="L247" s="81">
        <f>5.2118 * CHOOSE(CONTROL!$C$32, $C$9, 100%, $E$9)</f>
        <v>5.2118000000000002</v>
      </c>
      <c r="M247" s="81">
        <f>5.2181 * CHOOSE(CONTROL!$C$32, $C$9, 100%, $E$9)</f>
        <v>5.2180999999999997</v>
      </c>
      <c r="N247" s="81">
        <f>5.2118 * CHOOSE(CONTROL!$C$32, $C$9, 100%, $E$9)</f>
        <v>5.2118000000000002</v>
      </c>
      <c r="O247" s="81">
        <f>5.2181 * CHOOSE(CONTROL!$C$32, $C$9, 100%, $E$9)</f>
        <v>5.2180999999999997</v>
      </c>
    </row>
    <row r="248" spans="1:15" ht="15">
      <c r="A248" s="16">
        <v>48761</v>
      </c>
      <c r="B248" s="80">
        <f>4.3499 * CHOOSE(CONTROL!$C$32, $C$9, 100%, $E$9)</f>
        <v>4.3498999999999999</v>
      </c>
      <c r="C248" s="80">
        <f>4.3499 * CHOOSE(CONTROL!$C$32, $C$9, 100%, $E$9)</f>
        <v>4.3498999999999999</v>
      </c>
      <c r="D248" s="80">
        <f>4.355 * CHOOSE(CONTROL!$C$32, $C$9, 100%, $E$9)</f>
        <v>4.3550000000000004</v>
      </c>
      <c r="E248" s="81">
        <f>5.3292 * CHOOSE(CONTROL!$C$32, $C$9, 100%, $E$9)</f>
        <v>5.3292000000000002</v>
      </c>
      <c r="F248" s="81">
        <f>5.3292 * CHOOSE(CONTROL!$C$32, $C$9, 100%, $E$9)</f>
        <v>5.3292000000000002</v>
      </c>
      <c r="G248" s="81">
        <f>5.3355 * CHOOSE(CONTROL!$C$32, $C$9, 100%, $E$9)</f>
        <v>5.3354999999999997</v>
      </c>
      <c r="H248" s="81">
        <f>9.4668 * CHOOSE(CONTROL!$C$32, $C$9, 100%, $E$9)</f>
        <v>9.4667999999999992</v>
      </c>
      <c r="I248" s="81">
        <f>9.4731 * CHOOSE(CONTROL!$C$32, $C$9, 100%, $E$9)</f>
        <v>9.4731000000000005</v>
      </c>
      <c r="J248" s="81">
        <f>9.4668 * CHOOSE(CONTROL!$C$32, $C$9, 100%, $E$9)</f>
        <v>9.4667999999999992</v>
      </c>
      <c r="K248" s="81">
        <f>9.4731 * CHOOSE(CONTROL!$C$32, $C$9, 100%, $E$9)</f>
        <v>9.4731000000000005</v>
      </c>
      <c r="L248" s="81">
        <f>5.3292 * CHOOSE(CONTROL!$C$32, $C$9, 100%, $E$9)</f>
        <v>5.3292000000000002</v>
      </c>
      <c r="M248" s="81">
        <f>5.3355 * CHOOSE(CONTROL!$C$32, $C$9, 100%, $E$9)</f>
        <v>5.3354999999999997</v>
      </c>
      <c r="N248" s="81">
        <f>5.3292 * CHOOSE(CONTROL!$C$32, $C$9, 100%, $E$9)</f>
        <v>5.3292000000000002</v>
      </c>
      <c r="O248" s="81">
        <f>5.3355 * CHOOSE(CONTROL!$C$32, $C$9, 100%, $E$9)</f>
        <v>5.3354999999999997</v>
      </c>
    </row>
    <row r="249" spans="1:15" ht="15">
      <c r="A249" s="16">
        <v>48792</v>
      </c>
      <c r="B249" s="80">
        <f>4.3566 * CHOOSE(CONTROL!$C$32, $C$9, 100%, $E$9)</f>
        <v>4.3566000000000003</v>
      </c>
      <c r="C249" s="80">
        <f>4.3566 * CHOOSE(CONTROL!$C$32, $C$9, 100%, $E$9)</f>
        <v>4.3566000000000003</v>
      </c>
      <c r="D249" s="80">
        <f>4.3617 * CHOOSE(CONTROL!$C$32, $C$9, 100%, $E$9)</f>
        <v>4.3616999999999999</v>
      </c>
      <c r="E249" s="81">
        <f>5.2562 * CHOOSE(CONTROL!$C$32, $C$9, 100%, $E$9)</f>
        <v>5.2561999999999998</v>
      </c>
      <c r="F249" s="81">
        <f>5.2562 * CHOOSE(CONTROL!$C$32, $C$9, 100%, $E$9)</f>
        <v>5.2561999999999998</v>
      </c>
      <c r="G249" s="81">
        <f>5.2625 * CHOOSE(CONTROL!$C$32, $C$9, 100%, $E$9)</f>
        <v>5.2625000000000002</v>
      </c>
      <c r="H249" s="81">
        <f>9.4865 * CHOOSE(CONTROL!$C$32, $C$9, 100%, $E$9)</f>
        <v>9.4864999999999995</v>
      </c>
      <c r="I249" s="81">
        <f>9.4929 * CHOOSE(CONTROL!$C$32, $C$9, 100%, $E$9)</f>
        <v>9.4929000000000006</v>
      </c>
      <c r="J249" s="81">
        <f>9.4865 * CHOOSE(CONTROL!$C$32, $C$9, 100%, $E$9)</f>
        <v>9.4864999999999995</v>
      </c>
      <c r="K249" s="81">
        <f>9.4929 * CHOOSE(CONTROL!$C$32, $C$9, 100%, $E$9)</f>
        <v>9.4929000000000006</v>
      </c>
      <c r="L249" s="81">
        <f>5.2562 * CHOOSE(CONTROL!$C$32, $C$9, 100%, $E$9)</f>
        <v>5.2561999999999998</v>
      </c>
      <c r="M249" s="81">
        <f>5.2625 * CHOOSE(CONTROL!$C$32, $C$9, 100%, $E$9)</f>
        <v>5.2625000000000002</v>
      </c>
      <c r="N249" s="81">
        <f>5.2562 * CHOOSE(CONTROL!$C$32, $C$9, 100%, $E$9)</f>
        <v>5.2561999999999998</v>
      </c>
      <c r="O249" s="81">
        <f>5.2625 * CHOOSE(CONTROL!$C$32, $C$9, 100%, $E$9)</f>
        <v>5.2625000000000002</v>
      </c>
    </row>
    <row r="250" spans="1:15" ht="15">
      <c r="A250" s="16">
        <v>48823</v>
      </c>
      <c r="B250" s="80">
        <f>4.3535 * CHOOSE(CONTROL!$C$32, $C$9, 100%, $E$9)</f>
        <v>4.3535000000000004</v>
      </c>
      <c r="C250" s="80">
        <f>4.3535 * CHOOSE(CONTROL!$C$32, $C$9, 100%, $E$9)</f>
        <v>4.3535000000000004</v>
      </c>
      <c r="D250" s="80">
        <f>4.3587 * CHOOSE(CONTROL!$C$32, $C$9, 100%, $E$9)</f>
        <v>4.3586999999999998</v>
      </c>
      <c r="E250" s="81">
        <f>5.2454 * CHOOSE(CONTROL!$C$32, $C$9, 100%, $E$9)</f>
        <v>5.2454000000000001</v>
      </c>
      <c r="F250" s="81">
        <f>5.2454 * CHOOSE(CONTROL!$C$32, $C$9, 100%, $E$9)</f>
        <v>5.2454000000000001</v>
      </c>
      <c r="G250" s="81">
        <f>5.2517 * CHOOSE(CONTROL!$C$32, $C$9, 100%, $E$9)</f>
        <v>5.2516999999999996</v>
      </c>
      <c r="H250" s="81">
        <f>9.5063 * CHOOSE(CONTROL!$C$32, $C$9, 100%, $E$9)</f>
        <v>9.5062999999999995</v>
      </c>
      <c r="I250" s="81">
        <f>9.5126 * CHOOSE(CONTROL!$C$32, $C$9, 100%, $E$9)</f>
        <v>9.5126000000000008</v>
      </c>
      <c r="J250" s="81">
        <f>9.5063 * CHOOSE(CONTROL!$C$32, $C$9, 100%, $E$9)</f>
        <v>9.5062999999999995</v>
      </c>
      <c r="K250" s="81">
        <f>9.5126 * CHOOSE(CONTROL!$C$32, $C$9, 100%, $E$9)</f>
        <v>9.5126000000000008</v>
      </c>
      <c r="L250" s="81">
        <f>5.2454 * CHOOSE(CONTROL!$C$32, $C$9, 100%, $E$9)</f>
        <v>5.2454000000000001</v>
      </c>
      <c r="M250" s="81">
        <f>5.2517 * CHOOSE(CONTROL!$C$32, $C$9, 100%, $E$9)</f>
        <v>5.2516999999999996</v>
      </c>
      <c r="N250" s="81">
        <f>5.2454 * CHOOSE(CONTROL!$C$32, $C$9, 100%, $E$9)</f>
        <v>5.2454000000000001</v>
      </c>
      <c r="O250" s="81">
        <f>5.2517 * CHOOSE(CONTROL!$C$32, $C$9, 100%, $E$9)</f>
        <v>5.2516999999999996</v>
      </c>
    </row>
    <row r="251" spans="1:15" ht="15">
      <c r="A251" s="16">
        <v>48853</v>
      </c>
      <c r="B251" s="80">
        <f>4.3497 * CHOOSE(CONTROL!$C$32, $C$9, 100%, $E$9)</f>
        <v>4.3497000000000003</v>
      </c>
      <c r="C251" s="80">
        <f>4.3497 * CHOOSE(CONTROL!$C$32, $C$9, 100%, $E$9)</f>
        <v>4.3497000000000003</v>
      </c>
      <c r="D251" s="80">
        <f>4.3533 * CHOOSE(CONTROL!$C$32, $C$9, 100%, $E$9)</f>
        <v>4.3532999999999999</v>
      </c>
      <c r="E251" s="81">
        <f>5.2665 * CHOOSE(CONTROL!$C$32, $C$9, 100%, $E$9)</f>
        <v>5.2664999999999997</v>
      </c>
      <c r="F251" s="81">
        <f>5.2665 * CHOOSE(CONTROL!$C$32, $C$9, 100%, $E$9)</f>
        <v>5.2664999999999997</v>
      </c>
      <c r="G251" s="81">
        <f>5.2709 * CHOOSE(CONTROL!$C$32, $C$9, 100%, $E$9)</f>
        <v>5.2709000000000001</v>
      </c>
      <c r="H251" s="81">
        <f>9.5261 * CHOOSE(CONTROL!$C$32, $C$9, 100%, $E$9)</f>
        <v>9.5260999999999996</v>
      </c>
      <c r="I251" s="81">
        <f>9.5305 * CHOOSE(CONTROL!$C$32, $C$9, 100%, $E$9)</f>
        <v>9.5305</v>
      </c>
      <c r="J251" s="81">
        <f>9.5261 * CHOOSE(CONTROL!$C$32, $C$9, 100%, $E$9)</f>
        <v>9.5260999999999996</v>
      </c>
      <c r="K251" s="81">
        <f>9.5305 * CHOOSE(CONTROL!$C$32, $C$9, 100%, $E$9)</f>
        <v>9.5305</v>
      </c>
      <c r="L251" s="81">
        <f>5.2665 * CHOOSE(CONTROL!$C$32, $C$9, 100%, $E$9)</f>
        <v>5.2664999999999997</v>
      </c>
      <c r="M251" s="81">
        <f>5.2709 * CHOOSE(CONTROL!$C$32, $C$9, 100%, $E$9)</f>
        <v>5.2709000000000001</v>
      </c>
      <c r="N251" s="81">
        <f>5.2665 * CHOOSE(CONTROL!$C$32, $C$9, 100%, $E$9)</f>
        <v>5.2664999999999997</v>
      </c>
      <c r="O251" s="81">
        <f>5.2709 * CHOOSE(CONTROL!$C$32, $C$9, 100%, $E$9)</f>
        <v>5.2709000000000001</v>
      </c>
    </row>
    <row r="252" spans="1:15" ht="15">
      <c r="A252" s="16">
        <v>48884</v>
      </c>
      <c r="B252" s="80">
        <f>4.3528 * CHOOSE(CONTROL!$C$32, $C$9, 100%, $E$9)</f>
        <v>4.3528000000000002</v>
      </c>
      <c r="C252" s="80">
        <f>4.3528 * CHOOSE(CONTROL!$C$32, $C$9, 100%, $E$9)</f>
        <v>4.3528000000000002</v>
      </c>
      <c r="D252" s="80">
        <f>4.3563 * CHOOSE(CONTROL!$C$32, $C$9, 100%, $E$9)</f>
        <v>4.3563000000000001</v>
      </c>
      <c r="E252" s="81">
        <f>5.2859 * CHOOSE(CONTROL!$C$32, $C$9, 100%, $E$9)</f>
        <v>5.2858999999999998</v>
      </c>
      <c r="F252" s="81">
        <f>5.2859 * CHOOSE(CONTROL!$C$32, $C$9, 100%, $E$9)</f>
        <v>5.2858999999999998</v>
      </c>
      <c r="G252" s="81">
        <f>5.2903 * CHOOSE(CONTROL!$C$32, $C$9, 100%, $E$9)</f>
        <v>5.2903000000000002</v>
      </c>
      <c r="H252" s="81">
        <f>9.546 * CHOOSE(CONTROL!$C$32, $C$9, 100%, $E$9)</f>
        <v>9.5459999999999994</v>
      </c>
      <c r="I252" s="81">
        <f>9.5503 * CHOOSE(CONTROL!$C$32, $C$9, 100%, $E$9)</f>
        <v>9.5503</v>
      </c>
      <c r="J252" s="81">
        <f>9.546 * CHOOSE(CONTROL!$C$32, $C$9, 100%, $E$9)</f>
        <v>9.5459999999999994</v>
      </c>
      <c r="K252" s="81">
        <f>9.5503 * CHOOSE(CONTROL!$C$32, $C$9, 100%, $E$9)</f>
        <v>9.5503</v>
      </c>
      <c r="L252" s="81">
        <f>5.2859 * CHOOSE(CONTROL!$C$32, $C$9, 100%, $E$9)</f>
        <v>5.2858999999999998</v>
      </c>
      <c r="M252" s="81">
        <f>5.2903 * CHOOSE(CONTROL!$C$32, $C$9, 100%, $E$9)</f>
        <v>5.2903000000000002</v>
      </c>
      <c r="N252" s="81">
        <f>5.2859 * CHOOSE(CONTROL!$C$32, $C$9, 100%, $E$9)</f>
        <v>5.2858999999999998</v>
      </c>
      <c r="O252" s="81">
        <f>5.2903 * CHOOSE(CONTROL!$C$32, $C$9, 100%, $E$9)</f>
        <v>5.2903000000000002</v>
      </c>
    </row>
    <row r="253" spans="1:15" ht="15">
      <c r="A253" s="16">
        <v>48914</v>
      </c>
      <c r="B253" s="80">
        <f>4.3528 * CHOOSE(CONTROL!$C$32, $C$9, 100%, $E$9)</f>
        <v>4.3528000000000002</v>
      </c>
      <c r="C253" s="80">
        <f>4.3528 * CHOOSE(CONTROL!$C$32, $C$9, 100%, $E$9)</f>
        <v>4.3528000000000002</v>
      </c>
      <c r="D253" s="80">
        <f>4.3563 * CHOOSE(CONTROL!$C$32, $C$9, 100%, $E$9)</f>
        <v>4.3563000000000001</v>
      </c>
      <c r="E253" s="81">
        <f>5.2427 * CHOOSE(CONTROL!$C$32, $C$9, 100%, $E$9)</f>
        <v>5.2427000000000001</v>
      </c>
      <c r="F253" s="81">
        <f>5.2427 * CHOOSE(CONTROL!$C$32, $C$9, 100%, $E$9)</f>
        <v>5.2427000000000001</v>
      </c>
      <c r="G253" s="81">
        <f>5.2471 * CHOOSE(CONTROL!$C$32, $C$9, 100%, $E$9)</f>
        <v>5.2470999999999997</v>
      </c>
      <c r="H253" s="81">
        <f>9.5659 * CHOOSE(CONTROL!$C$32, $C$9, 100%, $E$9)</f>
        <v>9.5658999999999992</v>
      </c>
      <c r="I253" s="81">
        <f>9.5702 * CHOOSE(CONTROL!$C$32, $C$9, 100%, $E$9)</f>
        <v>9.5701999999999998</v>
      </c>
      <c r="J253" s="81">
        <f>9.5659 * CHOOSE(CONTROL!$C$32, $C$9, 100%, $E$9)</f>
        <v>9.5658999999999992</v>
      </c>
      <c r="K253" s="81">
        <f>9.5702 * CHOOSE(CONTROL!$C$32, $C$9, 100%, $E$9)</f>
        <v>9.5701999999999998</v>
      </c>
      <c r="L253" s="81">
        <f>5.2427 * CHOOSE(CONTROL!$C$32, $C$9, 100%, $E$9)</f>
        <v>5.2427000000000001</v>
      </c>
      <c r="M253" s="81">
        <f>5.2471 * CHOOSE(CONTROL!$C$32, $C$9, 100%, $E$9)</f>
        <v>5.2470999999999997</v>
      </c>
      <c r="N253" s="81">
        <f>5.2427 * CHOOSE(CONTROL!$C$32, $C$9, 100%, $E$9)</f>
        <v>5.2427000000000001</v>
      </c>
      <c r="O253" s="81">
        <f>5.2471 * CHOOSE(CONTROL!$C$32, $C$9, 100%, $E$9)</f>
        <v>5.2470999999999997</v>
      </c>
    </row>
    <row r="254" spans="1:15" ht="15">
      <c r="A254" s="16">
        <v>48945</v>
      </c>
      <c r="B254" s="80">
        <f>4.3942 * CHOOSE(CONTROL!$C$32, $C$9, 100%, $E$9)</f>
        <v>4.3941999999999997</v>
      </c>
      <c r="C254" s="80">
        <f>4.3942 * CHOOSE(CONTROL!$C$32, $C$9, 100%, $E$9)</f>
        <v>4.3941999999999997</v>
      </c>
      <c r="D254" s="80">
        <f>4.3977 * CHOOSE(CONTROL!$C$32, $C$9, 100%, $E$9)</f>
        <v>4.3977000000000004</v>
      </c>
      <c r="E254" s="81">
        <f>5.3259 * CHOOSE(CONTROL!$C$32, $C$9, 100%, $E$9)</f>
        <v>5.3258999999999999</v>
      </c>
      <c r="F254" s="81">
        <f>5.3259 * CHOOSE(CONTROL!$C$32, $C$9, 100%, $E$9)</f>
        <v>5.3258999999999999</v>
      </c>
      <c r="G254" s="81">
        <f>5.3303 * CHOOSE(CONTROL!$C$32, $C$9, 100%, $E$9)</f>
        <v>5.3303000000000003</v>
      </c>
      <c r="H254" s="81">
        <f>9.5858 * CHOOSE(CONTROL!$C$32, $C$9, 100%, $E$9)</f>
        <v>9.5858000000000008</v>
      </c>
      <c r="I254" s="81">
        <f>9.5901 * CHOOSE(CONTROL!$C$32, $C$9, 100%, $E$9)</f>
        <v>9.5900999999999996</v>
      </c>
      <c r="J254" s="81">
        <f>9.5858 * CHOOSE(CONTROL!$C$32, $C$9, 100%, $E$9)</f>
        <v>9.5858000000000008</v>
      </c>
      <c r="K254" s="81">
        <f>9.5901 * CHOOSE(CONTROL!$C$32, $C$9, 100%, $E$9)</f>
        <v>9.5900999999999996</v>
      </c>
      <c r="L254" s="81">
        <f>5.3259 * CHOOSE(CONTROL!$C$32, $C$9, 100%, $E$9)</f>
        <v>5.3258999999999999</v>
      </c>
      <c r="M254" s="81">
        <f>5.3303 * CHOOSE(CONTROL!$C$32, $C$9, 100%, $E$9)</f>
        <v>5.3303000000000003</v>
      </c>
      <c r="N254" s="81">
        <f>5.3259 * CHOOSE(CONTROL!$C$32, $C$9, 100%, $E$9)</f>
        <v>5.3258999999999999</v>
      </c>
      <c r="O254" s="81">
        <f>5.3303 * CHOOSE(CONTROL!$C$32, $C$9, 100%, $E$9)</f>
        <v>5.3303000000000003</v>
      </c>
    </row>
    <row r="255" spans="1:15" ht="15">
      <c r="A255" s="16">
        <v>48976</v>
      </c>
      <c r="B255" s="80">
        <f>4.3911 * CHOOSE(CONTROL!$C$32, $C$9, 100%, $E$9)</f>
        <v>4.3910999999999998</v>
      </c>
      <c r="C255" s="80">
        <f>4.3911 * CHOOSE(CONTROL!$C$32, $C$9, 100%, $E$9)</f>
        <v>4.3910999999999998</v>
      </c>
      <c r="D255" s="80">
        <f>4.3947 * CHOOSE(CONTROL!$C$32, $C$9, 100%, $E$9)</f>
        <v>4.3947000000000003</v>
      </c>
      <c r="E255" s="81">
        <f>5.24 * CHOOSE(CONTROL!$C$32, $C$9, 100%, $E$9)</f>
        <v>5.24</v>
      </c>
      <c r="F255" s="81">
        <f>5.24 * CHOOSE(CONTROL!$C$32, $C$9, 100%, $E$9)</f>
        <v>5.24</v>
      </c>
      <c r="G255" s="81">
        <f>5.2444 * CHOOSE(CONTROL!$C$32, $C$9, 100%, $E$9)</f>
        <v>5.2443999999999997</v>
      </c>
      <c r="H255" s="81">
        <f>9.6057 * CHOOSE(CONTROL!$C$32, $C$9, 100%, $E$9)</f>
        <v>9.6057000000000006</v>
      </c>
      <c r="I255" s="81">
        <f>9.6101 * CHOOSE(CONTROL!$C$32, $C$9, 100%, $E$9)</f>
        <v>9.6100999999999992</v>
      </c>
      <c r="J255" s="81">
        <f>9.6057 * CHOOSE(CONTROL!$C$32, $C$9, 100%, $E$9)</f>
        <v>9.6057000000000006</v>
      </c>
      <c r="K255" s="81">
        <f>9.6101 * CHOOSE(CONTROL!$C$32, $C$9, 100%, $E$9)</f>
        <v>9.6100999999999992</v>
      </c>
      <c r="L255" s="81">
        <f>5.24 * CHOOSE(CONTROL!$C$32, $C$9, 100%, $E$9)</f>
        <v>5.24</v>
      </c>
      <c r="M255" s="81">
        <f>5.2444 * CHOOSE(CONTROL!$C$32, $C$9, 100%, $E$9)</f>
        <v>5.2443999999999997</v>
      </c>
      <c r="N255" s="81">
        <f>5.24 * CHOOSE(CONTROL!$C$32, $C$9, 100%, $E$9)</f>
        <v>5.24</v>
      </c>
      <c r="O255" s="81">
        <f>5.2444 * CHOOSE(CONTROL!$C$32, $C$9, 100%, $E$9)</f>
        <v>5.2443999999999997</v>
      </c>
    </row>
    <row r="256" spans="1:15" ht="15">
      <c r="A256" s="16">
        <v>49004</v>
      </c>
      <c r="B256" s="80">
        <f>4.3881 * CHOOSE(CONTROL!$C$32, $C$9, 100%, $E$9)</f>
        <v>4.3880999999999997</v>
      </c>
      <c r="C256" s="80">
        <f>4.3881 * CHOOSE(CONTROL!$C$32, $C$9, 100%, $E$9)</f>
        <v>4.3880999999999997</v>
      </c>
      <c r="D256" s="80">
        <f>4.3916 * CHOOSE(CONTROL!$C$32, $C$9, 100%, $E$9)</f>
        <v>4.3916000000000004</v>
      </c>
      <c r="E256" s="81">
        <f>5.304 * CHOOSE(CONTROL!$C$32, $C$9, 100%, $E$9)</f>
        <v>5.3040000000000003</v>
      </c>
      <c r="F256" s="81">
        <f>5.304 * CHOOSE(CONTROL!$C$32, $C$9, 100%, $E$9)</f>
        <v>5.3040000000000003</v>
      </c>
      <c r="G256" s="81">
        <f>5.3083 * CHOOSE(CONTROL!$C$32, $C$9, 100%, $E$9)</f>
        <v>5.3083</v>
      </c>
      <c r="H256" s="81">
        <f>9.6258 * CHOOSE(CONTROL!$C$32, $C$9, 100%, $E$9)</f>
        <v>9.6257999999999999</v>
      </c>
      <c r="I256" s="81">
        <f>9.6301 * CHOOSE(CONTROL!$C$32, $C$9, 100%, $E$9)</f>
        <v>9.6301000000000005</v>
      </c>
      <c r="J256" s="81">
        <f>9.6258 * CHOOSE(CONTROL!$C$32, $C$9, 100%, $E$9)</f>
        <v>9.6257999999999999</v>
      </c>
      <c r="K256" s="81">
        <f>9.6301 * CHOOSE(CONTROL!$C$32, $C$9, 100%, $E$9)</f>
        <v>9.6301000000000005</v>
      </c>
      <c r="L256" s="81">
        <f>5.304 * CHOOSE(CONTROL!$C$32, $C$9, 100%, $E$9)</f>
        <v>5.3040000000000003</v>
      </c>
      <c r="M256" s="81">
        <f>5.3083 * CHOOSE(CONTROL!$C$32, $C$9, 100%, $E$9)</f>
        <v>5.3083</v>
      </c>
      <c r="N256" s="81">
        <f>5.304 * CHOOSE(CONTROL!$C$32, $C$9, 100%, $E$9)</f>
        <v>5.3040000000000003</v>
      </c>
      <c r="O256" s="81">
        <f>5.3083 * CHOOSE(CONTROL!$C$32, $C$9, 100%, $E$9)</f>
        <v>5.3083</v>
      </c>
    </row>
    <row r="257" spans="1:15" ht="15">
      <c r="A257" s="16">
        <v>49035</v>
      </c>
      <c r="B257" s="80">
        <f>4.3861 * CHOOSE(CONTROL!$C$32, $C$9, 100%, $E$9)</f>
        <v>4.3860999999999999</v>
      </c>
      <c r="C257" s="80">
        <f>4.3861 * CHOOSE(CONTROL!$C$32, $C$9, 100%, $E$9)</f>
        <v>4.3860999999999999</v>
      </c>
      <c r="D257" s="80">
        <f>4.3896 * CHOOSE(CONTROL!$C$32, $C$9, 100%, $E$9)</f>
        <v>4.3895999999999997</v>
      </c>
      <c r="E257" s="81">
        <f>5.3707 * CHOOSE(CONTROL!$C$32, $C$9, 100%, $E$9)</f>
        <v>5.3707000000000003</v>
      </c>
      <c r="F257" s="81">
        <f>5.3707 * CHOOSE(CONTROL!$C$32, $C$9, 100%, $E$9)</f>
        <v>5.3707000000000003</v>
      </c>
      <c r="G257" s="81">
        <f>5.375 * CHOOSE(CONTROL!$C$32, $C$9, 100%, $E$9)</f>
        <v>5.375</v>
      </c>
      <c r="H257" s="81">
        <f>9.6458 * CHOOSE(CONTROL!$C$32, $C$9, 100%, $E$9)</f>
        <v>9.6457999999999995</v>
      </c>
      <c r="I257" s="81">
        <f>9.6502 * CHOOSE(CONTROL!$C$32, $C$9, 100%, $E$9)</f>
        <v>9.6501999999999999</v>
      </c>
      <c r="J257" s="81">
        <f>9.6458 * CHOOSE(CONTROL!$C$32, $C$9, 100%, $E$9)</f>
        <v>9.6457999999999995</v>
      </c>
      <c r="K257" s="81">
        <f>9.6502 * CHOOSE(CONTROL!$C$32, $C$9, 100%, $E$9)</f>
        <v>9.6501999999999999</v>
      </c>
      <c r="L257" s="81">
        <f>5.3707 * CHOOSE(CONTROL!$C$32, $C$9, 100%, $E$9)</f>
        <v>5.3707000000000003</v>
      </c>
      <c r="M257" s="81">
        <f>5.375 * CHOOSE(CONTROL!$C$32, $C$9, 100%, $E$9)</f>
        <v>5.375</v>
      </c>
      <c r="N257" s="81">
        <f>5.3707 * CHOOSE(CONTROL!$C$32, $C$9, 100%, $E$9)</f>
        <v>5.3707000000000003</v>
      </c>
      <c r="O257" s="81">
        <f>5.375 * CHOOSE(CONTROL!$C$32, $C$9, 100%, $E$9)</f>
        <v>5.375</v>
      </c>
    </row>
    <row r="258" spans="1:15" ht="15">
      <c r="A258" s="16">
        <v>49065</v>
      </c>
      <c r="B258" s="80">
        <f>4.3861 * CHOOSE(CONTROL!$C$32, $C$9, 100%, $E$9)</f>
        <v>4.3860999999999999</v>
      </c>
      <c r="C258" s="80">
        <f>4.3861 * CHOOSE(CONTROL!$C$32, $C$9, 100%, $E$9)</f>
        <v>4.3860999999999999</v>
      </c>
      <c r="D258" s="80">
        <f>4.3912 * CHOOSE(CONTROL!$C$32, $C$9, 100%, $E$9)</f>
        <v>4.3912000000000004</v>
      </c>
      <c r="E258" s="81">
        <f>5.3973 * CHOOSE(CONTROL!$C$32, $C$9, 100%, $E$9)</f>
        <v>5.3973000000000004</v>
      </c>
      <c r="F258" s="81">
        <f>5.3973 * CHOOSE(CONTROL!$C$32, $C$9, 100%, $E$9)</f>
        <v>5.3973000000000004</v>
      </c>
      <c r="G258" s="81">
        <f>5.4036 * CHOOSE(CONTROL!$C$32, $C$9, 100%, $E$9)</f>
        <v>5.4036</v>
      </c>
      <c r="H258" s="81">
        <f>9.6659 * CHOOSE(CONTROL!$C$32, $C$9, 100%, $E$9)</f>
        <v>9.6659000000000006</v>
      </c>
      <c r="I258" s="81">
        <f>9.6722 * CHOOSE(CONTROL!$C$32, $C$9, 100%, $E$9)</f>
        <v>9.6722000000000001</v>
      </c>
      <c r="J258" s="81">
        <f>9.6659 * CHOOSE(CONTROL!$C$32, $C$9, 100%, $E$9)</f>
        <v>9.6659000000000006</v>
      </c>
      <c r="K258" s="81">
        <f>9.6722 * CHOOSE(CONTROL!$C$32, $C$9, 100%, $E$9)</f>
        <v>9.6722000000000001</v>
      </c>
      <c r="L258" s="81">
        <f>5.3973 * CHOOSE(CONTROL!$C$32, $C$9, 100%, $E$9)</f>
        <v>5.3973000000000004</v>
      </c>
      <c r="M258" s="81">
        <f>5.4036 * CHOOSE(CONTROL!$C$32, $C$9, 100%, $E$9)</f>
        <v>5.4036</v>
      </c>
      <c r="N258" s="81">
        <f>5.3973 * CHOOSE(CONTROL!$C$32, $C$9, 100%, $E$9)</f>
        <v>5.3973000000000004</v>
      </c>
      <c r="O258" s="81">
        <f>5.4036 * CHOOSE(CONTROL!$C$32, $C$9, 100%, $E$9)</f>
        <v>5.4036</v>
      </c>
    </row>
    <row r="259" spans="1:15" ht="15">
      <c r="A259" s="16">
        <v>49096</v>
      </c>
      <c r="B259" s="80">
        <f>4.3921 * CHOOSE(CONTROL!$C$32, $C$9, 100%, $E$9)</f>
        <v>4.3921000000000001</v>
      </c>
      <c r="C259" s="80">
        <f>4.3921 * CHOOSE(CONTROL!$C$32, $C$9, 100%, $E$9)</f>
        <v>4.3921000000000001</v>
      </c>
      <c r="D259" s="80">
        <f>4.3973 * CHOOSE(CONTROL!$C$32, $C$9, 100%, $E$9)</f>
        <v>4.3973000000000004</v>
      </c>
      <c r="E259" s="81">
        <f>5.3749 * CHOOSE(CONTROL!$C$32, $C$9, 100%, $E$9)</f>
        <v>5.3749000000000002</v>
      </c>
      <c r="F259" s="81">
        <f>5.3749 * CHOOSE(CONTROL!$C$32, $C$9, 100%, $E$9)</f>
        <v>5.3749000000000002</v>
      </c>
      <c r="G259" s="81">
        <f>5.3812 * CHOOSE(CONTROL!$C$32, $C$9, 100%, $E$9)</f>
        <v>5.3811999999999998</v>
      </c>
      <c r="H259" s="81">
        <f>9.686 * CHOOSE(CONTROL!$C$32, $C$9, 100%, $E$9)</f>
        <v>9.6859999999999999</v>
      </c>
      <c r="I259" s="81">
        <f>9.6924 * CHOOSE(CONTROL!$C$32, $C$9, 100%, $E$9)</f>
        <v>9.6923999999999992</v>
      </c>
      <c r="J259" s="81">
        <f>9.686 * CHOOSE(CONTROL!$C$32, $C$9, 100%, $E$9)</f>
        <v>9.6859999999999999</v>
      </c>
      <c r="K259" s="81">
        <f>9.6924 * CHOOSE(CONTROL!$C$32, $C$9, 100%, $E$9)</f>
        <v>9.6923999999999992</v>
      </c>
      <c r="L259" s="81">
        <f>5.3749 * CHOOSE(CONTROL!$C$32, $C$9, 100%, $E$9)</f>
        <v>5.3749000000000002</v>
      </c>
      <c r="M259" s="81">
        <f>5.3812 * CHOOSE(CONTROL!$C$32, $C$9, 100%, $E$9)</f>
        <v>5.3811999999999998</v>
      </c>
      <c r="N259" s="81">
        <f>5.3749 * CHOOSE(CONTROL!$C$32, $C$9, 100%, $E$9)</f>
        <v>5.3749000000000002</v>
      </c>
      <c r="O259" s="81">
        <f>5.3812 * CHOOSE(CONTROL!$C$32, $C$9, 100%, $E$9)</f>
        <v>5.3811999999999998</v>
      </c>
    </row>
    <row r="260" spans="1:15" ht="15">
      <c r="A260" s="16">
        <v>49126</v>
      </c>
      <c r="B260" s="80">
        <f>4.4705 * CHOOSE(CONTROL!$C$32, $C$9, 100%, $E$9)</f>
        <v>4.4705000000000004</v>
      </c>
      <c r="C260" s="80">
        <f>4.4705 * CHOOSE(CONTROL!$C$32, $C$9, 100%, $E$9)</f>
        <v>4.4705000000000004</v>
      </c>
      <c r="D260" s="80">
        <f>4.4756 * CHOOSE(CONTROL!$C$32, $C$9, 100%, $E$9)</f>
        <v>4.4756</v>
      </c>
      <c r="E260" s="81">
        <f>5.4902 * CHOOSE(CONTROL!$C$32, $C$9, 100%, $E$9)</f>
        <v>5.4901999999999997</v>
      </c>
      <c r="F260" s="81">
        <f>5.4902 * CHOOSE(CONTROL!$C$32, $C$9, 100%, $E$9)</f>
        <v>5.4901999999999997</v>
      </c>
      <c r="G260" s="81">
        <f>5.4965 * CHOOSE(CONTROL!$C$32, $C$9, 100%, $E$9)</f>
        <v>5.4965000000000002</v>
      </c>
      <c r="H260" s="81">
        <f>9.7062 * CHOOSE(CONTROL!$C$32, $C$9, 100%, $E$9)</f>
        <v>9.7062000000000008</v>
      </c>
      <c r="I260" s="81">
        <f>9.7125 * CHOOSE(CONTROL!$C$32, $C$9, 100%, $E$9)</f>
        <v>9.7125000000000004</v>
      </c>
      <c r="J260" s="81">
        <f>9.7062 * CHOOSE(CONTROL!$C$32, $C$9, 100%, $E$9)</f>
        <v>9.7062000000000008</v>
      </c>
      <c r="K260" s="81">
        <f>9.7125 * CHOOSE(CONTROL!$C$32, $C$9, 100%, $E$9)</f>
        <v>9.7125000000000004</v>
      </c>
      <c r="L260" s="81">
        <f>5.4902 * CHOOSE(CONTROL!$C$32, $C$9, 100%, $E$9)</f>
        <v>5.4901999999999997</v>
      </c>
      <c r="M260" s="81">
        <f>5.4965 * CHOOSE(CONTROL!$C$32, $C$9, 100%, $E$9)</f>
        <v>5.4965000000000002</v>
      </c>
      <c r="N260" s="81">
        <f>5.4902 * CHOOSE(CONTROL!$C$32, $C$9, 100%, $E$9)</f>
        <v>5.4901999999999997</v>
      </c>
      <c r="O260" s="81">
        <f>5.4965 * CHOOSE(CONTROL!$C$32, $C$9, 100%, $E$9)</f>
        <v>5.4965000000000002</v>
      </c>
    </row>
    <row r="261" spans="1:15" ht="15">
      <c r="A261" s="16">
        <v>49157</v>
      </c>
      <c r="B261" s="80">
        <f>4.4771 * CHOOSE(CONTROL!$C$32, $C$9, 100%, $E$9)</f>
        <v>4.4771000000000001</v>
      </c>
      <c r="C261" s="80">
        <f>4.4771 * CHOOSE(CONTROL!$C$32, $C$9, 100%, $E$9)</f>
        <v>4.4771000000000001</v>
      </c>
      <c r="D261" s="80">
        <f>4.4823 * CHOOSE(CONTROL!$C$32, $C$9, 100%, $E$9)</f>
        <v>4.4823000000000004</v>
      </c>
      <c r="E261" s="81">
        <f>5.4151 * CHOOSE(CONTROL!$C$32, $C$9, 100%, $E$9)</f>
        <v>5.4150999999999998</v>
      </c>
      <c r="F261" s="81">
        <f>5.4151 * CHOOSE(CONTROL!$C$32, $C$9, 100%, $E$9)</f>
        <v>5.4150999999999998</v>
      </c>
      <c r="G261" s="81">
        <f>5.4214 * CHOOSE(CONTROL!$C$32, $C$9, 100%, $E$9)</f>
        <v>5.4214000000000002</v>
      </c>
      <c r="H261" s="81">
        <f>9.7264 * CHOOSE(CONTROL!$C$32, $C$9, 100%, $E$9)</f>
        <v>9.7263999999999999</v>
      </c>
      <c r="I261" s="81">
        <f>9.7328 * CHOOSE(CONTROL!$C$32, $C$9, 100%, $E$9)</f>
        <v>9.7327999999999992</v>
      </c>
      <c r="J261" s="81">
        <f>9.7264 * CHOOSE(CONTROL!$C$32, $C$9, 100%, $E$9)</f>
        <v>9.7263999999999999</v>
      </c>
      <c r="K261" s="81">
        <f>9.7328 * CHOOSE(CONTROL!$C$32, $C$9, 100%, $E$9)</f>
        <v>9.7327999999999992</v>
      </c>
      <c r="L261" s="81">
        <f>5.4151 * CHOOSE(CONTROL!$C$32, $C$9, 100%, $E$9)</f>
        <v>5.4150999999999998</v>
      </c>
      <c r="M261" s="81">
        <f>5.4214 * CHOOSE(CONTROL!$C$32, $C$9, 100%, $E$9)</f>
        <v>5.4214000000000002</v>
      </c>
      <c r="N261" s="81">
        <f>5.4151 * CHOOSE(CONTROL!$C$32, $C$9, 100%, $E$9)</f>
        <v>5.4150999999999998</v>
      </c>
      <c r="O261" s="81">
        <f>5.4214 * CHOOSE(CONTROL!$C$32, $C$9, 100%, $E$9)</f>
        <v>5.4214000000000002</v>
      </c>
    </row>
    <row r="262" spans="1:15" ht="15">
      <c r="A262" s="16">
        <v>49188</v>
      </c>
      <c r="B262" s="80">
        <f>4.4741 * CHOOSE(CONTROL!$C$32, $C$9, 100%, $E$9)</f>
        <v>4.4741</v>
      </c>
      <c r="C262" s="80">
        <f>4.4741 * CHOOSE(CONTROL!$C$32, $C$9, 100%, $E$9)</f>
        <v>4.4741</v>
      </c>
      <c r="D262" s="80">
        <f>4.4793 * CHOOSE(CONTROL!$C$32, $C$9, 100%, $E$9)</f>
        <v>4.4793000000000003</v>
      </c>
      <c r="E262" s="81">
        <f>5.4041 * CHOOSE(CONTROL!$C$32, $C$9, 100%, $E$9)</f>
        <v>5.4040999999999997</v>
      </c>
      <c r="F262" s="81">
        <f>5.4041 * CHOOSE(CONTROL!$C$32, $C$9, 100%, $E$9)</f>
        <v>5.4040999999999997</v>
      </c>
      <c r="G262" s="81">
        <f>5.4104 * CHOOSE(CONTROL!$C$32, $C$9, 100%, $E$9)</f>
        <v>5.4104000000000001</v>
      </c>
      <c r="H262" s="81">
        <f>9.7467 * CHOOSE(CONTROL!$C$32, $C$9, 100%, $E$9)</f>
        <v>9.7467000000000006</v>
      </c>
      <c r="I262" s="81">
        <f>9.753 * CHOOSE(CONTROL!$C$32, $C$9, 100%, $E$9)</f>
        <v>9.7530000000000001</v>
      </c>
      <c r="J262" s="81">
        <f>9.7467 * CHOOSE(CONTROL!$C$32, $C$9, 100%, $E$9)</f>
        <v>9.7467000000000006</v>
      </c>
      <c r="K262" s="81">
        <f>9.753 * CHOOSE(CONTROL!$C$32, $C$9, 100%, $E$9)</f>
        <v>9.7530000000000001</v>
      </c>
      <c r="L262" s="81">
        <f>5.4041 * CHOOSE(CONTROL!$C$32, $C$9, 100%, $E$9)</f>
        <v>5.4040999999999997</v>
      </c>
      <c r="M262" s="81">
        <f>5.4104 * CHOOSE(CONTROL!$C$32, $C$9, 100%, $E$9)</f>
        <v>5.4104000000000001</v>
      </c>
      <c r="N262" s="81">
        <f>5.4041 * CHOOSE(CONTROL!$C$32, $C$9, 100%, $E$9)</f>
        <v>5.4040999999999997</v>
      </c>
      <c r="O262" s="81">
        <f>5.4104 * CHOOSE(CONTROL!$C$32, $C$9, 100%, $E$9)</f>
        <v>5.4104000000000001</v>
      </c>
    </row>
    <row r="263" spans="1:15" ht="15">
      <c r="A263" s="16">
        <v>49218</v>
      </c>
      <c r="B263" s="80">
        <f>4.4707 * CHOOSE(CONTROL!$C$32, $C$9, 100%, $E$9)</f>
        <v>4.4706999999999999</v>
      </c>
      <c r="C263" s="80">
        <f>4.4707 * CHOOSE(CONTROL!$C$32, $C$9, 100%, $E$9)</f>
        <v>4.4706999999999999</v>
      </c>
      <c r="D263" s="80">
        <f>4.4743 * CHOOSE(CONTROL!$C$32, $C$9, 100%, $E$9)</f>
        <v>4.4743000000000004</v>
      </c>
      <c r="E263" s="81">
        <f>5.4261 * CHOOSE(CONTROL!$C$32, $C$9, 100%, $E$9)</f>
        <v>5.4260999999999999</v>
      </c>
      <c r="F263" s="81">
        <f>5.4261 * CHOOSE(CONTROL!$C$32, $C$9, 100%, $E$9)</f>
        <v>5.4260999999999999</v>
      </c>
      <c r="G263" s="81">
        <f>5.4305 * CHOOSE(CONTROL!$C$32, $C$9, 100%, $E$9)</f>
        <v>5.4305000000000003</v>
      </c>
      <c r="H263" s="81">
        <f>9.767 * CHOOSE(CONTROL!$C$32, $C$9, 100%, $E$9)</f>
        <v>9.7669999999999995</v>
      </c>
      <c r="I263" s="81">
        <f>9.7714 * CHOOSE(CONTROL!$C$32, $C$9, 100%, $E$9)</f>
        <v>9.7713999999999999</v>
      </c>
      <c r="J263" s="81">
        <f>9.767 * CHOOSE(CONTROL!$C$32, $C$9, 100%, $E$9)</f>
        <v>9.7669999999999995</v>
      </c>
      <c r="K263" s="81">
        <f>9.7714 * CHOOSE(CONTROL!$C$32, $C$9, 100%, $E$9)</f>
        <v>9.7713999999999999</v>
      </c>
      <c r="L263" s="81">
        <f>5.4261 * CHOOSE(CONTROL!$C$32, $C$9, 100%, $E$9)</f>
        <v>5.4260999999999999</v>
      </c>
      <c r="M263" s="81">
        <f>5.4305 * CHOOSE(CONTROL!$C$32, $C$9, 100%, $E$9)</f>
        <v>5.4305000000000003</v>
      </c>
      <c r="N263" s="81">
        <f>5.4261 * CHOOSE(CONTROL!$C$32, $C$9, 100%, $E$9)</f>
        <v>5.4260999999999999</v>
      </c>
      <c r="O263" s="81">
        <f>5.4305 * CHOOSE(CONTROL!$C$32, $C$9, 100%, $E$9)</f>
        <v>5.4305000000000003</v>
      </c>
    </row>
    <row r="264" spans="1:15" ht="15">
      <c r="A264" s="16">
        <v>49249</v>
      </c>
      <c r="B264" s="80">
        <f>4.4738 * CHOOSE(CONTROL!$C$32, $C$9, 100%, $E$9)</f>
        <v>4.4737999999999998</v>
      </c>
      <c r="C264" s="80">
        <f>4.4738 * CHOOSE(CONTROL!$C$32, $C$9, 100%, $E$9)</f>
        <v>4.4737999999999998</v>
      </c>
      <c r="D264" s="80">
        <f>4.4773 * CHOOSE(CONTROL!$C$32, $C$9, 100%, $E$9)</f>
        <v>4.4772999999999996</v>
      </c>
      <c r="E264" s="81">
        <f>5.446 * CHOOSE(CONTROL!$C$32, $C$9, 100%, $E$9)</f>
        <v>5.4459999999999997</v>
      </c>
      <c r="F264" s="81">
        <f>5.446 * CHOOSE(CONTROL!$C$32, $C$9, 100%, $E$9)</f>
        <v>5.4459999999999997</v>
      </c>
      <c r="G264" s="81">
        <f>5.4503 * CHOOSE(CONTROL!$C$32, $C$9, 100%, $E$9)</f>
        <v>5.4503000000000004</v>
      </c>
      <c r="H264" s="81">
        <f>9.7874 * CHOOSE(CONTROL!$C$32, $C$9, 100%, $E$9)</f>
        <v>9.7873999999999999</v>
      </c>
      <c r="I264" s="81">
        <f>9.7917 * CHOOSE(CONTROL!$C$32, $C$9, 100%, $E$9)</f>
        <v>9.7917000000000005</v>
      </c>
      <c r="J264" s="81">
        <f>9.7874 * CHOOSE(CONTROL!$C$32, $C$9, 100%, $E$9)</f>
        <v>9.7873999999999999</v>
      </c>
      <c r="K264" s="81">
        <f>9.7917 * CHOOSE(CONTROL!$C$32, $C$9, 100%, $E$9)</f>
        <v>9.7917000000000005</v>
      </c>
      <c r="L264" s="81">
        <f>5.446 * CHOOSE(CONTROL!$C$32, $C$9, 100%, $E$9)</f>
        <v>5.4459999999999997</v>
      </c>
      <c r="M264" s="81">
        <f>5.4503 * CHOOSE(CONTROL!$C$32, $C$9, 100%, $E$9)</f>
        <v>5.4503000000000004</v>
      </c>
      <c r="N264" s="81">
        <f>5.446 * CHOOSE(CONTROL!$C$32, $C$9, 100%, $E$9)</f>
        <v>5.4459999999999997</v>
      </c>
      <c r="O264" s="81">
        <f>5.4503 * CHOOSE(CONTROL!$C$32, $C$9, 100%, $E$9)</f>
        <v>5.4503000000000004</v>
      </c>
    </row>
    <row r="265" spans="1:15" ht="15">
      <c r="A265" s="16">
        <v>49279</v>
      </c>
      <c r="B265" s="80">
        <f>4.4738 * CHOOSE(CONTROL!$C$32, $C$9, 100%, $E$9)</f>
        <v>4.4737999999999998</v>
      </c>
      <c r="C265" s="80">
        <f>4.4738 * CHOOSE(CONTROL!$C$32, $C$9, 100%, $E$9)</f>
        <v>4.4737999999999998</v>
      </c>
      <c r="D265" s="80">
        <f>4.4773 * CHOOSE(CONTROL!$C$32, $C$9, 100%, $E$9)</f>
        <v>4.4772999999999996</v>
      </c>
      <c r="E265" s="81">
        <f>5.4016 * CHOOSE(CONTROL!$C$32, $C$9, 100%, $E$9)</f>
        <v>5.4016000000000002</v>
      </c>
      <c r="F265" s="81">
        <f>5.4016 * CHOOSE(CONTROL!$C$32, $C$9, 100%, $E$9)</f>
        <v>5.4016000000000002</v>
      </c>
      <c r="G265" s="81">
        <f>5.406 * CHOOSE(CONTROL!$C$32, $C$9, 100%, $E$9)</f>
        <v>5.4059999999999997</v>
      </c>
      <c r="H265" s="81">
        <f>9.8078 * CHOOSE(CONTROL!$C$32, $C$9, 100%, $E$9)</f>
        <v>9.8078000000000003</v>
      </c>
      <c r="I265" s="81">
        <f>9.8121 * CHOOSE(CONTROL!$C$32, $C$9, 100%, $E$9)</f>
        <v>9.8120999999999992</v>
      </c>
      <c r="J265" s="81">
        <f>9.8078 * CHOOSE(CONTROL!$C$32, $C$9, 100%, $E$9)</f>
        <v>9.8078000000000003</v>
      </c>
      <c r="K265" s="81">
        <f>9.8121 * CHOOSE(CONTROL!$C$32, $C$9, 100%, $E$9)</f>
        <v>9.8120999999999992</v>
      </c>
      <c r="L265" s="81">
        <f>5.4016 * CHOOSE(CONTROL!$C$32, $C$9, 100%, $E$9)</f>
        <v>5.4016000000000002</v>
      </c>
      <c r="M265" s="81">
        <f>5.406 * CHOOSE(CONTROL!$C$32, $C$9, 100%, $E$9)</f>
        <v>5.4059999999999997</v>
      </c>
      <c r="N265" s="81">
        <f>5.4016 * CHOOSE(CONTROL!$C$32, $C$9, 100%, $E$9)</f>
        <v>5.4016000000000002</v>
      </c>
      <c r="O265" s="81">
        <f>5.406 * CHOOSE(CONTROL!$C$32, $C$9, 100%, $E$9)</f>
        <v>5.4059999999999997</v>
      </c>
    </row>
    <row r="266" spans="1:15" ht="15">
      <c r="A266" s="16">
        <v>49310</v>
      </c>
      <c r="B266" s="80">
        <f>4.515 * CHOOSE(CONTROL!$C$32, $C$9, 100%, $E$9)</f>
        <v>4.5149999999999997</v>
      </c>
      <c r="C266" s="80">
        <f>4.515 * CHOOSE(CONTROL!$C$32, $C$9, 100%, $E$9)</f>
        <v>4.5149999999999997</v>
      </c>
      <c r="D266" s="80">
        <f>4.5185 * CHOOSE(CONTROL!$C$32, $C$9, 100%, $E$9)</f>
        <v>4.5185000000000004</v>
      </c>
      <c r="E266" s="81">
        <f>5.4889 * CHOOSE(CONTROL!$C$32, $C$9, 100%, $E$9)</f>
        <v>5.4889000000000001</v>
      </c>
      <c r="F266" s="81">
        <f>5.4889 * CHOOSE(CONTROL!$C$32, $C$9, 100%, $E$9)</f>
        <v>5.4889000000000001</v>
      </c>
      <c r="G266" s="81">
        <f>5.4932 * CHOOSE(CONTROL!$C$32, $C$9, 100%, $E$9)</f>
        <v>5.4931999999999999</v>
      </c>
      <c r="H266" s="81">
        <f>9.8282 * CHOOSE(CONTROL!$C$32, $C$9, 100%, $E$9)</f>
        <v>9.8282000000000007</v>
      </c>
      <c r="I266" s="81">
        <f>9.8326 * CHOOSE(CONTROL!$C$32, $C$9, 100%, $E$9)</f>
        <v>9.8325999999999993</v>
      </c>
      <c r="J266" s="81">
        <f>9.8282 * CHOOSE(CONTROL!$C$32, $C$9, 100%, $E$9)</f>
        <v>9.8282000000000007</v>
      </c>
      <c r="K266" s="81">
        <f>9.8326 * CHOOSE(CONTROL!$C$32, $C$9, 100%, $E$9)</f>
        <v>9.8325999999999993</v>
      </c>
      <c r="L266" s="81">
        <f>5.4889 * CHOOSE(CONTROL!$C$32, $C$9, 100%, $E$9)</f>
        <v>5.4889000000000001</v>
      </c>
      <c r="M266" s="81">
        <f>5.4932 * CHOOSE(CONTROL!$C$32, $C$9, 100%, $E$9)</f>
        <v>5.4931999999999999</v>
      </c>
      <c r="N266" s="81">
        <f>5.4889 * CHOOSE(CONTROL!$C$32, $C$9, 100%, $E$9)</f>
        <v>5.4889000000000001</v>
      </c>
      <c r="O266" s="81">
        <f>5.4932 * CHOOSE(CONTROL!$C$32, $C$9, 100%, $E$9)</f>
        <v>5.4931999999999999</v>
      </c>
    </row>
    <row r="267" spans="1:15" ht="15">
      <c r="A267" s="16">
        <v>49341</v>
      </c>
      <c r="B267" s="80">
        <f>4.5119 * CHOOSE(CONTROL!$C$32, $C$9, 100%, $E$9)</f>
        <v>4.5118999999999998</v>
      </c>
      <c r="C267" s="80">
        <f>4.5119 * CHOOSE(CONTROL!$C$32, $C$9, 100%, $E$9)</f>
        <v>4.5118999999999998</v>
      </c>
      <c r="D267" s="80">
        <f>4.5155 * CHOOSE(CONTROL!$C$32, $C$9, 100%, $E$9)</f>
        <v>4.5155000000000003</v>
      </c>
      <c r="E267" s="81">
        <f>5.4007 * CHOOSE(CONTROL!$C$32, $C$9, 100%, $E$9)</f>
        <v>5.4006999999999996</v>
      </c>
      <c r="F267" s="81">
        <f>5.4007 * CHOOSE(CONTROL!$C$32, $C$9, 100%, $E$9)</f>
        <v>5.4006999999999996</v>
      </c>
      <c r="G267" s="81">
        <f>5.4051 * CHOOSE(CONTROL!$C$32, $C$9, 100%, $E$9)</f>
        <v>5.4051</v>
      </c>
      <c r="H267" s="81">
        <f>9.8487 * CHOOSE(CONTROL!$C$32, $C$9, 100%, $E$9)</f>
        <v>9.8486999999999991</v>
      </c>
      <c r="I267" s="81">
        <f>9.853 * CHOOSE(CONTROL!$C$32, $C$9, 100%, $E$9)</f>
        <v>9.8529999999999998</v>
      </c>
      <c r="J267" s="81">
        <f>9.8487 * CHOOSE(CONTROL!$C$32, $C$9, 100%, $E$9)</f>
        <v>9.8486999999999991</v>
      </c>
      <c r="K267" s="81">
        <f>9.853 * CHOOSE(CONTROL!$C$32, $C$9, 100%, $E$9)</f>
        <v>9.8529999999999998</v>
      </c>
      <c r="L267" s="81">
        <f>5.4007 * CHOOSE(CONTROL!$C$32, $C$9, 100%, $E$9)</f>
        <v>5.4006999999999996</v>
      </c>
      <c r="M267" s="81">
        <f>5.4051 * CHOOSE(CONTROL!$C$32, $C$9, 100%, $E$9)</f>
        <v>5.4051</v>
      </c>
      <c r="N267" s="81">
        <f>5.4007 * CHOOSE(CONTROL!$C$32, $C$9, 100%, $E$9)</f>
        <v>5.4006999999999996</v>
      </c>
      <c r="O267" s="81">
        <f>5.4051 * CHOOSE(CONTROL!$C$32, $C$9, 100%, $E$9)</f>
        <v>5.4051</v>
      </c>
    </row>
    <row r="268" spans="1:15" ht="15">
      <c r="A268" s="16">
        <v>49369</v>
      </c>
      <c r="B268" s="80">
        <f>4.5089 * CHOOSE(CONTROL!$C$32, $C$9, 100%, $E$9)</f>
        <v>4.5088999999999997</v>
      </c>
      <c r="C268" s="80">
        <f>4.5089 * CHOOSE(CONTROL!$C$32, $C$9, 100%, $E$9)</f>
        <v>4.5088999999999997</v>
      </c>
      <c r="D268" s="80">
        <f>4.5124 * CHOOSE(CONTROL!$C$32, $C$9, 100%, $E$9)</f>
        <v>4.5124000000000004</v>
      </c>
      <c r="E268" s="81">
        <f>5.4664 * CHOOSE(CONTROL!$C$32, $C$9, 100%, $E$9)</f>
        <v>5.4664000000000001</v>
      </c>
      <c r="F268" s="81">
        <f>5.4664 * CHOOSE(CONTROL!$C$32, $C$9, 100%, $E$9)</f>
        <v>5.4664000000000001</v>
      </c>
      <c r="G268" s="81">
        <f>5.4708 * CHOOSE(CONTROL!$C$32, $C$9, 100%, $E$9)</f>
        <v>5.4707999999999997</v>
      </c>
      <c r="H268" s="81">
        <f>9.8692 * CHOOSE(CONTROL!$C$32, $C$9, 100%, $E$9)</f>
        <v>9.8691999999999993</v>
      </c>
      <c r="I268" s="81">
        <f>9.8735 * CHOOSE(CONTROL!$C$32, $C$9, 100%, $E$9)</f>
        <v>9.8734999999999999</v>
      </c>
      <c r="J268" s="81">
        <f>9.8692 * CHOOSE(CONTROL!$C$32, $C$9, 100%, $E$9)</f>
        <v>9.8691999999999993</v>
      </c>
      <c r="K268" s="81">
        <f>9.8735 * CHOOSE(CONTROL!$C$32, $C$9, 100%, $E$9)</f>
        <v>9.8734999999999999</v>
      </c>
      <c r="L268" s="81">
        <f>5.4664 * CHOOSE(CONTROL!$C$32, $C$9, 100%, $E$9)</f>
        <v>5.4664000000000001</v>
      </c>
      <c r="M268" s="81">
        <f>5.4708 * CHOOSE(CONTROL!$C$32, $C$9, 100%, $E$9)</f>
        <v>5.4707999999999997</v>
      </c>
      <c r="N268" s="81">
        <f>5.4664 * CHOOSE(CONTROL!$C$32, $C$9, 100%, $E$9)</f>
        <v>5.4664000000000001</v>
      </c>
      <c r="O268" s="81">
        <f>5.4708 * CHOOSE(CONTROL!$C$32, $C$9, 100%, $E$9)</f>
        <v>5.4707999999999997</v>
      </c>
    </row>
    <row r="269" spans="1:15" ht="15">
      <c r="A269" s="16">
        <v>49400</v>
      </c>
      <c r="B269" s="80">
        <f>4.507 * CHOOSE(CONTROL!$C$32, $C$9, 100%, $E$9)</f>
        <v>4.5069999999999997</v>
      </c>
      <c r="C269" s="80">
        <f>4.507 * CHOOSE(CONTROL!$C$32, $C$9, 100%, $E$9)</f>
        <v>4.5069999999999997</v>
      </c>
      <c r="D269" s="80">
        <f>4.5105 * CHOOSE(CONTROL!$C$32, $C$9, 100%, $E$9)</f>
        <v>4.5105000000000004</v>
      </c>
      <c r="E269" s="81">
        <f>5.535 * CHOOSE(CONTROL!$C$32, $C$9, 100%, $E$9)</f>
        <v>5.5350000000000001</v>
      </c>
      <c r="F269" s="81">
        <f>5.535 * CHOOSE(CONTROL!$C$32, $C$9, 100%, $E$9)</f>
        <v>5.5350000000000001</v>
      </c>
      <c r="G269" s="81">
        <f>5.5394 * CHOOSE(CONTROL!$C$32, $C$9, 100%, $E$9)</f>
        <v>5.5393999999999997</v>
      </c>
      <c r="H269" s="81">
        <f>9.8897 * CHOOSE(CONTROL!$C$32, $C$9, 100%, $E$9)</f>
        <v>9.8896999999999995</v>
      </c>
      <c r="I269" s="81">
        <f>9.8941 * CHOOSE(CONTROL!$C$32, $C$9, 100%, $E$9)</f>
        <v>9.8940999999999999</v>
      </c>
      <c r="J269" s="81">
        <f>9.8897 * CHOOSE(CONTROL!$C$32, $C$9, 100%, $E$9)</f>
        <v>9.8896999999999995</v>
      </c>
      <c r="K269" s="81">
        <f>9.8941 * CHOOSE(CONTROL!$C$32, $C$9, 100%, $E$9)</f>
        <v>9.8940999999999999</v>
      </c>
      <c r="L269" s="81">
        <f>5.535 * CHOOSE(CONTROL!$C$32, $C$9, 100%, $E$9)</f>
        <v>5.5350000000000001</v>
      </c>
      <c r="M269" s="81">
        <f>5.5394 * CHOOSE(CONTROL!$C$32, $C$9, 100%, $E$9)</f>
        <v>5.5393999999999997</v>
      </c>
      <c r="N269" s="81">
        <f>5.535 * CHOOSE(CONTROL!$C$32, $C$9, 100%, $E$9)</f>
        <v>5.5350000000000001</v>
      </c>
      <c r="O269" s="81">
        <f>5.5394 * CHOOSE(CONTROL!$C$32, $C$9, 100%, $E$9)</f>
        <v>5.5393999999999997</v>
      </c>
    </row>
    <row r="270" spans="1:15" ht="15">
      <c r="A270" s="16">
        <v>49430</v>
      </c>
      <c r="B270" s="80">
        <f>4.507 * CHOOSE(CONTROL!$C$32, $C$9, 100%, $E$9)</f>
        <v>4.5069999999999997</v>
      </c>
      <c r="C270" s="80">
        <f>4.507 * CHOOSE(CONTROL!$C$32, $C$9, 100%, $E$9)</f>
        <v>4.5069999999999997</v>
      </c>
      <c r="D270" s="80">
        <f>4.5121 * CHOOSE(CONTROL!$C$32, $C$9, 100%, $E$9)</f>
        <v>4.5121000000000002</v>
      </c>
      <c r="E270" s="81">
        <f>5.5623 * CHOOSE(CONTROL!$C$32, $C$9, 100%, $E$9)</f>
        <v>5.5622999999999996</v>
      </c>
      <c r="F270" s="81">
        <f>5.5623 * CHOOSE(CONTROL!$C$32, $C$9, 100%, $E$9)</f>
        <v>5.5622999999999996</v>
      </c>
      <c r="G270" s="81">
        <f>5.5687 * CHOOSE(CONTROL!$C$32, $C$9, 100%, $E$9)</f>
        <v>5.5686999999999998</v>
      </c>
      <c r="H270" s="81">
        <f>9.9103 * CHOOSE(CONTROL!$C$32, $C$9, 100%, $E$9)</f>
        <v>9.9102999999999994</v>
      </c>
      <c r="I270" s="81">
        <f>9.9167 * CHOOSE(CONTROL!$C$32, $C$9, 100%, $E$9)</f>
        <v>9.9167000000000005</v>
      </c>
      <c r="J270" s="81">
        <f>9.9103 * CHOOSE(CONTROL!$C$32, $C$9, 100%, $E$9)</f>
        <v>9.9102999999999994</v>
      </c>
      <c r="K270" s="81">
        <f>9.9167 * CHOOSE(CONTROL!$C$32, $C$9, 100%, $E$9)</f>
        <v>9.9167000000000005</v>
      </c>
      <c r="L270" s="81">
        <f>5.5623 * CHOOSE(CONTROL!$C$32, $C$9, 100%, $E$9)</f>
        <v>5.5622999999999996</v>
      </c>
      <c r="M270" s="81">
        <f>5.5687 * CHOOSE(CONTROL!$C$32, $C$9, 100%, $E$9)</f>
        <v>5.5686999999999998</v>
      </c>
      <c r="N270" s="81">
        <f>5.5623 * CHOOSE(CONTROL!$C$32, $C$9, 100%, $E$9)</f>
        <v>5.5622999999999996</v>
      </c>
      <c r="O270" s="81">
        <f>5.5687 * CHOOSE(CONTROL!$C$32, $C$9, 100%, $E$9)</f>
        <v>5.5686999999999998</v>
      </c>
    </row>
    <row r="271" spans="1:15" ht="15">
      <c r="A271" s="16">
        <v>49461</v>
      </c>
      <c r="B271" s="80">
        <f>4.5131 * CHOOSE(CONTROL!$C$32, $C$9, 100%, $E$9)</f>
        <v>4.5130999999999997</v>
      </c>
      <c r="C271" s="80">
        <f>4.5131 * CHOOSE(CONTROL!$C$32, $C$9, 100%, $E$9)</f>
        <v>4.5130999999999997</v>
      </c>
      <c r="D271" s="80">
        <f>4.5182 * CHOOSE(CONTROL!$C$32, $C$9, 100%, $E$9)</f>
        <v>4.5182000000000002</v>
      </c>
      <c r="E271" s="81">
        <f>5.5393 * CHOOSE(CONTROL!$C$32, $C$9, 100%, $E$9)</f>
        <v>5.5392999999999999</v>
      </c>
      <c r="F271" s="81">
        <f>5.5393 * CHOOSE(CONTROL!$C$32, $C$9, 100%, $E$9)</f>
        <v>5.5392999999999999</v>
      </c>
      <c r="G271" s="81">
        <f>5.5456 * CHOOSE(CONTROL!$C$32, $C$9, 100%, $E$9)</f>
        <v>5.5456000000000003</v>
      </c>
      <c r="H271" s="81">
        <f>9.931 * CHOOSE(CONTROL!$C$32, $C$9, 100%, $E$9)</f>
        <v>9.9309999999999992</v>
      </c>
      <c r="I271" s="81">
        <f>9.9373 * CHOOSE(CONTROL!$C$32, $C$9, 100%, $E$9)</f>
        <v>9.9373000000000005</v>
      </c>
      <c r="J271" s="81">
        <f>9.931 * CHOOSE(CONTROL!$C$32, $C$9, 100%, $E$9)</f>
        <v>9.9309999999999992</v>
      </c>
      <c r="K271" s="81">
        <f>9.9373 * CHOOSE(CONTROL!$C$32, $C$9, 100%, $E$9)</f>
        <v>9.9373000000000005</v>
      </c>
      <c r="L271" s="81">
        <f>5.5393 * CHOOSE(CONTROL!$C$32, $C$9, 100%, $E$9)</f>
        <v>5.5392999999999999</v>
      </c>
      <c r="M271" s="81">
        <f>5.5456 * CHOOSE(CONTROL!$C$32, $C$9, 100%, $E$9)</f>
        <v>5.5456000000000003</v>
      </c>
      <c r="N271" s="81">
        <f>5.5393 * CHOOSE(CONTROL!$C$32, $C$9, 100%, $E$9)</f>
        <v>5.5392999999999999</v>
      </c>
      <c r="O271" s="81">
        <f>5.5456 * CHOOSE(CONTROL!$C$32, $C$9, 100%, $E$9)</f>
        <v>5.5456000000000003</v>
      </c>
    </row>
    <row r="272" spans="1:15" ht="15">
      <c r="A272" s="16">
        <v>49491</v>
      </c>
      <c r="B272" s="80">
        <f>4.5909 * CHOOSE(CONTROL!$C$32, $C$9, 100%, $E$9)</f>
        <v>4.5909000000000004</v>
      </c>
      <c r="C272" s="80">
        <f>4.5909 * CHOOSE(CONTROL!$C$32, $C$9, 100%, $E$9)</f>
        <v>4.5909000000000004</v>
      </c>
      <c r="D272" s="80">
        <f>4.596 * CHOOSE(CONTROL!$C$32, $C$9, 100%, $E$9)</f>
        <v>4.5960000000000001</v>
      </c>
      <c r="E272" s="81">
        <f>5.6624 * CHOOSE(CONTROL!$C$32, $C$9, 100%, $E$9)</f>
        <v>5.6623999999999999</v>
      </c>
      <c r="F272" s="81">
        <f>5.6624 * CHOOSE(CONTROL!$C$32, $C$9, 100%, $E$9)</f>
        <v>5.6623999999999999</v>
      </c>
      <c r="G272" s="81">
        <f>5.6687 * CHOOSE(CONTROL!$C$32, $C$9, 100%, $E$9)</f>
        <v>5.6687000000000003</v>
      </c>
      <c r="H272" s="81">
        <f>9.9517 * CHOOSE(CONTROL!$C$32, $C$9, 100%, $E$9)</f>
        <v>9.9517000000000007</v>
      </c>
      <c r="I272" s="81">
        <f>9.958 * CHOOSE(CONTROL!$C$32, $C$9, 100%, $E$9)</f>
        <v>9.9580000000000002</v>
      </c>
      <c r="J272" s="81">
        <f>9.9517 * CHOOSE(CONTROL!$C$32, $C$9, 100%, $E$9)</f>
        <v>9.9517000000000007</v>
      </c>
      <c r="K272" s="81">
        <f>9.958 * CHOOSE(CONTROL!$C$32, $C$9, 100%, $E$9)</f>
        <v>9.9580000000000002</v>
      </c>
      <c r="L272" s="81">
        <f>5.6624 * CHOOSE(CONTROL!$C$32, $C$9, 100%, $E$9)</f>
        <v>5.6623999999999999</v>
      </c>
      <c r="M272" s="81">
        <f>5.6687 * CHOOSE(CONTROL!$C$32, $C$9, 100%, $E$9)</f>
        <v>5.6687000000000003</v>
      </c>
      <c r="N272" s="81">
        <f>5.6624 * CHOOSE(CONTROL!$C$32, $C$9, 100%, $E$9)</f>
        <v>5.6623999999999999</v>
      </c>
      <c r="O272" s="81">
        <f>5.6687 * CHOOSE(CONTROL!$C$32, $C$9, 100%, $E$9)</f>
        <v>5.6687000000000003</v>
      </c>
    </row>
    <row r="273" spans="1:15" ht="15">
      <c r="A273" s="16">
        <v>49522</v>
      </c>
      <c r="B273" s="80">
        <f>4.5975 * CHOOSE(CONTROL!$C$32, $C$9, 100%, $E$9)</f>
        <v>4.5975000000000001</v>
      </c>
      <c r="C273" s="80">
        <f>4.5975 * CHOOSE(CONTROL!$C$32, $C$9, 100%, $E$9)</f>
        <v>4.5975000000000001</v>
      </c>
      <c r="D273" s="80">
        <f>4.6027 * CHOOSE(CONTROL!$C$32, $C$9, 100%, $E$9)</f>
        <v>4.6026999999999996</v>
      </c>
      <c r="E273" s="81">
        <f>5.5851 * CHOOSE(CONTROL!$C$32, $C$9, 100%, $E$9)</f>
        <v>5.5850999999999997</v>
      </c>
      <c r="F273" s="81">
        <f>5.5851 * CHOOSE(CONTROL!$C$32, $C$9, 100%, $E$9)</f>
        <v>5.5850999999999997</v>
      </c>
      <c r="G273" s="81">
        <f>5.5914 * CHOOSE(CONTROL!$C$32, $C$9, 100%, $E$9)</f>
        <v>5.5914000000000001</v>
      </c>
      <c r="H273" s="81">
        <f>9.9724 * CHOOSE(CONTROL!$C$32, $C$9, 100%, $E$9)</f>
        <v>9.9724000000000004</v>
      </c>
      <c r="I273" s="81">
        <f>9.9787 * CHOOSE(CONTROL!$C$32, $C$9, 100%, $E$9)</f>
        <v>9.9786999999999999</v>
      </c>
      <c r="J273" s="81">
        <f>9.9724 * CHOOSE(CONTROL!$C$32, $C$9, 100%, $E$9)</f>
        <v>9.9724000000000004</v>
      </c>
      <c r="K273" s="81">
        <f>9.9787 * CHOOSE(CONTROL!$C$32, $C$9, 100%, $E$9)</f>
        <v>9.9786999999999999</v>
      </c>
      <c r="L273" s="81">
        <f>5.5851 * CHOOSE(CONTROL!$C$32, $C$9, 100%, $E$9)</f>
        <v>5.5850999999999997</v>
      </c>
      <c r="M273" s="81">
        <f>5.5914 * CHOOSE(CONTROL!$C$32, $C$9, 100%, $E$9)</f>
        <v>5.5914000000000001</v>
      </c>
      <c r="N273" s="81">
        <f>5.5851 * CHOOSE(CONTROL!$C$32, $C$9, 100%, $E$9)</f>
        <v>5.5850999999999997</v>
      </c>
      <c r="O273" s="81">
        <f>5.5914 * CHOOSE(CONTROL!$C$32, $C$9, 100%, $E$9)</f>
        <v>5.5914000000000001</v>
      </c>
    </row>
    <row r="274" spans="1:15" ht="15">
      <c r="A274" s="16">
        <v>49553</v>
      </c>
      <c r="B274" s="80">
        <f>4.5945 * CHOOSE(CONTROL!$C$32, $C$9, 100%, $E$9)</f>
        <v>4.5945</v>
      </c>
      <c r="C274" s="80">
        <f>4.5945 * CHOOSE(CONTROL!$C$32, $C$9, 100%, $E$9)</f>
        <v>4.5945</v>
      </c>
      <c r="D274" s="80">
        <f>4.5997 * CHOOSE(CONTROL!$C$32, $C$9, 100%, $E$9)</f>
        <v>4.5997000000000003</v>
      </c>
      <c r="E274" s="81">
        <f>5.5739 * CHOOSE(CONTROL!$C$32, $C$9, 100%, $E$9)</f>
        <v>5.5739000000000001</v>
      </c>
      <c r="F274" s="81">
        <f>5.5739 * CHOOSE(CONTROL!$C$32, $C$9, 100%, $E$9)</f>
        <v>5.5739000000000001</v>
      </c>
      <c r="G274" s="81">
        <f>5.5802 * CHOOSE(CONTROL!$C$32, $C$9, 100%, $E$9)</f>
        <v>5.5801999999999996</v>
      </c>
      <c r="H274" s="81">
        <f>9.9932 * CHOOSE(CONTROL!$C$32, $C$9, 100%, $E$9)</f>
        <v>9.9931999999999999</v>
      </c>
      <c r="I274" s="81">
        <f>9.9995 * CHOOSE(CONTROL!$C$32, $C$9, 100%, $E$9)</f>
        <v>9.9994999999999994</v>
      </c>
      <c r="J274" s="81">
        <f>9.9932 * CHOOSE(CONTROL!$C$32, $C$9, 100%, $E$9)</f>
        <v>9.9931999999999999</v>
      </c>
      <c r="K274" s="81">
        <f>9.9995 * CHOOSE(CONTROL!$C$32, $C$9, 100%, $E$9)</f>
        <v>9.9994999999999994</v>
      </c>
      <c r="L274" s="81">
        <f>5.5739 * CHOOSE(CONTROL!$C$32, $C$9, 100%, $E$9)</f>
        <v>5.5739000000000001</v>
      </c>
      <c r="M274" s="81">
        <f>5.5802 * CHOOSE(CONTROL!$C$32, $C$9, 100%, $E$9)</f>
        <v>5.5801999999999996</v>
      </c>
      <c r="N274" s="81">
        <f>5.5739 * CHOOSE(CONTROL!$C$32, $C$9, 100%, $E$9)</f>
        <v>5.5739000000000001</v>
      </c>
      <c r="O274" s="81">
        <f>5.5802 * CHOOSE(CONTROL!$C$32, $C$9, 100%, $E$9)</f>
        <v>5.5801999999999996</v>
      </c>
    </row>
    <row r="275" spans="1:15" ht="15">
      <c r="A275" s="16">
        <v>49583</v>
      </c>
      <c r="B275" s="80">
        <f>4.5915 * CHOOSE(CONTROL!$C$32, $C$9, 100%, $E$9)</f>
        <v>4.5914999999999999</v>
      </c>
      <c r="C275" s="80">
        <f>4.5915 * CHOOSE(CONTROL!$C$32, $C$9, 100%, $E$9)</f>
        <v>4.5914999999999999</v>
      </c>
      <c r="D275" s="80">
        <f>4.5951 * CHOOSE(CONTROL!$C$32, $C$9, 100%, $E$9)</f>
        <v>4.5951000000000004</v>
      </c>
      <c r="E275" s="81">
        <f>5.5969 * CHOOSE(CONTROL!$C$32, $C$9, 100%, $E$9)</f>
        <v>5.5968999999999998</v>
      </c>
      <c r="F275" s="81">
        <f>5.5969 * CHOOSE(CONTROL!$C$32, $C$9, 100%, $E$9)</f>
        <v>5.5968999999999998</v>
      </c>
      <c r="G275" s="81">
        <f>5.6012 * CHOOSE(CONTROL!$C$32, $C$9, 100%, $E$9)</f>
        <v>5.6012000000000004</v>
      </c>
      <c r="H275" s="81">
        <f>10.014 * CHOOSE(CONTROL!$C$32, $C$9, 100%, $E$9)</f>
        <v>10.013999999999999</v>
      </c>
      <c r="I275" s="81">
        <f>10.0184 * CHOOSE(CONTROL!$C$32, $C$9, 100%, $E$9)</f>
        <v>10.0184</v>
      </c>
      <c r="J275" s="81">
        <f>10.014 * CHOOSE(CONTROL!$C$32, $C$9, 100%, $E$9)</f>
        <v>10.013999999999999</v>
      </c>
      <c r="K275" s="81">
        <f>10.0184 * CHOOSE(CONTROL!$C$32, $C$9, 100%, $E$9)</f>
        <v>10.0184</v>
      </c>
      <c r="L275" s="81">
        <f>5.5969 * CHOOSE(CONTROL!$C$32, $C$9, 100%, $E$9)</f>
        <v>5.5968999999999998</v>
      </c>
      <c r="M275" s="81">
        <f>5.6012 * CHOOSE(CONTROL!$C$32, $C$9, 100%, $E$9)</f>
        <v>5.6012000000000004</v>
      </c>
      <c r="N275" s="81">
        <f>5.5969 * CHOOSE(CONTROL!$C$32, $C$9, 100%, $E$9)</f>
        <v>5.5968999999999998</v>
      </c>
      <c r="O275" s="81">
        <f>5.6012 * CHOOSE(CONTROL!$C$32, $C$9, 100%, $E$9)</f>
        <v>5.6012000000000004</v>
      </c>
    </row>
    <row r="276" spans="1:15" ht="15">
      <c r="A276" s="16">
        <v>49614</v>
      </c>
      <c r="B276" s="80">
        <f>4.5946 * CHOOSE(CONTROL!$C$32, $C$9, 100%, $E$9)</f>
        <v>4.5945999999999998</v>
      </c>
      <c r="C276" s="80">
        <f>4.5946 * CHOOSE(CONTROL!$C$32, $C$9, 100%, $E$9)</f>
        <v>4.5945999999999998</v>
      </c>
      <c r="D276" s="80">
        <f>4.5981 * CHOOSE(CONTROL!$C$32, $C$9, 100%, $E$9)</f>
        <v>4.5980999999999996</v>
      </c>
      <c r="E276" s="81">
        <f>5.6172 * CHOOSE(CONTROL!$C$32, $C$9, 100%, $E$9)</f>
        <v>5.6172000000000004</v>
      </c>
      <c r="F276" s="81">
        <f>5.6172 * CHOOSE(CONTROL!$C$32, $C$9, 100%, $E$9)</f>
        <v>5.6172000000000004</v>
      </c>
      <c r="G276" s="81">
        <f>5.6216 * CHOOSE(CONTROL!$C$32, $C$9, 100%, $E$9)</f>
        <v>5.6215999999999999</v>
      </c>
      <c r="H276" s="81">
        <f>10.0349 * CHOOSE(CONTROL!$C$32, $C$9, 100%, $E$9)</f>
        <v>10.0349</v>
      </c>
      <c r="I276" s="81">
        <f>10.0392 * CHOOSE(CONTROL!$C$32, $C$9, 100%, $E$9)</f>
        <v>10.039199999999999</v>
      </c>
      <c r="J276" s="81">
        <f>10.0349 * CHOOSE(CONTROL!$C$32, $C$9, 100%, $E$9)</f>
        <v>10.0349</v>
      </c>
      <c r="K276" s="81">
        <f>10.0392 * CHOOSE(CONTROL!$C$32, $C$9, 100%, $E$9)</f>
        <v>10.039199999999999</v>
      </c>
      <c r="L276" s="81">
        <f>5.6172 * CHOOSE(CONTROL!$C$32, $C$9, 100%, $E$9)</f>
        <v>5.6172000000000004</v>
      </c>
      <c r="M276" s="81">
        <f>5.6216 * CHOOSE(CONTROL!$C$32, $C$9, 100%, $E$9)</f>
        <v>5.6215999999999999</v>
      </c>
      <c r="N276" s="81">
        <f>5.6172 * CHOOSE(CONTROL!$C$32, $C$9, 100%, $E$9)</f>
        <v>5.6172000000000004</v>
      </c>
      <c r="O276" s="81">
        <f>5.6216 * CHOOSE(CONTROL!$C$32, $C$9, 100%, $E$9)</f>
        <v>5.6215999999999999</v>
      </c>
    </row>
    <row r="277" spans="1:15" ht="15">
      <c r="A277" s="16">
        <v>49644</v>
      </c>
      <c r="B277" s="80">
        <f>4.5946 * CHOOSE(CONTROL!$C$32, $C$9, 100%, $E$9)</f>
        <v>4.5945999999999998</v>
      </c>
      <c r="C277" s="80">
        <f>4.5946 * CHOOSE(CONTROL!$C$32, $C$9, 100%, $E$9)</f>
        <v>4.5945999999999998</v>
      </c>
      <c r="D277" s="80">
        <f>4.5981 * CHOOSE(CONTROL!$C$32, $C$9, 100%, $E$9)</f>
        <v>4.5980999999999996</v>
      </c>
      <c r="E277" s="81">
        <f>5.5717 * CHOOSE(CONTROL!$C$32, $C$9, 100%, $E$9)</f>
        <v>5.5716999999999999</v>
      </c>
      <c r="F277" s="81">
        <f>5.5717 * CHOOSE(CONTROL!$C$32, $C$9, 100%, $E$9)</f>
        <v>5.5716999999999999</v>
      </c>
      <c r="G277" s="81">
        <f>5.576 * CHOOSE(CONTROL!$C$32, $C$9, 100%, $E$9)</f>
        <v>5.5759999999999996</v>
      </c>
      <c r="H277" s="81">
        <f>10.0558 * CHOOSE(CONTROL!$C$32, $C$9, 100%, $E$9)</f>
        <v>10.0558</v>
      </c>
      <c r="I277" s="81">
        <f>10.0601 * CHOOSE(CONTROL!$C$32, $C$9, 100%, $E$9)</f>
        <v>10.0601</v>
      </c>
      <c r="J277" s="81">
        <f>10.0558 * CHOOSE(CONTROL!$C$32, $C$9, 100%, $E$9)</f>
        <v>10.0558</v>
      </c>
      <c r="K277" s="81">
        <f>10.0601 * CHOOSE(CONTROL!$C$32, $C$9, 100%, $E$9)</f>
        <v>10.0601</v>
      </c>
      <c r="L277" s="81">
        <f>5.5717 * CHOOSE(CONTROL!$C$32, $C$9, 100%, $E$9)</f>
        <v>5.5716999999999999</v>
      </c>
      <c r="M277" s="81">
        <f>5.576 * CHOOSE(CONTROL!$C$32, $C$9, 100%, $E$9)</f>
        <v>5.5759999999999996</v>
      </c>
      <c r="N277" s="81">
        <f>5.5717 * CHOOSE(CONTROL!$C$32, $C$9, 100%, $E$9)</f>
        <v>5.5716999999999999</v>
      </c>
      <c r="O277" s="81">
        <f>5.576 * CHOOSE(CONTROL!$C$32, $C$9, 100%, $E$9)</f>
        <v>5.5759999999999996</v>
      </c>
    </row>
    <row r="278" spans="1:15" ht="15">
      <c r="A278" s="16">
        <v>49675</v>
      </c>
      <c r="B278" s="80">
        <f>4.6362 * CHOOSE(CONTROL!$C$32, $C$9, 100%, $E$9)</f>
        <v>4.6361999999999997</v>
      </c>
      <c r="C278" s="80">
        <f>4.6362 * CHOOSE(CONTROL!$C$32, $C$9, 100%, $E$9)</f>
        <v>4.6361999999999997</v>
      </c>
      <c r="D278" s="80">
        <f>4.6397 * CHOOSE(CONTROL!$C$32, $C$9, 100%, $E$9)</f>
        <v>4.6397000000000004</v>
      </c>
      <c r="E278" s="81">
        <f>5.6558 * CHOOSE(CONTROL!$C$32, $C$9, 100%, $E$9)</f>
        <v>5.6558000000000002</v>
      </c>
      <c r="F278" s="81">
        <f>5.6558 * CHOOSE(CONTROL!$C$32, $C$9, 100%, $E$9)</f>
        <v>5.6558000000000002</v>
      </c>
      <c r="G278" s="81">
        <f>5.6602 * CHOOSE(CONTROL!$C$32, $C$9, 100%, $E$9)</f>
        <v>5.6601999999999997</v>
      </c>
      <c r="H278" s="81">
        <f>10.0767 * CHOOSE(CONTROL!$C$32, $C$9, 100%, $E$9)</f>
        <v>10.076700000000001</v>
      </c>
      <c r="I278" s="81">
        <f>10.0811 * CHOOSE(CONTROL!$C$32, $C$9, 100%, $E$9)</f>
        <v>10.081099999999999</v>
      </c>
      <c r="J278" s="81">
        <f>10.0767 * CHOOSE(CONTROL!$C$32, $C$9, 100%, $E$9)</f>
        <v>10.076700000000001</v>
      </c>
      <c r="K278" s="81">
        <f>10.0811 * CHOOSE(CONTROL!$C$32, $C$9, 100%, $E$9)</f>
        <v>10.081099999999999</v>
      </c>
      <c r="L278" s="81">
        <f>5.6558 * CHOOSE(CONTROL!$C$32, $C$9, 100%, $E$9)</f>
        <v>5.6558000000000002</v>
      </c>
      <c r="M278" s="81">
        <f>5.6602 * CHOOSE(CONTROL!$C$32, $C$9, 100%, $E$9)</f>
        <v>5.6601999999999997</v>
      </c>
      <c r="N278" s="81">
        <f>5.6558 * CHOOSE(CONTROL!$C$32, $C$9, 100%, $E$9)</f>
        <v>5.6558000000000002</v>
      </c>
      <c r="O278" s="81">
        <f>5.6602 * CHOOSE(CONTROL!$C$32, $C$9, 100%, $E$9)</f>
        <v>5.6601999999999997</v>
      </c>
    </row>
    <row r="279" spans="1:15" ht="15">
      <c r="A279" s="16">
        <v>49706</v>
      </c>
      <c r="B279" s="80">
        <f>4.6332 * CHOOSE(CONTROL!$C$32, $C$9, 100%, $E$9)</f>
        <v>4.6332000000000004</v>
      </c>
      <c r="C279" s="80">
        <f>4.6332 * CHOOSE(CONTROL!$C$32, $C$9, 100%, $E$9)</f>
        <v>4.6332000000000004</v>
      </c>
      <c r="D279" s="80">
        <f>4.6367 * CHOOSE(CONTROL!$C$32, $C$9, 100%, $E$9)</f>
        <v>4.6367000000000003</v>
      </c>
      <c r="E279" s="81">
        <f>5.5653 * CHOOSE(CONTROL!$C$32, $C$9, 100%, $E$9)</f>
        <v>5.5652999999999997</v>
      </c>
      <c r="F279" s="81">
        <f>5.5653 * CHOOSE(CONTROL!$C$32, $C$9, 100%, $E$9)</f>
        <v>5.5652999999999997</v>
      </c>
      <c r="G279" s="81">
        <f>5.5697 * CHOOSE(CONTROL!$C$32, $C$9, 100%, $E$9)</f>
        <v>5.5697000000000001</v>
      </c>
      <c r="H279" s="81">
        <f>10.0977 * CHOOSE(CONTROL!$C$32, $C$9, 100%, $E$9)</f>
        <v>10.0977</v>
      </c>
      <c r="I279" s="81">
        <f>10.1021 * CHOOSE(CONTROL!$C$32, $C$9, 100%, $E$9)</f>
        <v>10.1021</v>
      </c>
      <c r="J279" s="81">
        <f>10.0977 * CHOOSE(CONTROL!$C$32, $C$9, 100%, $E$9)</f>
        <v>10.0977</v>
      </c>
      <c r="K279" s="81">
        <f>10.1021 * CHOOSE(CONTROL!$C$32, $C$9, 100%, $E$9)</f>
        <v>10.1021</v>
      </c>
      <c r="L279" s="81">
        <f>5.5653 * CHOOSE(CONTROL!$C$32, $C$9, 100%, $E$9)</f>
        <v>5.5652999999999997</v>
      </c>
      <c r="M279" s="81">
        <f>5.5697 * CHOOSE(CONTROL!$C$32, $C$9, 100%, $E$9)</f>
        <v>5.5697000000000001</v>
      </c>
      <c r="N279" s="81">
        <f>5.5653 * CHOOSE(CONTROL!$C$32, $C$9, 100%, $E$9)</f>
        <v>5.5652999999999997</v>
      </c>
      <c r="O279" s="81">
        <f>5.5697 * CHOOSE(CONTROL!$C$32, $C$9, 100%, $E$9)</f>
        <v>5.5697000000000001</v>
      </c>
    </row>
    <row r="280" spans="1:15" ht="15">
      <c r="A280" s="16">
        <v>49735</v>
      </c>
      <c r="B280" s="80">
        <f>4.6301 * CHOOSE(CONTROL!$C$32, $C$9, 100%, $E$9)</f>
        <v>4.6300999999999997</v>
      </c>
      <c r="C280" s="80">
        <f>4.6301 * CHOOSE(CONTROL!$C$32, $C$9, 100%, $E$9)</f>
        <v>4.6300999999999997</v>
      </c>
      <c r="D280" s="80">
        <f>4.6337 * CHOOSE(CONTROL!$C$32, $C$9, 100%, $E$9)</f>
        <v>4.6337000000000002</v>
      </c>
      <c r="E280" s="81">
        <f>5.6329 * CHOOSE(CONTROL!$C$32, $C$9, 100%, $E$9)</f>
        <v>5.6329000000000002</v>
      </c>
      <c r="F280" s="81">
        <f>5.6329 * CHOOSE(CONTROL!$C$32, $C$9, 100%, $E$9)</f>
        <v>5.6329000000000002</v>
      </c>
      <c r="G280" s="81">
        <f>5.6373 * CHOOSE(CONTROL!$C$32, $C$9, 100%, $E$9)</f>
        <v>5.6372999999999998</v>
      </c>
      <c r="H280" s="81">
        <f>10.1188 * CHOOSE(CONTROL!$C$32, $C$9, 100%, $E$9)</f>
        <v>10.1188</v>
      </c>
      <c r="I280" s="81">
        <f>10.1231 * CHOOSE(CONTROL!$C$32, $C$9, 100%, $E$9)</f>
        <v>10.123100000000001</v>
      </c>
      <c r="J280" s="81">
        <f>10.1188 * CHOOSE(CONTROL!$C$32, $C$9, 100%, $E$9)</f>
        <v>10.1188</v>
      </c>
      <c r="K280" s="81">
        <f>10.1231 * CHOOSE(CONTROL!$C$32, $C$9, 100%, $E$9)</f>
        <v>10.123100000000001</v>
      </c>
      <c r="L280" s="81">
        <f>5.6329 * CHOOSE(CONTROL!$C$32, $C$9, 100%, $E$9)</f>
        <v>5.6329000000000002</v>
      </c>
      <c r="M280" s="81">
        <f>5.6373 * CHOOSE(CONTROL!$C$32, $C$9, 100%, $E$9)</f>
        <v>5.6372999999999998</v>
      </c>
      <c r="N280" s="81">
        <f>5.6329 * CHOOSE(CONTROL!$C$32, $C$9, 100%, $E$9)</f>
        <v>5.6329000000000002</v>
      </c>
      <c r="O280" s="81">
        <f>5.6373 * CHOOSE(CONTROL!$C$32, $C$9, 100%, $E$9)</f>
        <v>5.6372999999999998</v>
      </c>
    </row>
    <row r="281" spans="1:15" ht="15">
      <c r="A281" s="16">
        <v>49766</v>
      </c>
      <c r="B281" s="80">
        <f>4.6283 * CHOOSE(CONTROL!$C$32, $C$9, 100%, $E$9)</f>
        <v>4.6283000000000003</v>
      </c>
      <c r="C281" s="80">
        <f>4.6283 * CHOOSE(CONTROL!$C$32, $C$9, 100%, $E$9)</f>
        <v>4.6283000000000003</v>
      </c>
      <c r="D281" s="80">
        <f>4.6319 * CHOOSE(CONTROL!$C$32, $C$9, 100%, $E$9)</f>
        <v>4.6318999999999999</v>
      </c>
      <c r="E281" s="81">
        <f>5.7035 * CHOOSE(CONTROL!$C$32, $C$9, 100%, $E$9)</f>
        <v>5.7035</v>
      </c>
      <c r="F281" s="81">
        <f>5.7035 * CHOOSE(CONTROL!$C$32, $C$9, 100%, $E$9)</f>
        <v>5.7035</v>
      </c>
      <c r="G281" s="81">
        <f>5.7078 * CHOOSE(CONTROL!$C$32, $C$9, 100%, $E$9)</f>
        <v>5.7077999999999998</v>
      </c>
      <c r="H281" s="81">
        <f>10.1398 * CHOOSE(CONTROL!$C$32, $C$9, 100%, $E$9)</f>
        <v>10.139799999999999</v>
      </c>
      <c r="I281" s="81">
        <f>10.1442 * CHOOSE(CONTROL!$C$32, $C$9, 100%, $E$9)</f>
        <v>10.1442</v>
      </c>
      <c r="J281" s="81">
        <f>10.1398 * CHOOSE(CONTROL!$C$32, $C$9, 100%, $E$9)</f>
        <v>10.139799999999999</v>
      </c>
      <c r="K281" s="81">
        <f>10.1442 * CHOOSE(CONTROL!$C$32, $C$9, 100%, $E$9)</f>
        <v>10.1442</v>
      </c>
      <c r="L281" s="81">
        <f>5.7035 * CHOOSE(CONTROL!$C$32, $C$9, 100%, $E$9)</f>
        <v>5.7035</v>
      </c>
      <c r="M281" s="81">
        <f>5.7078 * CHOOSE(CONTROL!$C$32, $C$9, 100%, $E$9)</f>
        <v>5.7077999999999998</v>
      </c>
      <c r="N281" s="81">
        <f>5.7035 * CHOOSE(CONTROL!$C$32, $C$9, 100%, $E$9)</f>
        <v>5.7035</v>
      </c>
      <c r="O281" s="81">
        <f>5.7078 * CHOOSE(CONTROL!$C$32, $C$9, 100%, $E$9)</f>
        <v>5.7077999999999998</v>
      </c>
    </row>
    <row r="282" spans="1:15" ht="15">
      <c r="A282" s="16">
        <v>49796</v>
      </c>
      <c r="B282" s="80">
        <f>4.6283 * CHOOSE(CONTROL!$C$32, $C$9, 100%, $E$9)</f>
        <v>4.6283000000000003</v>
      </c>
      <c r="C282" s="80">
        <f>4.6283 * CHOOSE(CONTROL!$C$32, $C$9, 100%, $E$9)</f>
        <v>4.6283000000000003</v>
      </c>
      <c r="D282" s="80">
        <f>4.6335 * CHOOSE(CONTROL!$C$32, $C$9, 100%, $E$9)</f>
        <v>4.6334999999999997</v>
      </c>
      <c r="E282" s="81">
        <f>5.7315 * CHOOSE(CONTROL!$C$32, $C$9, 100%, $E$9)</f>
        <v>5.7314999999999996</v>
      </c>
      <c r="F282" s="81">
        <f>5.7315 * CHOOSE(CONTROL!$C$32, $C$9, 100%, $E$9)</f>
        <v>5.7314999999999996</v>
      </c>
      <c r="G282" s="81">
        <f>5.7378 * CHOOSE(CONTROL!$C$32, $C$9, 100%, $E$9)</f>
        <v>5.7378</v>
      </c>
      <c r="H282" s="81">
        <f>10.161 * CHOOSE(CONTROL!$C$32, $C$9, 100%, $E$9)</f>
        <v>10.161</v>
      </c>
      <c r="I282" s="81">
        <f>10.1673 * CHOOSE(CONTROL!$C$32, $C$9, 100%, $E$9)</f>
        <v>10.167299999999999</v>
      </c>
      <c r="J282" s="81">
        <f>10.161 * CHOOSE(CONTROL!$C$32, $C$9, 100%, $E$9)</f>
        <v>10.161</v>
      </c>
      <c r="K282" s="81">
        <f>10.1673 * CHOOSE(CONTROL!$C$32, $C$9, 100%, $E$9)</f>
        <v>10.167299999999999</v>
      </c>
      <c r="L282" s="81">
        <f>5.7315 * CHOOSE(CONTROL!$C$32, $C$9, 100%, $E$9)</f>
        <v>5.7314999999999996</v>
      </c>
      <c r="M282" s="81">
        <f>5.7378 * CHOOSE(CONTROL!$C$32, $C$9, 100%, $E$9)</f>
        <v>5.7378</v>
      </c>
      <c r="N282" s="81">
        <f>5.7315 * CHOOSE(CONTROL!$C$32, $C$9, 100%, $E$9)</f>
        <v>5.7314999999999996</v>
      </c>
      <c r="O282" s="81">
        <f>5.7378 * CHOOSE(CONTROL!$C$32, $C$9, 100%, $E$9)</f>
        <v>5.7378</v>
      </c>
    </row>
    <row r="283" spans="1:15" ht="15">
      <c r="A283" s="16">
        <v>49827</v>
      </c>
      <c r="B283" s="80">
        <f>4.6344 * CHOOSE(CONTROL!$C$32, $C$9, 100%, $E$9)</f>
        <v>4.6344000000000003</v>
      </c>
      <c r="C283" s="80">
        <f>4.6344 * CHOOSE(CONTROL!$C$32, $C$9, 100%, $E$9)</f>
        <v>4.6344000000000003</v>
      </c>
      <c r="D283" s="80">
        <f>4.6396 * CHOOSE(CONTROL!$C$32, $C$9, 100%, $E$9)</f>
        <v>4.6395999999999997</v>
      </c>
      <c r="E283" s="81">
        <f>5.7077 * CHOOSE(CONTROL!$C$32, $C$9, 100%, $E$9)</f>
        <v>5.7077</v>
      </c>
      <c r="F283" s="81">
        <f>5.7077 * CHOOSE(CONTROL!$C$32, $C$9, 100%, $E$9)</f>
        <v>5.7077</v>
      </c>
      <c r="G283" s="81">
        <f>5.714 * CHOOSE(CONTROL!$C$32, $C$9, 100%, $E$9)</f>
        <v>5.7140000000000004</v>
      </c>
      <c r="H283" s="81">
        <f>10.1821 * CHOOSE(CONTROL!$C$32, $C$9, 100%, $E$9)</f>
        <v>10.1821</v>
      </c>
      <c r="I283" s="81">
        <f>10.1884 * CHOOSE(CONTROL!$C$32, $C$9, 100%, $E$9)</f>
        <v>10.1884</v>
      </c>
      <c r="J283" s="81">
        <f>10.1821 * CHOOSE(CONTROL!$C$32, $C$9, 100%, $E$9)</f>
        <v>10.1821</v>
      </c>
      <c r="K283" s="81">
        <f>10.1884 * CHOOSE(CONTROL!$C$32, $C$9, 100%, $E$9)</f>
        <v>10.1884</v>
      </c>
      <c r="L283" s="81">
        <f>5.7077 * CHOOSE(CONTROL!$C$32, $C$9, 100%, $E$9)</f>
        <v>5.7077</v>
      </c>
      <c r="M283" s="81">
        <f>5.714 * CHOOSE(CONTROL!$C$32, $C$9, 100%, $E$9)</f>
        <v>5.7140000000000004</v>
      </c>
      <c r="N283" s="81">
        <f>5.7077 * CHOOSE(CONTROL!$C$32, $C$9, 100%, $E$9)</f>
        <v>5.7077</v>
      </c>
      <c r="O283" s="81">
        <f>5.714 * CHOOSE(CONTROL!$C$32, $C$9, 100%, $E$9)</f>
        <v>5.7140000000000004</v>
      </c>
    </row>
    <row r="284" spans="1:15" ht="15">
      <c r="A284" s="16">
        <v>49857</v>
      </c>
      <c r="B284" s="80">
        <f>4.7122 * CHOOSE(CONTROL!$C$32, $C$9, 100%, $E$9)</f>
        <v>4.7122000000000002</v>
      </c>
      <c r="C284" s="80">
        <f>4.7122 * CHOOSE(CONTROL!$C$32, $C$9, 100%, $E$9)</f>
        <v>4.7122000000000002</v>
      </c>
      <c r="D284" s="80">
        <f>4.7173 * CHOOSE(CONTROL!$C$32, $C$9, 100%, $E$9)</f>
        <v>4.7172999999999998</v>
      </c>
      <c r="E284" s="81">
        <f>5.8199 * CHOOSE(CONTROL!$C$32, $C$9, 100%, $E$9)</f>
        <v>5.8198999999999996</v>
      </c>
      <c r="F284" s="81">
        <f>5.8199 * CHOOSE(CONTROL!$C$32, $C$9, 100%, $E$9)</f>
        <v>5.8198999999999996</v>
      </c>
      <c r="G284" s="81">
        <f>5.8262 * CHOOSE(CONTROL!$C$32, $C$9, 100%, $E$9)</f>
        <v>5.8262</v>
      </c>
      <c r="H284" s="81">
        <f>10.2033 * CHOOSE(CONTROL!$C$32, $C$9, 100%, $E$9)</f>
        <v>10.2033</v>
      </c>
      <c r="I284" s="81">
        <f>10.2097 * CHOOSE(CONTROL!$C$32, $C$9, 100%, $E$9)</f>
        <v>10.2097</v>
      </c>
      <c r="J284" s="81">
        <f>10.2033 * CHOOSE(CONTROL!$C$32, $C$9, 100%, $E$9)</f>
        <v>10.2033</v>
      </c>
      <c r="K284" s="81">
        <f>10.2097 * CHOOSE(CONTROL!$C$32, $C$9, 100%, $E$9)</f>
        <v>10.2097</v>
      </c>
      <c r="L284" s="81">
        <f>5.8199 * CHOOSE(CONTROL!$C$32, $C$9, 100%, $E$9)</f>
        <v>5.8198999999999996</v>
      </c>
      <c r="M284" s="81">
        <f>5.8262 * CHOOSE(CONTROL!$C$32, $C$9, 100%, $E$9)</f>
        <v>5.8262</v>
      </c>
      <c r="N284" s="81">
        <f>5.8199 * CHOOSE(CONTROL!$C$32, $C$9, 100%, $E$9)</f>
        <v>5.8198999999999996</v>
      </c>
      <c r="O284" s="81">
        <f>5.8262 * CHOOSE(CONTROL!$C$32, $C$9, 100%, $E$9)</f>
        <v>5.8262</v>
      </c>
    </row>
    <row r="285" spans="1:15" ht="15">
      <c r="A285" s="16">
        <v>49888</v>
      </c>
      <c r="B285" s="80">
        <f>4.7188 * CHOOSE(CONTROL!$C$32, $C$9, 100%, $E$9)</f>
        <v>4.7187999999999999</v>
      </c>
      <c r="C285" s="80">
        <f>4.7188 * CHOOSE(CONTROL!$C$32, $C$9, 100%, $E$9)</f>
        <v>4.7187999999999999</v>
      </c>
      <c r="D285" s="80">
        <f>4.724 * CHOOSE(CONTROL!$C$32, $C$9, 100%, $E$9)</f>
        <v>4.7240000000000002</v>
      </c>
      <c r="E285" s="81">
        <f>5.7404 * CHOOSE(CONTROL!$C$32, $C$9, 100%, $E$9)</f>
        <v>5.7404000000000002</v>
      </c>
      <c r="F285" s="81">
        <f>5.7404 * CHOOSE(CONTROL!$C$32, $C$9, 100%, $E$9)</f>
        <v>5.7404000000000002</v>
      </c>
      <c r="G285" s="81">
        <f>5.7467 * CHOOSE(CONTROL!$C$32, $C$9, 100%, $E$9)</f>
        <v>5.7466999999999997</v>
      </c>
      <c r="H285" s="81">
        <f>10.2246 * CHOOSE(CONTROL!$C$32, $C$9, 100%, $E$9)</f>
        <v>10.224600000000001</v>
      </c>
      <c r="I285" s="81">
        <f>10.2309 * CHOOSE(CONTROL!$C$32, $C$9, 100%, $E$9)</f>
        <v>10.2309</v>
      </c>
      <c r="J285" s="81">
        <f>10.2246 * CHOOSE(CONTROL!$C$32, $C$9, 100%, $E$9)</f>
        <v>10.224600000000001</v>
      </c>
      <c r="K285" s="81">
        <f>10.2309 * CHOOSE(CONTROL!$C$32, $C$9, 100%, $E$9)</f>
        <v>10.2309</v>
      </c>
      <c r="L285" s="81">
        <f>5.7404 * CHOOSE(CONTROL!$C$32, $C$9, 100%, $E$9)</f>
        <v>5.7404000000000002</v>
      </c>
      <c r="M285" s="81">
        <f>5.7467 * CHOOSE(CONTROL!$C$32, $C$9, 100%, $E$9)</f>
        <v>5.7466999999999997</v>
      </c>
      <c r="N285" s="81">
        <f>5.7404 * CHOOSE(CONTROL!$C$32, $C$9, 100%, $E$9)</f>
        <v>5.7404000000000002</v>
      </c>
      <c r="O285" s="81">
        <f>5.7467 * CHOOSE(CONTROL!$C$32, $C$9, 100%, $E$9)</f>
        <v>5.7466999999999997</v>
      </c>
    </row>
    <row r="286" spans="1:15" ht="15">
      <c r="A286" s="16">
        <v>49919</v>
      </c>
      <c r="B286" s="80">
        <f>4.7158 * CHOOSE(CONTROL!$C$32, $C$9, 100%, $E$9)</f>
        <v>4.7157999999999998</v>
      </c>
      <c r="C286" s="80">
        <f>4.7158 * CHOOSE(CONTROL!$C$32, $C$9, 100%, $E$9)</f>
        <v>4.7157999999999998</v>
      </c>
      <c r="D286" s="80">
        <f>4.721 * CHOOSE(CONTROL!$C$32, $C$9, 100%, $E$9)</f>
        <v>4.7210000000000001</v>
      </c>
      <c r="E286" s="81">
        <f>5.7289 * CHOOSE(CONTROL!$C$32, $C$9, 100%, $E$9)</f>
        <v>5.7289000000000003</v>
      </c>
      <c r="F286" s="81">
        <f>5.7289 * CHOOSE(CONTROL!$C$32, $C$9, 100%, $E$9)</f>
        <v>5.7289000000000003</v>
      </c>
      <c r="G286" s="81">
        <f>5.7352 * CHOOSE(CONTROL!$C$32, $C$9, 100%, $E$9)</f>
        <v>5.7351999999999999</v>
      </c>
      <c r="H286" s="81">
        <f>10.2459 * CHOOSE(CONTROL!$C$32, $C$9, 100%, $E$9)</f>
        <v>10.245900000000001</v>
      </c>
      <c r="I286" s="81">
        <f>10.2522 * CHOOSE(CONTROL!$C$32, $C$9, 100%, $E$9)</f>
        <v>10.2522</v>
      </c>
      <c r="J286" s="81">
        <f>10.2459 * CHOOSE(CONTROL!$C$32, $C$9, 100%, $E$9)</f>
        <v>10.245900000000001</v>
      </c>
      <c r="K286" s="81">
        <f>10.2522 * CHOOSE(CONTROL!$C$32, $C$9, 100%, $E$9)</f>
        <v>10.2522</v>
      </c>
      <c r="L286" s="81">
        <f>5.7289 * CHOOSE(CONTROL!$C$32, $C$9, 100%, $E$9)</f>
        <v>5.7289000000000003</v>
      </c>
      <c r="M286" s="81">
        <f>5.7352 * CHOOSE(CONTROL!$C$32, $C$9, 100%, $E$9)</f>
        <v>5.7351999999999999</v>
      </c>
      <c r="N286" s="81">
        <f>5.7289 * CHOOSE(CONTROL!$C$32, $C$9, 100%, $E$9)</f>
        <v>5.7289000000000003</v>
      </c>
      <c r="O286" s="81">
        <f>5.7352 * CHOOSE(CONTROL!$C$32, $C$9, 100%, $E$9)</f>
        <v>5.7351999999999999</v>
      </c>
    </row>
    <row r="287" spans="1:15" ht="15">
      <c r="A287" s="16">
        <v>49949</v>
      </c>
      <c r="B287" s="80">
        <f>4.7132 * CHOOSE(CONTROL!$C$32, $C$9, 100%, $E$9)</f>
        <v>4.7131999999999996</v>
      </c>
      <c r="C287" s="80">
        <f>4.7132 * CHOOSE(CONTROL!$C$32, $C$9, 100%, $E$9)</f>
        <v>4.7131999999999996</v>
      </c>
      <c r="D287" s="80">
        <f>4.7168 * CHOOSE(CONTROL!$C$32, $C$9, 100%, $E$9)</f>
        <v>4.7168000000000001</v>
      </c>
      <c r="E287" s="81">
        <f>5.7529 * CHOOSE(CONTROL!$C$32, $C$9, 100%, $E$9)</f>
        <v>5.7529000000000003</v>
      </c>
      <c r="F287" s="81">
        <f>5.7529 * CHOOSE(CONTROL!$C$32, $C$9, 100%, $E$9)</f>
        <v>5.7529000000000003</v>
      </c>
      <c r="G287" s="81">
        <f>5.7572 * CHOOSE(CONTROL!$C$32, $C$9, 100%, $E$9)</f>
        <v>5.7572000000000001</v>
      </c>
      <c r="H287" s="81">
        <f>10.2672 * CHOOSE(CONTROL!$C$32, $C$9, 100%, $E$9)</f>
        <v>10.267200000000001</v>
      </c>
      <c r="I287" s="81">
        <f>10.2716 * CHOOSE(CONTROL!$C$32, $C$9, 100%, $E$9)</f>
        <v>10.271599999999999</v>
      </c>
      <c r="J287" s="81">
        <f>10.2672 * CHOOSE(CONTROL!$C$32, $C$9, 100%, $E$9)</f>
        <v>10.267200000000001</v>
      </c>
      <c r="K287" s="81">
        <f>10.2716 * CHOOSE(CONTROL!$C$32, $C$9, 100%, $E$9)</f>
        <v>10.271599999999999</v>
      </c>
      <c r="L287" s="81">
        <f>5.7529 * CHOOSE(CONTROL!$C$32, $C$9, 100%, $E$9)</f>
        <v>5.7529000000000003</v>
      </c>
      <c r="M287" s="81">
        <f>5.7572 * CHOOSE(CONTROL!$C$32, $C$9, 100%, $E$9)</f>
        <v>5.7572000000000001</v>
      </c>
      <c r="N287" s="81">
        <f>5.7529 * CHOOSE(CONTROL!$C$32, $C$9, 100%, $E$9)</f>
        <v>5.7529000000000003</v>
      </c>
      <c r="O287" s="81">
        <f>5.7572 * CHOOSE(CONTROL!$C$32, $C$9, 100%, $E$9)</f>
        <v>5.7572000000000001</v>
      </c>
    </row>
    <row r="288" spans="1:15" ht="15">
      <c r="A288" s="16">
        <v>49980</v>
      </c>
      <c r="B288" s="80">
        <f>4.7163 * CHOOSE(CONTROL!$C$32, $C$9, 100%, $E$9)</f>
        <v>4.7163000000000004</v>
      </c>
      <c r="C288" s="80">
        <f>4.7163 * CHOOSE(CONTROL!$C$32, $C$9, 100%, $E$9)</f>
        <v>4.7163000000000004</v>
      </c>
      <c r="D288" s="80">
        <f>4.7198 * CHOOSE(CONTROL!$C$32, $C$9, 100%, $E$9)</f>
        <v>4.7198000000000002</v>
      </c>
      <c r="E288" s="81">
        <f>5.7737 * CHOOSE(CONTROL!$C$32, $C$9, 100%, $E$9)</f>
        <v>5.7736999999999998</v>
      </c>
      <c r="F288" s="81">
        <f>5.7737 * CHOOSE(CONTROL!$C$32, $C$9, 100%, $E$9)</f>
        <v>5.7736999999999998</v>
      </c>
      <c r="G288" s="81">
        <f>5.7781 * CHOOSE(CONTROL!$C$32, $C$9, 100%, $E$9)</f>
        <v>5.7781000000000002</v>
      </c>
      <c r="H288" s="81">
        <f>10.2886 * CHOOSE(CONTROL!$C$32, $C$9, 100%, $E$9)</f>
        <v>10.288600000000001</v>
      </c>
      <c r="I288" s="81">
        <f>10.293 * CHOOSE(CONTROL!$C$32, $C$9, 100%, $E$9)</f>
        <v>10.292999999999999</v>
      </c>
      <c r="J288" s="81">
        <f>10.2886 * CHOOSE(CONTROL!$C$32, $C$9, 100%, $E$9)</f>
        <v>10.288600000000001</v>
      </c>
      <c r="K288" s="81">
        <f>10.293 * CHOOSE(CONTROL!$C$32, $C$9, 100%, $E$9)</f>
        <v>10.292999999999999</v>
      </c>
      <c r="L288" s="81">
        <f>5.7737 * CHOOSE(CONTROL!$C$32, $C$9, 100%, $E$9)</f>
        <v>5.7736999999999998</v>
      </c>
      <c r="M288" s="81">
        <f>5.7781 * CHOOSE(CONTROL!$C$32, $C$9, 100%, $E$9)</f>
        <v>5.7781000000000002</v>
      </c>
      <c r="N288" s="81">
        <f>5.7737 * CHOOSE(CONTROL!$C$32, $C$9, 100%, $E$9)</f>
        <v>5.7736999999999998</v>
      </c>
      <c r="O288" s="81">
        <f>5.7781 * CHOOSE(CONTROL!$C$32, $C$9, 100%, $E$9)</f>
        <v>5.7781000000000002</v>
      </c>
    </row>
    <row r="289" spans="1:15" ht="15">
      <c r="A289" s="16">
        <v>50010</v>
      </c>
      <c r="B289" s="80">
        <f>4.7163 * CHOOSE(CONTROL!$C$32, $C$9, 100%, $E$9)</f>
        <v>4.7163000000000004</v>
      </c>
      <c r="C289" s="80">
        <f>4.7163 * CHOOSE(CONTROL!$C$32, $C$9, 100%, $E$9)</f>
        <v>4.7163000000000004</v>
      </c>
      <c r="D289" s="80">
        <f>4.7198 * CHOOSE(CONTROL!$C$32, $C$9, 100%, $E$9)</f>
        <v>4.7198000000000002</v>
      </c>
      <c r="E289" s="81">
        <f>5.7269 * CHOOSE(CONTROL!$C$32, $C$9, 100%, $E$9)</f>
        <v>5.7268999999999997</v>
      </c>
      <c r="F289" s="81">
        <f>5.7269 * CHOOSE(CONTROL!$C$32, $C$9, 100%, $E$9)</f>
        <v>5.7268999999999997</v>
      </c>
      <c r="G289" s="81">
        <f>5.7313 * CHOOSE(CONTROL!$C$32, $C$9, 100%, $E$9)</f>
        <v>5.7313000000000001</v>
      </c>
      <c r="H289" s="81">
        <f>10.3101 * CHOOSE(CONTROL!$C$32, $C$9, 100%, $E$9)</f>
        <v>10.3101</v>
      </c>
      <c r="I289" s="81">
        <f>10.3144 * CHOOSE(CONTROL!$C$32, $C$9, 100%, $E$9)</f>
        <v>10.314399999999999</v>
      </c>
      <c r="J289" s="81">
        <f>10.3101 * CHOOSE(CONTROL!$C$32, $C$9, 100%, $E$9)</f>
        <v>10.3101</v>
      </c>
      <c r="K289" s="81">
        <f>10.3144 * CHOOSE(CONTROL!$C$32, $C$9, 100%, $E$9)</f>
        <v>10.314399999999999</v>
      </c>
      <c r="L289" s="81">
        <f>5.7269 * CHOOSE(CONTROL!$C$32, $C$9, 100%, $E$9)</f>
        <v>5.7268999999999997</v>
      </c>
      <c r="M289" s="81">
        <f>5.7313 * CHOOSE(CONTROL!$C$32, $C$9, 100%, $E$9)</f>
        <v>5.7313000000000001</v>
      </c>
      <c r="N289" s="81">
        <f>5.7269 * CHOOSE(CONTROL!$C$32, $C$9, 100%, $E$9)</f>
        <v>5.7268999999999997</v>
      </c>
      <c r="O289" s="81">
        <f>5.7313 * CHOOSE(CONTROL!$C$32, $C$9, 100%, $E$9)</f>
        <v>5.7313000000000001</v>
      </c>
    </row>
    <row r="290" spans="1:15" ht="15">
      <c r="A290" s="16">
        <v>50041</v>
      </c>
      <c r="B290" s="80">
        <f>4.7586 * CHOOSE(CONTROL!$C$32, $C$9, 100%, $E$9)</f>
        <v>4.7586000000000004</v>
      </c>
      <c r="C290" s="80">
        <f>4.7586 * CHOOSE(CONTROL!$C$32, $C$9, 100%, $E$9)</f>
        <v>4.7586000000000004</v>
      </c>
      <c r="D290" s="80">
        <f>4.7621 * CHOOSE(CONTROL!$C$32, $C$9, 100%, $E$9)</f>
        <v>4.7621000000000002</v>
      </c>
      <c r="E290" s="81">
        <f>5.8119 * CHOOSE(CONTROL!$C$32, $C$9, 100%, $E$9)</f>
        <v>5.8118999999999996</v>
      </c>
      <c r="F290" s="81">
        <f>5.8119 * CHOOSE(CONTROL!$C$32, $C$9, 100%, $E$9)</f>
        <v>5.8118999999999996</v>
      </c>
      <c r="G290" s="81">
        <f>5.8162 * CHOOSE(CONTROL!$C$32, $C$9, 100%, $E$9)</f>
        <v>5.8162000000000003</v>
      </c>
      <c r="H290" s="81">
        <f>10.3316 * CHOOSE(CONTROL!$C$32, $C$9, 100%, $E$9)</f>
        <v>10.3316</v>
      </c>
      <c r="I290" s="81">
        <f>10.3359 * CHOOSE(CONTROL!$C$32, $C$9, 100%, $E$9)</f>
        <v>10.335900000000001</v>
      </c>
      <c r="J290" s="81">
        <f>10.3316 * CHOOSE(CONTROL!$C$32, $C$9, 100%, $E$9)</f>
        <v>10.3316</v>
      </c>
      <c r="K290" s="81">
        <f>10.3359 * CHOOSE(CONTROL!$C$32, $C$9, 100%, $E$9)</f>
        <v>10.335900000000001</v>
      </c>
      <c r="L290" s="81">
        <f>5.8119 * CHOOSE(CONTROL!$C$32, $C$9, 100%, $E$9)</f>
        <v>5.8118999999999996</v>
      </c>
      <c r="M290" s="81">
        <f>5.8162 * CHOOSE(CONTROL!$C$32, $C$9, 100%, $E$9)</f>
        <v>5.8162000000000003</v>
      </c>
      <c r="N290" s="81">
        <f>5.8119 * CHOOSE(CONTROL!$C$32, $C$9, 100%, $E$9)</f>
        <v>5.8118999999999996</v>
      </c>
      <c r="O290" s="81">
        <f>5.8162 * CHOOSE(CONTROL!$C$32, $C$9, 100%, $E$9)</f>
        <v>5.8162000000000003</v>
      </c>
    </row>
    <row r="291" spans="1:15" ht="15">
      <c r="A291" s="16">
        <v>50072</v>
      </c>
      <c r="B291" s="80">
        <f>4.7555 * CHOOSE(CONTROL!$C$32, $C$9, 100%, $E$9)</f>
        <v>4.7554999999999996</v>
      </c>
      <c r="C291" s="80">
        <f>4.7555 * CHOOSE(CONTROL!$C$32, $C$9, 100%, $E$9)</f>
        <v>4.7554999999999996</v>
      </c>
      <c r="D291" s="80">
        <f>4.7591 * CHOOSE(CONTROL!$C$32, $C$9, 100%, $E$9)</f>
        <v>4.7591000000000001</v>
      </c>
      <c r="E291" s="81">
        <f>5.719 * CHOOSE(CONTROL!$C$32, $C$9, 100%, $E$9)</f>
        <v>5.7190000000000003</v>
      </c>
      <c r="F291" s="81">
        <f>5.719 * CHOOSE(CONTROL!$C$32, $C$9, 100%, $E$9)</f>
        <v>5.7190000000000003</v>
      </c>
      <c r="G291" s="81">
        <f>5.7234 * CHOOSE(CONTROL!$C$32, $C$9, 100%, $E$9)</f>
        <v>5.7233999999999998</v>
      </c>
      <c r="H291" s="81">
        <f>10.3531 * CHOOSE(CONTROL!$C$32, $C$9, 100%, $E$9)</f>
        <v>10.3531</v>
      </c>
      <c r="I291" s="81">
        <f>10.3574 * CHOOSE(CONTROL!$C$32, $C$9, 100%, $E$9)</f>
        <v>10.3574</v>
      </c>
      <c r="J291" s="81">
        <f>10.3531 * CHOOSE(CONTROL!$C$32, $C$9, 100%, $E$9)</f>
        <v>10.3531</v>
      </c>
      <c r="K291" s="81">
        <f>10.3574 * CHOOSE(CONTROL!$C$32, $C$9, 100%, $E$9)</f>
        <v>10.3574</v>
      </c>
      <c r="L291" s="81">
        <f>5.719 * CHOOSE(CONTROL!$C$32, $C$9, 100%, $E$9)</f>
        <v>5.7190000000000003</v>
      </c>
      <c r="M291" s="81">
        <f>5.7234 * CHOOSE(CONTROL!$C$32, $C$9, 100%, $E$9)</f>
        <v>5.7233999999999998</v>
      </c>
      <c r="N291" s="81">
        <f>5.719 * CHOOSE(CONTROL!$C$32, $C$9, 100%, $E$9)</f>
        <v>5.7190000000000003</v>
      </c>
      <c r="O291" s="81">
        <f>5.7234 * CHOOSE(CONTROL!$C$32, $C$9, 100%, $E$9)</f>
        <v>5.7233999999999998</v>
      </c>
    </row>
    <row r="292" spans="1:15" ht="15">
      <c r="A292" s="16">
        <v>50100</v>
      </c>
      <c r="B292" s="80">
        <f>4.7525 * CHOOSE(CONTROL!$C$32, $C$9, 100%, $E$9)</f>
        <v>4.7525000000000004</v>
      </c>
      <c r="C292" s="80">
        <f>4.7525 * CHOOSE(CONTROL!$C$32, $C$9, 100%, $E$9)</f>
        <v>4.7525000000000004</v>
      </c>
      <c r="D292" s="80">
        <f>4.756 * CHOOSE(CONTROL!$C$32, $C$9, 100%, $E$9)</f>
        <v>4.7560000000000002</v>
      </c>
      <c r="E292" s="81">
        <f>5.7884 * CHOOSE(CONTROL!$C$32, $C$9, 100%, $E$9)</f>
        <v>5.7884000000000002</v>
      </c>
      <c r="F292" s="81">
        <f>5.7884 * CHOOSE(CONTROL!$C$32, $C$9, 100%, $E$9)</f>
        <v>5.7884000000000002</v>
      </c>
      <c r="G292" s="81">
        <f>5.7928 * CHOOSE(CONTROL!$C$32, $C$9, 100%, $E$9)</f>
        <v>5.7927999999999997</v>
      </c>
      <c r="H292" s="81">
        <f>10.3746 * CHOOSE(CONTROL!$C$32, $C$9, 100%, $E$9)</f>
        <v>10.374599999999999</v>
      </c>
      <c r="I292" s="81">
        <f>10.379 * CHOOSE(CONTROL!$C$32, $C$9, 100%, $E$9)</f>
        <v>10.379</v>
      </c>
      <c r="J292" s="81">
        <f>10.3746 * CHOOSE(CONTROL!$C$32, $C$9, 100%, $E$9)</f>
        <v>10.374599999999999</v>
      </c>
      <c r="K292" s="81">
        <f>10.379 * CHOOSE(CONTROL!$C$32, $C$9, 100%, $E$9)</f>
        <v>10.379</v>
      </c>
      <c r="L292" s="81">
        <f>5.7884 * CHOOSE(CONTROL!$C$32, $C$9, 100%, $E$9)</f>
        <v>5.7884000000000002</v>
      </c>
      <c r="M292" s="81">
        <f>5.7928 * CHOOSE(CONTROL!$C$32, $C$9, 100%, $E$9)</f>
        <v>5.7927999999999997</v>
      </c>
      <c r="N292" s="81">
        <f>5.7884 * CHOOSE(CONTROL!$C$32, $C$9, 100%, $E$9)</f>
        <v>5.7884000000000002</v>
      </c>
      <c r="O292" s="81">
        <f>5.7928 * CHOOSE(CONTROL!$C$32, $C$9, 100%, $E$9)</f>
        <v>5.7927999999999997</v>
      </c>
    </row>
    <row r="293" spans="1:15" ht="15">
      <c r="A293" s="16">
        <v>50131</v>
      </c>
      <c r="B293" s="80">
        <f>4.7508 * CHOOSE(CONTROL!$C$32, $C$9, 100%, $E$9)</f>
        <v>4.7507999999999999</v>
      </c>
      <c r="C293" s="80">
        <f>4.7508 * CHOOSE(CONTROL!$C$32, $C$9, 100%, $E$9)</f>
        <v>4.7507999999999999</v>
      </c>
      <c r="D293" s="80">
        <f>4.7543 * CHOOSE(CONTROL!$C$32, $C$9, 100%, $E$9)</f>
        <v>4.7542999999999997</v>
      </c>
      <c r="E293" s="81">
        <f>5.861 * CHOOSE(CONTROL!$C$32, $C$9, 100%, $E$9)</f>
        <v>5.8609999999999998</v>
      </c>
      <c r="F293" s="81">
        <f>5.861 * CHOOSE(CONTROL!$C$32, $C$9, 100%, $E$9)</f>
        <v>5.8609999999999998</v>
      </c>
      <c r="G293" s="81">
        <f>5.8654 * CHOOSE(CONTROL!$C$32, $C$9, 100%, $E$9)</f>
        <v>5.8654000000000002</v>
      </c>
      <c r="H293" s="81">
        <f>10.3963 * CHOOSE(CONTROL!$C$32, $C$9, 100%, $E$9)</f>
        <v>10.3963</v>
      </c>
      <c r="I293" s="81">
        <f>10.4006 * CHOOSE(CONTROL!$C$32, $C$9, 100%, $E$9)</f>
        <v>10.400600000000001</v>
      </c>
      <c r="J293" s="81">
        <f>10.3963 * CHOOSE(CONTROL!$C$32, $C$9, 100%, $E$9)</f>
        <v>10.3963</v>
      </c>
      <c r="K293" s="81">
        <f>10.4006 * CHOOSE(CONTROL!$C$32, $C$9, 100%, $E$9)</f>
        <v>10.400600000000001</v>
      </c>
      <c r="L293" s="81">
        <f>5.861 * CHOOSE(CONTROL!$C$32, $C$9, 100%, $E$9)</f>
        <v>5.8609999999999998</v>
      </c>
      <c r="M293" s="81">
        <f>5.8654 * CHOOSE(CONTROL!$C$32, $C$9, 100%, $E$9)</f>
        <v>5.8654000000000002</v>
      </c>
      <c r="N293" s="81">
        <f>5.861 * CHOOSE(CONTROL!$C$32, $C$9, 100%, $E$9)</f>
        <v>5.8609999999999998</v>
      </c>
      <c r="O293" s="81">
        <f>5.8654 * CHOOSE(CONTROL!$C$32, $C$9, 100%, $E$9)</f>
        <v>5.8654000000000002</v>
      </c>
    </row>
    <row r="294" spans="1:15" ht="15">
      <c r="A294" s="16">
        <v>50161</v>
      </c>
      <c r="B294" s="80">
        <f>4.7508 * CHOOSE(CONTROL!$C$32, $C$9, 100%, $E$9)</f>
        <v>4.7507999999999999</v>
      </c>
      <c r="C294" s="80">
        <f>4.7508 * CHOOSE(CONTROL!$C$32, $C$9, 100%, $E$9)</f>
        <v>4.7507999999999999</v>
      </c>
      <c r="D294" s="80">
        <f>4.7559 * CHOOSE(CONTROL!$C$32, $C$9, 100%, $E$9)</f>
        <v>4.7558999999999996</v>
      </c>
      <c r="E294" s="81">
        <f>5.8898 * CHOOSE(CONTROL!$C$32, $C$9, 100%, $E$9)</f>
        <v>5.8898000000000001</v>
      </c>
      <c r="F294" s="81">
        <f>5.8898 * CHOOSE(CONTROL!$C$32, $C$9, 100%, $E$9)</f>
        <v>5.8898000000000001</v>
      </c>
      <c r="G294" s="81">
        <f>5.8962 * CHOOSE(CONTROL!$C$32, $C$9, 100%, $E$9)</f>
        <v>5.8962000000000003</v>
      </c>
      <c r="H294" s="81">
        <f>10.4179 * CHOOSE(CONTROL!$C$32, $C$9, 100%, $E$9)</f>
        <v>10.417899999999999</v>
      </c>
      <c r="I294" s="81">
        <f>10.4242 * CHOOSE(CONTROL!$C$32, $C$9, 100%, $E$9)</f>
        <v>10.424200000000001</v>
      </c>
      <c r="J294" s="81">
        <f>10.4179 * CHOOSE(CONTROL!$C$32, $C$9, 100%, $E$9)</f>
        <v>10.417899999999999</v>
      </c>
      <c r="K294" s="81">
        <f>10.4242 * CHOOSE(CONTROL!$C$32, $C$9, 100%, $E$9)</f>
        <v>10.424200000000001</v>
      </c>
      <c r="L294" s="81">
        <f>5.8898 * CHOOSE(CONTROL!$C$32, $C$9, 100%, $E$9)</f>
        <v>5.8898000000000001</v>
      </c>
      <c r="M294" s="81">
        <f>5.8962 * CHOOSE(CONTROL!$C$32, $C$9, 100%, $E$9)</f>
        <v>5.8962000000000003</v>
      </c>
      <c r="N294" s="81">
        <f>5.8898 * CHOOSE(CONTROL!$C$32, $C$9, 100%, $E$9)</f>
        <v>5.8898000000000001</v>
      </c>
      <c r="O294" s="81">
        <f>5.8962 * CHOOSE(CONTROL!$C$32, $C$9, 100%, $E$9)</f>
        <v>5.8962000000000003</v>
      </c>
    </row>
    <row r="295" spans="1:15" ht="15">
      <c r="A295" s="16">
        <v>50192</v>
      </c>
      <c r="B295" s="80">
        <f>4.7569 * CHOOSE(CONTROL!$C$32, $C$9, 100%, $E$9)</f>
        <v>4.7568999999999999</v>
      </c>
      <c r="C295" s="80">
        <f>4.7569 * CHOOSE(CONTROL!$C$32, $C$9, 100%, $E$9)</f>
        <v>4.7568999999999999</v>
      </c>
      <c r="D295" s="80">
        <f>4.762 * CHOOSE(CONTROL!$C$32, $C$9, 100%, $E$9)</f>
        <v>4.7619999999999996</v>
      </c>
      <c r="E295" s="81">
        <f>5.8653 * CHOOSE(CONTROL!$C$32, $C$9, 100%, $E$9)</f>
        <v>5.8653000000000004</v>
      </c>
      <c r="F295" s="81">
        <f>5.8653 * CHOOSE(CONTROL!$C$32, $C$9, 100%, $E$9)</f>
        <v>5.8653000000000004</v>
      </c>
      <c r="G295" s="81">
        <f>5.8716 * CHOOSE(CONTROL!$C$32, $C$9, 100%, $E$9)</f>
        <v>5.8715999999999999</v>
      </c>
      <c r="H295" s="81">
        <f>10.4396 * CHOOSE(CONTROL!$C$32, $C$9, 100%, $E$9)</f>
        <v>10.4396</v>
      </c>
      <c r="I295" s="81">
        <f>10.4459 * CHOOSE(CONTROL!$C$32, $C$9, 100%, $E$9)</f>
        <v>10.4459</v>
      </c>
      <c r="J295" s="81">
        <f>10.4396 * CHOOSE(CONTROL!$C$32, $C$9, 100%, $E$9)</f>
        <v>10.4396</v>
      </c>
      <c r="K295" s="81">
        <f>10.4459 * CHOOSE(CONTROL!$C$32, $C$9, 100%, $E$9)</f>
        <v>10.4459</v>
      </c>
      <c r="L295" s="81">
        <f>5.8653 * CHOOSE(CONTROL!$C$32, $C$9, 100%, $E$9)</f>
        <v>5.8653000000000004</v>
      </c>
      <c r="M295" s="81">
        <f>5.8716 * CHOOSE(CONTROL!$C$32, $C$9, 100%, $E$9)</f>
        <v>5.8715999999999999</v>
      </c>
      <c r="N295" s="81">
        <f>5.8653 * CHOOSE(CONTROL!$C$32, $C$9, 100%, $E$9)</f>
        <v>5.8653000000000004</v>
      </c>
      <c r="O295" s="81">
        <f>5.8716 * CHOOSE(CONTROL!$C$32, $C$9, 100%, $E$9)</f>
        <v>5.8715999999999999</v>
      </c>
    </row>
    <row r="296" spans="1:15" ht="15">
      <c r="A296" s="16">
        <v>50222</v>
      </c>
      <c r="B296" s="80">
        <f>4.836 * CHOOSE(CONTROL!$C$32, $C$9, 100%, $E$9)</f>
        <v>4.8360000000000003</v>
      </c>
      <c r="C296" s="80">
        <f>4.836 * CHOOSE(CONTROL!$C$32, $C$9, 100%, $E$9)</f>
        <v>4.8360000000000003</v>
      </c>
      <c r="D296" s="80">
        <f>4.8411 * CHOOSE(CONTROL!$C$32, $C$9, 100%, $E$9)</f>
        <v>4.8411</v>
      </c>
      <c r="E296" s="81">
        <f>5.9773 * CHOOSE(CONTROL!$C$32, $C$9, 100%, $E$9)</f>
        <v>5.9772999999999996</v>
      </c>
      <c r="F296" s="81">
        <f>5.9773 * CHOOSE(CONTROL!$C$32, $C$9, 100%, $E$9)</f>
        <v>5.9772999999999996</v>
      </c>
      <c r="G296" s="81">
        <f>5.9836 * CHOOSE(CONTROL!$C$32, $C$9, 100%, $E$9)</f>
        <v>5.9836</v>
      </c>
      <c r="H296" s="81">
        <f>10.4614 * CHOOSE(CONTROL!$C$32, $C$9, 100%, $E$9)</f>
        <v>10.461399999999999</v>
      </c>
      <c r="I296" s="81">
        <f>10.4677 * CHOOSE(CONTROL!$C$32, $C$9, 100%, $E$9)</f>
        <v>10.467700000000001</v>
      </c>
      <c r="J296" s="81">
        <f>10.4614 * CHOOSE(CONTROL!$C$32, $C$9, 100%, $E$9)</f>
        <v>10.461399999999999</v>
      </c>
      <c r="K296" s="81">
        <f>10.4677 * CHOOSE(CONTROL!$C$32, $C$9, 100%, $E$9)</f>
        <v>10.467700000000001</v>
      </c>
      <c r="L296" s="81">
        <f>5.9773 * CHOOSE(CONTROL!$C$32, $C$9, 100%, $E$9)</f>
        <v>5.9772999999999996</v>
      </c>
      <c r="M296" s="81">
        <f>5.9836 * CHOOSE(CONTROL!$C$32, $C$9, 100%, $E$9)</f>
        <v>5.9836</v>
      </c>
      <c r="N296" s="81">
        <f>5.9773 * CHOOSE(CONTROL!$C$32, $C$9, 100%, $E$9)</f>
        <v>5.9772999999999996</v>
      </c>
      <c r="O296" s="81">
        <f>5.9836 * CHOOSE(CONTROL!$C$32, $C$9, 100%, $E$9)</f>
        <v>5.9836</v>
      </c>
    </row>
    <row r="297" spans="1:15" ht="15">
      <c r="A297" s="16">
        <v>50253</v>
      </c>
      <c r="B297" s="80">
        <f>4.8427 * CHOOSE(CONTROL!$C$32, $C$9, 100%, $E$9)</f>
        <v>4.8426999999999998</v>
      </c>
      <c r="C297" s="80">
        <f>4.8427 * CHOOSE(CONTROL!$C$32, $C$9, 100%, $E$9)</f>
        <v>4.8426999999999998</v>
      </c>
      <c r="D297" s="80">
        <f>4.8478 * CHOOSE(CONTROL!$C$32, $C$9, 100%, $E$9)</f>
        <v>4.8478000000000003</v>
      </c>
      <c r="E297" s="81">
        <f>5.8955 * CHOOSE(CONTROL!$C$32, $C$9, 100%, $E$9)</f>
        <v>5.8955000000000002</v>
      </c>
      <c r="F297" s="81">
        <f>5.8955 * CHOOSE(CONTROL!$C$32, $C$9, 100%, $E$9)</f>
        <v>5.8955000000000002</v>
      </c>
      <c r="G297" s="81">
        <f>5.9018 * CHOOSE(CONTROL!$C$32, $C$9, 100%, $E$9)</f>
        <v>5.9017999999999997</v>
      </c>
      <c r="H297" s="81">
        <f>10.4832 * CHOOSE(CONTROL!$C$32, $C$9, 100%, $E$9)</f>
        <v>10.4832</v>
      </c>
      <c r="I297" s="81">
        <f>10.4895 * CHOOSE(CONTROL!$C$32, $C$9, 100%, $E$9)</f>
        <v>10.4895</v>
      </c>
      <c r="J297" s="81">
        <f>10.4832 * CHOOSE(CONTROL!$C$32, $C$9, 100%, $E$9)</f>
        <v>10.4832</v>
      </c>
      <c r="K297" s="81">
        <f>10.4895 * CHOOSE(CONTROL!$C$32, $C$9, 100%, $E$9)</f>
        <v>10.4895</v>
      </c>
      <c r="L297" s="81">
        <f>5.8955 * CHOOSE(CONTROL!$C$32, $C$9, 100%, $E$9)</f>
        <v>5.8955000000000002</v>
      </c>
      <c r="M297" s="81">
        <f>5.9018 * CHOOSE(CONTROL!$C$32, $C$9, 100%, $E$9)</f>
        <v>5.9017999999999997</v>
      </c>
      <c r="N297" s="81">
        <f>5.8955 * CHOOSE(CONTROL!$C$32, $C$9, 100%, $E$9)</f>
        <v>5.8955000000000002</v>
      </c>
      <c r="O297" s="81">
        <f>5.9018 * CHOOSE(CONTROL!$C$32, $C$9, 100%, $E$9)</f>
        <v>5.9017999999999997</v>
      </c>
    </row>
    <row r="298" spans="1:15" ht="15">
      <c r="A298" s="16">
        <v>50284</v>
      </c>
      <c r="B298" s="80">
        <f>4.8396 * CHOOSE(CONTROL!$C$32, $C$9, 100%, $E$9)</f>
        <v>4.8395999999999999</v>
      </c>
      <c r="C298" s="80">
        <f>4.8396 * CHOOSE(CONTROL!$C$32, $C$9, 100%, $E$9)</f>
        <v>4.8395999999999999</v>
      </c>
      <c r="D298" s="80">
        <f>4.8448 * CHOOSE(CONTROL!$C$32, $C$9, 100%, $E$9)</f>
        <v>4.8448000000000002</v>
      </c>
      <c r="E298" s="81">
        <f>5.8837 * CHOOSE(CONTROL!$C$32, $C$9, 100%, $E$9)</f>
        <v>5.8837000000000002</v>
      </c>
      <c r="F298" s="81">
        <f>5.8837 * CHOOSE(CONTROL!$C$32, $C$9, 100%, $E$9)</f>
        <v>5.8837000000000002</v>
      </c>
      <c r="G298" s="81">
        <f>5.8901 * CHOOSE(CONTROL!$C$32, $C$9, 100%, $E$9)</f>
        <v>5.8901000000000003</v>
      </c>
      <c r="H298" s="81">
        <f>10.505 * CHOOSE(CONTROL!$C$32, $C$9, 100%, $E$9)</f>
        <v>10.505000000000001</v>
      </c>
      <c r="I298" s="81">
        <f>10.5113 * CHOOSE(CONTROL!$C$32, $C$9, 100%, $E$9)</f>
        <v>10.5113</v>
      </c>
      <c r="J298" s="81">
        <f>10.505 * CHOOSE(CONTROL!$C$32, $C$9, 100%, $E$9)</f>
        <v>10.505000000000001</v>
      </c>
      <c r="K298" s="81">
        <f>10.5113 * CHOOSE(CONTROL!$C$32, $C$9, 100%, $E$9)</f>
        <v>10.5113</v>
      </c>
      <c r="L298" s="81">
        <f>5.8837 * CHOOSE(CONTROL!$C$32, $C$9, 100%, $E$9)</f>
        <v>5.8837000000000002</v>
      </c>
      <c r="M298" s="81">
        <f>5.8901 * CHOOSE(CONTROL!$C$32, $C$9, 100%, $E$9)</f>
        <v>5.8901000000000003</v>
      </c>
      <c r="N298" s="81">
        <f>5.8837 * CHOOSE(CONTROL!$C$32, $C$9, 100%, $E$9)</f>
        <v>5.8837000000000002</v>
      </c>
      <c r="O298" s="81">
        <f>5.8901 * CHOOSE(CONTROL!$C$32, $C$9, 100%, $E$9)</f>
        <v>5.8901000000000003</v>
      </c>
    </row>
    <row r="299" spans="1:15" ht="15">
      <c r="A299" s="16">
        <v>50314</v>
      </c>
      <c r="B299" s="80">
        <f>4.8375 * CHOOSE(CONTROL!$C$32, $C$9, 100%, $E$9)</f>
        <v>4.8375000000000004</v>
      </c>
      <c r="C299" s="80">
        <f>4.8375 * CHOOSE(CONTROL!$C$32, $C$9, 100%, $E$9)</f>
        <v>4.8375000000000004</v>
      </c>
      <c r="D299" s="80">
        <f>4.841 * CHOOSE(CONTROL!$C$32, $C$9, 100%, $E$9)</f>
        <v>4.8410000000000002</v>
      </c>
      <c r="E299" s="81">
        <f>5.9087 * CHOOSE(CONTROL!$C$32, $C$9, 100%, $E$9)</f>
        <v>5.9086999999999996</v>
      </c>
      <c r="F299" s="81">
        <f>5.9087 * CHOOSE(CONTROL!$C$32, $C$9, 100%, $E$9)</f>
        <v>5.9086999999999996</v>
      </c>
      <c r="G299" s="81">
        <f>5.9131 * CHOOSE(CONTROL!$C$32, $C$9, 100%, $E$9)</f>
        <v>5.9131</v>
      </c>
      <c r="H299" s="81">
        <f>10.5269 * CHOOSE(CONTROL!$C$32, $C$9, 100%, $E$9)</f>
        <v>10.526899999999999</v>
      </c>
      <c r="I299" s="81">
        <f>10.5313 * CHOOSE(CONTROL!$C$32, $C$9, 100%, $E$9)</f>
        <v>10.5313</v>
      </c>
      <c r="J299" s="81">
        <f>10.5269 * CHOOSE(CONTROL!$C$32, $C$9, 100%, $E$9)</f>
        <v>10.526899999999999</v>
      </c>
      <c r="K299" s="81">
        <f>10.5313 * CHOOSE(CONTROL!$C$32, $C$9, 100%, $E$9)</f>
        <v>10.5313</v>
      </c>
      <c r="L299" s="81">
        <f>5.9087 * CHOOSE(CONTROL!$C$32, $C$9, 100%, $E$9)</f>
        <v>5.9086999999999996</v>
      </c>
      <c r="M299" s="81">
        <f>5.9131 * CHOOSE(CONTROL!$C$32, $C$9, 100%, $E$9)</f>
        <v>5.9131</v>
      </c>
      <c r="N299" s="81">
        <f>5.9087 * CHOOSE(CONTROL!$C$32, $C$9, 100%, $E$9)</f>
        <v>5.9086999999999996</v>
      </c>
      <c r="O299" s="81">
        <f>5.9131 * CHOOSE(CONTROL!$C$32, $C$9, 100%, $E$9)</f>
        <v>5.9131</v>
      </c>
    </row>
    <row r="300" spans="1:15" ht="15">
      <c r="A300" s="16">
        <v>50345</v>
      </c>
      <c r="B300" s="80">
        <f>4.8405 * CHOOSE(CONTROL!$C$32, $C$9, 100%, $E$9)</f>
        <v>4.8404999999999996</v>
      </c>
      <c r="C300" s="80">
        <f>4.8405 * CHOOSE(CONTROL!$C$32, $C$9, 100%, $E$9)</f>
        <v>4.8404999999999996</v>
      </c>
      <c r="D300" s="80">
        <f>4.8441 * CHOOSE(CONTROL!$C$32, $C$9, 100%, $E$9)</f>
        <v>4.8441000000000001</v>
      </c>
      <c r="E300" s="81">
        <f>5.9301 * CHOOSE(CONTROL!$C$32, $C$9, 100%, $E$9)</f>
        <v>5.9301000000000004</v>
      </c>
      <c r="F300" s="81">
        <f>5.9301 * CHOOSE(CONTROL!$C$32, $C$9, 100%, $E$9)</f>
        <v>5.9301000000000004</v>
      </c>
      <c r="G300" s="81">
        <f>5.9344 * CHOOSE(CONTROL!$C$32, $C$9, 100%, $E$9)</f>
        <v>5.9344000000000001</v>
      </c>
      <c r="H300" s="81">
        <f>10.5488 * CHOOSE(CONTROL!$C$32, $C$9, 100%, $E$9)</f>
        <v>10.5488</v>
      </c>
      <c r="I300" s="81">
        <f>10.5532 * CHOOSE(CONTROL!$C$32, $C$9, 100%, $E$9)</f>
        <v>10.5532</v>
      </c>
      <c r="J300" s="81">
        <f>10.5488 * CHOOSE(CONTROL!$C$32, $C$9, 100%, $E$9)</f>
        <v>10.5488</v>
      </c>
      <c r="K300" s="81">
        <f>10.5532 * CHOOSE(CONTROL!$C$32, $C$9, 100%, $E$9)</f>
        <v>10.5532</v>
      </c>
      <c r="L300" s="81">
        <f>5.9301 * CHOOSE(CONTROL!$C$32, $C$9, 100%, $E$9)</f>
        <v>5.9301000000000004</v>
      </c>
      <c r="M300" s="81">
        <f>5.9344 * CHOOSE(CONTROL!$C$32, $C$9, 100%, $E$9)</f>
        <v>5.9344000000000001</v>
      </c>
      <c r="N300" s="81">
        <f>5.9301 * CHOOSE(CONTROL!$C$32, $C$9, 100%, $E$9)</f>
        <v>5.9301000000000004</v>
      </c>
      <c r="O300" s="81">
        <f>5.9344 * CHOOSE(CONTROL!$C$32, $C$9, 100%, $E$9)</f>
        <v>5.9344000000000001</v>
      </c>
    </row>
    <row r="301" spans="1:15" ht="15">
      <c r="A301" s="16">
        <v>50375</v>
      </c>
      <c r="B301" s="80">
        <f>4.8405 * CHOOSE(CONTROL!$C$32, $C$9, 100%, $E$9)</f>
        <v>4.8404999999999996</v>
      </c>
      <c r="C301" s="80">
        <f>4.8405 * CHOOSE(CONTROL!$C$32, $C$9, 100%, $E$9)</f>
        <v>4.8404999999999996</v>
      </c>
      <c r="D301" s="80">
        <f>4.8441 * CHOOSE(CONTROL!$C$32, $C$9, 100%, $E$9)</f>
        <v>4.8441000000000001</v>
      </c>
      <c r="E301" s="81">
        <f>5.8821 * CHOOSE(CONTROL!$C$32, $C$9, 100%, $E$9)</f>
        <v>5.8821000000000003</v>
      </c>
      <c r="F301" s="81">
        <f>5.8821 * CHOOSE(CONTROL!$C$32, $C$9, 100%, $E$9)</f>
        <v>5.8821000000000003</v>
      </c>
      <c r="G301" s="81">
        <f>5.8864 * CHOOSE(CONTROL!$C$32, $C$9, 100%, $E$9)</f>
        <v>5.8864000000000001</v>
      </c>
      <c r="H301" s="81">
        <f>10.5708 * CHOOSE(CONTROL!$C$32, $C$9, 100%, $E$9)</f>
        <v>10.5708</v>
      </c>
      <c r="I301" s="81">
        <f>10.5752 * CHOOSE(CONTROL!$C$32, $C$9, 100%, $E$9)</f>
        <v>10.575200000000001</v>
      </c>
      <c r="J301" s="81">
        <f>10.5708 * CHOOSE(CONTROL!$C$32, $C$9, 100%, $E$9)</f>
        <v>10.5708</v>
      </c>
      <c r="K301" s="81">
        <f>10.5752 * CHOOSE(CONTROL!$C$32, $C$9, 100%, $E$9)</f>
        <v>10.575200000000001</v>
      </c>
      <c r="L301" s="81">
        <f>5.8821 * CHOOSE(CONTROL!$C$32, $C$9, 100%, $E$9)</f>
        <v>5.8821000000000003</v>
      </c>
      <c r="M301" s="81">
        <f>5.8864 * CHOOSE(CONTROL!$C$32, $C$9, 100%, $E$9)</f>
        <v>5.8864000000000001</v>
      </c>
      <c r="N301" s="81">
        <f>5.8821 * CHOOSE(CONTROL!$C$32, $C$9, 100%, $E$9)</f>
        <v>5.8821000000000003</v>
      </c>
      <c r="O301" s="81">
        <f>5.8864 * CHOOSE(CONTROL!$C$32, $C$9, 100%, $E$9)</f>
        <v>5.8864000000000001</v>
      </c>
    </row>
    <row r="302" spans="1:15" ht="15">
      <c r="A302" s="16">
        <v>50406</v>
      </c>
      <c r="B302" s="80">
        <f>4.8843 * CHOOSE(CONTROL!$C$32, $C$9, 100%, $E$9)</f>
        <v>4.8842999999999996</v>
      </c>
      <c r="C302" s="80">
        <f>4.8843 * CHOOSE(CONTROL!$C$32, $C$9, 100%, $E$9)</f>
        <v>4.8842999999999996</v>
      </c>
      <c r="D302" s="80">
        <f>4.8879 * CHOOSE(CONTROL!$C$32, $C$9, 100%, $E$9)</f>
        <v>4.8879000000000001</v>
      </c>
      <c r="E302" s="81">
        <f>5.9668 * CHOOSE(CONTROL!$C$32, $C$9, 100%, $E$9)</f>
        <v>5.9668000000000001</v>
      </c>
      <c r="F302" s="81">
        <f>5.9668 * CHOOSE(CONTROL!$C$32, $C$9, 100%, $E$9)</f>
        <v>5.9668000000000001</v>
      </c>
      <c r="G302" s="81">
        <f>5.9712 * CHOOSE(CONTROL!$C$32, $C$9, 100%, $E$9)</f>
        <v>5.9711999999999996</v>
      </c>
      <c r="H302" s="81">
        <f>10.5928 * CHOOSE(CONTROL!$C$32, $C$9, 100%, $E$9)</f>
        <v>10.5928</v>
      </c>
      <c r="I302" s="81">
        <f>10.5972 * CHOOSE(CONTROL!$C$32, $C$9, 100%, $E$9)</f>
        <v>10.597200000000001</v>
      </c>
      <c r="J302" s="81">
        <f>10.5928 * CHOOSE(CONTROL!$C$32, $C$9, 100%, $E$9)</f>
        <v>10.5928</v>
      </c>
      <c r="K302" s="81">
        <f>10.5972 * CHOOSE(CONTROL!$C$32, $C$9, 100%, $E$9)</f>
        <v>10.597200000000001</v>
      </c>
      <c r="L302" s="81">
        <f>5.9668 * CHOOSE(CONTROL!$C$32, $C$9, 100%, $E$9)</f>
        <v>5.9668000000000001</v>
      </c>
      <c r="M302" s="81">
        <f>5.9712 * CHOOSE(CONTROL!$C$32, $C$9, 100%, $E$9)</f>
        <v>5.9711999999999996</v>
      </c>
      <c r="N302" s="81">
        <f>5.9668 * CHOOSE(CONTROL!$C$32, $C$9, 100%, $E$9)</f>
        <v>5.9668000000000001</v>
      </c>
      <c r="O302" s="81">
        <f>5.9712 * CHOOSE(CONTROL!$C$32, $C$9, 100%, $E$9)</f>
        <v>5.9711999999999996</v>
      </c>
    </row>
    <row r="303" spans="1:15" ht="15">
      <c r="A303" s="16">
        <v>50437</v>
      </c>
      <c r="B303" s="80">
        <f>4.8813 * CHOOSE(CONTROL!$C$32, $C$9, 100%, $E$9)</f>
        <v>4.8813000000000004</v>
      </c>
      <c r="C303" s="80">
        <f>4.8813 * CHOOSE(CONTROL!$C$32, $C$9, 100%, $E$9)</f>
        <v>4.8813000000000004</v>
      </c>
      <c r="D303" s="80">
        <f>4.8848 * CHOOSE(CONTROL!$C$32, $C$9, 100%, $E$9)</f>
        <v>4.8848000000000003</v>
      </c>
      <c r="E303" s="81">
        <f>5.8715 * CHOOSE(CONTROL!$C$32, $C$9, 100%, $E$9)</f>
        <v>5.8715000000000002</v>
      </c>
      <c r="F303" s="81">
        <f>5.8715 * CHOOSE(CONTROL!$C$32, $C$9, 100%, $E$9)</f>
        <v>5.8715000000000002</v>
      </c>
      <c r="G303" s="81">
        <f>5.8759 * CHOOSE(CONTROL!$C$32, $C$9, 100%, $E$9)</f>
        <v>5.8758999999999997</v>
      </c>
      <c r="H303" s="81">
        <f>10.6149 * CHOOSE(CONTROL!$C$32, $C$9, 100%, $E$9)</f>
        <v>10.6149</v>
      </c>
      <c r="I303" s="81">
        <f>10.6193 * CHOOSE(CONTROL!$C$32, $C$9, 100%, $E$9)</f>
        <v>10.619300000000001</v>
      </c>
      <c r="J303" s="81">
        <f>10.6149 * CHOOSE(CONTROL!$C$32, $C$9, 100%, $E$9)</f>
        <v>10.6149</v>
      </c>
      <c r="K303" s="81">
        <f>10.6193 * CHOOSE(CONTROL!$C$32, $C$9, 100%, $E$9)</f>
        <v>10.619300000000001</v>
      </c>
      <c r="L303" s="81">
        <f>5.8715 * CHOOSE(CONTROL!$C$32, $C$9, 100%, $E$9)</f>
        <v>5.8715000000000002</v>
      </c>
      <c r="M303" s="81">
        <f>5.8759 * CHOOSE(CONTROL!$C$32, $C$9, 100%, $E$9)</f>
        <v>5.8758999999999997</v>
      </c>
      <c r="N303" s="81">
        <f>5.8715 * CHOOSE(CONTROL!$C$32, $C$9, 100%, $E$9)</f>
        <v>5.8715000000000002</v>
      </c>
      <c r="O303" s="81">
        <f>5.8759 * CHOOSE(CONTROL!$C$32, $C$9, 100%, $E$9)</f>
        <v>5.8758999999999997</v>
      </c>
    </row>
    <row r="304" spans="1:15" ht="15">
      <c r="A304" s="16">
        <v>50465</v>
      </c>
      <c r="B304" s="80">
        <f>4.8783 * CHOOSE(CONTROL!$C$32, $C$9, 100%, $E$9)</f>
        <v>4.8783000000000003</v>
      </c>
      <c r="C304" s="80">
        <f>4.8783 * CHOOSE(CONTROL!$C$32, $C$9, 100%, $E$9)</f>
        <v>4.8783000000000003</v>
      </c>
      <c r="D304" s="80">
        <f>4.8818 * CHOOSE(CONTROL!$C$32, $C$9, 100%, $E$9)</f>
        <v>4.8818000000000001</v>
      </c>
      <c r="E304" s="81">
        <f>5.9428 * CHOOSE(CONTROL!$C$32, $C$9, 100%, $E$9)</f>
        <v>5.9428000000000001</v>
      </c>
      <c r="F304" s="81">
        <f>5.9428 * CHOOSE(CONTROL!$C$32, $C$9, 100%, $E$9)</f>
        <v>5.9428000000000001</v>
      </c>
      <c r="G304" s="81">
        <f>5.9472 * CHOOSE(CONTROL!$C$32, $C$9, 100%, $E$9)</f>
        <v>5.9471999999999996</v>
      </c>
      <c r="H304" s="81">
        <f>10.637 * CHOOSE(CONTROL!$C$32, $C$9, 100%, $E$9)</f>
        <v>10.637</v>
      </c>
      <c r="I304" s="81">
        <f>10.6414 * CHOOSE(CONTROL!$C$32, $C$9, 100%, $E$9)</f>
        <v>10.641400000000001</v>
      </c>
      <c r="J304" s="81">
        <f>10.637 * CHOOSE(CONTROL!$C$32, $C$9, 100%, $E$9)</f>
        <v>10.637</v>
      </c>
      <c r="K304" s="81">
        <f>10.6414 * CHOOSE(CONTROL!$C$32, $C$9, 100%, $E$9)</f>
        <v>10.641400000000001</v>
      </c>
      <c r="L304" s="81">
        <f>5.9428 * CHOOSE(CONTROL!$C$32, $C$9, 100%, $E$9)</f>
        <v>5.9428000000000001</v>
      </c>
      <c r="M304" s="81">
        <f>5.9472 * CHOOSE(CONTROL!$C$32, $C$9, 100%, $E$9)</f>
        <v>5.9471999999999996</v>
      </c>
      <c r="N304" s="81">
        <f>5.9428 * CHOOSE(CONTROL!$C$32, $C$9, 100%, $E$9)</f>
        <v>5.9428000000000001</v>
      </c>
      <c r="O304" s="81">
        <f>5.9472 * CHOOSE(CONTROL!$C$32, $C$9, 100%, $E$9)</f>
        <v>5.9471999999999996</v>
      </c>
    </row>
    <row r="305" spans="1:15" ht="15">
      <c r="A305" s="16">
        <v>50496</v>
      </c>
      <c r="B305" s="80">
        <f>4.8767 * CHOOSE(CONTROL!$C$32, $C$9, 100%, $E$9)</f>
        <v>4.8766999999999996</v>
      </c>
      <c r="C305" s="80">
        <f>4.8767 * CHOOSE(CONTROL!$C$32, $C$9, 100%, $E$9)</f>
        <v>4.8766999999999996</v>
      </c>
      <c r="D305" s="80">
        <f>4.8802 * CHOOSE(CONTROL!$C$32, $C$9, 100%, $E$9)</f>
        <v>4.8802000000000003</v>
      </c>
      <c r="E305" s="81">
        <f>6.0175 * CHOOSE(CONTROL!$C$32, $C$9, 100%, $E$9)</f>
        <v>6.0175000000000001</v>
      </c>
      <c r="F305" s="81">
        <f>6.0175 * CHOOSE(CONTROL!$C$32, $C$9, 100%, $E$9)</f>
        <v>6.0175000000000001</v>
      </c>
      <c r="G305" s="81">
        <f>6.0218 * CHOOSE(CONTROL!$C$32, $C$9, 100%, $E$9)</f>
        <v>6.0217999999999998</v>
      </c>
      <c r="H305" s="81">
        <f>10.6592 * CHOOSE(CONTROL!$C$32, $C$9, 100%, $E$9)</f>
        <v>10.6592</v>
      </c>
      <c r="I305" s="81">
        <f>10.6635 * CHOOSE(CONTROL!$C$32, $C$9, 100%, $E$9)</f>
        <v>10.663500000000001</v>
      </c>
      <c r="J305" s="81">
        <f>10.6592 * CHOOSE(CONTROL!$C$32, $C$9, 100%, $E$9)</f>
        <v>10.6592</v>
      </c>
      <c r="K305" s="81">
        <f>10.6635 * CHOOSE(CONTROL!$C$32, $C$9, 100%, $E$9)</f>
        <v>10.663500000000001</v>
      </c>
      <c r="L305" s="81">
        <f>6.0175 * CHOOSE(CONTROL!$C$32, $C$9, 100%, $E$9)</f>
        <v>6.0175000000000001</v>
      </c>
      <c r="M305" s="81">
        <f>6.0218 * CHOOSE(CONTROL!$C$32, $C$9, 100%, $E$9)</f>
        <v>6.0217999999999998</v>
      </c>
      <c r="N305" s="81">
        <f>6.0175 * CHOOSE(CONTROL!$C$32, $C$9, 100%, $E$9)</f>
        <v>6.0175000000000001</v>
      </c>
      <c r="O305" s="81">
        <f>6.0218 * CHOOSE(CONTROL!$C$32, $C$9, 100%, $E$9)</f>
        <v>6.0217999999999998</v>
      </c>
    </row>
    <row r="306" spans="1:15" ht="15">
      <c r="A306" s="16">
        <v>50526</v>
      </c>
      <c r="B306" s="80">
        <f>4.8767 * CHOOSE(CONTROL!$C$32, $C$9, 100%, $E$9)</f>
        <v>4.8766999999999996</v>
      </c>
      <c r="C306" s="80">
        <f>4.8767 * CHOOSE(CONTROL!$C$32, $C$9, 100%, $E$9)</f>
        <v>4.8766999999999996</v>
      </c>
      <c r="D306" s="80">
        <f>4.8818 * CHOOSE(CONTROL!$C$32, $C$9, 100%, $E$9)</f>
        <v>4.8818000000000001</v>
      </c>
      <c r="E306" s="81">
        <f>6.047 * CHOOSE(CONTROL!$C$32, $C$9, 100%, $E$9)</f>
        <v>6.0469999999999997</v>
      </c>
      <c r="F306" s="81">
        <f>6.047 * CHOOSE(CONTROL!$C$32, $C$9, 100%, $E$9)</f>
        <v>6.0469999999999997</v>
      </c>
      <c r="G306" s="81">
        <f>6.0533 * CHOOSE(CONTROL!$C$32, $C$9, 100%, $E$9)</f>
        <v>6.0533000000000001</v>
      </c>
      <c r="H306" s="81">
        <f>10.6814 * CHOOSE(CONTROL!$C$32, $C$9, 100%, $E$9)</f>
        <v>10.6814</v>
      </c>
      <c r="I306" s="81">
        <f>10.6877 * CHOOSE(CONTROL!$C$32, $C$9, 100%, $E$9)</f>
        <v>10.6877</v>
      </c>
      <c r="J306" s="81">
        <f>10.6814 * CHOOSE(CONTROL!$C$32, $C$9, 100%, $E$9)</f>
        <v>10.6814</v>
      </c>
      <c r="K306" s="81">
        <f>10.6877 * CHOOSE(CONTROL!$C$32, $C$9, 100%, $E$9)</f>
        <v>10.6877</v>
      </c>
      <c r="L306" s="81">
        <f>6.047 * CHOOSE(CONTROL!$C$32, $C$9, 100%, $E$9)</f>
        <v>6.0469999999999997</v>
      </c>
      <c r="M306" s="81">
        <f>6.0533 * CHOOSE(CONTROL!$C$32, $C$9, 100%, $E$9)</f>
        <v>6.0533000000000001</v>
      </c>
      <c r="N306" s="81">
        <f>6.047 * CHOOSE(CONTROL!$C$32, $C$9, 100%, $E$9)</f>
        <v>6.0469999999999997</v>
      </c>
      <c r="O306" s="81">
        <f>6.0533 * CHOOSE(CONTROL!$C$32, $C$9, 100%, $E$9)</f>
        <v>6.0533000000000001</v>
      </c>
    </row>
    <row r="307" spans="1:15" ht="15">
      <c r="A307" s="16">
        <v>50557</v>
      </c>
      <c r="B307" s="80">
        <f>4.8827 * CHOOSE(CONTROL!$C$32, $C$9, 100%, $E$9)</f>
        <v>4.8826999999999998</v>
      </c>
      <c r="C307" s="80">
        <f>4.8827 * CHOOSE(CONTROL!$C$32, $C$9, 100%, $E$9)</f>
        <v>4.8826999999999998</v>
      </c>
      <c r="D307" s="80">
        <f>4.8879 * CHOOSE(CONTROL!$C$32, $C$9, 100%, $E$9)</f>
        <v>4.8879000000000001</v>
      </c>
      <c r="E307" s="81">
        <f>6.0217 * CHOOSE(CONTROL!$C$32, $C$9, 100%, $E$9)</f>
        <v>6.0217000000000001</v>
      </c>
      <c r="F307" s="81">
        <f>6.0217 * CHOOSE(CONTROL!$C$32, $C$9, 100%, $E$9)</f>
        <v>6.0217000000000001</v>
      </c>
      <c r="G307" s="81">
        <f>6.028 * CHOOSE(CONTROL!$C$32, $C$9, 100%, $E$9)</f>
        <v>6.0279999999999996</v>
      </c>
      <c r="H307" s="81">
        <f>10.7036 * CHOOSE(CONTROL!$C$32, $C$9, 100%, $E$9)</f>
        <v>10.7036</v>
      </c>
      <c r="I307" s="81">
        <f>10.7099 * CHOOSE(CONTROL!$C$32, $C$9, 100%, $E$9)</f>
        <v>10.709899999999999</v>
      </c>
      <c r="J307" s="81">
        <f>10.7036 * CHOOSE(CONTROL!$C$32, $C$9, 100%, $E$9)</f>
        <v>10.7036</v>
      </c>
      <c r="K307" s="81">
        <f>10.7099 * CHOOSE(CONTROL!$C$32, $C$9, 100%, $E$9)</f>
        <v>10.709899999999999</v>
      </c>
      <c r="L307" s="81">
        <f>6.0217 * CHOOSE(CONTROL!$C$32, $C$9, 100%, $E$9)</f>
        <v>6.0217000000000001</v>
      </c>
      <c r="M307" s="81">
        <f>6.028 * CHOOSE(CONTROL!$C$32, $C$9, 100%, $E$9)</f>
        <v>6.0279999999999996</v>
      </c>
      <c r="N307" s="81">
        <f>6.0217 * CHOOSE(CONTROL!$C$32, $C$9, 100%, $E$9)</f>
        <v>6.0217000000000001</v>
      </c>
      <c r="O307" s="81">
        <f>6.028 * CHOOSE(CONTROL!$C$32, $C$9, 100%, $E$9)</f>
        <v>6.0279999999999996</v>
      </c>
    </row>
    <row r="308" spans="1:15" ht="15">
      <c r="A308" s="16">
        <v>50587</v>
      </c>
      <c r="B308" s="80">
        <f>4.9646 * CHOOSE(CONTROL!$C$32, $C$9, 100%, $E$9)</f>
        <v>4.9645999999999999</v>
      </c>
      <c r="C308" s="80">
        <f>4.9646 * CHOOSE(CONTROL!$C$32, $C$9, 100%, $E$9)</f>
        <v>4.9645999999999999</v>
      </c>
      <c r="D308" s="80">
        <f>4.9698 * CHOOSE(CONTROL!$C$32, $C$9, 100%, $E$9)</f>
        <v>4.9698000000000002</v>
      </c>
      <c r="E308" s="81">
        <f>6.1322 * CHOOSE(CONTROL!$C$32, $C$9, 100%, $E$9)</f>
        <v>6.1322000000000001</v>
      </c>
      <c r="F308" s="81">
        <f>6.1322 * CHOOSE(CONTROL!$C$32, $C$9, 100%, $E$9)</f>
        <v>6.1322000000000001</v>
      </c>
      <c r="G308" s="81">
        <f>6.1385 * CHOOSE(CONTROL!$C$32, $C$9, 100%, $E$9)</f>
        <v>6.1384999999999996</v>
      </c>
      <c r="H308" s="81">
        <f>10.7259 * CHOOSE(CONTROL!$C$32, $C$9, 100%, $E$9)</f>
        <v>10.725899999999999</v>
      </c>
      <c r="I308" s="81">
        <f>10.7322 * CHOOSE(CONTROL!$C$32, $C$9, 100%, $E$9)</f>
        <v>10.732200000000001</v>
      </c>
      <c r="J308" s="81">
        <f>10.7259 * CHOOSE(CONTROL!$C$32, $C$9, 100%, $E$9)</f>
        <v>10.725899999999999</v>
      </c>
      <c r="K308" s="81">
        <f>10.7322 * CHOOSE(CONTROL!$C$32, $C$9, 100%, $E$9)</f>
        <v>10.732200000000001</v>
      </c>
      <c r="L308" s="81">
        <f>6.1322 * CHOOSE(CONTROL!$C$32, $C$9, 100%, $E$9)</f>
        <v>6.1322000000000001</v>
      </c>
      <c r="M308" s="81">
        <f>6.1385 * CHOOSE(CONTROL!$C$32, $C$9, 100%, $E$9)</f>
        <v>6.1384999999999996</v>
      </c>
      <c r="N308" s="81">
        <f>6.1322 * CHOOSE(CONTROL!$C$32, $C$9, 100%, $E$9)</f>
        <v>6.1322000000000001</v>
      </c>
      <c r="O308" s="81">
        <f>6.1385 * CHOOSE(CONTROL!$C$32, $C$9, 100%, $E$9)</f>
        <v>6.1384999999999996</v>
      </c>
    </row>
    <row r="309" spans="1:15" ht="15">
      <c r="A309" s="16">
        <v>50618</v>
      </c>
      <c r="B309" s="80">
        <f>4.9713 * CHOOSE(CONTROL!$C$32, $C$9, 100%, $E$9)</f>
        <v>4.9713000000000003</v>
      </c>
      <c r="C309" s="80">
        <f>4.9713 * CHOOSE(CONTROL!$C$32, $C$9, 100%, $E$9)</f>
        <v>4.9713000000000003</v>
      </c>
      <c r="D309" s="80">
        <f>4.9765 * CHOOSE(CONTROL!$C$32, $C$9, 100%, $E$9)</f>
        <v>4.9764999999999997</v>
      </c>
      <c r="E309" s="81">
        <f>6.0481 * CHOOSE(CONTROL!$C$32, $C$9, 100%, $E$9)</f>
        <v>6.0480999999999998</v>
      </c>
      <c r="F309" s="81">
        <f>6.0481 * CHOOSE(CONTROL!$C$32, $C$9, 100%, $E$9)</f>
        <v>6.0480999999999998</v>
      </c>
      <c r="G309" s="81">
        <f>6.0544 * CHOOSE(CONTROL!$C$32, $C$9, 100%, $E$9)</f>
        <v>6.0544000000000002</v>
      </c>
      <c r="H309" s="81">
        <f>10.7483 * CHOOSE(CONTROL!$C$32, $C$9, 100%, $E$9)</f>
        <v>10.7483</v>
      </c>
      <c r="I309" s="81">
        <f>10.7546 * CHOOSE(CONTROL!$C$32, $C$9, 100%, $E$9)</f>
        <v>10.7546</v>
      </c>
      <c r="J309" s="81">
        <f>10.7483 * CHOOSE(CONTROL!$C$32, $C$9, 100%, $E$9)</f>
        <v>10.7483</v>
      </c>
      <c r="K309" s="81">
        <f>10.7546 * CHOOSE(CONTROL!$C$32, $C$9, 100%, $E$9)</f>
        <v>10.7546</v>
      </c>
      <c r="L309" s="81">
        <f>6.0481 * CHOOSE(CONTROL!$C$32, $C$9, 100%, $E$9)</f>
        <v>6.0480999999999998</v>
      </c>
      <c r="M309" s="81">
        <f>6.0544 * CHOOSE(CONTROL!$C$32, $C$9, 100%, $E$9)</f>
        <v>6.0544000000000002</v>
      </c>
      <c r="N309" s="81">
        <f>6.0481 * CHOOSE(CONTROL!$C$32, $C$9, 100%, $E$9)</f>
        <v>6.0480999999999998</v>
      </c>
      <c r="O309" s="81">
        <f>6.0544 * CHOOSE(CONTROL!$C$32, $C$9, 100%, $E$9)</f>
        <v>6.0544000000000002</v>
      </c>
    </row>
    <row r="310" spans="1:15" ht="15">
      <c r="A310" s="16">
        <v>50649</v>
      </c>
      <c r="B310" s="80">
        <f>4.9683 * CHOOSE(CONTROL!$C$32, $C$9, 100%, $E$9)</f>
        <v>4.9683000000000002</v>
      </c>
      <c r="C310" s="80">
        <f>4.9683 * CHOOSE(CONTROL!$C$32, $C$9, 100%, $E$9)</f>
        <v>4.9683000000000002</v>
      </c>
      <c r="D310" s="80">
        <f>4.9735 * CHOOSE(CONTROL!$C$32, $C$9, 100%, $E$9)</f>
        <v>4.9734999999999996</v>
      </c>
      <c r="E310" s="81">
        <f>6.0361 * CHOOSE(CONTROL!$C$32, $C$9, 100%, $E$9)</f>
        <v>6.0361000000000002</v>
      </c>
      <c r="F310" s="81">
        <f>6.0361 * CHOOSE(CONTROL!$C$32, $C$9, 100%, $E$9)</f>
        <v>6.0361000000000002</v>
      </c>
      <c r="G310" s="81">
        <f>6.0425 * CHOOSE(CONTROL!$C$32, $C$9, 100%, $E$9)</f>
        <v>6.0425000000000004</v>
      </c>
      <c r="H310" s="81">
        <f>10.7707 * CHOOSE(CONTROL!$C$32, $C$9, 100%, $E$9)</f>
        <v>10.7707</v>
      </c>
      <c r="I310" s="81">
        <f>10.777 * CHOOSE(CONTROL!$C$32, $C$9, 100%, $E$9)</f>
        <v>10.776999999999999</v>
      </c>
      <c r="J310" s="81">
        <f>10.7707 * CHOOSE(CONTROL!$C$32, $C$9, 100%, $E$9)</f>
        <v>10.7707</v>
      </c>
      <c r="K310" s="81">
        <f>10.777 * CHOOSE(CONTROL!$C$32, $C$9, 100%, $E$9)</f>
        <v>10.776999999999999</v>
      </c>
      <c r="L310" s="81">
        <f>6.0361 * CHOOSE(CONTROL!$C$32, $C$9, 100%, $E$9)</f>
        <v>6.0361000000000002</v>
      </c>
      <c r="M310" s="81">
        <f>6.0425 * CHOOSE(CONTROL!$C$32, $C$9, 100%, $E$9)</f>
        <v>6.0425000000000004</v>
      </c>
      <c r="N310" s="81">
        <f>6.0361 * CHOOSE(CONTROL!$C$32, $C$9, 100%, $E$9)</f>
        <v>6.0361000000000002</v>
      </c>
      <c r="O310" s="81">
        <f>6.0425 * CHOOSE(CONTROL!$C$32, $C$9, 100%, $E$9)</f>
        <v>6.0425000000000004</v>
      </c>
    </row>
    <row r="311" spans="1:15" ht="15">
      <c r="A311" s="16">
        <v>50679</v>
      </c>
      <c r="B311" s="80">
        <f>4.9666 * CHOOSE(CONTROL!$C$32, $C$9, 100%, $E$9)</f>
        <v>4.9665999999999997</v>
      </c>
      <c r="C311" s="80">
        <f>4.9666 * CHOOSE(CONTROL!$C$32, $C$9, 100%, $E$9)</f>
        <v>4.9665999999999997</v>
      </c>
      <c r="D311" s="80">
        <f>4.9701 * CHOOSE(CONTROL!$C$32, $C$9, 100%, $E$9)</f>
        <v>4.9701000000000004</v>
      </c>
      <c r="E311" s="81">
        <f>6.0622 * CHOOSE(CONTROL!$C$32, $C$9, 100%, $E$9)</f>
        <v>6.0621999999999998</v>
      </c>
      <c r="F311" s="81">
        <f>6.0622 * CHOOSE(CONTROL!$C$32, $C$9, 100%, $E$9)</f>
        <v>6.0621999999999998</v>
      </c>
      <c r="G311" s="81">
        <f>6.0665 * CHOOSE(CONTROL!$C$32, $C$9, 100%, $E$9)</f>
        <v>6.0664999999999996</v>
      </c>
      <c r="H311" s="81">
        <f>10.7931 * CHOOSE(CONTROL!$C$32, $C$9, 100%, $E$9)</f>
        <v>10.793100000000001</v>
      </c>
      <c r="I311" s="81">
        <f>10.7975 * CHOOSE(CONTROL!$C$32, $C$9, 100%, $E$9)</f>
        <v>10.797499999999999</v>
      </c>
      <c r="J311" s="81">
        <f>10.7931 * CHOOSE(CONTROL!$C$32, $C$9, 100%, $E$9)</f>
        <v>10.793100000000001</v>
      </c>
      <c r="K311" s="81">
        <f>10.7975 * CHOOSE(CONTROL!$C$32, $C$9, 100%, $E$9)</f>
        <v>10.797499999999999</v>
      </c>
      <c r="L311" s="81">
        <f>6.0622 * CHOOSE(CONTROL!$C$32, $C$9, 100%, $E$9)</f>
        <v>6.0621999999999998</v>
      </c>
      <c r="M311" s="81">
        <f>6.0665 * CHOOSE(CONTROL!$C$32, $C$9, 100%, $E$9)</f>
        <v>6.0664999999999996</v>
      </c>
      <c r="N311" s="81">
        <f>6.0622 * CHOOSE(CONTROL!$C$32, $C$9, 100%, $E$9)</f>
        <v>6.0621999999999998</v>
      </c>
      <c r="O311" s="81">
        <f>6.0665 * CHOOSE(CONTROL!$C$32, $C$9, 100%, $E$9)</f>
        <v>6.0664999999999996</v>
      </c>
    </row>
    <row r="312" spans="1:15" ht="15">
      <c r="A312" s="16">
        <v>50710</v>
      </c>
      <c r="B312" s="80">
        <f>4.9696 * CHOOSE(CONTROL!$C$32, $C$9, 100%, $E$9)</f>
        <v>4.9695999999999998</v>
      </c>
      <c r="C312" s="80">
        <f>4.9696 * CHOOSE(CONTROL!$C$32, $C$9, 100%, $E$9)</f>
        <v>4.9695999999999998</v>
      </c>
      <c r="D312" s="80">
        <f>4.9732 * CHOOSE(CONTROL!$C$32, $C$9, 100%, $E$9)</f>
        <v>4.9732000000000003</v>
      </c>
      <c r="E312" s="81">
        <f>6.084 * CHOOSE(CONTROL!$C$32, $C$9, 100%, $E$9)</f>
        <v>6.0839999999999996</v>
      </c>
      <c r="F312" s="81">
        <f>6.084 * CHOOSE(CONTROL!$C$32, $C$9, 100%, $E$9)</f>
        <v>6.0839999999999996</v>
      </c>
      <c r="G312" s="81">
        <f>6.0884 * CHOOSE(CONTROL!$C$32, $C$9, 100%, $E$9)</f>
        <v>6.0884</v>
      </c>
      <c r="H312" s="81">
        <f>10.8156 * CHOOSE(CONTROL!$C$32, $C$9, 100%, $E$9)</f>
        <v>10.8156</v>
      </c>
      <c r="I312" s="81">
        <f>10.82 * CHOOSE(CONTROL!$C$32, $C$9, 100%, $E$9)</f>
        <v>10.82</v>
      </c>
      <c r="J312" s="81">
        <f>10.8156 * CHOOSE(CONTROL!$C$32, $C$9, 100%, $E$9)</f>
        <v>10.8156</v>
      </c>
      <c r="K312" s="81">
        <f>10.82 * CHOOSE(CONTROL!$C$32, $C$9, 100%, $E$9)</f>
        <v>10.82</v>
      </c>
      <c r="L312" s="81">
        <f>6.084 * CHOOSE(CONTROL!$C$32, $C$9, 100%, $E$9)</f>
        <v>6.0839999999999996</v>
      </c>
      <c r="M312" s="81">
        <f>6.0884 * CHOOSE(CONTROL!$C$32, $C$9, 100%, $E$9)</f>
        <v>6.0884</v>
      </c>
      <c r="N312" s="81">
        <f>6.084 * CHOOSE(CONTROL!$C$32, $C$9, 100%, $E$9)</f>
        <v>6.0839999999999996</v>
      </c>
      <c r="O312" s="81">
        <f>6.0884 * CHOOSE(CONTROL!$C$32, $C$9, 100%, $E$9)</f>
        <v>6.0884</v>
      </c>
    </row>
    <row r="313" spans="1:15" ht="15">
      <c r="A313" s="16">
        <v>50740</v>
      </c>
      <c r="B313" s="80">
        <f>4.9696 * CHOOSE(CONTROL!$C$32, $C$9, 100%, $E$9)</f>
        <v>4.9695999999999998</v>
      </c>
      <c r="C313" s="80">
        <f>4.9696 * CHOOSE(CONTROL!$C$32, $C$9, 100%, $E$9)</f>
        <v>4.9695999999999998</v>
      </c>
      <c r="D313" s="80">
        <f>4.9732 * CHOOSE(CONTROL!$C$32, $C$9, 100%, $E$9)</f>
        <v>4.9732000000000003</v>
      </c>
      <c r="E313" s="81">
        <f>6.061 * CHOOSE(CONTROL!$C$32, $C$9, 100%, $E$9)</f>
        <v>6.0609999999999999</v>
      </c>
      <c r="F313" s="81">
        <f>6.061 * CHOOSE(CONTROL!$C$32, $C$9, 100%, $E$9)</f>
        <v>6.0609999999999999</v>
      </c>
      <c r="G313" s="81">
        <f>6.0654 * CHOOSE(CONTROL!$C$32, $C$9, 100%, $E$9)</f>
        <v>6.0654000000000003</v>
      </c>
      <c r="H313" s="81">
        <f>10.8381 * CHOOSE(CONTROL!$C$32, $C$9, 100%, $E$9)</f>
        <v>10.838100000000001</v>
      </c>
      <c r="I313" s="81">
        <f>10.8425 * CHOOSE(CONTROL!$C$32, $C$9, 100%, $E$9)</f>
        <v>10.842499999999999</v>
      </c>
      <c r="J313" s="81">
        <f>10.8381 * CHOOSE(CONTROL!$C$32, $C$9, 100%, $E$9)</f>
        <v>10.838100000000001</v>
      </c>
      <c r="K313" s="81">
        <f>10.8425 * CHOOSE(CONTROL!$C$32, $C$9, 100%, $E$9)</f>
        <v>10.842499999999999</v>
      </c>
      <c r="L313" s="81">
        <f>6.061 * CHOOSE(CONTROL!$C$32, $C$9, 100%, $E$9)</f>
        <v>6.0609999999999999</v>
      </c>
      <c r="M313" s="81">
        <f>6.0654 * CHOOSE(CONTROL!$C$32, $C$9, 100%, $E$9)</f>
        <v>6.0654000000000003</v>
      </c>
      <c r="N313" s="81">
        <f>6.061 * CHOOSE(CONTROL!$C$32, $C$9, 100%, $E$9)</f>
        <v>6.0609999999999999</v>
      </c>
      <c r="O313" s="81">
        <f>6.0654 * CHOOSE(CONTROL!$C$32, $C$9, 100%, $E$9)</f>
        <v>6.0654000000000003</v>
      </c>
    </row>
    <row r="314" spans="1:15" ht="15">
      <c r="A314" s="16">
        <v>50771</v>
      </c>
      <c r="B314" s="80">
        <f>5.014 * CHOOSE(CONTROL!$C$32, $C$9, 100%, $E$9)</f>
        <v>5.0140000000000002</v>
      </c>
      <c r="C314" s="80">
        <f>5.014 * CHOOSE(CONTROL!$C$32, $C$9, 100%, $E$9)</f>
        <v>5.0140000000000002</v>
      </c>
      <c r="D314" s="80">
        <f>5.0175 * CHOOSE(CONTROL!$C$32, $C$9, 100%, $E$9)</f>
        <v>5.0175000000000001</v>
      </c>
      <c r="E314" s="81">
        <f>6.1195 * CHOOSE(CONTROL!$C$32, $C$9, 100%, $E$9)</f>
        <v>6.1195000000000004</v>
      </c>
      <c r="F314" s="81">
        <f>6.1195 * CHOOSE(CONTROL!$C$32, $C$9, 100%, $E$9)</f>
        <v>6.1195000000000004</v>
      </c>
      <c r="G314" s="81">
        <f>6.1238 * CHOOSE(CONTROL!$C$32, $C$9, 100%, $E$9)</f>
        <v>6.1238000000000001</v>
      </c>
      <c r="H314" s="81">
        <f>10.8607 * CHOOSE(CONTROL!$C$32, $C$9, 100%, $E$9)</f>
        <v>10.8607</v>
      </c>
      <c r="I314" s="81">
        <f>10.8651 * CHOOSE(CONTROL!$C$32, $C$9, 100%, $E$9)</f>
        <v>10.8651</v>
      </c>
      <c r="J314" s="81">
        <f>10.8607 * CHOOSE(CONTROL!$C$32, $C$9, 100%, $E$9)</f>
        <v>10.8607</v>
      </c>
      <c r="K314" s="81">
        <f>10.8651 * CHOOSE(CONTROL!$C$32, $C$9, 100%, $E$9)</f>
        <v>10.8651</v>
      </c>
      <c r="L314" s="81">
        <f>6.1195 * CHOOSE(CONTROL!$C$32, $C$9, 100%, $E$9)</f>
        <v>6.1195000000000004</v>
      </c>
      <c r="M314" s="81">
        <f>6.1238 * CHOOSE(CONTROL!$C$32, $C$9, 100%, $E$9)</f>
        <v>6.1238000000000001</v>
      </c>
      <c r="N314" s="81">
        <f>6.1195 * CHOOSE(CONTROL!$C$32, $C$9, 100%, $E$9)</f>
        <v>6.1195000000000004</v>
      </c>
      <c r="O314" s="81">
        <f>6.1238 * CHOOSE(CONTROL!$C$32, $C$9, 100%, $E$9)</f>
        <v>6.1238000000000001</v>
      </c>
    </row>
    <row r="315" spans="1:15" ht="15">
      <c r="A315" s="16">
        <v>50802</v>
      </c>
      <c r="B315" s="80">
        <f>5.0109 * CHOOSE(CONTROL!$C$32, $C$9, 100%, $E$9)</f>
        <v>5.0109000000000004</v>
      </c>
      <c r="C315" s="80">
        <f>5.0109 * CHOOSE(CONTROL!$C$32, $C$9, 100%, $E$9)</f>
        <v>5.0109000000000004</v>
      </c>
      <c r="D315" s="80">
        <f>5.0145 * CHOOSE(CONTROL!$C$32, $C$9, 100%, $E$9)</f>
        <v>5.0145</v>
      </c>
      <c r="E315" s="81">
        <f>6.0216 * CHOOSE(CONTROL!$C$32, $C$9, 100%, $E$9)</f>
        <v>6.0216000000000003</v>
      </c>
      <c r="F315" s="81">
        <f>6.0216 * CHOOSE(CONTROL!$C$32, $C$9, 100%, $E$9)</f>
        <v>6.0216000000000003</v>
      </c>
      <c r="G315" s="81">
        <f>6.026 * CHOOSE(CONTROL!$C$32, $C$9, 100%, $E$9)</f>
        <v>6.0259999999999998</v>
      </c>
      <c r="H315" s="81">
        <f>10.8833 * CHOOSE(CONTROL!$C$32, $C$9, 100%, $E$9)</f>
        <v>10.8833</v>
      </c>
      <c r="I315" s="81">
        <f>10.8877 * CHOOSE(CONTROL!$C$32, $C$9, 100%, $E$9)</f>
        <v>10.887700000000001</v>
      </c>
      <c r="J315" s="81">
        <f>10.8833 * CHOOSE(CONTROL!$C$32, $C$9, 100%, $E$9)</f>
        <v>10.8833</v>
      </c>
      <c r="K315" s="81">
        <f>10.8877 * CHOOSE(CONTROL!$C$32, $C$9, 100%, $E$9)</f>
        <v>10.887700000000001</v>
      </c>
      <c r="L315" s="81">
        <f>6.0216 * CHOOSE(CONTROL!$C$32, $C$9, 100%, $E$9)</f>
        <v>6.0216000000000003</v>
      </c>
      <c r="M315" s="81">
        <f>6.026 * CHOOSE(CONTROL!$C$32, $C$9, 100%, $E$9)</f>
        <v>6.0259999999999998</v>
      </c>
      <c r="N315" s="81">
        <f>6.0216 * CHOOSE(CONTROL!$C$32, $C$9, 100%, $E$9)</f>
        <v>6.0216000000000003</v>
      </c>
      <c r="O315" s="81">
        <f>6.026 * CHOOSE(CONTROL!$C$32, $C$9, 100%, $E$9)</f>
        <v>6.0259999999999998</v>
      </c>
    </row>
    <row r="316" spans="1:15" ht="15">
      <c r="A316" s="16">
        <v>50830</v>
      </c>
      <c r="B316" s="80">
        <f>5.0079 * CHOOSE(CONTROL!$C$32, $C$9, 100%, $E$9)</f>
        <v>5.0079000000000002</v>
      </c>
      <c r="C316" s="80">
        <f>5.0079 * CHOOSE(CONTROL!$C$32, $C$9, 100%, $E$9)</f>
        <v>5.0079000000000002</v>
      </c>
      <c r="D316" s="80">
        <f>5.0114 * CHOOSE(CONTROL!$C$32, $C$9, 100%, $E$9)</f>
        <v>5.0114000000000001</v>
      </c>
      <c r="E316" s="81">
        <f>6.095 * CHOOSE(CONTROL!$C$32, $C$9, 100%, $E$9)</f>
        <v>6.0949999999999998</v>
      </c>
      <c r="F316" s="81">
        <f>6.095 * CHOOSE(CONTROL!$C$32, $C$9, 100%, $E$9)</f>
        <v>6.0949999999999998</v>
      </c>
      <c r="G316" s="81">
        <f>6.0993 * CHOOSE(CONTROL!$C$32, $C$9, 100%, $E$9)</f>
        <v>6.0993000000000004</v>
      </c>
      <c r="H316" s="81">
        <f>10.906 * CHOOSE(CONTROL!$C$32, $C$9, 100%, $E$9)</f>
        <v>10.906000000000001</v>
      </c>
      <c r="I316" s="81">
        <f>10.9104 * CHOOSE(CONTROL!$C$32, $C$9, 100%, $E$9)</f>
        <v>10.910399999999999</v>
      </c>
      <c r="J316" s="81">
        <f>10.906 * CHOOSE(CONTROL!$C$32, $C$9, 100%, $E$9)</f>
        <v>10.906000000000001</v>
      </c>
      <c r="K316" s="81">
        <f>10.9104 * CHOOSE(CONTROL!$C$32, $C$9, 100%, $E$9)</f>
        <v>10.910399999999999</v>
      </c>
      <c r="L316" s="81">
        <f>6.095 * CHOOSE(CONTROL!$C$32, $C$9, 100%, $E$9)</f>
        <v>6.0949999999999998</v>
      </c>
      <c r="M316" s="81">
        <f>6.0993 * CHOOSE(CONTROL!$C$32, $C$9, 100%, $E$9)</f>
        <v>6.0993000000000004</v>
      </c>
      <c r="N316" s="81">
        <f>6.095 * CHOOSE(CONTROL!$C$32, $C$9, 100%, $E$9)</f>
        <v>6.0949999999999998</v>
      </c>
      <c r="O316" s="81">
        <f>6.0993 * CHOOSE(CONTROL!$C$32, $C$9, 100%, $E$9)</f>
        <v>6.0993000000000004</v>
      </c>
    </row>
    <row r="317" spans="1:15" ht="15">
      <c r="A317" s="16">
        <v>50861</v>
      </c>
      <c r="B317" s="80">
        <f>5.0064 * CHOOSE(CONTROL!$C$32, $C$9, 100%, $E$9)</f>
        <v>5.0064000000000002</v>
      </c>
      <c r="C317" s="80">
        <f>5.0064 * CHOOSE(CONTROL!$C$32, $C$9, 100%, $E$9)</f>
        <v>5.0064000000000002</v>
      </c>
      <c r="D317" s="80">
        <f>5.01 * CHOOSE(CONTROL!$C$32, $C$9, 100%, $E$9)</f>
        <v>5.01</v>
      </c>
      <c r="E317" s="81">
        <f>6.1718 * CHOOSE(CONTROL!$C$32, $C$9, 100%, $E$9)</f>
        <v>6.1718000000000002</v>
      </c>
      <c r="F317" s="81">
        <f>6.1718 * CHOOSE(CONTROL!$C$32, $C$9, 100%, $E$9)</f>
        <v>6.1718000000000002</v>
      </c>
      <c r="G317" s="81">
        <f>6.1761 * CHOOSE(CONTROL!$C$32, $C$9, 100%, $E$9)</f>
        <v>6.1760999999999999</v>
      </c>
      <c r="H317" s="81">
        <f>10.9287 * CHOOSE(CONTROL!$C$32, $C$9, 100%, $E$9)</f>
        <v>10.928699999999999</v>
      </c>
      <c r="I317" s="81">
        <f>10.9331 * CHOOSE(CONTROL!$C$32, $C$9, 100%, $E$9)</f>
        <v>10.9331</v>
      </c>
      <c r="J317" s="81">
        <f>10.9287 * CHOOSE(CONTROL!$C$32, $C$9, 100%, $E$9)</f>
        <v>10.928699999999999</v>
      </c>
      <c r="K317" s="81">
        <f>10.9331 * CHOOSE(CONTROL!$C$32, $C$9, 100%, $E$9)</f>
        <v>10.9331</v>
      </c>
      <c r="L317" s="81">
        <f>6.1718 * CHOOSE(CONTROL!$C$32, $C$9, 100%, $E$9)</f>
        <v>6.1718000000000002</v>
      </c>
      <c r="M317" s="81">
        <f>6.1761 * CHOOSE(CONTROL!$C$32, $C$9, 100%, $E$9)</f>
        <v>6.1760999999999999</v>
      </c>
      <c r="N317" s="81">
        <f>6.1718 * CHOOSE(CONTROL!$C$32, $C$9, 100%, $E$9)</f>
        <v>6.1718000000000002</v>
      </c>
      <c r="O317" s="81">
        <f>6.1761 * CHOOSE(CONTROL!$C$32, $C$9, 100%, $E$9)</f>
        <v>6.1760999999999999</v>
      </c>
    </row>
    <row r="318" spans="1:15" ht="15">
      <c r="A318" s="16">
        <v>50891</v>
      </c>
      <c r="B318" s="80">
        <f>5.0064 * CHOOSE(CONTROL!$C$32, $C$9, 100%, $E$9)</f>
        <v>5.0064000000000002</v>
      </c>
      <c r="C318" s="80">
        <f>5.0064 * CHOOSE(CONTROL!$C$32, $C$9, 100%, $E$9)</f>
        <v>5.0064000000000002</v>
      </c>
      <c r="D318" s="80">
        <f>5.0116 * CHOOSE(CONTROL!$C$32, $C$9, 100%, $E$9)</f>
        <v>5.0115999999999996</v>
      </c>
      <c r="E318" s="81">
        <f>6.2021 * CHOOSE(CONTROL!$C$32, $C$9, 100%, $E$9)</f>
        <v>6.2020999999999997</v>
      </c>
      <c r="F318" s="81">
        <f>6.2021 * CHOOSE(CONTROL!$C$32, $C$9, 100%, $E$9)</f>
        <v>6.2020999999999997</v>
      </c>
      <c r="G318" s="81">
        <f>6.2085 * CHOOSE(CONTROL!$C$32, $C$9, 100%, $E$9)</f>
        <v>6.2084999999999999</v>
      </c>
      <c r="H318" s="81">
        <f>10.9515 * CHOOSE(CONTROL!$C$32, $C$9, 100%, $E$9)</f>
        <v>10.951499999999999</v>
      </c>
      <c r="I318" s="81">
        <f>10.9578 * CHOOSE(CONTROL!$C$32, $C$9, 100%, $E$9)</f>
        <v>10.957800000000001</v>
      </c>
      <c r="J318" s="81">
        <f>10.9515 * CHOOSE(CONTROL!$C$32, $C$9, 100%, $E$9)</f>
        <v>10.951499999999999</v>
      </c>
      <c r="K318" s="81">
        <f>10.9578 * CHOOSE(CONTROL!$C$32, $C$9, 100%, $E$9)</f>
        <v>10.957800000000001</v>
      </c>
      <c r="L318" s="81">
        <f>6.2021 * CHOOSE(CONTROL!$C$32, $C$9, 100%, $E$9)</f>
        <v>6.2020999999999997</v>
      </c>
      <c r="M318" s="81">
        <f>6.2085 * CHOOSE(CONTROL!$C$32, $C$9, 100%, $E$9)</f>
        <v>6.2084999999999999</v>
      </c>
      <c r="N318" s="81">
        <f>6.2021 * CHOOSE(CONTROL!$C$32, $C$9, 100%, $E$9)</f>
        <v>6.2020999999999997</v>
      </c>
      <c r="O318" s="81">
        <f>6.2085 * CHOOSE(CONTROL!$C$32, $C$9, 100%, $E$9)</f>
        <v>6.2084999999999999</v>
      </c>
    </row>
    <row r="319" spans="1:15" ht="15">
      <c r="A319" s="16">
        <v>50922</v>
      </c>
      <c r="B319" s="80">
        <f>5.0125 * CHOOSE(CONTROL!$C$32, $C$9, 100%, $E$9)</f>
        <v>5.0125000000000002</v>
      </c>
      <c r="C319" s="80">
        <f>5.0125 * CHOOSE(CONTROL!$C$32, $C$9, 100%, $E$9)</f>
        <v>5.0125000000000002</v>
      </c>
      <c r="D319" s="80">
        <f>5.0177 * CHOOSE(CONTROL!$C$32, $C$9, 100%, $E$9)</f>
        <v>5.0176999999999996</v>
      </c>
      <c r="E319" s="81">
        <f>6.176 * CHOOSE(CONTROL!$C$32, $C$9, 100%, $E$9)</f>
        <v>6.1760000000000002</v>
      </c>
      <c r="F319" s="81">
        <f>6.176 * CHOOSE(CONTROL!$C$32, $C$9, 100%, $E$9)</f>
        <v>6.1760000000000002</v>
      </c>
      <c r="G319" s="81">
        <f>6.1823 * CHOOSE(CONTROL!$C$32, $C$9, 100%, $E$9)</f>
        <v>6.1822999999999997</v>
      </c>
      <c r="H319" s="81">
        <f>10.9743 * CHOOSE(CONTROL!$C$32, $C$9, 100%, $E$9)</f>
        <v>10.974299999999999</v>
      </c>
      <c r="I319" s="81">
        <f>10.9806 * CHOOSE(CONTROL!$C$32, $C$9, 100%, $E$9)</f>
        <v>10.980600000000001</v>
      </c>
      <c r="J319" s="81">
        <f>10.9743 * CHOOSE(CONTROL!$C$32, $C$9, 100%, $E$9)</f>
        <v>10.974299999999999</v>
      </c>
      <c r="K319" s="81">
        <f>10.9806 * CHOOSE(CONTROL!$C$32, $C$9, 100%, $E$9)</f>
        <v>10.980600000000001</v>
      </c>
      <c r="L319" s="81">
        <f>6.176 * CHOOSE(CONTROL!$C$32, $C$9, 100%, $E$9)</f>
        <v>6.1760000000000002</v>
      </c>
      <c r="M319" s="81">
        <f>6.1823 * CHOOSE(CONTROL!$C$32, $C$9, 100%, $E$9)</f>
        <v>6.1822999999999997</v>
      </c>
      <c r="N319" s="81">
        <f>6.176 * CHOOSE(CONTROL!$C$32, $C$9, 100%, $E$9)</f>
        <v>6.1760000000000002</v>
      </c>
      <c r="O319" s="81">
        <f>6.1823 * CHOOSE(CONTROL!$C$32, $C$9, 100%, $E$9)</f>
        <v>6.1822999999999997</v>
      </c>
    </row>
    <row r="320" spans="1:15" ht="15">
      <c r="A320" s="16">
        <v>50952</v>
      </c>
      <c r="B320" s="80">
        <f>5.0952 * CHOOSE(CONTROL!$C$32, $C$9, 100%, $E$9)</f>
        <v>5.0952000000000002</v>
      </c>
      <c r="C320" s="80">
        <f>5.0952 * CHOOSE(CONTROL!$C$32, $C$9, 100%, $E$9)</f>
        <v>5.0952000000000002</v>
      </c>
      <c r="D320" s="80">
        <f>5.1003 * CHOOSE(CONTROL!$C$32, $C$9, 100%, $E$9)</f>
        <v>5.1002999999999998</v>
      </c>
      <c r="E320" s="81">
        <f>6.2809 * CHOOSE(CONTROL!$C$32, $C$9, 100%, $E$9)</f>
        <v>6.2808999999999999</v>
      </c>
      <c r="F320" s="81">
        <f>6.2809 * CHOOSE(CONTROL!$C$32, $C$9, 100%, $E$9)</f>
        <v>6.2808999999999999</v>
      </c>
      <c r="G320" s="81">
        <f>6.2872 * CHOOSE(CONTROL!$C$32, $C$9, 100%, $E$9)</f>
        <v>6.2872000000000003</v>
      </c>
      <c r="H320" s="81">
        <f>10.9972 * CHOOSE(CONTROL!$C$32, $C$9, 100%, $E$9)</f>
        <v>10.997199999999999</v>
      </c>
      <c r="I320" s="81">
        <f>11.0035 * CHOOSE(CONTROL!$C$32, $C$9, 100%, $E$9)</f>
        <v>11.003500000000001</v>
      </c>
      <c r="J320" s="81">
        <f>10.9972 * CHOOSE(CONTROL!$C$32, $C$9, 100%, $E$9)</f>
        <v>10.997199999999999</v>
      </c>
      <c r="K320" s="81">
        <f>11.0035 * CHOOSE(CONTROL!$C$32, $C$9, 100%, $E$9)</f>
        <v>11.003500000000001</v>
      </c>
      <c r="L320" s="81">
        <f>6.2809 * CHOOSE(CONTROL!$C$32, $C$9, 100%, $E$9)</f>
        <v>6.2808999999999999</v>
      </c>
      <c r="M320" s="81">
        <f>6.2872 * CHOOSE(CONTROL!$C$32, $C$9, 100%, $E$9)</f>
        <v>6.2872000000000003</v>
      </c>
      <c r="N320" s="81">
        <f>6.2809 * CHOOSE(CONTROL!$C$32, $C$9, 100%, $E$9)</f>
        <v>6.2808999999999999</v>
      </c>
      <c r="O320" s="81">
        <f>6.2872 * CHOOSE(CONTROL!$C$32, $C$9, 100%, $E$9)</f>
        <v>6.2872000000000003</v>
      </c>
    </row>
    <row r="321" spans="1:15" ht="15">
      <c r="A321" s="16">
        <v>50983</v>
      </c>
      <c r="B321" s="80">
        <f>5.1019 * CHOOSE(CONTROL!$C$32, $C$9, 100%, $E$9)</f>
        <v>5.1018999999999997</v>
      </c>
      <c r="C321" s="80">
        <f>5.1019 * CHOOSE(CONTROL!$C$32, $C$9, 100%, $E$9)</f>
        <v>5.1018999999999997</v>
      </c>
      <c r="D321" s="80">
        <f>5.107 * CHOOSE(CONTROL!$C$32, $C$9, 100%, $E$9)</f>
        <v>5.1070000000000002</v>
      </c>
      <c r="E321" s="81">
        <f>6.1944 * CHOOSE(CONTROL!$C$32, $C$9, 100%, $E$9)</f>
        <v>6.1943999999999999</v>
      </c>
      <c r="F321" s="81">
        <f>6.1944 * CHOOSE(CONTROL!$C$32, $C$9, 100%, $E$9)</f>
        <v>6.1943999999999999</v>
      </c>
      <c r="G321" s="81">
        <f>6.2007 * CHOOSE(CONTROL!$C$32, $C$9, 100%, $E$9)</f>
        <v>6.2007000000000003</v>
      </c>
      <c r="H321" s="81">
        <f>11.0201 * CHOOSE(CONTROL!$C$32, $C$9, 100%, $E$9)</f>
        <v>11.020099999999999</v>
      </c>
      <c r="I321" s="81">
        <f>11.0264 * CHOOSE(CONTROL!$C$32, $C$9, 100%, $E$9)</f>
        <v>11.026400000000001</v>
      </c>
      <c r="J321" s="81">
        <f>11.0201 * CHOOSE(CONTROL!$C$32, $C$9, 100%, $E$9)</f>
        <v>11.020099999999999</v>
      </c>
      <c r="K321" s="81">
        <f>11.0264 * CHOOSE(CONTROL!$C$32, $C$9, 100%, $E$9)</f>
        <v>11.026400000000001</v>
      </c>
      <c r="L321" s="81">
        <f>6.1944 * CHOOSE(CONTROL!$C$32, $C$9, 100%, $E$9)</f>
        <v>6.1943999999999999</v>
      </c>
      <c r="M321" s="81">
        <f>6.2007 * CHOOSE(CONTROL!$C$32, $C$9, 100%, $E$9)</f>
        <v>6.2007000000000003</v>
      </c>
      <c r="N321" s="81">
        <f>6.1944 * CHOOSE(CONTROL!$C$32, $C$9, 100%, $E$9)</f>
        <v>6.1943999999999999</v>
      </c>
      <c r="O321" s="81">
        <f>6.2007 * CHOOSE(CONTROL!$C$32, $C$9, 100%, $E$9)</f>
        <v>6.2007000000000003</v>
      </c>
    </row>
    <row r="322" spans="1:15" ht="15">
      <c r="A322" s="16">
        <v>51014</v>
      </c>
      <c r="B322" s="80">
        <f>5.0988 * CHOOSE(CONTROL!$C$32, $C$9, 100%, $E$9)</f>
        <v>5.0987999999999998</v>
      </c>
      <c r="C322" s="80">
        <f>5.0988 * CHOOSE(CONTROL!$C$32, $C$9, 100%, $E$9)</f>
        <v>5.0987999999999998</v>
      </c>
      <c r="D322" s="80">
        <f>5.104 * CHOOSE(CONTROL!$C$32, $C$9, 100%, $E$9)</f>
        <v>5.1040000000000001</v>
      </c>
      <c r="E322" s="81">
        <f>6.1822 * CHOOSE(CONTROL!$C$32, $C$9, 100%, $E$9)</f>
        <v>6.1821999999999999</v>
      </c>
      <c r="F322" s="81">
        <f>6.1822 * CHOOSE(CONTROL!$C$32, $C$9, 100%, $E$9)</f>
        <v>6.1821999999999999</v>
      </c>
      <c r="G322" s="81">
        <f>6.1885 * CHOOSE(CONTROL!$C$32, $C$9, 100%, $E$9)</f>
        <v>6.1885000000000003</v>
      </c>
      <c r="H322" s="81">
        <f>11.043 * CHOOSE(CONTROL!$C$32, $C$9, 100%, $E$9)</f>
        <v>11.042999999999999</v>
      </c>
      <c r="I322" s="81">
        <f>11.0494 * CHOOSE(CONTROL!$C$32, $C$9, 100%, $E$9)</f>
        <v>11.0494</v>
      </c>
      <c r="J322" s="81">
        <f>11.043 * CHOOSE(CONTROL!$C$32, $C$9, 100%, $E$9)</f>
        <v>11.042999999999999</v>
      </c>
      <c r="K322" s="81">
        <f>11.0494 * CHOOSE(CONTROL!$C$32, $C$9, 100%, $E$9)</f>
        <v>11.0494</v>
      </c>
      <c r="L322" s="81">
        <f>6.1822 * CHOOSE(CONTROL!$C$32, $C$9, 100%, $E$9)</f>
        <v>6.1821999999999999</v>
      </c>
      <c r="M322" s="81">
        <f>6.1885 * CHOOSE(CONTROL!$C$32, $C$9, 100%, $E$9)</f>
        <v>6.1885000000000003</v>
      </c>
      <c r="N322" s="81">
        <f>6.1822 * CHOOSE(CONTROL!$C$32, $C$9, 100%, $E$9)</f>
        <v>6.1821999999999999</v>
      </c>
      <c r="O322" s="81">
        <f>6.1885 * CHOOSE(CONTROL!$C$32, $C$9, 100%, $E$9)</f>
        <v>6.1885000000000003</v>
      </c>
    </row>
    <row r="323" spans="1:15" ht="15">
      <c r="A323" s="16">
        <v>51044</v>
      </c>
      <c r="B323" s="80">
        <f>5.0975 * CHOOSE(CONTROL!$C$32, $C$9, 100%, $E$9)</f>
        <v>5.0975000000000001</v>
      </c>
      <c r="C323" s="80">
        <f>5.0975 * CHOOSE(CONTROL!$C$32, $C$9, 100%, $E$9)</f>
        <v>5.0975000000000001</v>
      </c>
      <c r="D323" s="80">
        <f>5.1011 * CHOOSE(CONTROL!$C$32, $C$9, 100%, $E$9)</f>
        <v>5.1010999999999997</v>
      </c>
      <c r="E323" s="81">
        <f>6.2093 * CHOOSE(CONTROL!$C$32, $C$9, 100%, $E$9)</f>
        <v>6.2092999999999998</v>
      </c>
      <c r="F323" s="81">
        <f>6.2093 * CHOOSE(CONTROL!$C$32, $C$9, 100%, $E$9)</f>
        <v>6.2092999999999998</v>
      </c>
      <c r="G323" s="81">
        <f>6.2136 * CHOOSE(CONTROL!$C$32, $C$9, 100%, $E$9)</f>
        <v>6.2135999999999996</v>
      </c>
      <c r="H323" s="81">
        <f>11.066 * CHOOSE(CONTROL!$C$32, $C$9, 100%, $E$9)</f>
        <v>11.066000000000001</v>
      </c>
      <c r="I323" s="81">
        <f>11.0704 * CHOOSE(CONTROL!$C$32, $C$9, 100%, $E$9)</f>
        <v>11.070399999999999</v>
      </c>
      <c r="J323" s="81">
        <f>11.066 * CHOOSE(CONTROL!$C$32, $C$9, 100%, $E$9)</f>
        <v>11.066000000000001</v>
      </c>
      <c r="K323" s="81">
        <f>11.0704 * CHOOSE(CONTROL!$C$32, $C$9, 100%, $E$9)</f>
        <v>11.070399999999999</v>
      </c>
      <c r="L323" s="81">
        <f>6.2093 * CHOOSE(CONTROL!$C$32, $C$9, 100%, $E$9)</f>
        <v>6.2092999999999998</v>
      </c>
      <c r="M323" s="81">
        <f>6.2136 * CHOOSE(CONTROL!$C$32, $C$9, 100%, $E$9)</f>
        <v>6.2135999999999996</v>
      </c>
      <c r="N323" s="81">
        <f>6.2093 * CHOOSE(CONTROL!$C$32, $C$9, 100%, $E$9)</f>
        <v>6.2092999999999998</v>
      </c>
      <c r="O323" s="81">
        <f>6.2136 * CHOOSE(CONTROL!$C$32, $C$9, 100%, $E$9)</f>
        <v>6.2135999999999996</v>
      </c>
    </row>
    <row r="324" spans="1:15" ht="15">
      <c r="A324" s="16">
        <v>51075</v>
      </c>
      <c r="B324" s="80">
        <f>5.1006 * CHOOSE(CONTROL!$C$32, $C$9, 100%, $E$9)</f>
        <v>5.1006</v>
      </c>
      <c r="C324" s="80">
        <f>5.1006 * CHOOSE(CONTROL!$C$32, $C$9, 100%, $E$9)</f>
        <v>5.1006</v>
      </c>
      <c r="D324" s="80">
        <f>5.1041 * CHOOSE(CONTROL!$C$32, $C$9, 100%, $E$9)</f>
        <v>5.1040999999999999</v>
      </c>
      <c r="E324" s="81">
        <f>6.2316 * CHOOSE(CONTROL!$C$32, $C$9, 100%, $E$9)</f>
        <v>6.2316000000000003</v>
      </c>
      <c r="F324" s="81">
        <f>6.2316 * CHOOSE(CONTROL!$C$32, $C$9, 100%, $E$9)</f>
        <v>6.2316000000000003</v>
      </c>
      <c r="G324" s="81">
        <f>6.236 * CHOOSE(CONTROL!$C$32, $C$9, 100%, $E$9)</f>
        <v>6.2359999999999998</v>
      </c>
      <c r="H324" s="81">
        <f>11.0891 * CHOOSE(CONTROL!$C$32, $C$9, 100%, $E$9)</f>
        <v>11.0891</v>
      </c>
      <c r="I324" s="81">
        <f>11.0935 * CHOOSE(CONTROL!$C$32, $C$9, 100%, $E$9)</f>
        <v>11.093500000000001</v>
      </c>
      <c r="J324" s="81">
        <f>11.0891 * CHOOSE(CONTROL!$C$32, $C$9, 100%, $E$9)</f>
        <v>11.0891</v>
      </c>
      <c r="K324" s="81">
        <f>11.0935 * CHOOSE(CONTROL!$C$32, $C$9, 100%, $E$9)</f>
        <v>11.093500000000001</v>
      </c>
      <c r="L324" s="81">
        <f>6.2316 * CHOOSE(CONTROL!$C$32, $C$9, 100%, $E$9)</f>
        <v>6.2316000000000003</v>
      </c>
      <c r="M324" s="81">
        <f>6.236 * CHOOSE(CONTROL!$C$32, $C$9, 100%, $E$9)</f>
        <v>6.2359999999999998</v>
      </c>
      <c r="N324" s="81">
        <f>6.2316 * CHOOSE(CONTROL!$C$32, $C$9, 100%, $E$9)</f>
        <v>6.2316000000000003</v>
      </c>
      <c r="O324" s="81">
        <f>6.236 * CHOOSE(CONTROL!$C$32, $C$9, 100%, $E$9)</f>
        <v>6.2359999999999998</v>
      </c>
    </row>
    <row r="325" spans="1:15" ht="15">
      <c r="A325" s="16">
        <v>51105</v>
      </c>
      <c r="B325" s="80">
        <f>5.1006 * CHOOSE(CONTROL!$C$32, $C$9, 100%, $E$9)</f>
        <v>5.1006</v>
      </c>
      <c r="C325" s="80">
        <f>5.1006 * CHOOSE(CONTROL!$C$32, $C$9, 100%, $E$9)</f>
        <v>5.1006</v>
      </c>
      <c r="D325" s="80">
        <f>5.1041 * CHOOSE(CONTROL!$C$32, $C$9, 100%, $E$9)</f>
        <v>5.1040999999999999</v>
      </c>
      <c r="E325" s="81">
        <f>6.181 * CHOOSE(CONTROL!$C$32, $C$9, 100%, $E$9)</f>
        <v>6.181</v>
      </c>
      <c r="F325" s="81">
        <f>6.181 * CHOOSE(CONTROL!$C$32, $C$9, 100%, $E$9)</f>
        <v>6.181</v>
      </c>
      <c r="G325" s="81">
        <f>6.1854 * CHOOSE(CONTROL!$C$32, $C$9, 100%, $E$9)</f>
        <v>6.1853999999999996</v>
      </c>
      <c r="H325" s="81">
        <f>11.1122 * CHOOSE(CONTROL!$C$32, $C$9, 100%, $E$9)</f>
        <v>11.1122</v>
      </c>
      <c r="I325" s="81">
        <f>11.1166 * CHOOSE(CONTROL!$C$32, $C$9, 100%, $E$9)</f>
        <v>11.1166</v>
      </c>
      <c r="J325" s="81">
        <f>11.1122 * CHOOSE(CONTROL!$C$32, $C$9, 100%, $E$9)</f>
        <v>11.1122</v>
      </c>
      <c r="K325" s="81">
        <f>11.1166 * CHOOSE(CONTROL!$C$32, $C$9, 100%, $E$9)</f>
        <v>11.1166</v>
      </c>
      <c r="L325" s="81">
        <f>6.181 * CHOOSE(CONTROL!$C$32, $C$9, 100%, $E$9)</f>
        <v>6.181</v>
      </c>
      <c r="M325" s="81">
        <f>6.1854 * CHOOSE(CONTROL!$C$32, $C$9, 100%, $E$9)</f>
        <v>6.1853999999999996</v>
      </c>
      <c r="N325" s="81">
        <f>6.181 * CHOOSE(CONTROL!$C$32, $C$9, 100%, $E$9)</f>
        <v>6.181</v>
      </c>
      <c r="O325" s="81">
        <f>6.1854 * CHOOSE(CONTROL!$C$32, $C$9, 100%, $E$9)</f>
        <v>6.1853999999999996</v>
      </c>
    </row>
    <row r="326" spans="1:15" ht="15">
      <c r="A326" s="16">
        <v>51136</v>
      </c>
      <c r="B326" s="80">
        <f>5.146 * CHOOSE(CONTROL!$C$32, $C$9, 100%, $E$9)</f>
        <v>5.1459999999999999</v>
      </c>
      <c r="C326" s="80">
        <f>5.146 * CHOOSE(CONTROL!$C$32, $C$9, 100%, $E$9)</f>
        <v>5.1459999999999999</v>
      </c>
      <c r="D326" s="80">
        <f>5.1495 * CHOOSE(CONTROL!$C$32, $C$9, 100%, $E$9)</f>
        <v>5.1494999999999997</v>
      </c>
      <c r="E326" s="81">
        <f>6.2686 * CHOOSE(CONTROL!$C$32, $C$9, 100%, $E$9)</f>
        <v>6.2686000000000002</v>
      </c>
      <c r="F326" s="81">
        <f>6.2686 * CHOOSE(CONTROL!$C$32, $C$9, 100%, $E$9)</f>
        <v>6.2686000000000002</v>
      </c>
      <c r="G326" s="81">
        <f>6.273 * CHOOSE(CONTROL!$C$32, $C$9, 100%, $E$9)</f>
        <v>6.2729999999999997</v>
      </c>
      <c r="H326" s="81">
        <f>11.1353 * CHOOSE(CONTROL!$C$32, $C$9, 100%, $E$9)</f>
        <v>11.135300000000001</v>
      </c>
      <c r="I326" s="81">
        <f>11.1397 * CHOOSE(CONTROL!$C$32, $C$9, 100%, $E$9)</f>
        <v>11.139699999999999</v>
      </c>
      <c r="J326" s="81">
        <f>11.1353 * CHOOSE(CONTROL!$C$32, $C$9, 100%, $E$9)</f>
        <v>11.135300000000001</v>
      </c>
      <c r="K326" s="81">
        <f>11.1397 * CHOOSE(CONTROL!$C$32, $C$9, 100%, $E$9)</f>
        <v>11.139699999999999</v>
      </c>
      <c r="L326" s="81">
        <f>6.2686 * CHOOSE(CONTROL!$C$32, $C$9, 100%, $E$9)</f>
        <v>6.2686000000000002</v>
      </c>
      <c r="M326" s="81">
        <f>6.273 * CHOOSE(CONTROL!$C$32, $C$9, 100%, $E$9)</f>
        <v>6.2729999999999997</v>
      </c>
      <c r="N326" s="81">
        <f>6.2686 * CHOOSE(CONTROL!$C$32, $C$9, 100%, $E$9)</f>
        <v>6.2686000000000002</v>
      </c>
      <c r="O326" s="81">
        <f>6.273 * CHOOSE(CONTROL!$C$32, $C$9, 100%, $E$9)</f>
        <v>6.2729999999999997</v>
      </c>
    </row>
    <row r="327" spans="1:15" ht="15">
      <c r="A327" s="16">
        <v>51167</v>
      </c>
      <c r="B327" s="80">
        <f>5.1429 * CHOOSE(CONTROL!$C$32, $C$9, 100%, $E$9)</f>
        <v>5.1429</v>
      </c>
      <c r="C327" s="80">
        <f>5.1429 * CHOOSE(CONTROL!$C$32, $C$9, 100%, $E$9)</f>
        <v>5.1429</v>
      </c>
      <c r="D327" s="80">
        <f>5.1465 * CHOOSE(CONTROL!$C$32, $C$9, 100%, $E$9)</f>
        <v>5.1464999999999996</v>
      </c>
      <c r="E327" s="81">
        <f>6.1681 * CHOOSE(CONTROL!$C$32, $C$9, 100%, $E$9)</f>
        <v>6.1680999999999999</v>
      </c>
      <c r="F327" s="81">
        <f>6.1681 * CHOOSE(CONTROL!$C$32, $C$9, 100%, $E$9)</f>
        <v>6.1680999999999999</v>
      </c>
      <c r="G327" s="81">
        <f>6.1724 * CHOOSE(CONTROL!$C$32, $C$9, 100%, $E$9)</f>
        <v>6.1723999999999997</v>
      </c>
      <c r="H327" s="81">
        <f>11.1585 * CHOOSE(CONTROL!$C$32, $C$9, 100%, $E$9)</f>
        <v>11.1585</v>
      </c>
      <c r="I327" s="81">
        <f>11.1629 * CHOOSE(CONTROL!$C$32, $C$9, 100%, $E$9)</f>
        <v>11.1629</v>
      </c>
      <c r="J327" s="81">
        <f>11.1585 * CHOOSE(CONTROL!$C$32, $C$9, 100%, $E$9)</f>
        <v>11.1585</v>
      </c>
      <c r="K327" s="81">
        <f>11.1629 * CHOOSE(CONTROL!$C$32, $C$9, 100%, $E$9)</f>
        <v>11.1629</v>
      </c>
      <c r="L327" s="81">
        <f>6.1681 * CHOOSE(CONTROL!$C$32, $C$9, 100%, $E$9)</f>
        <v>6.1680999999999999</v>
      </c>
      <c r="M327" s="81">
        <f>6.1724 * CHOOSE(CONTROL!$C$32, $C$9, 100%, $E$9)</f>
        <v>6.1723999999999997</v>
      </c>
      <c r="N327" s="81">
        <f>6.1681 * CHOOSE(CONTROL!$C$32, $C$9, 100%, $E$9)</f>
        <v>6.1680999999999999</v>
      </c>
      <c r="O327" s="81">
        <f>6.1724 * CHOOSE(CONTROL!$C$32, $C$9, 100%, $E$9)</f>
        <v>6.1723999999999997</v>
      </c>
    </row>
    <row r="328" spans="1:15" ht="15">
      <c r="A328" s="16">
        <v>51196</v>
      </c>
      <c r="B328" s="80">
        <f>5.1399 * CHOOSE(CONTROL!$C$32, $C$9, 100%, $E$9)</f>
        <v>5.1398999999999999</v>
      </c>
      <c r="C328" s="80">
        <f>5.1399 * CHOOSE(CONTROL!$C$32, $C$9, 100%, $E$9)</f>
        <v>5.1398999999999999</v>
      </c>
      <c r="D328" s="80">
        <f>5.1434 * CHOOSE(CONTROL!$C$32, $C$9, 100%, $E$9)</f>
        <v>5.1433999999999997</v>
      </c>
      <c r="E328" s="81">
        <f>6.2435 * CHOOSE(CONTROL!$C$32, $C$9, 100%, $E$9)</f>
        <v>6.2435</v>
      </c>
      <c r="F328" s="81">
        <f>6.2435 * CHOOSE(CONTROL!$C$32, $C$9, 100%, $E$9)</f>
        <v>6.2435</v>
      </c>
      <c r="G328" s="81">
        <f>6.2479 * CHOOSE(CONTROL!$C$32, $C$9, 100%, $E$9)</f>
        <v>6.2478999999999996</v>
      </c>
      <c r="H328" s="81">
        <f>11.1818 * CHOOSE(CONTROL!$C$32, $C$9, 100%, $E$9)</f>
        <v>11.181800000000001</v>
      </c>
      <c r="I328" s="81">
        <f>11.1862 * CHOOSE(CONTROL!$C$32, $C$9, 100%, $E$9)</f>
        <v>11.186199999999999</v>
      </c>
      <c r="J328" s="81">
        <f>11.1818 * CHOOSE(CONTROL!$C$32, $C$9, 100%, $E$9)</f>
        <v>11.181800000000001</v>
      </c>
      <c r="K328" s="81">
        <f>11.1862 * CHOOSE(CONTROL!$C$32, $C$9, 100%, $E$9)</f>
        <v>11.186199999999999</v>
      </c>
      <c r="L328" s="81">
        <f>6.2435 * CHOOSE(CONTROL!$C$32, $C$9, 100%, $E$9)</f>
        <v>6.2435</v>
      </c>
      <c r="M328" s="81">
        <f>6.2479 * CHOOSE(CONTROL!$C$32, $C$9, 100%, $E$9)</f>
        <v>6.2478999999999996</v>
      </c>
      <c r="N328" s="81">
        <f>6.2435 * CHOOSE(CONTROL!$C$32, $C$9, 100%, $E$9)</f>
        <v>6.2435</v>
      </c>
      <c r="O328" s="81">
        <f>6.2479 * CHOOSE(CONTROL!$C$32, $C$9, 100%, $E$9)</f>
        <v>6.2478999999999996</v>
      </c>
    </row>
    <row r="329" spans="1:15" ht="15">
      <c r="A329" s="16">
        <v>51227</v>
      </c>
      <c r="B329" s="80">
        <f>5.1385 * CHOOSE(CONTROL!$C$32, $C$9, 100%, $E$9)</f>
        <v>5.1384999999999996</v>
      </c>
      <c r="C329" s="80">
        <f>5.1385 * CHOOSE(CONTROL!$C$32, $C$9, 100%, $E$9)</f>
        <v>5.1384999999999996</v>
      </c>
      <c r="D329" s="80">
        <f>5.1421 * CHOOSE(CONTROL!$C$32, $C$9, 100%, $E$9)</f>
        <v>5.1421000000000001</v>
      </c>
      <c r="E329" s="81">
        <f>6.3226 * CHOOSE(CONTROL!$C$32, $C$9, 100%, $E$9)</f>
        <v>6.3226000000000004</v>
      </c>
      <c r="F329" s="81">
        <f>6.3226 * CHOOSE(CONTROL!$C$32, $C$9, 100%, $E$9)</f>
        <v>6.3226000000000004</v>
      </c>
      <c r="G329" s="81">
        <f>6.327 * CHOOSE(CONTROL!$C$32, $C$9, 100%, $E$9)</f>
        <v>6.327</v>
      </c>
      <c r="H329" s="81">
        <f>11.2051 * CHOOSE(CONTROL!$C$32, $C$9, 100%, $E$9)</f>
        <v>11.2051</v>
      </c>
      <c r="I329" s="81">
        <f>11.2095 * CHOOSE(CONTROL!$C$32, $C$9, 100%, $E$9)</f>
        <v>11.2095</v>
      </c>
      <c r="J329" s="81">
        <f>11.2051 * CHOOSE(CONTROL!$C$32, $C$9, 100%, $E$9)</f>
        <v>11.2051</v>
      </c>
      <c r="K329" s="81">
        <f>11.2095 * CHOOSE(CONTROL!$C$32, $C$9, 100%, $E$9)</f>
        <v>11.2095</v>
      </c>
      <c r="L329" s="81">
        <f>6.3226 * CHOOSE(CONTROL!$C$32, $C$9, 100%, $E$9)</f>
        <v>6.3226000000000004</v>
      </c>
      <c r="M329" s="81">
        <f>6.327 * CHOOSE(CONTROL!$C$32, $C$9, 100%, $E$9)</f>
        <v>6.327</v>
      </c>
      <c r="N329" s="81">
        <f>6.3226 * CHOOSE(CONTROL!$C$32, $C$9, 100%, $E$9)</f>
        <v>6.3226000000000004</v>
      </c>
      <c r="O329" s="81">
        <f>6.327 * CHOOSE(CONTROL!$C$32, $C$9, 100%, $E$9)</f>
        <v>6.327</v>
      </c>
    </row>
    <row r="330" spans="1:15" ht="15">
      <c r="A330" s="16">
        <v>51257</v>
      </c>
      <c r="B330" s="80">
        <f>5.1385 * CHOOSE(CONTROL!$C$32, $C$9, 100%, $E$9)</f>
        <v>5.1384999999999996</v>
      </c>
      <c r="C330" s="80">
        <f>5.1385 * CHOOSE(CONTROL!$C$32, $C$9, 100%, $E$9)</f>
        <v>5.1384999999999996</v>
      </c>
      <c r="D330" s="80">
        <f>5.1437 * CHOOSE(CONTROL!$C$32, $C$9, 100%, $E$9)</f>
        <v>5.1436999999999999</v>
      </c>
      <c r="E330" s="81">
        <f>6.3538 * CHOOSE(CONTROL!$C$32, $C$9, 100%, $E$9)</f>
        <v>6.3537999999999997</v>
      </c>
      <c r="F330" s="81">
        <f>6.3538 * CHOOSE(CONTROL!$C$32, $C$9, 100%, $E$9)</f>
        <v>6.3537999999999997</v>
      </c>
      <c r="G330" s="81">
        <f>6.3602 * CHOOSE(CONTROL!$C$32, $C$9, 100%, $E$9)</f>
        <v>6.3601999999999999</v>
      </c>
      <c r="H330" s="81">
        <f>11.2284 * CHOOSE(CONTROL!$C$32, $C$9, 100%, $E$9)</f>
        <v>11.228400000000001</v>
      </c>
      <c r="I330" s="81">
        <f>11.2347 * CHOOSE(CONTROL!$C$32, $C$9, 100%, $E$9)</f>
        <v>11.2347</v>
      </c>
      <c r="J330" s="81">
        <f>11.2284 * CHOOSE(CONTROL!$C$32, $C$9, 100%, $E$9)</f>
        <v>11.228400000000001</v>
      </c>
      <c r="K330" s="81">
        <f>11.2347 * CHOOSE(CONTROL!$C$32, $C$9, 100%, $E$9)</f>
        <v>11.2347</v>
      </c>
      <c r="L330" s="81">
        <f>6.3538 * CHOOSE(CONTROL!$C$32, $C$9, 100%, $E$9)</f>
        <v>6.3537999999999997</v>
      </c>
      <c r="M330" s="81">
        <f>6.3602 * CHOOSE(CONTROL!$C$32, $C$9, 100%, $E$9)</f>
        <v>6.3601999999999999</v>
      </c>
      <c r="N330" s="81">
        <f>6.3538 * CHOOSE(CONTROL!$C$32, $C$9, 100%, $E$9)</f>
        <v>6.3537999999999997</v>
      </c>
      <c r="O330" s="81">
        <f>6.3602 * CHOOSE(CONTROL!$C$32, $C$9, 100%, $E$9)</f>
        <v>6.3601999999999999</v>
      </c>
    </row>
    <row r="331" spans="1:15" ht="15">
      <c r="A331" s="16">
        <v>51288</v>
      </c>
      <c r="B331" s="80">
        <f>5.1446 * CHOOSE(CONTROL!$C$32, $C$9, 100%, $E$9)</f>
        <v>5.1445999999999996</v>
      </c>
      <c r="C331" s="80">
        <f>5.1446 * CHOOSE(CONTROL!$C$32, $C$9, 100%, $E$9)</f>
        <v>5.1445999999999996</v>
      </c>
      <c r="D331" s="80">
        <f>5.1498 * CHOOSE(CONTROL!$C$32, $C$9, 100%, $E$9)</f>
        <v>5.1497999999999999</v>
      </c>
      <c r="E331" s="81">
        <f>6.3268 * CHOOSE(CONTROL!$C$32, $C$9, 100%, $E$9)</f>
        <v>6.3268000000000004</v>
      </c>
      <c r="F331" s="81">
        <f>6.3268 * CHOOSE(CONTROL!$C$32, $C$9, 100%, $E$9)</f>
        <v>6.3268000000000004</v>
      </c>
      <c r="G331" s="81">
        <f>6.3332 * CHOOSE(CONTROL!$C$32, $C$9, 100%, $E$9)</f>
        <v>6.3331999999999997</v>
      </c>
      <c r="H331" s="81">
        <f>11.2518 * CHOOSE(CONTROL!$C$32, $C$9, 100%, $E$9)</f>
        <v>11.251799999999999</v>
      </c>
      <c r="I331" s="81">
        <f>11.2581 * CHOOSE(CONTROL!$C$32, $C$9, 100%, $E$9)</f>
        <v>11.258100000000001</v>
      </c>
      <c r="J331" s="81">
        <f>11.2518 * CHOOSE(CONTROL!$C$32, $C$9, 100%, $E$9)</f>
        <v>11.251799999999999</v>
      </c>
      <c r="K331" s="81">
        <f>11.2581 * CHOOSE(CONTROL!$C$32, $C$9, 100%, $E$9)</f>
        <v>11.258100000000001</v>
      </c>
      <c r="L331" s="81">
        <f>6.3268 * CHOOSE(CONTROL!$C$32, $C$9, 100%, $E$9)</f>
        <v>6.3268000000000004</v>
      </c>
      <c r="M331" s="81">
        <f>6.3332 * CHOOSE(CONTROL!$C$32, $C$9, 100%, $E$9)</f>
        <v>6.3331999999999997</v>
      </c>
      <c r="N331" s="81">
        <f>6.3268 * CHOOSE(CONTROL!$C$32, $C$9, 100%, $E$9)</f>
        <v>6.3268000000000004</v>
      </c>
      <c r="O331" s="81">
        <f>6.3332 * CHOOSE(CONTROL!$C$32, $C$9, 100%, $E$9)</f>
        <v>6.3331999999999997</v>
      </c>
    </row>
    <row r="332" spans="1:15" ht="15">
      <c r="A332" s="16">
        <v>51318</v>
      </c>
      <c r="B332" s="80">
        <f>5.2293 * CHOOSE(CONTROL!$C$32, $C$9, 100%, $E$9)</f>
        <v>5.2293000000000003</v>
      </c>
      <c r="C332" s="80">
        <f>5.2293 * CHOOSE(CONTROL!$C$32, $C$9, 100%, $E$9)</f>
        <v>5.2293000000000003</v>
      </c>
      <c r="D332" s="80">
        <f>5.2345 * CHOOSE(CONTROL!$C$32, $C$9, 100%, $E$9)</f>
        <v>5.2344999999999997</v>
      </c>
      <c r="E332" s="81">
        <f>6.4346 * CHOOSE(CONTROL!$C$32, $C$9, 100%, $E$9)</f>
        <v>6.4345999999999997</v>
      </c>
      <c r="F332" s="81">
        <f>6.4346 * CHOOSE(CONTROL!$C$32, $C$9, 100%, $E$9)</f>
        <v>6.4345999999999997</v>
      </c>
      <c r="G332" s="81">
        <f>6.4409 * CHOOSE(CONTROL!$C$32, $C$9, 100%, $E$9)</f>
        <v>6.4409000000000001</v>
      </c>
      <c r="H332" s="81">
        <f>11.2753 * CHOOSE(CONTROL!$C$32, $C$9, 100%, $E$9)</f>
        <v>11.2753</v>
      </c>
      <c r="I332" s="81">
        <f>11.2816 * CHOOSE(CONTROL!$C$32, $C$9, 100%, $E$9)</f>
        <v>11.281599999999999</v>
      </c>
      <c r="J332" s="81">
        <f>11.2753 * CHOOSE(CONTROL!$C$32, $C$9, 100%, $E$9)</f>
        <v>11.2753</v>
      </c>
      <c r="K332" s="81">
        <f>11.2816 * CHOOSE(CONTROL!$C$32, $C$9, 100%, $E$9)</f>
        <v>11.281599999999999</v>
      </c>
      <c r="L332" s="81">
        <f>6.4346 * CHOOSE(CONTROL!$C$32, $C$9, 100%, $E$9)</f>
        <v>6.4345999999999997</v>
      </c>
      <c r="M332" s="81">
        <f>6.4409 * CHOOSE(CONTROL!$C$32, $C$9, 100%, $E$9)</f>
        <v>6.4409000000000001</v>
      </c>
      <c r="N332" s="81">
        <f>6.4346 * CHOOSE(CONTROL!$C$32, $C$9, 100%, $E$9)</f>
        <v>6.4345999999999997</v>
      </c>
      <c r="O332" s="81">
        <f>6.4409 * CHOOSE(CONTROL!$C$32, $C$9, 100%, $E$9)</f>
        <v>6.4409000000000001</v>
      </c>
    </row>
    <row r="333" spans="1:15" ht="15">
      <c r="A333" s="16">
        <v>51349</v>
      </c>
      <c r="B333" s="80">
        <f>5.236 * CHOOSE(CONTROL!$C$32, $C$9, 100%, $E$9)</f>
        <v>5.2359999999999998</v>
      </c>
      <c r="C333" s="80">
        <f>5.236 * CHOOSE(CONTROL!$C$32, $C$9, 100%, $E$9)</f>
        <v>5.2359999999999998</v>
      </c>
      <c r="D333" s="80">
        <f>5.2412 * CHOOSE(CONTROL!$C$32, $C$9, 100%, $E$9)</f>
        <v>5.2412000000000001</v>
      </c>
      <c r="E333" s="81">
        <f>6.3455 * CHOOSE(CONTROL!$C$32, $C$9, 100%, $E$9)</f>
        <v>6.3455000000000004</v>
      </c>
      <c r="F333" s="81">
        <f>6.3455 * CHOOSE(CONTROL!$C$32, $C$9, 100%, $E$9)</f>
        <v>6.3455000000000004</v>
      </c>
      <c r="G333" s="81">
        <f>6.3518 * CHOOSE(CONTROL!$C$32, $C$9, 100%, $E$9)</f>
        <v>6.3517999999999999</v>
      </c>
      <c r="H333" s="81">
        <f>11.2988 * CHOOSE(CONTROL!$C$32, $C$9, 100%, $E$9)</f>
        <v>11.2988</v>
      </c>
      <c r="I333" s="81">
        <f>11.3051 * CHOOSE(CONTROL!$C$32, $C$9, 100%, $E$9)</f>
        <v>11.305099999999999</v>
      </c>
      <c r="J333" s="81">
        <f>11.2988 * CHOOSE(CONTROL!$C$32, $C$9, 100%, $E$9)</f>
        <v>11.2988</v>
      </c>
      <c r="K333" s="81">
        <f>11.3051 * CHOOSE(CONTROL!$C$32, $C$9, 100%, $E$9)</f>
        <v>11.305099999999999</v>
      </c>
      <c r="L333" s="81">
        <f>6.3455 * CHOOSE(CONTROL!$C$32, $C$9, 100%, $E$9)</f>
        <v>6.3455000000000004</v>
      </c>
      <c r="M333" s="81">
        <f>6.3518 * CHOOSE(CONTROL!$C$32, $C$9, 100%, $E$9)</f>
        <v>6.3517999999999999</v>
      </c>
      <c r="N333" s="81">
        <f>6.3455 * CHOOSE(CONTROL!$C$32, $C$9, 100%, $E$9)</f>
        <v>6.3455000000000004</v>
      </c>
      <c r="O333" s="81">
        <f>6.3518 * CHOOSE(CONTROL!$C$32, $C$9, 100%, $E$9)</f>
        <v>6.3517999999999999</v>
      </c>
    </row>
    <row r="334" spans="1:15" ht="15">
      <c r="A334" s="16">
        <v>51380</v>
      </c>
      <c r="B334" s="80">
        <f>5.233 * CHOOSE(CONTROL!$C$32, $C$9, 100%, $E$9)</f>
        <v>5.2329999999999997</v>
      </c>
      <c r="C334" s="80">
        <f>5.233 * CHOOSE(CONTROL!$C$32, $C$9, 100%, $E$9)</f>
        <v>5.2329999999999997</v>
      </c>
      <c r="D334" s="80">
        <f>5.2381 * CHOOSE(CONTROL!$C$32, $C$9, 100%, $E$9)</f>
        <v>5.2381000000000002</v>
      </c>
      <c r="E334" s="81">
        <f>6.333 * CHOOSE(CONTROL!$C$32, $C$9, 100%, $E$9)</f>
        <v>6.3330000000000002</v>
      </c>
      <c r="F334" s="81">
        <f>6.333 * CHOOSE(CONTROL!$C$32, $C$9, 100%, $E$9)</f>
        <v>6.3330000000000002</v>
      </c>
      <c r="G334" s="81">
        <f>6.3393 * CHOOSE(CONTROL!$C$32, $C$9, 100%, $E$9)</f>
        <v>6.3392999999999997</v>
      </c>
      <c r="H334" s="81">
        <f>11.3223 * CHOOSE(CONTROL!$C$32, $C$9, 100%, $E$9)</f>
        <v>11.3223</v>
      </c>
      <c r="I334" s="81">
        <f>11.3286 * CHOOSE(CONTROL!$C$32, $C$9, 100%, $E$9)</f>
        <v>11.3286</v>
      </c>
      <c r="J334" s="81">
        <f>11.3223 * CHOOSE(CONTROL!$C$32, $C$9, 100%, $E$9)</f>
        <v>11.3223</v>
      </c>
      <c r="K334" s="81">
        <f>11.3286 * CHOOSE(CONTROL!$C$32, $C$9, 100%, $E$9)</f>
        <v>11.3286</v>
      </c>
      <c r="L334" s="81">
        <f>6.333 * CHOOSE(CONTROL!$C$32, $C$9, 100%, $E$9)</f>
        <v>6.3330000000000002</v>
      </c>
      <c r="M334" s="81">
        <f>6.3393 * CHOOSE(CONTROL!$C$32, $C$9, 100%, $E$9)</f>
        <v>6.3392999999999997</v>
      </c>
      <c r="N334" s="81">
        <f>6.333 * CHOOSE(CONTROL!$C$32, $C$9, 100%, $E$9)</f>
        <v>6.3330000000000002</v>
      </c>
      <c r="O334" s="81">
        <f>6.3393 * CHOOSE(CONTROL!$C$32, $C$9, 100%, $E$9)</f>
        <v>6.3392999999999997</v>
      </c>
    </row>
    <row r="335" spans="1:15" ht="15">
      <c r="A335" s="16">
        <v>51410</v>
      </c>
      <c r="B335" s="80">
        <f>5.2321 * CHOOSE(CONTROL!$C$32, $C$9, 100%, $E$9)</f>
        <v>5.2321</v>
      </c>
      <c r="C335" s="80">
        <f>5.2321 * CHOOSE(CONTROL!$C$32, $C$9, 100%, $E$9)</f>
        <v>5.2321</v>
      </c>
      <c r="D335" s="80">
        <f>5.2357 * CHOOSE(CONTROL!$C$32, $C$9, 100%, $E$9)</f>
        <v>5.2356999999999996</v>
      </c>
      <c r="E335" s="81">
        <f>6.3612 * CHOOSE(CONTROL!$C$32, $C$9, 100%, $E$9)</f>
        <v>6.3612000000000002</v>
      </c>
      <c r="F335" s="81">
        <f>6.3612 * CHOOSE(CONTROL!$C$32, $C$9, 100%, $E$9)</f>
        <v>6.3612000000000002</v>
      </c>
      <c r="G335" s="81">
        <f>6.3656 * CHOOSE(CONTROL!$C$32, $C$9, 100%, $E$9)</f>
        <v>6.3655999999999997</v>
      </c>
      <c r="H335" s="81">
        <f>11.3459 * CHOOSE(CONTROL!$C$32, $C$9, 100%, $E$9)</f>
        <v>11.3459</v>
      </c>
      <c r="I335" s="81">
        <f>11.3503 * CHOOSE(CONTROL!$C$32, $C$9, 100%, $E$9)</f>
        <v>11.350300000000001</v>
      </c>
      <c r="J335" s="81">
        <f>11.3459 * CHOOSE(CONTROL!$C$32, $C$9, 100%, $E$9)</f>
        <v>11.3459</v>
      </c>
      <c r="K335" s="81">
        <f>11.3503 * CHOOSE(CONTROL!$C$32, $C$9, 100%, $E$9)</f>
        <v>11.350300000000001</v>
      </c>
      <c r="L335" s="81">
        <f>6.3612 * CHOOSE(CONTROL!$C$32, $C$9, 100%, $E$9)</f>
        <v>6.3612000000000002</v>
      </c>
      <c r="M335" s="81">
        <f>6.3656 * CHOOSE(CONTROL!$C$32, $C$9, 100%, $E$9)</f>
        <v>6.3655999999999997</v>
      </c>
      <c r="N335" s="81">
        <f>6.3612 * CHOOSE(CONTROL!$C$32, $C$9, 100%, $E$9)</f>
        <v>6.3612000000000002</v>
      </c>
      <c r="O335" s="81">
        <f>6.3656 * CHOOSE(CONTROL!$C$32, $C$9, 100%, $E$9)</f>
        <v>6.3655999999999997</v>
      </c>
    </row>
    <row r="336" spans="1:15" ht="15">
      <c r="A336" s="16">
        <v>51441</v>
      </c>
      <c r="B336" s="80">
        <f>5.2352 * CHOOSE(CONTROL!$C$32, $C$9, 100%, $E$9)</f>
        <v>5.2351999999999999</v>
      </c>
      <c r="C336" s="80">
        <f>5.2352 * CHOOSE(CONTROL!$C$32, $C$9, 100%, $E$9)</f>
        <v>5.2351999999999999</v>
      </c>
      <c r="D336" s="80">
        <f>5.2387 * CHOOSE(CONTROL!$C$32, $C$9, 100%, $E$9)</f>
        <v>5.2386999999999997</v>
      </c>
      <c r="E336" s="81">
        <f>6.3842 * CHOOSE(CONTROL!$C$32, $C$9, 100%, $E$9)</f>
        <v>6.3841999999999999</v>
      </c>
      <c r="F336" s="81">
        <f>6.3842 * CHOOSE(CONTROL!$C$32, $C$9, 100%, $E$9)</f>
        <v>6.3841999999999999</v>
      </c>
      <c r="G336" s="81">
        <f>6.3885 * CHOOSE(CONTROL!$C$32, $C$9, 100%, $E$9)</f>
        <v>6.3884999999999996</v>
      </c>
      <c r="H336" s="81">
        <f>11.3695 * CHOOSE(CONTROL!$C$32, $C$9, 100%, $E$9)</f>
        <v>11.3695</v>
      </c>
      <c r="I336" s="81">
        <f>11.3739 * CHOOSE(CONTROL!$C$32, $C$9, 100%, $E$9)</f>
        <v>11.373900000000001</v>
      </c>
      <c r="J336" s="81">
        <f>11.3695 * CHOOSE(CONTROL!$C$32, $C$9, 100%, $E$9)</f>
        <v>11.3695</v>
      </c>
      <c r="K336" s="81">
        <f>11.3739 * CHOOSE(CONTROL!$C$32, $C$9, 100%, $E$9)</f>
        <v>11.373900000000001</v>
      </c>
      <c r="L336" s="81">
        <f>6.3842 * CHOOSE(CONTROL!$C$32, $C$9, 100%, $E$9)</f>
        <v>6.3841999999999999</v>
      </c>
      <c r="M336" s="81">
        <f>6.3885 * CHOOSE(CONTROL!$C$32, $C$9, 100%, $E$9)</f>
        <v>6.3884999999999996</v>
      </c>
      <c r="N336" s="81">
        <f>6.3842 * CHOOSE(CONTROL!$C$32, $C$9, 100%, $E$9)</f>
        <v>6.3841999999999999</v>
      </c>
      <c r="O336" s="81">
        <f>6.3885 * CHOOSE(CONTROL!$C$32, $C$9, 100%, $E$9)</f>
        <v>6.3884999999999996</v>
      </c>
    </row>
    <row r="337" spans="1:15" ht="15">
      <c r="A337" s="16">
        <v>51471</v>
      </c>
      <c r="B337" s="80">
        <f>5.2352 * CHOOSE(CONTROL!$C$32, $C$9, 100%, $E$9)</f>
        <v>5.2351999999999999</v>
      </c>
      <c r="C337" s="80">
        <f>5.2352 * CHOOSE(CONTROL!$C$32, $C$9, 100%, $E$9)</f>
        <v>5.2351999999999999</v>
      </c>
      <c r="D337" s="80">
        <f>5.2387 * CHOOSE(CONTROL!$C$32, $C$9, 100%, $E$9)</f>
        <v>5.2386999999999997</v>
      </c>
      <c r="E337" s="81">
        <f>6.3321 * CHOOSE(CONTROL!$C$32, $C$9, 100%, $E$9)</f>
        <v>6.3320999999999996</v>
      </c>
      <c r="F337" s="81">
        <f>6.3321 * CHOOSE(CONTROL!$C$32, $C$9, 100%, $E$9)</f>
        <v>6.3320999999999996</v>
      </c>
      <c r="G337" s="81">
        <f>6.3365 * CHOOSE(CONTROL!$C$32, $C$9, 100%, $E$9)</f>
        <v>6.3365</v>
      </c>
      <c r="H337" s="81">
        <f>11.3932 * CHOOSE(CONTROL!$C$32, $C$9, 100%, $E$9)</f>
        <v>11.3932</v>
      </c>
      <c r="I337" s="81">
        <f>11.3976 * CHOOSE(CONTROL!$C$32, $C$9, 100%, $E$9)</f>
        <v>11.397600000000001</v>
      </c>
      <c r="J337" s="81">
        <f>11.3932 * CHOOSE(CONTROL!$C$32, $C$9, 100%, $E$9)</f>
        <v>11.3932</v>
      </c>
      <c r="K337" s="81">
        <f>11.3976 * CHOOSE(CONTROL!$C$32, $C$9, 100%, $E$9)</f>
        <v>11.397600000000001</v>
      </c>
      <c r="L337" s="81">
        <f>6.3321 * CHOOSE(CONTROL!$C$32, $C$9, 100%, $E$9)</f>
        <v>6.3320999999999996</v>
      </c>
      <c r="M337" s="81">
        <f>6.3365 * CHOOSE(CONTROL!$C$32, $C$9, 100%, $E$9)</f>
        <v>6.3365</v>
      </c>
      <c r="N337" s="81">
        <f>6.3321 * CHOOSE(CONTROL!$C$32, $C$9, 100%, $E$9)</f>
        <v>6.3320999999999996</v>
      </c>
      <c r="O337" s="81">
        <f>6.3365 * CHOOSE(CONTROL!$C$32, $C$9, 100%, $E$9)</f>
        <v>6.3365</v>
      </c>
    </row>
    <row r="338" spans="1:15" ht="15">
      <c r="A338" s="16">
        <v>51502</v>
      </c>
      <c r="B338" s="80">
        <f>5.2816 * CHOOSE(CONTROL!$C$32, $C$9, 100%, $E$9)</f>
        <v>5.2816000000000001</v>
      </c>
      <c r="C338" s="80">
        <f>5.2816 * CHOOSE(CONTROL!$C$32, $C$9, 100%, $E$9)</f>
        <v>5.2816000000000001</v>
      </c>
      <c r="D338" s="80">
        <f>5.2852 * CHOOSE(CONTROL!$C$32, $C$9, 100%, $E$9)</f>
        <v>5.2851999999999997</v>
      </c>
      <c r="E338" s="81">
        <f>6.4218 * CHOOSE(CONTROL!$C$32, $C$9, 100%, $E$9)</f>
        <v>6.4218000000000002</v>
      </c>
      <c r="F338" s="81">
        <f>6.4218 * CHOOSE(CONTROL!$C$32, $C$9, 100%, $E$9)</f>
        <v>6.4218000000000002</v>
      </c>
      <c r="G338" s="81">
        <f>6.4262 * CHOOSE(CONTROL!$C$32, $C$9, 100%, $E$9)</f>
        <v>6.4261999999999997</v>
      </c>
      <c r="H338" s="81">
        <f>11.4169 * CHOOSE(CONTROL!$C$32, $C$9, 100%, $E$9)</f>
        <v>11.4169</v>
      </c>
      <c r="I338" s="81">
        <f>11.4213 * CHOOSE(CONTROL!$C$32, $C$9, 100%, $E$9)</f>
        <v>11.4213</v>
      </c>
      <c r="J338" s="81">
        <f>11.4169 * CHOOSE(CONTROL!$C$32, $C$9, 100%, $E$9)</f>
        <v>11.4169</v>
      </c>
      <c r="K338" s="81">
        <f>11.4213 * CHOOSE(CONTROL!$C$32, $C$9, 100%, $E$9)</f>
        <v>11.4213</v>
      </c>
      <c r="L338" s="81">
        <f>6.4218 * CHOOSE(CONTROL!$C$32, $C$9, 100%, $E$9)</f>
        <v>6.4218000000000002</v>
      </c>
      <c r="M338" s="81">
        <f>6.4262 * CHOOSE(CONTROL!$C$32, $C$9, 100%, $E$9)</f>
        <v>6.4261999999999997</v>
      </c>
      <c r="N338" s="81">
        <f>6.4218 * CHOOSE(CONTROL!$C$32, $C$9, 100%, $E$9)</f>
        <v>6.4218000000000002</v>
      </c>
      <c r="O338" s="81">
        <f>6.4262 * CHOOSE(CONTROL!$C$32, $C$9, 100%, $E$9)</f>
        <v>6.4261999999999997</v>
      </c>
    </row>
    <row r="339" spans="1:15" ht="15">
      <c r="A339" s="16">
        <v>51533</v>
      </c>
      <c r="B339" s="80">
        <f>5.2786 * CHOOSE(CONTROL!$C$32, $C$9, 100%, $E$9)</f>
        <v>5.2786</v>
      </c>
      <c r="C339" s="80">
        <f>5.2786 * CHOOSE(CONTROL!$C$32, $C$9, 100%, $E$9)</f>
        <v>5.2786</v>
      </c>
      <c r="D339" s="80">
        <f>5.2821 * CHOOSE(CONTROL!$C$32, $C$9, 100%, $E$9)</f>
        <v>5.2820999999999998</v>
      </c>
      <c r="E339" s="81">
        <f>6.3185 * CHOOSE(CONTROL!$C$32, $C$9, 100%, $E$9)</f>
        <v>6.3185000000000002</v>
      </c>
      <c r="F339" s="81">
        <f>6.3185 * CHOOSE(CONTROL!$C$32, $C$9, 100%, $E$9)</f>
        <v>6.3185000000000002</v>
      </c>
      <c r="G339" s="81">
        <f>6.3229 * CHOOSE(CONTROL!$C$32, $C$9, 100%, $E$9)</f>
        <v>6.3228999999999997</v>
      </c>
      <c r="H339" s="81">
        <f>11.4407 * CHOOSE(CONTROL!$C$32, $C$9, 100%, $E$9)</f>
        <v>11.4407</v>
      </c>
      <c r="I339" s="81">
        <f>11.4451 * CHOOSE(CONTROL!$C$32, $C$9, 100%, $E$9)</f>
        <v>11.4451</v>
      </c>
      <c r="J339" s="81">
        <f>11.4407 * CHOOSE(CONTROL!$C$32, $C$9, 100%, $E$9)</f>
        <v>11.4407</v>
      </c>
      <c r="K339" s="81">
        <f>11.4451 * CHOOSE(CONTROL!$C$32, $C$9, 100%, $E$9)</f>
        <v>11.4451</v>
      </c>
      <c r="L339" s="81">
        <f>6.3185 * CHOOSE(CONTROL!$C$32, $C$9, 100%, $E$9)</f>
        <v>6.3185000000000002</v>
      </c>
      <c r="M339" s="81">
        <f>6.3229 * CHOOSE(CONTROL!$C$32, $C$9, 100%, $E$9)</f>
        <v>6.3228999999999997</v>
      </c>
      <c r="N339" s="81">
        <f>6.3185 * CHOOSE(CONTROL!$C$32, $C$9, 100%, $E$9)</f>
        <v>6.3185000000000002</v>
      </c>
      <c r="O339" s="81">
        <f>6.3229 * CHOOSE(CONTROL!$C$32, $C$9, 100%, $E$9)</f>
        <v>6.3228999999999997</v>
      </c>
    </row>
    <row r="340" spans="1:15" ht="15">
      <c r="A340" s="16">
        <v>51561</v>
      </c>
      <c r="B340" s="80">
        <f>5.2755 * CHOOSE(CONTROL!$C$32, $C$9, 100%, $E$9)</f>
        <v>5.2755000000000001</v>
      </c>
      <c r="C340" s="80">
        <f>5.2755 * CHOOSE(CONTROL!$C$32, $C$9, 100%, $E$9)</f>
        <v>5.2755000000000001</v>
      </c>
      <c r="D340" s="80">
        <f>5.2791 * CHOOSE(CONTROL!$C$32, $C$9, 100%, $E$9)</f>
        <v>5.2790999999999997</v>
      </c>
      <c r="E340" s="81">
        <f>6.3961 * CHOOSE(CONTROL!$C$32, $C$9, 100%, $E$9)</f>
        <v>6.3960999999999997</v>
      </c>
      <c r="F340" s="81">
        <f>6.3961 * CHOOSE(CONTROL!$C$32, $C$9, 100%, $E$9)</f>
        <v>6.3960999999999997</v>
      </c>
      <c r="G340" s="81">
        <f>6.4005 * CHOOSE(CONTROL!$C$32, $C$9, 100%, $E$9)</f>
        <v>6.4005000000000001</v>
      </c>
      <c r="H340" s="81">
        <f>11.4646 * CHOOSE(CONTROL!$C$32, $C$9, 100%, $E$9)</f>
        <v>11.464600000000001</v>
      </c>
      <c r="I340" s="81">
        <f>11.4689 * CHOOSE(CONTROL!$C$32, $C$9, 100%, $E$9)</f>
        <v>11.4689</v>
      </c>
      <c r="J340" s="81">
        <f>11.4646 * CHOOSE(CONTROL!$C$32, $C$9, 100%, $E$9)</f>
        <v>11.464600000000001</v>
      </c>
      <c r="K340" s="81">
        <f>11.4689 * CHOOSE(CONTROL!$C$32, $C$9, 100%, $E$9)</f>
        <v>11.4689</v>
      </c>
      <c r="L340" s="81">
        <f>6.3961 * CHOOSE(CONTROL!$C$32, $C$9, 100%, $E$9)</f>
        <v>6.3960999999999997</v>
      </c>
      <c r="M340" s="81">
        <f>6.4005 * CHOOSE(CONTROL!$C$32, $C$9, 100%, $E$9)</f>
        <v>6.4005000000000001</v>
      </c>
      <c r="N340" s="81">
        <f>6.3961 * CHOOSE(CONTROL!$C$32, $C$9, 100%, $E$9)</f>
        <v>6.3960999999999997</v>
      </c>
      <c r="O340" s="81">
        <f>6.4005 * CHOOSE(CONTROL!$C$32, $C$9, 100%, $E$9)</f>
        <v>6.4005000000000001</v>
      </c>
    </row>
    <row r="341" spans="1:15" ht="15">
      <c r="A341" s="16">
        <v>51592</v>
      </c>
      <c r="B341" s="80">
        <f>5.2743 * CHOOSE(CONTROL!$C$32, $C$9, 100%, $E$9)</f>
        <v>5.2743000000000002</v>
      </c>
      <c r="C341" s="80">
        <f>5.2743 * CHOOSE(CONTROL!$C$32, $C$9, 100%, $E$9)</f>
        <v>5.2743000000000002</v>
      </c>
      <c r="D341" s="80">
        <f>5.2778 * CHOOSE(CONTROL!$C$32, $C$9, 100%, $E$9)</f>
        <v>5.2778</v>
      </c>
      <c r="E341" s="81">
        <f>6.4775 * CHOOSE(CONTROL!$C$32, $C$9, 100%, $E$9)</f>
        <v>6.4775</v>
      </c>
      <c r="F341" s="81">
        <f>6.4775 * CHOOSE(CONTROL!$C$32, $C$9, 100%, $E$9)</f>
        <v>6.4775</v>
      </c>
      <c r="G341" s="81">
        <f>6.4819 * CHOOSE(CONTROL!$C$32, $C$9, 100%, $E$9)</f>
        <v>6.4819000000000004</v>
      </c>
      <c r="H341" s="81">
        <f>11.4884 * CHOOSE(CONTROL!$C$32, $C$9, 100%, $E$9)</f>
        <v>11.4884</v>
      </c>
      <c r="I341" s="81">
        <f>11.4928 * CHOOSE(CONTROL!$C$32, $C$9, 100%, $E$9)</f>
        <v>11.492800000000001</v>
      </c>
      <c r="J341" s="81">
        <f>11.4884 * CHOOSE(CONTROL!$C$32, $C$9, 100%, $E$9)</f>
        <v>11.4884</v>
      </c>
      <c r="K341" s="81">
        <f>11.4928 * CHOOSE(CONTROL!$C$32, $C$9, 100%, $E$9)</f>
        <v>11.492800000000001</v>
      </c>
      <c r="L341" s="81">
        <f>6.4775 * CHOOSE(CONTROL!$C$32, $C$9, 100%, $E$9)</f>
        <v>6.4775</v>
      </c>
      <c r="M341" s="81">
        <f>6.4819 * CHOOSE(CONTROL!$C$32, $C$9, 100%, $E$9)</f>
        <v>6.4819000000000004</v>
      </c>
      <c r="N341" s="81">
        <f>6.4775 * CHOOSE(CONTROL!$C$32, $C$9, 100%, $E$9)</f>
        <v>6.4775</v>
      </c>
      <c r="O341" s="81">
        <f>6.4819 * CHOOSE(CONTROL!$C$32, $C$9, 100%, $E$9)</f>
        <v>6.4819000000000004</v>
      </c>
    </row>
    <row r="342" spans="1:15" ht="15">
      <c r="A342" s="16">
        <v>51622</v>
      </c>
      <c r="B342" s="80">
        <f>5.2743 * CHOOSE(CONTROL!$C$32, $C$9, 100%, $E$9)</f>
        <v>5.2743000000000002</v>
      </c>
      <c r="C342" s="80">
        <f>5.2743 * CHOOSE(CONTROL!$C$32, $C$9, 100%, $E$9)</f>
        <v>5.2743000000000002</v>
      </c>
      <c r="D342" s="80">
        <f>5.2794 * CHOOSE(CONTROL!$C$32, $C$9, 100%, $E$9)</f>
        <v>5.2793999999999999</v>
      </c>
      <c r="E342" s="81">
        <f>6.5097 * CHOOSE(CONTROL!$C$32, $C$9, 100%, $E$9)</f>
        <v>6.5096999999999996</v>
      </c>
      <c r="F342" s="81">
        <f>6.5097 * CHOOSE(CONTROL!$C$32, $C$9, 100%, $E$9)</f>
        <v>6.5096999999999996</v>
      </c>
      <c r="G342" s="81">
        <f>6.516 * CHOOSE(CONTROL!$C$32, $C$9, 100%, $E$9)</f>
        <v>6.516</v>
      </c>
      <c r="H342" s="81">
        <f>11.5124 * CHOOSE(CONTROL!$C$32, $C$9, 100%, $E$9)</f>
        <v>11.5124</v>
      </c>
      <c r="I342" s="81">
        <f>11.5187 * CHOOSE(CONTROL!$C$32, $C$9, 100%, $E$9)</f>
        <v>11.518700000000001</v>
      </c>
      <c r="J342" s="81">
        <f>11.5124 * CHOOSE(CONTROL!$C$32, $C$9, 100%, $E$9)</f>
        <v>11.5124</v>
      </c>
      <c r="K342" s="81">
        <f>11.5187 * CHOOSE(CONTROL!$C$32, $C$9, 100%, $E$9)</f>
        <v>11.518700000000001</v>
      </c>
      <c r="L342" s="81">
        <f>6.5097 * CHOOSE(CONTROL!$C$32, $C$9, 100%, $E$9)</f>
        <v>6.5096999999999996</v>
      </c>
      <c r="M342" s="81">
        <f>6.516 * CHOOSE(CONTROL!$C$32, $C$9, 100%, $E$9)</f>
        <v>6.516</v>
      </c>
      <c r="N342" s="81">
        <f>6.5097 * CHOOSE(CONTROL!$C$32, $C$9, 100%, $E$9)</f>
        <v>6.5096999999999996</v>
      </c>
      <c r="O342" s="81">
        <f>6.516 * CHOOSE(CONTROL!$C$32, $C$9, 100%, $E$9)</f>
        <v>6.516</v>
      </c>
    </row>
    <row r="343" spans="1:15" ht="15">
      <c r="A343" s="16">
        <v>51653</v>
      </c>
      <c r="B343" s="80">
        <f>5.2804 * CHOOSE(CONTROL!$C$32, $C$9, 100%, $E$9)</f>
        <v>5.2804000000000002</v>
      </c>
      <c r="C343" s="80">
        <f>5.2804 * CHOOSE(CONTROL!$C$32, $C$9, 100%, $E$9)</f>
        <v>5.2804000000000002</v>
      </c>
      <c r="D343" s="80">
        <f>5.2855 * CHOOSE(CONTROL!$C$32, $C$9, 100%, $E$9)</f>
        <v>5.2854999999999999</v>
      </c>
      <c r="E343" s="81">
        <f>6.4818 * CHOOSE(CONTROL!$C$32, $C$9, 100%, $E$9)</f>
        <v>6.4817999999999998</v>
      </c>
      <c r="F343" s="81">
        <f>6.4818 * CHOOSE(CONTROL!$C$32, $C$9, 100%, $E$9)</f>
        <v>6.4817999999999998</v>
      </c>
      <c r="G343" s="81">
        <f>6.4881 * CHOOSE(CONTROL!$C$32, $C$9, 100%, $E$9)</f>
        <v>6.4881000000000002</v>
      </c>
      <c r="H343" s="81">
        <f>11.5364 * CHOOSE(CONTROL!$C$32, $C$9, 100%, $E$9)</f>
        <v>11.5364</v>
      </c>
      <c r="I343" s="81">
        <f>11.5427 * CHOOSE(CONTROL!$C$32, $C$9, 100%, $E$9)</f>
        <v>11.5427</v>
      </c>
      <c r="J343" s="81">
        <f>11.5364 * CHOOSE(CONTROL!$C$32, $C$9, 100%, $E$9)</f>
        <v>11.5364</v>
      </c>
      <c r="K343" s="81">
        <f>11.5427 * CHOOSE(CONTROL!$C$32, $C$9, 100%, $E$9)</f>
        <v>11.5427</v>
      </c>
      <c r="L343" s="81">
        <f>6.4818 * CHOOSE(CONTROL!$C$32, $C$9, 100%, $E$9)</f>
        <v>6.4817999999999998</v>
      </c>
      <c r="M343" s="81">
        <f>6.4881 * CHOOSE(CONTROL!$C$32, $C$9, 100%, $E$9)</f>
        <v>6.4881000000000002</v>
      </c>
      <c r="N343" s="81">
        <f>6.4818 * CHOOSE(CONTROL!$C$32, $C$9, 100%, $E$9)</f>
        <v>6.4817999999999998</v>
      </c>
      <c r="O343" s="81">
        <f>6.4881 * CHOOSE(CONTROL!$C$32, $C$9, 100%, $E$9)</f>
        <v>6.4881000000000002</v>
      </c>
    </row>
    <row r="344" spans="1:15" ht="15">
      <c r="A344" s="16">
        <v>51683</v>
      </c>
      <c r="B344" s="80">
        <f>5.3669 * CHOOSE(CONTROL!$C$32, $C$9, 100%, $E$9)</f>
        <v>5.3669000000000002</v>
      </c>
      <c r="C344" s="80">
        <f>5.3669 * CHOOSE(CONTROL!$C$32, $C$9, 100%, $E$9)</f>
        <v>5.3669000000000002</v>
      </c>
      <c r="D344" s="80">
        <f>5.372 * CHOOSE(CONTROL!$C$32, $C$9, 100%, $E$9)</f>
        <v>5.3719999999999999</v>
      </c>
      <c r="E344" s="81">
        <f>6.5916 * CHOOSE(CONTROL!$C$32, $C$9, 100%, $E$9)</f>
        <v>6.5915999999999997</v>
      </c>
      <c r="F344" s="81">
        <f>6.5916 * CHOOSE(CONTROL!$C$32, $C$9, 100%, $E$9)</f>
        <v>6.5915999999999997</v>
      </c>
      <c r="G344" s="81">
        <f>6.5979 * CHOOSE(CONTROL!$C$32, $C$9, 100%, $E$9)</f>
        <v>6.5979000000000001</v>
      </c>
      <c r="H344" s="81">
        <f>11.5604 * CHOOSE(CONTROL!$C$32, $C$9, 100%, $E$9)</f>
        <v>11.5604</v>
      </c>
      <c r="I344" s="81">
        <f>11.5667 * CHOOSE(CONTROL!$C$32, $C$9, 100%, $E$9)</f>
        <v>11.566700000000001</v>
      </c>
      <c r="J344" s="81">
        <f>11.5604 * CHOOSE(CONTROL!$C$32, $C$9, 100%, $E$9)</f>
        <v>11.5604</v>
      </c>
      <c r="K344" s="81">
        <f>11.5667 * CHOOSE(CONTROL!$C$32, $C$9, 100%, $E$9)</f>
        <v>11.566700000000001</v>
      </c>
      <c r="L344" s="81">
        <f>6.5916 * CHOOSE(CONTROL!$C$32, $C$9, 100%, $E$9)</f>
        <v>6.5915999999999997</v>
      </c>
      <c r="M344" s="81">
        <f>6.5979 * CHOOSE(CONTROL!$C$32, $C$9, 100%, $E$9)</f>
        <v>6.5979000000000001</v>
      </c>
      <c r="N344" s="81">
        <f>6.5916 * CHOOSE(CONTROL!$C$32, $C$9, 100%, $E$9)</f>
        <v>6.5915999999999997</v>
      </c>
      <c r="O344" s="81">
        <f>6.5979 * CHOOSE(CONTROL!$C$32, $C$9, 100%, $E$9)</f>
        <v>6.5979000000000001</v>
      </c>
    </row>
    <row r="345" spans="1:15" ht="15">
      <c r="A345" s="16">
        <v>51714</v>
      </c>
      <c r="B345" s="80">
        <f>5.3736 * CHOOSE(CONTROL!$C$32, $C$9, 100%, $E$9)</f>
        <v>5.3735999999999997</v>
      </c>
      <c r="C345" s="80">
        <f>5.3736 * CHOOSE(CONTROL!$C$32, $C$9, 100%, $E$9)</f>
        <v>5.3735999999999997</v>
      </c>
      <c r="D345" s="80">
        <f>5.3787 * CHOOSE(CONTROL!$C$32, $C$9, 100%, $E$9)</f>
        <v>5.3787000000000003</v>
      </c>
      <c r="E345" s="81">
        <f>6.4999 * CHOOSE(CONTROL!$C$32, $C$9, 100%, $E$9)</f>
        <v>6.4999000000000002</v>
      </c>
      <c r="F345" s="81">
        <f>6.4999 * CHOOSE(CONTROL!$C$32, $C$9, 100%, $E$9)</f>
        <v>6.4999000000000002</v>
      </c>
      <c r="G345" s="81">
        <f>6.5062 * CHOOSE(CONTROL!$C$32, $C$9, 100%, $E$9)</f>
        <v>6.5061999999999998</v>
      </c>
      <c r="H345" s="81">
        <f>11.5845 * CHOOSE(CONTROL!$C$32, $C$9, 100%, $E$9)</f>
        <v>11.5845</v>
      </c>
      <c r="I345" s="81">
        <f>11.5908 * CHOOSE(CONTROL!$C$32, $C$9, 100%, $E$9)</f>
        <v>11.5908</v>
      </c>
      <c r="J345" s="81">
        <f>11.5845 * CHOOSE(CONTROL!$C$32, $C$9, 100%, $E$9)</f>
        <v>11.5845</v>
      </c>
      <c r="K345" s="81">
        <f>11.5908 * CHOOSE(CONTROL!$C$32, $C$9, 100%, $E$9)</f>
        <v>11.5908</v>
      </c>
      <c r="L345" s="81">
        <f>6.4999 * CHOOSE(CONTROL!$C$32, $C$9, 100%, $E$9)</f>
        <v>6.4999000000000002</v>
      </c>
      <c r="M345" s="81">
        <f>6.5062 * CHOOSE(CONTROL!$C$32, $C$9, 100%, $E$9)</f>
        <v>6.5061999999999998</v>
      </c>
      <c r="N345" s="81">
        <f>6.4999 * CHOOSE(CONTROL!$C$32, $C$9, 100%, $E$9)</f>
        <v>6.4999000000000002</v>
      </c>
      <c r="O345" s="81">
        <f>6.5062 * CHOOSE(CONTROL!$C$32, $C$9, 100%, $E$9)</f>
        <v>6.5061999999999998</v>
      </c>
    </row>
    <row r="346" spans="1:15" ht="15">
      <c r="A346" s="16">
        <v>51745</v>
      </c>
      <c r="B346" s="80">
        <f>5.3705 * CHOOSE(CONTROL!$C$32, $C$9, 100%, $E$9)</f>
        <v>5.3704999999999998</v>
      </c>
      <c r="C346" s="80">
        <f>5.3705 * CHOOSE(CONTROL!$C$32, $C$9, 100%, $E$9)</f>
        <v>5.3704999999999998</v>
      </c>
      <c r="D346" s="80">
        <f>5.3757 * CHOOSE(CONTROL!$C$32, $C$9, 100%, $E$9)</f>
        <v>5.3757000000000001</v>
      </c>
      <c r="E346" s="81">
        <f>6.4871 * CHOOSE(CONTROL!$C$32, $C$9, 100%, $E$9)</f>
        <v>6.4870999999999999</v>
      </c>
      <c r="F346" s="81">
        <f>6.4871 * CHOOSE(CONTROL!$C$32, $C$9, 100%, $E$9)</f>
        <v>6.4870999999999999</v>
      </c>
      <c r="G346" s="81">
        <f>6.4934 * CHOOSE(CONTROL!$C$32, $C$9, 100%, $E$9)</f>
        <v>6.4934000000000003</v>
      </c>
      <c r="H346" s="81">
        <f>11.6086 * CHOOSE(CONTROL!$C$32, $C$9, 100%, $E$9)</f>
        <v>11.608599999999999</v>
      </c>
      <c r="I346" s="81">
        <f>11.6149 * CHOOSE(CONTROL!$C$32, $C$9, 100%, $E$9)</f>
        <v>11.6149</v>
      </c>
      <c r="J346" s="81">
        <f>11.6086 * CHOOSE(CONTROL!$C$32, $C$9, 100%, $E$9)</f>
        <v>11.608599999999999</v>
      </c>
      <c r="K346" s="81">
        <f>11.6149 * CHOOSE(CONTROL!$C$32, $C$9, 100%, $E$9)</f>
        <v>11.6149</v>
      </c>
      <c r="L346" s="81">
        <f>6.4871 * CHOOSE(CONTROL!$C$32, $C$9, 100%, $E$9)</f>
        <v>6.4870999999999999</v>
      </c>
      <c r="M346" s="81">
        <f>6.4934 * CHOOSE(CONTROL!$C$32, $C$9, 100%, $E$9)</f>
        <v>6.4934000000000003</v>
      </c>
      <c r="N346" s="81">
        <f>6.4871 * CHOOSE(CONTROL!$C$32, $C$9, 100%, $E$9)</f>
        <v>6.4870999999999999</v>
      </c>
      <c r="O346" s="81">
        <f>6.4934 * CHOOSE(CONTROL!$C$32, $C$9, 100%, $E$9)</f>
        <v>6.4934000000000003</v>
      </c>
    </row>
    <row r="347" spans="1:15" ht="15">
      <c r="A347" s="16">
        <v>51775</v>
      </c>
      <c r="B347" s="80">
        <f>5.3701 * CHOOSE(CONTROL!$C$32, $C$9, 100%, $E$9)</f>
        <v>5.3700999999999999</v>
      </c>
      <c r="C347" s="80">
        <f>5.3701 * CHOOSE(CONTROL!$C$32, $C$9, 100%, $E$9)</f>
        <v>5.3700999999999999</v>
      </c>
      <c r="D347" s="80">
        <f>5.3737 * CHOOSE(CONTROL!$C$32, $C$9, 100%, $E$9)</f>
        <v>5.3737000000000004</v>
      </c>
      <c r="E347" s="81">
        <f>6.5165 * CHOOSE(CONTROL!$C$32, $C$9, 100%, $E$9)</f>
        <v>6.5164999999999997</v>
      </c>
      <c r="F347" s="81">
        <f>6.5165 * CHOOSE(CONTROL!$C$32, $C$9, 100%, $E$9)</f>
        <v>6.5164999999999997</v>
      </c>
      <c r="G347" s="81">
        <f>6.5209 * CHOOSE(CONTROL!$C$32, $C$9, 100%, $E$9)</f>
        <v>6.5209000000000001</v>
      </c>
      <c r="H347" s="81">
        <f>11.6328 * CHOOSE(CONTROL!$C$32, $C$9, 100%, $E$9)</f>
        <v>11.6328</v>
      </c>
      <c r="I347" s="81">
        <f>11.6372 * CHOOSE(CONTROL!$C$32, $C$9, 100%, $E$9)</f>
        <v>11.6372</v>
      </c>
      <c r="J347" s="81">
        <f>11.6328 * CHOOSE(CONTROL!$C$32, $C$9, 100%, $E$9)</f>
        <v>11.6328</v>
      </c>
      <c r="K347" s="81">
        <f>11.6372 * CHOOSE(CONTROL!$C$32, $C$9, 100%, $E$9)</f>
        <v>11.6372</v>
      </c>
      <c r="L347" s="81">
        <f>6.5165 * CHOOSE(CONTROL!$C$32, $C$9, 100%, $E$9)</f>
        <v>6.5164999999999997</v>
      </c>
      <c r="M347" s="81">
        <f>6.5209 * CHOOSE(CONTROL!$C$32, $C$9, 100%, $E$9)</f>
        <v>6.5209000000000001</v>
      </c>
      <c r="N347" s="81">
        <f>6.5165 * CHOOSE(CONTROL!$C$32, $C$9, 100%, $E$9)</f>
        <v>6.5164999999999997</v>
      </c>
      <c r="O347" s="81">
        <f>6.5209 * CHOOSE(CONTROL!$C$32, $C$9, 100%, $E$9)</f>
        <v>6.5209000000000001</v>
      </c>
    </row>
    <row r="348" spans="1:15" ht="15">
      <c r="A348" s="16">
        <v>51806</v>
      </c>
      <c r="B348" s="80">
        <f>5.3732 * CHOOSE(CONTROL!$C$32, $C$9, 100%, $E$9)</f>
        <v>5.3731999999999998</v>
      </c>
      <c r="C348" s="80">
        <f>5.3732 * CHOOSE(CONTROL!$C$32, $C$9, 100%, $E$9)</f>
        <v>5.3731999999999998</v>
      </c>
      <c r="D348" s="80">
        <f>5.3767 * CHOOSE(CONTROL!$C$32, $C$9, 100%, $E$9)</f>
        <v>5.3766999999999996</v>
      </c>
      <c r="E348" s="81">
        <f>6.54 * CHOOSE(CONTROL!$C$32, $C$9, 100%, $E$9)</f>
        <v>6.54</v>
      </c>
      <c r="F348" s="81">
        <f>6.54 * CHOOSE(CONTROL!$C$32, $C$9, 100%, $E$9)</f>
        <v>6.54</v>
      </c>
      <c r="G348" s="81">
        <f>6.5444 * CHOOSE(CONTROL!$C$32, $C$9, 100%, $E$9)</f>
        <v>6.5444000000000004</v>
      </c>
      <c r="H348" s="81">
        <f>11.657 * CHOOSE(CONTROL!$C$32, $C$9, 100%, $E$9)</f>
        <v>11.657</v>
      </c>
      <c r="I348" s="81">
        <f>11.6614 * CHOOSE(CONTROL!$C$32, $C$9, 100%, $E$9)</f>
        <v>11.6614</v>
      </c>
      <c r="J348" s="81">
        <f>11.657 * CHOOSE(CONTROL!$C$32, $C$9, 100%, $E$9)</f>
        <v>11.657</v>
      </c>
      <c r="K348" s="81">
        <f>11.6614 * CHOOSE(CONTROL!$C$32, $C$9, 100%, $E$9)</f>
        <v>11.6614</v>
      </c>
      <c r="L348" s="81">
        <f>6.54 * CHOOSE(CONTROL!$C$32, $C$9, 100%, $E$9)</f>
        <v>6.54</v>
      </c>
      <c r="M348" s="81">
        <f>6.5444 * CHOOSE(CONTROL!$C$32, $C$9, 100%, $E$9)</f>
        <v>6.5444000000000004</v>
      </c>
      <c r="N348" s="81">
        <f>6.54 * CHOOSE(CONTROL!$C$32, $C$9, 100%, $E$9)</f>
        <v>6.54</v>
      </c>
      <c r="O348" s="81">
        <f>6.5444 * CHOOSE(CONTROL!$C$32, $C$9, 100%, $E$9)</f>
        <v>6.5444000000000004</v>
      </c>
    </row>
    <row r="349" spans="1:15" ht="15">
      <c r="A349" s="16">
        <v>51836</v>
      </c>
      <c r="B349" s="80">
        <f>5.3732 * CHOOSE(CONTROL!$C$32, $C$9, 100%, $E$9)</f>
        <v>5.3731999999999998</v>
      </c>
      <c r="C349" s="80">
        <f>5.3732 * CHOOSE(CONTROL!$C$32, $C$9, 100%, $E$9)</f>
        <v>5.3731999999999998</v>
      </c>
      <c r="D349" s="80">
        <f>5.3767 * CHOOSE(CONTROL!$C$32, $C$9, 100%, $E$9)</f>
        <v>5.3766999999999996</v>
      </c>
      <c r="E349" s="81">
        <f>6.4865 * CHOOSE(CONTROL!$C$32, $C$9, 100%, $E$9)</f>
        <v>6.4865000000000004</v>
      </c>
      <c r="F349" s="81">
        <f>6.4865 * CHOOSE(CONTROL!$C$32, $C$9, 100%, $E$9)</f>
        <v>6.4865000000000004</v>
      </c>
      <c r="G349" s="81">
        <f>6.4909 * CHOOSE(CONTROL!$C$32, $C$9, 100%, $E$9)</f>
        <v>6.4908999999999999</v>
      </c>
      <c r="H349" s="81">
        <f>11.6813 * CHOOSE(CONTROL!$C$32, $C$9, 100%, $E$9)</f>
        <v>11.6813</v>
      </c>
      <c r="I349" s="81">
        <f>11.6857 * CHOOSE(CONTROL!$C$32, $C$9, 100%, $E$9)</f>
        <v>11.685700000000001</v>
      </c>
      <c r="J349" s="81">
        <f>11.6813 * CHOOSE(CONTROL!$C$32, $C$9, 100%, $E$9)</f>
        <v>11.6813</v>
      </c>
      <c r="K349" s="81">
        <f>11.6857 * CHOOSE(CONTROL!$C$32, $C$9, 100%, $E$9)</f>
        <v>11.685700000000001</v>
      </c>
      <c r="L349" s="81">
        <f>6.4865 * CHOOSE(CONTROL!$C$32, $C$9, 100%, $E$9)</f>
        <v>6.4865000000000004</v>
      </c>
      <c r="M349" s="81">
        <f>6.4909 * CHOOSE(CONTROL!$C$32, $C$9, 100%, $E$9)</f>
        <v>6.4908999999999999</v>
      </c>
      <c r="N349" s="81">
        <f>6.4865 * CHOOSE(CONTROL!$C$32, $C$9, 100%, $E$9)</f>
        <v>6.4865000000000004</v>
      </c>
      <c r="O349" s="81">
        <f>6.4909 * CHOOSE(CONTROL!$C$32, $C$9, 100%, $E$9)</f>
        <v>6.4908999999999999</v>
      </c>
    </row>
    <row r="350" spans="1:15" ht="15">
      <c r="A350" s="16">
        <v>51867</v>
      </c>
      <c r="B350" s="80">
        <f>5.4207 * CHOOSE(CONTROL!$C$32, $C$9, 100%, $E$9)</f>
        <v>5.4207000000000001</v>
      </c>
      <c r="C350" s="80">
        <f>5.4207 * CHOOSE(CONTROL!$C$32, $C$9, 100%, $E$9)</f>
        <v>5.4207000000000001</v>
      </c>
      <c r="D350" s="80">
        <f>5.4243 * CHOOSE(CONTROL!$C$32, $C$9, 100%, $E$9)</f>
        <v>5.4242999999999997</v>
      </c>
      <c r="E350" s="81">
        <f>6.5785 * CHOOSE(CONTROL!$C$32, $C$9, 100%, $E$9)</f>
        <v>6.5785</v>
      </c>
      <c r="F350" s="81">
        <f>6.5785 * CHOOSE(CONTROL!$C$32, $C$9, 100%, $E$9)</f>
        <v>6.5785</v>
      </c>
      <c r="G350" s="81">
        <f>6.5829 * CHOOSE(CONTROL!$C$32, $C$9, 100%, $E$9)</f>
        <v>6.5829000000000004</v>
      </c>
      <c r="H350" s="81">
        <f>11.7057 * CHOOSE(CONTROL!$C$32, $C$9, 100%, $E$9)</f>
        <v>11.7057</v>
      </c>
      <c r="I350" s="81">
        <f>11.71 * CHOOSE(CONTROL!$C$32, $C$9, 100%, $E$9)</f>
        <v>11.71</v>
      </c>
      <c r="J350" s="81">
        <f>11.7057 * CHOOSE(CONTROL!$C$32, $C$9, 100%, $E$9)</f>
        <v>11.7057</v>
      </c>
      <c r="K350" s="81">
        <f>11.71 * CHOOSE(CONTROL!$C$32, $C$9, 100%, $E$9)</f>
        <v>11.71</v>
      </c>
      <c r="L350" s="81">
        <f>6.5785 * CHOOSE(CONTROL!$C$32, $C$9, 100%, $E$9)</f>
        <v>6.5785</v>
      </c>
      <c r="M350" s="81">
        <f>6.5829 * CHOOSE(CONTROL!$C$32, $C$9, 100%, $E$9)</f>
        <v>6.5829000000000004</v>
      </c>
      <c r="N350" s="81">
        <f>6.5785 * CHOOSE(CONTROL!$C$32, $C$9, 100%, $E$9)</f>
        <v>6.5785</v>
      </c>
      <c r="O350" s="81">
        <f>6.5829 * CHOOSE(CONTROL!$C$32, $C$9, 100%, $E$9)</f>
        <v>6.5829000000000004</v>
      </c>
    </row>
    <row r="351" spans="1:15" ht="15">
      <c r="A351" s="16">
        <v>51898</v>
      </c>
      <c r="B351" s="80">
        <f>5.4177 * CHOOSE(CONTROL!$C$32, $C$9, 100%, $E$9)</f>
        <v>5.4177</v>
      </c>
      <c r="C351" s="80">
        <f>5.4177 * CHOOSE(CONTROL!$C$32, $C$9, 100%, $E$9)</f>
        <v>5.4177</v>
      </c>
      <c r="D351" s="80">
        <f>5.4212 * CHOOSE(CONTROL!$C$32, $C$9, 100%, $E$9)</f>
        <v>5.4211999999999998</v>
      </c>
      <c r="E351" s="81">
        <f>6.4724 * CHOOSE(CONTROL!$C$32, $C$9, 100%, $E$9)</f>
        <v>6.4724000000000004</v>
      </c>
      <c r="F351" s="81">
        <f>6.4724 * CHOOSE(CONTROL!$C$32, $C$9, 100%, $E$9)</f>
        <v>6.4724000000000004</v>
      </c>
      <c r="G351" s="81">
        <f>6.4768 * CHOOSE(CONTROL!$C$32, $C$9, 100%, $E$9)</f>
        <v>6.4767999999999999</v>
      </c>
      <c r="H351" s="81">
        <f>11.73 * CHOOSE(CONTROL!$C$32, $C$9, 100%, $E$9)</f>
        <v>11.73</v>
      </c>
      <c r="I351" s="81">
        <f>11.7344 * CHOOSE(CONTROL!$C$32, $C$9, 100%, $E$9)</f>
        <v>11.734400000000001</v>
      </c>
      <c r="J351" s="81">
        <f>11.73 * CHOOSE(CONTROL!$C$32, $C$9, 100%, $E$9)</f>
        <v>11.73</v>
      </c>
      <c r="K351" s="81">
        <f>11.7344 * CHOOSE(CONTROL!$C$32, $C$9, 100%, $E$9)</f>
        <v>11.734400000000001</v>
      </c>
      <c r="L351" s="81">
        <f>6.4724 * CHOOSE(CONTROL!$C$32, $C$9, 100%, $E$9)</f>
        <v>6.4724000000000004</v>
      </c>
      <c r="M351" s="81">
        <f>6.4768 * CHOOSE(CONTROL!$C$32, $C$9, 100%, $E$9)</f>
        <v>6.4767999999999999</v>
      </c>
      <c r="N351" s="81">
        <f>6.4724 * CHOOSE(CONTROL!$C$32, $C$9, 100%, $E$9)</f>
        <v>6.4724000000000004</v>
      </c>
      <c r="O351" s="81">
        <f>6.4768 * CHOOSE(CONTROL!$C$32, $C$9, 100%, $E$9)</f>
        <v>6.4767999999999999</v>
      </c>
    </row>
    <row r="352" spans="1:15" ht="15">
      <c r="A352" s="16">
        <v>51926</v>
      </c>
      <c r="B352" s="80">
        <f>5.4147 * CHOOSE(CONTROL!$C$32, $C$9, 100%, $E$9)</f>
        <v>5.4146999999999998</v>
      </c>
      <c r="C352" s="80">
        <f>5.4147 * CHOOSE(CONTROL!$C$32, $C$9, 100%, $E$9)</f>
        <v>5.4146999999999998</v>
      </c>
      <c r="D352" s="80">
        <f>5.4182 * CHOOSE(CONTROL!$C$32, $C$9, 100%, $E$9)</f>
        <v>5.4181999999999997</v>
      </c>
      <c r="E352" s="81">
        <f>6.5523 * CHOOSE(CONTROL!$C$32, $C$9, 100%, $E$9)</f>
        <v>6.5522999999999998</v>
      </c>
      <c r="F352" s="81">
        <f>6.5523 * CHOOSE(CONTROL!$C$32, $C$9, 100%, $E$9)</f>
        <v>6.5522999999999998</v>
      </c>
      <c r="G352" s="81">
        <f>6.5566 * CHOOSE(CONTROL!$C$32, $C$9, 100%, $E$9)</f>
        <v>6.5566000000000004</v>
      </c>
      <c r="H352" s="81">
        <f>11.7545 * CHOOSE(CONTROL!$C$32, $C$9, 100%, $E$9)</f>
        <v>11.7545</v>
      </c>
      <c r="I352" s="81">
        <f>11.7589 * CHOOSE(CONTROL!$C$32, $C$9, 100%, $E$9)</f>
        <v>11.758900000000001</v>
      </c>
      <c r="J352" s="81">
        <f>11.7545 * CHOOSE(CONTROL!$C$32, $C$9, 100%, $E$9)</f>
        <v>11.7545</v>
      </c>
      <c r="K352" s="81">
        <f>11.7589 * CHOOSE(CONTROL!$C$32, $C$9, 100%, $E$9)</f>
        <v>11.758900000000001</v>
      </c>
      <c r="L352" s="81">
        <f>6.5523 * CHOOSE(CONTROL!$C$32, $C$9, 100%, $E$9)</f>
        <v>6.5522999999999998</v>
      </c>
      <c r="M352" s="81">
        <f>6.5566 * CHOOSE(CONTROL!$C$32, $C$9, 100%, $E$9)</f>
        <v>6.5566000000000004</v>
      </c>
      <c r="N352" s="81">
        <f>6.5523 * CHOOSE(CONTROL!$C$32, $C$9, 100%, $E$9)</f>
        <v>6.5522999999999998</v>
      </c>
      <c r="O352" s="81">
        <f>6.5566 * CHOOSE(CONTROL!$C$32, $C$9, 100%, $E$9)</f>
        <v>6.5566000000000004</v>
      </c>
    </row>
    <row r="353" spans="1:15" ht="15">
      <c r="A353" s="16">
        <v>51957</v>
      </c>
      <c r="B353" s="80">
        <f>5.4135 * CHOOSE(CONTROL!$C$32, $C$9, 100%, $E$9)</f>
        <v>5.4135</v>
      </c>
      <c r="C353" s="80">
        <f>5.4135 * CHOOSE(CONTROL!$C$32, $C$9, 100%, $E$9)</f>
        <v>5.4135</v>
      </c>
      <c r="D353" s="80">
        <f>5.4171 * CHOOSE(CONTROL!$C$32, $C$9, 100%, $E$9)</f>
        <v>5.4170999999999996</v>
      </c>
      <c r="E353" s="81">
        <f>6.6361 * CHOOSE(CONTROL!$C$32, $C$9, 100%, $E$9)</f>
        <v>6.6360999999999999</v>
      </c>
      <c r="F353" s="81">
        <f>6.6361 * CHOOSE(CONTROL!$C$32, $C$9, 100%, $E$9)</f>
        <v>6.6360999999999999</v>
      </c>
      <c r="G353" s="81">
        <f>6.6404 * CHOOSE(CONTROL!$C$32, $C$9, 100%, $E$9)</f>
        <v>6.6403999999999996</v>
      </c>
      <c r="H353" s="81">
        <f>11.779 * CHOOSE(CONTROL!$C$32, $C$9, 100%, $E$9)</f>
        <v>11.779</v>
      </c>
      <c r="I353" s="81">
        <f>11.7833 * CHOOSE(CONTROL!$C$32, $C$9, 100%, $E$9)</f>
        <v>11.783300000000001</v>
      </c>
      <c r="J353" s="81">
        <f>11.779 * CHOOSE(CONTROL!$C$32, $C$9, 100%, $E$9)</f>
        <v>11.779</v>
      </c>
      <c r="K353" s="81">
        <f>11.7833 * CHOOSE(CONTROL!$C$32, $C$9, 100%, $E$9)</f>
        <v>11.783300000000001</v>
      </c>
      <c r="L353" s="81">
        <f>6.6361 * CHOOSE(CONTROL!$C$32, $C$9, 100%, $E$9)</f>
        <v>6.6360999999999999</v>
      </c>
      <c r="M353" s="81">
        <f>6.6404 * CHOOSE(CONTROL!$C$32, $C$9, 100%, $E$9)</f>
        <v>6.6403999999999996</v>
      </c>
      <c r="N353" s="81">
        <f>6.6361 * CHOOSE(CONTROL!$C$32, $C$9, 100%, $E$9)</f>
        <v>6.6360999999999999</v>
      </c>
      <c r="O353" s="81">
        <f>6.6404 * CHOOSE(CONTROL!$C$32, $C$9, 100%, $E$9)</f>
        <v>6.6403999999999996</v>
      </c>
    </row>
    <row r="354" spans="1:15" ht="15">
      <c r="A354" s="16">
        <v>51987</v>
      </c>
      <c r="B354" s="80">
        <f>5.4135 * CHOOSE(CONTROL!$C$32, $C$9, 100%, $E$9)</f>
        <v>5.4135</v>
      </c>
      <c r="C354" s="80">
        <f>5.4135 * CHOOSE(CONTROL!$C$32, $C$9, 100%, $E$9)</f>
        <v>5.4135</v>
      </c>
      <c r="D354" s="80">
        <f>5.4187 * CHOOSE(CONTROL!$C$32, $C$9, 100%, $E$9)</f>
        <v>5.4187000000000003</v>
      </c>
      <c r="E354" s="81">
        <f>6.6691 * CHOOSE(CONTROL!$C$32, $C$9, 100%, $E$9)</f>
        <v>6.6691000000000003</v>
      </c>
      <c r="F354" s="81">
        <f>6.6691 * CHOOSE(CONTROL!$C$32, $C$9, 100%, $E$9)</f>
        <v>6.6691000000000003</v>
      </c>
      <c r="G354" s="81">
        <f>6.6754 * CHOOSE(CONTROL!$C$32, $C$9, 100%, $E$9)</f>
        <v>6.6753999999999998</v>
      </c>
      <c r="H354" s="81">
        <f>11.8035 * CHOOSE(CONTROL!$C$32, $C$9, 100%, $E$9)</f>
        <v>11.8035</v>
      </c>
      <c r="I354" s="81">
        <f>11.8098 * CHOOSE(CONTROL!$C$32, $C$9, 100%, $E$9)</f>
        <v>11.809799999999999</v>
      </c>
      <c r="J354" s="81">
        <f>11.8035 * CHOOSE(CONTROL!$C$32, $C$9, 100%, $E$9)</f>
        <v>11.8035</v>
      </c>
      <c r="K354" s="81">
        <f>11.8098 * CHOOSE(CONTROL!$C$32, $C$9, 100%, $E$9)</f>
        <v>11.809799999999999</v>
      </c>
      <c r="L354" s="81">
        <f>6.6691 * CHOOSE(CONTROL!$C$32, $C$9, 100%, $E$9)</f>
        <v>6.6691000000000003</v>
      </c>
      <c r="M354" s="81">
        <f>6.6754 * CHOOSE(CONTROL!$C$32, $C$9, 100%, $E$9)</f>
        <v>6.6753999999999998</v>
      </c>
      <c r="N354" s="81">
        <f>6.6691 * CHOOSE(CONTROL!$C$32, $C$9, 100%, $E$9)</f>
        <v>6.6691000000000003</v>
      </c>
      <c r="O354" s="81">
        <f>6.6754 * CHOOSE(CONTROL!$C$32, $C$9, 100%, $E$9)</f>
        <v>6.6753999999999998</v>
      </c>
    </row>
    <row r="355" spans="1:15" ht="15">
      <c r="A355" s="16">
        <v>52018</v>
      </c>
      <c r="B355" s="80">
        <f>5.4196 * CHOOSE(CONTROL!$C$32, $C$9, 100%, $E$9)</f>
        <v>5.4196</v>
      </c>
      <c r="C355" s="80">
        <f>5.4196 * CHOOSE(CONTROL!$C$32, $C$9, 100%, $E$9)</f>
        <v>5.4196</v>
      </c>
      <c r="D355" s="80">
        <f>5.4248 * CHOOSE(CONTROL!$C$32, $C$9, 100%, $E$9)</f>
        <v>5.4248000000000003</v>
      </c>
      <c r="E355" s="81">
        <f>6.6403 * CHOOSE(CONTROL!$C$32, $C$9, 100%, $E$9)</f>
        <v>6.6402999999999999</v>
      </c>
      <c r="F355" s="81">
        <f>6.6403 * CHOOSE(CONTROL!$C$32, $C$9, 100%, $E$9)</f>
        <v>6.6402999999999999</v>
      </c>
      <c r="G355" s="81">
        <f>6.6466 * CHOOSE(CONTROL!$C$32, $C$9, 100%, $E$9)</f>
        <v>6.6466000000000003</v>
      </c>
      <c r="H355" s="81">
        <f>11.8281 * CHOOSE(CONTROL!$C$32, $C$9, 100%, $E$9)</f>
        <v>11.828099999999999</v>
      </c>
      <c r="I355" s="81">
        <f>11.8344 * CHOOSE(CONTROL!$C$32, $C$9, 100%, $E$9)</f>
        <v>11.8344</v>
      </c>
      <c r="J355" s="81">
        <f>11.8281 * CHOOSE(CONTROL!$C$32, $C$9, 100%, $E$9)</f>
        <v>11.828099999999999</v>
      </c>
      <c r="K355" s="81">
        <f>11.8344 * CHOOSE(CONTROL!$C$32, $C$9, 100%, $E$9)</f>
        <v>11.8344</v>
      </c>
      <c r="L355" s="81">
        <f>6.6403 * CHOOSE(CONTROL!$C$32, $C$9, 100%, $E$9)</f>
        <v>6.6402999999999999</v>
      </c>
      <c r="M355" s="81">
        <f>6.6466 * CHOOSE(CONTROL!$C$32, $C$9, 100%, $E$9)</f>
        <v>6.6466000000000003</v>
      </c>
      <c r="N355" s="81">
        <f>6.6403 * CHOOSE(CONTROL!$C$32, $C$9, 100%, $E$9)</f>
        <v>6.6402999999999999</v>
      </c>
      <c r="O355" s="81">
        <f>6.6466 * CHOOSE(CONTROL!$C$32, $C$9, 100%, $E$9)</f>
        <v>6.6466000000000003</v>
      </c>
    </row>
    <row r="356" spans="1:15" ht="15">
      <c r="A356" s="16">
        <v>52048</v>
      </c>
      <c r="B356" s="80">
        <f>5.5082 * CHOOSE(CONTROL!$C$32, $C$9, 100%, $E$9)</f>
        <v>5.5082000000000004</v>
      </c>
      <c r="C356" s="80">
        <f>5.5082 * CHOOSE(CONTROL!$C$32, $C$9, 100%, $E$9)</f>
        <v>5.5082000000000004</v>
      </c>
      <c r="D356" s="80">
        <f>5.5134 * CHOOSE(CONTROL!$C$32, $C$9, 100%, $E$9)</f>
        <v>5.5133999999999999</v>
      </c>
      <c r="E356" s="81">
        <f>6.7527 * CHOOSE(CONTROL!$C$32, $C$9, 100%, $E$9)</f>
        <v>6.7526999999999999</v>
      </c>
      <c r="F356" s="81">
        <f>6.7527 * CHOOSE(CONTROL!$C$32, $C$9, 100%, $E$9)</f>
        <v>6.7526999999999999</v>
      </c>
      <c r="G356" s="81">
        <f>6.759 * CHOOSE(CONTROL!$C$32, $C$9, 100%, $E$9)</f>
        <v>6.7590000000000003</v>
      </c>
      <c r="H356" s="81">
        <f>11.8527 * CHOOSE(CONTROL!$C$32, $C$9, 100%, $E$9)</f>
        <v>11.8527</v>
      </c>
      <c r="I356" s="81">
        <f>11.8591 * CHOOSE(CONTROL!$C$32, $C$9, 100%, $E$9)</f>
        <v>11.8591</v>
      </c>
      <c r="J356" s="81">
        <f>11.8527 * CHOOSE(CONTROL!$C$32, $C$9, 100%, $E$9)</f>
        <v>11.8527</v>
      </c>
      <c r="K356" s="81">
        <f>11.8591 * CHOOSE(CONTROL!$C$32, $C$9, 100%, $E$9)</f>
        <v>11.8591</v>
      </c>
      <c r="L356" s="81">
        <f>6.7527 * CHOOSE(CONTROL!$C$32, $C$9, 100%, $E$9)</f>
        <v>6.7526999999999999</v>
      </c>
      <c r="M356" s="81">
        <f>6.759 * CHOOSE(CONTROL!$C$32, $C$9, 100%, $E$9)</f>
        <v>6.7590000000000003</v>
      </c>
      <c r="N356" s="81">
        <f>6.7527 * CHOOSE(CONTROL!$C$32, $C$9, 100%, $E$9)</f>
        <v>6.7526999999999999</v>
      </c>
      <c r="O356" s="81">
        <f>6.759 * CHOOSE(CONTROL!$C$32, $C$9, 100%, $E$9)</f>
        <v>6.7590000000000003</v>
      </c>
    </row>
    <row r="357" spans="1:15" ht="15">
      <c r="A357" s="16">
        <v>52079</v>
      </c>
      <c r="B357" s="80">
        <f>5.5149 * CHOOSE(CONTROL!$C$32, $C$9, 100%, $E$9)</f>
        <v>5.5148999999999999</v>
      </c>
      <c r="C357" s="80">
        <f>5.5149 * CHOOSE(CONTROL!$C$32, $C$9, 100%, $E$9)</f>
        <v>5.5148999999999999</v>
      </c>
      <c r="D357" s="80">
        <f>5.5201 * CHOOSE(CONTROL!$C$32, $C$9, 100%, $E$9)</f>
        <v>5.5201000000000002</v>
      </c>
      <c r="E357" s="81">
        <f>6.6583 * CHOOSE(CONTROL!$C$32, $C$9, 100%, $E$9)</f>
        <v>6.6582999999999997</v>
      </c>
      <c r="F357" s="81">
        <f>6.6583 * CHOOSE(CONTROL!$C$32, $C$9, 100%, $E$9)</f>
        <v>6.6582999999999997</v>
      </c>
      <c r="G357" s="81">
        <f>6.6646 * CHOOSE(CONTROL!$C$32, $C$9, 100%, $E$9)</f>
        <v>6.6646000000000001</v>
      </c>
      <c r="H357" s="81">
        <f>11.8774 * CHOOSE(CONTROL!$C$32, $C$9, 100%, $E$9)</f>
        <v>11.8774</v>
      </c>
      <c r="I357" s="81">
        <f>11.8838 * CHOOSE(CONTROL!$C$32, $C$9, 100%, $E$9)</f>
        <v>11.883800000000001</v>
      </c>
      <c r="J357" s="81">
        <f>11.8774 * CHOOSE(CONTROL!$C$32, $C$9, 100%, $E$9)</f>
        <v>11.8774</v>
      </c>
      <c r="K357" s="81">
        <f>11.8838 * CHOOSE(CONTROL!$C$32, $C$9, 100%, $E$9)</f>
        <v>11.883800000000001</v>
      </c>
      <c r="L357" s="81">
        <f>6.6583 * CHOOSE(CONTROL!$C$32, $C$9, 100%, $E$9)</f>
        <v>6.6582999999999997</v>
      </c>
      <c r="M357" s="81">
        <f>6.6646 * CHOOSE(CONTROL!$C$32, $C$9, 100%, $E$9)</f>
        <v>6.6646000000000001</v>
      </c>
      <c r="N357" s="81">
        <f>6.6583 * CHOOSE(CONTROL!$C$32, $C$9, 100%, $E$9)</f>
        <v>6.6582999999999997</v>
      </c>
      <c r="O357" s="81">
        <f>6.6646 * CHOOSE(CONTROL!$C$32, $C$9, 100%, $E$9)</f>
        <v>6.6646000000000001</v>
      </c>
    </row>
    <row r="358" spans="1:15" ht="15">
      <c r="A358" s="16">
        <v>52110</v>
      </c>
      <c r="B358" s="80">
        <f>5.5119 * CHOOSE(CONTROL!$C$32, $C$9, 100%, $E$9)</f>
        <v>5.5118999999999998</v>
      </c>
      <c r="C358" s="80">
        <f>5.5119 * CHOOSE(CONTROL!$C$32, $C$9, 100%, $E$9)</f>
        <v>5.5118999999999998</v>
      </c>
      <c r="D358" s="80">
        <f>5.517 * CHOOSE(CONTROL!$C$32, $C$9, 100%, $E$9)</f>
        <v>5.5170000000000003</v>
      </c>
      <c r="E358" s="81">
        <f>6.6452 * CHOOSE(CONTROL!$C$32, $C$9, 100%, $E$9)</f>
        <v>6.6452</v>
      </c>
      <c r="F358" s="81">
        <f>6.6452 * CHOOSE(CONTROL!$C$32, $C$9, 100%, $E$9)</f>
        <v>6.6452</v>
      </c>
      <c r="G358" s="81">
        <f>6.6515 * CHOOSE(CONTROL!$C$32, $C$9, 100%, $E$9)</f>
        <v>6.6515000000000004</v>
      </c>
      <c r="H358" s="81">
        <f>11.9022 * CHOOSE(CONTROL!$C$32, $C$9, 100%, $E$9)</f>
        <v>11.902200000000001</v>
      </c>
      <c r="I358" s="81">
        <f>11.9085 * CHOOSE(CONTROL!$C$32, $C$9, 100%, $E$9)</f>
        <v>11.9085</v>
      </c>
      <c r="J358" s="81">
        <f>11.9022 * CHOOSE(CONTROL!$C$32, $C$9, 100%, $E$9)</f>
        <v>11.902200000000001</v>
      </c>
      <c r="K358" s="81">
        <f>11.9085 * CHOOSE(CONTROL!$C$32, $C$9, 100%, $E$9)</f>
        <v>11.9085</v>
      </c>
      <c r="L358" s="81">
        <f>6.6452 * CHOOSE(CONTROL!$C$32, $C$9, 100%, $E$9)</f>
        <v>6.6452</v>
      </c>
      <c r="M358" s="81">
        <f>6.6515 * CHOOSE(CONTROL!$C$32, $C$9, 100%, $E$9)</f>
        <v>6.6515000000000004</v>
      </c>
      <c r="N358" s="81">
        <f>6.6452 * CHOOSE(CONTROL!$C$32, $C$9, 100%, $E$9)</f>
        <v>6.6452</v>
      </c>
      <c r="O358" s="81">
        <f>6.6515 * CHOOSE(CONTROL!$C$32, $C$9, 100%, $E$9)</f>
        <v>6.6515000000000004</v>
      </c>
    </row>
    <row r="359" spans="1:15" ht="15">
      <c r="A359" s="16">
        <v>52140</v>
      </c>
      <c r="B359" s="80">
        <f>5.5119 * CHOOSE(CONTROL!$C$32, $C$9, 100%, $E$9)</f>
        <v>5.5118999999999998</v>
      </c>
      <c r="C359" s="80">
        <f>5.5119 * CHOOSE(CONTROL!$C$32, $C$9, 100%, $E$9)</f>
        <v>5.5118999999999998</v>
      </c>
      <c r="D359" s="80">
        <f>5.5155 * CHOOSE(CONTROL!$C$32, $C$9, 100%, $E$9)</f>
        <v>5.5155000000000003</v>
      </c>
      <c r="E359" s="81">
        <f>6.6758 * CHOOSE(CONTROL!$C$32, $C$9, 100%, $E$9)</f>
        <v>6.6757999999999997</v>
      </c>
      <c r="F359" s="81">
        <f>6.6758 * CHOOSE(CONTROL!$C$32, $C$9, 100%, $E$9)</f>
        <v>6.6757999999999997</v>
      </c>
      <c r="G359" s="81">
        <f>6.6802 * CHOOSE(CONTROL!$C$32, $C$9, 100%, $E$9)</f>
        <v>6.6802000000000001</v>
      </c>
      <c r="H359" s="81">
        <f>11.927 * CHOOSE(CONTROL!$C$32, $C$9, 100%, $E$9)</f>
        <v>11.927</v>
      </c>
      <c r="I359" s="81">
        <f>11.9313 * CHOOSE(CONTROL!$C$32, $C$9, 100%, $E$9)</f>
        <v>11.9313</v>
      </c>
      <c r="J359" s="81">
        <f>11.927 * CHOOSE(CONTROL!$C$32, $C$9, 100%, $E$9)</f>
        <v>11.927</v>
      </c>
      <c r="K359" s="81">
        <f>11.9313 * CHOOSE(CONTROL!$C$32, $C$9, 100%, $E$9)</f>
        <v>11.9313</v>
      </c>
      <c r="L359" s="81">
        <f>6.6758 * CHOOSE(CONTROL!$C$32, $C$9, 100%, $E$9)</f>
        <v>6.6757999999999997</v>
      </c>
      <c r="M359" s="81">
        <f>6.6802 * CHOOSE(CONTROL!$C$32, $C$9, 100%, $E$9)</f>
        <v>6.6802000000000001</v>
      </c>
      <c r="N359" s="81">
        <f>6.6758 * CHOOSE(CONTROL!$C$32, $C$9, 100%, $E$9)</f>
        <v>6.6757999999999997</v>
      </c>
      <c r="O359" s="81">
        <f>6.6802 * CHOOSE(CONTROL!$C$32, $C$9, 100%, $E$9)</f>
        <v>6.6802000000000001</v>
      </c>
    </row>
    <row r="360" spans="1:15" ht="15">
      <c r="A360" s="16">
        <v>52171</v>
      </c>
      <c r="B360" s="80">
        <f>5.515 * CHOOSE(CONTROL!$C$32, $C$9, 100%, $E$9)</f>
        <v>5.5149999999999997</v>
      </c>
      <c r="C360" s="80">
        <f>5.515 * CHOOSE(CONTROL!$C$32, $C$9, 100%, $E$9)</f>
        <v>5.5149999999999997</v>
      </c>
      <c r="D360" s="80">
        <f>5.5185 * CHOOSE(CONTROL!$C$32, $C$9, 100%, $E$9)</f>
        <v>5.5185000000000004</v>
      </c>
      <c r="E360" s="81">
        <f>6.6999 * CHOOSE(CONTROL!$C$32, $C$9, 100%, $E$9)</f>
        <v>6.6999000000000004</v>
      </c>
      <c r="F360" s="81">
        <f>6.6999 * CHOOSE(CONTROL!$C$32, $C$9, 100%, $E$9)</f>
        <v>6.6999000000000004</v>
      </c>
      <c r="G360" s="81">
        <f>6.7043 * CHOOSE(CONTROL!$C$32, $C$9, 100%, $E$9)</f>
        <v>6.7042999999999999</v>
      </c>
      <c r="H360" s="81">
        <f>11.9518 * CHOOSE(CONTROL!$C$32, $C$9, 100%, $E$9)</f>
        <v>11.9518</v>
      </c>
      <c r="I360" s="81">
        <f>11.9562 * CHOOSE(CONTROL!$C$32, $C$9, 100%, $E$9)</f>
        <v>11.956200000000001</v>
      </c>
      <c r="J360" s="81">
        <f>11.9518 * CHOOSE(CONTROL!$C$32, $C$9, 100%, $E$9)</f>
        <v>11.9518</v>
      </c>
      <c r="K360" s="81">
        <f>11.9562 * CHOOSE(CONTROL!$C$32, $C$9, 100%, $E$9)</f>
        <v>11.956200000000001</v>
      </c>
      <c r="L360" s="81">
        <f>6.6999 * CHOOSE(CONTROL!$C$32, $C$9, 100%, $E$9)</f>
        <v>6.6999000000000004</v>
      </c>
      <c r="M360" s="81">
        <f>6.7043 * CHOOSE(CONTROL!$C$32, $C$9, 100%, $E$9)</f>
        <v>6.7042999999999999</v>
      </c>
      <c r="N360" s="81">
        <f>6.6999 * CHOOSE(CONTROL!$C$32, $C$9, 100%, $E$9)</f>
        <v>6.6999000000000004</v>
      </c>
      <c r="O360" s="81">
        <f>6.7043 * CHOOSE(CONTROL!$C$32, $C$9, 100%, $E$9)</f>
        <v>6.7042999999999999</v>
      </c>
    </row>
    <row r="361" spans="1:15" ht="15">
      <c r="A361" s="16">
        <v>52201</v>
      </c>
      <c r="B361" s="80">
        <f>5.515 * CHOOSE(CONTROL!$C$32, $C$9, 100%, $E$9)</f>
        <v>5.5149999999999997</v>
      </c>
      <c r="C361" s="80">
        <f>5.515 * CHOOSE(CONTROL!$C$32, $C$9, 100%, $E$9)</f>
        <v>5.5149999999999997</v>
      </c>
      <c r="D361" s="80">
        <f>5.5185 * CHOOSE(CONTROL!$C$32, $C$9, 100%, $E$9)</f>
        <v>5.5185000000000004</v>
      </c>
      <c r="E361" s="81">
        <f>6.6449 * CHOOSE(CONTROL!$C$32, $C$9, 100%, $E$9)</f>
        <v>6.6448999999999998</v>
      </c>
      <c r="F361" s="81">
        <f>6.6449 * CHOOSE(CONTROL!$C$32, $C$9, 100%, $E$9)</f>
        <v>6.6448999999999998</v>
      </c>
      <c r="G361" s="81">
        <f>6.6493 * CHOOSE(CONTROL!$C$32, $C$9, 100%, $E$9)</f>
        <v>6.6493000000000002</v>
      </c>
      <c r="H361" s="81">
        <f>11.9767 * CHOOSE(CONTROL!$C$32, $C$9, 100%, $E$9)</f>
        <v>11.976699999999999</v>
      </c>
      <c r="I361" s="81">
        <f>11.9811 * CHOOSE(CONTROL!$C$32, $C$9, 100%, $E$9)</f>
        <v>11.9811</v>
      </c>
      <c r="J361" s="81">
        <f>11.9767 * CHOOSE(CONTROL!$C$32, $C$9, 100%, $E$9)</f>
        <v>11.976699999999999</v>
      </c>
      <c r="K361" s="81">
        <f>11.9811 * CHOOSE(CONTROL!$C$32, $C$9, 100%, $E$9)</f>
        <v>11.9811</v>
      </c>
      <c r="L361" s="81">
        <f>6.6449 * CHOOSE(CONTROL!$C$32, $C$9, 100%, $E$9)</f>
        <v>6.6448999999999998</v>
      </c>
      <c r="M361" s="81">
        <f>6.6493 * CHOOSE(CONTROL!$C$32, $C$9, 100%, $E$9)</f>
        <v>6.6493000000000002</v>
      </c>
      <c r="N361" s="81">
        <f>6.6449 * CHOOSE(CONTROL!$C$32, $C$9, 100%, $E$9)</f>
        <v>6.6448999999999998</v>
      </c>
      <c r="O361" s="81">
        <f>6.6493 * CHOOSE(CONTROL!$C$32, $C$9, 100%, $E$9)</f>
        <v>6.6493000000000002</v>
      </c>
    </row>
    <row r="362" spans="1:15" ht="15">
      <c r="A362" s="16">
        <v>52232</v>
      </c>
      <c r="B362" s="80">
        <f>5.5637 * CHOOSE(CONTROL!$C$32, $C$9, 100%, $E$9)</f>
        <v>5.5636999999999999</v>
      </c>
      <c r="C362" s="80">
        <f>5.5637 * CHOOSE(CONTROL!$C$32, $C$9, 100%, $E$9)</f>
        <v>5.5636999999999999</v>
      </c>
      <c r="D362" s="80">
        <f>5.5672 * CHOOSE(CONTROL!$C$32, $C$9, 100%, $E$9)</f>
        <v>5.5671999999999997</v>
      </c>
      <c r="E362" s="81">
        <f>6.7392 * CHOOSE(CONTROL!$C$32, $C$9, 100%, $E$9)</f>
        <v>6.7392000000000003</v>
      </c>
      <c r="F362" s="81">
        <f>6.7392 * CHOOSE(CONTROL!$C$32, $C$9, 100%, $E$9)</f>
        <v>6.7392000000000003</v>
      </c>
      <c r="G362" s="81">
        <f>6.7436 * CHOOSE(CONTROL!$C$32, $C$9, 100%, $E$9)</f>
        <v>6.7435999999999998</v>
      </c>
      <c r="H362" s="81">
        <f>12.0017 * CHOOSE(CONTROL!$C$32, $C$9, 100%, $E$9)</f>
        <v>12.0017</v>
      </c>
      <c r="I362" s="81">
        <f>12.006 * CHOOSE(CONTROL!$C$32, $C$9, 100%, $E$9)</f>
        <v>12.006</v>
      </c>
      <c r="J362" s="81">
        <f>12.0017 * CHOOSE(CONTROL!$C$32, $C$9, 100%, $E$9)</f>
        <v>12.0017</v>
      </c>
      <c r="K362" s="81">
        <f>12.006 * CHOOSE(CONTROL!$C$32, $C$9, 100%, $E$9)</f>
        <v>12.006</v>
      </c>
      <c r="L362" s="81">
        <f>6.7392 * CHOOSE(CONTROL!$C$32, $C$9, 100%, $E$9)</f>
        <v>6.7392000000000003</v>
      </c>
      <c r="M362" s="81">
        <f>6.7436 * CHOOSE(CONTROL!$C$32, $C$9, 100%, $E$9)</f>
        <v>6.7435999999999998</v>
      </c>
      <c r="N362" s="81">
        <f>6.7392 * CHOOSE(CONTROL!$C$32, $C$9, 100%, $E$9)</f>
        <v>6.7392000000000003</v>
      </c>
      <c r="O362" s="81">
        <f>6.7436 * CHOOSE(CONTROL!$C$32, $C$9, 100%, $E$9)</f>
        <v>6.7435999999999998</v>
      </c>
    </row>
    <row r="363" spans="1:15" ht="15">
      <c r="A363" s="16">
        <v>52263</v>
      </c>
      <c r="B363" s="80">
        <f>5.5606 * CHOOSE(CONTROL!$C$32, $C$9, 100%, $E$9)</f>
        <v>5.5606</v>
      </c>
      <c r="C363" s="80">
        <f>5.5606 * CHOOSE(CONTROL!$C$32, $C$9, 100%, $E$9)</f>
        <v>5.5606</v>
      </c>
      <c r="D363" s="80">
        <f>5.5642 * CHOOSE(CONTROL!$C$32, $C$9, 100%, $E$9)</f>
        <v>5.5641999999999996</v>
      </c>
      <c r="E363" s="81">
        <f>6.6302 * CHOOSE(CONTROL!$C$32, $C$9, 100%, $E$9)</f>
        <v>6.6302000000000003</v>
      </c>
      <c r="F363" s="81">
        <f>6.6302 * CHOOSE(CONTROL!$C$32, $C$9, 100%, $E$9)</f>
        <v>6.6302000000000003</v>
      </c>
      <c r="G363" s="81">
        <f>6.6345 * CHOOSE(CONTROL!$C$32, $C$9, 100%, $E$9)</f>
        <v>6.6345000000000001</v>
      </c>
      <c r="H363" s="81">
        <f>12.0267 * CHOOSE(CONTROL!$C$32, $C$9, 100%, $E$9)</f>
        <v>12.0267</v>
      </c>
      <c r="I363" s="81">
        <f>12.031 * CHOOSE(CONTROL!$C$32, $C$9, 100%, $E$9)</f>
        <v>12.031000000000001</v>
      </c>
      <c r="J363" s="81">
        <f>12.0267 * CHOOSE(CONTROL!$C$32, $C$9, 100%, $E$9)</f>
        <v>12.0267</v>
      </c>
      <c r="K363" s="81">
        <f>12.031 * CHOOSE(CONTROL!$C$32, $C$9, 100%, $E$9)</f>
        <v>12.031000000000001</v>
      </c>
      <c r="L363" s="81">
        <f>6.6302 * CHOOSE(CONTROL!$C$32, $C$9, 100%, $E$9)</f>
        <v>6.6302000000000003</v>
      </c>
      <c r="M363" s="81">
        <f>6.6345 * CHOOSE(CONTROL!$C$32, $C$9, 100%, $E$9)</f>
        <v>6.6345000000000001</v>
      </c>
      <c r="N363" s="81">
        <f>6.6302 * CHOOSE(CONTROL!$C$32, $C$9, 100%, $E$9)</f>
        <v>6.6302000000000003</v>
      </c>
      <c r="O363" s="81">
        <f>6.6345 * CHOOSE(CONTROL!$C$32, $C$9, 100%, $E$9)</f>
        <v>6.6345000000000001</v>
      </c>
    </row>
    <row r="364" spans="1:15" ht="15">
      <c r="A364" s="16">
        <v>52291</v>
      </c>
      <c r="B364" s="80">
        <f>5.5576 * CHOOSE(CONTROL!$C$32, $C$9, 100%, $E$9)</f>
        <v>5.5575999999999999</v>
      </c>
      <c r="C364" s="80">
        <f>5.5576 * CHOOSE(CONTROL!$C$32, $C$9, 100%, $E$9)</f>
        <v>5.5575999999999999</v>
      </c>
      <c r="D364" s="80">
        <f>5.5611 * CHOOSE(CONTROL!$C$32, $C$9, 100%, $E$9)</f>
        <v>5.5610999999999997</v>
      </c>
      <c r="E364" s="81">
        <f>6.7123 * CHOOSE(CONTROL!$C$32, $C$9, 100%, $E$9)</f>
        <v>6.7122999999999999</v>
      </c>
      <c r="F364" s="81">
        <f>6.7123 * CHOOSE(CONTROL!$C$32, $C$9, 100%, $E$9)</f>
        <v>6.7122999999999999</v>
      </c>
      <c r="G364" s="81">
        <f>6.7167 * CHOOSE(CONTROL!$C$32, $C$9, 100%, $E$9)</f>
        <v>6.7167000000000003</v>
      </c>
      <c r="H364" s="81">
        <f>12.0517 * CHOOSE(CONTROL!$C$32, $C$9, 100%, $E$9)</f>
        <v>12.0517</v>
      </c>
      <c r="I364" s="81">
        <f>12.0561 * CHOOSE(CONTROL!$C$32, $C$9, 100%, $E$9)</f>
        <v>12.056100000000001</v>
      </c>
      <c r="J364" s="81">
        <f>12.0517 * CHOOSE(CONTROL!$C$32, $C$9, 100%, $E$9)</f>
        <v>12.0517</v>
      </c>
      <c r="K364" s="81">
        <f>12.0561 * CHOOSE(CONTROL!$C$32, $C$9, 100%, $E$9)</f>
        <v>12.056100000000001</v>
      </c>
      <c r="L364" s="81">
        <f>6.7123 * CHOOSE(CONTROL!$C$32, $C$9, 100%, $E$9)</f>
        <v>6.7122999999999999</v>
      </c>
      <c r="M364" s="81">
        <f>6.7167 * CHOOSE(CONTROL!$C$32, $C$9, 100%, $E$9)</f>
        <v>6.7167000000000003</v>
      </c>
      <c r="N364" s="81">
        <f>6.7123 * CHOOSE(CONTROL!$C$32, $C$9, 100%, $E$9)</f>
        <v>6.7122999999999999</v>
      </c>
      <c r="O364" s="81">
        <f>6.7167 * CHOOSE(CONTROL!$C$32, $C$9, 100%, $E$9)</f>
        <v>6.7167000000000003</v>
      </c>
    </row>
    <row r="365" spans="1:15" ht="15">
      <c r="A365" s="16">
        <v>52322</v>
      </c>
      <c r="B365" s="80">
        <f>5.5566 * CHOOSE(CONTROL!$C$32, $C$9, 100%, $E$9)</f>
        <v>5.5566000000000004</v>
      </c>
      <c r="C365" s="80">
        <f>5.5566 * CHOOSE(CONTROL!$C$32, $C$9, 100%, $E$9)</f>
        <v>5.5566000000000004</v>
      </c>
      <c r="D365" s="80">
        <f>5.5601 * CHOOSE(CONTROL!$C$32, $C$9, 100%, $E$9)</f>
        <v>5.5601000000000003</v>
      </c>
      <c r="E365" s="81">
        <f>6.7986 * CHOOSE(CONTROL!$C$32, $C$9, 100%, $E$9)</f>
        <v>6.7986000000000004</v>
      </c>
      <c r="F365" s="81">
        <f>6.7986 * CHOOSE(CONTROL!$C$32, $C$9, 100%, $E$9)</f>
        <v>6.7986000000000004</v>
      </c>
      <c r="G365" s="81">
        <f>6.803 * CHOOSE(CONTROL!$C$32, $C$9, 100%, $E$9)</f>
        <v>6.8029999999999999</v>
      </c>
      <c r="H365" s="81">
        <f>12.0768 * CHOOSE(CONTROL!$C$32, $C$9, 100%, $E$9)</f>
        <v>12.0768</v>
      </c>
      <c r="I365" s="81">
        <f>12.0812 * CHOOSE(CONTROL!$C$32, $C$9, 100%, $E$9)</f>
        <v>12.081200000000001</v>
      </c>
      <c r="J365" s="81">
        <f>12.0768 * CHOOSE(CONTROL!$C$32, $C$9, 100%, $E$9)</f>
        <v>12.0768</v>
      </c>
      <c r="K365" s="81">
        <f>12.0812 * CHOOSE(CONTROL!$C$32, $C$9, 100%, $E$9)</f>
        <v>12.081200000000001</v>
      </c>
      <c r="L365" s="81">
        <f>6.7986 * CHOOSE(CONTROL!$C$32, $C$9, 100%, $E$9)</f>
        <v>6.7986000000000004</v>
      </c>
      <c r="M365" s="81">
        <f>6.803 * CHOOSE(CONTROL!$C$32, $C$9, 100%, $E$9)</f>
        <v>6.8029999999999999</v>
      </c>
      <c r="N365" s="81">
        <f>6.7986 * CHOOSE(CONTROL!$C$32, $C$9, 100%, $E$9)</f>
        <v>6.7986000000000004</v>
      </c>
      <c r="O365" s="81">
        <f>6.803 * CHOOSE(CONTROL!$C$32, $C$9, 100%, $E$9)</f>
        <v>6.8029999999999999</v>
      </c>
    </row>
    <row r="366" spans="1:15" ht="15">
      <c r="A366" s="16">
        <v>52352</v>
      </c>
      <c r="B366" s="80">
        <f>5.5566 * CHOOSE(CONTROL!$C$32, $C$9, 100%, $E$9)</f>
        <v>5.5566000000000004</v>
      </c>
      <c r="C366" s="80">
        <f>5.5566 * CHOOSE(CONTROL!$C$32, $C$9, 100%, $E$9)</f>
        <v>5.5566000000000004</v>
      </c>
      <c r="D366" s="80">
        <f>5.5617 * CHOOSE(CONTROL!$C$32, $C$9, 100%, $E$9)</f>
        <v>5.5617000000000001</v>
      </c>
      <c r="E366" s="81">
        <f>6.8326 * CHOOSE(CONTROL!$C$32, $C$9, 100%, $E$9)</f>
        <v>6.8326000000000002</v>
      </c>
      <c r="F366" s="81">
        <f>6.8326 * CHOOSE(CONTROL!$C$32, $C$9, 100%, $E$9)</f>
        <v>6.8326000000000002</v>
      </c>
      <c r="G366" s="81">
        <f>6.8389 * CHOOSE(CONTROL!$C$32, $C$9, 100%, $E$9)</f>
        <v>6.8388999999999998</v>
      </c>
      <c r="H366" s="81">
        <f>12.102 * CHOOSE(CONTROL!$C$32, $C$9, 100%, $E$9)</f>
        <v>12.102</v>
      </c>
      <c r="I366" s="81">
        <f>12.1083 * CHOOSE(CONTROL!$C$32, $C$9, 100%, $E$9)</f>
        <v>12.1083</v>
      </c>
      <c r="J366" s="81">
        <f>12.102 * CHOOSE(CONTROL!$C$32, $C$9, 100%, $E$9)</f>
        <v>12.102</v>
      </c>
      <c r="K366" s="81">
        <f>12.1083 * CHOOSE(CONTROL!$C$32, $C$9, 100%, $E$9)</f>
        <v>12.1083</v>
      </c>
      <c r="L366" s="81">
        <f>6.8326 * CHOOSE(CONTROL!$C$32, $C$9, 100%, $E$9)</f>
        <v>6.8326000000000002</v>
      </c>
      <c r="M366" s="81">
        <f>6.8389 * CHOOSE(CONTROL!$C$32, $C$9, 100%, $E$9)</f>
        <v>6.8388999999999998</v>
      </c>
      <c r="N366" s="81">
        <f>6.8326 * CHOOSE(CONTROL!$C$32, $C$9, 100%, $E$9)</f>
        <v>6.8326000000000002</v>
      </c>
      <c r="O366" s="81">
        <f>6.8389 * CHOOSE(CONTROL!$C$32, $C$9, 100%, $E$9)</f>
        <v>6.8388999999999998</v>
      </c>
    </row>
    <row r="367" spans="1:15" ht="15">
      <c r="A367" s="16">
        <v>52383</v>
      </c>
      <c r="B367" s="80">
        <f>5.5627 * CHOOSE(CONTROL!$C$32, $C$9, 100%, $E$9)</f>
        <v>5.5627000000000004</v>
      </c>
      <c r="C367" s="80">
        <f>5.5627 * CHOOSE(CONTROL!$C$32, $C$9, 100%, $E$9)</f>
        <v>5.5627000000000004</v>
      </c>
      <c r="D367" s="80">
        <f>5.5678 * CHOOSE(CONTROL!$C$32, $C$9, 100%, $E$9)</f>
        <v>5.5678000000000001</v>
      </c>
      <c r="E367" s="81">
        <f>6.8029 * CHOOSE(CONTROL!$C$32, $C$9, 100%, $E$9)</f>
        <v>6.8029000000000002</v>
      </c>
      <c r="F367" s="81">
        <f>6.8029 * CHOOSE(CONTROL!$C$32, $C$9, 100%, $E$9)</f>
        <v>6.8029000000000002</v>
      </c>
      <c r="G367" s="81">
        <f>6.8092 * CHOOSE(CONTROL!$C$32, $C$9, 100%, $E$9)</f>
        <v>6.8091999999999997</v>
      </c>
      <c r="H367" s="81">
        <f>12.1272 * CHOOSE(CONTROL!$C$32, $C$9, 100%, $E$9)</f>
        <v>12.1272</v>
      </c>
      <c r="I367" s="81">
        <f>12.1335 * CHOOSE(CONTROL!$C$32, $C$9, 100%, $E$9)</f>
        <v>12.1335</v>
      </c>
      <c r="J367" s="81">
        <f>12.1272 * CHOOSE(CONTROL!$C$32, $C$9, 100%, $E$9)</f>
        <v>12.1272</v>
      </c>
      <c r="K367" s="81">
        <f>12.1335 * CHOOSE(CONTROL!$C$32, $C$9, 100%, $E$9)</f>
        <v>12.1335</v>
      </c>
      <c r="L367" s="81">
        <f>6.8029 * CHOOSE(CONTROL!$C$32, $C$9, 100%, $E$9)</f>
        <v>6.8029000000000002</v>
      </c>
      <c r="M367" s="81">
        <f>6.8092 * CHOOSE(CONTROL!$C$32, $C$9, 100%, $E$9)</f>
        <v>6.8091999999999997</v>
      </c>
      <c r="N367" s="81">
        <f>6.8029 * CHOOSE(CONTROL!$C$32, $C$9, 100%, $E$9)</f>
        <v>6.8029000000000002</v>
      </c>
      <c r="O367" s="81">
        <f>6.8092 * CHOOSE(CONTROL!$C$32, $C$9, 100%, $E$9)</f>
        <v>6.8091999999999997</v>
      </c>
    </row>
    <row r="368" spans="1:15" ht="15">
      <c r="A368" s="16">
        <v>52413</v>
      </c>
      <c r="B368" s="80">
        <f>5.6532 * CHOOSE(CONTROL!$C$32, $C$9, 100%, $E$9)</f>
        <v>5.6532</v>
      </c>
      <c r="C368" s="80">
        <f>5.6532 * CHOOSE(CONTROL!$C$32, $C$9, 100%, $E$9)</f>
        <v>5.6532</v>
      </c>
      <c r="D368" s="80">
        <f>5.6584 * CHOOSE(CONTROL!$C$32, $C$9, 100%, $E$9)</f>
        <v>5.6584000000000003</v>
      </c>
      <c r="E368" s="81">
        <f>6.9177 * CHOOSE(CONTROL!$C$32, $C$9, 100%, $E$9)</f>
        <v>6.9177</v>
      </c>
      <c r="F368" s="81">
        <f>6.9177 * CHOOSE(CONTROL!$C$32, $C$9, 100%, $E$9)</f>
        <v>6.9177</v>
      </c>
      <c r="G368" s="81">
        <f>6.924 * CHOOSE(CONTROL!$C$32, $C$9, 100%, $E$9)</f>
        <v>6.9240000000000004</v>
      </c>
      <c r="H368" s="81">
        <f>12.1525 * CHOOSE(CONTROL!$C$32, $C$9, 100%, $E$9)</f>
        <v>12.1525</v>
      </c>
      <c r="I368" s="81">
        <f>12.1588 * CHOOSE(CONTROL!$C$32, $C$9, 100%, $E$9)</f>
        <v>12.158799999999999</v>
      </c>
      <c r="J368" s="81">
        <f>12.1525 * CHOOSE(CONTROL!$C$32, $C$9, 100%, $E$9)</f>
        <v>12.1525</v>
      </c>
      <c r="K368" s="81">
        <f>12.1588 * CHOOSE(CONTROL!$C$32, $C$9, 100%, $E$9)</f>
        <v>12.158799999999999</v>
      </c>
      <c r="L368" s="81">
        <f>6.9177 * CHOOSE(CONTROL!$C$32, $C$9, 100%, $E$9)</f>
        <v>6.9177</v>
      </c>
      <c r="M368" s="81">
        <f>6.924 * CHOOSE(CONTROL!$C$32, $C$9, 100%, $E$9)</f>
        <v>6.9240000000000004</v>
      </c>
      <c r="N368" s="81">
        <f>6.9177 * CHOOSE(CONTROL!$C$32, $C$9, 100%, $E$9)</f>
        <v>6.9177</v>
      </c>
      <c r="O368" s="81">
        <f>6.924 * CHOOSE(CONTROL!$C$32, $C$9, 100%, $E$9)</f>
        <v>6.9240000000000004</v>
      </c>
    </row>
    <row r="369" spans="1:15" ht="15">
      <c r="A369" s="16">
        <v>52444</v>
      </c>
      <c r="B369" s="80">
        <f>5.6599 * CHOOSE(CONTROL!$C$32, $C$9, 100%, $E$9)</f>
        <v>5.6599000000000004</v>
      </c>
      <c r="C369" s="80">
        <f>5.6599 * CHOOSE(CONTROL!$C$32, $C$9, 100%, $E$9)</f>
        <v>5.6599000000000004</v>
      </c>
      <c r="D369" s="80">
        <f>5.6651 * CHOOSE(CONTROL!$C$32, $C$9, 100%, $E$9)</f>
        <v>5.6650999999999998</v>
      </c>
      <c r="E369" s="81">
        <f>6.8205 * CHOOSE(CONTROL!$C$32, $C$9, 100%, $E$9)</f>
        <v>6.8205</v>
      </c>
      <c r="F369" s="81">
        <f>6.8205 * CHOOSE(CONTROL!$C$32, $C$9, 100%, $E$9)</f>
        <v>6.8205</v>
      </c>
      <c r="G369" s="81">
        <f>6.8268 * CHOOSE(CONTROL!$C$32, $C$9, 100%, $E$9)</f>
        <v>6.8268000000000004</v>
      </c>
      <c r="H369" s="81">
        <f>12.1778 * CHOOSE(CONTROL!$C$32, $C$9, 100%, $E$9)</f>
        <v>12.1778</v>
      </c>
      <c r="I369" s="81">
        <f>12.1841 * CHOOSE(CONTROL!$C$32, $C$9, 100%, $E$9)</f>
        <v>12.184100000000001</v>
      </c>
      <c r="J369" s="81">
        <f>12.1778 * CHOOSE(CONTROL!$C$32, $C$9, 100%, $E$9)</f>
        <v>12.1778</v>
      </c>
      <c r="K369" s="81">
        <f>12.1841 * CHOOSE(CONTROL!$C$32, $C$9, 100%, $E$9)</f>
        <v>12.184100000000001</v>
      </c>
      <c r="L369" s="81">
        <f>6.8205 * CHOOSE(CONTROL!$C$32, $C$9, 100%, $E$9)</f>
        <v>6.8205</v>
      </c>
      <c r="M369" s="81">
        <f>6.8268 * CHOOSE(CONTROL!$C$32, $C$9, 100%, $E$9)</f>
        <v>6.8268000000000004</v>
      </c>
      <c r="N369" s="81">
        <f>6.8205 * CHOOSE(CONTROL!$C$32, $C$9, 100%, $E$9)</f>
        <v>6.8205</v>
      </c>
      <c r="O369" s="81">
        <f>6.8268 * CHOOSE(CONTROL!$C$32, $C$9, 100%, $E$9)</f>
        <v>6.8268000000000004</v>
      </c>
    </row>
    <row r="370" spans="1:15" ht="15">
      <c r="A370" s="16">
        <v>52475</v>
      </c>
      <c r="B370" s="80">
        <f>5.6569 * CHOOSE(CONTROL!$C$32, $C$9, 100%, $E$9)</f>
        <v>5.6569000000000003</v>
      </c>
      <c r="C370" s="80">
        <f>5.6569 * CHOOSE(CONTROL!$C$32, $C$9, 100%, $E$9)</f>
        <v>5.6569000000000003</v>
      </c>
      <c r="D370" s="80">
        <f>5.662 * CHOOSE(CONTROL!$C$32, $C$9, 100%, $E$9)</f>
        <v>5.6619999999999999</v>
      </c>
      <c r="E370" s="81">
        <f>6.8071 * CHOOSE(CONTROL!$C$32, $C$9, 100%, $E$9)</f>
        <v>6.8071000000000002</v>
      </c>
      <c r="F370" s="81">
        <f>6.8071 * CHOOSE(CONTROL!$C$32, $C$9, 100%, $E$9)</f>
        <v>6.8071000000000002</v>
      </c>
      <c r="G370" s="81">
        <f>6.8134 * CHOOSE(CONTROL!$C$32, $C$9, 100%, $E$9)</f>
        <v>6.8133999999999997</v>
      </c>
      <c r="H370" s="81">
        <f>12.2032 * CHOOSE(CONTROL!$C$32, $C$9, 100%, $E$9)</f>
        <v>12.203200000000001</v>
      </c>
      <c r="I370" s="81">
        <f>12.2095 * CHOOSE(CONTROL!$C$32, $C$9, 100%, $E$9)</f>
        <v>12.2095</v>
      </c>
      <c r="J370" s="81">
        <f>12.2032 * CHOOSE(CONTROL!$C$32, $C$9, 100%, $E$9)</f>
        <v>12.203200000000001</v>
      </c>
      <c r="K370" s="81">
        <f>12.2095 * CHOOSE(CONTROL!$C$32, $C$9, 100%, $E$9)</f>
        <v>12.2095</v>
      </c>
      <c r="L370" s="81">
        <f>6.8071 * CHOOSE(CONTROL!$C$32, $C$9, 100%, $E$9)</f>
        <v>6.8071000000000002</v>
      </c>
      <c r="M370" s="81">
        <f>6.8134 * CHOOSE(CONTROL!$C$32, $C$9, 100%, $E$9)</f>
        <v>6.8133999999999997</v>
      </c>
      <c r="N370" s="81">
        <f>6.8071 * CHOOSE(CONTROL!$C$32, $C$9, 100%, $E$9)</f>
        <v>6.8071000000000002</v>
      </c>
      <c r="O370" s="81">
        <f>6.8134 * CHOOSE(CONTROL!$C$32, $C$9, 100%, $E$9)</f>
        <v>6.8133999999999997</v>
      </c>
    </row>
    <row r="371" spans="1:15" ht="15">
      <c r="A371" s="16">
        <v>52505</v>
      </c>
      <c r="B371" s="80">
        <f>5.6574 * CHOOSE(CONTROL!$C$32, $C$9, 100%, $E$9)</f>
        <v>5.6574</v>
      </c>
      <c r="C371" s="80">
        <f>5.6574 * CHOOSE(CONTROL!$C$32, $C$9, 100%, $E$9)</f>
        <v>5.6574</v>
      </c>
      <c r="D371" s="80">
        <f>5.661 * CHOOSE(CONTROL!$C$32, $C$9, 100%, $E$9)</f>
        <v>5.6609999999999996</v>
      </c>
      <c r="E371" s="81">
        <f>6.8389 * CHOOSE(CONTROL!$C$32, $C$9, 100%, $E$9)</f>
        <v>6.8388999999999998</v>
      </c>
      <c r="F371" s="81">
        <f>6.8389 * CHOOSE(CONTROL!$C$32, $C$9, 100%, $E$9)</f>
        <v>6.8388999999999998</v>
      </c>
      <c r="G371" s="81">
        <f>6.8433 * CHOOSE(CONTROL!$C$32, $C$9, 100%, $E$9)</f>
        <v>6.8433000000000002</v>
      </c>
      <c r="H371" s="81">
        <f>12.2286 * CHOOSE(CONTROL!$C$32, $C$9, 100%, $E$9)</f>
        <v>12.2286</v>
      </c>
      <c r="I371" s="81">
        <f>12.233 * CHOOSE(CONTROL!$C$32, $C$9, 100%, $E$9)</f>
        <v>12.233000000000001</v>
      </c>
      <c r="J371" s="81">
        <f>12.2286 * CHOOSE(CONTROL!$C$32, $C$9, 100%, $E$9)</f>
        <v>12.2286</v>
      </c>
      <c r="K371" s="81">
        <f>12.233 * CHOOSE(CONTROL!$C$32, $C$9, 100%, $E$9)</f>
        <v>12.233000000000001</v>
      </c>
      <c r="L371" s="81">
        <f>6.8389 * CHOOSE(CONTROL!$C$32, $C$9, 100%, $E$9)</f>
        <v>6.8388999999999998</v>
      </c>
      <c r="M371" s="81">
        <f>6.8433 * CHOOSE(CONTROL!$C$32, $C$9, 100%, $E$9)</f>
        <v>6.8433000000000002</v>
      </c>
      <c r="N371" s="81">
        <f>6.8389 * CHOOSE(CONTROL!$C$32, $C$9, 100%, $E$9)</f>
        <v>6.8388999999999998</v>
      </c>
      <c r="O371" s="81">
        <f>6.8433 * CHOOSE(CONTROL!$C$32, $C$9, 100%, $E$9)</f>
        <v>6.8433000000000002</v>
      </c>
    </row>
    <row r="372" spans="1:15" ht="15">
      <c r="A372" s="16">
        <v>52536</v>
      </c>
      <c r="B372" s="80">
        <f>5.6605 * CHOOSE(CONTROL!$C$32, $C$9, 100%, $E$9)</f>
        <v>5.6604999999999999</v>
      </c>
      <c r="C372" s="80">
        <f>5.6605 * CHOOSE(CONTROL!$C$32, $C$9, 100%, $E$9)</f>
        <v>5.6604999999999999</v>
      </c>
      <c r="D372" s="80">
        <f>5.664 * CHOOSE(CONTROL!$C$32, $C$9, 100%, $E$9)</f>
        <v>5.6639999999999997</v>
      </c>
      <c r="E372" s="81">
        <f>6.8636 * CHOOSE(CONTROL!$C$32, $C$9, 100%, $E$9)</f>
        <v>6.8635999999999999</v>
      </c>
      <c r="F372" s="81">
        <f>6.8636 * CHOOSE(CONTROL!$C$32, $C$9, 100%, $E$9)</f>
        <v>6.8635999999999999</v>
      </c>
      <c r="G372" s="81">
        <f>6.868 * CHOOSE(CONTROL!$C$32, $C$9, 100%, $E$9)</f>
        <v>6.8680000000000003</v>
      </c>
      <c r="H372" s="81">
        <f>12.2541 * CHOOSE(CONTROL!$C$32, $C$9, 100%, $E$9)</f>
        <v>12.254099999999999</v>
      </c>
      <c r="I372" s="81">
        <f>12.2584 * CHOOSE(CONTROL!$C$32, $C$9, 100%, $E$9)</f>
        <v>12.2584</v>
      </c>
      <c r="J372" s="81">
        <f>12.2541 * CHOOSE(CONTROL!$C$32, $C$9, 100%, $E$9)</f>
        <v>12.254099999999999</v>
      </c>
      <c r="K372" s="81">
        <f>12.2584 * CHOOSE(CONTROL!$C$32, $C$9, 100%, $E$9)</f>
        <v>12.2584</v>
      </c>
      <c r="L372" s="81">
        <f>6.8636 * CHOOSE(CONTROL!$C$32, $C$9, 100%, $E$9)</f>
        <v>6.8635999999999999</v>
      </c>
      <c r="M372" s="81">
        <f>6.868 * CHOOSE(CONTROL!$C$32, $C$9, 100%, $E$9)</f>
        <v>6.8680000000000003</v>
      </c>
      <c r="N372" s="81">
        <f>6.8636 * CHOOSE(CONTROL!$C$32, $C$9, 100%, $E$9)</f>
        <v>6.8635999999999999</v>
      </c>
      <c r="O372" s="81">
        <f>6.868 * CHOOSE(CONTROL!$C$32, $C$9, 100%, $E$9)</f>
        <v>6.8680000000000003</v>
      </c>
    </row>
    <row r="373" spans="1:15" ht="15">
      <c r="A373" s="16">
        <v>52566</v>
      </c>
      <c r="B373" s="80">
        <f>5.6605 * CHOOSE(CONTROL!$C$32, $C$9, 100%, $E$9)</f>
        <v>5.6604999999999999</v>
      </c>
      <c r="C373" s="80">
        <f>5.6605 * CHOOSE(CONTROL!$C$32, $C$9, 100%, $E$9)</f>
        <v>5.6604999999999999</v>
      </c>
      <c r="D373" s="80">
        <f>5.664 * CHOOSE(CONTROL!$C$32, $C$9, 100%, $E$9)</f>
        <v>5.6639999999999997</v>
      </c>
      <c r="E373" s="81">
        <f>6.8071 * CHOOSE(CONTROL!$C$32, $C$9, 100%, $E$9)</f>
        <v>6.8071000000000002</v>
      </c>
      <c r="F373" s="81">
        <f>6.8071 * CHOOSE(CONTROL!$C$32, $C$9, 100%, $E$9)</f>
        <v>6.8071000000000002</v>
      </c>
      <c r="G373" s="81">
        <f>6.8114 * CHOOSE(CONTROL!$C$32, $C$9, 100%, $E$9)</f>
        <v>6.8113999999999999</v>
      </c>
      <c r="H373" s="81">
        <f>12.2796 * CHOOSE(CONTROL!$C$32, $C$9, 100%, $E$9)</f>
        <v>12.2796</v>
      </c>
      <c r="I373" s="81">
        <f>12.284 * CHOOSE(CONTROL!$C$32, $C$9, 100%, $E$9)</f>
        <v>12.284000000000001</v>
      </c>
      <c r="J373" s="81">
        <f>12.2796 * CHOOSE(CONTROL!$C$32, $C$9, 100%, $E$9)</f>
        <v>12.2796</v>
      </c>
      <c r="K373" s="81">
        <f>12.284 * CHOOSE(CONTROL!$C$32, $C$9, 100%, $E$9)</f>
        <v>12.284000000000001</v>
      </c>
      <c r="L373" s="81">
        <f>6.8071 * CHOOSE(CONTROL!$C$32, $C$9, 100%, $E$9)</f>
        <v>6.8071000000000002</v>
      </c>
      <c r="M373" s="81">
        <f>6.8114 * CHOOSE(CONTROL!$C$32, $C$9, 100%, $E$9)</f>
        <v>6.8113999999999999</v>
      </c>
      <c r="N373" s="81">
        <f>6.8071 * CHOOSE(CONTROL!$C$32, $C$9, 100%, $E$9)</f>
        <v>6.8071000000000002</v>
      </c>
      <c r="O373" s="81">
        <f>6.8114 * CHOOSE(CONTROL!$C$32, $C$9, 100%, $E$9)</f>
        <v>6.8113999999999999</v>
      </c>
    </row>
    <row r="374" spans="1:15" ht="15">
      <c r="A374" s="16">
        <v>52597</v>
      </c>
      <c r="B374" s="80">
        <f>5.7103 * CHOOSE(CONTROL!$C$32, $C$9, 100%, $E$9)</f>
        <v>5.7103000000000002</v>
      </c>
      <c r="C374" s="80">
        <f>5.7103 * CHOOSE(CONTROL!$C$32, $C$9, 100%, $E$9)</f>
        <v>5.7103000000000002</v>
      </c>
      <c r="D374" s="80">
        <f>5.7139 * CHOOSE(CONTROL!$C$32, $C$9, 100%, $E$9)</f>
        <v>5.7138999999999998</v>
      </c>
      <c r="E374" s="81">
        <f>6.9038 * CHOOSE(CONTROL!$C$32, $C$9, 100%, $E$9)</f>
        <v>6.9038000000000004</v>
      </c>
      <c r="F374" s="81">
        <f>6.9038 * CHOOSE(CONTROL!$C$32, $C$9, 100%, $E$9)</f>
        <v>6.9038000000000004</v>
      </c>
      <c r="G374" s="81">
        <f>6.9081 * CHOOSE(CONTROL!$C$32, $C$9, 100%, $E$9)</f>
        <v>6.9081000000000001</v>
      </c>
      <c r="H374" s="81">
        <f>12.3052 * CHOOSE(CONTROL!$C$32, $C$9, 100%, $E$9)</f>
        <v>12.305199999999999</v>
      </c>
      <c r="I374" s="81">
        <f>12.3095 * CHOOSE(CONTROL!$C$32, $C$9, 100%, $E$9)</f>
        <v>12.3095</v>
      </c>
      <c r="J374" s="81">
        <f>12.3052 * CHOOSE(CONTROL!$C$32, $C$9, 100%, $E$9)</f>
        <v>12.305199999999999</v>
      </c>
      <c r="K374" s="81">
        <f>12.3095 * CHOOSE(CONTROL!$C$32, $C$9, 100%, $E$9)</f>
        <v>12.3095</v>
      </c>
      <c r="L374" s="81">
        <f>6.9038 * CHOOSE(CONTROL!$C$32, $C$9, 100%, $E$9)</f>
        <v>6.9038000000000004</v>
      </c>
      <c r="M374" s="81">
        <f>6.9081 * CHOOSE(CONTROL!$C$32, $C$9, 100%, $E$9)</f>
        <v>6.9081000000000001</v>
      </c>
      <c r="N374" s="81">
        <f>6.9038 * CHOOSE(CONTROL!$C$32, $C$9, 100%, $E$9)</f>
        <v>6.9038000000000004</v>
      </c>
      <c r="O374" s="81">
        <f>6.9081 * CHOOSE(CONTROL!$C$32, $C$9, 100%, $E$9)</f>
        <v>6.9081000000000001</v>
      </c>
    </row>
    <row r="375" spans="1:15" ht="15">
      <c r="A375" s="16">
        <v>52628</v>
      </c>
      <c r="B375" s="80">
        <f>5.7073 * CHOOSE(CONTROL!$C$32, $C$9, 100%, $E$9)</f>
        <v>5.7073</v>
      </c>
      <c r="C375" s="80">
        <f>5.7073 * CHOOSE(CONTROL!$C$32, $C$9, 100%, $E$9)</f>
        <v>5.7073</v>
      </c>
      <c r="D375" s="80">
        <f>5.7108 * CHOOSE(CONTROL!$C$32, $C$9, 100%, $E$9)</f>
        <v>5.7107999999999999</v>
      </c>
      <c r="E375" s="81">
        <f>6.7917 * CHOOSE(CONTROL!$C$32, $C$9, 100%, $E$9)</f>
        <v>6.7916999999999996</v>
      </c>
      <c r="F375" s="81">
        <f>6.7917 * CHOOSE(CONTROL!$C$32, $C$9, 100%, $E$9)</f>
        <v>6.7916999999999996</v>
      </c>
      <c r="G375" s="81">
        <f>6.7961 * CHOOSE(CONTROL!$C$32, $C$9, 100%, $E$9)</f>
        <v>6.7961</v>
      </c>
      <c r="H375" s="81">
        <f>12.3308 * CHOOSE(CONTROL!$C$32, $C$9, 100%, $E$9)</f>
        <v>12.3308</v>
      </c>
      <c r="I375" s="81">
        <f>12.3352 * CHOOSE(CONTROL!$C$32, $C$9, 100%, $E$9)</f>
        <v>12.3352</v>
      </c>
      <c r="J375" s="81">
        <f>12.3308 * CHOOSE(CONTROL!$C$32, $C$9, 100%, $E$9)</f>
        <v>12.3308</v>
      </c>
      <c r="K375" s="81">
        <f>12.3352 * CHOOSE(CONTROL!$C$32, $C$9, 100%, $E$9)</f>
        <v>12.3352</v>
      </c>
      <c r="L375" s="81">
        <f>6.7917 * CHOOSE(CONTROL!$C$32, $C$9, 100%, $E$9)</f>
        <v>6.7916999999999996</v>
      </c>
      <c r="M375" s="81">
        <f>6.7961 * CHOOSE(CONTROL!$C$32, $C$9, 100%, $E$9)</f>
        <v>6.7961</v>
      </c>
      <c r="N375" s="81">
        <f>6.7917 * CHOOSE(CONTROL!$C$32, $C$9, 100%, $E$9)</f>
        <v>6.7916999999999996</v>
      </c>
      <c r="O375" s="81">
        <f>6.7961 * CHOOSE(CONTROL!$C$32, $C$9, 100%, $E$9)</f>
        <v>6.7961</v>
      </c>
    </row>
    <row r="376" spans="1:15" ht="15">
      <c r="A376" s="16">
        <v>52657</v>
      </c>
      <c r="B376" s="80">
        <f>5.7042 * CHOOSE(CONTROL!$C$32, $C$9, 100%, $E$9)</f>
        <v>5.7042000000000002</v>
      </c>
      <c r="C376" s="80">
        <f>5.7042 * CHOOSE(CONTROL!$C$32, $C$9, 100%, $E$9)</f>
        <v>5.7042000000000002</v>
      </c>
      <c r="D376" s="80">
        <f>5.7078 * CHOOSE(CONTROL!$C$32, $C$9, 100%, $E$9)</f>
        <v>5.7077999999999998</v>
      </c>
      <c r="E376" s="81">
        <f>6.8763 * CHOOSE(CONTROL!$C$32, $C$9, 100%, $E$9)</f>
        <v>6.8762999999999996</v>
      </c>
      <c r="F376" s="81">
        <f>6.8763 * CHOOSE(CONTROL!$C$32, $C$9, 100%, $E$9)</f>
        <v>6.8762999999999996</v>
      </c>
      <c r="G376" s="81">
        <f>6.8806 * CHOOSE(CONTROL!$C$32, $C$9, 100%, $E$9)</f>
        <v>6.8806000000000003</v>
      </c>
      <c r="H376" s="81">
        <f>12.3565 * CHOOSE(CONTROL!$C$32, $C$9, 100%, $E$9)</f>
        <v>12.3565</v>
      </c>
      <c r="I376" s="81">
        <f>12.3609 * CHOOSE(CONTROL!$C$32, $C$9, 100%, $E$9)</f>
        <v>12.360900000000001</v>
      </c>
      <c r="J376" s="81">
        <f>12.3565 * CHOOSE(CONTROL!$C$32, $C$9, 100%, $E$9)</f>
        <v>12.3565</v>
      </c>
      <c r="K376" s="81">
        <f>12.3609 * CHOOSE(CONTROL!$C$32, $C$9, 100%, $E$9)</f>
        <v>12.360900000000001</v>
      </c>
      <c r="L376" s="81">
        <f>6.8763 * CHOOSE(CONTROL!$C$32, $C$9, 100%, $E$9)</f>
        <v>6.8762999999999996</v>
      </c>
      <c r="M376" s="81">
        <f>6.8806 * CHOOSE(CONTROL!$C$32, $C$9, 100%, $E$9)</f>
        <v>6.8806000000000003</v>
      </c>
      <c r="N376" s="81">
        <f>6.8763 * CHOOSE(CONTROL!$C$32, $C$9, 100%, $E$9)</f>
        <v>6.8762999999999996</v>
      </c>
      <c r="O376" s="81">
        <f>6.8806 * CHOOSE(CONTROL!$C$32, $C$9, 100%, $E$9)</f>
        <v>6.8806000000000003</v>
      </c>
    </row>
    <row r="377" spans="1:15" ht="15">
      <c r="A377" s="16">
        <v>52688</v>
      </c>
      <c r="B377" s="80">
        <f>5.7034 * CHOOSE(CONTROL!$C$32, $C$9, 100%, $E$9)</f>
        <v>5.7034000000000002</v>
      </c>
      <c r="C377" s="80">
        <f>5.7034 * CHOOSE(CONTROL!$C$32, $C$9, 100%, $E$9)</f>
        <v>5.7034000000000002</v>
      </c>
      <c r="D377" s="80">
        <f>5.7069 * CHOOSE(CONTROL!$C$32, $C$9, 100%, $E$9)</f>
        <v>5.7069000000000001</v>
      </c>
      <c r="E377" s="81">
        <f>6.9651 * CHOOSE(CONTROL!$C$32, $C$9, 100%, $E$9)</f>
        <v>6.9650999999999996</v>
      </c>
      <c r="F377" s="81">
        <f>6.9651 * CHOOSE(CONTROL!$C$32, $C$9, 100%, $E$9)</f>
        <v>6.9650999999999996</v>
      </c>
      <c r="G377" s="81">
        <f>6.9695 * CHOOSE(CONTROL!$C$32, $C$9, 100%, $E$9)</f>
        <v>6.9695</v>
      </c>
      <c r="H377" s="81">
        <f>12.3823 * CHOOSE(CONTROL!$C$32, $C$9, 100%, $E$9)</f>
        <v>12.382300000000001</v>
      </c>
      <c r="I377" s="81">
        <f>12.3866 * CHOOSE(CONTROL!$C$32, $C$9, 100%, $E$9)</f>
        <v>12.3866</v>
      </c>
      <c r="J377" s="81">
        <f>12.3823 * CHOOSE(CONTROL!$C$32, $C$9, 100%, $E$9)</f>
        <v>12.382300000000001</v>
      </c>
      <c r="K377" s="81">
        <f>12.3866 * CHOOSE(CONTROL!$C$32, $C$9, 100%, $E$9)</f>
        <v>12.3866</v>
      </c>
      <c r="L377" s="81">
        <f>6.9651 * CHOOSE(CONTROL!$C$32, $C$9, 100%, $E$9)</f>
        <v>6.9650999999999996</v>
      </c>
      <c r="M377" s="81">
        <f>6.9695 * CHOOSE(CONTROL!$C$32, $C$9, 100%, $E$9)</f>
        <v>6.9695</v>
      </c>
      <c r="N377" s="81">
        <f>6.9651 * CHOOSE(CONTROL!$C$32, $C$9, 100%, $E$9)</f>
        <v>6.9650999999999996</v>
      </c>
      <c r="O377" s="81">
        <f>6.9695 * CHOOSE(CONTROL!$C$32, $C$9, 100%, $E$9)</f>
        <v>6.9695</v>
      </c>
    </row>
    <row r="378" spans="1:15" ht="15">
      <c r="A378" s="16">
        <v>52718</v>
      </c>
      <c r="B378" s="80">
        <f>5.7034 * CHOOSE(CONTROL!$C$32, $C$9, 100%, $E$9)</f>
        <v>5.7034000000000002</v>
      </c>
      <c r="C378" s="80">
        <f>5.7034 * CHOOSE(CONTROL!$C$32, $C$9, 100%, $E$9)</f>
        <v>5.7034000000000002</v>
      </c>
      <c r="D378" s="80">
        <f>5.7085 * CHOOSE(CONTROL!$C$32, $C$9, 100%, $E$9)</f>
        <v>5.7084999999999999</v>
      </c>
      <c r="E378" s="81">
        <f>7 * CHOOSE(CONTROL!$C$32, $C$9, 100%, $E$9)</f>
        <v>7</v>
      </c>
      <c r="F378" s="81">
        <f>7 * CHOOSE(CONTROL!$C$32, $C$9, 100%, $E$9)</f>
        <v>7</v>
      </c>
      <c r="G378" s="81">
        <f>7.0063 * CHOOSE(CONTROL!$C$32, $C$9, 100%, $E$9)</f>
        <v>7.0063000000000004</v>
      </c>
      <c r="H378" s="81">
        <f>12.408 * CHOOSE(CONTROL!$C$32, $C$9, 100%, $E$9)</f>
        <v>12.407999999999999</v>
      </c>
      <c r="I378" s="81">
        <f>12.4144 * CHOOSE(CONTROL!$C$32, $C$9, 100%, $E$9)</f>
        <v>12.414400000000001</v>
      </c>
      <c r="J378" s="81">
        <f>12.408 * CHOOSE(CONTROL!$C$32, $C$9, 100%, $E$9)</f>
        <v>12.407999999999999</v>
      </c>
      <c r="K378" s="81">
        <f>12.4144 * CHOOSE(CONTROL!$C$32, $C$9, 100%, $E$9)</f>
        <v>12.414400000000001</v>
      </c>
      <c r="L378" s="81">
        <f>7 * CHOOSE(CONTROL!$C$32, $C$9, 100%, $E$9)</f>
        <v>7</v>
      </c>
      <c r="M378" s="81">
        <f>7.0063 * CHOOSE(CONTROL!$C$32, $C$9, 100%, $E$9)</f>
        <v>7.0063000000000004</v>
      </c>
      <c r="N378" s="81">
        <f>7 * CHOOSE(CONTROL!$C$32, $C$9, 100%, $E$9)</f>
        <v>7</v>
      </c>
      <c r="O378" s="81">
        <f>7.0063 * CHOOSE(CONTROL!$C$32, $C$9, 100%, $E$9)</f>
        <v>7.0063000000000004</v>
      </c>
    </row>
    <row r="379" spans="1:15" ht="15">
      <c r="A379" s="16">
        <v>52749</v>
      </c>
      <c r="B379" s="80">
        <f>5.7094 * CHOOSE(CONTROL!$C$32, $C$9, 100%, $E$9)</f>
        <v>5.7093999999999996</v>
      </c>
      <c r="C379" s="80">
        <f>5.7094 * CHOOSE(CONTROL!$C$32, $C$9, 100%, $E$9)</f>
        <v>5.7093999999999996</v>
      </c>
      <c r="D379" s="80">
        <f>5.7146 * CHOOSE(CONTROL!$C$32, $C$9, 100%, $E$9)</f>
        <v>5.7145999999999999</v>
      </c>
      <c r="E379" s="81">
        <f>6.9693 * CHOOSE(CONTROL!$C$32, $C$9, 100%, $E$9)</f>
        <v>6.9692999999999996</v>
      </c>
      <c r="F379" s="81">
        <f>6.9693 * CHOOSE(CONTROL!$C$32, $C$9, 100%, $E$9)</f>
        <v>6.9692999999999996</v>
      </c>
      <c r="G379" s="81">
        <f>6.9757 * CHOOSE(CONTROL!$C$32, $C$9, 100%, $E$9)</f>
        <v>6.9756999999999998</v>
      </c>
      <c r="H379" s="81">
        <f>12.4339 * CHOOSE(CONTROL!$C$32, $C$9, 100%, $E$9)</f>
        <v>12.4339</v>
      </c>
      <c r="I379" s="81">
        <f>12.4402 * CHOOSE(CONTROL!$C$32, $C$9, 100%, $E$9)</f>
        <v>12.440200000000001</v>
      </c>
      <c r="J379" s="81">
        <f>12.4339 * CHOOSE(CONTROL!$C$32, $C$9, 100%, $E$9)</f>
        <v>12.4339</v>
      </c>
      <c r="K379" s="81">
        <f>12.4402 * CHOOSE(CONTROL!$C$32, $C$9, 100%, $E$9)</f>
        <v>12.440200000000001</v>
      </c>
      <c r="L379" s="81">
        <f>6.9693 * CHOOSE(CONTROL!$C$32, $C$9, 100%, $E$9)</f>
        <v>6.9692999999999996</v>
      </c>
      <c r="M379" s="81">
        <f>6.9757 * CHOOSE(CONTROL!$C$32, $C$9, 100%, $E$9)</f>
        <v>6.9756999999999998</v>
      </c>
      <c r="N379" s="81">
        <f>6.9693 * CHOOSE(CONTROL!$C$32, $C$9, 100%, $E$9)</f>
        <v>6.9692999999999996</v>
      </c>
      <c r="O379" s="81">
        <f>6.9757 * CHOOSE(CONTROL!$C$32, $C$9, 100%, $E$9)</f>
        <v>6.9756999999999998</v>
      </c>
    </row>
    <row r="380" spans="1:15" ht="15">
      <c r="A380" s="16">
        <v>52779</v>
      </c>
      <c r="B380" s="80">
        <f>5.8021 * CHOOSE(CONTROL!$C$32, $C$9, 100%, $E$9)</f>
        <v>5.8021000000000003</v>
      </c>
      <c r="C380" s="80">
        <f>5.8021 * CHOOSE(CONTROL!$C$32, $C$9, 100%, $E$9)</f>
        <v>5.8021000000000003</v>
      </c>
      <c r="D380" s="80">
        <f>5.8073 * CHOOSE(CONTROL!$C$32, $C$9, 100%, $E$9)</f>
        <v>5.8072999999999997</v>
      </c>
      <c r="E380" s="81">
        <f>7.0867 * CHOOSE(CONTROL!$C$32, $C$9, 100%, $E$9)</f>
        <v>7.0867000000000004</v>
      </c>
      <c r="F380" s="81">
        <f>7.0867 * CHOOSE(CONTROL!$C$32, $C$9, 100%, $E$9)</f>
        <v>7.0867000000000004</v>
      </c>
      <c r="G380" s="81">
        <f>7.093 * CHOOSE(CONTROL!$C$32, $C$9, 100%, $E$9)</f>
        <v>7.093</v>
      </c>
      <c r="H380" s="81">
        <f>12.4598 * CHOOSE(CONTROL!$C$32, $C$9, 100%, $E$9)</f>
        <v>12.4598</v>
      </c>
      <c r="I380" s="81">
        <f>12.4661 * CHOOSE(CONTROL!$C$32, $C$9, 100%, $E$9)</f>
        <v>12.466100000000001</v>
      </c>
      <c r="J380" s="81">
        <f>12.4598 * CHOOSE(CONTROL!$C$32, $C$9, 100%, $E$9)</f>
        <v>12.4598</v>
      </c>
      <c r="K380" s="81">
        <f>12.4661 * CHOOSE(CONTROL!$C$32, $C$9, 100%, $E$9)</f>
        <v>12.466100000000001</v>
      </c>
      <c r="L380" s="81">
        <f>7.0867 * CHOOSE(CONTROL!$C$32, $C$9, 100%, $E$9)</f>
        <v>7.0867000000000004</v>
      </c>
      <c r="M380" s="81">
        <f>7.093 * CHOOSE(CONTROL!$C$32, $C$9, 100%, $E$9)</f>
        <v>7.093</v>
      </c>
      <c r="N380" s="81">
        <f>7.0867 * CHOOSE(CONTROL!$C$32, $C$9, 100%, $E$9)</f>
        <v>7.0867000000000004</v>
      </c>
      <c r="O380" s="81">
        <f>7.093 * CHOOSE(CONTROL!$C$32, $C$9, 100%, $E$9)</f>
        <v>7.093</v>
      </c>
    </row>
    <row r="381" spans="1:15" ht="15">
      <c r="A381" s="16">
        <v>52810</v>
      </c>
      <c r="B381" s="80">
        <f>5.8088 * CHOOSE(CONTROL!$C$32, $C$9, 100%, $E$9)</f>
        <v>5.8087999999999997</v>
      </c>
      <c r="C381" s="80">
        <f>5.8088 * CHOOSE(CONTROL!$C$32, $C$9, 100%, $E$9)</f>
        <v>5.8087999999999997</v>
      </c>
      <c r="D381" s="80">
        <f>5.814 * CHOOSE(CONTROL!$C$32, $C$9, 100%, $E$9)</f>
        <v>5.8140000000000001</v>
      </c>
      <c r="E381" s="81">
        <f>6.9867 * CHOOSE(CONTROL!$C$32, $C$9, 100%, $E$9)</f>
        <v>6.9866999999999999</v>
      </c>
      <c r="F381" s="81">
        <f>6.9867 * CHOOSE(CONTROL!$C$32, $C$9, 100%, $E$9)</f>
        <v>6.9866999999999999</v>
      </c>
      <c r="G381" s="81">
        <f>6.993 * CHOOSE(CONTROL!$C$32, $C$9, 100%, $E$9)</f>
        <v>6.9930000000000003</v>
      </c>
      <c r="H381" s="81">
        <f>12.4858 * CHOOSE(CONTROL!$C$32, $C$9, 100%, $E$9)</f>
        <v>12.485799999999999</v>
      </c>
      <c r="I381" s="81">
        <f>12.4921 * CHOOSE(CONTROL!$C$32, $C$9, 100%, $E$9)</f>
        <v>12.492100000000001</v>
      </c>
      <c r="J381" s="81">
        <f>12.4858 * CHOOSE(CONTROL!$C$32, $C$9, 100%, $E$9)</f>
        <v>12.485799999999999</v>
      </c>
      <c r="K381" s="81">
        <f>12.4921 * CHOOSE(CONTROL!$C$32, $C$9, 100%, $E$9)</f>
        <v>12.492100000000001</v>
      </c>
      <c r="L381" s="81">
        <f>6.9867 * CHOOSE(CONTROL!$C$32, $C$9, 100%, $E$9)</f>
        <v>6.9866999999999999</v>
      </c>
      <c r="M381" s="81">
        <f>6.993 * CHOOSE(CONTROL!$C$32, $C$9, 100%, $E$9)</f>
        <v>6.9930000000000003</v>
      </c>
      <c r="N381" s="81">
        <f>6.9867 * CHOOSE(CONTROL!$C$32, $C$9, 100%, $E$9)</f>
        <v>6.9866999999999999</v>
      </c>
      <c r="O381" s="81">
        <f>6.993 * CHOOSE(CONTROL!$C$32, $C$9, 100%, $E$9)</f>
        <v>6.9930000000000003</v>
      </c>
    </row>
    <row r="382" spans="1:15" ht="15">
      <c r="A382" s="16">
        <v>52841</v>
      </c>
      <c r="B382" s="80">
        <f>5.8058 * CHOOSE(CONTROL!$C$32, $C$9, 100%, $E$9)</f>
        <v>5.8057999999999996</v>
      </c>
      <c r="C382" s="80">
        <f>5.8058 * CHOOSE(CONTROL!$C$32, $C$9, 100%, $E$9)</f>
        <v>5.8057999999999996</v>
      </c>
      <c r="D382" s="80">
        <f>5.8109 * CHOOSE(CONTROL!$C$32, $C$9, 100%, $E$9)</f>
        <v>5.8109000000000002</v>
      </c>
      <c r="E382" s="81">
        <f>6.9729 * CHOOSE(CONTROL!$C$32, $C$9, 100%, $E$9)</f>
        <v>6.9729000000000001</v>
      </c>
      <c r="F382" s="81">
        <f>6.9729 * CHOOSE(CONTROL!$C$32, $C$9, 100%, $E$9)</f>
        <v>6.9729000000000001</v>
      </c>
      <c r="G382" s="81">
        <f>6.9793 * CHOOSE(CONTROL!$C$32, $C$9, 100%, $E$9)</f>
        <v>6.9793000000000003</v>
      </c>
      <c r="H382" s="81">
        <f>12.5118 * CHOOSE(CONTROL!$C$32, $C$9, 100%, $E$9)</f>
        <v>12.511799999999999</v>
      </c>
      <c r="I382" s="81">
        <f>12.5181 * CHOOSE(CONTROL!$C$32, $C$9, 100%, $E$9)</f>
        <v>12.5181</v>
      </c>
      <c r="J382" s="81">
        <f>12.5118 * CHOOSE(CONTROL!$C$32, $C$9, 100%, $E$9)</f>
        <v>12.511799999999999</v>
      </c>
      <c r="K382" s="81">
        <f>12.5181 * CHOOSE(CONTROL!$C$32, $C$9, 100%, $E$9)</f>
        <v>12.5181</v>
      </c>
      <c r="L382" s="81">
        <f>6.9729 * CHOOSE(CONTROL!$C$32, $C$9, 100%, $E$9)</f>
        <v>6.9729000000000001</v>
      </c>
      <c r="M382" s="81">
        <f>6.9793 * CHOOSE(CONTROL!$C$32, $C$9, 100%, $E$9)</f>
        <v>6.9793000000000003</v>
      </c>
      <c r="N382" s="81">
        <f>6.9729 * CHOOSE(CONTROL!$C$32, $C$9, 100%, $E$9)</f>
        <v>6.9729000000000001</v>
      </c>
      <c r="O382" s="81">
        <f>6.9793 * CHOOSE(CONTROL!$C$32, $C$9, 100%, $E$9)</f>
        <v>6.9793000000000003</v>
      </c>
    </row>
    <row r="383" spans="1:15" ht="15">
      <c r="A383" s="16">
        <v>52871</v>
      </c>
      <c r="B383" s="80">
        <f>5.8068 * CHOOSE(CONTROL!$C$32, $C$9, 100%, $E$9)</f>
        <v>5.8068</v>
      </c>
      <c r="C383" s="80">
        <f>5.8068 * CHOOSE(CONTROL!$C$32, $C$9, 100%, $E$9)</f>
        <v>5.8068</v>
      </c>
      <c r="D383" s="80">
        <f>5.8104 * CHOOSE(CONTROL!$C$32, $C$9, 100%, $E$9)</f>
        <v>5.8103999999999996</v>
      </c>
      <c r="E383" s="81">
        <f>7.0061 * CHOOSE(CONTROL!$C$32, $C$9, 100%, $E$9)</f>
        <v>7.0061</v>
      </c>
      <c r="F383" s="81">
        <f>7.0061 * CHOOSE(CONTROL!$C$32, $C$9, 100%, $E$9)</f>
        <v>7.0061</v>
      </c>
      <c r="G383" s="81">
        <f>7.0104 * CHOOSE(CONTROL!$C$32, $C$9, 100%, $E$9)</f>
        <v>7.0103999999999997</v>
      </c>
      <c r="H383" s="81">
        <f>12.5378 * CHOOSE(CONTROL!$C$32, $C$9, 100%, $E$9)</f>
        <v>12.537800000000001</v>
      </c>
      <c r="I383" s="81">
        <f>12.5422 * CHOOSE(CONTROL!$C$32, $C$9, 100%, $E$9)</f>
        <v>12.542199999999999</v>
      </c>
      <c r="J383" s="81">
        <f>12.5378 * CHOOSE(CONTROL!$C$32, $C$9, 100%, $E$9)</f>
        <v>12.537800000000001</v>
      </c>
      <c r="K383" s="81">
        <f>12.5422 * CHOOSE(CONTROL!$C$32, $C$9, 100%, $E$9)</f>
        <v>12.542199999999999</v>
      </c>
      <c r="L383" s="81">
        <f>7.0061 * CHOOSE(CONTROL!$C$32, $C$9, 100%, $E$9)</f>
        <v>7.0061</v>
      </c>
      <c r="M383" s="81">
        <f>7.0104 * CHOOSE(CONTROL!$C$32, $C$9, 100%, $E$9)</f>
        <v>7.0103999999999997</v>
      </c>
      <c r="N383" s="81">
        <f>7.0061 * CHOOSE(CONTROL!$C$32, $C$9, 100%, $E$9)</f>
        <v>7.0061</v>
      </c>
      <c r="O383" s="81">
        <f>7.0104 * CHOOSE(CONTROL!$C$32, $C$9, 100%, $E$9)</f>
        <v>7.0103999999999997</v>
      </c>
    </row>
    <row r="384" spans="1:15" ht="15">
      <c r="A384" s="16">
        <v>52902</v>
      </c>
      <c r="B384" s="80">
        <f>5.8099 * CHOOSE(CONTROL!$C$32, $C$9, 100%, $E$9)</f>
        <v>5.8098999999999998</v>
      </c>
      <c r="C384" s="80">
        <f>5.8099 * CHOOSE(CONTROL!$C$32, $C$9, 100%, $E$9)</f>
        <v>5.8098999999999998</v>
      </c>
      <c r="D384" s="80">
        <f>5.8134 * CHOOSE(CONTROL!$C$32, $C$9, 100%, $E$9)</f>
        <v>5.8133999999999997</v>
      </c>
      <c r="E384" s="81">
        <f>7.0314 * CHOOSE(CONTROL!$C$32, $C$9, 100%, $E$9)</f>
        <v>7.0313999999999997</v>
      </c>
      <c r="F384" s="81">
        <f>7.0314 * CHOOSE(CONTROL!$C$32, $C$9, 100%, $E$9)</f>
        <v>7.0313999999999997</v>
      </c>
      <c r="G384" s="81">
        <f>7.0358 * CHOOSE(CONTROL!$C$32, $C$9, 100%, $E$9)</f>
        <v>7.0358000000000001</v>
      </c>
      <c r="H384" s="81">
        <f>12.564 * CHOOSE(CONTROL!$C$32, $C$9, 100%, $E$9)</f>
        <v>12.564</v>
      </c>
      <c r="I384" s="81">
        <f>12.5683 * CHOOSE(CONTROL!$C$32, $C$9, 100%, $E$9)</f>
        <v>12.568300000000001</v>
      </c>
      <c r="J384" s="81">
        <f>12.564 * CHOOSE(CONTROL!$C$32, $C$9, 100%, $E$9)</f>
        <v>12.564</v>
      </c>
      <c r="K384" s="81">
        <f>12.5683 * CHOOSE(CONTROL!$C$32, $C$9, 100%, $E$9)</f>
        <v>12.568300000000001</v>
      </c>
      <c r="L384" s="81">
        <f>7.0314 * CHOOSE(CONTROL!$C$32, $C$9, 100%, $E$9)</f>
        <v>7.0313999999999997</v>
      </c>
      <c r="M384" s="81">
        <f>7.0358 * CHOOSE(CONTROL!$C$32, $C$9, 100%, $E$9)</f>
        <v>7.0358000000000001</v>
      </c>
      <c r="N384" s="81">
        <f>7.0314 * CHOOSE(CONTROL!$C$32, $C$9, 100%, $E$9)</f>
        <v>7.0313999999999997</v>
      </c>
      <c r="O384" s="81">
        <f>7.0358 * CHOOSE(CONTROL!$C$32, $C$9, 100%, $E$9)</f>
        <v>7.0358000000000001</v>
      </c>
    </row>
    <row r="385" spans="1:15" ht="15">
      <c r="A385" s="16">
        <v>52932</v>
      </c>
      <c r="B385" s="80">
        <f>5.8099 * CHOOSE(CONTROL!$C$32, $C$9, 100%, $E$9)</f>
        <v>5.8098999999999998</v>
      </c>
      <c r="C385" s="80">
        <f>5.8099 * CHOOSE(CONTROL!$C$32, $C$9, 100%, $E$9)</f>
        <v>5.8098999999999998</v>
      </c>
      <c r="D385" s="80">
        <f>5.8134 * CHOOSE(CONTROL!$C$32, $C$9, 100%, $E$9)</f>
        <v>5.8133999999999997</v>
      </c>
      <c r="E385" s="81">
        <f>6.9733 * CHOOSE(CONTROL!$C$32, $C$9, 100%, $E$9)</f>
        <v>6.9733000000000001</v>
      </c>
      <c r="F385" s="81">
        <f>6.9733 * CHOOSE(CONTROL!$C$32, $C$9, 100%, $E$9)</f>
        <v>6.9733000000000001</v>
      </c>
      <c r="G385" s="81">
        <f>6.9776 * CHOOSE(CONTROL!$C$32, $C$9, 100%, $E$9)</f>
        <v>6.9775999999999998</v>
      </c>
      <c r="H385" s="81">
        <f>12.5901 * CHOOSE(CONTROL!$C$32, $C$9, 100%, $E$9)</f>
        <v>12.5901</v>
      </c>
      <c r="I385" s="81">
        <f>12.5945 * CHOOSE(CONTROL!$C$32, $C$9, 100%, $E$9)</f>
        <v>12.5945</v>
      </c>
      <c r="J385" s="81">
        <f>12.5901 * CHOOSE(CONTROL!$C$32, $C$9, 100%, $E$9)</f>
        <v>12.5901</v>
      </c>
      <c r="K385" s="81">
        <f>12.5945 * CHOOSE(CONTROL!$C$32, $C$9, 100%, $E$9)</f>
        <v>12.5945</v>
      </c>
      <c r="L385" s="81">
        <f>6.9733 * CHOOSE(CONTROL!$C$32, $C$9, 100%, $E$9)</f>
        <v>6.9733000000000001</v>
      </c>
      <c r="M385" s="81">
        <f>6.9776 * CHOOSE(CONTROL!$C$32, $C$9, 100%, $E$9)</f>
        <v>6.9775999999999998</v>
      </c>
      <c r="N385" s="81">
        <f>6.9733 * CHOOSE(CONTROL!$C$32, $C$9, 100%, $E$9)</f>
        <v>6.9733000000000001</v>
      </c>
      <c r="O385" s="81">
        <f>6.9776 * CHOOSE(CONTROL!$C$32, $C$9, 100%, $E$9)</f>
        <v>6.9775999999999998</v>
      </c>
    </row>
    <row r="386" spans="1:15" ht="15">
      <c r="A386" s="16">
        <v>52963</v>
      </c>
      <c r="B386" s="80">
        <f>5.8609 * CHOOSE(CONTROL!$C$32, $C$9, 100%, $E$9)</f>
        <v>5.8609</v>
      </c>
      <c r="C386" s="80">
        <f>5.8609 * CHOOSE(CONTROL!$C$32, $C$9, 100%, $E$9)</f>
        <v>5.8609</v>
      </c>
      <c r="D386" s="80">
        <f>5.8645 * CHOOSE(CONTROL!$C$32, $C$9, 100%, $E$9)</f>
        <v>5.8644999999999996</v>
      </c>
      <c r="E386" s="81">
        <f>7.0724 * CHOOSE(CONTROL!$C$32, $C$9, 100%, $E$9)</f>
        <v>7.0724</v>
      </c>
      <c r="F386" s="81">
        <f>7.0724 * CHOOSE(CONTROL!$C$32, $C$9, 100%, $E$9)</f>
        <v>7.0724</v>
      </c>
      <c r="G386" s="81">
        <f>7.0768 * CHOOSE(CONTROL!$C$32, $C$9, 100%, $E$9)</f>
        <v>7.0768000000000004</v>
      </c>
      <c r="H386" s="81">
        <f>12.6164 * CHOOSE(CONTROL!$C$32, $C$9, 100%, $E$9)</f>
        <v>12.616400000000001</v>
      </c>
      <c r="I386" s="81">
        <f>12.6207 * CHOOSE(CONTROL!$C$32, $C$9, 100%, $E$9)</f>
        <v>12.620699999999999</v>
      </c>
      <c r="J386" s="81">
        <f>12.6164 * CHOOSE(CONTROL!$C$32, $C$9, 100%, $E$9)</f>
        <v>12.616400000000001</v>
      </c>
      <c r="K386" s="81">
        <f>12.6207 * CHOOSE(CONTROL!$C$32, $C$9, 100%, $E$9)</f>
        <v>12.620699999999999</v>
      </c>
      <c r="L386" s="81">
        <f>7.0724 * CHOOSE(CONTROL!$C$32, $C$9, 100%, $E$9)</f>
        <v>7.0724</v>
      </c>
      <c r="M386" s="81">
        <f>7.0768 * CHOOSE(CONTROL!$C$32, $C$9, 100%, $E$9)</f>
        <v>7.0768000000000004</v>
      </c>
      <c r="N386" s="81">
        <f>7.0724 * CHOOSE(CONTROL!$C$32, $C$9, 100%, $E$9)</f>
        <v>7.0724</v>
      </c>
      <c r="O386" s="81">
        <f>7.0768 * CHOOSE(CONTROL!$C$32, $C$9, 100%, $E$9)</f>
        <v>7.0768000000000004</v>
      </c>
    </row>
    <row r="387" spans="1:15" ht="15">
      <c r="A387" s="16">
        <v>52994</v>
      </c>
      <c r="B387" s="80">
        <f>5.8579 * CHOOSE(CONTROL!$C$32, $C$9, 100%, $E$9)</f>
        <v>5.8578999999999999</v>
      </c>
      <c r="C387" s="80">
        <f>5.8579 * CHOOSE(CONTROL!$C$32, $C$9, 100%, $E$9)</f>
        <v>5.8578999999999999</v>
      </c>
      <c r="D387" s="80">
        <f>5.8614 * CHOOSE(CONTROL!$C$32, $C$9, 100%, $E$9)</f>
        <v>5.8613999999999997</v>
      </c>
      <c r="E387" s="81">
        <f>6.9573 * CHOOSE(CONTROL!$C$32, $C$9, 100%, $E$9)</f>
        <v>6.9573</v>
      </c>
      <c r="F387" s="81">
        <f>6.9573 * CHOOSE(CONTROL!$C$32, $C$9, 100%, $E$9)</f>
        <v>6.9573</v>
      </c>
      <c r="G387" s="81">
        <f>6.9617 * CHOOSE(CONTROL!$C$32, $C$9, 100%, $E$9)</f>
        <v>6.9617000000000004</v>
      </c>
      <c r="H387" s="81">
        <f>12.6426 * CHOOSE(CONTROL!$C$32, $C$9, 100%, $E$9)</f>
        <v>12.6426</v>
      </c>
      <c r="I387" s="81">
        <f>12.647 * CHOOSE(CONTROL!$C$32, $C$9, 100%, $E$9)</f>
        <v>12.647</v>
      </c>
      <c r="J387" s="81">
        <f>12.6426 * CHOOSE(CONTROL!$C$32, $C$9, 100%, $E$9)</f>
        <v>12.6426</v>
      </c>
      <c r="K387" s="81">
        <f>12.647 * CHOOSE(CONTROL!$C$32, $C$9, 100%, $E$9)</f>
        <v>12.647</v>
      </c>
      <c r="L387" s="81">
        <f>6.9573 * CHOOSE(CONTROL!$C$32, $C$9, 100%, $E$9)</f>
        <v>6.9573</v>
      </c>
      <c r="M387" s="81">
        <f>6.9617 * CHOOSE(CONTROL!$C$32, $C$9, 100%, $E$9)</f>
        <v>6.9617000000000004</v>
      </c>
      <c r="N387" s="81">
        <f>6.9573 * CHOOSE(CONTROL!$C$32, $C$9, 100%, $E$9)</f>
        <v>6.9573</v>
      </c>
      <c r="O387" s="81">
        <f>6.9617 * CHOOSE(CONTROL!$C$32, $C$9, 100%, $E$9)</f>
        <v>6.9617000000000004</v>
      </c>
    </row>
    <row r="388" spans="1:15" ht="15">
      <c r="A388" s="16">
        <v>53022</v>
      </c>
      <c r="B388" s="80">
        <f>5.8548 * CHOOSE(CONTROL!$C$32, $C$9, 100%, $E$9)</f>
        <v>5.8548</v>
      </c>
      <c r="C388" s="80">
        <f>5.8548 * CHOOSE(CONTROL!$C$32, $C$9, 100%, $E$9)</f>
        <v>5.8548</v>
      </c>
      <c r="D388" s="80">
        <f>5.8584 * CHOOSE(CONTROL!$C$32, $C$9, 100%, $E$9)</f>
        <v>5.8583999999999996</v>
      </c>
      <c r="E388" s="81">
        <f>7.0443 * CHOOSE(CONTROL!$C$32, $C$9, 100%, $E$9)</f>
        <v>7.0442999999999998</v>
      </c>
      <c r="F388" s="81">
        <f>7.0443 * CHOOSE(CONTROL!$C$32, $C$9, 100%, $E$9)</f>
        <v>7.0442999999999998</v>
      </c>
      <c r="G388" s="81">
        <f>7.0486 * CHOOSE(CONTROL!$C$32, $C$9, 100%, $E$9)</f>
        <v>7.0486000000000004</v>
      </c>
      <c r="H388" s="81">
        <f>12.669 * CHOOSE(CONTROL!$C$32, $C$9, 100%, $E$9)</f>
        <v>12.669</v>
      </c>
      <c r="I388" s="81">
        <f>12.6734 * CHOOSE(CONTROL!$C$32, $C$9, 100%, $E$9)</f>
        <v>12.673400000000001</v>
      </c>
      <c r="J388" s="81">
        <f>12.669 * CHOOSE(CONTROL!$C$32, $C$9, 100%, $E$9)</f>
        <v>12.669</v>
      </c>
      <c r="K388" s="81">
        <f>12.6734 * CHOOSE(CONTROL!$C$32, $C$9, 100%, $E$9)</f>
        <v>12.673400000000001</v>
      </c>
      <c r="L388" s="81">
        <f>7.0443 * CHOOSE(CONTROL!$C$32, $C$9, 100%, $E$9)</f>
        <v>7.0442999999999998</v>
      </c>
      <c r="M388" s="81">
        <f>7.0486 * CHOOSE(CONTROL!$C$32, $C$9, 100%, $E$9)</f>
        <v>7.0486000000000004</v>
      </c>
      <c r="N388" s="81">
        <f>7.0443 * CHOOSE(CONTROL!$C$32, $C$9, 100%, $E$9)</f>
        <v>7.0442999999999998</v>
      </c>
      <c r="O388" s="81">
        <f>7.0486 * CHOOSE(CONTROL!$C$32, $C$9, 100%, $E$9)</f>
        <v>7.0486000000000004</v>
      </c>
    </row>
    <row r="389" spans="1:15" ht="15">
      <c r="A389" s="16">
        <v>53053</v>
      </c>
      <c r="B389" s="80">
        <f>5.8541 * CHOOSE(CONTROL!$C$32, $C$9, 100%, $E$9)</f>
        <v>5.8540999999999999</v>
      </c>
      <c r="C389" s="80">
        <f>5.8541 * CHOOSE(CONTROL!$C$32, $C$9, 100%, $E$9)</f>
        <v>5.8540999999999999</v>
      </c>
      <c r="D389" s="80">
        <f>5.8576 * CHOOSE(CONTROL!$C$32, $C$9, 100%, $E$9)</f>
        <v>5.8575999999999997</v>
      </c>
      <c r="E389" s="81">
        <f>7.1357 * CHOOSE(CONTROL!$C$32, $C$9, 100%, $E$9)</f>
        <v>7.1356999999999999</v>
      </c>
      <c r="F389" s="81">
        <f>7.1357 * CHOOSE(CONTROL!$C$32, $C$9, 100%, $E$9)</f>
        <v>7.1356999999999999</v>
      </c>
      <c r="G389" s="81">
        <f>7.1401 * CHOOSE(CONTROL!$C$32, $C$9, 100%, $E$9)</f>
        <v>7.1401000000000003</v>
      </c>
      <c r="H389" s="81">
        <f>12.6954 * CHOOSE(CONTROL!$C$32, $C$9, 100%, $E$9)</f>
        <v>12.695399999999999</v>
      </c>
      <c r="I389" s="81">
        <f>12.6997 * CHOOSE(CONTROL!$C$32, $C$9, 100%, $E$9)</f>
        <v>12.6997</v>
      </c>
      <c r="J389" s="81">
        <f>12.6954 * CHOOSE(CONTROL!$C$32, $C$9, 100%, $E$9)</f>
        <v>12.695399999999999</v>
      </c>
      <c r="K389" s="81">
        <f>12.6997 * CHOOSE(CONTROL!$C$32, $C$9, 100%, $E$9)</f>
        <v>12.6997</v>
      </c>
      <c r="L389" s="81">
        <f>7.1357 * CHOOSE(CONTROL!$C$32, $C$9, 100%, $E$9)</f>
        <v>7.1356999999999999</v>
      </c>
      <c r="M389" s="81">
        <f>7.1401 * CHOOSE(CONTROL!$C$32, $C$9, 100%, $E$9)</f>
        <v>7.1401000000000003</v>
      </c>
      <c r="N389" s="81">
        <f>7.1357 * CHOOSE(CONTROL!$C$32, $C$9, 100%, $E$9)</f>
        <v>7.1356999999999999</v>
      </c>
      <c r="O389" s="81">
        <f>7.1401 * CHOOSE(CONTROL!$C$32, $C$9, 100%, $E$9)</f>
        <v>7.1401000000000003</v>
      </c>
    </row>
    <row r="390" spans="1:15" ht="15">
      <c r="A390" s="16">
        <v>53083</v>
      </c>
      <c r="B390" s="80">
        <f>5.8541 * CHOOSE(CONTROL!$C$32, $C$9, 100%, $E$9)</f>
        <v>5.8540999999999999</v>
      </c>
      <c r="C390" s="80">
        <f>5.8541 * CHOOSE(CONTROL!$C$32, $C$9, 100%, $E$9)</f>
        <v>5.8540999999999999</v>
      </c>
      <c r="D390" s="80">
        <f>5.8593 * CHOOSE(CONTROL!$C$32, $C$9, 100%, $E$9)</f>
        <v>5.8593000000000002</v>
      </c>
      <c r="E390" s="81">
        <f>7.1716 * CHOOSE(CONTROL!$C$32, $C$9, 100%, $E$9)</f>
        <v>7.1715999999999998</v>
      </c>
      <c r="F390" s="81">
        <f>7.1716 * CHOOSE(CONTROL!$C$32, $C$9, 100%, $E$9)</f>
        <v>7.1715999999999998</v>
      </c>
      <c r="G390" s="81">
        <f>7.1779 * CHOOSE(CONTROL!$C$32, $C$9, 100%, $E$9)</f>
        <v>7.1779000000000002</v>
      </c>
      <c r="H390" s="81">
        <f>12.7218 * CHOOSE(CONTROL!$C$32, $C$9, 100%, $E$9)</f>
        <v>12.7218</v>
      </c>
      <c r="I390" s="81">
        <f>12.7281 * CHOOSE(CONTROL!$C$32, $C$9, 100%, $E$9)</f>
        <v>12.7281</v>
      </c>
      <c r="J390" s="81">
        <f>12.7218 * CHOOSE(CONTROL!$C$32, $C$9, 100%, $E$9)</f>
        <v>12.7218</v>
      </c>
      <c r="K390" s="81">
        <f>12.7281 * CHOOSE(CONTROL!$C$32, $C$9, 100%, $E$9)</f>
        <v>12.7281</v>
      </c>
      <c r="L390" s="81">
        <f>7.1716 * CHOOSE(CONTROL!$C$32, $C$9, 100%, $E$9)</f>
        <v>7.1715999999999998</v>
      </c>
      <c r="M390" s="81">
        <f>7.1779 * CHOOSE(CONTROL!$C$32, $C$9, 100%, $E$9)</f>
        <v>7.1779000000000002</v>
      </c>
      <c r="N390" s="81">
        <f>7.1716 * CHOOSE(CONTROL!$C$32, $C$9, 100%, $E$9)</f>
        <v>7.1715999999999998</v>
      </c>
      <c r="O390" s="81">
        <f>7.1779 * CHOOSE(CONTROL!$C$32, $C$9, 100%, $E$9)</f>
        <v>7.1779000000000002</v>
      </c>
    </row>
    <row r="391" spans="1:15" ht="15">
      <c r="A391" s="16">
        <v>53114</v>
      </c>
      <c r="B391" s="80">
        <f>5.8602 * CHOOSE(CONTROL!$C$32, $C$9, 100%, $E$9)</f>
        <v>5.8601999999999999</v>
      </c>
      <c r="C391" s="80">
        <f>5.8602 * CHOOSE(CONTROL!$C$32, $C$9, 100%, $E$9)</f>
        <v>5.8601999999999999</v>
      </c>
      <c r="D391" s="80">
        <f>5.8653 * CHOOSE(CONTROL!$C$32, $C$9, 100%, $E$9)</f>
        <v>5.8653000000000004</v>
      </c>
      <c r="E391" s="81">
        <f>7.1399 * CHOOSE(CONTROL!$C$32, $C$9, 100%, $E$9)</f>
        <v>7.1398999999999999</v>
      </c>
      <c r="F391" s="81">
        <f>7.1399 * CHOOSE(CONTROL!$C$32, $C$9, 100%, $E$9)</f>
        <v>7.1398999999999999</v>
      </c>
      <c r="G391" s="81">
        <f>7.1463 * CHOOSE(CONTROL!$C$32, $C$9, 100%, $E$9)</f>
        <v>7.1463000000000001</v>
      </c>
      <c r="H391" s="81">
        <f>12.7483 * CHOOSE(CONTROL!$C$32, $C$9, 100%, $E$9)</f>
        <v>12.7483</v>
      </c>
      <c r="I391" s="81">
        <f>12.7546 * CHOOSE(CONTROL!$C$32, $C$9, 100%, $E$9)</f>
        <v>12.7546</v>
      </c>
      <c r="J391" s="81">
        <f>12.7483 * CHOOSE(CONTROL!$C$32, $C$9, 100%, $E$9)</f>
        <v>12.7483</v>
      </c>
      <c r="K391" s="81">
        <f>12.7546 * CHOOSE(CONTROL!$C$32, $C$9, 100%, $E$9)</f>
        <v>12.7546</v>
      </c>
      <c r="L391" s="81">
        <f>7.1399 * CHOOSE(CONTROL!$C$32, $C$9, 100%, $E$9)</f>
        <v>7.1398999999999999</v>
      </c>
      <c r="M391" s="81">
        <f>7.1463 * CHOOSE(CONTROL!$C$32, $C$9, 100%, $E$9)</f>
        <v>7.1463000000000001</v>
      </c>
      <c r="N391" s="81">
        <f>7.1399 * CHOOSE(CONTROL!$C$32, $C$9, 100%, $E$9)</f>
        <v>7.1398999999999999</v>
      </c>
      <c r="O391" s="81">
        <f>7.1463 * CHOOSE(CONTROL!$C$32, $C$9, 100%, $E$9)</f>
        <v>7.1463000000000001</v>
      </c>
    </row>
    <row r="392" spans="1:15" ht="15">
      <c r="A392" s="16">
        <v>53144</v>
      </c>
      <c r="B392" s="80">
        <f>5.955 * CHOOSE(CONTROL!$C$32, $C$9, 100%, $E$9)</f>
        <v>5.9550000000000001</v>
      </c>
      <c r="C392" s="80">
        <f>5.955 * CHOOSE(CONTROL!$C$32, $C$9, 100%, $E$9)</f>
        <v>5.9550000000000001</v>
      </c>
      <c r="D392" s="80">
        <f>5.9601 * CHOOSE(CONTROL!$C$32, $C$9, 100%, $E$9)</f>
        <v>5.9600999999999997</v>
      </c>
      <c r="E392" s="81">
        <f>7.2599 * CHOOSE(CONTROL!$C$32, $C$9, 100%, $E$9)</f>
        <v>7.2599</v>
      </c>
      <c r="F392" s="81">
        <f>7.2599 * CHOOSE(CONTROL!$C$32, $C$9, 100%, $E$9)</f>
        <v>7.2599</v>
      </c>
      <c r="G392" s="81">
        <f>7.2662 * CHOOSE(CONTROL!$C$32, $C$9, 100%, $E$9)</f>
        <v>7.2662000000000004</v>
      </c>
      <c r="H392" s="81">
        <f>12.7749 * CHOOSE(CONTROL!$C$32, $C$9, 100%, $E$9)</f>
        <v>12.774900000000001</v>
      </c>
      <c r="I392" s="81">
        <f>12.7812 * CHOOSE(CONTROL!$C$32, $C$9, 100%, $E$9)</f>
        <v>12.7812</v>
      </c>
      <c r="J392" s="81">
        <f>12.7749 * CHOOSE(CONTROL!$C$32, $C$9, 100%, $E$9)</f>
        <v>12.774900000000001</v>
      </c>
      <c r="K392" s="81">
        <f>12.7812 * CHOOSE(CONTROL!$C$32, $C$9, 100%, $E$9)</f>
        <v>12.7812</v>
      </c>
      <c r="L392" s="81">
        <f>7.2599 * CHOOSE(CONTROL!$C$32, $C$9, 100%, $E$9)</f>
        <v>7.2599</v>
      </c>
      <c r="M392" s="81">
        <f>7.2662 * CHOOSE(CONTROL!$C$32, $C$9, 100%, $E$9)</f>
        <v>7.2662000000000004</v>
      </c>
      <c r="N392" s="81">
        <f>7.2599 * CHOOSE(CONTROL!$C$32, $C$9, 100%, $E$9)</f>
        <v>7.2599</v>
      </c>
      <c r="O392" s="81">
        <f>7.2662 * CHOOSE(CONTROL!$C$32, $C$9, 100%, $E$9)</f>
        <v>7.2662000000000004</v>
      </c>
    </row>
    <row r="393" spans="1:15" ht="15">
      <c r="A393" s="16">
        <v>53175</v>
      </c>
      <c r="B393" s="80">
        <f>5.9617 * CHOOSE(CONTROL!$C$32, $C$9, 100%, $E$9)</f>
        <v>5.9617000000000004</v>
      </c>
      <c r="C393" s="80">
        <f>5.9617 * CHOOSE(CONTROL!$C$32, $C$9, 100%, $E$9)</f>
        <v>5.9617000000000004</v>
      </c>
      <c r="D393" s="80">
        <f>5.9668 * CHOOSE(CONTROL!$C$32, $C$9, 100%, $E$9)</f>
        <v>5.9668000000000001</v>
      </c>
      <c r="E393" s="81">
        <f>7.1569 * CHOOSE(CONTROL!$C$32, $C$9, 100%, $E$9)</f>
        <v>7.1569000000000003</v>
      </c>
      <c r="F393" s="81">
        <f>7.1569 * CHOOSE(CONTROL!$C$32, $C$9, 100%, $E$9)</f>
        <v>7.1569000000000003</v>
      </c>
      <c r="G393" s="81">
        <f>7.1633 * CHOOSE(CONTROL!$C$32, $C$9, 100%, $E$9)</f>
        <v>7.1632999999999996</v>
      </c>
      <c r="H393" s="81">
        <f>12.8015 * CHOOSE(CONTROL!$C$32, $C$9, 100%, $E$9)</f>
        <v>12.801500000000001</v>
      </c>
      <c r="I393" s="81">
        <f>12.8078 * CHOOSE(CONTROL!$C$32, $C$9, 100%, $E$9)</f>
        <v>12.8078</v>
      </c>
      <c r="J393" s="81">
        <f>12.8015 * CHOOSE(CONTROL!$C$32, $C$9, 100%, $E$9)</f>
        <v>12.801500000000001</v>
      </c>
      <c r="K393" s="81">
        <f>12.8078 * CHOOSE(CONTROL!$C$32, $C$9, 100%, $E$9)</f>
        <v>12.8078</v>
      </c>
      <c r="L393" s="81">
        <f>7.1569 * CHOOSE(CONTROL!$C$32, $C$9, 100%, $E$9)</f>
        <v>7.1569000000000003</v>
      </c>
      <c r="M393" s="81">
        <f>7.1633 * CHOOSE(CONTROL!$C$32, $C$9, 100%, $E$9)</f>
        <v>7.1632999999999996</v>
      </c>
      <c r="N393" s="81">
        <f>7.1569 * CHOOSE(CONTROL!$C$32, $C$9, 100%, $E$9)</f>
        <v>7.1569000000000003</v>
      </c>
      <c r="O393" s="81">
        <f>7.1633 * CHOOSE(CONTROL!$C$32, $C$9, 100%, $E$9)</f>
        <v>7.1632999999999996</v>
      </c>
    </row>
    <row r="394" spans="1:15" ht="15">
      <c r="A394" s="16">
        <v>53206</v>
      </c>
      <c r="B394" s="80">
        <f>5.9586 * CHOOSE(CONTROL!$C$32, $C$9, 100%, $E$9)</f>
        <v>5.9585999999999997</v>
      </c>
      <c r="C394" s="80">
        <f>5.9586 * CHOOSE(CONTROL!$C$32, $C$9, 100%, $E$9)</f>
        <v>5.9585999999999997</v>
      </c>
      <c r="D394" s="80">
        <f>5.9638 * CHOOSE(CONTROL!$C$32, $C$9, 100%, $E$9)</f>
        <v>5.9638</v>
      </c>
      <c r="E394" s="81">
        <f>7.1429 * CHOOSE(CONTROL!$C$32, $C$9, 100%, $E$9)</f>
        <v>7.1429</v>
      </c>
      <c r="F394" s="81">
        <f>7.1429 * CHOOSE(CONTROL!$C$32, $C$9, 100%, $E$9)</f>
        <v>7.1429</v>
      </c>
      <c r="G394" s="81">
        <f>7.1492 * CHOOSE(CONTROL!$C$32, $C$9, 100%, $E$9)</f>
        <v>7.1492000000000004</v>
      </c>
      <c r="H394" s="81">
        <f>12.8282 * CHOOSE(CONTROL!$C$32, $C$9, 100%, $E$9)</f>
        <v>12.828200000000001</v>
      </c>
      <c r="I394" s="81">
        <f>12.8345 * CHOOSE(CONTROL!$C$32, $C$9, 100%, $E$9)</f>
        <v>12.8345</v>
      </c>
      <c r="J394" s="81">
        <f>12.8282 * CHOOSE(CONTROL!$C$32, $C$9, 100%, $E$9)</f>
        <v>12.828200000000001</v>
      </c>
      <c r="K394" s="81">
        <f>12.8345 * CHOOSE(CONTROL!$C$32, $C$9, 100%, $E$9)</f>
        <v>12.8345</v>
      </c>
      <c r="L394" s="81">
        <f>7.1429 * CHOOSE(CONTROL!$C$32, $C$9, 100%, $E$9)</f>
        <v>7.1429</v>
      </c>
      <c r="M394" s="81">
        <f>7.1492 * CHOOSE(CONTROL!$C$32, $C$9, 100%, $E$9)</f>
        <v>7.1492000000000004</v>
      </c>
      <c r="N394" s="81">
        <f>7.1429 * CHOOSE(CONTROL!$C$32, $C$9, 100%, $E$9)</f>
        <v>7.1429</v>
      </c>
      <c r="O394" s="81">
        <f>7.1492 * CHOOSE(CONTROL!$C$32, $C$9, 100%, $E$9)</f>
        <v>7.1492000000000004</v>
      </c>
    </row>
    <row r="395" spans="1:15" ht="15">
      <c r="A395" s="16">
        <v>53236</v>
      </c>
      <c r="B395" s="80">
        <f>5.9602 * CHOOSE(CONTROL!$C$32, $C$9, 100%, $E$9)</f>
        <v>5.9602000000000004</v>
      </c>
      <c r="C395" s="80">
        <f>5.9602 * CHOOSE(CONTROL!$C$32, $C$9, 100%, $E$9)</f>
        <v>5.9602000000000004</v>
      </c>
      <c r="D395" s="80">
        <f>5.9637 * CHOOSE(CONTROL!$C$32, $C$9, 100%, $E$9)</f>
        <v>5.9637000000000002</v>
      </c>
      <c r="E395" s="81">
        <f>7.1773 * CHOOSE(CONTROL!$C$32, $C$9, 100%, $E$9)</f>
        <v>7.1772999999999998</v>
      </c>
      <c r="F395" s="81">
        <f>7.1773 * CHOOSE(CONTROL!$C$32, $C$9, 100%, $E$9)</f>
        <v>7.1772999999999998</v>
      </c>
      <c r="G395" s="81">
        <f>7.1816 * CHOOSE(CONTROL!$C$32, $C$9, 100%, $E$9)</f>
        <v>7.1816000000000004</v>
      </c>
      <c r="H395" s="81">
        <f>12.8549 * CHOOSE(CONTROL!$C$32, $C$9, 100%, $E$9)</f>
        <v>12.854900000000001</v>
      </c>
      <c r="I395" s="81">
        <f>12.8593 * CHOOSE(CONTROL!$C$32, $C$9, 100%, $E$9)</f>
        <v>12.859299999999999</v>
      </c>
      <c r="J395" s="81">
        <f>12.8549 * CHOOSE(CONTROL!$C$32, $C$9, 100%, $E$9)</f>
        <v>12.854900000000001</v>
      </c>
      <c r="K395" s="81">
        <f>12.8593 * CHOOSE(CONTROL!$C$32, $C$9, 100%, $E$9)</f>
        <v>12.859299999999999</v>
      </c>
      <c r="L395" s="81">
        <f>7.1773 * CHOOSE(CONTROL!$C$32, $C$9, 100%, $E$9)</f>
        <v>7.1772999999999998</v>
      </c>
      <c r="M395" s="81">
        <f>7.1816 * CHOOSE(CONTROL!$C$32, $C$9, 100%, $E$9)</f>
        <v>7.1816000000000004</v>
      </c>
      <c r="N395" s="81">
        <f>7.1773 * CHOOSE(CONTROL!$C$32, $C$9, 100%, $E$9)</f>
        <v>7.1772999999999998</v>
      </c>
      <c r="O395" s="81">
        <f>7.1816 * CHOOSE(CONTROL!$C$32, $C$9, 100%, $E$9)</f>
        <v>7.1816000000000004</v>
      </c>
    </row>
    <row r="396" spans="1:15" ht="15">
      <c r="A396" s="16">
        <v>53267</v>
      </c>
      <c r="B396" s="80">
        <f>5.9632 * CHOOSE(CONTROL!$C$32, $C$9, 100%, $E$9)</f>
        <v>5.9631999999999996</v>
      </c>
      <c r="C396" s="80">
        <f>5.9632 * CHOOSE(CONTROL!$C$32, $C$9, 100%, $E$9)</f>
        <v>5.9631999999999996</v>
      </c>
      <c r="D396" s="80">
        <f>5.9668 * CHOOSE(CONTROL!$C$32, $C$9, 100%, $E$9)</f>
        <v>5.9668000000000001</v>
      </c>
      <c r="E396" s="81">
        <f>7.2033 * CHOOSE(CONTROL!$C$32, $C$9, 100%, $E$9)</f>
        <v>7.2032999999999996</v>
      </c>
      <c r="F396" s="81">
        <f>7.2033 * CHOOSE(CONTROL!$C$32, $C$9, 100%, $E$9)</f>
        <v>7.2032999999999996</v>
      </c>
      <c r="G396" s="81">
        <f>7.2077 * CHOOSE(CONTROL!$C$32, $C$9, 100%, $E$9)</f>
        <v>7.2077</v>
      </c>
      <c r="H396" s="81">
        <f>12.8817 * CHOOSE(CONTROL!$C$32, $C$9, 100%, $E$9)</f>
        <v>12.8817</v>
      </c>
      <c r="I396" s="81">
        <f>12.886 * CHOOSE(CONTROL!$C$32, $C$9, 100%, $E$9)</f>
        <v>12.885999999999999</v>
      </c>
      <c r="J396" s="81">
        <f>12.8817 * CHOOSE(CONTROL!$C$32, $C$9, 100%, $E$9)</f>
        <v>12.8817</v>
      </c>
      <c r="K396" s="81">
        <f>12.886 * CHOOSE(CONTROL!$C$32, $C$9, 100%, $E$9)</f>
        <v>12.885999999999999</v>
      </c>
      <c r="L396" s="81">
        <f>7.2033 * CHOOSE(CONTROL!$C$32, $C$9, 100%, $E$9)</f>
        <v>7.2032999999999996</v>
      </c>
      <c r="M396" s="81">
        <f>7.2077 * CHOOSE(CONTROL!$C$32, $C$9, 100%, $E$9)</f>
        <v>7.2077</v>
      </c>
      <c r="N396" s="81">
        <f>7.2033 * CHOOSE(CONTROL!$C$32, $C$9, 100%, $E$9)</f>
        <v>7.2032999999999996</v>
      </c>
      <c r="O396" s="81">
        <f>7.2077 * CHOOSE(CONTROL!$C$32, $C$9, 100%, $E$9)</f>
        <v>7.2077</v>
      </c>
    </row>
    <row r="397" spans="1:15" ht="15">
      <c r="A397" s="16">
        <v>53297</v>
      </c>
      <c r="B397" s="80">
        <f>5.9632 * CHOOSE(CONTROL!$C$32, $C$9, 100%, $E$9)</f>
        <v>5.9631999999999996</v>
      </c>
      <c r="C397" s="80">
        <f>5.9632 * CHOOSE(CONTROL!$C$32, $C$9, 100%, $E$9)</f>
        <v>5.9631999999999996</v>
      </c>
      <c r="D397" s="80">
        <f>5.9668 * CHOOSE(CONTROL!$C$32, $C$9, 100%, $E$9)</f>
        <v>5.9668000000000001</v>
      </c>
      <c r="E397" s="81">
        <f>7.1435 * CHOOSE(CONTROL!$C$32, $C$9, 100%, $E$9)</f>
        <v>7.1435000000000004</v>
      </c>
      <c r="F397" s="81">
        <f>7.1435 * CHOOSE(CONTROL!$C$32, $C$9, 100%, $E$9)</f>
        <v>7.1435000000000004</v>
      </c>
      <c r="G397" s="81">
        <f>7.1479 * CHOOSE(CONTROL!$C$32, $C$9, 100%, $E$9)</f>
        <v>7.1478999999999999</v>
      </c>
      <c r="H397" s="81">
        <f>12.9085 * CHOOSE(CONTROL!$C$32, $C$9, 100%, $E$9)</f>
        <v>12.9085</v>
      </c>
      <c r="I397" s="81">
        <f>12.9129 * CHOOSE(CONTROL!$C$32, $C$9, 100%, $E$9)</f>
        <v>12.9129</v>
      </c>
      <c r="J397" s="81">
        <f>12.9085 * CHOOSE(CONTROL!$C$32, $C$9, 100%, $E$9)</f>
        <v>12.9085</v>
      </c>
      <c r="K397" s="81">
        <f>12.9129 * CHOOSE(CONTROL!$C$32, $C$9, 100%, $E$9)</f>
        <v>12.9129</v>
      </c>
      <c r="L397" s="81">
        <f>7.1435 * CHOOSE(CONTROL!$C$32, $C$9, 100%, $E$9)</f>
        <v>7.1435000000000004</v>
      </c>
      <c r="M397" s="81">
        <f>7.1479 * CHOOSE(CONTROL!$C$32, $C$9, 100%, $E$9)</f>
        <v>7.1478999999999999</v>
      </c>
      <c r="N397" s="81">
        <f>7.1435 * CHOOSE(CONTROL!$C$32, $C$9, 100%, $E$9)</f>
        <v>7.1435000000000004</v>
      </c>
      <c r="O397" s="81">
        <f>7.1479 * CHOOSE(CONTROL!$C$32, $C$9, 100%, $E$9)</f>
        <v>7.1478999999999999</v>
      </c>
    </row>
    <row r="398" spans="1:15" ht="15">
      <c r="A398" s="16">
        <v>53328</v>
      </c>
      <c r="B398" s="80">
        <f>6.0155 * CHOOSE(CONTROL!$C$32, $C$9, 100%, $E$9)</f>
        <v>6.0155000000000003</v>
      </c>
      <c r="C398" s="80">
        <f>6.0155 * CHOOSE(CONTROL!$C$32, $C$9, 100%, $E$9)</f>
        <v>6.0155000000000003</v>
      </c>
      <c r="D398" s="80">
        <f>6.0191 * CHOOSE(CONTROL!$C$32, $C$9, 100%, $E$9)</f>
        <v>6.0190999999999999</v>
      </c>
      <c r="E398" s="81">
        <f>7.2452 * CHOOSE(CONTROL!$C$32, $C$9, 100%, $E$9)</f>
        <v>7.2451999999999996</v>
      </c>
      <c r="F398" s="81">
        <f>7.2452 * CHOOSE(CONTROL!$C$32, $C$9, 100%, $E$9)</f>
        <v>7.2451999999999996</v>
      </c>
      <c r="G398" s="81">
        <f>7.2495 * CHOOSE(CONTROL!$C$32, $C$9, 100%, $E$9)</f>
        <v>7.2495000000000003</v>
      </c>
      <c r="H398" s="81">
        <f>12.9354 * CHOOSE(CONTROL!$C$32, $C$9, 100%, $E$9)</f>
        <v>12.9354</v>
      </c>
      <c r="I398" s="81">
        <f>12.9398 * CHOOSE(CONTROL!$C$32, $C$9, 100%, $E$9)</f>
        <v>12.9398</v>
      </c>
      <c r="J398" s="81">
        <f>12.9354 * CHOOSE(CONTROL!$C$32, $C$9, 100%, $E$9)</f>
        <v>12.9354</v>
      </c>
      <c r="K398" s="81">
        <f>12.9398 * CHOOSE(CONTROL!$C$32, $C$9, 100%, $E$9)</f>
        <v>12.9398</v>
      </c>
      <c r="L398" s="81">
        <f>7.2452 * CHOOSE(CONTROL!$C$32, $C$9, 100%, $E$9)</f>
        <v>7.2451999999999996</v>
      </c>
      <c r="M398" s="81">
        <f>7.2495 * CHOOSE(CONTROL!$C$32, $C$9, 100%, $E$9)</f>
        <v>7.2495000000000003</v>
      </c>
      <c r="N398" s="81">
        <f>7.2452 * CHOOSE(CONTROL!$C$32, $C$9, 100%, $E$9)</f>
        <v>7.2451999999999996</v>
      </c>
      <c r="O398" s="81">
        <f>7.2495 * CHOOSE(CONTROL!$C$32, $C$9, 100%, $E$9)</f>
        <v>7.2495000000000003</v>
      </c>
    </row>
    <row r="399" spans="1:15" ht="15">
      <c r="A399" s="16">
        <v>53359</v>
      </c>
      <c r="B399" s="80">
        <f>6.0125 * CHOOSE(CONTROL!$C$32, $C$9, 100%, $E$9)</f>
        <v>6.0125000000000002</v>
      </c>
      <c r="C399" s="80">
        <f>6.0125 * CHOOSE(CONTROL!$C$32, $C$9, 100%, $E$9)</f>
        <v>6.0125000000000002</v>
      </c>
      <c r="D399" s="80">
        <f>6.016 * CHOOSE(CONTROL!$C$32, $C$9, 100%, $E$9)</f>
        <v>6.016</v>
      </c>
      <c r="E399" s="81">
        <f>7.1269 * CHOOSE(CONTROL!$C$32, $C$9, 100%, $E$9)</f>
        <v>7.1269</v>
      </c>
      <c r="F399" s="81">
        <f>7.1269 * CHOOSE(CONTROL!$C$32, $C$9, 100%, $E$9)</f>
        <v>7.1269</v>
      </c>
      <c r="G399" s="81">
        <f>7.1313 * CHOOSE(CONTROL!$C$32, $C$9, 100%, $E$9)</f>
        <v>7.1313000000000004</v>
      </c>
      <c r="H399" s="81">
        <f>12.9624 * CHOOSE(CONTROL!$C$32, $C$9, 100%, $E$9)</f>
        <v>12.962400000000001</v>
      </c>
      <c r="I399" s="81">
        <f>12.9667 * CHOOSE(CONTROL!$C$32, $C$9, 100%, $E$9)</f>
        <v>12.966699999999999</v>
      </c>
      <c r="J399" s="81">
        <f>12.9624 * CHOOSE(CONTROL!$C$32, $C$9, 100%, $E$9)</f>
        <v>12.962400000000001</v>
      </c>
      <c r="K399" s="81">
        <f>12.9667 * CHOOSE(CONTROL!$C$32, $C$9, 100%, $E$9)</f>
        <v>12.966699999999999</v>
      </c>
      <c r="L399" s="81">
        <f>7.1269 * CHOOSE(CONTROL!$C$32, $C$9, 100%, $E$9)</f>
        <v>7.1269</v>
      </c>
      <c r="M399" s="81">
        <f>7.1313 * CHOOSE(CONTROL!$C$32, $C$9, 100%, $E$9)</f>
        <v>7.1313000000000004</v>
      </c>
      <c r="N399" s="81">
        <f>7.1269 * CHOOSE(CONTROL!$C$32, $C$9, 100%, $E$9)</f>
        <v>7.1269</v>
      </c>
      <c r="O399" s="81">
        <f>7.1313 * CHOOSE(CONTROL!$C$32, $C$9, 100%, $E$9)</f>
        <v>7.1313000000000004</v>
      </c>
    </row>
    <row r="400" spans="1:15" ht="15">
      <c r="A400" s="16">
        <v>53387</v>
      </c>
      <c r="B400" s="80">
        <f>6.0094 * CHOOSE(CONTROL!$C$32, $C$9, 100%, $E$9)</f>
        <v>6.0094000000000003</v>
      </c>
      <c r="C400" s="80">
        <f>6.0094 * CHOOSE(CONTROL!$C$32, $C$9, 100%, $E$9)</f>
        <v>6.0094000000000003</v>
      </c>
      <c r="D400" s="80">
        <f>6.013 * CHOOSE(CONTROL!$C$32, $C$9, 100%, $E$9)</f>
        <v>6.0129999999999999</v>
      </c>
      <c r="E400" s="81">
        <f>7.2164 * CHOOSE(CONTROL!$C$32, $C$9, 100%, $E$9)</f>
        <v>7.2164000000000001</v>
      </c>
      <c r="F400" s="81">
        <f>7.2164 * CHOOSE(CONTROL!$C$32, $C$9, 100%, $E$9)</f>
        <v>7.2164000000000001</v>
      </c>
      <c r="G400" s="81">
        <f>7.2207 * CHOOSE(CONTROL!$C$32, $C$9, 100%, $E$9)</f>
        <v>7.2206999999999999</v>
      </c>
      <c r="H400" s="81">
        <f>12.9894 * CHOOSE(CONTROL!$C$32, $C$9, 100%, $E$9)</f>
        <v>12.9894</v>
      </c>
      <c r="I400" s="81">
        <f>12.9937 * CHOOSE(CONTROL!$C$32, $C$9, 100%, $E$9)</f>
        <v>12.9937</v>
      </c>
      <c r="J400" s="81">
        <f>12.9894 * CHOOSE(CONTROL!$C$32, $C$9, 100%, $E$9)</f>
        <v>12.9894</v>
      </c>
      <c r="K400" s="81">
        <f>12.9937 * CHOOSE(CONTROL!$C$32, $C$9, 100%, $E$9)</f>
        <v>12.9937</v>
      </c>
      <c r="L400" s="81">
        <f>7.2164 * CHOOSE(CONTROL!$C$32, $C$9, 100%, $E$9)</f>
        <v>7.2164000000000001</v>
      </c>
      <c r="M400" s="81">
        <f>7.2207 * CHOOSE(CONTROL!$C$32, $C$9, 100%, $E$9)</f>
        <v>7.2206999999999999</v>
      </c>
      <c r="N400" s="81">
        <f>7.2164 * CHOOSE(CONTROL!$C$32, $C$9, 100%, $E$9)</f>
        <v>7.2164000000000001</v>
      </c>
      <c r="O400" s="81">
        <f>7.2207 * CHOOSE(CONTROL!$C$32, $C$9, 100%, $E$9)</f>
        <v>7.2206999999999999</v>
      </c>
    </row>
    <row r="401" spans="1:15" ht="15">
      <c r="A401" s="16">
        <v>53418</v>
      </c>
      <c r="B401" s="80">
        <f>6.0088 * CHOOSE(CONTROL!$C$32, $C$9, 100%, $E$9)</f>
        <v>6.0087999999999999</v>
      </c>
      <c r="C401" s="80">
        <f>6.0088 * CHOOSE(CONTROL!$C$32, $C$9, 100%, $E$9)</f>
        <v>6.0087999999999999</v>
      </c>
      <c r="D401" s="80">
        <f>6.0124 * CHOOSE(CONTROL!$C$32, $C$9, 100%, $E$9)</f>
        <v>6.0124000000000004</v>
      </c>
      <c r="E401" s="81">
        <f>7.3105 * CHOOSE(CONTROL!$C$32, $C$9, 100%, $E$9)</f>
        <v>7.3105000000000002</v>
      </c>
      <c r="F401" s="81">
        <f>7.3105 * CHOOSE(CONTROL!$C$32, $C$9, 100%, $E$9)</f>
        <v>7.3105000000000002</v>
      </c>
      <c r="G401" s="81">
        <f>7.3148 * CHOOSE(CONTROL!$C$32, $C$9, 100%, $E$9)</f>
        <v>7.3148</v>
      </c>
      <c r="H401" s="81">
        <f>13.0164 * CHOOSE(CONTROL!$C$32, $C$9, 100%, $E$9)</f>
        <v>13.016400000000001</v>
      </c>
      <c r="I401" s="81">
        <f>13.0208 * CHOOSE(CONTROL!$C$32, $C$9, 100%, $E$9)</f>
        <v>13.020799999999999</v>
      </c>
      <c r="J401" s="81">
        <f>13.0164 * CHOOSE(CONTROL!$C$32, $C$9, 100%, $E$9)</f>
        <v>13.016400000000001</v>
      </c>
      <c r="K401" s="81">
        <f>13.0208 * CHOOSE(CONTROL!$C$32, $C$9, 100%, $E$9)</f>
        <v>13.020799999999999</v>
      </c>
      <c r="L401" s="81">
        <f>7.3105 * CHOOSE(CONTROL!$C$32, $C$9, 100%, $E$9)</f>
        <v>7.3105000000000002</v>
      </c>
      <c r="M401" s="81">
        <f>7.3148 * CHOOSE(CONTROL!$C$32, $C$9, 100%, $E$9)</f>
        <v>7.3148</v>
      </c>
      <c r="N401" s="81">
        <f>7.3105 * CHOOSE(CONTROL!$C$32, $C$9, 100%, $E$9)</f>
        <v>7.3105000000000002</v>
      </c>
      <c r="O401" s="81">
        <f>7.3148 * CHOOSE(CONTROL!$C$32, $C$9, 100%, $E$9)</f>
        <v>7.3148</v>
      </c>
    </row>
    <row r="402" spans="1:15" ht="15">
      <c r="A402" s="16">
        <v>53448</v>
      </c>
      <c r="B402" s="80">
        <f>6.0088 * CHOOSE(CONTROL!$C$32, $C$9, 100%, $E$9)</f>
        <v>6.0087999999999999</v>
      </c>
      <c r="C402" s="80">
        <f>6.0088 * CHOOSE(CONTROL!$C$32, $C$9, 100%, $E$9)</f>
        <v>6.0087999999999999</v>
      </c>
      <c r="D402" s="80">
        <f>6.014 * CHOOSE(CONTROL!$C$32, $C$9, 100%, $E$9)</f>
        <v>6.0140000000000002</v>
      </c>
      <c r="E402" s="81">
        <f>7.3474 * CHOOSE(CONTROL!$C$32, $C$9, 100%, $E$9)</f>
        <v>7.3474000000000004</v>
      </c>
      <c r="F402" s="81">
        <f>7.3474 * CHOOSE(CONTROL!$C$32, $C$9, 100%, $E$9)</f>
        <v>7.3474000000000004</v>
      </c>
      <c r="G402" s="81">
        <f>7.3537 * CHOOSE(CONTROL!$C$32, $C$9, 100%, $E$9)</f>
        <v>7.3536999999999999</v>
      </c>
      <c r="H402" s="81">
        <f>13.0435 * CHOOSE(CONTROL!$C$32, $C$9, 100%, $E$9)</f>
        <v>13.0435</v>
      </c>
      <c r="I402" s="81">
        <f>13.0499 * CHOOSE(CONTROL!$C$32, $C$9, 100%, $E$9)</f>
        <v>13.049899999999999</v>
      </c>
      <c r="J402" s="81">
        <f>13.0435 * CHOOSE(CONTROL!$C$32, $C$9, 100%, $E$9)</f>
        <v>13.0435</v>
      </c>
      <c r="K402" s="81">
        <f>13.0499 * CHOOSE(CONTROL!$C$32, $C$9, 100%, $E$9)</f>
        <v>13.049899999999999</v>
      </c>
      <c r="L402" s="81">
        <f>7.3474 * CHOOSE(CONTROL!$C$32, $C$9, 100%, $E$9)</f>
        <v>7.3474000000000004</v>
      </c>
      <c r="M402" s="81">
        <f>7.3537 * CHOOSE(CONTROL!$C$32, $C$9, 100%, $E$9)</f>
        <v>7.3536999999999999</v>
      </c>
      <c r="N402" s="81">
        <f>7.3474 * CHOOSE(CONTROL!$C$32, $C$9, 100%, $E$9)</f>
        <v>7.3474000000000004</v>
      </c>
      <c r="O402" s="81">
        <f>7.3537 * CHOOSE(CONTROL!$C$32, $C$9, 100%, $E$9)</f>
        <v>7.3536999999999999</v>
      </c>
    </row>
    <row r="403" spans="1:15" ht="15">
      <c r="A403" s="16">
        <v>53479</v>
      </c>
      <c r="B403" s="80">
        <f>6.0149 * CHOOSE(CONTROL!$C$32, $C$9, 100%, $E$9)</f>
        <v>6.0148999999999999</v>
      </c>
      <c r="C403" s="80">
        <f>6.0149 * CHOOSE(CONTROL!$C$32, $C$9, 100%, $E$9)</f>
        <v>6.0148999999999999</v>
      </c>
      <c r="D403" s="80">
        <f>6.0201 * CHOOSE(CONTROL!$C$32, $C$9, 100%, $E$9)</f>
        <v>6.0201000000000002</v>
      </c>
      <c r="E403" s="81">
        <f>7.3147 * CHOOSE(CONTROL!$C$32, $C$9, 100%, $E$9)</f>
        <v>7.3147000000000002</v>
      </c>
      <c r="F403" s="81">
        <f>7.3147 * CHOOSE(CONTROL!$C$32, $C$9, 100%, $E$9)</f>
        <v>7.3147000000000002</v>
      </c>
      <c r="G403" s="81">
        <f>7.321 * CHOOSE(CONTROL!$C$32, $C$9, 100%, $E$9)</f>
        <v>7.3209999999999997</v>
      </c>
      <c r="H403" s="81">
        <f>13.0707 * CHOOSE(CONTROL!$C$32, $C$9, 100%, $E$9)</f>
        <v>13.0707</v>
      </c>
      <c r="I403" s="81">
        <f>13.077 * CHOOSE(CONTROL!$C$32, $C$9, 100%, $E$9)</f>
        <v>13.077</v>
      </c>
      <c r="J403" s="81">
        <f>13.0707 * CHOOSE(CONTROL!$C$32, $C$9, 100%, $E$9)</f>
        <v>13.0707</v>
      </c>
      <c r="K403" s="81">
        <f>13.077 * CHOOSE(CONTROL!$C$32, $C$9, 100%, $E$9)</f>
        <v>13.077</v>
      </c>
      <c r="L403" s="81">
        <f>7.3147 * CHOOSE(CONTROL!$C$32, $C$9, 100%, $E$9)</f>
        <v>7.3147000000000002</v>
      </c>
      <c r="M403" s="81">
        <f>7.321 * CHOOSE(CONTROL!$C$32, $C$9, 100%, $E$9)</f>
        <v>7.3209999999999997</v>
      </c>
      <c r="N403" s="81">
        <f>7.3147 * CHOOSE(CONTROL!$C$32, $C$9, 100%, $E$9)</f>
        <v>7.3147000000000002</v>
      </c>
      <c r="O403" s="81">
        <f>7.321 * CHOOSE(CONTROL!$C$32, $C$9, 100%, $E$9)</f>
        <v>7.3209999999999997</v>
      </c>
    </row>
    <row r="404" spans="1:15" ht="15">
      <c r="A404" s="16">
        <v>53509</v>
      </c>
      <c r="B404" s="80">
        <f>6.1119 * CHOOSE(CONTROL!$C$32, $C$9, 100%, $E$9)</f>
        <v>6.1119000000000003</v>
      </c>
      <c r="C404" s="80">
        <f>6.1119 * CHOOSE(CONTROL!$C$32, $C$9, 100%, $E$9)</f>
        <v>6.1119000000000003</v>
      </c>
      <c r="D404" s="80">
        <f>6.1171 * CHOOSE(CONTROL!$C$32, $C$9, 100%, $E$9)</f>
        <v>6.1170999999999998</v>
      </c>
      <c r="E404" s="81">
        <f>7.4374 * CHOOSE(CONTROL!$C$32, $C$9, 100%, $E$9)</f>
        <v>7.4374000000000002</v>
      </c>
      <c r="F404" s="81">
        <f>7.4374 * CHOOSE(CONTROL!$C$32, $C$9, 100%, $E$9)</f>
        <v>7.4374000000000002</v>
      </c>
      <c r="G404" s="81">
        <f>7.4437 * CHOOSE(CONTROL!$C$32, $C$9, 100%, $E$9)</f>
        <v>7.4436999999999998</v>
      </c>
      <c r="H404" s="81">
        <f>13.0979 * CHOOSE(CONTROL!$C$32, $C$9, 100%, $E$9)</f>
        <v>13.097899999999999</v>
      </c>
      <c r="I404" s="81">
        <f>13.1043 * CHOOSE(CONTROL!$C$32, $C$9, 100%, $E$9)</f>
        <v>13.1043</v>
      </c>
      <c r="J404" s="81">
        <f>13.0979 * CHOOSE(CONTROL!$C$32, $C$9, 100%, $E$9)</f>
        <v>13.097899999999999</v>
      </c>
      <c r="K404" s="81">
        <f>13.1043 * CHOOSE(CONTROL!$C$32, $C$9, 100%, $E$9)</f>
        <v>13.1043</v>
      </c>
      <c r="L404" s="81">
        <f>7.4374 * CHOOSE(CONTROL!$C$32, $C$9, 100%, $E$9)</f>
        <v>7.4374000000000002</v>
      </c>
      <c r="M404" s="81">
        <f>7.4437 * CHOOSE(CONTROL!$C$32, $C$9, 100%, $E$9)</f>
        <v>7.4436999999999998</v>
      </c>
      <c r="N404" s="81">
        <f>7.4374 * CHOOSE(CONTROL!$C$32, $C$9, 100%, $E$9)</f>
        <v>7.4374000000000002</v>
      </c>
      <c r="O404" s="81">
        <f>7.4437 * CHOOSE(CONTROL!$C$32, $C$9, 100%, $E$9)</f>
        <v>7.4436999999999998</v>
      </c>
    </row>
    <row r="405" spans="1:15" ht="15">
      <c r="A405" s="16">
        <v>53540</v>
      </c>
      <c r="B405" s="80">
        <f>6.1186 * CHOOSE(CONTROL!$C$32, $C$9, 100%, $E$9)</f>
        <v>6.1185999999999998</v>
      </c>
      <c r="C405" s="80">
        <f>6.1186 * CHOOSE(CONTROL!$C$32, $C$9, 100%, $E$9)</f>
        <v>6.1185999999999998</v>
      </c>
      <c r="D405" s="80">
        <f>6.1238 * CHOOSE(CONTROL!$C$32, $C$9, 100%, $E$9)</f>
        <v>6.1238000000000001</v>
      </c>
      <c r="E405" s="81">
        <f>7.3314 * CHOOSE(CONTROL!$C$32, $C$9, 100%, $E$9)</f>
        <v>7.3314000000000004</v>
      </c>
      <c r="F405" s="81">
        <f>7.3314 * CHOOSE(CONTROL!$C$32, $C$9, 100%, $E$9)</f>
        <v>7.3314000000000004</v>
      </c>
      <c r="G405" s="81">
        <f>7.3377 * CHOOSE(CONTROL!$C$32, $C$9, 100%, $E$9)</f>
        <v>7.3376999999999999</v>
      </c>
      <c r="H405" s="81">
        <f>13.1252 * CHOOSE(CONTROL!$C$32, $C$9, 100%, $E$9)</f>
        <v>13.1252</v>
      </c>
      <c r="I405" s="81">
        <f>13.1316 * CHOOSE(CONTROL!$C$32, $C$9, 100%, $E$9)</f>
        <v>13.131600000000001</v>
      </c>
      <c r="J405" s="81">
        <f>13.1252 * CHOOSE(CONTROL!$C$32, $C$9, 100%, $E$9)</f>
        <v>13.1252</v>
      </c>
      <c r="K405" s="81">
        <f>13.1316 * CHOOSE(CONTROL!$C$32, $C$9, 100%, $E$9)</f>
        <v>13.131600000000001</v>
      </c>
      <c r="L405" s="81">
        <f>7.3314 * CHOOSE(CONTROL!$C$32, $C$9, 100%, $E$9)</f>
        <v>7.3314000000000004</v>
      </c>
      <c r="M405" s="81">
        <f>7.3377 * CHOOSE(CONTROL!$C$32, $C$9, 100%, $E$9)</f>
        <v>7.3376999999999999</v>
      </c>
      <c r="N405" s="81">
        <f>7.3314 * CHOOSE(CONTROL!$C$32, $C$9, 100%, $E$9)</f>
        <v>7.3314000000000004</v>
      </c>
      <c r="O405" s="81">
        <f>7.3377 * CHOOSE(CONTROL!$C$32, $C$9, 100%, $E$9)</f>
        <v>7.3376999999999999</v>
      </c>
    </row>
    <row r="406" spans="1:15" ht="15">
      <c r="A406" s="16">
        <v>53571</v>
      </c>
      <c r="B406" s="80">
        <f>6.1156 * CHOOSE(CONTROL!$C$32, $C$9, 100%, $E$9)</f>
        <v>6.1155999999999997</v>
      </c>
      <c r="C406" s="80">
        <f>6.1156 * CHOOSE(CONTROL!$C$32, $C$9, 100%, $E$9)</f>
        <v>6.1155999999999997</v>
      </c>
      <c r="D406" s="80">
        <f>6.1207 * CHOOSE(CONTROL!$C$32, $C$9, 100%, $E$9)</f>
        <v>6.1207000000000003</v>
      </c>
      <c r="E406" s="81">
        <f>7.317 * CHOOSE(CONTROL!$C$32, $C$9, 100%, $E$9)</f>
        <v>7.3170000000000002</v>
      </c>
      <c r="F406" s="81">
        <f>7.317 * CHOOSE(CONTROL!$C$32, $C$9, 100%, $E$9)</f>
        <v>7.3170000000000002</v>
      </c>
      <c r="G406" s="81">
        <f>7.3233 * CHOOSE(CONTROL!$C$32, $C$9, 100%, $E$9)</f>
        <v>7.3232999999999997</v>
      </c>
      <c r="H406" s="81">
        <f>13.1526 * CHOOSE(CONTROL!$C$32, $C$9, 100%, $E$9)</f>
        <v>13.1526</v>
      </c>
      <c r="I406" s="81">
        <f>13.1589 * CHOOSE(CONTROL!$C$32, $C$9, 100%, $E$9)</f>
        <v>13.158899999999999</v>
      </c>
      <c r="J406" s="81">
        <f>13.1526 * CHOOSE(CONTROL!$C$32, $C$9, 100%, $E$9)</f>
        <v>13.1526</v>
      </c>
      <c r="K406" s="81">
        <f>13.1589 * CHOOSE(CONTROL!$C$32, $C$9, 100%, $E$9)</f>
        <v>13.158899999999999</v>
      </c>
      <c r="L406" s="81">
        <f>7.317 * CHOOSE(CONTROL!$C$32, $C$9, 100%, $E$9)</f>
        <v>7.3170000000000002</v>
      </c>
      <c r="M406" s="81">
        <f>7.3233 * CHOOSE(CONTROL!$C$32, $C$9, 100%, $E$9)</f>
        <v>7.3232999999999997</v>
      </c>
      <c r="N406" s="81">
        <f>7.317 * CHOOSE(CONTROL!$C$32, $C$9, 100%, $E$9)</f>
        <v>7.3170000000000002</v>
      </c>
      <c r="O406" s="81">
        <f>7.3233 * CHOOSE(CONTROL!$C$32, $C$9, 100%, $E$9)</f>
        <v>7.3232999999999997</v>
      </c>
    </row>
    <row r="407" spans="1:15" ht="15">
      <c r="A407" s="16">
        <v>53601</v>
      </c>
      <c r="B407" s="80">
        <f>6.1176 * CHOOSE(CONTROL!$C$32, $C$9, 100%, $E$9)</f>
        <v>6.1176000000000004</v>
      </c>
      <c r="C407" s="80">
        <f>6.1176 * CHOOSE(CONTROL!$C$32, $C$9, 100%, $E$9)</f>
        <v>6.1176000000000004</v>
      </c>
      <c r="D407" s="80">
        <f>6.1212 * CHOOSE(CONTROL!$C$32, $C$9, 100%, $E$9)</f>
        <v>6.1212</v>
      </c>
      <c r="E407" s="81">
        <f>7.3527 * CHOOSE(CONTROL!$C$32, $C$9, 100%, $E$9)</f>
        <v>7.3526999999999996</v>
      </c>
      <c r="F407" s="81">
        <f>7.3527 * CHOOSE(CONTROL!$C$32, $C$9, 100%, $E$9)</f>
        <v>7.3526999999999996</v>
      </c>
      <c r="G407" s="81">
        <f>7.3571 * CHOOSE(CONTROL!$C$32, $C$9, 100%, $E$9)</f>
        <v>7.3571</v>
      </c>
      <c r="H407" s="81">
        <f>13.18 * CHOOSE(CONTROL!$C$32, $C$9, 100%, $E$9)</f>
        <v>13.18</v>
      </c>
      <c r="I407" s="81">
        <f>13.1843 * CHOOSE(CONTROL!$C$32, $C$9, 100%, $E$9)</f>
        <v>13.1843</v>
      </c>
      <c r="J407" s="81">
        <f>13.18 * CHOOSE(CONTROL!$C$32, $C$9, 100%, $E$9)</f>
        <v>13.18</v>
      </c>
      <c r="K407" s="81">
        <f>13.1843 * CHOOSE(CONTROL!$C$32, $C$9, 100%, $E$9)</f>
        <v>13.1843</v>
      </c>
      <c r="L407" s="81">
        <f>7.3527 * CHOOSE(CONTROL!$C$32, $C$9, 100%, $E$9)</f>
        <v>7.3526999999999996</v>
      </c>
      <c r="M407" s="81">
        <f>7.3571 * CHOOSE(CONTROL!$C$32, $C$9, 100%, $E$9)</f>
        <v>7.3571</v>
      </c>
      <c r="N407" s="81">
        <f>7.3527 * CHOOSE(CONTROL!$C$32, $C$9, 100%, $E$9)</f>
        <v>7.3526999999999996</v>
      </c>
      <c r="O407" s="81">
        <f>7.3571 * CHOOSE(CONTROL!$C$32, $C$9, 100%, $E$9)</f>
        <v>7.3571</v>
      </c>
    </row>
    <row r="408" spans="1:15" ht="15">
      <c r="A408" s="16">
        <v>53632</v>
      </c>
      <c r="B408" s="80">
        <f>6.1207 * CHOOSE(CONTROL!$C$32, $C$9, 100%, $E$9)</f>
        <v>6.1207000000000003</v>
      </c>
      <c r="C408" s="80">
        <f>6.1207 * CHOOSE(CONTROL!$C$32, $C$9, 100%, $E$9)</f>
        <v>6.1207000000000003</v>
      </c>
      <c r="D408" s="80">
        <f>6.1242 * CHOOSE(CONTROL!$C$32, $C$9, 100%, $E$9)</f>
        <v>6.1242000000000001</v>
      </c>
      <c r="E408" s="81">
        <f>7.3794 * CHOOSE(CONTROL!$C$32, $C$9, 100%, $E$9)</f>
        <v>7.3794000000000004</v>
      </c>
      <c r="F408" s="81">
        <f>7.3794 * CHOOSE(CONTROL!$C$32, $C$9, 100%, $E$9)</f>
        <v>7.3794000000000004</v>
      </c>
      <c r="G408" s="81">
        <f>7.3838 * CHOOSE(CONTROL!$C$32, $C$9, 100%, $E$9)</f>
        <v>7.3837999999999999</v>
      </c>
      <c r="H408" s="81">
        <f>13.2074 * CHOOSE(CONTROL!$C$32, $C$9, 100%, $E$9)</f>
        <v>13.2074</v>
      </c>
      <c r="I408" s="81">
        <f>13.2118 * CHOOSE(CONTROL!$C$32, $C$9, 100%, $E$9)</f>
        <v>13.2118</v>
      </c>
      <c r="J408" s="81">
        <f>13.2074 * CHOOSE(CONTROL!$C$32, $C$9, 100%, $E$9)</f>
        <v>13.2074</v>
      </c>
      <c r="K408" s="81">
        <f>13.2118 * CHOOSE(CONTROL!$C$32, $C$9, 100%, $E$9)</f>
        <v>13.2118</v>
      </c>
      <c r="L408" s="81">
        <f>7.3794 * CHOOSE(CONTROL!$C$32, $C$9, 100%, $E$9)</f>
        <v>7.3794000000000004</v>
      </c>
      <c r="M408" s="81">
        <f>7.3838 * CHOOSE(CONTROL!$C$32, $C$9, 100%, $E$9)</f>
        <v>7.3837999999999999</v>
      </c>
      <c r="N408" s="81">
        <f>7.3794 * CHOOSE(CONTROL!$C$32, $C$9, 100%, $E$9)</f>
        <v>7.3794000000000004</v>
      </c>
      <c r="O408" s="81">
        <f>7.3838 * CHOOSE(CONTROL!$C$32, $C$9, 100%, $E$9)</f>
        <v>7.3837999999999999</v>
      </c>
    </row>
    <row r="409" spans="1:15" ht="15">
      <c r="A409" s="16">
        <v>53662</v>
      </c>
      <c r="B409" s="80">
        <f>6.1207 * CHOOSE(CONTROL!$C$32, $C$9, 100%, $E$9)</f>
        <v>6.1207000000000003</v>
      </c>
      <c r="C409" s="80">
        <f>6.1207 * CHOOSE(CONTROL!$C$32, $C$9, 100%, $E$9)</f>
        <v>6.1207000000000003</v>
      </c>
      <c r="D409" s="80">
        <f>6.1242 * CHOOSE(CONTROL!$C$32, $C$9, 100%, $E$9)</f>
        <v>6.1242000000000001</v>
      </c>
      <c r="E409" s="81">
        <f>7.318 * CHOOSE(CONTROL!$C$32, $C$9, 100%, $E$9)</f>
        <v>7.3179999999999996</v>
      </c>
      <c r="F409" s="81">
        <f>7.318 * CHOOSE(CONTROL!$C$32, $C$9, 100%, $E$9)</f>
        <v>7.3179999999999996</v>
      </c>
      <c r="G409" s="81">
        <f>7.3223 * CHOOSE(CONTROL!$C$32, $C$9, 100%, $E$9)</f>
        <v>7.3223000000000003</v>
      </c>
      <c r="H409" s="81">
        <f>13.235 * CHOOSE(CONTROL!$C$32, $C$9, 100%, $E$9)</f>
        <v>13.234999999999999</v>
      </c>
      <c r="I409" s="81">
        <f>13.2393 * CHOOSE(CONTROL!$C$32, $C$9, 100%, $E$9)</f>
        <v>13.2393</v>
      </c>
      <c r="J409" s="81">
        <f>13.235 * CHOOSE(CONTROL!$C$32, $C$9, 100%, $E$9)</f>
        <v>13.234999999999999</v>
      </c>
      <c r="K409" s="81">
        <f>13.2393 * CHOOSE(CONTROL!$C$32, $C$9, 100%, $E$9)</f>
        <v>13.2393</v>
      </c>
      <c r="L409" s="81">
        <f>7.318 * CHOOSE(CONTROL!$C$32, $C$9, 100%, $E$9)</f>
        <v>7.3179999999999996</v>
      </c>
      <c r="M409" s="81">
        <f>7.3223 * CHOOSE(CONTROL!$C$32, $C$9, 100%, $E$9)</f>
        <v>7.3223000000000003</v>
      </c>
      <c r="N409" s="81">
        <f>7.318 * CHOOSE(CONTROL!$C$32, $C$9, 100%, $E$9)</f>
        <v>7.3179999999999996</v>
      </c>
      <c r="O409" s="81">
        <f>7.3223 * CHOOSE(CONTROL!$C$32, $C$9, 100%, $E$9)</f>
        <v>7.3223000000000003</v>
      </c>
    </row>
    <row r="410" spans="1:15" ht="15">
      <c r="A410" s="16">
        <v>53693</v>
      </c>
      <c r="B410" s="80">
        <f>6.1742 * CHOOSE(CONTROL!$C$32, $C$9, 100%, $E$9)</f>
        <v>6.1741999999999999</v>
      </c>
      <c r="C410" s="80">
        <f>6.1742 * CHOOSE(CONTROL!$C$32, $C$9, 100%, $E$9)</f>
        <v>6.1741999999999999</v>
      </c>
      <c r="D410" s="80">
        <f>6.1778 * CHOOSE(CONTROL!$C$32, $C$9, 100%, $E$9)</f>
        <v>6.1778000000000004</v>
      </c>
      <c r="E410" s="81">
        <f>7.4222 * CHOOSE(CONTROL!$C$32, $C$9, 100%, $E$9)</f>
        <v>7.4222000000000001</v>
      </c>
      <c r="F410" s="81">
        <f>7.4222 * CHOOSE(CONTROL!$C$32, $C$9, 100%, $E$9)</f>
        <v>7.4222000000000001</v>
      </c>
      <c r="G410" s="81">
        <f>7.4266 * CHOOSE(CONTROL!$C$32, $C$9, 100%, $E$9)</f>
        <v>7.4265999999999996</v>
      </c>
      <c r="H410" s="81">
        <f>13.2625 * CHOOSE(CONTROL!$C$32, $C$9, 100%, $E$9)</f>
        <v>13.262499999999999</v>
      </c>
      <c r="I410" s="81">
        <f>13.2669 * CHOOSE(CONTROL!$C$32, $C$9, 100%, $E$9)</f>
        <v>13.2669</v>
      </c>
      <c r="J410" s="81">
        <f>13.2625 * CHOOSE(CONTROL!$C$32, $C$9, 100%, $E$9)</f>
        <v>13.262499999999999</v>
      </c>
      <c r="K410" s="81">
        <f>13.2669 * CHOOSE(CONTROL!$C$32, $C$9, 100%, $E$9)</f>
        <v>13.2669</v>
      </c>
      <c r="L410" s="81">
        <f>7.4222 * CHOOSE(CONTROL!$C$32, $C$9, 100%, $E$9)</f>
        <v>7.4222000000000001</v>
      </c>
      <c r="M410" s="81">
        <f>7.4266 * CHOOSE(CONTROL!$C$32, $C$9, 100%, $E$9)</f>
        <v>7.4265999999999996</v>
      </c>
      <c r="N410" s="81">
        <f>7.4222 * CHOOSE(CONTROL!$C$32, $C$9, 100%, $E$9)</f>
        <v>7.4222000000000001</v>
      </c>
      <c r="O410" s="81">
        <f>7.4266 * CHOOSE(CONTROL!$C$32, $C$9, 100%, $E$9)</f>
        <v>7.4265999999999996</v>
      </c>
    </row>
    <row r="411" spans="1:15" ht="15">
      <c r="A411" s="16">
        <v>53724</v>
      </c>
      <c r="B411" s="80">
        <f>6.1712 * CHOOSE(CONTROL!$C$32, $C$9, 100%, $E$9)</f>
        <v>6.1711999999999998</v>
      </c>
      <c r="C411" s="80">
        <f>6.1712 * CHOOSE(CONTROL!$C$32, $C$9, 100%, $E$9)</f>
        <v>6.1711999999999998</v>
      </c>
      <c r="D411" s="80">
        <f>6.1747 * CHOOSE(CONTROL!$C$32, $C$9, 100%, $E$9)</f>
        <v>6.1746999999999996</v>
      </c>
      <c r="E411" s="81">
        <f>7.3006 * CHOOSE(CONTROL!$C$32, $C$9, 100%, $E$9)</f>
        <v>7.3006000000000002</v>
      </c>
      <c r="F411" s="81">
        <f>7.3006 * CHOOSE(CONTROL!$C$32, $C$9, 100%, $E$9)</f>
        <v>7.3006000000000002</v>
      </c>
      <c r="G411" s="81">
        <f>7.305 * CHOOSE(CONTROL!$C$32, $C$9, 100%, $E$9)</f>
        <v>7.3049999999999997</v>
      </c>
      <c r="H411" s="81">
        <f>13.2902 * CHOOSE(CONTROL!$C$32, $C$9, 100%, $E$9)</f>
        <v>13.2902</v>
      </c>
      <c r="I411" s="81">
        <f>13.2945 * CHOOSE(CONTROL!$C$32, $C$9, 100%, $E$9)</f>
        <v>13.294499999999999</v>
      </c>
      <c r="J411" s="81">
        <f>13.2902 * CHOOSE(CONTROL!$C$32, $C$9, 100%, $E$9)</f>
        <v>13.2902</v>
      </c>
      <c r="K411" s="81">
        <f>13.2945 * CHOOSE(CONTROL!$C$32, $C$9, 100%, $E$9)</f>
        <v>13.294499999999999</v>
      </c>
      <c r="L411" s="81">
        <f>7.3006 * CHOOSE(CONTROL!$C$32, $C$9, 100%, $E$9)</f>
        <v>7.3006000000000002</v>
      </c>
      <c r="M411" s="81">
        <f>7.305 * CHOOSE(CONTROL!$C$32, $C$9, 100%, $E$9)</f>
        <v>7.3049999999999997</v>
      </c>
      <c r="N411" s="81">
        <f>7.3006 * CHOOSE(CONTROL!$C$32, $C$9, 100%, $E$9)</f>
        <v>7.3006000000000002</v>
      </c>
      <c r="O411" s="81">
        <f>7.305 * CHOOSE(CONTROL!$C$32, $C$9, 100%, $E$9)</f>
        <v>7.3049999999999997</v>
      </c>
    </row>
    <row r="412" spans="1:15" ht="15">
      <c r="A412" s="16">
        <v>53752</v>
      </c>
      <c r="B412" s="80">
        <f>6.1681 * CHOOSE(CONTROL!$C$32, $C$9, 100%, $E$9)</f>
        <v>6.1680999999999999</v>
      </c>
      <c r="C412" s="80">
        <f>6.1681 * CHOOSE(CONTROL!$C$32, $C$9, 100%, $E$9)</f>
        <v>6.1680999999999999</v>
      </c>
      <c r="D412" s="80">
        <f>6.1717 * CHOOSE(CONTROL!$C$32, $C$9, 100%, $E$9)</f>
        <v>6.1717000000000004</v>
      </c>
      <c r="E412" s="81">
        <f>7.3927 * CHOOSE(CONTROL!$C$32, $C$9, 100%, $E$9)</f>
        <v>7.3926999999999996</v>
      </c>
      <c r="F412" s="81">
        <f>7.3927 * CHOOSE(CONTROL!$C$32, $C$9, 100%, $E$9)</f>
        <v>7.3926999999999996</v>
      </c>
      <c r="G412" s="81">
        <f>7.397 * CHOOSE(CONTROL!$C$32, $C$9, 100%, $E$9)</f>
        <v>7.3970000000000002</v>
      </c>
      <c r="H412" s="81">
        <f>13.3178 * CHOOSE(CONTROL!$C$32, $C$9, 100%, $E$9)</f>
        <v>13.3178</v>
      </c>
      <c r="I412" s="81">
        <f>13.3222 * CHOOSE(CONTROL!$C$32, $C$9, 100%, $E$9)</f>
        <v>13.3222</v>
      </c>
      <c r="J412" s="81">
        <f>13.3178 * CHOOSE(CONTROL!$C$32, $C$9, 100%, $E$9)</f>
        <v>13.3178</v>
      </c>
      <c r="K412" s="81">
        <f>13.3222 * CHOOSE(CONTROL!$C$32, $C$9, 100%, $E$9)</f>
        <v>13.3222</v>
      </c>
      <c r="L412" s="81">
        <f>7.3927 * CHOOSE(CONTROL!$C$32, $C$9, 100%, $E$9)</f>
        <v>7.3926999999999996</v>
      </c>
      <c r="M412" s="81">
        <f>7.397 * CHOOSE(CONTROL!$C$32, $C$9, 100%, $E$9)</f>
        <v>7.3970000000000002</v>
      </c>
      <c r="N412" s="81">
        <f>7.3927 * CHOOSE(CONTROL!$C$32, $C$9, 100%, $E$9)</f>
        <v>7.3926999999999996</v>
      </c>
      <c r="O412" s="81">
        <f>7.397 * CHOOSE(CONTROL!$C$32, $C$9, 100%, $E$9)</f>
        <v>7.3970000000000002</v>
      </c>
    </row>
    <row r="413" spans="1:15" ht="15">
      <c r="A413" s="16">
        <v>53783</v>
      </c>
      <c r="B413" s="80">
        <f>6.1677 * CHOOSE(CONTROL!$C$32, $C$9, 100%, $E$9)</f>
        <v>6.1677</v>
      </c>
      <c r="C413" s="80">
        <f>6.1677 * CHOOSE(CONTROL!$C$32, $C$9, 100%, $E$9)</f>
        <v>6.1677</v>
      </c>
      <c r="D413" s="80">
        <f>6.1712 * CHOOSE(CONTROL!$C$32, $C$9, 100%, $E$9)</f>
        <v>6.1711999999999998</v>
      </c>
      <c r="E413" s="81">
        <f>7.4896 * CHOOSE(CONTROL!$C$32, $C$9, 100%, $E$9)</f>
        <v>7.4896000000000003</v>
      </c>
      <c r="F413" s="81">
        <f>7.4896 * CHOOSE(CONTROL!$C$32, $C$9, 100%, $E$9)</f>
        <v>7.4896000000000003</v>
      </c>
      <c r="G413" s="81">
        <f>7.4939 * CHOOSE(CONTROL!$C$32, $C$9, 100%, $E$9)</f>
        <v>7.4939</v>
      </c>
      <c r="H413" s="81">
        <f>13.3456 * CHOOSE(CONTROL!$C$32, $C$9, 100%, $E$9)</f>
        <v>13.345599999999999</v>
      </c>
      <c r="I413" s="81">
        <f>13.35 * CHOOSE(CONTROL!$C$32, $C$9, 100%, $E$9)</f>
        <v>13.35</v>
      </c>
      <c r="J413" s="81">
        <f>13.3456 * CHOOSE(CONTROL!$C$32, $C$9, 100%, $E$9)</f>
        <v>13.345599999999999</v>
      </c>
      <c r="K413" s="81">
        <f>13.35 * CHOOSE(CONTROL!$C$32, $C$9, 100%, $E$9)</f>
        <v>13.35</v>
      </c>
      <c r="L413" s="81">
        <f>7.4896 * CHOOSE(CONTROL!$C$32, $C$9, 100%, $E$9)</f>
        <v>7.4896000000000003</v>
      </c>
      <c r="M413" s="81">
        <f>7.4939 * CHOOSE(CONTROL!$C$32, $C$9, 100%, $E$9)</f>
        <v>7.4939</v>
      </c>
      <c r="N413" s="81">
        <f>7.4896 * CHOOSE(CONTROL!$C$32, $C$9, 100%, $E$9)</f>
        <v>7.4896000000000003</v>
      </c>
      <c r="O413" s="81">
        <f>7.4939 * CHOOSE(CONTROL!$C$32, $C$9, 100%, $E$9)</f>
        <v>7.4939</v>
      </c>
    </row>
    <row r="414" spans="1:15" ht="15">
      <c r="A414" s="16">
        <v>53813</v>
      </c>
      <c r="B414" s="80">
        <f>6.1677 * CHOOSE(CONTROL!$C$32, $C$9, 100%, $E$9)</f>
        <v>6.1677</v>
      </c>
      <c r="C414" s="80">
        <f>6.1677 * CHOOSE(CONTROL!$C$32, $C$9, 100%, $E$9)</f>
        <v>6.1677</v>
      </c>
      <c r="D414" s="80">
        <f>6.1728 * CHOOSE(CONTROL!$C$32, $C$9, 100%, $E$9)</f>
        <v>6.1727999999999996</v>
      </c>
      <c r="E414" s="81">
        <f>7.5275 * CHOOSE(CONTROL!$C$32, $C$9, 100%, $E$9)</f>
        <v>7.5274999999999999</v>
      </c>
      <c r="F414" s="81">
        <f>7.5275 * CHOOSE(CONTROL!$C$32, $C$9, 100%, $E$9)</f>
        <v>7.5274999999999999</v>
      </c>
      <c r="G414" s="81">
        <f>7.5338 * CHOOSE(CONTROL!$C$32, $C$9, 100%, $E$9)</f>
        <v>7.5338000000000003</v>
      </c>
      <c r="H414" s="81">
        <f>13.3734 * CHOOSE(CONTROL!$C$32, $C$9, 100%, $E$9)</f>
        <v>13.3734</v>
      </c>
      <c r="I414" s="81">
        <f>13.3797 * CHOOSE(CONTROL!$C$32, $C$9, 100%, $E$9)</f>
        <v>13.3797</v>
      </c>
      <c r="J414" s="81">
        <f>13.3734 * CHOOSE(CONTROL!$C$32, $C$9, 100%, $E$9)</f>
        <v>13.3734</v>
      </c>
      <c r="K414" s="81">
        <f>13.3797 * CHOOSE(CONTROL!$C$32, $C$9, 100%, $E$9)</f>
        <v>13.3797</v>
      </c>
      <c r="L414" s="81">
        <f>7.5275 * CHOOSE(CONTROL!$C$32, $C$9, 100%, $E$9)</f>
        <v>7.5274999999999999</v>
      </c>
      <c r="M414" s="81">
        <f>7.5338 * CHOOSE(CONTROL!$C$32, $C$9, 100%, $E$9)</f>
        <v>7.5338000000000003</v>
      </c>
      <c r="N414" s="81">
        <f>7.5275 * CHOOSE(CONTROL!$C$32, $C$9, 100%, $E$9)</f>
        <v>7.5274999999999999</v>
      </c>
      <c r="O414" s="81">
        <f>7.5338 * CHOOSE(CONTROL!$C$32, $C$9, 100%, $E$9)</f>
        <v>7.5338000000000003</v>
      </c>
    </row>
    <row r="415" spans="1:15" ht="15">
      <c r="A415" s="16">
        <v>53844</v>
      </c>
      <c r="B415" s="80">
        <f>6.1737 * CHOOSE(CONTROL!$C$32, $C$9, 100%, $E$9)</f>
        <v>6.1737000000000002</v>
      </c>
      <c r="C415" s="80">
        <f>6.1737 * CHOOSE(CONTROL!$C$32, $C$9, 100%, $E$9)</f>
        <v>6.1737000000000002</v>
      </c>
      <c r="D415" s="80">
        <f>6.1789 * CHOOSE(CONTROL!$C$32, $C$9, 100%, $E$9)</f>
        <v>6.1788999999999996</v>
      </c>
      <c r="E415" s="81">
        <f>7.4938 * CHOOSE(CONTROL!$C$32, $C$9, 100%, $E$9)</f>
        <v>7.4938000000000002</v>
      </c>
      <c r="F415" s="81">
        <f>7.4938 * CHOOSE(CONTROL!$C$32, $C$9, 100%, $E$9)</f>
        <v>7.4938000000000002</v>
      </c>
      <c r="G415" s="81">
        <f>7.5001 * CHOOSE(CONTROL!$C$32, $C$9, 100%, $E$9)</f>
        <v>7.5000999999999998</v>
      </c>
      <c r="H415" s="81">
        <f>13.4013 * CHOOSE(CONTROL!$C$32, $C$9, 100%, $E$9)</f>
        <v>13.401300000000001</v>
      </c>
      <c r="I415" s="81">
        <f>13.4076 * CHOOSE(CONTROL!$C$32, $C$9, 100%, $E$9)</f>
        <v>13.4076</v>
      </c>
      <c r="J415" s="81">
        <f>13.4013 * CHOOSE(CONTROL!$C$32, $C$9, 100%, $E$9)</f>
        <v>13.401300000000001</v>
      </c>
      <c r="K415" s="81">
        <f>13.4076 * CHOOSE(CONTROL!$C$32, $C$9, 100%, $E$9)</f>
        <v>13.4076</v>
      </c>
      <c r="L415" s="81">
        <f>7.4938 * CHOOSE(CONTROL!$C$32, $C$9, 100%, $E$9)</f>
        <v>7.4938000000000002</v>
      </c>
      <c r="M415" s="81">
        <f>7.5001 * CHOOSE(CONTROL!$C$32, $C$9, 100%, $E$9)</f>
        <v>7.5000999999999998</v>
      </c>
      <c r="N415" s="81">
        <f>7.4938 * CHOOSE(CONTROL!$C$32, $C$9, 100%, $E$9)</f>
        <v>7.4938000000000002</v>
      </c>
      <c r="O415" s="81">
        <f>7.5001 * CHOOSE(CONTROL!$C$32, $C$9, 100%, $E$9)</f>
        <v>7.5000999999999998</v>
      </c>
    </row>
    <row r="416" spans="1:15" ht="15">
      <c r="A416" s="16">
        <v>53874</v>
      </c>
      <c r="B416" s="80">
        <f>6.273 * CHOOSE(CONTROL!$C$32, $C$9, 100%, $E$9)</f>
        <v>6.2729999999999997</v>
      </c>
      <c r="C416" s="80">
        <f>6.273 * CHOOSE(CONTROL!$C$32, $C$9, 100%, $E$9)</f>
        <v>6.2729999999999997</v>
      </c>
      <c r="D416" s="80">
        <f>6.2782 * CHOOSE(CONTROL!$C$32, $C$9, 100%, $E$9)</f>
        <v>6.2782</v>
      </c>
      <c r="E416" s="81">
        <f>7.6192 * CHOOSE(CONTROL!$C$32, $C$9, 100%, $E$9)</f>
        <v>7.6192000000000002</v>
      </c>
      <c r="F416" s="81">
        <f>7.6192 * CHOOSE(CONTROL!$C$32, $C$9, 100%, $E$9)</f>
        <v>7.6192000000000002</v>
      </c>
      <c r="G416" s="81">
        <f>7.6255 * CHOOSE(CONTROL!$C$32, $C$9, 100%, $E$9)</f>
        <v>7.6254999999999997</v>
      </c>
      <c r="H416" s="81">
        <f>13.4292 * CHOOSE(CONTROL!$C$32, $C$9, 100%, $E$9)</f>
        <v>13.4292</v>
      </c>
      <c r="I416" s="81">
        <f>13.4355 * CHOOSE(CONTROL!$C$32, $C$9, 100%, $E$9)</f>
        <v>13.435499999999999</v>
      </c>
      <c r="J416" s="81">
        <f>13.4292 * CHOOSE(CONTROL!$C$32, $C$9, 100%, $E$9)</f>
        <v>13.4292</v>
      </c>
      <c r="K416" s="81">
        <f>13.4355 * CHOOSE(CONTROL!$C$32, $C$9, 100%, $E$9)</f>
        <v>13.435499999999999</v>
      </c>
      <c r="L416" s="81">
        <f>7.6192 * CHOOSE(CONTROL!$C$32, $C$9, 100%, $E$9)</f>
        <v>7.6192000000000002</v>
      </c>
      <c r="M416" s="81">
        <f>7.6255 * CHOOSE(CONTROL!$C$32, $C$9, 100%, $E$9)</f>
        <v>7.6254999999999997</v>
      </c>
      <c r="N416" s="81">
        <f>7.6192 * CHOOSE(CONTROL!$C$32, $C$9, 100%, $E$9)</f>
        <v>7.6192000000000002</v>
      </c>
      <c r="O416" s="81">
        <f>7.6255 * CHOOSE(CONTROL!$C$32, $C$9, 100%, $E$9)</f>
        <v>7.6254999999999997</v>
      </c>
    </row>
    <row r="417" spans="1:15" ht="15">
      <c r="A417" s="16">
        <v>53905</v>
      </c>
      <c r="B417" s="80">
        <f>6.2797 * CHOOSE(CONTROL!$C$32, $C$9, 100%, $E$9)</f>
        <v>6.2797000000000001</v>
      </c>
      <c r="C417" s="80">
        <f>6.2797 * CHOOSE(CONTROL!$C$32, $C$9, 100%, $E$9)</f>
        <v>6.2797000000000001</v>
      </c>
      <c r="D417" s="80">
        <f>6.2849 * CHOOSE(CONTROL!$C$32, $C$9, 100%, $E$9)</f>
        <v>6.2849000000000004</v>
      </c>
      <c r="E417" s="81">
        <f>7.5101 * CHOOSE(CONTROL!$C$32, $C$9, 100%, $E$9)</f>
        <v>7.5101000000000004</v>
      </c>
      <c r="F417" s="81">
        <f>7.5101 * CHOOSE(CONTROL!$C$32, $C$9, 100%, $E$9)</f>
        <v>7.5101000000000004</v>
      </c>
      <c r="G417" s="81">
        <f>7.5164 * CHOOSE(CONTROL!$C$32, $C$9, 100%, $E$9)</f>
        <v>7.5164</v>
      </c>
      <c r="H417" s="81">
        <f>13.4572 * CHOOSE(CONTROL!$C$32, $C$9, 100%, $E$9)</f>
        <v>13.4572</v>
      </c>
      <c r="I417" s="81">
        <f>13.4635 * CHOOSE(CONTROL!$C$32, $C$9, 100%, $E$9)</f>
        <v>13.4635</v>
      </c>
      <c r="J417" s="81">
        <f>13.4572 * CHOOSE(CONTROL!$C$32, $C$9, 100%, $E$9)</f>
        <v>13.4572</v>
      </c>
      <c r="K417" s="81">
        <f>13.4635 * CHOOSE(CONTROL!$C$32, $C$9, 100%, $E$9)</f>
        <v>13.4635</v>
      </c>
      <c r="L417" s="81">
        <f>7.5101 * CHOOSE(CONTROL!$C$32, $C$9, 100%, $E$9)</f>
        <v>7.5101000000000004</v>
      </c>
      <c r="M417" s="81">
        <f>7.5164 * CHOOSE(CONTROL!$C$32, $C$9, 100%, $E$9)</f>
        <v>7.5164</v>
      </c>
      <c r="N417" s="81">
        <f>7.5101 * CHOOSE(CONTROL!$C$32, $C$9, 100%, $E$9)</f>
        <v>7.5101000000000004</v>
      </c>
      <c r="O417" s="81">
        <f>7.5164 * CHOOSE(CONTROL!$C$32, $C$9, 100%, $E$9)</f>
        <v>7.5164</v>
      </c>
    </row>
    <row r="418" spans="1:15" ht="15">
      <c r="A418" s="16">
        <v>53936</v>
      </c>
      <c r="B418" s="80">
        <f>6.2767 * CHOOSE(CONTROL!$C$32, $C$9, 100%, $E$9)</f>
        <v>6.2766999999999999</v>
      </c>
      <c r="C418" s="80">
        <f>6.2767 * CHOOSE(CONTROL!$C$32, $C$9, 100%, $E$9)</f>
        <v>6.2766999999999999</v>
      </c>
      <c r="D418" s="80">
        <f>6.2819 * CHOOSE(CONTROL!$C$32, $C$9, 100%, $E$9)</f>
        <v>6.2819000000000003</v>
      </c>
      <c r="E418" s="81">
        <f>7.4953 * CHOOSE(CONTROL!$C$32, $C$9, 100%, $E$9)</f>
        <v>7.4953000000000003</v>
      </c>
      <c r="F418" s="81">
        <f>7.4953 * CHOOSE(CONTROL!$C$32, $C$9, 100%, $E$9)</f>
        <v>7.4953000000000003</v>
      </c>
      <c r="G418" s="81">
        <f>7.5016 * CHOOSE(CONTROL!$C$32, $C$9, 100%, $E$9)</f>
        <v>7.5015999999999998</v>
      </c>
      <c r="H418" s="81">
        <f>13.4852 * CHOOSE(CONTROL!$C$32, $C$9, 100%, $E$9)</f>
        <v>13.485200000000001</v>
      </c>
      <c r="I418" s="81">
        <f>13.4915 * CHOOSE(CONTROL!$C$32, $C$9, 100%, $E$9)</f>
        <v>13.4915</v>
      </c>
      <c r="J418" s="81">
        <f>13.4852 * CHOOSE(CONTROL!$C$32, $C$9, 100%, $E$9)</f>
        <v>13.485200000000001</v>
      </c>
      <c r="K418" s="81">
        <f>13.4915 * CHOOSE(CONTROL!$C$32, $C$9, 100%, $E$9)</f>
        <v>13.4915</v>
      </c>
      <c r="L418" s="81">
        <f>7.4953 * CHOOSE(CONTROL!$C$32, $C$9, 100%, $E$9)</f>
        <v>7.4953000000000003</v>
      </c>
      <c r="M418" s="81">
        <f>7.5016 * CHOOSE(CONTROL!$C$32, $C$9, 100%, $E$9)</f>
        <v>7.5015999999999998</v>
      </c>
      <c r="N418" s="81">
        <f>7.4953 * CHOOSE(CONTROL!$C$32, $C$9, 100%, $E$9)</f>
        <v>7.4953000000000003</v>
      </c>
      <c r="O418" s="81">
        <f>7.5016 * CHOOSE(CONTROL!$C$32, $C$9, 100%, $E$9)</f>
        <v>7.5015999999999998</v>
      </c>
    </row>
    <row r="419" spans="1:15" ht="15">
      <c r="A419" s="16">
        <v>53966</v>
      </c>
      <c r="B419" s="80">
        <f>6.2793 * CHOOSE(CONTROL!$C$32, $C$9, 100%, $E$9)</f>
        <v>6.2793000000000001</v>
      </c>
      <c r="C419" s="80">
        <f>6.2793 * CHOOSE(CONTROL!$C$32, $C$9, 100%, $E$9)</f>
        <v>6.2793000000000001</v>
      </c>
      <c r="D419" s="80">
        <f>6.2828 * CHOOSE(CONTROL!$C$32, $C$9, 100%, $E$9)</f>
        <v>6.2827999999999999</v>
      </c>
      <c r="E419" s="81">
        <f>7.5325 * CHOOSE(CONTROL!$C$32, $C$9, 100%, $E$9)</f>
        <v>7.5324999999999998</v>
      </c>
      <c r="F419" s="81">
        <f>7.5325 * CHOOSE(CONTROL!$C$32, $C$9, 100%, $E$9)</f>
        <v>7.5324999999999998</v>
      </c>
      <c r="G419" s="81">
        <f>7.5368 * CHOOSE(CONTROL!$C$32, $C$9, 100%, $E$9)</f>
        <v>7.5368000000000004</v>
      </c>
      <c r="H419" s="81">
        <f>13.5133 * CHOOSE(CONTROL!$C$32, $C$9, 100%, $E$9)</f>
        <v>13.513299999999999</v>
      </c>
      <c r="I419" s="81">
        <f>13.5176 * CHOOSE(CONTROL!$C$32, $C$9, 100%, $E$9)</f>
        <v>13.5176</v>
      </c>
      <c r="J419" s="81">
        <f>13.5133 * CHOOSE(CONTROL!$C$32, $C$9, 100%, $E$9)</f>
        <v>13.513299999999999</v>
      </c>
      <c r="K419" s="81">
        <f>13.5176 * CHOOSE(CONTROL!$C$32, $C$9, 100%, $E$9)</f>
        <v>13.5176</v>
      </c>
      <c r="L419" s="81">
        <f>7.5325 * CHOOSE(CONTROL!$C$32, $C$9, 100%, $E$9)</f>
        <v>7.5324999999999998</v>
      </c>
      <c r="M419" s="81">
        <f>7.5368 * CHOOSE(CONTROL!$C$32, $C$9, 100%, $E$9)</f>
        <v>7.5368000000000004</v>
      </c>
      <c r="N419" s="81">
        <f>7.5325 * CHOOSE(CONTROL!$C$32, $C$9, 100%, $E$9)</f>
        <v>7.5324999999999998</v>
      </c>
      <c r="O419" s="81">
        <f>7.5368 * CHOOSE(CONTROL!$C$32, $C$9, 100%, $E$9)</f>
        <v>7.5368000000000004</v>
      </c>
    </row>
    <row r="420" spans="1:15" ht="15">
      <c r="A420" s="16">
        <v>53997</v>
      </c>
      <c r="B420" s="80">
        <f>6.2823 * CHOOSE(CONTROL!$C$32, $C$9, 100%, $E$9)</f>
        <v>6.2823000000000002</v>
      </c>
      <c r="C420" s="80">
        <f>6.2823 * CHOOSE(CONTROL!$C$32, $C$9, 100%, $E$9)</f>
        <v>6.2823000000000002</v>
      </c>
      <c r="D420" s="80">
        <f>6.2859 * CHOOSE(CONTROL!$C$32, $C$9, 100%, $E$9)</f>
        <v>6.2858999999999998</v>
      </c>
      <c r="E420" s="81">
        <f>7.5599 * CHOOSE(CONTROL!$C$32, $C$9, 100%, $E$9)</f>
        <v>7.5598999999999998</v>
      </c>
      <c r="F420" s="81">
        <f>7.5599 * CHOOSE(CONTROL!$C$32, $C$9, 100%, $E$9)</f>
        <v>7.5598999999999998</v>
      </c>
      <c r="G420" s="81">
        <f>7.5642 * CHOOSE(CONTROL!$C$32, $C$9, 100%, $E$9)</f>
        <v>7.5641999999999996</v>
      </c>
      <c r="H420" s="81">
        <f>13.5414 * CHOOSE(CONTROL!$C$32, $C$9, 100%, $E$9)</f>
        <v>13.541399999999999</v>
      </c>
      <c r="I420" s="81">
        <f>13.5458 * CHOOSE(CONTROL!$C$32, $C$9, 100%, $E$9)</f>
        <v>13.5458</v>
      </c>
      <c r="J420" s="81">
        <f>13.5414 * CHOOSE(CONTROL!$C$32, $C$9, 100%, $E$9)</f>
        <v>13.541399999999999</v>
      </c>
      <c r="K420" s="81">
        <f>13.5458 * CHOOSE(CONTROL!$C$32, $C$9, 100%, $E$9)</f>
        <v>13.5458</v>
      </c>
      <c r="L420" s="81">
        <f>7.5599 * CHOOSE(CONTROL!$C$32, $C$9, 100%, $E$9)</f>
        <v>7.5598999999999998</v>
      </c>
      <c r="M420" s="81">
        <f>7.5642 * CHOOSE(CONTROL!$C$32, $C$9, 100%, $E$9)</f>
        <v>7.5641999999999996</v>
      </c>
      <c r="N420" s="81">
        <f>7.5599 * CHOOSE(CONTROL!$C$32, $C$9, 100%, $E$9)</f>
        <v>7.5598999999999998</v>
      </c>
      <c r="O420" s="81">
        <f>7.5642 * CHOOSE(CONTROL!$C$32, $C$9, 100%, $E$9)</f>
        <v>7.5641999999999996</v>
      </c>
    </row>
    <row r="421" spans="1:15" ht="15">
      <c r="A421" s="16">
        <v>54027</v>
      </c>
      <c r="B421" s="80">
        <f>6.2823 * CHOOSE(CONTROL!$C$32, $C$9, 100%, $E$9)</f>
        <v>6.2823000000000002</v>
      </c>
      <c r="C421" s="80">
        <f>6.2823 * CHOOSE(CONTROL!$C$32, $C$9, 100%, $E$9)</f>
        <v>6.2823000000000002</v>
      </c>
      <c r="D421" s="80">
        <f>6.2859 * CHOOSE(CONTROL!$C$32, $C$9, 100%, $E$9)</f>
        <v>6.2858999999999998</v>
      </c>
      <c r="E421" s="81">
        <f>7.4967 * CHOOSE(CONTROL!$C$32, $C$9, 100%, $E$9)</f>
        <v>7.4966999999999997</v>
      </c>
      <c r="F421" s="81">
        <f>7.4967 * CHOOSE(CONTROL!$C$32, $C$9, 100%, $E$9)</f>
        <v>7.4966999999999997</v>
      </c>
      <c r="G421" s="81">
        <f>7.501 * CHOOSE(CONTROL!$C$32, $C$9, 100%, $E$9)</f>
        <v>7.5010000000000003</v>
      </c>
      <c r="H421" s="81">
        <f>13.5696 * CHOOSE(CONTROL!$C$32, $C$9, 100%, $E$9)</f>
        <v>13.569599999999999</v>
      </c>
      <c r="I421" s="81">
        <f>13.574 * CHOOSE(CONTROL!$C$32, $C$9, 100%, $E$9)</f>
        <v>13.574</v>
      </c>
      <c r="J421" s="81">
        <f>13.5696 * CHOOSE(CONTROL!$C$32, $C$9, 100%, $E$9)</f>
        <v>13.569599999999999</v>
      </c>
      <c r="K421" s="81">
        <f>13.574 * CHOOSE(CONTROL!$C$32, $C$9, 100%, $E$9)</f>
        <v>13.574</v>
      </c>
      <c r="L421" s="81">
        <f>7.4967 * CHOOSE(CONTROL!$C$32, $C$9, 100%, $E$9)</f>
        <v>7.4966999999999997</v>
      </c>
      <c r="M421" s="81">
        <f>7.501 * CHOOSE(CONTROL!$C$32, $C$9, 100%, $E$9)</f>
        <v>7.5010000000000003</v>
      </c>
      <c r="N421" s="81">
        <f>7.4967 * CHOOSE(CONTROL!$C$32, $C$9, 100%, $E$9)</f>
        <v>7.4966999999999997</v>
      </c>
      <c r="O421" s="81">
        <f>7.501 * CHOOSE(CONTROL!$C$32, $C$9, 100%, $E$9)</f>
        <v>7.5010000000000003</v>
      </c>
    </row>
    <row r="422" spans="1:15" ht="15">
      <c r="A422" s="16">
        <v>54058</v>
      </c>
      <c r="B422" s="80">
        <f>6.3372 * CHOOSE(CONTROL!$C$32, $C$9, 100%, $E$9)</f>
        <v>6.3372000000000002</v>
      </c>
      <c r="C422" s="80">
        <f>6.3372 * CHOOSE(CONTROL!$C$32, $C$9, 100%, $E$9)</f>
        <v>6.3372000000000002</v>
      </c>
      <c r="D422" s="80">
        <f>6.3407 * CHOOSE(CONTROL!$C$32, $C$9, 100%, $E$9)</f>
        <v>6.3407</v>
      </c>
      <c r="E422" s="81">
        <f>7.6035 * CHOOSE(CONTROL!$C$32, $C$9, 100%, $E$9)</f>
        <v>7.6035000000000004</v>
      </c>
      <c r="F422" s="81">
        <f>7.6035 * CHOOSE(CONTROL!$C$32, $C$9, 100%, $E$9)</f>
        <v>7.6035000000000004</v>
      </c>
      <c r="G422" s="81">
        <f>7.6079 * CHOOSE(CONTROL!$C$32, $C$9, 100%, $E$9)</f>
        <v>7.6078999999999999</v>
      </c>
      <c r="H422" s="81">
        <f>13.5979 * CHOOSE(CONTROL!$C$32, $C$9, 100%, $E$9)</f>
        <v>13.597899999999999</v>
      </c>
      <c r="I422" s="81">
        <f>13.6023 * CHOOSE(CONTROL!$C$32, $C$9, 100%, $E$9)</f>
        <v>13.6023</v>
      </c>
      <c r="J422" s="81">
        <f>13.5979 * CHOOSE(CONTROL!$C$32, $C$9, 100%, $E$9)</f>
        <v>13.597899999999999</v>
      </c>
      <c r="K422" s="81">
        <f>13.6023 * CHOOSE(CONTROL!$C$32, $C$9, 100%, $E$9)</f>
        <v>13.6023</v>
      </c>
      <c r="L422" s="81">
        <f>7.6035 * CHOOSE(CONTROL!$C$32, $C$9, 100%, $E$9)</f>
        <v>7.6035000000000004</v>
      </c>
      <c r="M422" s="81">
        <f>7.6079 * CHOOSE(CONTROL!$C$32, $C$9, 100%, $E$9)</f>
        <v>7.6078999999999999</v>
      </c>
      <c r="N422" s="81">
        <f>7.6035 * CHOOSE(CONTROL!$C$32, $C$9, 100%, $E$9)</f>
        <v>7.6035000000000004</v>
      </c>
      <c r="O422" s="81">
        <f>7.6079 * CHOOSE(CONTROL!$C$32, $C$9, 100%, $E$9)</f>
        <v>7.6078999999999999</v>
      </c>
    </row>
    <row r="423" spans="1:15" ht="15">
      <c r="A423" s="16">
        <v>54089</v>
      </c>
      <c r="B423" s="80">
        <f>6.3341 * CHOOSE(CONTROL!$C$32, $C$9, 100%, $E$9)</f>
        <v>6.3341000000000003</v>
      </c>
      <c r="C423" s="80">
        <f>6.3341 * CHOOSE(CONTROL!$C$32, $C$9, 100%, $E$9)</f>
        <v>6.3341000000000003</v>
      </c>
      <c r="D423" s="80">
        <f>6.3377 * CHOOSE(CONTROL!$C$32, $C$9, 100%, $E$9)</f>
        <v>6.3376999999999999</v>
      </c>
      <c r="E423" s="81">
        <f>7.4786 * CHOOSE(CONTROL!$C$32, $C$9, 100%, $E$9)</f>
        <v>7.4786000000000001</v>
      </c>
      <c r="F423" s="81">
        <f>7.4786 * CHOOSE(CONTROL!$C$32, $C$9, 100%, $E$9)</f>
        <v>7.4786000000000001</v>
      </c>
      <c r="G423" s="81">
        <f>7.483 * CHOOSE(CONTROL!$C$32, $C$9, 100%, $E$9)</f>
        <v>7.4829999999999997</v>
      </c>
      <c r="H423" s="81">
        <f>13.6262 * CHOOSE(CONTROL!$C$32, $C$9, 100%, $E$9)</f>
        <v>13.626200000000001</v>
      </c>
      <c r="I423" s="81">
        <f>13.6306 * CHOOSE(CONTROL!$C$32, $C$9, 100%, $E$9)</f>
        <v>13.630599999999999</v>
      </c>
      <c r="J423" s="81">
        <f>13.6262 * CHOOSE(CONTROL!$C$32, $C$9, 100%, $E$9)</f>
        <v>13.626200000000001</v>
      </c>
      <c r="K423" s="81">
        <f>13.6306 * CHOOSE(CONTROL!$C$32, $C$9, 100%, $E$9)</f>
        <v>13.630599999999999</v>
      </c>
      <c r="L423" s="81">
        <f>7.4786 * CHOOSE(CONTROL!$C$32, $C$9, 100%, $E$9)</f>
        <v>7.4786000000000001</v>
      </c>
      <c r="M423" s="81">
        <f>7.483 * CHOOSE(CONTROL!$C$32, $C$9, 100%, $E$9)</f>
        <v>7.4829999999999997</v>
      </c>
      <c r="N423" s="81">
        <f>7.4786 * CHOOSE(CONTROL!$C$32, $C$9, 100%, $E$9)</f>
        <v>7.4786000000000001</v>
      </c>
      <c r="O423" s="81">
        <f>7.483 * CHOOSE(CONTROL!$C$32, $C$9, 100%, $E$9)</f>
        <v>7.4829999999999997</v>
      </c>
    </row>
    <row r="424" spans="1:15" ht="15">
      <c r="A424" s="16">
        <v>54118</v>
      </c>
      <c r="B424" s="80">
        <f>6.3311 * CHOOSE(CONTROL!$C$32, $C$9, 100%, $E$9)</f>
        <v>6.3311000000000002</v>
      </c>
      <c r="C424" s="80">
        <f>6.3311 * CHOOSE(CONTROL!$C$32, $C$9, 100%, $E$9)</f>
        <v>6.3311000000000002</v>
      </c>
      <c r="D424" s="80">
        <f>6.3346 * CHOOSE(CONTROL!$C$32, $C$9, 100%, $E$9)</f>
        <v>6.3346</v>
      </c>
      <c r="E424" s="81">
        <f>7.5733 * CHOOSE(CONTROL!$C$32, $C$9, 100%, $E$9)</f>
        <v>7.5732999999999997</v>
      </c>
      <c r="F424" s="81">
        <f>7.5733 * CHOOSE(CONTROL!$C$32, $C$9, 100%, $E$9)</f>
        <v>7.5732999999999997</v>
      </c>
      <c r="G424" s="81">
        <f>7.5777 * CHOOSE(CONTROL!$C$32, $C$9, 100%, $E$9)</f>
        <v>7.5777000000000001</v>
      </c>
      <c r="H424" s="81">
        <f>13.6546 * CHOOSE(CONTROL!$C$32, $C$9, 100%, $E$9)</f>
        <v>13.6546</v>
      </c>
      <c r="I424" s="81">
        <f>13.659 * CHOOSE(CONTROL!$C$32, $C$9, 100%, $E$9)</f>
        <v>13.659000000000001</v>
      </c>
      <c r="J424" s="81">
        <f>13.6546 * CHOOSE(CONTROL!$C$32, $C$9, 100%, $E$9)</f>
        <v>13.6546</v>
      </c>
      <c r="K424" s="81">
        <f>13.659 * CHOOSE(CONTROL!$C$32, $C$9, 100%, $E$9)</f>
        <v>13.659000000000001</v>
      </c>
      <c r="L424" s="81">
        <f>7.5733 * CHOOSE(CONTROL!$C$32, $C$9, 100%, $E$9)</f>
        <v>7.5732999999999997</v>
      </c>
      <c r="M424" s="81">
        <f>7.5777 * CHOOSE(CONTROL!$C$32, $C$9, 100%, $E$9)</f>
        <v>7.5777000000000001</v>
      </c>
      <c r="N424" s="81">
        <f>7.5733 * CHOOSE(CONTROL!$C$32, $C$9, 100%, $E$9)</f>
        <v>7.5732999999999997</v>
      </c>
      <c r="O424" s="81">
        <f>7.5777 * CHOOSE(CONTROL!$C$32, $C$9, 100%, $E$9)</f>
        <v>7.5777000000000001</v>
      </c>
    </row>
    <row r="425" spans="1:15" ht="15">
      <c r="A425" s="16">
        <v>54149</v>
      </c>
      <c r="B425" s="80">
        <f>6.3307 * CHOOSE(CONTROL!$C$32, $C$9, 100%, $E$9)</f>
        <v>6.3307000000000002</v>
      </c>
      <c r="C425" s="80">
        <f>6.3307 * CHOOSE(CONTROL!$C$32, $C$9, 100%, $E$9)</f>
        <v>6.3307000000000002</v>
      </c>
      <c r="D425" s="80">
        <f>6.3343 * CHOOSE(CONTROL!$C$32, $C$9, 100%, $E$9)</f>
        <v>6.3342999999999998</v>
      </c>
      <c r="E425" s="81">
        <f>7.673 * CHOOSE(CONTROL!$C$32, $C$9, 100%, $E$9)</f>
        <v>7.673</v>
      </c>
      <c r="F425" s="81">
        <f>7.673 * CHOOSE(CONTROL!$C$32, $C$9, 100%, $E$9)</f>
        <v>7.673</v>
      </c>
      <c r="G425" s="81">
        <f>7.6774 * CHOOSE(CONTROL!$C$32, $C$9, 100%, $E$9)</f>
        <v>7.6773999999999996</v>
      </c>
      <c r="H425" s="81">
        <f>13.6831 * CHOOSE(CONTROL!$C$32, $C$9, 100%, $E$9)</f>
        <v>13.6831</v>
      </c>
      <c r="I425" s="81">
        <f>13.6874 * CHOOSE(CONTROL!$C$32, $C$9, 100%, $E$9)</f>
        <v>13.6874</v>
      </c>
      <c r="J425" s="81">
        <f>13.6831 * CHOOSE(CONTROL!$C$32, $C$9, 100%, $E$9)</f>
        <v>13.6831</v>
      </c>
      <c r="K425" s="81">
        <f>13.6874 * CHOOSE(CONTROL!$C$32, $C$9, 100%, $E$9)</f>
        <v>13.6874</v>
      </c>
      <c r="L425" s="81">
        <f>7.673 * CHOOSE(CONTROL!$C$32, $C$9, 100%, $E$9)</f>
        <v>7.673</v>
      </c>
      <c r="M425" s="81">
        <f>7.6774 * CHOOSE(CONTROL!$C$32, $C$9, 100%, $E$9)</f>
        <v>7.6773999999999996</v>
      </c>
      <c r="N425" s="81">
        <f>7.673 * CHOOSE(CONTROL!$C$32, $C$9, 100%, $E$9)</f>
        <v>7.673</v>
      </c>
      <c r="O425" s="81">
        <f>7.6774 * CHOOSE(CONTROL!$C$32, $C$9, 100%, $E$9)</f>
        <v>7.6773999999999996</v>
      </c>
    </row>
    <row r="426" spans="1:15" ht="15">
      <c r="A426" s="16">
        <v>54179</v>
      </c>
      <c r="B426" s="80">
        <f>6.3307 * CHOOSE(CONTROL!$C$32, $C$9, 100%, $E$9)</f>
        <v>6.3307000000000002</v>
      </c>
      <c r="C426" s="80">
        <f>6.3307 * CHOOSE(CONTROL!$C$32, $C$9, 100%, $E$9)</f>
        <v>6.3307000000000002</v>
      </c>
      <c r="D426" s="80">
        <f>6.3359 * CHOOSE(CONTROL!$C$32, $C$9, 100%, $E$9)</f>
        <v>6.3358999999999996</v>
      </c>
      <c r="E426" s="81">
        <f>7.712 * CHOOSE(CONTROL!$C$32, $C$9, 100%, $E$9)</f>
        <v>7.7119999999999997</v>
      </c>
      <c r="F426" s="81">
        <f>7.712 * CHOOSE(CONTROL!$C$32, $C$9, 100%, $E$9)</f>
        <v>7.7119999999999997</v>
      </c>
      <c r="G426" s="81">
        <f>7.7183 * CHOOSE(CONTROL!$C$32, $C$9, 100%, $E$9)</f>
        <v>7.7183000000000002</v>
      </c>
      <c r="H426" s="81">
        <f>13.7116 * CHOOSE(CONTROL!$C$32, $C$9, 100%, $E$9)</f>
        <v>13.711600000000001</v>
      </c>
      <c r="I426" s="81">
        <f>13.7179 * CHOOSE(CONTROL!$C$32, $C$9, 100%, $E$9)</f>
        <v>13.7179</v>
      </c>
      <c r="J426" s="81">
        <f>13.7116 * CHOOSE(CONTROL!$C$32, $C$9, 100%, $E$9)</f>
        <v>13.711600000000001</v>
      </c>
      <c r="K426" s="81">
        <f>13.7179 * CHOOSE(CONTROL!$C$32, $C$9, 100%, $E$9)</f>
        <v>13.7179</v>
      </c>
      <c r="L426" s="81">
        <f>7.712 * CHOOSE(CONTROL!$C$32, $C$9, 100%, $E$9)</f>
        <v>7.7119999999999997</v>
      </c>
      <c r="M426" s="81">
        <f>7.7183 * CHOOSE(CONTROL!$C$32, $C$9, 100%, $E$9)</f>
        <v>7.7183000000000002</v>
      </c>
      <c r="N426" s="81">
        <f>7.712 * CHOOSE(CONTROL!$C$32, $C$9, 100%, $E$9)</f>
        <v>7.7119999999999997</v>
      </c>
      <c r="O426" s="81">
        <f>7.7183 * CHOOSE(CONTROL!$C$32, $C$9, 100%, $E$9)</f>
        <v>7.7183000000000002</v>
      </c>
    </row>
    <row r="427" spans="1:15" ht="15">
      <c r="A427" s="16">
        <v>54210</v>
      </c>
      <c r="B427" s="80">
        <f>6.3368 * CHOOSE(CONTROL!$C$32, $C$9, 100%, $E$9)</f>
        <v>6.3368000000000002</v>
      </c>
      <c r="C427" s="80">
        <f>6.3368 * CHOOSE(CONTROL!$C$32, $C$9, 100%, $E$9)</f>
        <v>6.3368000000000002</v>
      </c>
      <c r="D427" s="80">
        <f>6.342 * CHOOSE(CONTROL!$C$32, $C$9, 100%, $E$9)</f>
        <v>6.3419999999999996</v>
      </c>
      <c r="E427" s="81">
        <f>7.6773 * CHOOSE(CONTROL!$C$32, $C$9, 100%, $E$9)</f>
        <v>7.6772999999999998</v>
      </c>
      <c r="F427" s="81">
        <f>7.6773 * CHOOSE(CONTROL!$C$32, $C$9, 100%, $E$9)</f>
        <v>7.6772999999999998</v>
      </c>
      <c r="G427" s="81">
        <f>7.6836 * CHOOSE(CONTROL!$C$32, $C$9, 100%, $E$9)</f>
        <v>7.6836000000000002</v>
      </c>
      <c r="H427" s="81">
        <f>13.7402 * CHOOSE(CONTROL!$C$32, $C$9, 100%, $E$9)</f>
        <v>13.7402</v>
      </c>
      <c r="I427" s="81">
        <f>13.7465 * CHOOSE(CONTROL!$C$32, $C$9, 100%, $E$9)</f>
        <v>13.746499999999999</v>
      </c>
      <c r="J427" s="81">
        <f>13.7402 * CHOOSE(CONTROL!$C$32, $C$9, 100%, $E$9)</f>
        <v>13.7402</v>
      </c>
      <c r="K427" s="81">
        <f>13.7465 * CHOOSE(CONTROL!$C$32, $C$9, 100%, $E$9)</f>
        <v>13.746499999999999</v>
      </c>
      <c r="L427" s="81">
        <f>7.6773 * CHOOSE(CONTROL!$C$32, $C$9, 100%, $E$9)</f>
        <v>7.6772999999999998</v>
      </c>
      <c r="M427" s="81">
        <f>7.6836 * CHOOSE(CONTROL!$C$32, $C$9, 100%, $E$9)</f>
        <v>7.6836000000000002</v>
      </c>
      <c r="N427" s="81">
        <f>7.6773 * CHOOSE(CONTROL!$C$32, $C$9, 100%, $E$9)</f>
        <v>7.6772999999999998</v>
      </c>
      <c r="O427" s="81">
        <f>7.6836 * CHOOSE(CONTROL!$C$32, $C$9, 100%, $E$9)</f>
        <v>7.6836000000000002</v>
      </c>
    </row>
    <row r="428" spans="1:15" ht="15">
      <c r="A428" s="16">
        <v>54240</v>
      </c>
      <c r="B428" s="80">
        <f>6.4385 * CHOOSE(CONTROL!$C$32, $C$9, 100%, $E$9)</f>
        <v>6.4385000000000003</v>
      </c>
      <c r="C428" s="80">
        <f>6.4385 * CHOOSE(CONTROL!$C$32, $C$9, 100%, $E$9)</f>
        <v>6.4385000000000003</v>
      </c>
      <c r="D428" s="80">
        <f>6.4436 * CHOOSE(CONTROL!$C$32, $C$9, 100%, $E$9)</f>
        <v>6.4436</v>
      </c>
      <c r="E428" s="81">
        <f>7.8054 * CHOOSE(CONTROL!$C$32, $C$9, 100%, $E$9)</f>
        <v>7.8053999999999997</v>
      </c>
      <c r="F428" s="81">
        <f>7.8054 * CHOOSE(CONTROL!$C$32, $C$9, 100%, $E$9)</f>
        <v>7.8053999999999997</v>
      </c>
      <c r="G428" s="81">
        <f>7.8118 * CHOOSE(CONTROL!$C$32, $C$9, 100%, $E$9)</f>
        <v>7.8117999999999999</v>
      </c>
      <c r="H428" s="81">
        <f>13.7688 * CHOOSE(CONTROL!$C$32, $C$9, 100%, $E$9)</f>
        <v>13.768800000000001</v>
      </c>
      <c r="I428" s="81">
        <f>13.7751 * CHOOSE(CONTROL!$C$32, $C$9, 100%, $E$9)</f>
        <v>13.7751</v>
      </c>
      <c r="J428" s="81">
        <f>13.7688 * CHOOSE(CONTROL!$C$32, $C$9, 100%, $E$9)</f>
        <v>13.768800000000001</v>
      </c>
      <c r="K428" s="81">
        <f>13.7751 * CHOOSE(CONTROL!$C$32, $C$9, 100%, $E$9)</f>
        <v>13.7751</v>
      </c>
      <c r="L428" s="81">
        <f>7.8054 * CHOOSE(CONTROL!$C$32, $C$9, 100%, $E$9)</f>
        <v>7.8053999999999997</v>
      </c>
      <c r="M428" s="81">
        <f>7.8118 * CHOOSE(CONTROL!$C$32, $C$9, 100%, $E$9)</f>
        <v>7.8117999999999999</v>
      </c>
      <c r="N428" s="81">
        <f>7.8054 * CHOOSE(CONTROL!$C$32, $C$9, 100%, $E$9)</f>
        <v>7.8053999999999997</v>
      </c>
      <c r="O428" s="81">
        <f>7.8118 * CHOOSE(CONTROL!$C$32, $C$9, 100%, $E$9)</f>
        <v>7.8117999999999999</v>
      </c>
    </row>
    <row r="429" spans="1:15" ht="15">
      <c r="A429" s="16">
        <v>54271</v>
      </c>
      <c r="B429" s="80">
        <f>6.4451 * CHOOSE(CONTROL!$C$32, $C$9, 100%, $E$9)</f>
        <v>6.4451000000000001</v>
      </c>
      <c r="C429" s="80">
        <f>6.4451 * CHOOSE(CONTROL!$C$32, $C$9, 100%, $E$9)</f>
        <v>6.4451000000000001</v>
      </c>
      <c r="D429" s="80">
        <f>6.4503 * CHOOSE(CONTROL!$C$32, $C$9, 100%, $E$9)</f>
        <v>6.4503000000000004</v>
      </c>
      <c r="E429" s="81">
        <f>7.6932 * CHOOSE(CONTROL!$C$32, $C$9, 100%, $E$9)</f>
        <v>7.6932</v>
      </c>
      <c r="F429" s="81">
        <f>7.6932 * CHOOSE(CONTROL!$C$32, $C$9, 100%, $E$9)</f>
        <v>7.6932</v>
      </c>
      <c r="G429" s="81">
        <f>7.6995 * CHOOSE(CONTROL!$C$32, $C$9, 100%, $E$9)</f>
        <v>7.6994999999999996</v>
      </c>
      <c r="H429" s="81">
        <f>13.7975 * CHOOSE(CONTROL!$C$32, $C$9, 100%, $E$9)</f>
        <v>13.797499999999999</v>
      </c>
      <c r="I429" s="81">
        <f>13.8038 * CHOOSE(CONTROL!$C$32, $C$9, 100%, $E$9)</f>
        <v>13.803800000000001</v>
      </c>
      <c r="J429" s="81">
        <f>13.7975 * CHOOSE(CONTROL!$C$32, $C$9, 100%, $E$9)</f>
        <v>13.797499999999999</v>
      </c>
      <c r="K429" s="81">
        <f>13.8038 * CHOOSE(CONTROL!$C$32, $C$9, 100%, $E$9)</f>
        <v>13.803800000000001</v>
      </c>
      <c r="L429" s="81">
        <f>7.6932 * CHOOSE(CONTROL!$C$32, $C$9, 100%, $E$9)</f>
        <v>7.6932</v>
      </c>
      <c r="M429" s="81">
        <f>7.6995 * CHOOSE(CONTROL!$C$32, $C$9, 100%, $E$9)</f>
        <v>7.6994999999999996</v>
      </c>
      <c r="N429" s="81">
        <f>7.6932 * CHOOSE(CONTROL!$C$32, $C$9, 100%, $E$9)</f>
        <v>7.6932</v>
      </c>
      <c r="O429" s="81">
        <f>7.6995 * CHOOSE(CONTROL!$C$32, $C$9, 100%, $E$9)</f>
        <v>7.6994999999999996</v>
      </c>
    </row>
    <row r="430" spans="1:15" ht="15">
      <c r="A430" s="16">
        <v>54302</v>
      </c>
      <c r="B430" s="80">
        <f>6.4421 * CHOOSE(CONTROL!$C$32, $C$9, 100%, $E$9)</f>
        <v>6.4420999999999999</v>
      </c>
      <c r="C430" s="80">
        <f>6.4421 * CHOOSE(CONTROL!$C$32, $C$9, 100%, $E$9)</f>
        <v>6.4420999999999999</v>
      </c>
      <c r="D430" s="80">
        <f>6.4473 * CHOOSE(CONTROL!$C$32, $C$9, 100%, $E$9)</f>
        <v>6.4473000000000003</v>
      </c>
      <c r="E430" s="81">
        <f>7.678 * CHOOSE(CONTROL!$C$32, $C$9, 100%, $E$9)</f>
        <v>7.6779999999999999</v>
      </c>
      <c r="F430" s="81">
        <f>7.678 * CHOOSE(CONTROL!$C$32, $C$9, 100%, $E$9)</f>
        <v>7.6779999999999999</v>
      </c>
      <c r="G430" s="81">
        <f>7.6844 * CHOOSE(CONTROL!$C$32, $C$9, 100%, $E$9)</f>
        <v>7.6844000000000001</v>
      </c>
      <c r="H430" s="81">
        <f>13.8262 * CHOOSE(CONTROL!$C$32, $C$9, 100%, $E$9)</f>
        <v>13.8262</v>
      </c>
      <c r="I430" s="81">
        <f>13.8325 * CHOOSE(CONTROL!$C$32, $C$9, 100%, $E$9)</f>
        <v>13.8325</v>
      </c>
      <c r="J430" s="81">
        <f>13.8262 * CHOOSE(CONTROL!$C$32, $C$9, 100%, $E$9)</f>
        <v>13.8262</v>
      </c>
      <c r="K430" s="81">
        <f>13.8325 * CHOOSE(CONTROL!$C$32, $C$9, 100%, $E$9)</f>
        <v>13.8325</v>
      </c>
      <c r="L430" s="81">
        <f>7.678 * CHOOSE(CONTROL!$C$32, $C$9, 100%, $E$9)</f>
        <v>7.6779999999999999</v>
      </c>
      <c r="M430" s="81">
        <f>7.6844 * CHOOSE(CONTROL!$C$32, $C$9, 100%, $E$9)</f>
        <v>7.6844000000000001</v>
      </c>
      <c r="N430" s="81">
        <f>7.678 * CHOOSE(CONTROL!$C$32, $C$9, 100%, $E$9)</f>
        <v>7.6779999999999999</v>
      </c>
      <c r="O430" s="81">
        <f>7.6844 * CHOOSE(CONTROL!$C$32, $C$9, 100%, $E$9)</f>
        <v>7.6844000000000001</v>
      </c>
    </row>
    <row r="431" spans="1:15" ht="15">
      <c r="A431" s="16">
        <v>54332</v>
      </c>
      <c r="B431" s="80">
        <f>6.4452 * CHOOSE(CONTROL!$C$32, $C$9, 100%, $E$9)</f>
        <v>6.4451999999999998</v>
      </c>
      <c r="C431" s="80">
        <f>6.4452 * CHOOSE(CONTROL!$C$32, $C$9, 100%, $E$9)</f>
        <v>6.4451999999999998</v>
      </c>
      <c r="D431" s="80">
        <f>6.4488 * CHOOSE(CONTROL!$C$32, $C$9, 100%, $E$9)</f>
        <v>6.4488000000000003</v>
      </c>
      <c r="E431" s="81">
        <f>7.7166 * CHOOSE(CONTROL!$C$32, $C$9, 100%, $E$9)</f>
        <v>7.7165999999999997</v>
      </c>
      <c r="F431" s="81">
        <f>7.7166 * CHOOSE(CONTROL!$C$32, $C$9, 100%, $E$9)</f>
        <v>7.7165999999999997</v>
      </c>
      <c r="G431" s="81">
        <f>7.721 * CHOOSE(CONTROL!$C$32, $C$9, 100%, $E$9)</f>
        <v>7.7210000000000001</v>
      </c>
      <c r="H431" s="81">
        <f>13.855 * CHOOSE(CONTROL!$C$32, $C$9, 100%, $E$9)</f>
        <v>13.855</v>
      </c>
      <c r="I431" s="81">
        <f>13.8594 * CHOOSE(CONTROL!$C$32, $C$9, 100%, $E$9)</f>
        <v>13.859400000000001</v>
      </c>
      <c r="J431" s="81">
        <f>13.855 * CHOOSE(CONTROL!$C$32, $C$9, 100%, $E$9)</f>
        <v>13.855</v>
      </c>
      <c r="K431" s="81">
        <f>13.8594 * CHOOSE(CONTROL!$C$32, $C$9, 100%, $E$9)</f>
        <v>13.859400000000001</v>
      </c>
      <c r="L431" s="81">
        <f>7.7166 * CHOOSE(CONTROL!$C$32, $C$9, 100%, $E$9)</f>
        <v>7.7165999999999997</v>
      </c>
      <c r="M431" s="81">
        <f>7.721 * CHOOSE(CONTROL!$C$32, $C$9, 100%, $E$9)</f>
        <v>7.7210000000000001</v>
      </c>
      <c r="N431" s="81">
        <f>7.7166 * CHOOSE(CONTROL!$C$32, $C$9, 100%, $E$9)</f>
        <v>7.7165999999999997</v>
      </c>
      <c r="O431" s="81">
        <f>7.721 * CHOOSE(CONTROL!$C$32, $C$9, 100%, $E$9)</f>
        <v>7.7210000000000001</v>
      </c>
    </row>
    <row r="432" spans="1:15" ht="15">
      <c r="A432" s="16">
        <v>54363</v>
      </c>
      <c r="B432" s="80">
        <f>6.4483 * CHOOSE(CONTROL!$C$32, $C$9, 100%, $E$9)</f>
        <v>6.4482999999999997</v>
      </c>
      <c r="C432" s="80">
        <f>6.4483 * CHOOSE(CONTROL!$C$32, $C$9, 100%, $E$9)</f>
        <v>6.4482999999999997</v>
      </c>
      <c r="D432" s="80">
        <f>6.4518 * CHOOSE(CONTROL!$C$32, $C$9, 100%, $E$9)</f>
        <v>6.4518000000000004</v>
      </c>
      <c r="E432" s="81">
        <f>7.7447 * CHOOSE(CONTROL!$C$32, $C$9, 100%, $E$9)</f>
        <v>7.7446999999999999</v>
      </c>
      <c r="F432" s="81">
        <f>7.7447 * CHOOSE(CONTROL!$C$32, $C$9, 100%, $E$9)</f>
        <v>7.7446999999999999</v>
      </c>
      <c r="G432" s="81">
        <f>7.7491 * CHOOSE(CONTROL!$C$32, $C$9, 100%, $E$9)</f>
        <v>7.7491000000000003</v>
      </c>
      <c r="H432" s="81">
        <f>13.8839 * CHOOSE(CONTROL!$C$32, $C$9, 100%, $E$9)</f>
        <v>13.883900000000001</v>
      </c>
      <c r="I432" s="81">
        <f>13.8882 * CHOOSE(CONTROL!$C$32, $C$9, 100%, $E$9)</f>
        <v>13.888199999999999</v>
      </c>
      <c r="J432" s="81">
        <f>13.8839 * CHOOSE(CONTROL!$C$32, $C$9, 100%, $E$9)</f>
        <v>13.883900000000001</v>
      </c>
      <c r="K432" s="81">
        <f>13.8882 * CHOOSE(CONTROL!$C$32, $C$9, 100%, $E$9)</f>
        <v>13.888199999999999</v>
      </c>
      <c r="L432" s="81">
        <f>7.7447 * CHOOSE(CONTROL!$C$32, $C$9, 100%, $E$9)</f>
        <v>7.7446999999999999</v>
      </c>
      <c r="M432" s="81">
        <f>7.7491 * CHOOSE(CONTROL!$C$32, $C$9, 100%, $E$9)</f>
        <v>7.7491000000000003</v>
      </c>
      <c r="N432" s="81">
        <f>7.7447 * CHOOSE(CONTROL!$C$32, $C$9, 100%, $E$9)</f>
        <v>7.7446999999999999</v>
      </c>
      <c r="O432" s="81">
        <f>7.7491 * CHOOSE(CONTROL!$C$32, $C$9, 100%, $E$9)</f>
        <v>7.7491000000000003</v>
      </c>
    </row>
    <row r="433" spans="1:15" ht="15">
      <c r="A433" s="16">
        <v>54393</v>
      </c>
      <c r="B433" s="80">
        <f>6.4483 * CHOOSE(CONTROL!$C$32, $C$9, 100%, $E$9)</f>
        <v>6.4482999999999997</v>
      </c>
      <c r="C433" s="80">
        <f>6.4483 * CHOOSE(CONTROL!$C$32, $C$9, 100%, $E$9)</f>
        <v>6.4482999999999997</v>
      </c>
      <c r="D433" s="80">
        <f>6.4518 * CHOOSE(CONTROL!$C$32, $C$9, 100%, $E$9)</f>
        <v>6.4518000000000004</v>
      </c>
      <c r="E433" s="81">
        <f>7.6797 * CHOOSE(CONTROL!$C$32, $C$9, 100%, $E$9)</f>
        <v>7.6797000000000004</v>
      </c>
      <c r="F433" s="81">
        <f>7.6797 * CHOOSE(CONTROL!$C$32, $C$9, 100%, $E$9)</f>
        <v>7.6797000000000004</v>
      </c>
      <c r="G433" s="81">
        <f>7.6841 * CHOOSE(CONTROL!$C$32, $C$9, 100%, $E$9)</f>
        <v>7.6840999999999999</v>
      </c>
      <c r="H433" s="81">
        <f>13.9128 * CHOOSE(CONTROL!$C$32, $C$9, 100%, $E$9)</f>
        <v>13.912800000000001</v>
      </c>
      <c r="I433" s="81">
        <f>13.9172 * CHOOSE(CONTROL!$C$32, $C$9, 100%, $E$9)</f>
        <v>13.917199999999999</v>
      </c>
      <c r="J433" s="81">
        <f>13.9128 * CHOOSE(CONTROL!$C$32, $C$9, 100%, $E$9)</f>
        <v>13.912800000000001</v>
      </c>
      <c r="K433" s="81">
        <f>13.9172 * CHOOSE(CONTROL!$C$32, $C$9, 100%, $E$9)</f>
        <v>13.917199999999999</v>
      </c>
      <c r="L433" s="81">
        <f>7.6797 * CHOOSE(CONTROL!$C$32, $C$9, 100%, $E$9)</f>
        <v>7.6797000000000004</v>
      </c>
      <c r="M433" s="81">
        <f>7.6841 * CHOOSE(CONTROL!$C$32, $C$9, 100%, $E$9)</f>
        <v>7.6840999999999999</v>
      </c>
      <c r="N433" s="81">
        <f>7.6797 * CHOOSE(CONTROL!$C$32, $C$9, 100%, $E$9)</f>
        <v>7.6797000000000004</v>
      </c>
      <c r="O433" s="81">
        <f>7.6841 * CHOOSE(CONTROL!$C$32, $C$9, 100%, $E$9)</f>
        <v>7.6840999999999999</v>
      </c>
    </row>
    <row r="434" spans="1:15" ht="15">
      <c r="A434" s="16">
        <v>54424</v>
      </c>
      <c r="B434" s="80">
        <f>6.5044 * CHOOSE(CONTROL!$C$32, $C$9, 100%, $E$9)</f>
        <v>6.5044000000000004</v>
      </c>
      <c r="C434" s="80">
        <f>6.5044 * CHOOSE(CONTROL!$C$32, $C$9, 100%, $E$9)</f>
        <v>6.5044000000000004</v>
      </c>
      <c r="D434" s="80">
        <f>6.508 * CHOOSE(CONTROL!$C$32, $C$9, 100%, $E$9)</f>
        <v>6.508</v>
      </c>
      <c r="E434" s="81">
        <f>7.7893 * CHOOSE(CONTROL!$C$32, $C$9, 100%, $E$9)</f>
        <v>7.7892999999999999</v>
      </c>
      <c r="F434" s="81">
        <f>7.7893 * CHOOSE(CONTROL!$C$32, $C$9, 100%, $E$9)</f>
        <v>7.7892999999999999</v>
      </c>
      <c r="G434" s="81">
        <f>7.7937 * CHOOSE(CONTROL!$C$32, $C$9, 100%, $E$9)</f>
        <v>7.7937000000000003</v>
      </c>
      <c r="H434" s="81">
        <f>13.9418 * CHOOSE(CONTROL!$C$32, $C$9, 100%, $E$9)</f>
        <v>13.941800000000001</v>
      </c>
      <c r="I434" s="81">
        <f>13.9462 * CHOOSE(CONTROL!$C$32, $C$9, 100%, $E$9)</f>
        <v>13.946199999999999</v>
      </c>
      <c r="J434" s="81">
        <f>13.9418 * CHOOSE(CONTROL!$C$32, $C$9, 100%, $E$9)</f>
        <v>13.941800000000001</v>
      </c>
      <c r="K434" s="81">
        <f>13.9462 * CHOOSE(CONTROL!$C$32, $C$9, 100%, $E$9)</f>
        <v>13.946199999999999</v>
      </c>
      <c r="L434" s="81">
        <f>7.7893 * CHOOSE(CONTROL!$C$32, $C$9, 100%, $E$9)</f>
        <v>7.7892999999999999</v>
      </c>
      <c r="M434" s="81">
        <f>7.7937 * CHOOSE(CONTROL!$C$32, $C$9, 100%, $E$9)</f>
        <v>7.7937000000000003</v>
      </c>
      <c r="N434" s="81">
        <f>7.7893 * CHOOSE(CONTROL!$C$32, $C$9, 100%, $E$9)</f>
        <v>7.7892999999999999</v>
      </c>
      <c r="O434" s="81">
        <f>7.7937 * CHOOSE(CONTROL!$C$32, $C$9, 100%, $E$9)</f>
        <v>7.7937000000000003</v>
      </c>
    </row>
    <row r="435" spans="1:15" ht="15">
      <c r="A435" s="16">
        <v>54455</v>
      </c>
      <c r="B435" s="80">
        <f>6.5014 * CHOOSE(CONTROL!$C$32, $C$9, 100%, $E$9)</f>
        <v>6.5014000000000003</v>
      </c>
      <c r="C435" s="80">
        <f>6.5014 * CHOOSE(CONTROL!$C$32, $C$9, 100%, $E$9)</f>
        <v>6.5014000000000003</v>
      </c>
      <c r="D435" s="80">
        <f>6.5049 * CHOOSE(CONTROL!$C$32, $C$9, 100%, $E$9)</f>
        <v>6.5049000000000001</v>
      </c>
      <c r="E435" s="81">
        <f>7.661 * CHOOSE(CONTROL!$C$32, $C$9, 100%, $E$9)</f>
        <v>7.6609999999999996</v>
      </c>
      <c r="F435" s="81">
        <f>7.661 * CHOOSE(CONTROL!$C$32, $C$9, 100%, $E$9)</f>
        <v>7.6609999999999996</v>
      </c>
      <c r="G435" s="81">
        <f>7.6654 * CHOOSE(CONTROL!$C$32, $C$9, 100%, $E$9)</f>
        <v>7.6654</v>
      </c>
      <c r="H435" s="81">
        <f>13.9708 * CHOOSE(CONTROL!$C$32, $C$9, 100%, $E$9)</f>
        <v>13.970800000000001</v>
      </c>
      <c r="I435" s="81">
        <f>13.9752 * CHOOSE(CONTROL!$C$32, $C$9, 100%, $E$9)</f>
        <v>13.975199999999999</v>
      </c>
      <c r="J435" s="81">
        <f>13.9708 * CHOOSE(CONTROL!$C$32, $C$9, 100%, $E$9)</f>
        <v>13.970800000000001</v>
      </c>
      <c r="K435" s="81">
        <f>13.9752 * CHOOSE(CONTROL!$C$32, $C$9, 100%, $E$9)</f>
        <v>13.975199999999999</v>
      </c>
      <c r="L435" s="81">
        <f>7.661 * CHOOSE(CONTROL!$C$32, $C$9, 100%, $E$9)</f>
        <v>7.6609999999999996</v>
      </c>
      <c r="M435" s="81">
        <f>7.6654 * CHOOSE(CONTROL!$C$32, $C$9, 100%, $E$9)</f>
        <v>7.6654</v>
      </c>
      <c r="N435" s="81">
        <f>7.661 * CHOOSE(CONTROL!$C$32, $C$9, 100%, $E$9)</f>
        <v>7.6609999999999996</v>
      </c>
      <c r="O435" s="81">
        <f>7.6654 * CHOOSE(CONTROL!$C$32, $C$9, 100%, $E$9)</f>
        <v>7.6654</v>
      </c>
    </row>
    <row r="436" spans="1:15" ht="15">
      <c r="A436" s="16">
        <v>54483</v>
      </c>
      <c r="B436" s="80">
        <f>6.4984 * CHOOSE(CONTROL!$C$32, $C$9, 100%, $E$9)</f>
        <v>6.4984000000000002</v>
      </c>
      <c r="C436" s="80">
        <f>6.4984 * CHOOSE(CONTROL!$C$32, $C$9, 100%, $E$9)</f>
        <v>6.4984000000000002</v>
      </c>
      <c r="D436" s="80">
        <f>6.5019 * CHOOSE(CONTROL!$C$32, $C$9, 100%, $E$9)</f>
        <v>6.5019</v>
      </c>
      <c r="E436" s="81">
        <f>7.7584 * CHOOSE(CONTROL!$C$32, $C$9, 100%, $E$9)</f>
        <v>7.7584</v>
      </c>
      <c r="F436" s="81">
        <f>7.7584 * CHOOSE(CONTROL!$C$32, $C$9, 100%, $E$9)</f>
        <v>7.7584</v>
      </c>
      <c r="G436" s="81">
        <f>7.7628 * CHOOSE(CONTROL!$C$32, $C$9, 100%, $E$9)</f>
        <v>7.7628000000000004</v>
      </c>
      <c r="H436" s="81">
        <f>13.9999 * CHOOSE(CONTROL!$C$32, $C$9, 100%, $E$9)</f>
        <v>13.9999</v>
      </c>
      <c r="I436" s="81">
        <f>14.0043 * CHOOSE(CONTROL!$C$32, $C$9, 100%, $E$9)</f>
        <v>14.004300000000001</v>
      </c>
      <c r="J436" s="81">
        <f>13.9999 * CHOOSE(CONTROL!$C$32, $C$9, 100%, $E$9)</f>
        <v>13.9999</v>
      </c>
      <c r="K436" s="81">
        <f>14.0043 * CHOOSE(CONTROL!$C$32, $C$9, 100%, $E$9)</f>
        <v>14.004300000000001</v>
      </c>
      <c r="L436" s="81">
        <f>7.7584 * CHOOSE(CONTROL!$C$32, $C$9, 100%, $E$9)</f>
        <v>7.7584</v>
      </c>
      <c r="M436" s="81">
        <f>7.7628 * CHOOSE(CONTROL!$C$32, $C$9, 100%, $E$9)</f>
        <v>7.7628000000000004</v>
      </c>
      <c r="N436" s="81">
        <f>7.7584 * CHOOSE(CONTROL!$C$32, $C$9, 100%, $E$9)</f>
        <v>7.7584</v>
      </c>
      <c r="O436" s="81">
        <f>7.7628 * CHOOSE(CONTROL!$C$32, $C$9, 100%, $E$9)</f>
        <v>7.7628000000000004</v>
      </c>
    </row>
    <row r="437" spans="1:15" ht="15">
      <c r="A437" s="16">
        <v>54514</v>
      </c>
      <c r="B437" s="80">
        <f>6.4982 * CHOOSE(CONTROL!$C$32, $C$9, 100%, $E$9)</f>
        <v>6.4981999999999998</v>
      </c>
      <c r="C437" s="80">
        <f>6.4982 * CHOOSE(CONTROL!$C$32, $C$9, 100%, $E$9)</f>
        <v>6.4981999999999998</v>
      </c>
      <c r="D437" s="80">
        <f>6.5017 * CHOOSE(CONTROL!$C$32, $C$9, 100%, $E$9)</f>
        <v>6.5016999999999996</v>
      </c>
      <c r="E437" s="81">
        <f>7.861 * CHOOSE(CONTROL!$C$32, $C$9, 100%, $E$9)</f>
        <v>7.8609999999999998</v>
      </c>
      <c r="F437" s="81">
        <f>7.861 * CHOOSE(CONTROL!$C$32, $C$9, 100%, $E$9)</f>
        <v>7.8609999999999998</v>
      </c>
      <c r="G437" s="81">
        <f>7.8654 * CHOOSE(CONTROL!$C$32, $C$9, 100%, $E$9)</f>
        <v>7.8654000000000002</v>
      </c>
      <c r="H437" s="81">
        <f>14.0291 * CHOOSE(CONTROL!$C$32, $C$9, 100%, $E$9)</f>
        <v>14.0291</v>
      </c>
      <c r="I437" s="81">
        <f>14.0335 * CHOOSE(CONTROL!$C$32, $C$9, 100%, $E$9)</f>
        <v>14.0335</v>
      </c>
      <c r="J437" s="81">
        <f>14.0291 * CHOOSE(CONTROL!$C$32, $C$9, 100%, $E$9)</f>
        <v>14.0291</v>
      </c>
      <c r="K437" s="81">
        <f>14.0335 * CHOOSE(CONTROL!$C$32, $C$9, 100%, $E$9)</f>
        <v>14.0335</v>
      </c>
      <c r="L437" s="81">
        <f>7.861 * CHOOSE(CONTROL!$C$32, $C$9, 100%, $E$9)</f>
        <v>7.8609999999999998</v>
      </c>
      <c r="M437" s="81">
        <f>7.8654 * CHOOSE(CONTROL!$C$32, $C$9, 100%, $E$9)</f>
        <v>7.8654000000000002</v>
      </c>
      <c r="N437" s="81">
        <f>7.861 * CHOOSE(CONTROL!$C$32, $C$9, 100%, $E$9)</f>
        <v>7.8609999999999998</v>
      </c>
      <c r="O437" s="81">
        <f>7.8654 * CHOOSE(CONTROL!$C$32, $C$9, 100%, $E$9)</f>
        <v>7.8654000000000002</v>
      </c>
    </row>
    <row r="438" spans="1:15" ht="15">
      <c r="A438" s="16">
        <v>54544</v>
      </c>
      <c r="B438" s="80">
        <f>6.4982 * CHOOSE(CONTROL!$C$32, $C$9, 100%, $E$9)</f>
        <v>6.4981999999999998</v>
      </c>
      <c r="C438" s="80">
        <f>6.4982 * CHOOSE(CONTROL!$C$32, $C$9, 100%, $E$9)</f>
        <v>6.4981999999999998</v>
      </c>
      <c r="D438" s="80">
        <f>6.5033 * CHOOSE(CONTROL!$C$32, $C$9, 100%, $E$9)</f>
        <v>6.5033000000000003</v>
      </c>
      <c r="E438" s="81">
        <f>7.9011 * CHOOSE(CONTROL!$C$32, $C$9, 100%, $E$9)</f>
        <v>7.9010999999999996</v>
      </c>
      <c r="F438" s="81">
        <f>7.9011 * CHOOSE(CONTROL!$C$32, $C$9, 100%, $E$9)</f>
        <v>7.9010999999999996</v>
      </c>
      <c r="G438" s="81">
        <f>7.9074 * CHOOSE(CONTROL!$C$32, $C$9, 100%, $E$9)</f>
        <v>7.9074</v>
      </c>
      <c r="H438" s="81">
        <f>14.0583 * CHOOSE(CONTROL!$C$32, $C$9, 100%, $E$9)</f>
        <v>14.058299999999999</v>
      </c>
      <c r="I438" s="81">
        <f>14.0646 * CHOOSE(CONTROL!$C$32, $C$9, 100%, $E$9)</f>
        <v>14.0646</v>
      </c>
      <c r="J438" s="81">
        <f>14.0583 * CHOOSE(CONTROL!$C$32, $C$9, 100%, $E$9)</f>
        <v>14.058299999999999</v>
      </c>
      <c r="K438" s="81">
        <f>14.0646 * CHOOSE(CONTROL!$C$32, $C$9, 100%, $E$9)</f>
        <v>14.0646</v>
      </c>
      <c r="L438" s="81">
        <f>7.9011 * CHOOSE(CONTROL!$C$32, $C$9, 100%, $E$9)</f>
        <v>7.9010999999999996</v>
      </c>
      <c r="M438" s="81">
        <f>7.9074 * CHOOSE(CONTROL!$C$32, $C$9, 100%, $E$9)</f>
        <v>7.9074</v>
      </c>
      <c r="N438" s="81">
        <f>7.9011 * CHOOSE(CONTROL!$C$32, $C$9, 100%, $E$9)</f>
        <v>7.9010999999999996</v>
      </c>
      <c r="O438" s="81">
        <f>7.9074 * CHOOSE(CONTROL!$C$32, $C$9, 100%, $E$9)</f>
        <v>7.9074</v>
      </c>
    </row>
    <row r="439" spans="1:15" ht="15">
      <c r="A439" s="16">
        <v>54575</v>
      </c>
      <c r="B439" s="80">
        <f>6.5042 * CHOOSE(CONTROL!$C$32, $C$9, 100%, $E$9)</f>
        <v>6.5042</v>
      </c>
      <c r="C439" s="80">
        <f>6.5042 * CHOOSE(CONTROL!$C$32, $C$9, 100%, $E$9)</f>
        <v>6.5042</v>
      </c>
      <c r="D439" s="80">
        <f>6.5094 * CHOOSE(CONTROL!$C$32, $C$9, 100%, $E$9)</f>
        <v>6.5094000000000003</v>
      </c>
      <c r="E439" s="81">
        <f>7.8653 * CHOOSE(CONTROL!$C$32, $C$9, 100%, $E$9)</f>
        <v>7.8653000000000004</v>
      </c>
      <c r="F439" s="81">
        <f>7.8653 * CHOOSE(CONTROL!$C$32, $C$9, 100%, $E$9)</f>
        <v>7.8653000000000004</v>
      </c>
      <c r="G439" s="81">
        <f>7.8716 * CHOOSE(CONTROL!$C$32, $C$9, 100%, $E$9)</f>
        <v>7.8715999999999999</v>
      </c>
      <c r="H439" s="81">
        <f>14.0876 * CHOOSE(CONTROL!$C$32, $C$9, 100%, $E$9)</f>
        <v>14.0876</v>
      </c>
      <c r="I439" s="81">
        <f>14.0939 * CHOOSE(CONTROL!$C$32, $C$9, 100%, $E$9)</f>
        <v>14.0939</v>
      </c>
      <c r="J439" s="81">
        <f>14.0876 * CHOOSE(CONTROL!$C$32, $C$9, 100%, $E$9)</f>
        <v>14.0876</v>
      </c>
      <c r="K439" s="81">
        <f>14.0939 * CHOOSE(CONTROL!$C$32, $C$9, 100%, $E$9)</f>
        <v>14.0939</v>
      </c>
      <c r="L439" s="81">
        <f>7.8653 * CHOOSE(CONTROL!$C$32, $C$9, 100%, $E$9)</f>
        <v>7.8653000000000004</v>
      </c>
      <c r="M439" s="81">
        <f>7.8716 * CHOOSE(CONTROL!$C$32, $C$9, 100%, $E$9)</f>
        <v>7.8715999999999999</v>
      </c>
      <c r="N439" s="81">
        <f>7.8653 * CHOOSE(CONTROL!$C$32, $C$9, 100%, $E$9)</f>
        <v>7.8653000000000004</v>
      </c>
      <c r="O439" s="81">
        <f>7.8716 * CHOOSE(CONTROL!$C$32, $C$9, 100%, $E$9)</f>
        <v>7.8715999999999999</v>
      </c>
    </row>
    <row r="440" spans="1:15" ht="15">
      <c r="A440" s="16">
        <v>54605</v>
      </c>
      <c r="B440" s="80">
        <f>6.6083 * CHOOSE(CONTROL!$C$32, $C$9, 100%, $E$9)</f>
        <v>6.6082999999999998</v>
      </c>
      <c r="C440" s="80">
        <f>6.6083 * CHOOSE(CONTROL!$C$32, $C$9, 100%, $E$9)</f>
        <v>6.6082999999999998</v>
      </c>
      <c r="D440" s="80">
        <f>6.6134 * CHOOSE(CONTROL!$C$32, $C$9, 100%, $E$9)</f>
        <v>6.6134000000000004</v>
      </c>
      <c r="E440" s="81">
        <f>7.9963 * CHOOSE(CONTROL!$C$32, $C$9, 100%, $E$9)</f>
        <v>7.9962999999999997</v>
      </c>
      <c r="F440" s="81">
        <f>7.9963 * CHOOSE(CONTROL!$C$32, $C$9, 100%, $E$9)</f>
        <v>7.9962999999999997</v>
      </c>
      <c r="G440" s="81">
        <f>8.0026 * CHOOSE(CONTROL!$C$32, $C$9, 100%, $E$9)</f>
        <v>8.0025999999999993</v>
      </c>
      <c r="H440" s="81">
        <f>14.117 * CHOOSE(CONTROL!$C$32, $C$9, 100%, $E$9)</f>
        <v>14.117000000000001</v>
      </c>
      <c r="I440" s="81">
        <f>14.1233 * CHOOSE(CONTROL!$C$32, $C$9, 100%, $E$9)</f>
        <v>14.1233</v>
      </c>
      <c r="J440" s="81">
        <f>14.117 * CHOOSE(CONTROL!$C$32, $C$9, 100%, $E$9)</f>
        <v>14.117000000000001</v>
      </c>
      <c r="K440" s="81">
        <f>14.1233 * CHOOSE(CONTROL!$C$32, $C$9, 100%, $E$9)</f>
        <v>14.1233</v>
      </c>
      <c r="L440" s="81">
        <f>7.9963 * CHOOSE(CONTROL!$C$32, $C$9, 100%, $E$9)</f>
        <v>7.9962999999999997</v>
      </c>
      <c r="M440" s="81">
        <f>8.0026 * CHOOSE(CONTROL!$C$32, $C$9, 100%, $E$9)</f>
        <v>8.0025999999999993</v>
      </c>
      <c r="N440" s="81">
        <f>7.9963 * CHOOSE(CONTROL!$C$32, $C$9, 100%, $E$9)</f>
        <v>7.9962999999999997</v>
      </c>
      <c r="O440" s="81">
        <f>8.0026 * CHOOSE(CONTROL!$C$32, $C$9, 100%, $E$9)</f>
        <v>8.0025999999999993</v>
      </c>
    </row>
    <row r="441" spans="1:15" ht="15">
      <c r="A441" s="16">
        <v>54636</v>
      </c>
      <c r="B441" s="80">
        <f>6.615 * CHOOSE(CONTROL!$C$32, $C$9, 100%, $E$9)</f>
        <v>6.6150000000000002</v>
      </c>
      <c r="C441" s="80">
        <f>6.615 * CHOOSE(CONTROL!$C$32, $C$9, 100%, $E$9)</f>
        <v>6.6150000000000002</v>
      </c>
      <c r="D441" s="80">
        <f>6.6201 * CHOOSE(CONTROL!$C$32, $C$9, 100%, $E$9)</f>
        <v>6.6200999999999999</v>
      </c>
      <c r="E441" s="81">
        <f>7.8807 * CHOOSE(CONTROL!$C$32, $C$9, 100%, $E$9)</f>
        <v>7.8807</v>
      </c>
      <c r="F441" s="81">
        <f>7.8807 * CHOOSE(CONTROL!$C$32, $C$9, 100%, $E$9)</f>
        <v>7.8807</v>
      </c>
      <c r="G441" s="81">
        <f>7.887 * CHOOSE(CONTROL!$C$32, $C$9, 100%, $E$9)</f>
        <v>7.8869999999999996</v>
      </c>
      <c r="H441" s="81">
        <f>14.1464 * CHOOSE(CONTROL!$C$32, $C$9, 100%, $E$9)</f>
        <v>14.1464</v>
      </c>
      <c r="I441" s="81">
        <f>14.1527 * CHOOSE(CONTROL!$C$32, $C$9, 100%, $E$9)</f>
        <v>14.152699999999999</v>
      </c>
      <c r="J441" s="81">
        <f>14.1464 * CHOOSE(CONTROL!$C$32, $C$9, 100%, $E$9)</f>
        <v>14.1464</v>
      </c>
      <c r="K441" s="81">
        <f>14.1527 * CHOOSE(CONTROL!$C$32, $C$9, 100%, $E$9)</f>
        <v>14.152699999999999</v>
      </c>
      <c r="L441" s="81">
        <f>7.8807 * CHOOSE(CONTROL!$C$32, $C$9, 100%, $E$9)</f>
        <v>7.8807</v>
      </c>
      <c r="M441" s="81">
        <f>7.887 * CHOOSE(CONTROL!$C$32, $C$9, 100%, $E$9)</f>
        <v>7.8869999999999996</v>
      </c>
      <c r="N441" s="81">
        <f>7.8807 * CHOOSE(CONTROL!$C$32, $C$9, 100%, $E$9)</f>
        <v>7.8807</v>
      </c>
      <c r="O441" s="81">
        <f>7.887 * CHOOSE(CONTROL!$C$32, $C$9, 100%, $E$9)</f>
        <v>7.8869999999999996</v>
      </c>
    </row>
    <row r="442" spans="1:15" ht="15">
      <c r="A442" s="16">
        <v>54667</v>
      </c>
      <c r="B442" s="80">
        <f>6.6119 * CHOOSE(CONTROL!$C$32, $C$9, 100%, $E$9)</f>
        <v>6.6119000000000003</v>
      </c>
      <c r="C442" s="80">
        <f>6.6119 * CHOOSE(CONTROL!$C$32, $C$9, 100%, $E$9)</f>
        <v>6.6119000000000003</v>
      </c>
      <c r="D442" s="80">
        <f>6.6171 * CHOOSE(CONTROL!$C$32, $C$9, 100%, $E$9)</f>
        <v>6.6170999999999998</v>
      </c>
      <c r="E442" s="81">
        <f>7.8653 * CHOOSE(CONTROL!$C$32, $C$9, 100%, $E$9)</f>
        <v>7.8653000000000004</v>
      </c>
      <c r="F442" s="81">
        <f>7.8653 * CHOOSE(CONTROL!$C$32, $C$9, 100%, $E$9)</f>
        <v>7.8653000000000004</v>
      </c>
      <c r="G442" s="81">
        <f>7.8716 * CHOOSE(CONTROL!$C$32, $C$9, 100%, $E$9)</f>
        <v>7.8715999999999999</v>
      </c>
      <c r="H442" s="81">
        <f>14.1759 * CHOOSE(CONTROL!$C$32, $C$9, 100%, $E$9)</f>
        <v>14.1759</v>
      </c>
      <c r="I442" s="81">
        <f>14.1822 * CHOOSE(CONTROL!$C$32, $C$9, 100%, $E$9)</f>
        <v>14.1822</v>
      </c>
      <c r="J442" s="81">
        <f>14.1759 * CHOOSE(CONTROL!$C$32, $C$9, 100%, $E$9)</f>
        <v>14.1759</v>
      </c>
      <c r="K442" s="81">
        <f>14.1822 * CHOOSE(CONTROL!$C$32, $C$9, 100%, $E$9)</f>
        <v>14.1822</v>
      </c>
      <c r="L442" s="81">
        <f>7.8653 * CHOOSE(CONTROL!$C$32, $C$9, 100%, $E$9)</f>
        <v>7.8653000000000004</v>
      </c>
      <c r="M442" s="81">
        <f>7.8716 * CHOOSE(CONTROL!$C$32, $C$9, 100%, $E$9)</f>
        <v>7.8715999999999999</v>
      </c>
      <c r="N442" s="81">
        <f>7.8653 * CHOOSE(CONTROL!$C$32, $C$9, 100%, $E$9)</f>
        <v>7.8653000000000004</v>
      </c>
      <c r="O442" s="81">
        <f>7.8716 * CHOOSE(CONTROL!$C$32, $C$9, 100%, $E$9)</f>
        <v>7.8715999999999999</v>
      </c>
    </row>
    <row r="443" spans="1:15" ht="15">
      <c r="A443" s="16">
        <v>54697</v>
      </c>
      <c r="B443" s="80">
        <f>6.6156 * CHOOSE(CONTROL!$C$32, $C$9, 100%, $E$9)</f>
        <v>6.6155999999999997</v>
      </c>
      <c r="C443" s="80">
        <f>6.6156 * CHOOSE(CONTROL!$C$32, $C$9, 100%, $E$9)</f>
        <v>6.6155999999999997</v>
      </c>
      <c r="D443" s="80">
        <f>6.6191 * CHOOSE(CONTROL!$C$32, $C$9, 100%, $E$9)</f>
        <v>6.6191000000000004</v>
      </c>
      <c r="E443" s="81">
        <f>7.9053 * CHOOSE(CONTROL!$C$32, $C$9, 100%, $E$9)</f>
        <v>7.9053000000000004</v>
      </c>
      <c r="F443" s="81">
        <f>7.9053 * CHOOSE(CONTROL!$C$32, $C$9, 100%, $E$9)</f>
        <v>7.9053000000000004</v>
      </c>
      <c r="G443" s="81">
        <f>7.9096 * CHOOSE(CONTROL!$C$32, $C$9, 100%, $E$9)</f>
        <v>7.9096000000000002</v>
      </c>
      <c r="H443" s="81">
        <f>14.2054 * CHOOSE(CONTROL!$C$32, $C$9, 100%, $E$9)</f>
        <v>14.205399999999999</v>
      </c>
      <c r="I443" s="81">
        <f>14.2097 * CHOOSE(CONTROL!$C$32, $C$9, 100%, $E$9)</f>
        <v>14.2097</v>
      </c>
      <c r="J443" s="81">
        <f>14.2054 * CHOOSE(CONTROL!$C$32, $C$9, 100%, $E$9)</f>
        <v>14.205399999999999</v>
      </c>
      <c r="K443" s="81">
        <f>14.2097 * CHOOSE(CONTROL!$C$32, $C$9, 100%, $E$9)</f>
        <v>14.2097</v>
      </c>
      <c r="L443" s="81">
        <f>7.9053 * CHOOSE(CONTROL!$C$32, $C$9, 100%, $E$9)</f>
        <v>7.9053000000000004</v>
      </c>
      <c r="M443" s="81">
        <f>7.9096 * CHOOSE(CONTROL!$C$32, $C$9, 100%, $E$9)</f>
        <v>7.9096000000000002</v>
      </c>
      <c r="N443" s="81">
        <f>7.9053 * CHOOSE(CONTROL!$C$32, $C$9, 100%, $E$9)</f>
        <v>7.9053000000000004</v>
      </c>
      <c r="O443" s="81">
        <f>7.9096 * CHOOSE(CONTROL!$C$32, $C$9, 100%, $E$9)</f>
        <v>7.9096000000000002</v>
      </c>
    </row>
    <row r="444" spans="1:15" ht="15">
      <c r="A444" s="16">
        <v>54728</v>
      </c>
      <c r="B444" s="80">
        <f>6.6186 * CHOOSE(CONTROL!$C$32, $C$9, 100%, $E$9)</f>
        <v>6.6185999999999998</v>
      </c>
      <c r="C444" s="80">
        <f>6.6186 * CHOOSE(CONTROL!$C$32, $C$9, 100%, $E$9)</f>
        <v>6.6185999999999998</v>
      </c>
      <c r="D444" s="80">
        <f>6.6222 * CHOOSE(CONTROL!$C$32, $C$9, 100%, $E$9)</f>
        <v>6.6222000000000003</v>
      </c>
      <c r="E444" s="81">
        <f>7.9341 * CHOOSE(CONTROL!$C$32, $C$9, 100%, $E$9)</f>
        <v>7.9340999999999999</v>
      </c>
      <c r="F444" s="81">
        <f>7.9341 * CHOOSE(CONTROL!$C$32, $C$9, 100%, $E$9)</f>
        <v>7.9340999999999999</v>
      </c>
      <c r="G444" s="81">
        <f>7.9385 * CHOOSE(CONTROL!$C$32, $C$9, 100%, $E$9)</f>
        <v>7.9385000000000003</v>
      </c>
      <c r="H444" s="81">
        <f>14.235 * CHOOSE(CONTROL!$C$32, $C$9, 100%, $E$9)</f>
        <v>14.234999999999999</v>
      </c>
      <c r="I444" s="81">
        <f>14.2393 * CHOOSE(CONTROL!$C$32, $C$9, 100%, $E$9)</f>
        <v>14.2393</v>
      </c>
      <c r="J444" s="81">
        <f>14.235 * CHOOSE(CONTROL!$C$32, $C$9, 100%, $E$9)</f>
        <v>14.234999999999999</v>
      </c>
      <c r="K444" s="81">
        <f>14.2393 * CHOOSE(CONTROL!$C$32, $C$9, 100%, $E$9)</f>
        <v>14.2393</v>
      </c>
      <c r="L444" s="81">
        <f>7.9341 * CHOOSE(CONTROL!$C$32, $C$9, 100%, $E$9)</f>
        <v>7.9340999999999999</v>
      </c>
      <c r="M444" s="81">
        <f>7.9385 * CHOOSE(CONTROL!$C$32, $C$9, 100%, $E$9)</f>
        <v>7.9385000000000003</v>
      </c>
      <c r="N444" s="81">
        <f>7.9341 * CHOOSE(CONTROL!$C$32, $C$9, 100%, $E$9)</f>
        <v>7.9340999999999999</v>
      </c>
      <c r="O444" s="81">
        <f>7.9385 * CHOOSE(CONTROL!$C$32, $C$9, 100%, $E$9)</f>
        <v>7.9385000000000003</v>
      </c>
    </row>
    <row r="445" spans="1:15" ht="15">
      <c r="A445" s="16">
        <v>54758</v>
      </c>
      <c r="B445" s="80">
        <f>6.6186 * CHOOSE(CONTROL!$C$32, $C$9, 100%, $E$9)</f>
        <v>6.6185999999999998</v>
      </c>
      <c r="C445" s="80">
        <f>6.6186 * CHOOSE(CONTROL!$C$32, $C$9, 100%, $E$9)</f>
        <v>6.6185999999999998</v>
      </c>
      <c r="D445" s="80">
        <f>6.6222 * CHOOSE(CONTROL!$C$32, $C$9, 100%, $E$9)</f>
        <v>6.6222000000000003</v>
      </c>
      <c r="E445" s="81">
        <f>7.8673 * CHOOSE(CONTROL!$C$32, $C$9, 100%, $E$9)</f>
        <v>7.8673000000000002</v>
      </c>
      <c r="F445" s="81">
        <f>7.8673 * CHOOSE(CONTROL!$C$32, $C$9, 100%, $E$9)</f>
        <v>7.8673000000000002</v>
      </c>
      <c r="G445" s="81">
        <f>7.8717 * CHOOSE(CONTROL!$C$32, $C$9, 100%, $E$9)</f>
        <v>7.8716999999999997</v>
      </c>
      <c r="H445" s="81">
        <f>14.2646 * CHOOSE(CONTROL!$C$32, $C$9, 100%, $E$9)</f>
        <v>14.2646</v>
      </c>
      <c r="I445" s="81">
        <f>14.269 * CHOOSE(CONTROL!$C$32, $C$9, 100%, $E$9)</f>
        <v>14.269</v>
      </c>
      <c r="J445" s="81">
        <f>14.2646 * CHOOSE(CONTROL!$C$32, $C$9, 100%, $E$9)</f>
        <v>14.2646</v>
      </c>
      <c r="K445" s="81">
        <f>14.269 * CHOOSE(CONTROL!$C$32, $C$9, 100%, $E$9)</f>
        <v>14.269</v>
      </c>
      <c r="L445" s="81">
        <f>7.8673 * CHOOSE(CONTROL!$C$32, $C$9, 100%, $E$9)</f>
        <v>7.8673000000000002</v>
      </c>
      <c r="M445" s="81">
        <f>7.8717 * CHOOSE(CONTROL!$C$32, $C$9, 100%, $E$9)</f>
        <v>7.8716999999999997</v>
      </c>
      <c r="N445" s="81">
        <f>7.8673 * CHOOSE(CONTROL!$C$32, $C$9, 100%, $E$9)</f>
        <v>7.8673000000000002</v>
      </c>
      <c r="O445" s="81">
        <f>7.8717 * CHOOSE(CONTROL!$C$32, $C$9, 100%, $E$9)</f>
        <v>7.8716999999999997</v>
      </c>
    </row>
    <row r="446" spans="1:15" ht="15">
      <c r="A446" s="16">
        <v>54789</v>
      </c>
      <c r="B446" s="80">
        <f>6.6762 * CHOOSE(CONTROL!$C$32, $C$9, 100%, $E$9)</f>
        <v>6.6761999999999997</v>
      </c>
      <c r="C446" s="80">
        <f>6.6762 * CHOOSE(CONTROL!$C$32, $C$9, 100%, $E$9)</f>
        <v>6.6761999999999997</v>
      </c>
      <c r="D446" s="80">
        <f>6.6797 * CHOOSE(CONTROL!$C$32, $C$9, 100%, $E$9)</f>
        <v>6.6797000000000004</v>
      </c>
      <c r="E446" s="81">
        <f>7.9797 * CHOOSE(CONTROL!$C$32, $C$9, 100%, $E$9)</f>
        <v>7.9797000000000002</v>
      </c>
      <c r="F446" s="81">
        <f>7.9797 * CHOOSE(CONTROL!$C$32, $C$9, 100%, $E$9)</f>
        <v>7.9797000000000002</v>
      </c>
      <c r="G446" s="81">
        <f>7.9841 * CHOOSE(CONTROL!$C$32, $C$9, 100%, $E$9)</f>
        <v>7.9840999999999998</v>
      </c>
      <c r="H446" s="81">
        <f>14.2944 * CHOOSE(CONTROL!$C$32, $C$9, 100%, $E$9)</f>
        <v>14.2944</v>
      </c>
      <c r="I446" s="81">
        <f>14.2987 * CHOOSE(CONTROL!$C$32, $C$9, 100%, $E$9)</f>
        <v>14.2987</v>
      </c>
      <c r="J446" s="81">
        <f>14.2944 * CHOOSE(CONTROL!$C$32, $C$9, 100%, $E$9)</f>
        <v>14.2944</v>
      </c>
      <c r="K446" s="81">
        <f>14.2987 * CHOOSE(CONTROL!$C$32, $C$9, 100%, $E$9)</f>
        <v>14.2987</v>
      </c>
      <c r="L446" s="81">
        <f>7.9797 * CHOOSE(CONTROL!$C$32, $C$9, 100%, $E$9)</f>
        <v>7.9797000000000002</v>
      </c>
      <c r="M446" s="81">
        <f>7.9841 * CHOOSE(CONTROL!$C$32, $C$9, 100%, $E$9)</f>
        <v>7.9840999999999998</v>
      </c>
      <c r="N446" s="81">
        <f>7.9797 * CHOOSE(CONTROL!$C$32, $C$9, 100%, $E$9)</f>
        <v>7.9797000000000002</v>
      </c>
      <c r="O446" s="81">
        <f>7.9841 * CHOOSE(CONTROL!$C$32, $C$9, 100%, $E$9)</f>
        <v>7.9840999999999998</v>
      </c>
    </row>
    <row r="447" spans="1:15" ht="15">
      <c r="A447" s="16">
        <v>54820</v>
      </c>
      <c r="B447" s="80">
        <f>6.6731 * CHOOSE(CONTROL!$C$32, $C$9, 100%, $E$9)</f>
        <v>6.6730999999999998</v>
      </c>
      <c r="C447" s="80">
        <f>6.6731 * CHOOSE(CONTROL!$C$32, $C$9, 100%, $E$9)</f>
        <v>6.6730999999999998</v>
      </c>
      <c r="D447" s="80">
        <f>6.6767 * CHOOSE(CONTROL!$C$32, $C$9, 100%, $E$9)</f>
        <v>6.6767000000000003</v>
      </c>
      <c r="E447" s="81">
        <f>7.8478 * CHOOSE(CONTROL!$C$32, $C$9, 100%, $E$9)</f>
        <v>7.8478000000000003</v>
      </c>
      <c r="F447" s="81">
        <f>7.8478 * CHOOSE(CONTROL!$C$32, $C$9, 100%, $E$9)</f>
        <v>7.8478000000000003</v>
      </c>
      <c r="G447" s="81">
        <f>7.8522 * CHOOSE(CONTROL!$C$32, $C$9, 100%, $E$9)</f>
        <v>7.8521999999999998</v>
      </c>
      <c r="H447" s="81">
        <f>14.3241 * CHOOSE(CONTROL!$C$32, $C$9, 100%, $E$9)</f>
        <v>14.3241</v>
      </c>
      <c r="I447" s="81">
        <f>14.3285 * CHOOSE(CONTROL!$C$32, $C$9, 100%, $E$9)</f>
        <v>14.3285</v>
      </c>
      <c r="J447" s="81">
        <f>14.3241 * CHOOSE(CONTROL!$C$32, $C$9, 100%, $E$9)</f>
        <v>14.3241</v>
      </c>
      <c r="K447" s="81">
        <f>14.3285 * CHOOSE(CONTROL!$C$32, $C$9, 100%, $E$9)</f>
        <v>14.3285</v>
      </c>
      <c r="L447" s="81">
        <f>7.8478 * CHOOSE(CONTROL!$C$32, $C$9, 100%, $E$9)</f>
        <v>7.8478000000000003</v>
      </c>
      <c r="M447" s="81">
        <f>7.8522 * CHOOSE(CONTROL!$C$32, $C$9, 100%, $E$9)</f>
        <v>7.8521999999999998</v>
      </c>
      <c r="N447" s="81">
        <f>7.8478 * CHOOSE(CONTROL!$C$32, $C$9, 100%, $E$9)</f>
        <v>7.8478000000000003</v>
      </c>
      <c r="O447" s="81">
        <f>7.8522 * CHOOSE(CONTROL!$C$32, $C$9, 100%, $E$9)</f>
        <v>7.8521999999999998</v>
      </c>
    </row>
    <row r="448" spans="1:15" ht="15">
      <c r="A448" s="16">
        <v>54848</v>
      </c>
      <c r="B448" s="80">
        <f>6.6701 * CHOOSE(CONTROL!$C$32, $C$9, 100%, $E$9)</f>
        <v>6.6700999999999997</v>
      </c>
      <c r="C448" s="80">
        <f>6.6701 * CHOOSE(CONTROL!$C$32, $C$9, 100%, $E$9)</f>
        <v>6.6700999999999997</v>
      </c>
      <c r="D448" s="80">
        <f>6.6736 * CHOOSE(CONTROL!$C$32, $C$9, 100%, $E$9)</f>
        <v>6.6736000000000004</v>
      </c>
      <c r="E448" s="81">
        <f>7.948 * CHOOSE(CONTROL!$C$32, $C$9, 100%, $E$9)</f>
        <v>7.9480000000000004</v>
      </c>
      <c r="F448" s="81">
        <f>7.948 * CHOOSE(CONTROL!$C$32, $C$9, 100%, $E$9)</f>
        <v>7.9480000000000004</v>
      </c>
      <c r="G448" s="81">
        <f>7.9524 * CHOOSE(CONTROL!$C$32, $C$9, 100%, $E$9)</f>
        <v>7.9523999999999999</v>
      </c>
      <c r="H448" s="81">
        <f>14.354 * CHOOSE(CONTROL!$C$32, $C$9, 100%, $E$9)</f>
        <v>14.353999999999999</v>
      </c>
      <c r="I448" s="81">
        <f>14.3583 * CHOOSE(CONTROL!$C$32, $C$9, 100%, $E$9)</f>
        <v>14.3583</v>
      </c>
      <c r="J448" s="81">
        <f>14.354 * CHOOSE(CONTROL!$C$32, $C$9, 100%, $E$9)</f>
        <v>14.353999999999999</v>
      </c>
      <c r="K448" s="81">
        <f>14.3583 * CHOOSE(CONTROL!$C$32, $C$9, 100%, $E$9)</f>
        <v>14.3583</v>
      </c>
      <c r="L448" s="81">
        <f>7.948 * CHOOSE(CONTROL!$C$32, $C$9, 100%, $E$9)</f>
        <v>7.9480000000000004</v>
      </c>
      <c r="M448" s="81">
        <f>7.9524 * CHOOSE(CONTROL!$C$32, $C$9, 100%, $E$9)</f>
        <v>7.9523999999999999</v>
      </c>
      <c r="N448" s="81">
        <f>7.948 * CHOOSE(CONTROL!$C$32, $C$9, 100%, $E$9)</f>
        <v>7.9480000000000004</v>
      </c>
      <c r="O448" s="81">
        <f>7.9524 * CHOOSE(CONTROL!$C$32, $C$9, 100%, $E$9)</f>
        <v>7.9523999999999999</v>
      </c>
    </row>
    <row r="449" spans="1:15" ht="15">
      <c r="A449" s="16">
        <v>54879</v>
      </c>
      <c r="B449" s="80">
        <f>6.67 * CHOOSE(CONTROL!$C$32, $C$9, 100%, $E$9)</f>
        <v>6.67</v>
      </c>
      <c r="C449" s="80">
        <f>6.67 * CHOOSE(CONTROL!$C$32, $C$9, 100%, $E$9)</f>
        <v>6.67</v>
      </c>
      <c r="D449" s="80">
        <f>6.6736 * CHOOSE(CONTROL!$C$32, $C$9, 100%, $E$9)</f>
        <v>6.6736000000000004</v>
      </c>
      <c r="E449" s="81">
        <f>8.0536 * CHOOSE(CONTROL!$C$32, $C$9, 100%, $E$9)</f>
        <v>8.0535999999999994</v>
      </c>
      <c r="F449" s="81">
        <f>8.0536 * CHOOSE(CONTROL!$C$32, $C$9, 100%, $E$9)</f>
        <v>8.0535999999999994</v>
      </c>
      <c r="G449" s="81">
        <f>8.058 * CHOOSE(CONTROL!$C$32, $C$9, 100%, $E$9)</f>
        <v>8.0579999999999998</v>
      </c>
      <c r="H449" s="81">
        <f>14.3839 * CHOOSE(CONTROL!$C$32, $C$9, 100%, $E$9)</f>
        <v>14.383900000000001</v>
      </c>
      <c r="I449" s="81">
        <f>14.3882 * CHOOSE(CONTROL!$C$32, $C$9, 100%, $E$9)</f>
        <v>14.388199999999999</v>
      </c>
      <c r="J449" s="81">
        <f>14.3839 * CHOOSE(CONTROL!$C$32, $C$9, 100%, $E$9)</f>
        <v>14.383900000000001</v>
      </c>
      <c r="K449" s="81">
        <f>14.3882 * CHOOSE(CONTROL!$C$32, $C$9, 100%, $E$9)</f>
        <v>14.388199999999999</v>
      </c>
      <c r="L449" s="81">
        <f>8.0536 * CHOOSE(CONTROL!$C$32, $C$9, 100%, $E$9)</f>
        <v>8.0535999999999994</v>
      </c>
      <c r="M449" s="81">
        <f>8.058 * CHOOSE(CONTROL!$C$32, $C$9, 100%, $E$9)</f>
        <v>8.0579999999999998</v>
      </c>
      <c r="N449" s="81">
        <f>8.0536 * CHOOSE(CONTROL!$C$32, $C$9, 100%, $E$9)</f>
        <v>8.0535999999999994</v>
      </c>
      <c r="O449" s="81">
        <f>8.058 * CHOOSE(CONTROL!$C$32, $C$9, 100%, $E$9)</f>
        <v>8.0579999999999998</v>
      </c>
    </row>
    <row r="450" spans="1:15" ht="15">
      <c r="A450" s="16">
        <v>54909</v>
      </c>
      <c r="B450" s="80">
        <f>6.67 * CHOOSE(CONTROL!$C$32, $C$9, 100%, $E$9)</f>
        <v>6.67</v>
      </c>
      <c r="C450" s="80">
        <f>6.67 * CHOOSE(CONTROL!$C$32, $C$9, 100%, $E$9)</f>
        <v>6.67</v>
      </c>
      <c r="D450" s="80">
        <f>6.6752 * CHOOSE(CONTROL!$C$32, $C$9, 100%, $E$9)</f>
        <v>6.6752000000000002</v>
      </c>
      <c r="E450" s="81">
        <f>8.0948 * CHOOSE(CONTROL!$C$32, $C$9, 100%, $E$9)</f>
        <v>8.0947999999999993</v>
      </c>
      <c r="F450" s="81">
        <f>8.0948 * CHOOSE(CONTROL!$C$32, $C$9, 100%, $E$9)</f>
        <v>8.0947999999999993</v>
      </c>
      <c r="G450" s="81">
        <f>8.1012 * CHOOSE(CONTROL!$C$32, $C$9, 100%, $E$9)</f>
        <v>8.1012000000000004</v>
      </c>
      <c r="H450" s="81">
        <f>14.4138 * CHOOSE(CONTROL!$C$32, $C$9, 100%, $E$9)</f>
        <v>14.4138</v>
      </c>
      <c r="I450" s="81">
        <f>14.4202 * CHOOSE(CONTROL!$C$32, $C$9, 100%, $E$9)</f>
        <v>14.420199999999999</v>
      </c>
      <c r="J450" s="81">
        <f>14.4138 * CHOOSE(CONTROL!$C$32, $C$9, 100%, $E$9)</f>
        <v>14.4138</v>
      </c>
      <c r="K450" s="81">
        <f>14.4202 * CHOOSE(CONTROL!$C$32, $C$9, 100%, $E$9)</f>
        <v>14.420199999999999</v>
      </c>
      <c r="L450" s="81">
        <f>8.0948 * CHOOSE(CONTROL!$C$32, $C$9, 100%, $E$9)</f>
        <v>8.0947999999999993</v>
      </c>
      <c r="M450" s="81">
        <f>8.1012 * CHOOSE(CONTROL!$C$32, $C$9, 100%, $E$9)</f>
        <v>8.1012000000000004</v>
      </c>
      <c r="N450" s="81">
        <f>8.0948 * CHOOSE(CONTROL!$C$32, $C$9, 100%, $E$9)</f>
        <v>8.0947999999999993</v>
      </c>
      <c r="O450" s="81">
        <f>8.1012 * CHOOSE(CONTROL!$C$32, $C$9, 100%, $E$9)</f>
        <v>8.1012000000000004</v>
      </c>
    </row>
    <row r="451" spans="1:15" ht="15">
      <c r="A451" s="16">
        <v>54940</v>
      </c>
      <c r="B451" s="80">
        <f>6.6761 * CHOOSE(CONTROL!$C$32, $C$9, 100%, $E$9)</f>
        <v>6.6760999999999999</v>
      </c>
      <c r="C451" s="80">
        <f>6.6761 * CHOOSE(CONTROL!$C$32, $C$9, 100%, $E$9)</f>
        <v>6.6760999999999999</v>
      </c>
      <c r="D451" s="80">
        <f>6.6813 * CHOOSE(CONTROL!$C$32, $C$9, 100%, $E$9)</f>
        <v>6.6813000000000002</v>
      </c>
      <c r="E451" s="81">
        <f>8.0579 * CHOOSE(CONTROL!$C$32, $C$9, 100%, $E$9)</f>
        <v>8.0579000000000001</v>
      </c>
      <c r="F451" s="81">
        <f>8.0579 * CHOOSE(CONTROL!$C$32, $C$9, 100%, $E$9)</f>
        <v>8.0579000000000001</v>
      </c>
      <c r="G451" s="81">
        <f>8.0642 * CHOOSE(CONTROL!$C$32, $C$9, 100%, $E$9)</f>
        <v>8.0641999999999996</v>
      </c>
      <c r="H451" s="81">
        <f>14.4439 * CHOOSE(CONTROL!$C$32, $C$9, 100%, $E$9)</f>
        <v>14.443899999999999</v>
      </c>
      <c r="I451" s="81">
        <f>14.4502 * CHOOSE(CONTROL!$C$32, $C$9, 100%, $E$9)</f>
        <v>14.450200000000001</v>
      </c>
      <c r="J451" s="81">
        <f>14.4439 * CHOOSE(CONTROL!$C$32, $C$9, 100%, $E$9)</f>
        <v>14.443899999999999</v>
      </c>
      <c r="K451" s="81">
        <f>14.4502 * CHOOSE(CONTROL!$C$32, $C$9, 100%, $E$9)</f>
        <v>14.450200000000001</v>
      </c>
      <c r="L451" s="81">
        <f>8.0579 * CHOOSE(CONTROL!$C$32, $C$9, 100%, $E$9)</f>
        <v>8.0579000000000001</v>
      </c>
      <c r="M451" s="81">
        <f>8.0642 * CHOOSE(CONTROL!$C$32, $C$9, 100%, $E$9)</f>
        <v>8.0641999999999996</v>
      </c>
      <c r="N451" s="81">
        <f>8.0579 * CHOOSE(CONTROL!$C$32, $C$9, 100%, $E$9)</f>
        <v>8.0579000000000001</v>
      </c>
      <c r="O451" s="81">
        <f>8.0642 * CHOOSE(CONTROL!$C$32, $C$9, 100%, $E$9)</f>
        <v>8.0641999999999996</v>
      </c>
    </row>
    <row r="452" spans="1:15" ht="15">
      <c r="A452" s="16">
        <v>54970</v>
      </c>
      <c r="B452" s="80">
        <f>6.7826 * CHOOSE(CONTROL!$C$32, $C$9, 100%, $E$9)</f>
        <v>6.7826000000000004</v>
      </c>
      <c r="C452" s="80">
        <f>6.7826 * CHOOSE(CONTROL!$C$32, $C$9, 100%, $E$9)</f>
        <v>6.7826000000000004</v>
      </c>
      <c r="D452" s="80">
        <f>6.7878 * CHOOSE(CONTROL!$C$32, $C$9, 100%, $E$9)</f>
        <v>6.7877999999999998</v>
      </c>
      <c r="E452" s="81">
        <f>8.1919 * CHOOSE(CONTROL!$C$32, $C$9, 100%, $E$9)</f>
        <v>8.1919000000000004</v>
      </c>
      <c r="F452" s="81">
        <f>8.1919 * CHOOSE(CONTROL!$C$32, $C$9, 100%, $E$9)</f>
        <v>8.1919000000000004</v>
      </c>
      <c r="G452" s="81">
        <f>8.1982 * CHOOSE(CONTROL!$C$32, $C$9, 100%, $E$9)</f>
        <v>8.1981999999999999</v>
      </c>
      <c r="H452" s="81">
        <f>14.474 * CHOOSE(CONTROL!$C$32, $C$9, 100%, $E$9)</f>
        <v>14.474</v>
      </c>
      <c r="I452" s="81">
        <f>14.4803 * CHOOSE(CONTROL!$C$32, $C$9, 100%, $E$9)</f>
        <v>14.4803</v>
      </c>
      <c r="J452" s="81">
        <f>14.474 * CHOOSE(CONTROL!$C$32, $C$9, 100%, $E$9)</f>
        <v>14.474</v>
      </c>
      <c r="K452" s="81">
        <f>14.4803 * CHOOSE(CONTROL!$C$32, $C$9, 100%, $E$9)</f>
        <v>14.4803</v>
      </c>
      <c r="L452" s="81">
        <f>8.1919 * CHOOSE(CONTROL!$C$32, $C$9, 100%, $E$9)</f>
        <v>8.1919000000000004</v>
      </c>
      <c r="M452" s="81">
        <f>8.1982 * CHOOSE(CONTROL!$C$32, $C$9, 100%, $E$9)</f>
        <v>8.1981999999999999</v>
      </c>
      <c r="N452" s="81">
        <f>8.1919 * CHOOSE(CONTROL!$C$32, $C$9, 100%, $E$9)</f>
        <v>8.1919000000000004</v>
      </c>
      <c r="O452" s="81">
        <f>8.1982 * CHOOSE(CONTROL!$C$32, $C$9, 100%, $E$9)</f>
        <v>8.1981999999999999</v>
      </c>
    </row>
    <row r="453" spans="1:15" ht="15">
      <c r="A453" s="16">
        <v>55001</v>
      </c>
      <c r="B453" s="80">
        <f>6.7893 * CHOOSE(CONTROL!$C$32, $C$9, 100%, $E$9)</f>
        <v>6.7892999999999999</v>
      </c>
      <c r="C453" s="80">
        <f>6.7893 * CHOOSE(CONTROL!$C$32, $C$9, 100%, $E$9)</f>
        <v>6.7892999999999999</v>
      </c>
      <c r="D453" s="80">
        <f>6.7945 * CHOOSE(CONTROL!$C$32, $C$9, 100%, $E$9)</f>
        <v>6.7945000000000002</v>
      </c>
      <c r="E453" s="81">
        <f>8.0729 * CHOOSE(CONTROL!$C$32, $C$9, 100%, $E$9)</f>
        <v>8.0729000000000006</v>
      </c>
      <c r="F453" s="81">
        <f>8.0729 * CHOOSE(CONTROL!$C$32, $C$9, 100%, $E$9)</f>
        <v>8.0729000000000006</v>
      </c>
      <c r="G453" s="81">
        <f>8.0792 * CHOOSE(CONTROL!$C$32, $C$9, 100%, $E$9)</f>
        <v>8.0792000000000002</v>
      </c>
      <c r="H453" s="81">
        <f>14.5041 * CHOOSE(CONTROL!$C$32, $C$9, 100%, $E$9)</f>
        <v>14.504099999999999</v>
      </c>
      <c r="I453" s="81">
        <f>14.5104 * CHOOSE(CONTROL!$C$32, $C$9, 100%, $E$9)</f>
        <v>14.510400000000001</v>
      </c>
      <c r="J453" s="81">
        <f>14.5041 * CHOOSE(CONTROL!$C$32, $C$9, 100%, $E$9)</f>
        <v>14.504099999999999</v>
      </c>
      <c r="K453" s="81">
        <f>14.5104 * CHOOSE(CONTROL!$C$32, $C$9, 100%, $E$9)</f>
        <v>14.510400000000001</v>
      </c>
      <c r="L453" s="81">
        <f>8.0729 * CHOOSE(CONTROL!$C$32, $C$9, 100%, $E$9)</f>
        <v>8.0729000000000006</v>
      </c>
      <c r="M453" s="81">
        <f>8.0792 * CHOOSE(CONTROL!$C$32, $C$9, 100%, $E$9)</f>
        <v>8.0792000000000002</v>
      </c>
      <c r="N453" s="81">
        <f>8.0729 * CHOOSE(CONTROL!$C$32, $C$9, 100%, $E$9)</f>
        <v>8.0729000000000006</v>
      </c>
      <c r="O453" s="81">
        <f>8.0792 * CHOOSE(CONTROL!$C$32, $C$9, 100%, $E$9)</f>
        <v>8.0792000000000002</v>
      </c>
    </row>
    <row r="454" spans="1:15" ht="15">
      <c r="A454" s="16">
        <v>55032</v>
      </c>
      <c r="B454" s="80">
        <f>6.7863 * CHOOSE(CONTROL!$C$32, $C$9, 100%, $E$9)</f>
        <v>6.7862999999999998</v>
      </c>
      <c r="C454" s="80">
        <f>6.7863 * CHOOSE(CONTROL!$C$32, $C$9, 100%, $E$9)</f>
        <v>6.7862999999999998</v>
      </c>
      <c r="D454" s="80">
        <f>6.7914 * CHOOSE(CONTROL!$C$32, $C$9, 100%, $E$9)</f>
        <v>6.7914000000000003</v>
      </c>
      <c r="E454" s="81">
        <f>8.0571 * CHOOSE(CONTROL!$C$32, $C$9, 100%, $E$9)</f>
        <v>8.0571000000000002</v>
      </c>
      <c r="F454" s="81">
        <f>8.0571 * CHOOSE(CONTROL!$C$32, $C$9, 100%, $E$9)</f>
        <v>8.0571000000000002</v>
      </c>
      <c r="G454" s="81">
        <f>8.0634 * CHOOSE(CONTROL!$C$32, $C$9, 100%, $E$9)</f>
        <v>8.0633999999999997</v>
      </c>
      <c r="H454" s="81">
        <f>14.5343 * CHOOSE(CONTROL!$C$32, $C$9, 100%, $E$9)</f>
        <v>14.5343</v>
      </c>
      <c r="I454" s="81">
        <f>14.5407 * CHOOSE(CONTROL!$C$32, $C$9, 100%, $E$9)</f>
        <v>14.540699999999999</v>
      </c>
      <c r="J454" s="81">
        <f>14.5343 * CHOOSE(CONTROL!$C$32, $C$9, 100%, $E$9)</f>
        <v>14.5343</v>
      </c>
      <c r="K454" s="81">
        <f>14.5407 * CHOOSE(CONTROL!$C$32, $C$9, 100%, $E$9)</f>
        <v>14.540699999999999</v>
      </c>
      <c r="L454" s="81">
        <f>8.0571 * CHOOSE(CONTROL!$C$32, $C$9, 100%, $E$9)</f>
        <v>8.0571000000000002</v>
      </c>
      <c r="M454" s="81">
        <f>8.0634 * CHOOSE(CONTROL!$C$32, $C$9, 100%, $E$9)</f>
        <v>8.0633999999999997</v>
      </c>
      <c r="N454" s="81">
        <f>8.0571 * CHOOSE(CONTROL!$C$32, $C$9, 100%, $E$9)</f>
        <v>8.0571000000000002</v>
      </c>
      <c r="O454" s="81">
        <f>8.0634 * CHOOSE(CONTROL!$C$32, $C$9, 100%, $E$9)</f>
        <v>8.0633999999999997</v>
      </c>
    </row>
    <row r="455" spans="1:15" ht="15">
      <c r="A455" s="16">
        <v>55062</v>
      </c>
      <c r="B455" s="80">
        <f>6.7905 * CHOOSE(CONTROL!$C$32, $C$9, 100%, $E$9)</f>
        <v>6.7904999999999998</v>
      </c>
      <c r="C455" s="80">
        <f>6.7905 * CHOOSE(CONTROL!$C$32, $C$9, 100%, $E$9)</f>
        <v>6.7904999999999998</v>
      </c>
      <c r="D455" s="80">
        <f>6.7941 * CHOOSE(CONTROL!$C$32, $C$9, 100%, $E$9)</f>
        <v>6.7941000000000003</v>
      </c>
      <c r="E455" s="81">
        <f>8.0986 * CHOOSE(CONTROL!$C$32, $C$9, 100%, $E$9)</f>
        <v>8.0985999999999994</v>
      </c>
      <c r="F455" s="81">
        <f>8.0986 * CHOOSE(CONTROL!$C$32, $C$9, 100%, $E$9)</f>
        <v>8.0985999999999994</v>
      </c>
      <c r="G455" s="81">
        <f>8.1029 * CHOOSE(CONTROL!$C$32, $C$9, 100%, $E$9)</f>
        <v>8.1029</v>
      </c>
      <c r="H455" s="81">
        <f>14.5646 * CHOOSE(CONTROL!$C$32, $C$9, 100%, $E$9)</f>
        <v>14.5646</v>
      </c>
      <c r="I455" s="81">
        <f>14.569 * CHOOSE(CONTROL!$C$32, $C$9, 100%, $E$9)</f>
        <v>14.569000000000001</v>
      </c>
      <c r="J455" s="81">
        <f>14.5646 * CHOOSE(CONTROL!$C$32, $C$9, 100%, $E$9)</f>
        <v>14.5646</v>
      </c>
      <c r="K455" s="81">
        <f>14.569 * CHOOSE(CONTROL!$C$32, $C$9, 100%, $E$9)</f>
        <v>14.569000000000001</v>
      </c>
      <c r="L455" s="81">
        <f>8.0986 * CHOOSE(CONTROL!$C$32, $C$9, 100%, $E$9)</f>
        <v>8.0985999999999994</v>
      </c>
      <c r="M455" s="81">
        <f>8.1029 * CHOOSE(CONTROL!$C$32, $C$9, 100%, $E$9)</f>
        <v>8.1029</v>
      </c>
      <c r="N455" s="81">
        <f>8.0986 * CHOOSE(CONTROL!$C$32, $C$9, 100%, $E$9)</f>
        <v>8.0985999999999994</v>
      </c>
      <c r="O455" s="81">
        <f>8.1029 * CHOOSE(CONTROL!$C$32, $C$9, 100%, $E$9)</f>
        <v>8.1029</v>
      </c>
    </row>
    <row r="456" spans="1:15" ht="15">
      <c r="A456" s="16">
        <v>55093</v>
      </c>
      <c r="B456" s="80">
        <f>6.7936 * CHOOSE(CONTROL!$C$32, $C$9, 100%, $E$9)</f>
        <v>6.7935999999999996</v>
      </c>
      <c r="C456" s="80">
        <f>6.7936 * CHOOSE(CONTROL!$C$32, $C$9, 100%, $E$9)</f>
        <v>6.7935999999999996</v>
      </c>
      <c r="D456" s="80">
        <f>6.7971 * CHOOSE(CONTROL!$C$32, $C$9, 100%, $E$9)</f>
        <v>6.7971000000000004</v>
      </c>
      <c r="E456" s="81">
        <f>8.1282 * CHOOSE(CONTROL!$C$32, $C$9, 100%, $E$9)</f>
        <v>8.1281999999999996</v>
      </c>
      <c r="F456" s="81">
        <f>8.1282 * CHOOSE(CONTROL!$C$32, $C$9, 100%, $E$9)</f>
        <v>8.1281999999999996</v>
      </c>
      <c r="G456" s="81">
        <f>8.1325 * CHOOSE(CONTROL!$C$32, $C$9, 100%, $E$9)</f>
        <v>8.1325000000000003</v>
      </c>
      <c r="H456" s="81">
        <f>14.595 * CHOOSE(CONTROL!$C$32, $C$9, 100%, $E$9)</f>
        <v>14.595000000000001</v>
      </c>
      <c r="I456" s="81">
        <f>14.5993 * CHOOSE(CONTROL!$C$32, $C$9, 100%, $E$9)</f>
        <v>14.599299999999999</v>
      </c>
      <c r="J456" s="81">
        <f>14.595 * CHOOSE(CONTROL!$C$32, $C$9, 100%, $E$9)</f>
        <v>14.595000000000001</v>
      </c>
      <c r="K456" s="81">
        <f>14.5993 * CHOOSE(CONTROL!$C$32, $C$9, 100%, $E$9)</f>
        <v>14.599299999999999</v>
      </c>
      <c r="L456" s="81">
        <f>8.1282 * CHOOSE(CONTROL!$C$32, $C$9, 100%, $E$9)</f>
        <v>8.1281999999999996</v>
      </c>
      <c r="M456" s="81">
        <f>8.1325 * CHOOSE(CONTROL!$C$32, $C$9, 100%, $E$9)</f>
        <v>8.1325000000000003</v>
      </c>
      <c r="N456" s="81">
        <f>8.1282 * CHOOSE(CONTROL!$C$32, $C$9, 100%, $E$9)</f>
        <v>8.1281999999999996</v>
      </c>
      <c r="O456" s="81">
        <f>8.1325 * CHOOSE(CONTROL!$C$32, $C$9, 100%, $E$9)</f>
        <v>8.1325000000000003</v>
      </c>
    </row>
    <row r="457" spans="1:15" ht="15">
      <c r="A457" s="16">
        <v>55123</v>
      </c>
      <c r="B457" s="80">
        <f>6.7936 * CHOOSE(CONTROL!$C$32, $C$9, 100%, $E$9)</f>
        <v>6.7935999999999996</v>
      </c>
      <c r="C457" s="80">
        <f>6.7936 * CHOOSE(CONTROL!$C$32, $C$9, 100%, $E$9)</f>
        <v>6.7935999999999996</v>
      </c>
      <c r="D457" s="80">
        <f>6.7971 * CHOOSE(CONTROL!$C$32, $C$9, 100%, $E$9)</f>
        <v>6.7971000000000004</v>
      </c>
      <c r="E457" s="81">
        <f>8.0595 * CHOOSE(CONTROL!$C$32, $C$9, 100%, $E$9)</f>
        <v>8.0594999999999999</v>
      </c>
      <c r="F457" s="81">
        <f>8.0595 * CHOOSE(CONTROL!$C$32, $C$9, 100%, $E$9)</f>
        <v>8.0594999999999999</v>
      </c>
      <c r="G457" s="81">
        <f>8.0639 * CHOOSE(CONTROL!$C$32, $C$9, 100%, $E$9)</f>
        <v>8.0639000000000003</v>
      </c>
      <c r="H457" s="81">
        <f>14.6254 * CHOOSE(CONTROL!$C$32, $C$9, 100%, $E$9)</f>
        <v>14.625400000000001</v>
      </c>
      <c r="I457" s="81">
        <f>14.6297 * CHOOSE(CONTROL!$C$32, $C$9, 100%, $E$9)</f>
        <v>14.6297</v>
      </c>
      <c r="J457" s="81">
        <f>14.6254 * CHOOSE(CONTROL!$C$32, $C$9, 100%, $E$9)</f>
        <v>14.625400000000001</v>
      </c>
      <c r="K457" s="81">
        <f>14.6297 * CHOOSE(CONTROL!$C$32, $C$9, 100%, $E$9)</f>
        <v>14.6297</v>
      </c>
      <c r="L457" s="81">
        <f>8.0595 * CHOOSE(CONTROL!$C$32, $C$9, 100%, $E$9)</f>
        <v>8.0594999999999999</v>
      </c>
      <c r="M457" s="81">
        <f>8.0639 * CHOOSE(CONTROL!$C$32, $C$9, 100%, $E$9)</f>
        <v>8.0639000000000003</v>
      </c>
      <c r="N457" s="81">
        <f>8.0595 * CHOOSE(CONTROL!$C$32, $C$9, 100%, $E$9)</f>
        <v>8.0594999999999999</v>
      </c>
      <c r="O457" s="81">
        <f>8.0639 * CHOOSE(CONTROL!$C$32, $C$9, 100%, $E$9)</f>
        <v>8.0639000000000003</v>
      </c>
    </row>
    <row r="458" spans="1:15" ht="15">
      <c r="A458" s="16">
        <v>55154</v>
      </c>
      <c r="B458" s="80">
        <f>6.8525 * CHOOSE(CONTROL!$C$32, $C$9, 100%, $E$9)</f>
        <v>6.8525</v>
      </c>
      <c r="C458" s="80">
        <f>6.8525 * CHOOSE(CONTROL!$C$32, $C$9, 100%, $E$9)</f>
        <v>6.8525</v>
      </c>
      <c r="D458" s="80">
        <f>6.856 * CHOOSE(CONTROL!$C$32, $C$9, 100%, $E$9)</f>
        <v>6.8559999999999999</v>
      </c>
      <c r="E458" s="81">
        <f>8.1748 * CHOOSE(CONTROL!$C$32, $C$9, 100%, $E$9)</f>
        <v>8.1747999999999994</v>
      </c>
      <c r="F458" s="81">
        <f>8.1748 * CHOOSE(CONTROL!$C$32, $C$9, 100%, $E$9)</f>
        <v>8.1747999999999994</v>
      </c>
      <c r="G458" s="81">
        <f>8.1791 * CHOOSE(CONTROL!$C$32, $C$9, 100%, $E$9)</f>
        <v>8.1791</v>
      </c>
      <c r="H458" s="81">
        <f>14.6558 * CHOOSE(CONTROL!$C$32, $C$9, 100%, $E$9)</f>
        <v>14.655799999999999</v>
      </c>
      <c r="I458" s="81">
        <f>14.6602 * CHOOSE(CONTROL!$C$32, $C$9, 100%, $E$9)</f>
        <v>14.6602</v>
      </c>
      <c r="J458" s="81">
        <f>14.6558 * CHOOSE(CONTROL!$C$32, $C$9, 100%, $E$9)</f>
        <v>14.655799999999999</v>
      </c>
      <c r="K458" s="81">
        <f>14.6602 * CHOOSE(CONTROL!$C$32, $C$9, 100%, $E$9)</f>
        <v>14.6602</v>
      </c>
      <c r="L458" s="81">
        <f>8.1748 * CHOOSE(CONTROL!$C$32, $C$9, 100%, $E$9)</f>
        <v>8.1747999999999994</v>
      </c>
      <c r="M458" s="81">
        <f>8.1791 * CHOOSE(CONTROL!$C$32, $C$9, 100%, $E$9)</f>
        <v>8.1791</v>
      </c>
      <c r="N458" s="81">
        <f>8.1748 * CHOOSE(CONTROL!$C$32, $C$9, 100%, $E$9)</f>
        <v>8.1747999999999994</v>
      </c>
      <c r="O458" s="81">
        <f>8.1791 * CHOOSE(CONTROL!$C$32, $C$9, 100%, $E$9)</f>
        <v>8.1791</v>
      </c>
    </row>
    <row r="459" spans="1:15" ht="15">
      <c r="A459" s="16">
        <v>55185</v>
      </c>
      <c r="B459" s="80">
        <f>6.8495 * CHOOSE(CONTROL!$C$32, $C$9, 100%, $E$9)</f>
        <v>6.8494999999999999</v>
      </c>
      <c r="C459" s="80">
        <f>6.8495 * CHOOSE(CONTROL!$C$32, $C$9, 100%, $E$9)</f>
        <v>6.8494999999999999</v>
      </c>
      <c r="D459" s="80">
        <f>6.853 * CHOOSE(CONTROL!$C$32, $C$9, 100%, $E$9)</f>
        <v>6.8529999999999998</v>
      </c>
      <c r="E459" s="81">
        <f>8.0392 * CHOOSE(CONTROL!$C$32, $C$9, 100%, $E$9)</f>
        <v>8.0391999999999992</v>
      </c>
      <c r="F459" s="81">
        <f>8.0392 * CHOOSE(CONTROL!$C$32, $C$9, 100%, $E$9)</f>
        <v>8.0391999999999992</v>
      </c>
      <c r="G459" s="81">
        <f>8.0436 * CHOOSE(CONTROL!$C$32, $C$9, 100%, $E$9)</f>
        <v>8.0435999999999996</v>
      </c>
      <c r="H459" s="81">
        <f>14.6864 * CHOOSE(CONTROL!$C$32, $C$9, 100%, $E$9)</f>
        <v>14.686400000000001</v>
      </c>
      <c r="I459" s="81">
        <f>14.6907 * CHOOSE(CONTROL!$C$32, $C$9, 100%, $E$9)</f>
        <v>14.6907</v>
      </c>
      <c r="J459" s="81">
        <f>14.6864 * CHOOSE(CONTROL!$C$32, $C$9, 100%, $E$9)</f>
        <v>14.686400000000001</v>
      </c>
      <c r="K459" s="81">
        <f>14.6907 * CHOOSE(CONTROL!$C$32, $C$9, 100%, $E$9)</f>
        <v>14.6907</v>
      </c>
      <c r="L459" s="81">
        <f>8.0392 * CHOOSE(CONTROL!$C$32, $C$9, 100%, $E$9)</f>
        <v>8.0391999999999992</v>
      </c>
      <c r="M459" s="81">
        <f>8.0436 * CHOOSE(CONTROL!$C$32, $C$9, 100%, $E$9)</f>
        <v>8.0435999999999996</v>
      </c>
      <c r="N459" s="81">
        <f>8.0392 * CHOOSE(CONTROL!$C$32, $C$9, 100%, $E$9)</f>
        <v>8.0391999999999992</v>
      </c>
      <c r="O459" s="81">
        <f>8.0436 * CHOOSE(CONTROL!$C$32, $C$9, 100%, $E$9)</f>
        <v>8.0435999999999996</v>
      </c>
    </row>
    <row r="460" spans="1:15" ht="15">
      <c r="A460" s="16">
        <v>55213</v>
      </c>
      <c r="B460" s="80">
        <f>6.8464 * CHOOSE(CONTROL!$C$32, $C$9, 100%, $E$9)</f>
        <v>6.8464</v>
      </c>
      <c r="C460" s="80">
        <f>6.8464 * CHOOSE(CONTROL!$C$32, $C$9, 100%, $E$9)</f>
        <v>6.8464</v>
      </c>
      <c r="D460" s="80">
        <f>6.85 * CHOOSE(CONTROL!$C$32, $C$9, 100%, $E$9)</f>
        <v>6.85</v>
      </c>
      <c r="E460" s="81">
        <f>8.1423 * CHOOSE(CONTROL!$C$32, $C$9, 100%, $E$9)</f>
        <v>8.1423000000000005</v>
      </c>
      <c r="F460" s="81">
        <f>8.1423 * CHOOSE(CONTROL!$C$32, $C$9, 100%, $E$9)</f>
        <v>8.1423000000000005</v>
      </c>
      <c r="G460" s="81">
        <f>8.1466 * CHOOSE(CONTROL!$C$32, $C$9, 100%, $E$9)</f>
        <v>8.1465999999999994</v>
      </c>
      <c r="H460" s="81">
        <f>14.717 * CHOOSE(CONTROL!$C$32, $C$9, 100%, $E$9)</f>
        <v>14.717000000000001</v>
      </c>
      <c r="I460" s="81">
        <f>14.7213 * CHOOSE(CONTROL!$C$32, $C$9, 100%, $E$9)</f>
        <v>14.721299999999999</v>
      </c>
      <c r="J460" s="81">
        <f>14.717 * CHOOSE(CONTROL!$C$32, $C$9, 100%, $E$9)</f>
        <v>14.717000000000001</v>
      </c>
      <c r="K460" s="81">
        <f>14.7213 * CHOOSE(CONTROL!$C$32, $C$9, 100%, $E$9)</f>
        <v>14.721299999999999</v>
      </c>
      <c r="L460" s="81">
        <f>8.1423 * CHOOSE(CONTROL!$C$32, $C$9, 100%, $E$9)</f>
        <v>8.1423000000000005</v>
      </c>
      <c r="M460" s="81">
        <f>8.1466 * CHOOSE(CONTROL!$C$32, $C$9, 100%, $E$9)</f>
        <v>8.1465999999999994</v>
      </c>
      <c r="N460" s="81">
        <f>8.1423 * CHOOSE(CONTROL!$C$32, $C$9, 100%, $E$9)</f>
        <v>8.1423000000000005</v>
      </c>
      <c r="O460" s="81">
        <f>8.1466 * CHOOSE(CONTROL!$C$32, $C$9, 100%, $E$9)</f>
        <v>8.1465999999999994</v>
      </c>
    </row>
    <row r="461" spans="1:15" ht="15">
      <c r="A461" s="16">
        <v>55244</v>
      </c>
      <c r="B461" s="80">
        <f>6.8465 * CHOOSE(CONTROL!$C$32, $C$9, 100%, $E$9)</f>
        <v>6.8464999999999998</v>
      </c>
      <c r="C461" s="80">
        <f>6.8465 * CHOOSE(CONTROL!$C$32, $C$9, 100%, $E$9)</f>
        <v>6.8464999999999998</v>
      </c>
      <c r="D461" s="80">
        <f>6.8501 * CHOOSE(CONTROL!$C$32, $C$9, 100%, $E$9)</f>
        <v>6.8501000000000003</v>
      </c>
      <c r="E461" s="81">
        <f>8.251 * CHOOSE(CONTROL!$C$32, $C$9, 100%, $E$9)</f>
        <v>8.2509999999999994</v>
      </c>
      <c r="F461" s="81">
        <f>8.251 * CHOOSE(CONTROL!$C$32, $C$9, 100%, $E$9)</f>
        <v>8.2509999999999994</v>
      </c>
      <c r="G461" s="81">
        <f>8.2554 * CHOOSE(CONTROL!$C$32, $C$9, 100%, $E$9)</f>
        <v>8.2553999999999998</v>
      </c>
      <c r="H461" s="81">
        <f>14.7476 * CHOOSE(CONTROL!$C$32, $C$9, 100%, $E$9)</f>
        <v>14.7476</v>
      </c>
      <c r="I461" s="81">
        <f>14.752 * CHOOSE(CONTROL!$C$32, $C$9, 100%, $E$9)</f>
        <v>14.752000000000001</v>
      </c>
      <c r="J461" s="81">
        <f>14.7476 * CHOOSE(CONTROL!$C$32, $C$9, 100%, $E$9)</f>
        <v>14.7476</v>
      </c>
      <c r="K461" s="81">
        <f>14.752 * CHOOSE(CONTROL!$C$32, $C$9, 100%, $E$9)</f>
        <v>14.752000000000001</v>
      </c>
      <c r="L461" s="81">
        <f>8.251 * CHOOSE(CONTROL!$C$32, $C$9, 100%, $E$9)</f>
        <v>8.2509999999999994</v>
      </c>
      <c r="M461" s="81">
        <f>8.2554 * CHOOSE(CONTROL!$C$32, $C$9, 100%, $E$9)</f>
        <v>8.2553999999999998</v>
      </c>
      <c r="N461" s="81">
        <f>8.251 * CHOOSE(CONTROL!$C$32, $C$9, 100%, $E$9)</f>
        <v>8.2509999999999994</v>
      </c>
      <c r="O461" s="81">
        <f>8.2554 * CHOOSE(CONTROL!$C$32, $C$9, 100%, $E$9)</f>
        <v>8.2553999999999998</v>
      </c>
    </row>
    <row r="462" spans="1:15" ht="15">
      <c r="A462" s="16">
        <v>55274</v>
      </c>
      <c r="B462" s="80">
        <f>6.8465 * CHOOSE(CONTROL!$C$32, $C$9, 100%, $E$9)</f>
        <v>6.8464999999999998</v>
      </c>
      <c r="C462" s="80">
        <f>6.8465 * CHOOSE(CONTROL!$C$32, $C$9, 100%, $E$9)</f>
        <v>6.8464999999999998</v>
      </c>
      <c r="D462" s="80">
        <f>6.8517 * CHOOSE(CONTROL!$C$32, $C$9, 100%, $E$9)</f>
        <v>6.8517000000000001</v>
      </c>
      <c r="E462" s="81">
        <f>8.2934 * CHOOSE(CONTROL!$C$32, $C$9, 100%, $E$9)</f>
        <v>8.2934000000000001</v>
      </c>
      <c r="F462" s="81">
        <f>8.2934 * CHOOSE(CONTROL!$C$32, $C$9, 100%, $E$9)</f>
        <v>8.2934000000000001</v>
      </c>
      <c r="G462" s="81">
        <f>8.2997 * CHOOSE(CONTROL!$C$32, $C$9, 100%, $E$9)</f>
        <v>8.2996999999999996</v>
      </c>
      <c r="H462" s="81">
        <f>14.7783 * CHOOSE(CONTROL!$C$32, $C$9, 100%, $E$9)</f>
        <v>14.7783</v>
      </c>
      <c r="I462" s="81">
        <f>14.7847 * CHOOSE(CONTROL!$C$32, $C$9, 100%, $E$9)</f>
        <v>14.784700000000001</v>
      </c>
      <c r="J462" s="81">
        <f>14.7783 * CHOOSE(CONTROL!$C$32, $C$9, 100%, $E$9)</f>
        <v>14.7783</v>
      </c>
      <c r="K462" s="81">
        <f>14.7847 * CHOOSE(CONTROL!$C$32, $C$9, 100%, $E$9)</f>
        <v>14.784700000000001</v>
      </c>
      <c r="L462" s="81">
        <f>8.2934 * CHOOSE(CONTROL!$C$32, $C$9, 100%, $E$9)</f>
        <v>8.2934000000000001</v>
      </c>
      <c r="M462" s="81">
        <f>8.2997 * CHOOSE(CONTROL!$C$32, $C$9, 100%, $E$9)</f>
        <v>8.2996999999999996</v>
      </c>
      <c r="N462" s="81">
        <f>8.2934 * CHOOSE(CONTROL!$C$32, $C$9, 100%, $E$9)</f>
        <v>8.2934000000000001</v>
      </c>
      <c r="O462" s="81">
        <f>8.2997 * CHOOSE(CONTROL!$C$32, $C$9, 100%, $E$9)</f>
        <v>8.2996999999999996</v>
      </c>
    </row>
    <row r="463" spans="1:15" ht="15">
      <c r="A463" s="16">
        <v>55305</v>
      </c>
      <c r="B463" s="80">
        <f>6.8526 * CHOOSE(CONTROL!$C$32, $C$9, 100%, $E$9)</f>
        <v>6.8525999999999998</v>
      </c>
      <c r="C463" s="80">
        <f>6.8526 * CHOOSE(CONTROL!$C$32, $C$9, 100%, $E$9)</f>
        <v>6.8525999999999998</v>
      </c>
      <c r="D463" s="80">
        <f>6.8578 * CHOOSE(CONTROL!$C$32, $C$9, 100%, $E$9)</f>
        <v>6.8578000000000001</v>
      </c>
      <c r="E463" s="81">
        <f>8.2552 * CHOOSE(CONTROL!$C$32, $C$9, 100%, $E$9)</f>
        <v>8.2552000000000003</v>
      </c>
      <c r="F463" s="81">
        <f>8.2552 * CHOOSE(CONTROL!$C$32, $C$9, 100%, $E$9)</f>
        <v>8.2552000000000003</v>
      </c>
      <c r="G463" s="81">
        <f>8.2615 * CHOOSE(CONTROL!$C$32, $C$9, 100%, $E$9)</f>
        <v>8.2614999999999998</v>
      </c>
      <c r="H463" s="81">
        <f>14.8091 * CHOOSE(CONTROL!$C$32, $C$9, 100%, $E$9)</f>
        <v>14.809100000000001</v>
      </c>
      <c r="I463" s="81">
        <f>14.8155 * CHOOSE(CONTROL!$C$32, $C$9, 100%, $E$9)</f>
        <v>14.8155</v>
      </c>
      <c r="J463" s="81">
        <f>14.8091 * CHOOSE(CONTROL!$C$32, $C$9, 100%, $E$9)</f>
        <v>14.809100000000001</v>
      </c>
      <c r="K463" s="81">
        <f>14.8155 * CHOOSE(CONTROL!$C$32, $C$9, 100%, $E$9)</f>
        <v>14.8155</v>
      </c>
      <c r="L463" s="81">
        <f>8.2552 * CHOOSE(CONTROL!$C$32, $C$9, 100%, $E$9)</f>
        <v>8.2552000000000003</v>
      </c>
      <c r="M463" s="81">
        <f>8.2615 * CHOOSE(CONTROL!$C$32, $C$9, 100%, $E$9)</f>
        <v>8.2614999999999998</v>
      </c>
      <c r="N463" s="81">
        <f>8.2552 * CHOOSE(CONTROL!$C$32, $C$9, 100%, $E$9)</f>
        <v>8.2552000000000003</v>
      </c>
      <c r="O463" s="81">
        <f>8.2615 * CHOOSE(CONTROL!$C$32, $C$9, 100%, $E$9)</f>
        <v>8.2614999999999998</v>
      </c>
    </row>
    <row r="464" spans="1:15" ht="15">
      <c r="A464" s="16">
        <v>55335</v>
      </c>
      <c r="B464" s="80">
        <f>6.9616 * CHOOSE(CONTROL!$C$32, $C$9, 100%, $E$9)</f>
        <v>6.9615999999999998</v>
      </c>
      <c r="C464" s="80">
        <f>6.9616 * CHOOSE(CONTROL!$C$32, $C$9, 100%, $E$9)</f>
        <v>6.9615999999999998</v>
      </c>
      <c r="D464" s="80">
        <f>6.9668 * CHOOSE(CONTROL!$C$32, $C$9, 100%, $E$9)</f>
        <v>6.9668000000000001</v>
      </c>
      <c r="E464" s="81">
        <f>8.3922 * CHOOSE(CONTROL!$C$32, $C$9, 100%, $E$9)</f>
        <v>8.3922000000000008</v>
      </c>
      <c r="F464" s="81">
        <f>8.3922 * CHOOSE(CONTROL!$C$32, $C$9, 100%, $E$9)</f>
        <v>8.3922000000000008</v>
      </c>
      <c r="G464" s="81">
        <f>8.3985 * CHOOSE(CONTROL!$C$32, $C$9, 100%, $E$9)</f>
        <v>8.3985000000000003</v>
      </c>
      <c r="H464" s="81">
        <f>14.84 * CHOOSE(CONTROL!$C$32, $C$9, 100%, $E$9)</f>
        <v>14.84</v>
      </c>
      <c r="I464" s="81">
        <f>14.8463 * CHOOSE(CONTROL!$C$32, $C$9, 100%, $E$9)</f>
        <v>14.846299999999999</v>
      </c>
      <c r="J464" s="81">
        <f>14.84 * CHOOSE(CONTROL!$C$32, $C$9, 100%, $E$9)</f>
        <v>14.84</v>
      </c>
      <c r="K464" s="81">
        <f>14.8463 * CHOOSE(CONTROL!$C$32, $C$9, 100%, $E$9)</f>
        <v>14.846299999999999</v>
      </c>
      <c r="L464" s="81">
        <f>8.3922 * CHOOSE(CONTROL!$C$32, $C$9, 100%, $E$9)</f>
        <v>8.3922000000000008</v>
      </c>
      <c r="M464" s="81">
        <f>8.3985 * CHOOSE(CONTROL!$C$32, $C$9, 100%, $E$9)</f>
        <v>8.3985000000000003</v>
      </c>
      <c r="N464" s="81">
        <f>8.3922 * CHOOSE(CONTROL!$C$32, $C$9, 100%, $E$9)</f>
        <v>8.3922000000000008</v>
      </c>
      <c r="O464" s="81">
        <f>8.3985 * CHOOSE(CONTROL!$C$32, $C$9, 100%, $E$9)</f>
        <v>8.3985000000000003</v>
      </c>
    </row>
    <row r="465" spans="1:15" ht="15">
      <c r="A465" s="16">
        <v>55366</v>
      </c>
      <c r="B465" s="80">
        <f>6.9683 * CHOOSE(CONTROL!$C$32, $C$9, 100%, $E$9)</f>
        <v>6.9683000000000002</v>
      </c>
      <c r="C465" s="80">
        <f>6.9683 * CHOOSE(CONTROL!$C$32, $C$9, 100%, $E$9)</f>
        <v>6.9683000000000002</v>
      </c>
      <c r="D465" s="80">
        <f>6.9735 * CHOOSE(CONTROL!$C$32, $C$9, 100%, $E$9)</f>
        <v>6.9734999999999996</v>
      </c>
      <c r="E465" s="81">
        <f>8.2698 * CHOOSE(CONTROL!$C$32, $C$9, 100%, $E$9)</f>
        <v>8.2698</v>
      </c>
      <c r="F465" s="81">
        <f>8.2698 * CHOOSE(CONTROL!$C$32, $C$9, 100%, $E$9)</f>
        <v>8.2698</v>
      </c>
      <c r="G465" s="81">
        <f>8.2761 * CHOOSE(CONTROL!$C$32, $C$9, 100%, $E$9)</f>
        <v>8.2760999999999996</v>
      </c>
      <c r="H465" s="81">
        <f>14.8709 * CHOOSE(CONTROL!$C$32, $C$9, 100%, $E$9)</f>
        <v>14.870900000000001</v>
      </c>
      <c r="I465" s="81">
        <f>14.8772 * CHOOSE(CONTROL!$C$32, $C$9, 100%, $E$9)</f>
        <v>14.8772</v>
      </c>
      <c r="J465" s="81">
        <f>14.8709 * CHOOSE(CONTROL!$C$32, $C$9, 100%, $E$9)</f>
        <v>14.870900000000001</v>
      </c>
      <c r="K465" s="81">
        <f>14.8772 * CHOOSE(CONTROL!$C$32, $C$9, 100%, $E$9)</f>
        <v>14.8772</v>
      </c>
      <c r="L465" s="81">
        <f>8.2698 * CHOOSE(CONTROL!$C$32, $C$9, 100%, $E$9)</f>
        <v>8.2698</v>
      </c>
      <c r="M465" s="81">
        <f>8.2761 * CHOOSE(CONTROL!$C$32, $C$9, 100%, $E$9)</f>
        <v>8.2760999999999996</v>
      </c>
      <c r="N465" s="81">
        <f>8.2698 * CHOOSE(CONTROL!$C$32, $C$9, 100%, $E$9)</f>
        <v>8.2698</v>
      </c>
      <c r="O465" s="81">
        <f>8.2761 * CHOOSE(CONTROL!$C$32, $C$9, 100%, $E$9)</f>
        <v>8.2760999999999996</v>
      </c>
    </row>
    <row r="466" spans="1:15" ht="15">
      <c r="A466" s="16">
        <v>55397</v>
      </c>
      <c r="B466" s="80">
        <f>6.9653 * CHOOSE(CONTROL!$C$32, $C$9, 100%, $E$9)</f>
        <v>6.9653</v>
      </c>
      <c r="C466" s="80">
        <f>6.9653 * CHOOSE(CONTROL!$C$32, $C$9, 100%, $E$9)</f>
        <v>6.9653</v>
      </c>
      <c r="D466" s="80">
        <f>6.9704 * CHOOSE(CONTROL!$C$32, $C$9, 100%, $E$9)</f>
        <v>6.9703999999999997</v>
      </c>
      <c r="E466" s="81">
        <f>8.2536 * CHOOSE(CONTROL!$C$32, $C$9, 100%, $E$9)</f>
        <v>8.2536000000000005</v>
      </c>
      <c r="F466" s="81">
        <f>8.2536 * CHOOSE(CONTROL!$C$32, $C$9, 100%, $E$9)</f>
        <v>8.2536000000000005</v>
      </c>
      <c r="G466" s="81">
        <f>8.2599 * CHOOSE(CONTROL!$C$32, $C$9, 100%, $E$9)</f>
        <v>8.2599</v>
      </c>
      <c r="H466" s="81">
        <f>14.9019 * CHOOSE(CONTROL!$C$32, $C$9, 100%, $E$9)</f>
        <v>14.901899999999999</v>
      </c>
      <c r="I466" s="81">
        <f>14.9082 * CHOOSE(CONTROL!$C$32, $C$9, 100%, $E$9)</f>
        <v>14.908200000000001</v>
      </c>
      <c r="J466" s="81">
        <f>14.9019 * CHOOSE(CONTROL!$C$32, $C$9, 100%, $E$9)</f>
        <v>14.901899999999999</v>
      </c>
      <c r="K466" s="81">
        <f>14.9082 * CHOOSE(CONTROL!$C$32, $C$9, 100%, $E$9)</f>
        <v>14.908200000000001</v>
      </c>
      <c r="L466" s="81">
        <f>8.2536 * CHOOSE(CONTROL!$C$32, $C$9, 100%, $E$9)</f>
        <v>8.2536000000000005</v>
      </c>
      <c r="M466" s="81">
        <f>8.2599 * CHOOSE(CONTROL!$C$32, $C$9, 100%, $E$9)</f>
        <v>8.2599</v>
      </c>
      <c r="N466" s="81">
        <f>8.2536 * CHOOSE(CONTROL!$C$32, $C$9, 100%, $E$9)</f>
        <v>8.2536000000000005</v>
      </c>
      <c r="O466" s="81">
        <f>8.2599 * CHOOSE(CONTROL!$C$32, $C$9, 100%, $E$9)</f>
        <v>8.2599</v>
      </c>
    </row>
    <row r="467" spans="1:15" ht="15">
      <c r="A467" s="16">
        <v>55427</v>
      </c>
      <c r="B467" s="80">
        <f>6.9701 * CHOOSE(CONTROL!$C$32, $C$9, 100%, $E$9)</f>
        <v>6.9701000000000004</v>
      </c>
      <c r="C467" s="80">
        <f>6.9701 * CHOOSE(CONTROL!$C$32, $C$9, 100%, $E$9)</f>
        <v>6.9701000000000004</v>
      </c>
      <c r="D467" s="80">
        <f>6.9736 * CHOOSE(CONTROL!$C$32, $C$9, 100%, $E$9)</f>
        <v>6.9736000000000002</v>
      </c>
      <c r="E467" s="81">
        <f>8.2966 * CHOOSE(CONTROL!$C$32, $C$9, 100%, $E$9)</f>
        <v>8.2965999999999998</v>
      </c>
      <c r="F467" s="81">
        <f>8.2966 * CHOOSE(CONTROL!$C$32, $C$9, 100%, $E$9)</f>
        <v>8.2965999999999998</v>
      </c>
      <c r="G467" s="81">
        <f>8.301 * CHOOSE(CONTROL!$C$32, $C$9, 100%, $E$9)</f>
        <v>8.3010000000000002</v>
      </c>
      <c r="H467" s="81">
        <f>14.9329 * CHOOSE(CONTROL!$C$32, $C$9, 100%, $E$9)</f>
        <v>14.9329</v>
      </c>
      <c r="I467" s="81">
        <f>14.9373 * CHOOSE(CONTROL!$C$32, $C$9, 100%, $E$9)</f>
        <v>14.9373</v>
      </c>
      <c r="J467" s="81">
        <f>14.9329 * CHOOSE(CONTROL!$C$32, $C$9, 100%, $E$9)</f>
        <v>14.9329</v>
      </c>
      <c r="K467" s="81">
        <f>14.9373 * CHOOSE(CONTROL!$C$32, $C$9, 100%, $E$9)</f>
        <v>14.9373</v>
      </c>
      <c r="L467" s="81">
        <f>8.2966 * CHOOSE(CONTROL!$C$32, $C$9, 100%, $E$9)</f>
        <v>8.2965999999999998</v>
      </c>
      <c r="M467" s="81">
        <f>8.301 * CHOOSE(CONTROL!$C$32, $C$9, 100%, $E$9)</f>
        <v>8.3010000000000002</v>
      </c>
      <c r="N467" s="81">
        <f>8.2966 * CHOOSE(CONTROL!$C$32, $C$9, 100%, $E$9)</f>
        <v>8.2965999999999998</v>
      </c>
      <c r="O467" s="81">
        <f>8.301 * CHOOSE(CONTROL!$C$32, $C$9, 100%, $E$9)</f>
        <v>8.3010000000000002</v>
      </c>
    </row>
    <row r="468" spans="1:15" ht="15">
      <c r="A468" s="16">
        <v>55458</v>
      </c>
      <c r="B468" s="80">
        <f>6.9731 * CHOOSE(CONTROL!$C$32, $C$9, 100%, $E$9)</f>
        <v>6.9730999999999996</v>
      </c>
      <c r="C468" s="80">
        <f>6.9731 * CHOOSE(CONTROL!$C$32, $C$9, 100%, $E$9)</f>
        <v>6.9730999999999996</v>
      </c>
      <c r="D468" s="80">
        <f>6.9767 * CHOOSE(CONTROL!$C$32, $C$9, 100%, $E$9)</f>
        <v>6.9767000000000001</v>
      </c>
      <c r="E468" s="81">
        <f>8.327 * CHOOSE(CONTROL!$C$32, $C$9, 100%, $E$9)</f>
        <v>8.327</v>
      </c>
      <c r="F468" s="81">
        <f>8.327 * CHOOSE(CONTROL!$C$32, $C$9, 100%, $E$9)</f>
        <v>8.327</v>
      </c>
      <c r="G468" s="81">
        <f>8.3313 * CHOOSE(CONTROL!$C$32, $C$9, 100%, $E$9)</f>
        <v>8.3313000000000006</v>
      </c>
      <c r="H468" s="81">
        <f>14.964 * CHOOSE(CONTROL!$C$32, $C$9, 100%, $E$9)</f>
        <v>14.964</v>
      </c>
      <c r="I468" s="81">
        <f>14.9684 * CHOOSE(CONTROL!$C$32, $C$9, 100%, $E$9)</f>
        <v>14.968400000000001</v>
      </c>
      <c r="J468" s="81">
        <f>14.964 * CHOOSE(CONTROL!$C$32, $C$9, 100%, $E$9)</f>
        <v>14.964</v>
      </c>
      <c r="K468" s="81">
        <f>14.9684 * CHOOSE(CONTROL!$C$32, $C$9, 100%, $E$9)</f>
        <v>14.968400000000001</v>
      </c>
      <c r="L468" s="81">
        <f>8.327 * CHOOSE(CONTROL!$C$32, $C$9, 100%, $E$9)</f>
        <v>8.327</v>
      </c>
      <c r="M468" s="81">
        <f>8.3313 * CHOOSE(CONTROL!$C$32, $C$9, 100%, $E$9)</f>
        <v>8.3313000000000006</v>
      </c>
      <c r="N468" s="81">
        <f>8.327 * CHOOSE(CONTROL!$C$32, $C$9, 100%, $E$9)</f>
        <v>8.327</v>
      </c>
      <c r="O468" s="81">
        <f>8.3313 * CHOOSE(CONTROL!$C$32, $C$9, 100%, $E$9)</f>
        <v>8.3313000000000006</v>
      </c>
    </row>
    <row r="469" spans="1:15" ht="15">
      <c r="A469" s="16">
        <v>55488</v>
      </c>
      <c r="B469" s="80">
        <f>6.9731 * CHOOSE(CONTROL!$C$32, $C$9, 100%, $E$9)</f>
        <v>6.9730999999999996</v>
      </c>
      <c r="C469" s="80">
        <f>6.9731 * CHOOSE(CONTROL!$C$32, $C$9, 100%, $E$9)</f>
        <v>6.9730999999999996</v>
      </c>
      <c r="D469" s="80">
        <f>6.9767 * CHOOSE(CONTROL!$C$32, $C$9, 100%, $E$9)</f>
        <v>6.9767000000000001</v>
      </c>
      <c r="E469" s="81">
        <f>8.2564 * CHOOSE(CONTROL!$C$32, $C$9, 100%, $E$9)</f>
        <v>8.2563999999999993</v>
      </c>
      <c r="F469" s="81">
        <f>8.2564 * CHOOSE(CONTROL!$C$32, $C$9, 100%, $E$9)</f>
        <v>8.2563999999999993</v>
      </c>
      <c r="G469" s="81">
        <f>8.2607 * CHOOSE(CONTROL!$C$32, $C$9, 100%, $E$9)</f>
        <v>8.2606999999999999</v>
      </c>
      <c r="H469" s="81">
        <f>14.9952 * CHOOSE(CONTROL!$C$32, $C$9, 100%, $E$9)</f>
        <v>14.995200000000001</v>
      </c>
      <c r="I469" s="81">
        <f>14.9996 * CHOOSE(CONTROL!$C$32, $C$9, 100%, $E$9)</f>
        <v>14.999599999999999</v>
      </c>
      <c r="J469" s="81">
        <f>14.9952 * CHOOSE(CONTROL!$C$32, $C$9, 100%, $E$9)</f>
        <v>14.995200000000001</v>
      </c>
      <c r="K469" s="81">
        <f>14.9996 * CHOOSE(CONTROL!$C$32, $C$9, 100%, $E$9)</f>
        <v>14.999599999999999</v>
      </c>
      <c r="L469" s="81">
        <f>8.2564 * CHOOSE(CONTROL!$C$32, $C$9, 100%, $E$9)</f>
        <v>8.2563999999999993</v>
      </c>
      <c r="M469" s="81">
        <f>8.2607 * CHOOSE(CONTROL!$C$32, $C$9, 100%, $E$9)</f>
        <v>8.2606999999999999</v>
      </c>
      <c r="N469" s="81">
        <f>8.2564 * CHOOSE(CONTROL!$C$32, $C$9, 100%, $E$9)</f>
        <v>8.2563999999999993</v>
      </c>
      <c r="O469" s="81">
        <f>8.2607 * CHOOSE(CONTROL!$C$32, $C$9, 100%, $E$9)</f>
        <v>8.2606999999999999</v>
      </c>
    </row>
    <row r="470" spans="1:15" ht="15">
      <c r="A470" s="16">
        <v>55519</v>
      </c>
      <c r="B470" s="80">
        <f>7.0335 * CHOOSE(CONTROL!$C$32, $C$9, 100%, $E$9)</f>
        <v>7.0335000000000001</v>
      </c>
      <c r="C470" s="80">
        <f>7.0335 * CHOOSE(CONTROL!$C$32, $C$9, 100%, $E$9)</f>
        <v>7.0335000000000001</v>
      </c>
      <c r="D470" s="80">
        <f>7.0371 * CHOOSE(CONTROL!$C$32, $C$9, 100%, $E$9)</f>
        <v>7.0370999999999997</v>
      </c>
      <c r="E470" s="81">
        <f>8.3746 * CHOOSE(CONTROL!$C$32, $C$9, 100%, $E$9)</f>
        <v>8.3745999999999992</v>
      </c>
      <c r="F470" s="81">
        <f>8.3746 * CHOOSE(CONTROL!$C$32, $C$9, 100%, $E$9)</f>
        <v>8.3745999999999992</v>
      </c>
      <c r="G470" s="81">
        <f>8.3789 * CHOOSE(CONTROL!$C$32, $C$9, 100%, $E$9)</f>
        <v>8.3788999999999998</v>
      </c>
      <c r="H470" s="81">
        <f>15.0265 * CHOOSE(CONTROL!$C$32, $C$9, 100%, $E$9)</f>
        <v>15.0265</v>
      </c>
      <c r="I470" s="81">
        <f>15.0308 * CHOOSE(CONTROL!$C$32, $C$9, 100%, $E$9)</f>
        <v>15.030799999999999</v>
      </c>
      <c r="J470" s="81">
        <f>15.0265 * CHOOSE(CONTROL!$C$32, $C$9, 100%, $E$9)</f>
        <v>15.0265</v>
      </c>
      <c r="K470" s="81">
        <f>15.0308 * CHOOSE(CONTROL!$C$32, $C$9, 100%, $E$9)</f>
        <v>15.030799999999999</v>
      </c>
      <c r="L470" s="81">
        <f>8.3746 * CHOOSE(CONTROL!$C$32, $C$9, 100%, $E$9)</f>
        <v>8.3745999999999992</v>
      </c>
      <c r="M470" s="81">
        <f>8.3789 * CHOOSE(CONTROL!$C$32, $C$9, 100%, $E$9)</f>
        <v>8.3788999999999998</v>
      </c>
      <c r="N470" s="81">
        <f>8.3746 * CHOOSE(CONTROL!$C$32, $C$9, 100%, $E$9)</f>
        <v>8.3745999999999992</v>
      </c>
      <c r="O470" s="81">
        <f>8.3789 * CHOOSE(CONTROL!$C$32, $C$9, 100%, $E$9)</f>
        <v>8.3788999999999998</v>
      </c>
    </row>
    <row r="471" spans="1:15" ht="15">
      <c r="A471" s="16">
        <v>55550</v>
      </c>
      <c r="B471" s="80">
        <f>7.0305 * CHOOSE(CONTROL!$C$32, $C$9, 100%, $E$9)</f>
        <v>7.0305</v>
      </c>
      <c r="C471" s="80">
        <f>7.0305 * CHOOSE(CONTROL!$C$32, $C$9, 100%, $E$9)</f>
        <v>7.0305</v>
      </c>
      <c r="D471" s="80">
        <f>7.034 * CHOOSE(CONTROL!$C$32, $C$9, 100%, $E$9)</f>
        <v>7.0339999999999998</v>
      </c>
      <c r="E471" s="81">
        <f>8.2353 * CHOOSE(CONTROL!$C$32, $C$9, 100%, $E$9)</f>
        <v>8.2353000000000005</v>
      </c>
      <c r="F471" s="81">
        <f>8.2353 * CHOOSE(CONTROL!$C$32, $C$9, 100%, $E$9)</f>
        <v>8.2353000000000005</v>
      </c>
      <c r="G471" s="81">
        <f>8.2397 * CHOOSE(CONTROL!$C$32, $C$9, 100%, $E$9)</f>
        <v>8.2396999999999991</v>
      </c>
      <c r="H471" s="81">
        <f>15.0578 * CHOOSE(CONTROL!$C$32, $C$9, 100%, $E$9)</f>
        <v>15.0578</v>
      </c>
      <c r="I471" s="81">
        <f>15.0621 * CHOOSE(CONTROL!$C$32, $C$9, 100%, $E$9)</f>
        <v>15.062099999999999</v>
      </c>
      <c r="J471" s="81">
        <f>15.0578 * CHOOSE(CONTROL!$C$32, $C$9, 100%, $E$9)</f>
        <v>15.0578</v>
      </c>
      <c r="K471" s="81">
        <f>15.0621 * CHOOSE(CONTROL!$C$32, $C$9, 100%, $E$9)</f>
        <v>15.062099999999999</v>
      </c>
      <c r="L471" s="81">
        <f>8.2353 * CHOOSE(CONTROL!$C$32, $C$9, 100%, $E$9)</f>
        <v>8.2353000000000005</v>
      </c>
      <c r="M471" s="81">
        <f>8.2397 * CHOOSE(CONTROL!$C$32, $C$9, 100%, $E$9)</f>
        <v>8.2396999999999991</v>
      </c>
      <c r="N471" s="81">
        <f>8.2353 * CHOOSE(CONTROL!$C$32, $C$9, 100%, $E$9)</f>
        <v>8.2353000000000005</v>
      </c>
      <c r="O471" s="81">
        <f>8.2397 * CHOOSE(CONTROL!$C$32, $C$9, 100%, $E$9)</f>
        <v>8.2396999999999991</v>
      </c>
    </row>
    <row r="472" spans="1:15" ht="15">
      <c r="A472" s="16">
        <v>55579</v>
      </c>
      <c r="B472" s="80">
        <f>7.0274 * CHOOSE(CONTROL!$C$32, $C$9, 100%, $E$9)</f>
        <v>7.0274000000000001</v>
      </c>
      <c r="C472" s="80">
        <f>7.0274 * CHOOSE(CONTROL!$C$32, $C$9, 100%, $E$9)</f>
        <v>7.0274000000000001</v>
      </c>
      <c r="D472" s="80">
        <f>7.031 * CHOOSE(CONTROL!$C$32, $C$9, 100%, $E$9)</f>
        <v>7.0309999999999997</v>
      </c>
      <c r="E472" s="81">
        <f>8.3413 * CHOOSE(CONTROL!$C$32, $C$9, 100%, $E$9)</f>
        <v>8.3413000000000004</v>
      </c>
      <c r="F472" s="81">
        <f>8.3413 * CHOOSE(CONTROL!$C$32, $C$9, 100%, $E$9)</f>
        <v>8.3413000000000004</v>
      </c>
      <c r="G472" s="81">
        <f>8.3457 * CHOOSE(CONTROL!$C$32, $C$9, 100%, $E$9)</f>
        <v>8.3457000000000008</v>
      </c>
      <c r="H472" s="81">
        <f>15.0891 * CHOOSE(CONTROL!$C$32, $C$9, 100%, $E$9)</f>
        <v>15.0891</v>
      </c>
      <c r="I472" s="81">
        <f>15.0935 * CHOOSE(CONTROL!$C$32, $C$9, 100%, $E$9)</f>
        <v>15.093500000000001</v>
      </c>
      <c r="J472" s="81">
        <f>15.0891 * CHOOSE(CONTROL!$C$32, $C$9, 100%, $E$9)</f>
        <v>15.0891</v>
      </c>
      <c r="K472" s="81">
        <f>15.0935 * CHOOSE(CONTROL!$C$32, $C$9, 100%, $E$9)</f>
        <v>15.093500000000001</v>
      </c>
      <c r="L472" s="81">
        <f>8.3413 * CHOOSE(CONTROL!$C$32, $C$9, 100%, $E$9)</f>
        <v>8.3413000000000004</v>
      </c>
      <c r="M472" s="81">
        <f>8.3457 * CHOOSE(CONTROL!$C$32, $C$9, 100%, $E$9)</f>
        <v>8.3457000000000008</v>
      </c>
      <c r="N472" s="81">
        <f>8.3413 * CHOOSE(CONTROL!$C$32, $C$9, 100%, $E$9)</f>
        <v>8.3413000000000004</v>
      </c>
      <c r="O472" s="81">
        <f>8.3457 * CHOOSE(CONTROL!$C$32, $C$9, 100%, $E$9)</f>
        <v>8.3457000000000008</v>
      </c>
    </row>
    <row r="473" spans="1:15" ht="15">
      <c r="A473" s="16">
        <v>55610</v>
      </c>
      <c r="B473" s="80">
        <f>7.0277 * CHOOSE(CONTROL!$C$32, $C$9, 100%, $E$9)</f>
        <v>7.0277000000000003</v>
      </c>
      <c r="C473" s="80">
        <f>7.0277 * CHOOSE(CONTROL!$C$32, $C$9, 100%, $E$9)</f>
        <v>7.0277000000000003</v>
      </c>
      <c r="D473" s="80">
        <f>7.0312 * CHOOSE(CONTROL!$C$32, $C$9, 100%, $E$9)</f>
        <v>7.0312000000000001</v>
      </c>
      <c r="E473" s="81">
        <f>8.4532 * CHOOSE(CONTROL!$C$32, $C$9, 100%, $E$9)</f>
        <v>8.4532000000000007</v>
      </c>
      <c r="F473" s="81">
        <f>8.4532 * CHOOSE(CONTROL!$C$32, $C$9, 100%, $E$9)</f>
        <v>8.4532000000000007</v>
      </c>
      <c r="G473" s="81">
        <f>8.4576 * CHOOSE(CONTROL!$C$32, $C$9, 100%, $E$9)</f>
        <v>8.4575999999999993</v>
      </c>
      <c r="H473" s="81">
        <f>15.1206 * CHOOSE(CONTROL!$C$32, $C$9, 100%, $E$9)</f>
        <v>15.1206</v>
      </c>
      <c r="I473" s="81">
        <f>15.1249 * CHOOSE(CONTROL!$C$32, $C$9, 100%, $E$9)</f>
        <v>15.1249</v>
      </c>
      <c r="J473" s="81">
        <f>15.1206 * CHOOSE(CONTROL!$C$32, $C$9, 100%, $E$9)</f>
        <v>15.1206</v>
      </c>
      <c r="K473" s="81">
        <f>15.1249 * CHOOSE(CONTROL!$C$32, $C$9, 100%, $E$9)</f>
        <v>15.1249</v>
      </c>
      <c r="L473" s="81">
        <f>8.4532 * CHOOSE(CONTROL!$C$32, $C$9, 100%, $E$9)</f>
        <v>8.4532000000000007</v>
      </c>
      <c r="M473" s="81">
        <f>8.4576 * CHOOSE(CONTROL!$C$32, $C$9, 100%, $E$9)</f>
        <v>8.4575999999999993</v>
      </c>
      <c r="N473" s="81">
        <f>8.4532 * CHOOSE(CONTROL!$C$32, $C$9, 100%, $E$9)</f>
        <v>8.4532000000000007</v>
      </c>
      <c r="O473" s="81">
        <f>8.4576 * CHOOSE(CONTROL!$C$32, $C$9, 100%, $E$9)</f>
        <v>8.4575999999999993</v>
      </c>
    </row>
    <row r="474" spans="1:15" ht="15">
      <c r="A474" s="16">
        <v>55640</v>
      </c>
      <c r="B474" s="80">
        <f>7.0277 * CHOOSE(CONTROL!$C$32, $C$9, 100%, $E$9)</f>
        <v>7.0277000000000003</v>
      </c>
      <c r="C474" s="80">
        <f>7.0277 * CHOOSE(CONTROL!$C$32, $C$9, 100%, $E$9)</f>
        <v>7.0277000000000003</v>
      </c>
      <c r="D474" s="80">
        <f>7.0328 * CHOOSE(CONTROL!$C$32, $C$9, 100%, $E$9)</f>
        <v>7.0327999999999999</v>
      </c>
      <c r="E474" s="81">
        <f>8.4967 * CHOOSE(CONTROL!$C$32, $C$9, 100%, $E$9)</f>
        <v>8.4967000000000006</v>
      </c>
      <c r="F474" s="81">
        <f>8.4967 * CHOOSE(CONTROL!$C$32, $C$9, 100%, $E$9)</f>
        <v>8.4967000000000006</v>
      </c>
      <c r="G474" s="81">
        <f>8.5031 * CHOOSE(CONTROL!$C$32, $C$9, 100%, $E$9)</f>
        <v>8.5030999999999999</v>
      </c>
      <c r="H474" s="81">
        <f>15.1521 * CHOOSE(CONTROL!$C$32, $C$9, 100%, $E$9)</f>
        <v>15.152100000000001</v>
      </c>
      <c r="I474" s="81">
        <f>15.1584 * CHOOSE(CONTROL!$C$32, $C$9, 100%, $E$9)</f>
        <v>15.1584</v>
      </c>
      <c r="J474" s="81">
        <f>15.1521 * CHOOSE(CONTROL!$C$32, $C$9, 100%, $E$9)</f>
        <v>15.152100000000001</v>
      </c>
      <c r="K474" s="81">
        <f>15.1584 * CHOOSE(CONTROL!$C$32, $C$9, 100%, $E$9)</f>
        <v>15.1584</v>
      </c>
      <c r="L474" s="81">
        <f>8.4967 * CHOOSE(CONTROL!$C$32, $C$9, 100%, $E$9)</f>
        <v>8.4967000000000006</v>
      </c>
      <c r="M474" s="81">
        <f>8.5031 * CHOOSE(CONTROL!$C$32, $C$9, 100%, $E$9)</f>
        <v>8.5030999999999999</v>
      </c>
      <c r="N474" s="81">
        <f>8.4967 * CHOOSE(CONTROL!$C$32, $C$9, 100%, $E$9)</f>
        <v>8.4967000000000006</v>
      </c>
      <c r="O474" s="81">
        <f>8.5031 * CHOOSE(CONTROL!$C$32, $C$9, 100%, $E$9)</f>
        <v>8.5030999999999999</v>
      </c>
    </row>
    <row r="475" spans="1:15" ht="15">
      <c r="A475" s="16">
        <v>55671</v>
      </c>
      <c r="B475" s="80">
        <f>7.0338 * CHOOSE(CONTROL!$C$32, $C$9, 100%, $E$9)</f>
        <v>7.0338000000000003</v>
      </c>
      <c r="C475" s="80">
        <f>7.0338 * CHOOSE(CONTROL!$C$32, $C$9, 100%, $E$9)</f>
        <v>7.0338000000000003</v>
      </c>
      <c r="D475" s="80">
        <f>7.0389 * CHOOSE(CONTROL!$C$32, $C$9, 100%, $E$9)</f>
        <v>7.0388999999999999</v>
      </c>
      <c r="E475" s="81">
        <f>8.4574 * CHOOSE(CONTROL!$C$32, $C$9, 100%, $E$9)</f>
        <v>8.4573999999999998</v>
      </c>
      <c r="F475" s="81">
        <f>8.4574 * CHOOSE(CONTROL!$C$32, $C$9, 100%, $E$9)</f>
        <v>8.4573999999999998</v>
      </c>
      <c r="G475" s="81">
        <f>8.4637 * CHOOSE(CONTROL!$C$32, $C$9, 100%, $E$9)</f>
        <v>8.4636999999999993</v>
      </c>
      <c r="H475" s="81">
        <f>15.1836 * CHOOSE(CONTROL!$C$32, $C$9, 100%, $E$9)</f>
        <v>15.1836</v>
      </c>
      <c r="I475" s="81">
        <f>15.19 * CHOOSE(CONTROL!$C$32, $C$9, 100%, $E$9)</f>
        <v>15.19</v>
      </c>
      <c r="J475" s="81">
        <f>15.1836 * CHOOSE(CONTROL!$C$32, $C$9, 100%, $E$9)</f>
        <v>15.1836</v>
      </c>
      <c r="K475" s="81">
        <f>15.19 * CHOOSE(CONTROL!$C$32, $C$9, 100%, $E$9)</f>
        <v>15.19</v>
      </c>
      <c r="L475" s="81">
        <f>8.4574 * CHOOSE(CONTROL!$C$32, $C$9, 100%, $E$9)</f>
        <v>8.4573999999999998</v>
      </c>
      <c r="M475" s="81">
        <f>8.4637 * CHOOSE(CONTROL!$C$32, $C$9, 100%, $E$9)</f>
        <v>8.4636999999999993</v>
      </c>
      <c r="N475" s="81">
        <f>8.4574 * CHOOSE(CONTROL!$C$32, $C$9, 100%, $E$9)</f>
        <v>8.4573999999999998</v>
      </c>
      <c r="O475" s="81">
        <f>8.4637 * CHOOSE(CONTROL!$C$32, $C$9, 100%, $E$9)</f>
        <v>8.4636999999999993</v>
      </c>
    </row>
    <row r="476" spans="1:15" ht="15">
      <c r="A476" s="16">
        <v>55701</v>
      </c>
      <c r="B476" s="80">
        <f>7.1454 * CHOOSE(CONTROL!$C$32, $C$9, 100%, $E$9)</f>
        <v>7.1454000000000004</v>
      </c>
      <c r="C476" s="80">
        <f>7.1454 * CHOOSE(CONTROL!$C$32, $C$9, 100%, $E$9)</f>
        <v>7.1454000000000004</v>
      </c>
      <c r="D476" s="80">
        <f>7.1505 * CHOOSE(CONTROL!$C$32, $C$9, 100%, $E$9)</f>
        <v>7.1505000000000001</v>
      </c>
      <c r="E476" s="81">
        <f>8.5975 * CHOOSE(CONTROL!$C$32, $C$9, 100%, $E$9)</f>
        <v>8.5975000000000001</v>
      </c>
      <c r="F476" s="81">
        <f>8.5975 * CHOOSE(CONTROL!$C$32, $C$9, 100%, $E$9)</f>
        <v>8.5975000000000001</v>
      </c>
      <c r="G476" s="81">
        <f>8.6038 * CHOOSE(CONTROL!$C$32, $C$9, 100%, $E$9)</f>
        <v>8.6037999999999997</v>
      </c>
      <c r="H476" s="81">
        <f>15.2153 * CHOOSE(CONTROL!$C$32, $C$9, 100%, $E$9)</f>
        <v>15.215299999999999</v>
      </c>
      <c r="I476" s="81">
        <f>15.2216 * CHOOSE(CONTROL!$C$32, $C$9, 100%, $E$9)</f>
        <v>15.2216</v>
      </c>
      <c r="J476" s="81">
        <f>15.2153 * CHOOSE(CONTROL!$C$32, $C$9, 100%, $E$9)</f>
        <v>15.215299999999999</v>
      </c>
      <c r="K476" s="81">
        <f>15.2216 * CHOOSE(CONTROL!$C$32, $C$9, 100%, $E$9)</f>
        <v>15.2216</v>
      </c>
      <c r="L476" s="81">
        <f>8.5975 * CHOOSE(CONTROL!$C$32, $C$9, 100%, $E$9)</f>
        <v>8.5975000000000001</v>
      </c>
      <c r="M476" s="81">
        <f>8.6038 * CHOOSE(CONTROL!$C$32, $C$9, 100%, $E$9)</f>
        <v>8.6037999999999997</v>
      </c>
      <c r="N476" s="81">
        <f>8.5975 * CHOOSE(CONTROL!$C$32, $C$9, 100%, $E$9)</f>
        <v>8.5975000000000001</v>
      </c>
      <c r="O476" s="81">
        <f>8.6038 * CHOOSE(CONTROL!$C$32, $C$9, 100%, $E$9)</f>
        <v>8.6037999999999997</v>
      </c>
    </row>
    <row r="477" spans="1:15" ht="15">
      <c r="A477" s="16">
        <v>55732</v>
      </c>
      <c r="B477" s="80">
        <f>7.1521 * CHOOSE(CONTROL!$C$32, $C$9, 100%, $E$9)</f>
        <v>7.1520999999999999</v>
      </c>
      <c r="C477" s="80">
        <f>7.1521 * CHOOSE(CONTROL!$C$32, $C$9, 100%, $E$9)</f>
        <v>7.1520999999999999</v>
      </c>
      <c r="D477" s="80">
        <f>7.1572 * CHOOSE(CONTROL!$C$32, $C$9, 100%, $E$9)</f>
        <v>7.1571999999999996</v>
      </c>
      <c r="E477" s="81">
        <f>8.4715 * CHOOSE(CONTROL!$C$32, $C$9, 100%, $E$9)</f>
        <v>8.4715000000000007</v>
      </c>
      <c r="F477" s="81">
        <f>8.4715 * CHOOSE(CONTROL!$C$32, $C$9, 100%, $E$9)</f>
        <v>8.4715000000000007</v>
      </c>
      <c r="G477" s="81">
        <f>8.4778 * CHOOSE(CONTROL!$C$32, $C$9, 100%, $E$9)</f>
        <v>8.4778000000000002</v>
      </c>
      <c r="H477" s="81">
        <f>15.247 * CHOOSE(CONTROL!$C$32, $C$9, 100%, $E$9)</f>
        <v>15.247</v>
      </c>
      <c r="I477" s="81">
        <f>15.2533 * CHOOSE(CONTROL!$C$32, $C$9, 100%, $E$9)</f>
        <v>15.253299999999999</v>
      </c>
      <c r="J477" s="81">
        <f>15.247 * CHOOSE(CONTROL!$C$32, $C$9, 100%, $E$9)</f>
        <v>15.247</v>
      </c>
      <c r="K477" s="81">
        <f>15.2533 * CHOOSE(CONTROL!$C$32, $C$9, 100%, $E$9)</f>
        <v>15.253299999999999</v>
      </c>
      <c r="L477" s="81">
        <f>8.4715 * CHOOSE(CONTROL!$C$32, $C$9, 100%, $E$9)</f>
        <v>8.4715000000000007</v>
      </c>
      <c r="M477" s="81">
        <f>8.4778 * CHOOSE(CONTROL!$C$32, $C$9, 100%, $E$9)</f>
        <v>8.4778000000000002</v>
      </c>
      <c r="N477" s="81">
        <f>8.4715 * CHOOSE(CONTROL!$C$32, $C$9, 100%, $E$9)</f>
        <v>8.4715000000000007</v>
      </c>
      <c r="O477" s="81">
        <f>8.4778 * CHOOSE(CONTROL!$C$32, $C$9, 100%, $E$9)</f>
        <v>8.4778000000000002</v>
      </c>
    </row>
    <row r="478" spans="1:15" ht="15">
      <c r="A478" s="16">
        <v>55763</v>
      </c>
      <c r="B478" s="80">
        <f>7.149 * CHOOSE(CONTROL!$C$32, $C$9, 100%, $E$9)</f>
        <v>7.149</v>
      </c>
      <c r="C478" s="80">
        <f>7.149 * CHOOSE(CONTROL!$C$32, $C$9, 100%, $E$9)</f>
        <v>7.149</v>
      </c>
      <c r="D478" s="80">
        <f>7.1542 * CHOOSE(CONTROL!$C$32, $C$9, 100%, $E$9)</f>
        <v>7.1542000000000003</v>
      </c>
      <c r="E478" s="81">
        <f>8.4549 * CHOOSE(CONTROL!$C$32, $C$9, 100%, $E$9)</f>
        <v>8.4549000000000003</v>
      </c>
      <c r="F478" s="81">
        <f>8.4549 * CHOOSE(CONTROL!$C$32, $C$9, 100%, $E$9)</f>
        <v>8.4549000000000003</v>
      </c>
      <c r="G478" s="81">
        <f>8.4612 * CHOOSE(CONTROL!$C$32, $C$9, 100%, $E$9)</f>
        <v>8.4611999999999998</v>
      </c>
      <c r="H478" s="81">
        <f>15.2787 * CHOOSE(CONTROL!$C$32, $C$9, 100%, $E$9)</f>
        <v>15.278700000000001</v>
      </c>
      <c r="I478" s="81">
        <f>15.285 * CHOOSE(CONTROL!$C$32, $C$9, 100%, $E$9)</f>
        <v>15.285</v>
      </c>
      <c r="J478" s="81">
        <f>15.2787 * CHOOSE(CONTROL!$C$32, $C$9, 100%, $E$9)</f>
        <v>15.278700000000001</v>
      </c>
      <c r="K478" s="81">
        <f>15.285 * CHOOSE(CONTROL!$C$32, $C$9, 100%, $E$9)</f>
        <v>15.285</v>
      </c>
      <c r="L478" s="81">
        <f>8.4549 * CHOOSE(CONTROL!$C$32, $C$9, 100%, $E$9)</f>
        <v>8.4549000000000003</v>
      </c>
      <c r="M478" s="81">
        <f>8.4612 * CHOOSE(CONTROL!$C$32, $C$9, 100%, $E$9)</f>
        <v>8.4611999999999998</v>
      </c>
      <c r="N478" s="81">
        <f>8.4549 * CHOOSE(CONTROL!$C$32, $C$9, 100%, $E$9)</f>
        <v>8.4549000000000003</v>
      </c>
      <c r="O478" s="81">
        <f>8.4612 * CHOOSE(CONTROL!$C$32, $C$9, 100%, $E$9)</f>
        <v>8.4611999999999998</v>
      </c>
    </row>
    <row r="479" spans="1:15" ht="15">
      <c r="A479" s="16">
        <v>55793</v>
      </c>
      <c r="B479" s="80">
        <f>7.1545 * CHOOSE(CONTROL!$C$32, $C$9, 100%, $E$9)</f>
        <v>7.1544999999999996</v>
      </c>
      <c r="C479" s="80">
        <f>7.1545 * CHOOSE(CONTROL!$C$32, $C$9, 100%, $E$9)</f>
        <v>7.1544999999999996</v>
      </c>
      <c r="D479" s="80">
        <f>7.158 * CHOOSE(CONTROL!$C$32, $C$9, 100%, $E$9)</f>
        <v>7.1580000000000004</v>
      </c>
      <c r="E479" s="81">
        <f>8.4995 * CHOOSE(CONTROL!$C$32, $C$9, 100%, $E$9)</f>
        <v>8.4994999999999994</v>
      </c>
      <c r="F479" s="81">
        <f>8.4995 * CHOOSE(CONTROL!$C$32, $C$9, 100%, $E$9)</f>
        <v>8.4994999999999994</v>
      </c>
      <c r="G479" s="81">
        <f>8.5039 * CHOOSE(CONTROL!$C$32, $C$9, 100%, $E$9)</f>
        <v>8.5038999999999998</v>
      </c>
      <c r="H479" s="81">
        <f>15.3106 * CHOOSE(CONTROL!$C$32, $C$9, 100%, $E$9)</f>
        <v>15.310600000000001</v>
      </c>
      <c r="I479" s="81">
        <f>15.3149 * CHOOSE(CONTROL!$C$32, $C$9, 100%, $E$9)</f>
        <v>15.3149</v>
      </c>
      <c r="J479" s="81">
        <f>15.3106 * CHOOSE(CONTROL!$C$32, $C$9, 100%, $E$9)</f>
        <v>15.310600000000001</v>
      </c>
      <c r="K479" s="81">
        <f>15.3149 * CHOOSE(CONTROL!$C$32, $C$9, 100%, $E$9)</f>
        <v>15.3149</v>
      </c>
      <c r="L479" s="81">
        <f>8.4995 * CHOOSE(CONTROL!$C$32, $C$9, 100%, $E$9)</f>
        <v>8.4994999999999994</v>
      </c>
      <c r="M479" s="81">
        <f>8.5039 * CHOOSE(CONTROL!$C$32, $C$9, 100%, $E$9)</f>
        <v>8.5038999999999998</v>
      </c>
      <c r="N479" s="81">
        <f>8.4995 * CHOOSE(CONTROL!$C$32, $C$9, 100%, $E$9)</f>
        <v>8.4994999999999994</v>
      </c>
      <c r="O479" s="81">
        <f>8.5039 * CHOOSE(CONTROL!$C$32, $C$9, 100%, $E$9)</f>
        <v>8.5038999999999998</v>
      </c>
    </row>
    <row r="480" spans="1:15" ht="15">
      <c r="A480" s="16">
        <v>55824</v>
      </c>
      <c r="B480" s="80">
        <f>7.1575 * CHOOSE(CONTROL!$C$32, $C$9, 100%, $E$9)</f>
        <v>7.1574999999999998</v>
      </c>
      <c r="C480" s="80">
        <f>7.1575 * CHOOSE(CONTROL!$C$32, $C$9, 100%, $E$9)</f>
        <v>7.1574999999999998</v>
      </c>
      <c r="D480" s="80">
        <f>7.161 * CHOOSE(CONTROL!$C$32, $C$9, 100%, $E$9)</f>
        <v>7.1609999999999996</v>
      </c>
      <c r="E480" s="81">
        <f>8.5307 * CHOOSE(CONTROL!$C$32, $C$9, 100%, $E$9)</f>
        <v>8.5306999999999995</v>
      </c>
      <c r="F480" s="81">
        <f>8.5307 * CHOOSE(CONTROL!$C$32, $C$9, 100%, $E$9)</f>
        <v>8.5306999999999995</v>
      </c>
      <c r="G480" s="81">
        <f>8.535 * CHOOSE(CONTROL!$C$32, $C$9, 100%, $E$9)</f>
        <v>8.5350000000000001</v>
      </c>
      <c r="H480" s="81">
        <f>15.3425 * CHOOSE(CONTROL!$C$32, $C$9, 100%, $E$9)</f>
        <v>15.342499999999999</v>
      </c>
      <c r="I480" s="81">
        <f>15.3468 * CHOOSE(CONTROL!$C$32, $C$9, 100%, $E$9)</f>
        <v>15.3468</v>
      </c>
      <c r="J480" s="81">
        <f>15.3425 * CHOOSE(CONTROL!$C$32, $C$9, 100%, $E$9)</f>
        <v>15.342499999999999</v>
      </c>
      <c r="K480" s="81">
        <f>15.3468 * CHOOSE(CONTROL!$C$32, $C$9, 100%, $E$9)</f>
        <v>15.3468</v>
      </c>
      <c r="L480" s="81">
        <f>8.5307 * CHOOSE(CONTROL!$C$32, $C$9, 100%, $E$9)</f>
        <v>8.5306999999999995</v>
      </c>
      <c r="M480" s="81">
        <f>8.535 * CHOOSE(CONTROL!$C$32, $C$9, 100%, $E$9)</f>
        <v>8.5350000000000001</v>
      </c>
      <c r="N480" s="81">
        <f>8.5307 * CHOOSE(CONTROL!$C$32, $C$9, 100%, $E$9)</f>
        <v>8.5306999999999995</v>
      </c>
      <c r="O480" s="81">
        <f>8.535 * CHOOSE(CONTROL!$C$32, $C$9, 100%, $E$9)</f>
        <v>8.5350000000000001</v>
      </c>
    </row>
    <row r="481" spans="1:15" ht="15">
      <c r="A481" s="16">
        <v>55854</v>
      </c>
      <c r="B481" s="80">
        <f>7.1575 * CHOOSE(CONTROL!$C$32, $C$9, 100%, $E$9)</f>
        <v>7.1574999999999998</v>
      </c>
      <c r="C481" s="80">
        <f>7.1575 * CHOOSE(CONTROL!$C$32, $C$9, 100%, $E$9)</f>
        <v>7.1574999999999998</v>
      </c>
      <c r="D481" s="80">
        <f>7.161 * CHOOSE(CONTROL!$C$32, $C$9, 100%, $E$9)</f>
        <v>7.1609999999999996</v>
      </c>
      <c r="E481" s="81">
        <f>8.4581 * CHOOSE(CONTROL!$C$32, $C$9, 100%, $E$9)</f>
        <v>8.4581</v>
      </c>
      <c r="F481" s="81">
        <f>8.4581 * CHOOSE(CONTROL!$C$32, $C$9, 100%, $E$9)</f>
        <v>8.4581</v>
      </c>
      <c r="G481" s="81">
        <f>8.4625 * CHOOSE(CONTROL!$C$32, $C$9, 100%, $E$9)</f>
        <v>8.4625000000000004</v>
      </c>
      <c r="H481" s="81">
        <f>15.3744 * CHOOSE(CONTROL!$C$32, $C$9, 100%, $E$9)</f>
        <v>15.3744</v>
      </c>
      <c r="I481" s="81">
        <f>15.3788 * CHOOSE(CONTROL!$C$32, $C$9, 100%, $E$9)</f>
        <v>15.3788</v>
      </c>
      <c r="J481" s="81">
        <f>15.3744 * CHOOSE(CONTROL!$C$32, $C$9, 100%, $E$9)</f>
        <v>15.3744</v>
      </c>
      <c r="K481" s="81">
        <f>15.3788 * CHOOSE(CONTROL!$C$32, $C$9, 100%, $E$9)</f>
        <v>15.3788</v>
      </c>
      <c r="L481" s="81">
        <f>8.4581 * CHOOSE(CONTROL!$C$32, $C$9, 100%, $E$9)</f>
        <v>8.4581</v>
      </c>
      <c r="M481" s="81">
        <f>8.4625 * CHOOSE(CONTROL!$C$32, $C$9, 100%, $E$9)</f>
        <v>8.4625000000000004</v>
      </c>
      <c r="N481" s="81">
        <f>8.4581 * CHOOSE(CONTROL!$C$32, $C$9, 100%, $E$9)</f>
        <v>8.4581</v>
      </c>
      <c r="O481" s="81">
        <f>8.4625 * CHOOSE(CONTROL!$C$32, $C$9, 100%, $E$9)</f>
        <v>8.4625000000000004</v>
      </c>
    </row>
    <row r="482" spans="1:15" ht="15">
      <c r="A482" s="16">
        <v>55885</v>
      </c>
      <c r="B482" s="80">
        <f>7.2193 * CHOOSE(CONTROL!$C$32, $C$9, 100%, $E$9)</f>
        <v>7.2192999999999996</v>
      </c>
      <c r="C482" s="80">
        <f>7.2193 * CHOOSE(CONTROL!$C$32, $C$9, 100%, $E$9)</f>
        <v>7.2192999999999996</v>
      </c>
      <c r="D482" s="80">
        <f>7.2229 * CHOOSE(CONTROL!$C$32, $C$9, 100%, $E$9)</f>
        <v>7.2229000000000001</v>
      </c>
      <c r="E482" s="81">
        <f>8.5793 * CHOOSE(CONTROL!$C$32, $C$9, 100%, $E$9)</f>
        <v>8.5792999999999999</v>
      </c>
      <c r="F482" s="81">
        <f>8.5793 * CHOOSE(CONTROL!$C$32, $C$9, 100%, $E$9)</f>
        <v>8.5792999999999999</v>
      </c>
      <c r="G482" s="81">
        <f>8.5837 * CHOOSE(CONTROL!$C$32, $C$9, 100%, $E$9)</f>
        <v>8.5837000000000003</v>
      </c>
      <c r="H482" s="81">
        <f>15.4065 * CHOOSE(CONTROL!$C$32, $C$9, 100%, $E$9)</f>
        <v>15.406499999999999</v>
      </c>
      <c r="I482" s="81">
        <f>15.4108 * CHOOSE(CONTROL!$C$32, $C$9, 100%, $E$9)</f>
        <v>15.4108</v>
      </c>
      <c r="J482" s="81">
        <f>15.4065 * CHOOSE(CONTROL!$C$32, $C$9, 100%, $E$9)</f>
        <v>15.406499999999999</v>
      </c>
      <c r="K482" s="81">
        <f>15.4108 * CHOOSE(CONTROL!$C$32, $C$9, 100%, $E$9)</f>
        <v>15.4108</v>
      </c>
      <c r="L482" s="81">
        <f>8.5793 * CHOOSE(CONTROL!$C$32, $C$9, 100%, $E$9)</f>
        <v>8.5792999999999999</v>
      </c>
      <c r="M482" s="81">
        <f>8.5837 * CHOOSE(CONTROL!$C$32, $C$9, 100%, $E$9)</f>
        <v>8.5837000000000003</v>
      </c>
      <c r="N482" s="81">
        <f>8.5793 * CHOOSE(CONTROL!$C$32, $C$9, 100%, $E$9)</f>
        <v>8.5792999999999999</v>
      </c>
      <c r="O482" s="81">
        <f>8.5837 * CHOOSE(CONTROL!$C$32, $C$9, 100%, $E$9)</f>
        <v>8.5837000000000003</v>
      </c>
    </row>
    <row r="483" spans="1:15" ht="15">
      <c r="A483" s="16">
        <v>55916</v>
      </c>
      <c r="B483" s="80">
        <f>7.2163 * CHOOSE(CONTROL!$C$32, $C$9, 100%, $E$9)</f>
        <v>7.2163000000000004</v>
      </c>
      <c r="C483" s="80">
        <f>7.2163 * CHOOSE(CONTROL!$C$32, $C$9, 100%, $E$9)</f>
        <v>7.2163000000000004</v>
      </c>
      <c r="D483" s="80">
        <f>7.2199 * CHOOSE(CONTROL!$C$32, $C$9, 100%, $E$9)</f>
        <v>7.2199</v>
      </c>
      <c r="E483" s="81">
        <f>8.4362 * CHOOSE(CONTROL!$C$32, $C$9, 100%, $E$9)</f>
        <v>8.4361999999999995</v>
      </c>
      <c r="F483" s="81">
        <f>8.4362 * CHOOSE(CONTROL!$C$32, $C$9, 100%, $E$9)</f>
        <v>8.4361999999999995</v>
      </c>
      <c r="G483" s="81">
        <f>8.4405 * CHOOSE(CONTROL!$C$32, $C$9, 100%, $E$9)</f>
        <v>8.4405000000000001</v>
      </c>
      <c r="H483" s="81">
        <f>15.4386 * CHOOSE(CONTROL!$C$32, $C$9, 100%, $E$9)</f>
        <v>15.438599999999999</v>
      </c>
      <c r="I483" s="81">
        <f>15.4429 * CHOOSE(CONTROL!$C$32, $C$9, 100%, $E$9)</f>
        <v>15.4429</v>
      </c>
      <c r="J483" s="81">
        <f>15.4386 * CHOOSE(CONTROL!$C$32, $C$9, 100%, $E$9)</f>
        <v>15.438599999999999</v>
      </c>
      <c r="K483" s="81">
        <f>15.4429 * CHOOSE(CONTROL!$C$32, $C$9, 100%, $E$9)</f>
        <v>15.4429</v>
      </c>
      <c r="L483" s="81">
        <f>8.4362 * CHOOSE(CONTROL!$C$32, $C$9, 100%, $E$9)</f>
        <v>8.4361999999999995</v>
      </c>
      <c r="M483" s="81">
        <f>8.4405 * CHOOSE(CONTROL!$C$32, $C$9, 100%, $E$9)</f>
        <v>8.4405000000000001</v>
      </c>
      <c r="N483" s="81">
        <f>8.4362 * CHOOSE(CONTROL!$C$32, $C$9, 100%, $E$9)</f>
        <v>8.4361999999999995</v>
      </c>
      <c r="O483" s="81">
        <f>8.4405 * CHOOSE(CONTROL!$C$32, $C$9, 100%, $E$9)</f>
        <v>8.4405000000000001</v>
      </c>
    </row>
    <row r="484" spans="1:15" ht="15">
      <c r="A484" s="16">
        <v>55944</v>
      </c>
      <c r="B484" s="80">
        <f>7.2133 * CHOOSE(CONTROL!$C$32, $C$9, 100%, $E$9)</f>
        <v>7.2133000000000003</v>
      </c>
      <c r="C484" s="80">
        <f>7.2133 * CHOOSE(CONTROL!$C$32, $C$9, 100%, $E$9)</f>
        <v>7.2133000000000003</v>
      </c>
      <c r="D484" s="80">
        <f>7.2168 * CHOOSE(CONTROL!$C$32, $C$9, 100%, $E$9)</f>
        <v>7.2168000000000001</v>
      </c>
      <c r="E484" s="81">
        <f>8.5452 * CHOOSE(CONTROL!$C$32, $C$9, 100%, $E$9)</f>
        <v>8.5451999999999995</v>
      </c>
      <c r="F484" s="81">
        <f>8.5452 * CHOOSE(CONTROL!$C$32, $C$9, 100%, $E$9)</f>
        <v>8.5451999999999995</v>
      </c>
      <c r="G484" s="81">
        <f>8.5496 * CHOOSE(CONTROL!$C$32, $C$9, 100%, $E$9)</f>
        <v>8.5495999999999999</v>
      </c>
      <c r="H484" s="81">
        <f>15.4707 * CHOOSE(CONTROL!$C$32, $C$9, 100%, $E$9)</f>
        <v>15.470700000000001</v>
      </c>
      <c r="I484" s="81">
        <f>15.4751 * CHOOSE(CONTROL!$C$32, $C$9, 100%, $E$9)</f>
        <v>15.475099999999999</v>
      </c>
      <c r="J484" s="81">
        <f>15.4707 * CHOOSE(CONTROL!$C$32, $C$9, 100%, $E$9)</f>
        <v>15.470700000000001</v>
      </c>
      <c r="K484" s="81">
        <f>15.4751 * CHOOSE(CONTROL!$C$32, $C$9, 100%, $E$9)</f>
        <v>15.475099999999999</v>
      </c>
      <c r="L484" s="81">
        <f>8.5452 * CHOOSE(CONTROL!$C$32, $C$9, 100%, $E$9)</f>
        <v>8.5451999999999995</v>
      </c>
      <c r="M484" s="81">
        <f>8.5496 * CHOOSE(CONTROL!$C$32, $C$9, 100%, $E$9)</f>
        <v>8.5495999999999999</v>
      </c>
      <c r="N484" s="81">
        <f>8.5452 * CHOOSE(CONTROL!$C$32, $C$9, 100%, $E$9)</f>
        <v>8.5451999999999995</v>
      </c>
      <c r="O484" s="81">
        <f>8.5496 * CHOOSE(CONTROL!$C$32, $C$9, 100%, $E$9)</f>
        <v>8.5495999999999999</v>
      </c>
    </row>
    <row r="485" spans="1:15" ht="15">
      <c r="A485" s="16">
        <v>55975</v>
      </c>
      <c r="B485" s="80">
        <f>7.2137 * CHOOSE(CONTROL!$C$32, $C$9, 100%, $E$9)</f>
        <v>7.2137000000000002</v>
      </c>
      <c r="C485" s="80">
        <f>7.2137 * CHOOSE(CONTROL!$C$32, $C$9, 100%, $E$9)</f>
        <v>7.2137000000000002</v>
      </c>
      <c r="D485" s="80">
        <f>7.2172 * CHOOSE(CONTROL!$C$32, $C$9, 100%, $E$9)</f>
        <v>7.2172000000000001</v>
      </c>
      <c r="E485" s="81">
        <f>8.6604 * CHOOSE(CONTROL!$C$32, $C$9, 100%, $E$9)</f>
        <v>8.6603999999999992</v>
      </c>
      <c r="F485" s="81">
        <f>8.6604 * CHOOSE(CONTROL!$C$32, $C$9, 100%, $E$9)</f>
        <v>8.6603999999999992</v>
      </c>
      <c r="G485" s="81">
        <f>8.6647 * CHOOSE(CONTROL!$C$32, $C$9, 100%, $E$9)</f>
        <v>8.6646999999999998</v>
      </c>
      <c r="H485" s="81">
        <f>15.5029 * CHOOSE(CONTROL!$C$32, $C$9, 100%, $E$9)</f>
        <v>15.5029</v>
      </c>
      <c r="I485" s="81">
        <f>15.5073 * CHOOSE(CONTROL!$C$32, $C$9, 100%, $E$9)</f>
        <v>15.507300000000001</v>
      </c>
      <c r="J485" s="81">
        <f>15.5029 * CHOOSE(CONTROL!$C$32, $C$9, 100%, $E$9)</f>
        <v>15.5029</v>
      </c>
      <c r="K485" s="81">
        <f>15.5073 * CHOOSE(CONTROL!$C$32, $C$9, 100%, $E$9)</f>
        <v>15.507300000000001</v>
      </c>
      <c r="L485" s="81">
        <f>8.6604 * CHOOSE(CONTROL!$C$32, $C$9, 100%, $E$9)</f>
        <v>8.6603999999999992</v>
      </c>
      <c r="M485" s="81">
        <f>8.6647 * CHOOSE(CONTROL!$C$32, $C$9, 100%, $E$9)</f>
        <v>8.6646999999999998</v>
      </c>
      <c r="N485" s="81">
        <f>8.6604 * CHOOSE(CONTROL!$C$32, $C$9, 100%, $E$9)</f>
        <v>8.6603999999999992</v>
      </c>
      <c r="O485" s="81">
        <f>8.6647 * CHOOSE(CONTROL!$C$32, $C$9, 100%, $E$9)</f>
        <v>8.6646999999999998</v>
      </c>
    </row>
    <row r="486" spans="1:15" ht="15">
      <c r="A486" s="16">
        <v>56005</v>
      </c>
      <c r="B486" s="80">
        <f>7.2137 * CHOOSE(CONTROL!$C$32, $C$9, 100%, $E$9)</f>
        <v>7.2137000000000002</v>
      </c>
      <c r="C486" s="80">
        <f>7.2137 * CHOOSE(CONTROL!$C$32, $C$9, 100%, $E$9)</f>
        <v>7.2137000000000002</v>
      </c>
      <c r="D486" s="80">
        <f>7.2188 * CHOOSE(CONTROL!$C$32, $C$9, 100%, $E$9)</f>
        <v>7.2187999999999999</v>
      </c>
      <c r="E486" s="81">
        <f>8.7051 * CHOOSE(CONTROL!$C$32, $C$9, 100%, $E$9)</f>
        <v>8.7050999999999998</v>
      </c>
      <c r="F486" s="81">
        <f>8.7051 * CHOOSE(CONTROL!$C$32, $C$9, 100%, $E$9)</f>
        <v>8.7050999999999998</v>
      </c>
      <c r="G486" s="81">
        <f>8.7115 * CHOOSE(CONTROL!$C$32, $C$9, 100%, $E$9)</f>
        <v>8.7114999999999991</v>
      </c>
      <c r="H486" s="81">
        <f>15.5352 * CHOOSE(CONTROL!$C$32, $C$9, 100%, $E$9)</f>
        <v>15.5352</v>
      </c>
      <c r="I486" s="81">
        <f>15.5416 * CHOOSE(CONTROL!$C$32, $C$9, 100%, $E$9)</f>
        <v>15.541600000000001</v>
      </c>
      <c r="J486" s="81">
        <f>15.5352 * CHOOSE(CONTROL!$C$32, $C$9, 100%, $E$9)</f>
        <v>15.5352</v>
      </c>
      <c r="K486" s="81">
        <f>15.5416 * CHOOSE(CONTROL!$C$32, $C$9, 100%, $E$9)</f>
        <v>15.541600000000001</v>
      </c>
      <c r="L486" s="81">
        <f>8.7051 * CHOOSE(CONTROL!$C$32, $C$9, 100%, $E$9)</f>
        <v>8.7050999999999998</v>
      </c>
      <c r="M486" s="81">
        <f>8.7115 * CHOOSE(CONTROL!$C$32, $C$9, 100%, $E$9)</f>
        <v>8.7114999999999991</v>
      </c>
      <c r="N486" s="81">
        <f>8.7051 * CHOOSE(CONTROL!$C$32, $C$9, 100%, $E$9)</f>
        <v>8.7050999999999998</v>
      </c>
      <c r="O486" s="81">
        <f>8.7115 * CHOOSE(CONTROL!$C$32, $C$9, 100%, $E$9)</f>
        <v>8.7114999999999991</v>
      </c>
    </row>
    <row r="487" spans="1:15" ht="15">
      <c r="A487" s="16">
        <v>56036</v>
      </c>
      <c r="B487" s="80">
        <f>7.2198 * CHOOSE(CONTROL!$C$32, $C$9, 100%, $E$9)</f>
        <v>7.2198000000000002</v>
      </c>
      <c r="C487" s="80">
        <f>7.2198 * CHOOSE(CONTROL!$C$32, $C$9, 100%, $E$9)</f>
        <v>7.2198000000000002</v>
      </c>
      <c r="D487" s="80">
        <f>7.2249 * CHOOSE(CONTROL!$C$32, $C$9, 100%, $E$9)</f>
        <v>7.2248999999999999</v>
      </c>
      <c r="E487" s="81">
        <f>8.6646 * CHOOSE(CONTROL!$C$32, $C$9, 100%, $E$9)</f>
        <v>8.6646000000000001</v>
      </c>
      <c r="F487" s="81">
        <f>8.6646 * CHOOSE(CONTROL!$C$32, $C$9, 100%, $E$9)</f>
        <v>8.6646000000000001</v>
      </c>
      <c r="G487" s="81">
        <f>8.6709 * CHOOSE(CONTROL!$C$32, $C$9, 100%, $E$9)</f>
        <v>8.6708999999999996</v>
      </c>
      <c r="H487" s="81">
        <f>15.5676 * CHOOSE(CONTROL!$C$32, $C$9, 100%, $E$9)</f>
        <v>15.567600000000001</v>
      </c>
      <c r="I487" s="81">
        <f>15.5739 * CHOOSE(CONTROL!$C$32, $C$9, 100%, $E$9)</f>
        <v>15.5739</v>
      </c>
      <c r="J487" s="81">
        <f>15.5676 * CHOOSE(CONTROL!$C$32, $C$9, 100%, $E$9)</f>
        <v>15.567600000000001</v>
      </c>
      <c r="K487" s="81">
        <f>15.5739 * CHOOSE(CONTROL!$C$32, $C$9, 100%, $E$9)</f>
        <v>15.5739</v>
      </c>
      <c r="L487" s="81">
        <f>8.6646 * CHOOSE(CONTROL!$C$32, $C$9, 100%, $E$9)</f>
        <v>8.6646000000000001</v>
      </c>
      <c r="M487" s="81">
        <f>8.6709 * CHOOSE(CONTROL!$C$32, $C$9, 100%, $E$9)</f>
        <v>8.6708999999999996</v>
      </c>
      <c r="N487" s="81">
        <f>8.6646 * CHOOSE(CONTROL!$C$32, $C$9, 100%, $E$9)</f>
        <v>8.6646000000000001</v>
      </c>
      <c r="O487" s="81">
        <f>8.6709 * CHOOSE(CONTROL!$C$32, $C$9, 100%, $E$9)</f>
        <v>8.6708999999999996</v>
      </c>
    </row>
    <row r="488" spans="1:15" ht="15">
      <c r="A488" s="16">
        <v>56066</v>
      </c>
      <c r="B488" s="80">
        <f>7.334 * CHOOSE(CONTROL!$C$32, $C$9, 100%, $E$9)</f>
        <v>7.3339999999999996</v>
      </c>
      <c r="C488" s="80">
        <f>7.334 * CHOOSE(CONTROL!$C$32, $C$9, 100%, $E$9)</f>
        <v>7.3339999999999996</v>
      </c>
      <c r="D488" s="80">
        <f>7.3392 * CHOOSE(CONTROL!$C$32, $C$9, 100%, $E$9)</f>
        <v>7.3391999999999999</v>
      </c>
      <c r="E488" s="81">
        <f>8.8078 * CHOOSE(CONTROL!$C$32, $C$9, 100%, $E$9)</f>
        <v>8.8078000000000003</v>
      </c>
      <c r="F488" s="81">
        <f>8.8078 * CHOOSE(CONTROL!$C$32, $C$9, 100%, $E$9)</f>
        <v>8.8078000000000003</v>
      </c>
      <c r="G488" s="81">
        <f>8.8141 * CHOOSE(CONTROL!$C$32, $C$9, 100%, $E$9)</f>
        <v>8.8140999999999998</v>
      </c>
      <c r="H488" s="81">
        <f>15.6 * CHOOSE(CONTROL!$C$32, $C$9, 100%, $E$9)</f>
        <v>15.6</v>
      </c>
      <c r="I488" s="81">
        <f>15.6064 * CHOOSE(CONTROL!$C$32, $C$9, 100%, $E$9)</f>
        <v>15.606400000000001</v>
      </c>
      <c r="J488" s="81">
        <f>15.6 * CHOOSE(CONTROL!$C$32, $C$9, 100%, $E$9)</f>
        <v>15.6</v>
      </c>
      <c r="K488" s="81">
        <f>15.6064 * CHOOSE(CONTROL!$C$32, $C$9, 100%, $E$9)</f>
        <v>15.606400000000001</v>
      </c>
      <c r="L488" s="81">
        <f>8.8078 * CHOOSE(CONTROL!$C$32, $C$9, 100%, $E$9)</f>
        <v>8.8078000000000003</v>
      </c>
      <c r="M488" s="81">
        <f>8.8141 * CHOOSE(CONTROL!$C$32, $C$9, 100%, $E$9)</f>
        <v>8.8140999999999998</v>
      </c>
      <c r="N488" s="81">
        <f>8.8078 * CHOOSE(CONTROL!$C$32, $C$9, 100%, $E$9)</f>
        <v>8.8078000000000003</v>
      </c>
      <c r="O488" s="81">
        <f>8.8141 * CHOOSE(CONTROL!$C$32, $C$9, 100%, $E$9)</f>
        <v>8.8140999999999998</v>
      </c>
    </row>
    <row r="489" spans="1:15" ht="15">
      <c r="A489" s="16">
        <v>56097</v>
      </c>
      <c r="B489" s="80">
        <f>7.3407 * CHOOSE(CONTROL!$C$32, $C$9, 100%, $E$9)</f>
        <v>7.3407</v>
      </c>
      <c r="C489" s="80">
        <f>7.3407 * CHOOSE(CONTROL!$C$32, $C$9, 100%, $E$9)</f>
        <v>7.3407</v>
      </c>
      <c r="D489" s="80">
        <f>7.3459 * CHOOSE(CONTROL!$C$32, $C$9, 100%, $E$9)</f>
        <v>7.3459000000000003</v>
      </c>
      <c r="E489" s="81">
        <f>8.6782 * CHOOSE(CONTROL!$C$32, $C$9, 100%, $E$9)</f>
        <v>8.6782000000000004</v>
      </c>
      <c r="F489" s="81">
        <f>8.6782 * CHOOSE(CONTROL!$C$32, $C$9, 100%, $E$9)</f>
        <v>8.6782000000000004</v>
      </c>
      <c r="G489" s="81">
        <f>8.6845 * CHOOSE(CONTROL!$C$32, $C$9, 100%, $E$9)</f>
        <v>8.6844999999999999</v>
      </c>
      <c r="H489" s="81">
        <f>15.6325 * CHOOSE(CONTROL!$C$32, $C$9, 100%, $E$9)</f>
        <v>15.6325</v>
      </c>
      <c r="I489" s="81">
        <f>15.6389 * CHOOSE(CONTROL!$C$32, $C$9, 100%, $E$9)</f>
        <v>15.6389</v>
      </c>
      <c r="J489" s="81">
        <f>15.6325 * CHOOSE(CONTROL!$C$32, $C$9, 100%, $E$9)</f>
        <v>15.6325</v>
      </c>
      <c r="K489" s="81">
        <f>15.6389 * CHOOSE(CONTROL!$C$32, $C$9, 100%, $E$9)</f>
        <v>15.6389</v>
      </c>
      <c r="L489" s="81">
        <f>8.6782 * CHOOSE(CONTROL!$C$32, $C$9, 100%, $E$9)</f>
        <v>8.6782000000000004</v>
      </c>
      <c r="M489" s="81">
        <f>8.6845 * CHOOSE(CONTROL!$C$32, $C$9, 100%, $E$9)</f>
        <v>8.6844999999999999</v>
      </c>
      <c r="N489" s="81">
        <f>8.6782 * CHOOSE(CONTROL!$C$32, $C$9, 100%, $E$9)</f>
        <v>8.6782000000000004</v>
      </c>
      <c r="O489" s="81">
        <f>8.6845 * CHOOSE(CONTROL!$C$32, $C$9, 100%, $E$9)</f>
        <v>8.6844999999999999</v>
      </c>
    </row>
    <row r="490" spans="1:15" ht="15">
      <c r="A490" s="16">
        <v>56128</v>
      </c>
      <c r="B490" s="80">
        <f>7.3377 * CHOOSE(CONTROL!$C$32, $C$9, 100%, $E$9)</f>
        <v>7.3376999999999999</v>
      </c>
      <c r="C490" s="80">
        <f>7.3377 * CHOOSE(CONTROL!$C$32, $C$9, 100%, $E$9)</f>
        <v>7.3376999999999999</v>
      </c>
      <c r="D490" s="80">
        <f>7.3429 * CHOOSE(CONTROL!$C$32, $C$9, 100%, $E$9)</f>
        <v>7.3429000000000002</v>
      </c>
      <c r="E490" s="81">
        <f>8.6611 * CHOOSE(CONTROL!$C$32, $C$9, 100%, $E$9)</f>
        <v>8.6610999999999994</v>
      </c>
      <c r="F490" s="81">
        <f>8.6611 * CHOOSE(CONTROL!$C$32, $C$9, 100%, $E$9)</f>
        <v>8.6610999999999994</v>
      </c>
      <c r="G490" s="81">
        <f>8.6675 * CHOOSE(CONTROL!$C$32, $C$9, 100%, $E$9)</f>
        <v>8.6675000000000004</v>
      </c>
      <c r="H490" s="81">
        <f>15.6651 * CHOOSE(CONTROL!$C$32, $C$9, 100%, $E$9)</f>
        <v>15.665100000000001</v>
      </c>
      <c r="I490" s="81">
        <f>15.6714 * CHOOSE(CONTROL!$C$32, $C$9, 100%, $E$9)</f>
        <v>15.6714</v>
      </c>
      <c r="J490" s="81">
        <f>15.6651 * CHOOSE(CONTROL!$C$32, $C$9, 100%, $E$9)</f>
        <v>15.665100000000001</v>
      </c>
      <c r="K490" s="81">
        <f>15.6714 * CHOOSE(CONTROL!$C$32, $C$9, 100%, $E$9)</f>
        <v>15.6714</v>
      </c>
      <c r="L490" s="81">
        <f>8.6611 * CHOOSE(CONTROL!$C$32, $C$9, 100%, $E$9)</f>
        <v>8.6610999999999994</v>
      </c>
      <c r="M490" s="81">
        <f>8.6675 * CHOOSE(CONTROL!$C$32, $C$9, 100%, $E$9)</f>
        <v>8.6675000000000004</v>
      </c>
      <c r="N490" s="81">
        <f>8.6611 * CHOOSE(CONTROL!$C$32, $C$9, 100%, $E$9)</f>
        <v>8.6610999999999994</v>
      </c>
      <c r="O490" s="81">
        <f>8.6675 * CHOOSE(CONTROL!$C$32, $C$9, 100%, $E$9)</f>
        <v>8.6675000000000004</v>
      </c>
    </row>
    <row r="491" spans="1:15" ht="15">
      <c r="A491" s="16">
        <v>56158</v>
      </c>
      <c r="B491" s="80">
        <f>7.3437 * CHOOSE(CONTROL!$C$32, $C$9, 100%, $E$9)</f>
        <v>7.3437000000000001</v>
      </c>
      <c r="C491" s="80">
        <f>7.3437 * CHOOSE(CONTROL!$C$32, $C$9, 100%, $E$9)</f>
        <v>7.3437000000000001</v>
      </c>
      <c r="D491" s="80">
        <f>7.3473 * CHOOSE(CONTROL!$C$32, $C$9, 100%, $E$9)</f>
        <v>7.3472999999999997</v>
      </c>
      <c r="E491" s="81">
        <f>8.7074 * CHOOSE(CONTROL!$C$32, $C$9, 100%, $E$9)</f>
        <v>8.7073999999999998</v>
      </c>
      <c r="F491" s="81">
        <f>8.7074 * CHOOSE(CONTROL!$C$32, $C$9, 100%, $E$9)</f>
        <v>8.7073999999999998</v>
      </c>
      <c r="G491" s="81">
        <f>8.7118 * CHOOSE(CONTROL!$C$32, $C$9, 100%, $E$9)</f>
        <v>8.7118000000000002</v>
      </c>
      <c r="H491" s="81">
        <f>15.6977 * CHOOSE(CONTROL!$C$32, $C$9, 100%, $E$9)</f>
        <v>15.697699999999999</v>
      </c>
      <c r="I491" s="81">
        <f>15.7021 * CHOOSE(CONTROL!$C$32, $C$9, 100%, $E$9)</f>
        <v>15.7021</v>
      </c>
      <c r="J491" s="81">
        <f>15.6977 * CHOOSE(CONTROL!$C$32, $C$9, 100%, $E$9)</f>
        <v>15.697699999999999</v>
      </c>
      <c r="K491" s="81">
        <f>15.7021 * CHOOSE(CONTROL!$C$32, $C$9, 100%, $E$9)</f>
        <v>15.7021</v>
      </c>
      <c r="L491" s="81">
        <f>8.7074 * CHOOSE(CONTROL!$C$32, $C$9, 100%, $E$9)</f>
        <v>8.7073999999999998</v>
      </c>
      <c r="M491" s="81">
        <f>8.7118 * CHOOSE(CONTROL!$C$32, $C$9, 100%, $E$9)</f>
        <v>8.7118000000000002</v>
      </c>
      <c r="N491" s="81">
        <f>8.7074 * CHOOSE(CONTROL!$C$32, $C$9, 100%, $E$9)</f>
        <v>8.7073999999999998</v>
      </c>
      <c r="O491" s="81">
        <f>8.7118 * CHOOSE(CONTROL!$C$32, $C$9, 100%, $E$9)</f>
        <v>8.7118000000000002</v>
      </c>
    </row>
    <row r="492" spans="1:15" ht="15">
      <c r="A492" s="16">
        <v>56189</v>
      </c>
      <c r="B492" s="80">
        <f>7.3468 * CHOOSE(CONTROL!$C$32, $C$9, 100%, $E$9)</f>
        <v>7.3468</v>
      </c>
      <c r="C492" s="80">
        <f>7.3468 * CHOOSE(CONTROL!$C$32, $C$9, 100%, $E$9)</f>
        <v>7.3468</v>
      </c>
      <c r="D492" s="80">
        <f>7.3503 * CHOOSE(CONTROL!$C$32, $C$9, 100%, $E$9)</f>
        <v>7.3502999999999998</v>
      </c>
      <c r="E492" s="81">
        <f>8.7394 * CHOOSE(CONTROL!$C$32, $C$9, 100%, $E$9)</f>
        <v>8.7393999999999998</v>
      </c>
      <c r="F492" s="81">
        <f>8.7394 * CHOOSE(CONTROL!$C$32, $C$9, 100%, $E$9)</f>
        <v>8.7393999999999998</v>
      </c>
      <c r="G492" s="81">
        <f>8.7437 * CHOOSE(CONTROL!$C$32, $C$9, 100%, $E$9)</f>
        <v>8.7437000000000005</v>
      </c>
      <c r="H492" s="81">
        <f>15.7304 * CHOOSE(CONTROL!$C$32, $C$9, 100%, $E$9)</f>
        <v>15.730399999999999</v>
      </c>
      <c r="I492" s="81">
        <f>15.7348 * CHOOSE(CONTROL!$C$32, $C$9, 100%, $E$9)</f>
        <v>15.7348</v>
      </c>
      <c r="J492" s="81">
        <f>15.7304 * CHOOSE(CONTROL!$C$32, $C$9, 100%, $E$9)</f>
        <v>15.730399999999999</v>
      </c>
      <c r="K492" s="81">
        <f>15.7348 * CHOOSE(CONTROL!$C$32, $C$9, 100%, $E$9)</f>
        <v>15.7348</v>
      </c>
      <c r="L492" s="81">
        <f>8.7394 * CHOOSE(CONTROL!$C$32, $C$9, 100%, $E$9)</f>
        <v>8.7393999999999998</v>
      </c>
      <c r="M492" s="81">
        <f>8.7437 * CHOOSE(CONTROL!$C$32, $C$9, 100%, $E$9)</f>
        <v>8.7437000000000005</v>
      </c>
      <c r="N492" s="81">
        <f>8.7394 * CHOOSE(CONTROL!$C$32, $C$9, 100%, $E$9)</f>
        <v>8.7393999999999998</v>
      </c>
      <c r="O492" s="81">
        <f>8.7437 * CHOOSE(CONTROL!$C$32, $C$9, 100%, $E$9)</f>
        <v>8.7437000000000005</v>
      </c>
    </row>
    <row r="493" spans="1:15" ht="15">
      <c r="A493" s="16">
        <v>56219</v>
      </c>
      <c r="B493" s="80">
        <f>7.3468 * CHOOSE(CONTROL!$C$32, $C$9, 100%, $E$9)</f>
        <v>7.3468</v>
      </c>
      <c r="C493" s="80">
        <f>7.3468 * CHOOSE(CONTROL!$C$32, $C$9, 100%, $E$9)</f>
        <v>7.3468</v>
      </c>
      <c r="D493" s="80">
        <f>7.3503 * CHOOSE(CONTROL!$C$32, $C$9, 100%, $E$9)</f>
        <v>7.3502999999999998</v>
      </c>
      <c r="E493" s="81">
        <f>8.6648 * CHOOSE(CONTROL!$C$32, $C$9, 100%, $E$9)</f>
        <v>8.6647999999999996</v>
      </c>
      <c r="F493" s="81">
        <f>8.6648 * CHOOSE(CONTROL!$C$32, $C$9, 100%, $E$9)</f>
        <v>8.6647999999999996</v>
      </c>
      <c r="G493" s="81">
        <f>8.6691 * CHOOSE(CONTROL!$C$32, $C$9, 100%, $E$9)</f>
        <v>8.6691000000000003</v>
      </c>
      <c r="H493" s="81">
        <f>15.7632 * CHOOSE(CONTROL!$C$32, $C$9, 100%, $E$9)</f>
        <v>15.763199999999999</v>
      </c>
      <c r="I493" s="81">
        <f>15.7676 * CHOOSE(CONTROL!$C$32, $C$9, 100%, $E$9)</f>
        <v>15.7676</v>
      </c>
      <c r="J493" s="81">
        <f>15.7632 * CHOOSE(CONTROL!$C$32, $C$9, 100%, $E$9)</f>
        <v>15.763199999999999</v>
      </c>
      <c r="K493" s="81">
        <f>15.7676 * CHOOSE(CONTROL!$C$32, $C$9, 100%, $E$9)</f>
        <v>15.7676</v>
      </c>
      <c r="L493" s="81">
        <f>8.6648 * CHOOSE(CONTROL!$C$32, $C$9, 100%, $E$9)</f>
        <v>8.6647999999999996</v>
      </c>
      <c r="M493" s="81">
        <f>8.6691 * CHOOSE(CONTROL!$C$32, $C$9, 100%, $E$9)</f>
        <v>8.6691000000000003</v>
      </c>
      <c r="N493" s="81">
        <f>8.6648 * CHOOSE(CONTROL!$C$32, $C$9, 100%, $E$9)</f>
        <v>8.6647999999999996</v>
      </c>
      <c r="O493" s="81">
        <f>8.6691 * CHOOSE(CONTROL!$C$32, $C$9, 100%, $E$9)</f>
        <v>8.6691000000000003</v>
      </c>
    </row>
    <row r="494" spans="1:15" ht="15">
      <c r="A494" s="16">
        <v>56250</v>
      </c>
      <c r="B494" s="80">
        <f>7.4101 * CHOOSE(CONTROL!$C$32, $C$9, 100%, $E$9)</f>
        <v>7.4100999999999999</v>
      </c>
      <c r="C494" s="80">
        <f>7.4101 * CHOOSE(CONTROL!$C$32, $C$9, 100%, $E$9)</f>
        <v>7.4100999999999999</v>
      </c>
      <c r="D494" s="80">
        <f>7.4137 * CHOOSE(CONTROL!$C$32, $C$9, 100%, $E$9)</f>
        <v>7.4137000000000004</v>
      </c>
      <c r="E494" s="81">
        <f>8.7891 * CHOOSE(CONTROL!$C$32, $C$9, 100%, $E$9)</f>
        <v>8.7890999999999995</v>
      </c>
      <c r="F494" s="81">
        <f>8.7891 * CHOOSE(CONTROL!$C$32, $C$9, 100%, $E$9)</f>
        <v>8.7890999999999995</v>
      </c>
      <c r="G494" s="81">
        <f>8.7934 * CHOOSE(CONTROL!$C$32, $C$9, 100%, $E$9)</f>
        <v>8.7934000000000001</v>
      </c>
      <c r="H494" s="81">
        <f>15.7961 * CHOOSE(CONTROL!$C$32, $C$9, 100%, $E$9)</f>
        <v>15.796099999999999</v>
      </c>
      <c r="I494" s="81">
        <f>15.8004 * CHOOSE(CONTROL!$C$32, $C$9, 100%, $E$9)</f>
        <v>15.8004</v>
      </c>
      <c r="J494" s="81">
        <f>15.7961 * CHOOSE(CONTROL!$C$32, $C$9, 100%, $E$9)</f>
        <v>15.796099999999999</v>
      </c>
      <c r="K494" s="81">
        <f>15.8004 * CHOOSE(CONTROL!$C$32, $C$9, 100%, $E$9)</f>
        <v>15.8004</v>
      </c>
      <c r="L494" s="81">
        <f>8.7891 * CHOOSE(CONTROL!$C$32, $C$9, 100%, $E$9)</f>
        <v>8.7890999999999995</v>
      </c>
      <c r="M494" s="81">
        <f>8.7934 * CHOOSE(CONTROL!$C$32, $C$9, 100%, $E$9)</f>
        <v>8.7934000000000001</v>
      </c>
      <c r="N494" s="81">
        <f>8.7891 * CHOOSE(CONTROL!$C$32, $C$9, 100%, $E$9)</f>
        <v>8.7890999999999995</v>
      </c>
      <c r="O494" s="81">
        <f>8.7934 * CHOOSE(CONTROL!$C$32, $C$9, 100%, $E$9)</f>
        <v>8.7934000000000001</v>
      </c>
    </row>
    <row r="495" spans="1:15" ht="15">
      <c r="A495" s="16">
        <v>56281</v>
      </c>
      <c r="B495" s="80">
        <f>7.4071 * CHOOSE(CONTROL!$C$32, $C$9, 100%, $E$9)</f>
        <v>7.4070999999999998</v>
      </c>
      <c r="C495" s="80">
        <f>7.4071 * CHOOSE(CONTROL!$C$32, $C$9, 100%, $E$9)</f>
        <v>7.4070999999999998</v>
      </c>
      <c r="D495" s="80">
        <f>7.4106 * CHOOSE(CONTROL!$C$32, $C$9, 100%, $E$9)</f>
        <v>7.4105999999999996</v>
      </c>
      <c r="E495" s="81">
        <f>8.642 * CHOOSE(CONTROL!$C$32, $C$9, 100%, $E$9)</f>
        <v>8.6419999999999995</v>
      </c>
      <c r="F495" s="81">
        <f>8.642 * CHOOSE(CONTROL!$C$32, $C$9, 100%, $E$9)</f>
        <v>8.6419999999999995</v>
      </c>
      <c r="G495" s="81">
        <f>8.6464 * CHOOSE(CONTROL!$C$32, $C$9, 100%, $E$9)</f>
        <v>8.6463999999999999</v>
      </c>
      <c r="H495" s="81">
        <f>15.829 * CHOOSE(CONTROL!$C$32, $C$9, 100%, $E$9)</f>
        <v>15.829000000000001</v>
      </c>
      <c r="I495" s="81">
        <f>15.8333 * CHOOSE(CONTROL!$C$32, $C$9, 100%, $E$9)</f>
        <v>15.833299999999999</v>
      </c>
      <c r="J495" s="81">
        <f>15.829 * CHOOSE(CONTROL!$C$32, $C$9, 100%, $E$9)</f>
        <v>15.829000000000001</v>
      </c>
      <c r="K495" s="81">
        <f>15.8333 * CHOOSE(CONTROL!$C$32, $C$9, 100%, $E$9)</f>
        <v>15.833299999999999</v>
      </c>
      <c r="L495" s="81">
        <f>8.642 * CHOOSE(CONTROL!$C$32, $C$9, 100%, $E$9)</f>
        <v>8.6419999999999995</v>
      </c>
      <c r="M495" s="81">
        <f>8.6464 * CHOOSE(CONTROL!$C$32, $C$9, 100%, $E$9)</f>
        <v>8.6463999999999999</v>
      </c>
      <c r="N495" s="81">
        <f>8.642 * CHOOSE(CONTROL!$C$32, $C$9, 100%, $E$9)</f>
        <v>8.6419999999999995</v>
      </c>
      <c r="O495" s="81">
        <f>8.6464 * CHOOSE(CONTROL!$C$32, $C$9, 100%, $E$9)</f>
        <v>8.6463999999999999</v>
      </c>
    </row>
    <row r="496" spans="1:15" ht="15">
      <c r="A496" s="16">
        <v>56309</v>
      </c>
      <c r="B496" s="80">
        <f>7.4041 * CHOOSE(CONTROL!$C$32, $C$9, 100%, $E$9)</f>
        <v>7.4040999999999997</v>
      </c>
      <c r="C496" s="80">
        <f>7.4041 * CHOOSE(CONTROL!$C$32, $C$9, 100%, $E$9)</f>
        <v>7.4040999999999997</v>
      </c>
      <c r="D496" s="80">
        <f>7.4076 * CHOOSE(CONTROL!$C$32, $C$9, 100%, $E$9)</f>
        <v>7.4076000000000004</v>
      </c>
      <c r="E496" s="81">
        <f>8.7542 * CHOOSE(CONTROL!$C$32, $C$9, 100%, $E$9)</f>
        <v>8.7542000000000009</v>
      </c>
      <c r="F496" s="81">
        <f>8.7542 * CHOOSE(CONTROL!$C$32, $C$9, 100%, $E$9)</f>
        <v>8.7542000000000009</v>
      </c>
      <c r="G496" s="81">
        <f>8.7585 * CHOOSE(CONTROL!$C$32, $C$9, 100%, $E$9)</f>
        <v>8.7584999999999997</v>
      </c>
      <c r="H496" s="81">
        <f>15.8619 * CHOOSE(CONTROL!$C$32, $C$9, 100%, $E$9)</f>
        <v>15.8619</v>
      </c>
      <c r="I496" s="81">
        <f>15.8663 * CHOOSE(CONTROL!$C$32, $C$9, 100%, $E$9)</f>
        <v>15.866300000000001</v>
      </c>
      <c r="J496" s="81">
        <f>15.8619 * CHOOSE(CONTROL!$C$32, $C$9, 100%, $E$9)</f>
        <v>15.8619</v>
      </c>
      <c r="K496" s="81">
        <f>15.8663 * CHOOSE(CONTROL!$C$32, $C$9, 100%, $E$9)</f>
        <v>15.866300000000001</v>
      </c>
      <c r="L496" s="81">
        <f>8.7542 * CHOOSE(CONTROL!$C$32, $C$9, 100%, $E$9)</f>
        <v>8.7542000000000009</v>
      </c>
      <c r="M496" s="81">
        <f>8.7585 * CHOOSE(CONTROL!$C$32, $C$9, 100%, $E$9)</f>
        <v>8.7584999999999997</v>
      </c>
      <c r="N496" s="81">
        <f>8.7542 * CHOOSE(CONTROL!$C$32, $C$9, 100%, $E$9)</f>
        <v>8.7542000000000009</v>
      </c>
      <c r="O496" s="81">
        <f>8.7585 * CHOOSE(CONTROL!$C$32, $C$9, 100%, $E$9)</f>
        <v>8.7584999999999997</v>
      </c>
    </row>
    <row r="497" spans="1:15" ht="15">
      <c r="A497" s="16">
        <v>56340</v>
      </c>
      <c r="B497" s="80">
        <f>7.4046 * CHOOSE(CONTROL!$C$32, $C$9, 100%, $E$9)</f>
        <v>7.4046000000000003</v>
      </c>
      <c r="C497" s="80">
        <f>7.4046 * CHOOSE(CONTROL!$C$32, $C$9, 100%, $E$9)</f>
        <v>7.4046000000000003</v>
      </c>
      <c r="D497" s="80">
        <f>7.4082 * CHOOSE(CONTROL!$C$32, $C$9, 100%, $E$9)</f>
        <v>7.4081999999999999</v>
      </c>
      <c r="E497" s="81">
        <f>8.8727 * CHOOSE(CONTROL!$C$32, $C$9, 100%, $E$9)</f>
        <v>8.8727</v>
      </c>
      <c r="F497" s="81">
        <f>8.8727 * CHOOSE(CONTROL!$C$32, $C$9, 100%, $E$9)</f>
        <v>8.8727</v>
      </c>
      <c r="G497" s="81">
        <f>8.877 * CHOOSE(CONTROL!$C$32, $C$9, 100%, $E$9)</f>
        <v>8.8770000000000007</v>
      </c>
      <c r="H497" s="81">
        <f>15.895 * CHOOSE(CONTROL!$C$32, $C$9, 100%, $E$9)</f>
        <v>15.895</v>
      </c>
      <c r="I497" s="81">
        <f>15.8994 * CHOOSE(CONTROL!$C$32, $C$9, 100%, $E$9)</f>
        <v>15.8994</v>
      </c>
      <c r="J497" s="81">
        <f>15.895 * CHOOSE(CONTROL!$C$32, $C$9, 100%, $E$9)</f>
        <v>15.895</v>
      </c>
      <c r="K497" s="81">
        <f>15.8994 * CHOOSE(CONTROL!$C$32, $C$9, 100%, $E$9)</f>
        <v>15.8994</v>
      </c>
      <c r="L497" s="81">
        <f>8.8727 * CHOOSE(CONTROL!$C$32, $C$9, 100%, $E$9)</f>
        <v>8.8727</v>
      </c>
      <c r="M497" s="81">
        <f>8.877 * CHOOSE(CONTROL!$C$32, $C$9, 100%, $E$9)</f>
        <v>8.8770000000000007</v>
      </c>
      <c r="N497" s="81">
        <f>8.8727 * CHOOSE(CONTROL!$C$32, $C$9, 100%, $E$9)</f>
        <v>8.8727</v>
      </c>
      <c r="O497" s="81">
        <f>8.877 * CHOOSE(CONTROL!$C$32, $C$9, 100%, $E$9)</f>
        <v>8.8770000000000007</v>
      </c>
    </row>
    <row r="498" spans="1:15" ht="15">
      <c r="A498" s="16">
        <v>56370</v>
      </c>
      <c r="B498" s="80">
        <f>7.4046 * CHOOSE(CONTROL!$C$32, $C$9, 100%, $E$9)</f>
        <v>7.4046000000000003</v>
      </c>
      <c r="C498" s="80">
        <f>7.4046 * CHOOSE(CONTROL!$C$32, $C$9, 100%, $E$9)</f>
        <v>7.4046000000000003</v>
      </c>
      <c r="D498" s="80">
        <f>7.4098 * CHOOSE(CONTROL!$C$32, $C$9, 100%, $E$9)</f>
        <v>7.4097999999999997</v>
      </c>
      <c r="E498" s="81">
        <f>8.9187 * CHOOSE(CONTROL!$C$32, $C$9, 100%, $E$9)</f>
        <v>8.9186999999999994</v>
      </c>
      <c r="F498" s="81">
        <f>8.9187 * CHOOSE(CONTROL!$C$32, $C$9, 100%, $E$9)</f>
        <v>8.9186999999999994</v>
      </c>
      <c r="G498" s="81">
        <f>8.925 * CHOOSE(CONTROL!$C$32, $C$9, 100%, $E$9)</f>
        <v>8.9250000000000007</v>
      </c>
      <c r="H498" s="81">
        <f>15.9281 * CHOOSE(CONTROL!$C$32, $C$9, 100%, $E$9)</f>
        <v>15.928100000000001</v>
      </c>
      <c r="I498" s="81">
        <f>15.9344 * CHOOSE(CONTROL!$C$32, $C$9, 100%, $E$9)</f>
        <v>15.9344</v>
      </c>
      <c r="J498" s="81">
        <f>15.9281 * CHOOSE(CONTROL!$C$32, $C$9, 100%, $E$9)</f>
        <v>15.928100000000001</v>
      </c>
      <c r="K498" s="81">
        <f>15.9344 * CHOOSE(CONTROL!$C$32, $C$9, 100%, $E$9)</f>
        <v>15.9344</v>
      </c>
      <c r="L498" s="81">
        <f>8.9187 * CHOOSE(CONTROL!$C$32, $C$9, 100%, $E$9)</f>
        <v>8.9186999999999994</v>
      </c>
      <c r="M498" s="81">
        <f>8.925 * CHOOSE(CONTROL!$C$32, $C$9, 100%, $E$9)</f>
        <v>8.9250000000000007</v>
      </c>
      <c r="N498" s="81">
        <f>8.9187 * CHOOSE(CONTROL!$C$32, $C$9, 100%, $E$9)</f>
        <v>8.9186999999999994</v>
      </c>
      <c r="O498" s="81">
        <f>8.925 * CHOOSE(CONTROL!$C$32, $C$9, 100%, $E$9)</f>
        <v>8.9250000000000007</v>
      </c>
    </row>
    <row r="499" spans="1:15" ht="15">
      <c r="A499" s="16">
        <v>56401</v>
      </c>
      <c r="B499" s="80">
        <f>7.4107 * CHOOSE(CONTROL!$C$32, $C$9, 100%, $E$9)</f>
        <v>7.4107000000000003</v>
      </c>
      <c r="C499" s="80">
        <f>7.4107 * CHOOSE(CONTROL!$C$32, $C$9, 100%, $E$9)</f>
        <v>7.4107000000000003</v>
      </c>
      <c r="D499" s="80">
        <f>7.4159 * CHOOSE(CONTROL!$C$32, $C$9, 100%, $E$9)</f>
        <v>7.4158999999999997</v>
      </c>
      <c r="E499" s="81">
        <f>8.8769 * CHOOSE(CONTROL!$C$32, $C$9, 100%, $E$9)</f>
        <v>8.8768999999999991</v>
      </c>
      <c r="F499" s="81">
        <f>8.8769 * CHOOSE(CONTROL!$C$32, $C$9, 100%, $E$9)</f>
        <v>8.8768999999999991</v>
      </c>
      <c r="G499" s="81">
        <f>8.8832 * CHOOSE(CONTROL!$C$32, $C$9, 100%, $E$9)</f>
        <v>8.8832000000000004</v>
      </c>
      <c r="H499" s="81">
        <f>15.9613 * CHOOSE(CONTROL!$C$32, $C$9, 100%, $E$9)</f>
        <v>15.9613</v>
      </c>
      <c r="I499" s="81">
        <f>15.9676 * CHOOSE(CONTROL!$C$32, $C$9, 100%, $E$9)</f>
        <v>15.967599999999999</v>
      </c>
      <c r="J499" s="81">
        <f>15.9613 * CHOOSE(CONTROL!$C$32, $C$9, 100%, $E$9)</f>
        <v>15.9613</v>
      </c>
      <c r="K499" s="81">
        <f>15.9676 * CHOOSE(CONTROL!$C$32, $C$9, 100%, $E$9)</f>
        <v>15.967599999999999</v>
      </c>
      <c r="L499" s="81">
        <f>8.8769 * CHOOSE(CONTROL!$C$32, $C$9, 100%, $E$9)</f>
        <v>8.8768999999999991</v>
      </c>
      <c r="M499" s="81">
        <f>8.8832 * CHOOSE(CONTROL!$C$32, $C$9, 100%, $E$9)</f>
        <v>8.8832000000000004</v>
      </c>
      <c r="N499" s="81">
        <f>8.8769 * CHOOSE(CONTROL!$C$32, $C$9, 100%, $E$9)</f>
        <v>8.8768999999999991</v>
      </c>
      <c r="O499" s="81">
        <f>8.8832 * CHOOSE(CONTROL!$C$32, $C$9, 100%, $E$9)</f>
        <v>8.8832000000000004</v>
      </c>
    </row>
    <row r="500" spans="1:15" ht="15">
      <c r="A500" s="16">
        <v>56431</v>
      </c>
      <c r="B500" s="80">
        <f>7.5277 * CHOOSE(CONTROL!$C$32, $C$9, 100%, $E$9)</f>
        <v>7.5277000000000003</v>
      </c>
      <c r="C500" s="80">
        <f>7.5277 * CHOOSE(CONTROL!$C$32, $C$9, 100%, $E$9)</f>
        <v>7.5277000000000003</v>
      </c>
      <c r="D500" s="80">
        <f>7.5329 * CHOOSE(CONTROL!$C$32, $C$9, 100%, $E$9)</f>
        <v>7.5328999999999997</v>
      </c>
      <c r="E500" s="81">
        <f>9.0233 * CHOOSE(CONTROL!$C$32, $C$9, 100%, $E$9)</f>
        <v>9.0233000000000008</v>
      </c>
      <c r="F500" s="81">
        <f>9.0233 * CHOOSE(CONTROL!$C$32, $C$9, 100%, $E$9)</f>
        <v>9.0233000000000008</v>
      </c>
      <c r="G500" s="81">
        <f>9.0296 * CHOOSE(CONTROL!$C$32, $C$9, 100%, $E$9)</f>
        <v>9.0296000000000003</v>
      </c>
      <c r="H500" s="81">
        <f>15.9945 * CHOOSE(CONTROL!$C$32, $C$9, 100%, $E$9)</f>
        <v>15.9945</v>
      </c>
      <c r="I500" s="81">
        <f>16.0009 * CHOOSE(CONTROL!$C$32, $C$9, 100%, $E$9)</f>
        <v>16.000900000000001</v>
      </c>
      <c r="J500" s="81">
        <f>15.9945 * CHOOSE(CONTROL!$C$32, $C$9, 100%, $E$9)</f>
        <v>15.9945</v>
      </c>
      <c r="K500" s="81">
        <f>16.0009 * CHOOSE(CONTROL!$C$32, $C$9, 100%, $E$9)</f>
        <v>16.000900000000001</v>
      </c>
      <c r="L500" s="81">
        <f>9.0233 * CHOOSE(CONTROL!$C$32, $C$9, 100%, $E$9)</f>
        <v>9.0233000000000008</v>
      </c>
      <c r="M500" s="81">
        <f>9.0296 * CHOOSE(CONTROL!$C$32, $C$9, 100%, $E$9)</f>
        <v>9.0296000000000003</v>
      </c>
      <c r="N500" s="81">
        <f>9.0233 * CHOOSE(CONTROL!$C$32, $C$9, 100%, $E$9)</f>
        <v>9.0233000000000008</v>
      </c>
      <c r="O500" s="81">
        <f>9.0296 * CHOOSE(CONTROL!$C$32, $C$9, 100%, $E$9)</f>
        <v>9.0296000000000003</v>
      </c>
    </row>
    <row r="501" spans="1:15" ht="15">
      <c r="A501" s="16">
        <v>56462</v>
      </c>
      <c r="B501" s="80">
        <f>7.5344 * CHOOSE(CONTROL!$C$32, $C$9, 100%, $E$9)</f>
        <v>7.5343999999999998</v>
      </c>
      <c r="C501" s="80">
        <f>7.5344 * CHOOSE(CONTROL!$C$32, $C$9, 100%, $E$9)</f>
        <v>7.5343999999999998</v>
      </c>
      <c r="D501" s="80">
        <f>7.5396 * CHOOSE(CONTROL!$C$32, $C$9, 100%, $E$9)</f>
        <v>7.5396000000000001</v>
      </c>
      <c r="E501" s="81">
        <f>8.8899 * CHOOSE(CONTROL!$C$32, $C$9, 100%, $E$9)</f>
        <v>8.8899000000000008</v>
      </c>
      <c r="F501" s="81">
        <f>8.8899 * CHOOSE(CONTROL!$C$32, $C$9, 100%, $E$9)</f>
        <v>8.8899000000000008</v>
      </c>
      <c r="G501" s="81">
        <f>8.8962 * CHOOSE(CONTROL!$C$32, $C$9, 100%, $E$9)</f>
        <v>8.8962000000000003</v>
      </c>
      <c r="H501" s="81">
        <f>16.0279 * CHOOSE(CONTROL!$C$32, $C$9, 100%, $E$9)</f>
        <v>16.027899999999999</v>
      </c>
      <c r="I501" s="81">
        <f>16.0342 * CHOOSE(CONTROL!$C$32, $C$9, 100%, $E$9)</f>
        <v>16.034199999999998</v>
      </c>
      <c r="J501" s="81">
        <f>16.0279 * CHOOSE(CONTROL!$C$32, $C$9, 100%, $E$9)</f>
        <v>16.027899999999999</v>
      </c>
      <c r="K501" s="81">
        <f>16.0342 * CHOOSE(CONTROL!$C$32, $C$9, 100%, $E$9)</f>
        <v>16.034199999999998</v>
      </c>
      <c r="L501" s="81">
        <f>8.8899 * CHOOSE(CONTROL!$C$32, $C$9, 100%, $E$9)</f>
        <v>8.8899000000000008</v>
      </c>
      <c r="M501" s="81">
        <f>8.8962 * CHOOSE(CONTROL!$C$32, $C$9, 100%, $E$9)</f>
        <v>8.8962000000000003</v>
      </c>
      <c r="N501" s="81">
        <f>8.8899 * CHOOSE(CONTROL!$C$32, $C$9, 100%, $E$9)</f>
        <v>8.8899000000000008</v>
      </c>
      <c r="O501" s="81">
        <f>8.8962 * CHOOSE(CONTROL!$C$32, $C$9, 100%, $E$9)</f>
        <v>8.8962000000000003</v>
      </c>
    </row>
    <row r="502" spans="1:15" ht="15">
      <c r="A502" s="16">
        <v>56493</v>
      </c>
      <c r="B502" s="80">
        <f>7.5314 * CHOOSE(CONTROL!$C$32, $C$9, 100%, $E$9)</f>
        <v>7.5313999999999997</v>
      </c>
      <c r="C502" s="80">
        <f>7.5314 * CHOOSE(CONTROL!$C$32, $C$9, 100%, $E$9)</f>
        <v>7.5313999999999997</v>
      </c>
      <c r="D502" s="80">
        <f>7.5366 * CHOOSE(CONTROL!$C$32, $C$9, 100%, $E$9)</f>
        <v>7.5366</v>
      </c>
      <c r="E502" s="81">
        <f>8.8725 * CHOOSE(CONTROL!$C$32, $C$9, 100%, $E$9)</f>
        <v>8.8725000000000005</v>
      </c>
      <c r="F502" s="81">
        <f>8.8725 * CHOOSE(CONTROL!$C$32, $C$9, 100%, $E$9)</f>
        <v>8.8725000000000005</v>
      </c>
      <c r="G502" s="81">
        <f>8.8788 * CHOOSE(CONTROL!$C$32, $C$9, 100%, $E$9)</f>
        <v>8.8788</v>
      </c>
      <c r="H502" s="81">
        <f>16.0613 * CHOOSE(CONTROL!$C$32, $C$9, 100%, $E$9)</f>
        <v>16.061299999999999</v>
      </c>
      <c r="I502" s="81">
        <f>16.0676 * CHOOSE(CONTROL!$C$32, $C$9, 100%, $E$9)</f>
        <v>16.067599999999999</v>
      </c>
      <c r="J502" s="81">
        <f>16.0613 * CHOOSE(CONTROL!$C$32, $C$9, 100%, $E$9)</f>
        <v>16.061299999999999</v>
      </c>
      <c r="K502" s="81">
        <f>16.0676 * CHOOSE(CONTROL!$C$32, $C$9, 100%, $E$9)</f>
        <v>16.067599999999999</v>
      </c>
      <c r="L502" s="81">
        <f>8.8725 * CHOOSE(CONTROL!$C$32, $C$9, 100%, $E$9)</f>
        <v>8.8725000000000005</v>
      </c>
      <c r="M502" s="81">
        <f>8.8788 * CHOOSE(CONTROL!$C$32, $C$9, 100%, $E$9)</f>
        <v>8.8788</v>
      </c>
      <c r="N502" s="81">
        <f>8.8725 * CHOOSE(CONTROL!$C$32, $C$9, 100%, $E$9)</f>
        <v>8.8725000000000005</v>
      </c>
      <c r="O502" s="81">
        <f>8.8788 * CHOOSE(CONTROL!$C$32, $C$9, 100%, $E$9)</f>
        <v>8.8788</v>
      </c>
    </row>
    <row r="503" spans="1:15" ht="15">
      <c r="A503" s="16">
        <v>56523</v>
      </c>
      <c r="B503" s="80">
        <f>7.5381 * CHOOSE(CONTROL!$C$32, $C$9, 100%, $E$9)</f>
        <v>7.5381</v>
      </c>
      <c r="C503" s="80">
        <f>7.5381 * CHOOSE(CONTROL!$C$32, $C$9, 100%, $E$9)</f>
        <v>7.5381</v>
      </c>
      <c r="D503" s="80">
        <f>7.5416 * CHOOSE(CONTROL!$C$32, $C$9, 100%, $E$9)</f>
        <v>7.5415999999999999</v>
      </c>
      <c r="E503" s="81">
        <f>8.9204 * CHOOSE(CONTROL!$C$32, $C$9, 100%, $E$9)</f>
        <v>8.9204000000000008</v>
      </c>
      <c r="F503" s="81">
        <f>8.9204 * CHOOSE(CONTROL!$C$32, $C$9, 100%, $E$9)</f>
        <v>8.9204000000000008</v>
      </c>
      <c r="G503" s="81">
        <f>8.9248 * CHOOSE(CONTROL!$C$32, $C$9, 100%, $E$9)</f>
        <v>8.9247999999999994</v>
      </c>
      <c r="H503" s="81">
        <f>16.0947 * CHOOSE(CONTROL!$C$32, $C$9, 100%, $E$9)</f>
        <v>16.0947</v>
      </c>
      <c r="I503" s="81">
        <f>16.0991 * CHOOSE(CONTROL!$C$32, $C$9, 100%, $E$9)</f>
        <v>16.0991</v>
      </c>
      <c r="J503" s="81">
        <f>16.0947 * CHOOSE(CONTROL!$C$32, $C$9, 100%, $E$9)</f>
        <v>16.0947</v>
      </c>
      <c r="K503" s="81">
        <f>16.0991 * CHOOSE(CONTROL!$C$32, $C$9, 100%, $E$9)</f>
        <v>16.0991</v>
      </c>
      <c r="L503" s="81">
        <f>8.9204 * CHOOSE(CONTROL!$C$32, $C$9, 100%, $E$9)</f>
        <v>8.9204000000000008</v>
      </c>
      <c r="M503" s="81">
        <f>8.9248 * CHOOSE(CONTROL!$C$32, $C$9, 100%, $E$9)</f>
        <v>8.9247999999999994</v>
      </c>
      <c r="N503" s="81">
        <f>8.9204 * CHOOSE(CONTROL!$C$32, $C$9, 100%, $E$9)</f>
        <v>8.9204000000000008</v>
      </c>
      <c r="O503" s="81">
        <f>8.9248 * CHOOSE(CONTROL!$C$32, $C$9, 100%, $E$9)</f>
        <v>8.9247999999999994</v>
      </c>
    </row>
    <row r="504" spans="1:15" ht="15">
      <c r="A504" s="16">
        <v>56554</v>
      </c>
      <c r="B504" s="80">
        <f>7.5411 * CHOOSE(CONTROL!$C$32, $C$9, 100%, $E$9)</f>
        <v>7.5411000000000001</v>
      </c>
      <c r="C504" s="80">
        <f>7.5411 * CHOOSE(CONTROL!$C$32, $C$9, 100%, $E$9)</f>
        <v>7.5411000000000001</v>
      </c>
      <c r="D504" s="80">
        <f>7.5446 * CHOOSE(CONTROL!$C$32, $C$9, 100%, $E$9)</f>
        <v>7.5446</v>
      </c>
      <c r="E504" s="81">
        <f>8.9532 * CHOOSE(CONTROL!$C$32, $C$9, 100%, $E$9)</f>
        <v>8.9532000000000007</v>
      </c>
      <c r="F504" s="81">
        <f>8.9532 * CHOOSE(CONTROL!$C$32, $C$9, 100%, $E$9)</f>
        <v>8.9532000000000007</v>
      </c>
      <c r="G504" s="81">
        <f>8.9576 * CHOOSE(CONTROL!$C$32, $C$9, 100%, $E$9)</f>
        <v>8.9575999999999993</v>
      </c>
      <c r="H504" s="81">
        <f>16.1282 * CHOOSE(CONTROL!$C$32, $C$9, 100%, $E$9)</f>
        <v>16.1282</v>
      </c>
      <c r="I504" s="81">
        <f>16.1326 * CHOOSE(CONTROL!$C$32, $C$9, 100%, $E$9)</f>
        <v>16.1326</v>
      </c>
      <c r="J504" s="81">
        <f>16.1282 * CHOOSE(CONTROL!$C$32, $C$9, 100%, $E$9)</f>
        <v>16.1282</v>
      </c>
      <c r="K504" s="81">
        <f>16.1326 * CHOOSE(CONTROL!$C$32, $C$9, 100%, $E$9)</f>
        <v>16.1326</v>
      </c>
      <c r="L504" s="81">
        <f>8.9532 * CHOOSE(CONTROL!$C$32, $C$9, 100%, $E$9)</f>
        <v>8.9532000000000007</v>
      </c>
      <c r="M504" s="81">
        <f>8.9576 * CHOOSE(CONTROL!$C$32, $C$9, 100%, $E$9)</f>
        <v>8.9575999999999993</v>
      </c>
      <c r="N504" s="81">
        <f>8.9532 * CHOOSE(CONTROL!$C$32, $C$9, 100%, $E$9)</f>
        <v>8.9532000000000007</v>
      </c>
      <c r="O504" s="81">
        <f>8.9576 * CHOOSE(CONTROL!$C$32, $C$9, 100%, $E$9)</f>
        <v>8.9575999999999993</v>
      </c>
    </row>
    <row r="505" spans="1:15" ht="15">
      <c r="A505" s="16">
        <v>56584</v>
      </c>
      <c r="B505" s="80">
        <f>7.5411 * CHOOSE(CONTROL!$C$32, $C$9, 100%, $E$9)</f>
        <v>7.5411000000000001</v>
      </c>
      <c r="C505" s="80">
        <f>7.5411 * CHOOSE(CONTROL!$C$32, $C$9, 100%, $E$9)</f>
        <v>7.5411000000000001</v>
      </c>
      <c r="D505" s="80">
        <f>7.5446 * CHOOSE(CONTROL!$C$32, $C$9, 100%, $E$9)</f>
        <v>7.5446</v>
      </c>
      <c r="E505" s="81">
        <f>8.8765 * CHOOSE(CONTROL!$C$32, $C$9, 100%, $E$9)</f>
        <v>8.8765000000000001</v>
      </c>
      <c r="F505" s="81">
        <f>8.8765 * CHOOSE(CONTROL!$C$32, $C$9, 100%, $E$9)</f>
        <v>8.8765000000000001</v>
      </c>
      <c r="G505" s="81">
        <f>8.8809 * CHOOSE(CONTROL!$C$32, $C$9, 100%, $E$9)</f>
        <v>8.8809000000000005</v>
      </c>
      <c r="H505" s="81">
        <f>16.1618 * CHOOSE(CONTROL!$C$32, $C$9, 100%, $E$9)</f>
        <v>16.161799999999999</v>
      </c>
      <c r="I505" s="81">
        <f>16.1662 * CHOOSE(CONTROL!$C$32, $C$9, 100%, $E$9)</f>
        <v>16.1662</v>
      </c>
      <c r="J505" s="81">
        <f>16.1618 * CHOOSE(CONTROL!$C$32, $C$9, 100%, $E$9)</f>
        <v>16.161799999999999</v>
      </c>
      <c r="K505" s="81">
        <f>16.1662 * CHOOSE(CONTROL!$C$32, $C$9, 100%, $E$9)</f>
        <v>16.1662</v>
      </c>
      <c r="L505" s="81">
        <f>8.8765 * CHOOSE(CONTROL!$C$32, $C$9, 100%, $E$9)</f>
        <v>8.8765000000000001</v>
      </c>
      <c r="M505" s="81">
        <f>8.8809 * CHOOSE(CONTROL!$C$32, $C$9, 100%, $E$9)</f>
        <v>8.8809000000000005</v>
      </c>
      <c r="N505" s="81">
        <f>8.8765 * CHOOSE(CONTROL!$C$32, $C$9, 100%, $E$9)</f>
        <v>8.8765000000000001</v>
      </c>
      <c r="O505" s="81">
        <f>8.8809 * CHOOSE(CONTROL!$C$32, $C$9, 100%, $E$9)</f>
        <v>8.8809000000000005</v>
      </c>
    </row>
    <row r="506" spans="1:15" ht="15">
      <c r="A506" s="16">
        <v>56615</v>
      </c>
      <c r="B506" s="80">
        <f>7.606 * CHOOSE(CONTROL!$C$32, $C$9, 100%, $E$9)</f>
        <v>7.6059999999999999</v>
      </c>
      <c r="C506" s="80">
        <f>7.606 * CHOOSE(CONTROL!$C$32, $C$9, 100%, $E$9)</f>
        <v>7.6059999999999999</v>
      </c>
      <c r="D506" s="80">
        <f>7.6096 * CHOOSE(CONTROL!$C$32, $C$9, 100%, $E$9)</f>
        <v>7.6096000000000004</v>
      </c>
      <c r="E506" s="81">
        <f>9.004 * CHOOSE(CONTROL!$C$32, $C$9, 100%, $E$9)</f>
        <v>9.0039999999999996</v>
      </c>
      <c r="F506" s="81">
        <f>9.004 * CHOOSE(CONTROL!$C$32, $C$9, 100%, $E$9)</f>
        <v>9.0039999999999996</v>
      </c>
      <c r="G506" s="81">
        <f>9.0084 * CHOOSE(CONTROL!$C$32, $C$9, 100%, $E$9)</f>
        <v>9.0084</v>
      </c>
      <c r="H506" s="81">
        <f>16.1955 * CHOOSE(CONTROL!$C$32, $C$9, 100%, $E$9)</f>
        <v>16.195499999999999</v>
      </c>
      <c r="I506" s="81">
        <f>16.1999 * CHOOSE(CONTROL!$C$32, $C$9, 100%, $E$9)</f>
        <v>16.1999</v>
      </c>
      <c r="J506" s="81">
        <f>16.1955 * CHOOSE(CONTROL!$C$32, $C$9, 100%, $E$9)</f>
        <v>16.195499999999999</v>
      </c>
      <c r="K506" s="81">
        <f>16.1999 * CHOOSE(CONTROL!$C$32, $C$9, 100%, $E$9)</f>
        <v>16.1999</v>
      </c>
      <c r="L506" s="81">
        <f>9.004 * CHOOSE(CONTROL!$C$32, $C$9, 100%, $E$9)</f>
        <v>9.0039999999999996</v>
      </c>
      <c r="M506" s="81">
        <f>9.0084 * CHOOSE(CONTROL!$C$32, $C$9, 100%, $E$9)</f>
        <v>9.0084</v>
      </c>
      <c r="N506" s="81">
        <f>9.004 * CHOOSE(CONTROL!$C$32, $C$9, 100%, $E$9)</f>
        <v>9.0039999999999996</v>
      </c>
      <c r="O506" s="81">
        <f>9.0084 * CHOOSE(CONTROL!$C$32, $C$9, 100%, $E$9)</f>
        <v>9.0084</v>
      </c>
    </row>
    <row r="507" spans="1:15" ht="15">
      <c r="A507" s="16">
        <v>56646</v>
      </c>
      <c r="B507" s="80">
        <f>7.603 * CHOOSE(CONTROL!$C$32, $C$9, 100%, $E$9)</f>
        <v>7.6029999999999998</v>
      </c>
      <c r="C507" s="80">
        <f>7.603 * CHOOSE(CONTROL!$C$32, $C$9, 100%, $E$9)</f>
        <v>7.6029999999999998</v>
      </c>
      <c r="D507" s="80">
        <f>7.6065 * CHOOSE(CONTROL!$C$32, $C$9, 100%, $E$9)</f>
        <v>7.6064999999999996</v>
      </c>
      <c r="E507" s="81">
        <f>8.8528 * CHOOSE(CONTROL!$C$32, $C$9, 100%, $E$9)</f>
        <v>8.8528000000000002</v>
      </c>
      <c r="F507" s="81">
        <f>8.8528 * CHOOSE(CONTROL!$C$32, $C$9, 100%, $E$9)</f>
        <v>8.8528000000000002</v>
      </c>
      <c r="G507" s="81">
        <f>8.8572 * CHOOSE(CONTROL!$C$32, $C$9, 100%, $E$9)</f>
        <v>8.8572000000000006</v>
      </c>
      <c r="H507" s="81">
        <f>16.2293 * CHOOSE(CONTROL!$C$32, $C$9, 100%, $E$9)</f>
        <v>16.229299999999999</v>
      </c>
      <c r="I507" s="81">
        <f>16.2336 * CHOOSE(CONTROL!$C$32, $C$9, 100%, $E$9)</f>
        <v>16.233599999999999</v>
      </c>
      <c r="J507" s="81">
        <f>16.2293 * CHOOSE(CONTROL!$C$32, $C$9, 100%, $E$9)</f>
        <v>16.229299999999999</v>
      </c>
      <c r="K507" s="81">
        <f>16.2336 * CHOOSE(CONTROL!$C$32, $C$9, 100%, $E$9)</f>
        <v>16.233599999999999</v>
      </c>
      <c r="L507" s="81">
        <f>8.8528 * CHOOSE(CONTROL!$C$32, $C$9, 100%, $E$9)</f>
        <v>8.8528000000000002</v>
      </c>
      <c r="M507" s="81">
        <f>8.8572 * CHOOSE(CONTROL!$C$32, $C$9, 100%, $E$9)</f>
        <v>8.8572000000000006</v>
      </c>
      <c r="N507" s="81">
        <f>8.8528 * CHOOSE(CONTROL!$C$32, $C$9, 100%, $E$9)</f>
        <v>8.8528000000000002</v>
      </c>
      <c r="O507" s="81">
        <f>8.8572 * CHOOSE(CONTROL!$C$32, $C$9, 100%, $E$9)</f>
        <v>8.8572000000000006</v>
      </c>
    </row>
    <row r="508" spans="1:15" ht="15">
      <c r="A508" s="16">
        <v>56674</v>
      </c>
      <c r="B508" s="80">
        <f>7.6 * CHOOSE(CONTROL!$C$32, $C$9, 100%, $E$9)</f>
        <v>7.6</v>
      </c>
      <c r="C508" s="80">
        <f>7.6 * CHOOSE(CONTROL!$C$32, $C$9, 100%, $E$9)</f>
        <v>7.6</v>
      </c>
      <c r="D508" s="80">
        <f>7.6035 * CHOOSE(CONTROL!$C$32, $C$9, 100%, $E$9)</f>
        <v>7.6035000000000004</v>
      </c>
      <c r="E508" s="81">
        <f>8.9682 * CHOOSE(CONTROL!$C$32, $C$9, 100%, $E$9)</f>
        <v>8.9681999999999995</v>
      </c>
      <c r="F508" s="81">
        <f>8.9682 * CHOOSE(CONTROL!$C$32, $C$9, 100%, $E$9)</f>
        <v>8.9681999999999995</v>
      </c>
      <c r="G508" s="81">
        <f>8.9726 * CHOOSE(CONTROL!$C$32, $C$9, 100%, $E$9)</f>
        <v>8.9725999999999999</v>
      </c>
      <c r="H508" s="81">
        <f>16.2631 * CHOOSE(CONTROL!$C$32, $C$9, 100%, $E$9)</f>
        <v>16.263100000000001</v>
      </c>
      <c r="I508" s="81">
        <f>16.2674 * CHOOSE(CONTROL!$C$32, $C$9, 100%, $E$9)</f>
        <v>16.267399999999999</v>
      </c>
      <c r="J508" s="81">
        <f>16.2631 * CHOOSE(CONTROL!$C$32, $C$9, 100%, $E$9)</f>
        <v>16.263100000000001</v>
      </c>
      <c r="K508" s="81">
        <f>16.2674 * CHOOSE(CONTROL!$C$32, $C$9, 100%, $E$9)</f>
        <v>16.267399999999999</v>
      </c>
      <c r="L508" s="81">
        <f>8.9682 * CHOOSE(CONTROL!$C$32, $C$9, 100%, $E$9)</f>
        <v>8.9681999999999995</v>
      </c>
      <c r="M508" s="81">
        <f>8.9726 * CHOOSE(CONTROL!$C$32, $C$9, 100%, $E$9)</f>
        <v>8.9725999999999999</v>
      </c>
      <c r="N508" s="81">
        <f>8.9682 * CHOOSE(CONTROL!$C$32, $C$9, 100%, $E$9)</f>
        <v>8.9681999999999995</v>
      </c>
      <c r="O508" s="81">
        <f>8.9726 * CHOOSE(CONTROL!$C$32, $C$9, 100%, $E$9)</f>
        <v>8.9725999999999999</v>
      </c>
    </row>
    <row r="509" spans="1:15" ht="15">
      <c r="A509" s="16">
        <v>56705</v>
      </c>
      <c r="B509" s="80">
        <f>7.6007 * CHOOSE(CONTROL!$C$32, $C$9, 100%, $E$9)</f>
        <v>7.6006999999999998</v>
      </c>
      <c r="C509" s="80">
        <f>7.6007 * CHOOSE(CONTROL!$C$32, $C$9, 100%, $E$9)</f>
        <v>7.6006999999999998</v>
      </c>
      <c r="D509" s="80">
        <f>7.6042 * CHOOSE(CONTROL!$C$32, $C$9, 100%, $E$9)</f>
        <v>7.6041999999999996</v>
      </c>
      <c r="E509" s="81">
        <f>9.0901 * CHOOSE(CONTROL!$C$32, $C$9, 100%, $E$9)</f>
        <v>9.0900999999999996</v>
      </c>
      <c r="F509" s="81">
        <f>9.0901 * CHOOSE(CONTROL!$C$32, $C$9, 100%, $E$9)</f>
        <v>9.0900999999999996</v>
      </c>
      <c r="G509" s="81">
        <f>9.0945 * CHOOSE(CONTROL!$C$32, $C$9, 100%, $E$9)</f>
        <v>9.0945</v>
      </c>
      <c r="H509" s="81">
        <f>16.297 * CHOOSE(CONTROL!$C$32, $C$9, 100%, $E$9)</f>
        <v>16.297000000000001</v>
      </c>
      <c r="I509" s="81">
        <f>16.3013 * CHOOSE(CONTROL!$C$32, $C$9, 100%, $E$9)</f>
        <v>16.301300000000001</v>
      </c>
      <c r="J509" s="81">
        <f>16.297 * CHOOSE(CONTROL!$C$32, $C$9, 100%, $E$9)</f>
        <v>16.297000000000001</v>
      </c>
      <c r="K509" s="81">
        <f>16.3013 * CHOOSE(CONTROL!$C$32, $C$9, 100%, $E$9)</f>
        <v>16.301300000000001</v>
      </c>
      <c r="L509" s="81">
        <f>9.0901 * CHOOSE(CONTROL!$C$32, $C$9, 100%, $E$9)</f>
        <v>9.0900999999999996</v>
      </c>
      <c r="M509" s="81">
        <f>9.0945 * CHOOSE(CONTROL!$C$32, $C$9, 100%, $E$9)</f>
        <v>9.0945</v>
      </c>
      <c r="N509" s="81">
        <f>9.0901 * CHOOSE(CONTROL!$C$32, $C$9, 100%, $E$9)</f>
        <v>9.0900999999999996</v>
      </c>
      <c r="O509" s="81">
        <f>9.0945 * CHOOSE(CONTROL!$C$32, $C$9, 100%, $E$9)</f>
        <v>9.0945</v>
      </c>
    </row>
    <row r="510" spans="1:15" ht="15">
      <c r="A510" s="16">
        <v>56735</v>
      </c>
      <c r="B510" s="80">
        <f>7.6007 * CHOOSE(CONTROL!$C$32, $C$9, 100%, $E$9)</f>
        <v>7.6006999999999998</v>
      </c>
      <c r="C510" s="80">
        <f>7.6007 * CHOOSE(CONTROL!$C$32, $C$9, 100%, $E$9)</f>
        <v>7.6006999999999998</v>
      </c>
      <c r="D510" s="80">
        <f>7.6058 * CHOOSE(CONTROL!$C$32, $C$9, 100%, $E$9)</f>
        <v>7.6058000000000003</v>
      </c>
      <c r="E510" s="81">
        <f>9.1375 * CHOOSE(CONTROL!$C$32, $C$9, 100%, $E$9)</f>
        <v>9.1374999999999993</v>
      </c>
      <c r="F510" s="81">
        <f>9.1375 * CHOOSE(CONTROL!$C$32, $C$9, 100%, $E$9)</f>
        <v>9.1374999999999993</v>
      </c>
      <c r="G510" s="81">
        <f>9.1438 * CHOOSE(CONTROL!$C$32, $C$9, 100%, $E$9)</f>
        <v>9.1438000000000006</v>
      </c>
      <c r="H510" s="81">
        <f>16.3309 * CHOOSE(CONTROL!$C$32, $C$9, 100%, $E$9)</f>
        <v>16.3309</v>
      </c>
      <c r="I510" s="81">
        <f>16.3372 * CHOOSE(CONTROL!$C$32, $C$9, 100%, $E$9)</f>
        <v>16.337199999999999</v>
      </c>
      <c r="J510" s="81">
        <f>16.3309 * CHOOSE(CONTROL!$C$32, $C$9, 100%, $E$9)</f>
        <v>16.3309</v>
      </c>
      <c r="K510" s="81">
        <f>16.3372 * CHOOSE(CONTROL!$C$32, $C$9, 100%, $E$9)</f>
        <v>16.337199999999999</v>
      </c>
      <c r="L510" s="81">
        <f>9.1375 * CHOOSE(CONTROL!$C$32, $C$9, 100%, $E$9)</f>
        <v>9.1374999999999993</v>
      </c>
      <c r="M510" s="81">
        <f>9.1438 * CHOOSE(CONTROL!$C$32, $C$9, 100%, $E$9)</f>
        <v>9.1438000000000006</v>
      </c>
      <c r="N510" s="81">
        <f>9.1375 * CHOOSE(CONTROL!$C$32, $C$9, 100%, $E$9)</f>
        <v>9.1374999999999993</v>
      </c>
      <c r="O510" s="81">
        <f>9.1438 * CHOOSE(CONTROL!$C$32, $C$9, 100%, $E$9)</f>
        <v>9.1438000000000006</v>
      </c>
    </row>
    <row r="511" spans="1:15" ht="15">
      <c r="A511" s="16">
        <v>56766</v>
      </c>
      <c r="B511" s="80">
        <f>7.6068 * CHOOSE(CONTROL!$C$32, $C$9, 100%, $E$9)</f>
        <v>7.6067999999999998</v>
      </c>
      <c r="C511" s="80">
        <f>7.6068 * CHOOSE(CONTROL!$C$32, $C$9, 100%, $E$9)</f>
        <v>7.6067999999999998</v>
      </c>
      <c r="D511" s="80">
        <f>7.6119 * CHOOSE(CONTROL!$C$32, $C$9, 100%, $E$9)</f>
        <v>7.6119000000000003</v>
      </c>
      <c r="E511" s="81">
        <f>9.0944 * CHOOSE(CONTROL!$C$32, $C$9, 100%, $E$9)</f>
        <v>9.0944000000000003</v>
      </c>
      <c r="F511" s="81">
        <f>9.0944 * CHOOSE(CONTROL!$C$32, $C$9, 100%, $E$9)</f>
        <v>9.0944000000000003</v>
      </c>
      <c r="G511" s="81">
        <f>9.1007 * CHOOSE(CONTROL!$C$32, $C$9, 100%, $E$9)</f>
        <v>9.1006999999999998</v>
      </c>
      <c r="H511" s="81">
        <f>16.3649 * CHOOSE(CONTROL!$C$32, $C$9, 100%, $E$9)</f>
        <v>16.364899999999999</v>
      </c>
      <c r="I511" s="81">
        <f>16.3712 * CHOOSE(CONTROL!$C$32, $C$9, 100%, $E$9)</f>
        <v>16.371200000000002</v>
      </c>
      <c r="J511" s="81">
        <f>16.3649 * CHOOSE(CONTROL!$C$32, $C$9, 100%, $E$9)</f>
        <v>16.364899999999999</v>
      </c>
      <c r="K511" s="81">
        <f>16.3712 * CHOOSE(CONTROL!$C$32, $C$9, 100%, $E$9)</f>
        <v>16.371200000000002</v>
      </c>
      <c r="L511" s="81">
        <f>9.0944 * CHOOSE(CONTROL!$C$32, $C$9, 100%, $E$9)</f>
        <v>9.0944000000000003</v>
      </c>
      <c r="M511" s="81">
        <f>9.1007 * CHOOSE(CONTROL!$C$32, $C$9, 100%, $E$9)</f>
        <v>9.1006999999999998</v>
      </c>
      <c r="N511" s="81">
        <f>9.0944 * CHOOSE(CONTROL!$C$32, $C$9, 100%, $E$9)</f>
        <v>9.0944000000000003</v>
      </c>
      <c r="O511" s="81">
        <f>9.1007 * CHOOSE(CONTROL!$C$32, $C$9, 100%, $E$9)</f>
        <v>9.1006999999999998</v>
      </c>
    </row>
    <row r="512" spans="1:15" ht="15">
      <c r="A512" s="16">
        <v>56796</v>
      </c>
      <c r="B512" s="80">
        <f>7.7266 * CHOOSE(CONTROL!$C$32, $C$9, 100%, $E$9)</f>
        <v>7.7266000000000004</v>
      </c>
      <c r="C512" s="80">
        <f>7.7266 * CHOOSE(CONTROL!$C$32, $C$9, 100%, $E$9)</f>
        <v>7.7266000000000004</v>
      </c>
      <c r="D512" s="80">
        <f>7.7318 * CHOOSE(CONTROL!$C$32, $C$9, 100%, $E$9)</f>
        <v>7.7317999999999998</v>
      </c>
      <c r="E512" s="81">
        <f>9.2441 * CHOOSE(CONTROL!$C$32, $C$9, 100%, $E$9)</f>
        <v>9.2440999999999995</v>
      </c>
      <c r="F512" s="81">
        <f>9.2441 * CHOOSE(CONTROL!$C$32, $C$9, 100%, $E$9)</f>
        <v>9.2440999999999995</v>
      </c>
      <c r="G512" s="81">
        <f>9.2505 * CHOOSE(CONTROL!$C$32, $C$9, 100%, $E$9)</f>
        <v>9.2505000000000006</v>
      </c>
      <c r="H512" s="81">
        <f>16.399 * CHOOSE(CONTROL!$C$32, $C$9, 100%, $E$9)</f>
        <v>16.399000000000001</v>
      </c>
      <c r="I512" s="81">
        <f>16.4053 * CHOOSE(CONTROL!$C$32, $C$9, 100%, $E$9)</f>
        <v>16.4053</v>
      </c>
      <c r="J512" s="81">
        <f>16.399 * CHOOSE(CONTROL!$C$32, $C$9, 100%, $E$9)</f>
        <v>16.399000000000001</v>
      </c>
      <c r="K512" s="81">
        <f>16.4053 * CHOOSE(CONTROL!$C$32, $C$9, 100%, $E$9)</f>
        <v>16.4053</v>
      </c>
      <c r="L512" s="81">
        <f>9.2441 * CHOOSE(CONTROL!$C$32, $C$9, 100%, $E$9)</f>
        <v>9.2440999999999995</v>
      </c>
      <c r="M512" s="81">
        <f>9.2505 * CHOOSE(CONTROL!$C$32, $C$9, 100%, $E$9)</f>
        <v>9.2505000000000006</v>
      </c>
      <c r="N512" s="81">
        <f>9.2441 * CHOOSE(CONTROL!$C$32, $C$9, 100%, $E$9)</f>
        <v>9.2440999999999995</v>
      </c>
      <c r="O512" s="81">
        <f>9.2505 * CHOOSE(CONTROL!$C$32, $C$9, 100%, $E$9)</f>
        <v>9.2505000000000006</v>
      </c>
    </row>
    <row r="513" spans="1:15" ht="15">
      <c r="A513" s="16">
        <v>56827</v>
      </c>
      <c r="B513" s="80">
        <f>7.7333 * CHOOSE(CONTROL!$C$32, $C$9, 100%, $E$9)</f>
        <v>7.7332999999999998</v>
      </c>
      <c r="C513" s="80">
        <f>7.7333 * CHOOSE(CONTROL!$C$32, $C$9, 100%, $E$9)</f>
        <v>7.7332999999999998</v>
      </c>
      <c r="D513" s="80">
        <f>7.7385 * CHOOSE(CONTROL!$C$32, $C$9, 100%, $E$9)</f>
        <v>7.7385000000000002</v>
      </c>
      <c r="E513" s="81">
        <f>9.1068 * CHOOSE(CONTROL!$C$32, $C$9, 100%, $E$9)</f>
        <v>9.1067999999999998</v>
      </c>
      <c r="F513" s="81">
        <f>9.1068 * CHOOSE(CONTROL!$C$32, $C$9, 100%, $E$9)</f>
        <v>9.1067999999999998</v>
      </c>
      <c r="G513" s="81">
        <f>9.1132 * CHOOSE(CONTROL!$C$32, $C$9, 100%, $E$9)</f>
        <v>9.1132000000000009</v>
      </c>
      <c r="H513" s="81">
        <f>16.4332 * CHOOSE(CONTROL!$C$32, $C$9, 100%, $E$9)</f>
        <v>16.433199999999999</v>
      </c>
      <c r="I513" s="81">
        <f>16.4395 * CHOOSE(CONTROL!$C$32, $C$9, 100%, $E$9)</f>
        <v>16.439499999999999</v>
      </c>
      <c r="J513" s="81">
        <f>16.4332 * CHOOSE(CONTROL!$C$32, $C$9, 100%, $E$9)</f>
        <v>16.433199999999999</v>
      </c>
      <c r="K513" s="81">
        <f>16.4395 * CHOOSE(CONTROL!$C$32, $C$9, 100%, $E$9)</f>
        <v>16.439499999999999</v>
      </c>
      <c r="L513" s="81">
        <f>9.1068 * CHOOSE(CONTROL!$C$32, $C$9, 100%, $E$9)</f>
        <v>9.1067999999999998</v>
      </c>
      <c r="M513" s="81">
        <f>9.1132 * CHOOSE(CONTROL!$C$32, $C$9, 100%, $E$9)</f>
        <v>9.1132000000000009</v>
      </c>
      <c r="N513" s="81">
        <f>9.1068 * CHOOSE(CONTROL!$C$32, $C$9, 100%, $E$9)</f>
        <v>9.1067999999999998</v>
      </c>
      <c r="O513" s="81">
        <f>9.1132 * CHOOSE(CONTROL!$C$32, $C$9, 100%, $E$9)</f>
        <v>9.1132000000000009</v>
      </c>
    </row>
    <row r="514" spans="1:15" ht="15">
      <c r="A514" s="16">
        <v>56858</v>
      </c>
      <c r="B514" s="80">
        <f>7.7303 * CHOOSE(CONTROL!$C$32, $C$9, 100%, $E$9)</f>
        <v>7.7302999999999997</v>
      </c>
      <c r="C514" s="80">
        <f>7.7303 * CHOOSE(CONTROL!$C$32, $C$9, 100%, $E$9)</f>
        <v>7.7302999999999997</v>
      </c>
      <c r="D514" s="80">
        <f>7.7354 * CHOOSE(CONTROL!$C$32, $C$9, 100%, $E$9)</f>
        <v>7.7354000000000003</v>
      </c>
      <c r="E514" s="81">
        <f>9.089 * CHOOSE(CONTROL!$C$32, $C$9, 100%, $E$9)</f>
        <v>9.0890000000000004</v>
      </c>
      <c r="F514" s="81">
        <f>9.089 * CHOOSE(CONTROL!$C$32, $C$9, 100%, $E$9)</f>
        <v>9.0890000000000004</v>
      </c>
      <c r="G514" s="81">
        <f>9.0953 * CHOOSE(CONTROL!$C$32, $C$9, 100%, $E$9)</f>
        <v>9.0952999999999999</v>
      </c>
      <c r="H514" s="81">
        <f>16.4674 * CHOOSE(CONTROL!$C$32, $C$9, 100%, $E$9)</f>
        <v>16.467400000000001</v>
      </c>
      <c r="I514" s="81">
        <f>16.4737 * CHOOSE(CONTROL!$C$32, $C$9, 100%, $E$9)</f>
        <v>16.473700000000001</v>
      </c>
      <c r="J514" s="81">
        <f>16.4674 * CHOOSE(CONTROL!$C$32, $C$9, 100%, $E$9)</f>
        <v>16.467400000000001</v>
      </c>
      <c r="K514" s="81">
        <f>16.4737 * CHOOSE(CONTROL!$C$32, $C$9, 100%, $E$9)</f>
        <v>16.473700000000001</v>
      </c>
      <c r="L514" s="81">
        <f>9.089 * CHOOSE(CONTROL!$C$32, $C$9, 100%, $E$9)</f>
        <v>9.0890000000000004</v>
      </c>
      <c r="M514" s="81">
        <f>9.0953 * CHOOSE(CONTROL!$C$32, $C$9, 100%, $E$9)</f>
        <v>9.0952999999999999</v>
      </c>
      <c r="N514" s="81">
        <f>9.089 * CHOOSE(CONTROL!$C$32, $C$9, 100%, $E$9)</f>
        <v>9.0890000000000004</v>
      </c>
      <c r="O514" s="81">
        <f>9.0953 * CHOOSE(CONTROL!$C$32, $C$9, 100%, $E$9)</f>
        <v>9.0952999999999999</v>
      </c>
    </row>
    <row r="515" spans="1:15" ht="15">
      <c r="A515" s="16">
        <v>56888</v>
      </c>
      <c r="B515" s="80">
        <f>7.7376 * CHOOSE(CONTROL!$C$32, $C$9, 100%, $E$9)</f>
        <v>7.7375999999999996</v>
      </c>
      <c r="C515" s="80">
        <f>7.7376 * CHOOSE(CONTROL!$C$32, $C$9, 100%, $E$9)</f>
        <v>7.7375999999999996</v>
      </c>
      <c r="D515" s="80">
        <f>7.7411 * CHOOSE(CONTROL!$C$32, $C$9, 100%, $E$9)</f>
        <v>7.7411000000000003</v>
      </c>
      <c r="E515" s="81">
        <f>9.1386 * CHOOSE(CONTROL!$C$32, $C$9, 100%, $E$9)</f>
        <v>9.1386000000000003</v>
      </c>
      <c r="F515" s="81">
        <f>9.1386 * CHOOSE(CONTROL!$C$32, $C$9, 100%, $E$9)</f>
        <v>9.1386000000000003</v>
      </c>
      <c r="G515" s="81">
        <f>9.143 * CHOOSE(CONTROL!$C$32, $C$9, 100%, $E$9)</f>
        <v>9.1430000000000007</v>
      </c>
      <c r="H515" s="81">
        <f>16.5017 * CHOOSE(CONTROL!$C$32, $C$9, 100%, $E$9)</f>
        <v>16.5017</v>
      </c>
      <c r="I515" s="81">
        <f>16.5061 * CHOOSE(CONTROL!$C$32, $C$9, 100%, $E$9)</f>
        <v>16.5061</v>
      </c>
      <c r="J515" s="81">
        <f>16.5017 * CHOOSE(CONTROL!$C$32, $C$9, 100%, $E$9)</f>
        <v>16.5017</v>
      </c>
      <c r="K515" s="81">
        <f>16.5061 * CHOOSE(CONTROL!$C$32, $C$9, 100%, $E$9)</f>
        <v>16.5061</v>
      </c>
      <c r="L515" s="81">
        <f>9.1386 * CHOOSE(CONTROL!$C$32, $C$9, 100%, $E$9)</f>
        <v>9.1386000000000003</v>
      </c>
      <c r="M515" s="81">
        <f>9.143 * CHOOSE(CONTROL!$C$32, $C$9, 100%, $E$9)</f>
        <v>9.1430000000000007</v>
      </c>
      <c r="N515" s="81">
        <f>9.1386 * CHOOSE(CONTROL!$C$32, $C$9, 100%, $E$9)</f>
        <v>9.1386000000000003</v>
      </c>
      <c r="O515" s="81">
        <f>9.143 * CHOOSE(CONTROL!$C$32, $C$9, 100%, $E$9)</f>
        <v>9.1430000000000007</v>
      </c>
    </row>
    <row r="516" spans="1:15" ht="15">
      <c r="A516" s="16">
        <v>56919</v>
      </c>
      <c r="B516" s="80">
        <f>7.7406 * CHOOSE(CONTROL!$C$32, $C$9, 100%, $E$9)</f>
        <v>7.7405999999999997</v>
      </c>
      <c r="C516" s="80">
        <f>7.7406 * CHOOSE(CONTROL!$C$32, $C$9, 100%, $E$9)</f>
        <v>7.7405999999999997</v>
      </c>
      <c r="D516" s="80">
        <f>7.7442 * CHOOSE(CONTROL!$C$32, $C$9, 100%, $E$9)</f>
        <v>7.7442000000000002</v>
      </c>
      <c r="E516" s="81">
        <f>9.1723 * CHOOSE(CONTROL!$C$32, $C$9, 100%, $E$9)</f>
        <v>9.1722999999999999</v>
      </c>
      <c r="F516" s="81">
        <f>9.1723 * CHOOSE(CONTROL!$C$32, $C$9, 100%, $E$9)</f>
        <v>9.1722999999999999</v>
      </c>
      <c r="G516" s="81">
        <f>9.1767 * CHOOSE(CONTROL!$C$32, $C$9, 100%, $E$9)</f>
        <v>9.1767000000000003</v>
      </c>
      <c r="H516" s="81">
        <f>16.5361 * CHOOSE(CONTROL!$C$32, $C$9, 100%, $E$9)</f>
        <v>16.536100000000001</v>
      </c>
      <c r="I516" s="81">
        <f>16.5405 * CHOOSE(CONTROL!$C$32, $C$9, 100%, $E$9)</f>
        <v>16.540500000000002</v>
      </c>
      <c r="J516" s="81">
        <f>16.5361 * CHOOSE(CONTROL!$C$32, $C$9, 100%, $E$9)</f>
        <v>16.536100000000001</v>
      </c>
      <c r="K516" s="81">
        <f>16.5405 * CHOOSE(CONTROL!$C$32, $C$9, 100%, $E$9)</f>
        <v>16.540500000000002</v>
      </c>
      <c r="L516" s="81">
        <f>9.1723 * CHOOSE(CONTROL!$C$32, $C$9, 100%, $E$9)</f>
        <v>9.1722999999999999</v>
      </c>
      <c r="M516" s="81">
        <f>9.1767 * CHOOSE(CONTROL!$C$32, $C$9, 100%, $E$9)</f>
        <v>9.1767000000000003</v>
      </c>
      <c r="N516" s="81">
        <f>9.1723 * CHOOSE(CONTROL!$C$32, $C$9, 100%, $E$9)</f>
        <v>9.1722999999999999</v>
      </c>
      <c r="O516" s="81">
        <f>9.1767 * CHOOSE(CONTROL!$C$32, $C$9, 100%, $E$9)</f>
        <v>9.1767000000000003</v>
      </c>
    </row>
    <row r="517" spans="1:15" ht="15">
      <c r="A517" s="16">
        <v>56949</v>
      </c>
      <c r="B517" s="80">
        <f>7.7406 * CHOOSE(CONTROL!$C$32, $C$9, 100%, $E$9)</f>
        <v>7.7405999999999997</v>
      </c>
      <c r="C517" s="80">
        <f>7.7406 * CHOOSE(CONTROL!$C$32, $C$9, 100%, $E$9)</f>
        <v>7.7405999999999997</v>
      </c>
      <c r="D517" s="80">
        <f>7.7442 * CHOOSE(CONTROL!$C$32, $C$9, 100%, $E$9)</f>
        <v>7.7442000000000002</v>
      </c>
      <c r="E517" s="81">
        <f>9.0934 * CHOOSE(CONTROL!$C$32, $C$9, 100%, $E$9)</f>
        <v>9.0934000000000008</v>
      </c>
      <c r="F517" s="81">
        <f>9.0934 * CHOOSE(CONTROL!$C$32, $C$9, 100%, $E$9)</f>
        <v>9.0934000000000008</v>
      </c>
      <c r="G517" s="81">
        <f>9.0978 * CHOOSE(CONTROL!$C$32, $C$9, 100%, $E$9)</f>
        <v>9.0977999999999994</v>
      </c>
      <c r="H517" s="81">
        <f>16.5706 * CHOOSE(CONTROL!$C$32, $C$9, 100%, $E$9)</f>
        <v>16.570599999999999</v>
      </c>
      <c r="I517" s="81">
        <f>16.5749 * CHOOSE(CONTROL!$C$32, $C$9, 100%, $E$9)</f>
        <v>16.5749</v>
      </c>
      <c r="J517" s="81">
        <f>16.5706 * CHOOSE(CONTROL!$C$32, $C$9, 100%, $E$9)</f>
        <v>16.570599999999999</v>
      </c>
      <c r="K517" s="81">
        <f>16.5749 * CHOOSE(CONTROL!$C$32, $C$9, 100%, $E$9)</f>
        <v>16.5749</v>
      </c>
      <c r="L517" s="81">
        <f>9.0934 * CHOOSE(CONTROL!$C$32, $C$9, 100%, $E$9)</f>
        <v>9.0934000000000008</v>
      </c>
      <c r="M517" s="81">
        <f>9.0978 * CHOOSE(CONTROL!$C$32, $C$9, 100%, $E$9)</f>
        <v>9.0977999999999994</v>
      </c>
      <c r="N517" s="81">
        <f>9.0934 * CHOOSE(CONTROL!$C$32, $C$9, 100%, $E$9)</f>
        <v>9.0934000000000008</v>
      </c>
      <c r="O517" s="81">
        <f>9.0978 * CHOOSE(CONTROL!$C$32, $C$9, 100%, $E$9)</f>
        <v>9.0977999999999994</v>
      </c>
    </row>
    <row r="518" spans="1:15" ht="15">
      <c r="A518" s="16">
        <v>56980</v>
      </c>
      <c r="B518" s="80">
        <f>7.8071 * CHOOSE(CONTROL!$C$32, $C$9, 100%, $E$9)</f>
        <v>7.8071000000000002</v>
      </c>
      <c r="C518" s="80">
        <f>7.8071 * CHOOSE(CONTROL!$C$32, $C$9, 100%, $E$9)</f>
        <v>7.8071000000000002</v>
      </c>
      <c r="D518" s="80">
        <f>7.8107 * CHOOSE(CONTROL!$C$32, $C$9, 100%, $E$9)</f>
        <v>7.8106999999999998</v>
      </c>
      <c r="E518" s="81">
        <f>9.2242 * CHOOSE(CONTROL!$C$32, $C$9, 100%, $E$9)</f>
        <v>9.2241999999999997</v>
      </c>
      <c r="F518" s="81">
        <f>9.2242 * CHOOSE(CONTROL!$C$32, $C$9, 100%, $E$9)</f>
        <v>9.2241999999999997</v>
      </c>
      <c r="G518" s="81">
        <f>9.2285 * CHOOSE(CONTROL!$C$32, $C$9, 100%, $E$9)</f>
        <v>9.2285000000000004</v>
      </c>
      <c r="H518" s="81">
        <f>16.6051 * CHOOSE(CONTROL!$C$32, $C$9, 100%, $E$9)</f>
        <v>16.6051</v>
      </c>
      <c r="I518" s="81">
        <f>16.6094 * CHOOSE(CONTROL!$C$32, $C$9, 100%, $E$9)</f>
        <v>16.609400000000001</v>
      </c>
      <c r="J518" s="81">
        <f>16.6051 * CHOOSE(CONTROL!$C$32, $C$9, 100%, $E$9)</f>
        <v>16.6051</v>
      </c>
      <c r="K518" s="81">
        <f>16.6094 * CHOOSE(CONTROL!$C$32, $C$9, 100%, $E$9)</f>
        <v>16.609400000000001</v>
      </c>
      <c r="L518" s="81">
        <f>9.2242 * CHOOSE(CONTROL!$C$32, $C$9, 100%, $E$9)</f>
        <v>9.2241999999999997</v>
      </c>
      <c r="M518" s="81">
        <f>9.2285 * CHOOSE(CONTROL!$C$32, $C$9, 100%, $E$9)</f>
        <v>9.2285000000000004</v>
      </c>
      <c r="N518" s="81">
        <f>9.2242 * CHOOSE(CONTROL!$C$32, $C$9, 100%, $E$9)</f>
        <v>9.2241999999999997</v>
      </c>
      <c r="O518" s="81">
        <f>9.2285 * CHOOSE(CONTROL!$C$32, $C$9, 100%, $E$9)</f>
        <v>9.2285000000000004</v>
      </c>
    </row>
    <row r="519" spans="1:15" ht="15">
      <c r="A519" s="16">
        <v>57011</v>
      </c>
      <c r="B519" s="80">
        <f>7.8041 * CHOOSE(CONTROL!$C$32, $C$9, 100%, $E$9)</f>
        <v>7.8041</v>
      </c>
      <c r="C519" s="80">
        <f>7.8041 * CHOOSE(CONTROL!$C$32, $C$9, 100%, $E$9)</f>
        <v>7.8041</v>
      </c>
      <c r="D519" s="80">
        <f>7.8076 * CHOOSE(CONTROL!$C$32, $C$9, 100%, $E$9)</f>
        <v>7.8075999999999999</v>
      </c>
      <c r="E519" s="81">
        <f>9.0688 * CHOOSE(CONTROL!$C$32, $C$9, 100%, $E$9)</f>
        <v>9.0687999999999995</v>
      </c>
      <c r="F519" s="81">
        <f>9.0688 * CHOOSE(CONTROL!$C$32, $C$9, 100%, $E$9)</f>
        <v>9.0687999999999995</v>
      </c>
      <c r="G519" s="81">
        <f>9.0732 * CHOOSE(CONTROL!$C$32, $C$9, 100%, $E$9)</f>
        <v>9.0731999999999999</v>
      </c>
      <c r="H519" s="81">
        <f>16.6397 * CHOOSE(CONTROL!$C$32, $C$9, 100%, $E$9)</f>
        <v>16.639700000000001</v>
      </c>
      <c r="I519" s="81">
        <f>16.644 * CHOOSE(CONTROL!$C$32, $C$9, 100%, $E$9)</f>
        <v>16.643999999999998</v>
      </c>
      <c r="J519" s="81">
        <f>16.6397 * CHOOSE(CONTROL!$C$32, $C$9, 100%, $E$9)</f>
        <v>16.639700000000001</v>
      </c>
      <c r="K519" s="81">
        <f>16.644 * CHOOSE(CONTROL!$C$32, $C$9, 100%, $E$9)</f>
        <v>16.643999999999998</v>
      </c>
      <c r="L519" s="81">
        <f>9.0688 * CHOOSE(CONTROL!$C$32, $C$9, 100%, $E$9)</f>
        <v>9.0687999999999995</v>
      </c>
      <c r="M519" s="81">
        <f>9.0732 * CHOOSE(CONTROL!$C$32, $C$9, 100%, $E$9)</f>
        <v>9.0731999999999999</v>
      </c>
      <c r="N519" s="81">
        <f>9.0688 * CHOOSE(CONTROL!$C$32, $C$9, 100%, $E$9)</f>
        <v>9.0687999999999995</v>
      </c>
      <c r="O519" s="81">
        <f>9.0732 * CHOOSE(CONTROL!$C$32, $C$9, 100%, $E$9)</f>
        <v>9.0731999999999999</v>
      </c>
    </row>
    <row r="520" spans="1:15" ht="15">
      <c r="A520" s="16">
        <v>57040</v>
      </c>
      <c r="B520" s="80">
        <f>7.8011 * CHOOSE(CONTROL!$C$32, $C$9, 100%, $E$9)</f>
        <v>7.8010999999999999</v>
      </c>
      <c r="C520" s="80">
        <f>7.8011 * CHOOSE(CONTROL!$C$32, $C$9, 100%, $E$9)</f>
        <v>7.8010999999999999</v>
      </c>
      <c r="D520" s="80">
        <f>7.8046 * CHOOSE(CONTROL!$C$32, $C$9, 100%, $E$9)</f>
        <v>7.8045999999999998</v>
      </c>
      <c r="E520" s="81">
        <f>9.1875 * CHOOSE(CONTROL!$C$32, $C$9, 100%, $E$9)</f>
        <v>9.1875</v>
      </c>
      <c r="F520" s="81">
        <f>9.1875 * CHOOSE(CONTROL!$C$32, $C$9, 100%, $E$9)</f>
        <v>9.1875</v>
      </c>
      <c r="G520" s="81">
        <f>9.1919 * CHOOSE(CONTROL!$C$32, $C$9, 100%, $E$9)</f>
        <v>9.1919000000000004</v>
      </c>
      <c r="H520" s="81">
        <f>16.6743 * CHOOSE(CONTROL!$C$32, $C$9, 100%, $E$9)</f>
        <v>16.674299999999999</v>
      </c>
      <c r="I520" s="81">
        <f>16.6787 * CHOOSE(CONTROL!$C$32, $C$9, 100%, $E$9)</f>
        <v>16.678699999999999</v>
      </c>
      <c r="J520" s="81">
        <f>16.6743 * CHOOSE(CONTROL!$C$32, $C$9, 100%, $E$9)</f>
        <v>16.674299999999999</v>
      </c>
      <c r="K520" s="81">
        <f>16.6787 * CHOOSE(CONTROL!$C$32, $C$9, 100%, $E$9)</f>
        <v>16.678699999999999</v>
      </c>
      <c r="L520" s="81">
        <f>9.1875 * CHOOSE(CONTROL!$C$32, $C$9, 100%, $E$9)</f>
        <v>9.1875</v>
      </c>
      <c r="M520" s="81">
        <f>9.1919 * CHOOSE(CONTROL!$C$32, $C$9, 100%, $E$9)</f>
        <v>9.1919000000000004</v>
      </c>
      <c r="N520" s="81">
        <f>9.1875 * CHOOSE(CONTROL!$C$32, $C$9, 100%, $E$9)</f>
        <v>9.1875</v>
      </c>
      <c r="O520" s="81">
        <f>9.1919 * CHOOSE(CONTROL!$C$32, $C$9, 100%, $E$9)</f>
        <v>9.1919000000000004</v>
      </c>
    </row>
    <row r="521" spans="1:15" ht="15">
      <c r="A521" s="16">
        <v>57071</v>
      </c>
      <c r="B521" s="80">
        <f>7.802 * CHOOSE(CONTROL!$C$32, $C$9, 100%, $E$9)</f>
        <v>7.8019999999999996</v>
      </c>
      <c r="C521" s="80">
        <f>7.802 * CHOOSE(CONTROL!$C$32, $C$9, 100%, $E$9)</f>
        <v>7.8019999999999996</v>
      </c>
      <c r="D521" s="80">
        <f>7.8055 * CHOOSE(CONTROL!$C$32, $C$9, 100%, $E$9)</f>
        <v>7.8055000000000003</v>
      </c>
      <c r="E521" s="81">
        <f>9.313 * CHOOSE(CONTROL!$C$32, $C$9, 100%, $E$9)</f>
        <v>9.3130000000000006</v>
      </c>
      <c r="F521" s="81">
        <f>9.313 * CHOOSE(CONTROL!$C$32, $C$9, 100%, $E$9)</f>
        <v>9.3130000000000006</v>
      </c>
      <c r="G521" s="81">
        <f>9.3174 * CHOOSE(CONTROL!$C$32, $C$9, 100%, $E$9)</f>
        <v>9.3173999999999992</v>
      </c>
      <c r="H521" s="81">
        <f>16.7091 * CHOOSE(CONTROL!$C$32, $C$9, 100%, $E$9)</f>
        <v>16.709099999999999</v>
      </c>
      <c r="I521" s="81">
        <f>16.7134 * CHOOSE(CONTROL!$C$32, $C$9, 100%, $E$9)</f>
        <v>16.7134</v>
      </c>
      <c r="J521" s="81">
        <f>16.7091 * CHOOSE(CONTROL!$C$32, $C$9, 100%, $E$9)</f>
        <v>16.709099999999999</v>
      </c>
      <c r="K521" s="81">
        <f>16.7134 * CHOOSE(CONTROL!$C$32, $C$9, 100%, $E$9)</f>
        <v>16.7134</v>
      </c>
      <c r="L521" s="81">
        <f>9.313 * CHOOSE(CONTROL!$C$32, $C$9, 100%, $E$9)</f>
        <v>9.3130000000000006</v>
      </c>
      <c r="M521" s="81">
        <f>9.3174 * CHOOSE(CONTROL!$C$32, $C$9, 100%, $E$9)</f>
        <v>9.3173999999999992</v>
      </c>
      <c r="N521" s="81">
        <f>9.313 * CHOOSE(CONTROL!$C$32, $C$9, 100%, $E$9)</f>
        <v>9.3130000000000006</v>
      </c>
      <c r="O521" s="81">
        <f>9.3174 * CHOOSE(CONTROL!$C$32, $C$9, 100%, $E$9)</f>
        <v>9.3173999999999992</v>
      </c>
    </row>
    <row r="522" spans="1:15" ht="15">
      <c r="A522" s="16">
        <v>57101</v>
      </c>
      <c r="B522" s="80">
        <f>7.802 * CHOOSE(CONTROL!$C$32, $C$9, 100%, $E$9)</f>
        <v>7.8019999999999996</v>
      </c>
      <c r="C522" s="80">
        <f>7.802 * CHOOSE(CONTROL!$C$32, $C$9, 100%, $E$9)</f>
        <v>7.8019999999999996</v>
      </c>
      <c r="D522" s="80">
        <f>7.8071 * CHOOSE(CONTROL!$C$32, $C$9, 100%, $E$9)</f>
        <v>7.8071000000000002</v>
      </c>
      <c r="E522" s="81">
        <f>9.3616 * CHOOSE(CONTROL!$C$32, $C$9, 100%, $E$9)</f>
        <v>9.3615999999999993</v>
      </c>
      <c r="F522" s="81">
        <f>9.3616 * CHOOSE(CONTROL!$C$32, $C$9, 100%, $E$9)</f>
        <v>9.3615999999999993</v>
      </c>
      <c r="G522" s="81">
        <f>9.368 * CHOOSE(CONTROL!$C$32, $C$9, 100%, $E$9)</f>
        <v>9.3680000000000003</v>
      </c>
      <c r="H522" s="81">
        <f>16.7439 * CHOOSE(CONTROL!$C$32, $C$9, 100%, $E$9)</f>
        <v>16.7439</v>
      </c>
      <c r="I522" s="81">
        <f>16.7502 * CHOOSE(CONTROL!$C$32, $C$9, 100%, $E$9)</f>
        <v>16.7502</v>
      </c>
      <c r="J522" s="81">
        <f>16.7439 * CHOOSE(CONTROL!$C$32, $C$9, 100%, $E$9)</f>
        <v>16.7439</v>
      </c>
      <c r="K522" s="81">
        <f>16.7502 * CHOOSE(CONTROL!$C$32, $C$9, 100%, $E$9)</f>
        <v>16.7502</v>
      </c>
      <c r="L522" s="81">
        <f>9.3616 * CHOOSE(CONTROL!$C$32, $C$9, 100%, $E$9)</f>
        <v>9.3615999999999993</v>
      </c>
      <c r="M522" s="81">
        <f>9.368 * CHOOSE(CONTROL!$C$32, $C$9, 100%, $E$9)</f>
        <v>9.3680000000000003</v>
      </c>
      <c r="N522" s="81">
        <f>9.3616 * CHOOSE(CONTROL!$C$32, $C$9, 100%, $E$9)</f>
        <v>9.3615999999999993</v>
      </c>
      <c r="O522" s="81">
        <f>9.368 * CHOOSE(CONTROL!$C$32, $C$9, 100%, $E$9)</f>
        <v>9.3680000000000003</v>
      </c>
    </row>
    <row r="523" spans="1:15" ht="15">
      <c r="A523" s="16">
        <v>57132</v>
      </c>
      <c r="B523" s="80">
        <f>7.808 * CHOOSE(CONTROL!$C$32, $C$9, 100%, $E$9)</f>
        <v>7.8079999999999998</v>
      </c>
      <c r="C523" s="80">
        <f>7.808 * CHOOSE(CONTROL!$C$32, $C$9, 100%, $E$9)</f>
        <v>7.8079999999999998</v>
      </c>
      <c r="D523" s="80">
        <f>7.8132 * CHOOSE(CONTROL!$C$32, $C$9, 100%, $E$9)</f>
        <v>7.8132000000000001</v>
      </c>
      <c r="E523" s="81">
        <f>9.3172 * CHOOSE(CONTROL!$C$32, $C$9, 100%, $E$9)</f>
        <v>9.3171999999999997</v>
      </c>
      <c r="F523" s="81">
        <f>9.3172 * CHOOSE(CONTROL!$C$32, $C$9, 100%, $E$9)</f>
        <v>9.3171999999999997</v>
      </c>
      <c r="G523" s="81">
        <f>9.3236 * CHOOSE(CONTROL!$C$32, $C$9, 100%, $E$9)</f>
        <v>9.3236000000000008</v>
      </c>
      <c r="H523" s="81">
        <f>16.7788 * CHOOSE(CONTROL!$C$32, $C$9, 100%, $E$9)</f>
        <v>16.7788</v>
      </c>
      <c r="I523" s="81">
        <f>16.7851 * CHOOSE(CONTROL!$C$32, $C$9, 100%, $E$9)</f>
        <v>16.7851</v>
      </c>
      <c r="J523" s="81">
        <f>16.7788 * CHOOSE(CONTROL!$C$32, $C$9, 100%, $E$9)</f>
        <v>16.7788</v>
      </c>
      <c r="K523" s="81">
        <f>16.7851 * CHOOSE(CONTROL!$C$32, $C$9, 100%, $E$9)</f>
        <v>16.7851</v>
      </c>
      <c r="L523" s="81">
        <f>9.3172 * CHOOSE(CONTROL!$C$32, $C$9, 100%, $E$9)</f>
        <v>9.3171999999999997</v>
      </c>
      <c r="M523" s="81">
        <f>9.3236 * CHOOSE(CONTROL!$C$32, $C$9, 100%, $E$9)</f>
        <v>9.3236000000000008</v>
      </c>
      <c r="N523" s="81">
        <f>9.3172 * CHOOSE(CONTROL!$C$32, $C$9, 100%, $E$9)</f>
        <v>9.3171999999999997</v>
      </c>
      <c r="O523" s="81">
        <f>9.3236 * CHOOSE(CONTROL!$C$32, $C$9, 100%, $E$9)</f>
        <v>9.3236000000000008</v>
      </c>
    </row>
    <row r="524" spans="1:15" ht="15">
      <c r="A524" s="16">
        <v>57162</v>
      </c>
      <c r="B524" s="80">
        <f>7.9308 * CHOOSE(CONTROL!$C$32, $C$9, 100%, $E$9)</f>
        <v>7.9307999999999996</v>
      </c>
      <c r="C524" s="80">
        <f>7.9308 * CHOOSE(CONTROL!$C$32, $C$9, 100%, $E$9)</f>
        <v>7.9307999999999996</v>
      </c>
      <c r="D524" s="80">
        <f>7.936 * CHOOSE(CONTROL!$C$32, $C$9, 100%, $E$9)</f>
        <v>7.9359999999999999</v>
      </c>
      <c r="E524" s="81">
        <f>9.4704 * CHOOSE(CONTROL!$C$32, $C$9, 100%, $E$9)</f>
        <v>9.4703999999999997</v>
      </c>
      <c r="F524" s="81">
        <f>9.4704 * CHOOSE(CONTROL!$C$32, $C$9, 100%, $E$9)</f>
        <v>9.4703999999999997</v>
      </c>
      <c r="G524" s="81">
        <f>9.4767 * CHOOSE(CONTROL!$C$32, $C$9, 100%, $E$9)</f>
        <v>9.4766999999999992</v>
      </c>
      <c r="H524" s="81">
        <f>16.8137 * CHOOSE(CONTROL!$C$32, $C$9, 100%, $E$9)</f>
        <v>16.813700000000001</v>
      </c>
      <c r="I524" s="81">
        <f>16.82 * CHOOSE(CONTROL!$C$32, $C$9, 100%, $E$9)</f>
        <v>16.82</v>
      </c>
      <c r="J524" s="81">
        <f>16.8137 * CHOOSE(CONTROL!$C$32, $C$9, 100%, $E$9)</f>
        <v>16.813700000000001</v>
      </c>
      <c r="K524" s="81">
        <f>16.82 * CHOOSE(CONTROL!$C$32, $C$9, 100%, $E$9)</f>
        <v>16.82</v>
      </c>
      <c r="L524" s="81">
        <f>9.4704 * CHOOSE(CONTROL!$C$32, $C$9, 100%, $E$9)</f>
        <v>9.4703999999999997</v>
      </c>
      <c r="M524" s="81">
        <f>9.4767 * CHOOSE(CONTROL!$C$32, $C$9, 100%, $E$9)</f>
        <v>9.4766999999999992</v>
      </c>
      <c r="N524" s="81">
        <f>9.4704 * CHOOSE(CONTROL!$C$32, $C$9, 100%, $E$9)</f>
        <v>9.4703999999999997</v>
      </c>
      <c r="O524" s="81">
        <f>9.4767 * CHOOSE(CONTROL!$C$32, $C$9, 100%, $E$9)</f>
        <v>9.4766999999999992</v>
      </c>
    </row>
    <row r="525" spans="1:15" ht="15">
      <c r="A525" s="16">
        <v>57193</v>
      </c>
      <c r="B525" s="80">
        <f>7.9375 * CHOOSE(CONTROL!$C$32, $C$9, 100%, $E$9)</f>
        <v>7.9375</v>
      </c>
      <c r="C525" s="80">
        <f>7.9375 * CHOOSE(CONTROL!$C$32, $C$9, 100%, $E$9)</f>
        <v>7.9375</v>
      </c>
      <c r="D525" s="80">
        <f>7.9426 * CHOOSE(CONTROL!$C$32, $C$9, 100%, $E$9)</f>
        <v>7.9425999999999997</v>
      </c>
      <c r="E525" s="81">
        <f>9.3291 * CHOOSE(CONTROL!$C$32, $C$9, 100%, $E$9)</f>
        <v>9.3291000000000004</v>
      </c>
      <c r="F525" s="81">
        <f>9.3291 * CHOOSE(CONTROL!$C$32, $C$9, 100%, $E$9)</f>
        <v>9.3291000000000004</v>
      </c>
      <c r="G525" s="81">
        <f>9.3354 * CHOOSE(CONTROL!$C$32, $C$9, 100%, $E$9)</f>
        <v>9.3353999999999999</v>
      </c>
      <c r="H525" s="81">
        <f>16.8488 * CHOOSE(CONTROL!$C$32, $C$9, 100%, $E$9)</f>
        <v>16.848800000000001</v>
      </c>
      <c r="I525" s="81">
        <f>16.8551 * CHOOSE(CONTROL!$C$32, $C$9, 100%, $E$9)</f>
        <v>16.8551</v>
      </c>
      <c r="J525" s="81">
        <f>16.8488 * CHOOSE(CONTROL!$C$32, $C$9, 100%, $E$9)</f>
        <v>16.848800000000001</v>
      </c>
      <c r="K525" s="81">
        <f>16.8551 * CHOOSE(CONTROL!$C$32, $C$9, 100%, $E$9)</f>
        <v>16.8551</v>
      </c>
      <c r="L525" s="81">
        <f>9.3291 * CHOOSE(CONTROL!$C$32, $C$9, 100%, $E$9)</f>
        <v>9.3291000000000004</v>
      </c>
      <c r="M525" s="81">
        <f>9.3354 * CHOOSE(CONTROL!$C$32, $C$9, 100%, $E$9)</f>
        <v>9.3353999999999999</v>
      </c>
      <c r="N525" s="81">
        <f>9.3291 * CHOOSE(CONTROL!$C$32, $C$9, 100%, $E$9)</f>
        <v>9.3291000000000004</v>
      </c>
      <c r="O525" s="81">
        <f>9.3354 * CHOOSE(CONTROL!$C$32, $C$9, 100%, $E$9)</f>
        <v>9.3353999999999999</v>
      </c>
    </row>
    <row r="526" spans="1:15" ht="15">
      <c r="A526" s="16">
        <v>57224</v>
      </c>
      <c r="B526" s="80">
        <f>7.9344 * CHOOSE(CONTROL!$C$32, $C$9, 100%, $E$9)</f>
        <v>7.9344000000000001</v>
      </c>
      <c r="C526" s="80">
        <f>7.9344 * CHOOSE(CONTROL!$C$32, $C$9, 100%, $E$9)</f>
        <v>7.9344000000000001</v>
      </c>
      <c r="D526" s="80">
        <f>7.9396 * CHOOSE(CONTROL!$C$32, $C$9, 100%, $E$9)</f>
        <v>7.9396000000000004</v>
      </c>
      <c r="E526" s="81">
        <f>9.3108 * CHOOSE(CONTROL!$C$32, $C$9, 100%, $E$9)</f>
        <v>9.3108000000000004</v>
      </c>
      <c r="F526" s="81">
        <f>9.3108 * CHOOSE(CONTROL!$C$32, $C$9, 100%, $E$9)</f>
        <v>9.3108000000000004</v>
      </c>
      <c r="G526" s="81">
        <f>9.3171 * CHOOSE(CONTROL!$C$32, $C$9, 100%, $E$9)</f>
        <v>9.3170999999999999</v>
      </c>
      <c r="H526" s="81">
        <f>16.8839 * CHOOSE(CONTROL!$C$32, $C$9, 100%, $E$9)</f>
        <v>16.883900000000001</v>
      </c>
      <c r="I526" s="81">
        <f>16.8902 * CHOOSE(CONTROL!$C$32, $C$9, 100%, $E$9)</f>
        <v>16.8902</v>
      </c>
      <c r="J526" s="81">
        <f>16.8839 * CHOOSE(CONTROL!$C$32, $C$9, 100%, $E$9)</f>
        <v>16.883900000000001</v>
      </c>
      <c r="K526" s="81">
        <f>16.8902 * CHOOSE(CONTROL!$C$32, $C$9, 100%, $E$9)</f>
        <v>16.8902</v>
      </c>
      <c r="L526" s="81">
        <f>9.3108 * CHOOSE(CONTROL!$C$32, $C$9, 100%, $E$9)</f>
        <v>9.3108000000000004</v>
      </c>
      <c r="M526" s="81">
        <f>9.3171 * CHOOSE(CONTROL!$C$32, $C$9, 100%, $E$9)</f>
        <v>9.3170999999999999</v>
      </c>
      <c r="N526" s="81">
        <f>9.3108 * CHOOSE(CONTROL!$C$32, $C$9, 100%, $E$9)</f>
        <v>9.3108000000000004</v>
      </c>
      <c r="O526" s="81">
        <f>9.3171 * CHOOSE(CONTROL!$C$32, $C$9, 100%, $E$9)</f>
        <v>9.3170999999999999</v>
      </c>
    </row>
    <row r="527" spans="1:15" ht="15">
      <c r="A527" s="16">
        <v>57254</v>
      </c>
      <c r="B527" s="80">
        <f>7.9424 * CHOOSE(CONTROL!$C$32, $C$9, 100%, $E$9)</f>
        <v>7.9424000000000001</v>
      </c>
      <c r="C527" s="80">
        <f>7.9424 * CHOOSE(CONTROL!$C$32, $C$9, 100%, $E$9)</f>
        <v>7.9424000000000001</v>
      </c>
      <c r="D527" s="80">
        <f>7.9459 * CHOOSE(CONTROL!$C$32, $C$9, 100%, $E$9)</f>
        <v>7.9459</v>
      </c>
      <c r="E527" s="81">
        <f>9.3622 * CHOOSE(CONTROL!$C$32, $C$9, 100%, $E$9)</f>
        <v>9.3621999999999996</v>
      </c>
      <c r="F527" s="81">
        <f>9.3622 * CHOOSE(CONTROL!$C$32, $C$9, 100%, $E$9)</f>
        <v>9.3621999999999996</v>
      </c>
      <c r="G527" s="81">
        <f>9.3666 * CHOOSE(CONTROL!$C$32, $C$9, 100%, $E$9)</f>
        <v>9.3666</v>
      </c>
      <c r="H527" s="81">
        <f>16.919 * CHOOSE(CONTROL!$C$32, $C$9, 100%, $E$9)</f>
        <v>16.919</v>
      </c>
      <c r="I527" s="81">
        <f>16.9234 * CHOOSE(CONTROL!$C$32, $C$9, 100%, $E$9)</f>
        <v>16.923400000000001</v>
      </c>
      <c r="J527" s="81">
        <f>16.919 * CHOOSE(CONTROL!$C$32, $C$9, 100%, $E$9)</f>
        <v>16.919</v>
      </c>
      <c r="K527" s="81">
        <f>16.9234 * CHOOSE(CONTROL!$C$32, $C$9, 100%, $E$9)</f>
        <v>16.923400000000001</v>
      </c>
      <c r="L527" s="81">
        <f>9.3622 * CHOOSE(CONTROL!$C$32, $C$9, 100%, $E$9)</f>
        <v>9.3621999999999996</v>
      </c>
      <c r="M527" s="81">
        <f>9.3666 * CHOOSE(CONTROL!$C$32, $C$9, 100%, $E$9)</f>
        <v>9.3666</v>
      </c>
      <c r="N527" s="81">
        <f>9.3622 * CHOOSE(CONTROL!$C$32, $C$9, 100%, $E$9)</f>
        <v>9.3621999999999996</v>
      </c>
      <c r="O527" s="81">
        <f>9.3666 * CHOOSE(CONTROL!$C$32, $C$9, 100%, $E$9)</f>
        <v>9.3666</v>
      </c>
    </row>
    <row r="528" spans="1:15" ht="15">
      <c r="A528" s="16">
        <v>57285</v>
      </c>
      <c r="B528" s="80">
        <f>7.9454 * CHOOSE(CONTROL!$C$32, $C$9, 100%, $E$9)</f>
        <v>7.9454000000000002</v>
      </c>
      <c r="C528" s="80">
        <f>7.9454 * CHOOSE(CONTROL!$C$32, $C$9, 100%, $E$9)</f>
        <v>7.9454000000000002</v>
      </c>
      <c r="D528" s="80">
        <f>7.949 * CHOOSE(CONTROL!$C$32, $C$9, 100%, $E$9)</f>
        <v>7.9489999999999998</v>
      </c>
      <c r="E528" s="81">
        <f>9.3968 * CHOOSE(CONTROL!$C$32, $C$9, 100%, $E$9)</f>
        <v>9.3968000000000007</v>
      </c>
      <c r="F528" s="81">
        <f>9.3968 * CHOOSE(CONTROL!$C$32, $C$9, 100%, $E$9)</f>
        <v>9.3968000000000007</v>
      </c>
      <c r="G528" s="81">
        <f>9.4011 * CHOOSE(CONTROL!$C$32, $C$9, 100%, $E$9)</f>
        <v>9.4010999999999996</v>
      </c>
      <c r="H528" s="81">
        <f>16.9543 * CHOOSE(CONTROL!$C$32, $C$9, 100%, $E$9)</f>
        <v>16.9543</v>
      </c>
      <c r="I528" s="81">
        <f>16.9586 * CHOOSE(CONTROL!$C$32, $C$9, 100%, $E$9)</f>
        <v>16.958600000000001</v>
      </c>
      <c r="J528" s="81">
        <f>16.9543 * CHOOSE(CONTROL!$C$32, $C$9, 100%, $E$9)</f>
        <v>16.9543</v>
      </c>
      <c r="K528" s="81">
        <f>16.9586 * CHOOSE(CONTROL!$C$32, $C$9, 100%, $E$9)</f>
        <v>16.958600000000001</v>
      </c>
      <c r="L528" s="81">
        <f>9.3968 * CHOOSE(CONTROL!$C$32, $C$9, 100%, $E$9)</f>
        <v>9.3968000000000007</v>
      </c>
      <c r="M528" s="81">
        <f>9.4011 * CHOOSE(CONTROL!$C$32, $C$9, 100%, $E$9)</f>
        <v>9.4010999999999996</v>
      </c>
      <c r="N528" s="81">
        <f>9.3968 * CHOOSE(CONTROL!$C$32, $C$9, 100%, $E$9)</f>
        <v>9.3968000000000007</v>
      </c>
      <c r="O528" s="81">
        <f>9.4011 * CHOOSE(CONTROL!$C$32, $C$9, 100%, $E$9)</f>
        <v>9.4010999999999996</v>
      </c>
    </row>
    <row r="529" spans="1:15" ht="15">
      <c r="A529" s="16">
        <v>57315</v>
      </c>
      <c r="B529" s="80">
        <f>7.9454 * CHOOSE(CONTROL!$C$32, $C$9, 100%, $E$9)</f>
        <v>7.9454000000000002</v>
      </c>
      <c r="C529" s="80">
        <f>7.9454 * CHOOSE(CONTROL!$C$32, $C$9, 100%, $E$9)</f>
        <v>7.9454000000000002</v>
      </c>
      <c r="D529" s="80">
        <f>7.949 * CHOOSE(CONTROL!$C$32, $C$9, 100%, $E$9)</f>
        <v>7.9489999999999998</v>
      </c>
      <c r="E529" s="81">
        <f>9.3157 * CHOOSE(CONTROL!$C$32, $C$9, 100%, $E$9)</f>
        <v>9.3156999999999996</v>
      </c>
      <c r="F529" s="81">
        <f>9.3157 * CHOOSE(CONTROL!$C$32, $C$9, 100%, $E$9)</f>
        <v>9.3156999999999996</v>
      </c>
      <c r="G529" s="81">
        <f>9.32 * CHOOSE(CONTROL!$C$32, $C$9, 100%, $E$9)</f>
        <v>9.32</v>
      </c>
      <c r="H529" s="81">
        <f>16.9896 * CHOOSE(CONTROL!$C$32, $C$9, 100%, $E$9)</f>
        <v>16.989599999999999</v>
      </c>
      <c r="I529" s="81">
        <f>16.994 * CHOOSE(CONTROL!$C$32, $C$9, 100%, $E$9)</f>
        <v>16.994</v>
      </c>
      <c r="J529" s="81">
        <f>16.9896 * CHOOSE(CONTROL!$C$32, $C$9, 100%, $E$9)</f>
        <v>16.989599999999999</v>
      </c>
      <c r="K529" s="81">
        <f>16.994 * CHOOSE(CONTROL!$C$32, $C$9, 100%, $E$9)</f>
        <v>16.994</v>
      </c>
      <c r="L529" s="81">
        <f>9.3157 * CHOOSE(CONTROL!$C$32, $C$9, 100%, $E$9)</f>
        <v>9.3156999999999996</v>
      </c>
      <c r="M529" s="81">
        <f>9.32 * CHOOSE(CONTROL!$C$32, $C$9, 100%, $E$9)</f>
        <v>9.32</v>
      </c>
      <c r="N529" s="81">
        <f>9.3157 * CHOOSE(CONTROL!$C$32, $C$9, 100%, $E$9)</f>
        <v>9.3156999999999996</v>
      </c>
      <c r="O529" s="81">
        <f>9.32 * CHOOSE(CONTROL!$C$32, $C$9, 100%, $E$9)</f>
        <v>9.32</v>
      </c>
    </row>
    <row r="530" spans="1:15" ht="15">
      <c r="A530" s="16">
        <v>57346</v>
      </c>
      <c r="B530" s="80">
        <f>8.0136 * CHOOSE(CONTROL!$C$32, $C$9, 100%, $E$9)</f>
        <v>8.0136000000000003</v>
      </c>
      <c r="C530" s="80">
        <f>8.0136 * CHOOSE(CONTROL!$C$32, $C$9, 100%, $E$9)</f>
        <v>8.0136000000000003</v>
      </c>
      <c r="D530" s="80">
        <f>8.0172 * CHOOSE(CONTROL!$C$32, $C$9, 100%, $E$9)</f>
        <v>8.0172000000000008</v>
      </c>
      <c r="E530" s="81">
        <f>9.4498 * CHOOSE(CONTROL!$C$32, $C$9, 100%, $E$9)</f>
        <v>9.4497999999999998</v>
      </c>
      <c r="F530" s="81">
        <f>9.4498 * CHOOSE(CONTROL!$C$32, $C$9, 100%, $E$9)</f>
        <v>9.4497999999999998</v>
      </c>
      <c r="G530" s="81">
        <f>9.4542 * CHOOSE(CONTROL!$C$32, $C$9, 100%, $E$9)</f>
        <v>9.4542000000000002</v>
      </c>
      <c r="H530" s="81">
        <f>17.025 * CHOOSE(CONTROL!$C$32, $C$9, 100%, $E$9)</f>
        <v>17.024999999999999</v>
      </c>
      <c r="I530" s="81">
        <f>17.0294 * CHOOSE(CONTROL!$C$32, $C$9, 100%, $E$9)</f>
        <v>17.029399999999999</v>
      </c>
      <c r="J530" s="81">
        <f>17.025 * CHOOSE(CONTROL!$C$32, $C$9, 100%, $E$9)</f>
        <v>17.024999999999999</v>
      </c>
      <c r="K530" s="81">
        <f>17.0294 * CHOOSE(CONTROL!$C$32, $C$9, 100%, $E$9)</f>
        <v>17.029399999999999</v>
      </c>
      <c r="L530" s="81">
        <f>9.4498 * CHOOSE(CONTROL!$C$32, $C$9, 100%, $E$9)</f>
        <v>9.4497999999999998</v>
      </c>
      <c r="M530" s="81">
        <f>9.4542 * CHOOSE(CONTROL!$C$32, $C$9, 100%, $E$9)</f>
        <v>9.4542000000000002</v>
      </c>
      <c r="N530" s="81">
        <f>9.4498 * CHOOSE(CONTROL!$C$32, $C$9, 100%, $E$9)</f>
        <v>9.4497999999999998</v>
      </c>
      <c r="O530" s="81">
        <f>9.4542 * CHOOSE(CONTROL!$C$32, $C$9, 100%, $E$9)</f>
        <v>9.4542000000000002</v>
      </c>
    </row>
    <row r="531" spans="1:15" ht="15">
      <c r="A531" s="16">
        <v>57377</v>
      </c>
      <c r="B531" s="80">
        <f>8.0106 * CHOOSE(CONTROL!$C$32, $C$9, 100%, $E$9)</f>
        <v>8.0106000000000002</v>
      </c>
      <c r="C531" s="80">
        <f>8.0106 * CHOOSE(CONTROL!$C$32, $C$9, 100%, $E$9)</f>
        <v>8.0106000000000002</v>
      </c>
      <c r="D531" s="80">
        <f>8.0141 * CHOOSE(CONTROL!$C$32, $C$9, 100%, $E$9)</f>
        <v>8.0140999999999991</v>
      </c>
      <c r="E531" s="81">
        <f>9.2901 * CHOOSE(CONTROL!$C$32, $C$9, 100%, $E$9)</f>
        <v>9.2901000000000007</v>
      </c>
      <c r="F531" s="81">
        <f>9.2901 * CHOOSE(CONTROL!$C$32, $C$9, 100%, $E$9)</f>
        <v>9.2901000000000007</v>
      </c>
      <c r="G531" s="81">
        <f>9.2945 * CHOOSE(CONTROL!$C$32, $C$9, 100%, $E$9)</f>
        <v>9.2944999999999993</v>
      </c>
      <c r="H531" s="81">
        <f>17.0605 * CHOOSE(CONTROL!$C$32, $C$9, 100%, $E$9)</f>
        <v>17.060500000000001</v>
      </c>
      <c r="I531" s="81">
        <f>17.0648 * CHOOSE(CONTROL!$C$32, $C$9, 100%, $E$9)</f>
        <v>17.064800000000002</v>
      </c>
      <c r="J531" s="81">
        <f>17.0605 * CHOOSE(CONTROL!$C$32, $C$9, 100%, $E$9)</f>
        <v>17.060500000000001</v>
      </c>
      <c r="K531" s="81">
        <f>17.0648 * CHOOSE(CONTROL!$C$32, $C$9, 100%, $E$9)</f>
        <v>17.064800000000002</v>
      </c>
      <c r="L531" s="81">
        <f>9.2901 * CHOOSE(CONTROL!$C$32, $C$9, 100%, $E$9)</f>
        <v>9.2901000000000007</v>
      </c>
      <c r="M531" s="81">
        <f>9.2945 * CHOOSE(CONTROL!$C$32, $C$9, 100%, $E$9)</f>
        <v>9.2944999999999993</v>
      </c>
      <c r="N531" s="81">
        <f>9.2901 * CHOOSE(CONTROL!$C$32, $C$9, 100%, $E$9)</f>
        <v>9.2901000000000007</v>
      </c>
      <c r="O531" s="81">
        <f>9.2945 * CHOOSE(CONTROL!$C$32, $C$9, 100%, $E$9)</f>
        <v>9.2944999999999993</v>
      </c>
    </row>
    <row r="532" spans="1:15" ht="15">
      <c r="A532" s="16">
        <v>57405</v>
      </c>
      <c r="B532" s="80">
        <f>8.0075 * CHOOSE(CONTROL!$C$32, $C$9, 100%, $E$9)</f>
        <v>8.0075000000000003</v>
      </c>
      <c r="C532" s="80">
        <f>8.0075 * CHOOSE(CONTROL!$C$32, $C$9, 100%, $E$9)</f>
        <v>8.0075000000000003</v>
      </c>
      <c r="D532" s="80">
        <f>8.0111 * CHOOSE(CONTROL!$C$32, $C$9, 100%, $E$9)</f>
        <v>8.0111000000000008</v>
      </c>
      <c r="E532" s="81">
        <f>9.4122 * CHOOSE(CONTROL!$C$32, $C$9, 100%, $E$9)</f>
        <v>9.4122000000000003</v>
      </c>
      <c r="F532" s="81">
        <f>9.4122 * CHOOSE(CONTROL!$C$32, $C$9, 100%, $E$9)</f>
        <v>9.4122000000000003</v>
      </c>
      <c r="G532" s="81">
        <f>9.4166 * CHOOSE(CONTROL!$C$32, $C$9, 100%, $E$9)</f>
        <v>9.4166000000000007</v>
      </c>
      <c r="H532" s="81">
        <f>17.096 * CHOOSE(CONTROL!$C$32, $C$9, 100%, $E$9)</f>
        <v>17.096</v>
      </c>
      <c r="I532" s="81">
        <f>17.1004 * CHOOSE(CONTROL!$C$32, $C$9, 100%, $E$9)</f>
        <v>17.1004</v>
      </c>
      <c r="J532" s="81">
        <f>17.096 * CHOOSE(CONTROL!$C$32, $C$9, 100%, $E$9)</f>
        <v>17.096</v>
      </c>
      <c r="K532" s="81">
        <f>17.1004 * CHOOSE(CONTROL!$C$32, $C$9, 100%, $E$9)</f>
        <v>17.1004</v>
      </c>
      <c r="L532" s="81">
        <f>9.4122 * CHOOSE(CONTROL!$C$32, $C$9, 100%, $E$9)</f>
        <v>9.4122000000000003</v>
      </c>
      <c r="M532" s="81">
        <f>9.4166 * CHOOSE(CONTROL!$C$32, $C$9, 100%, $E$9)</f>
        <v>9.4166000000000007</v>
      </c>
      <c r="N532" s="81">
        <f>9.4122 * CHOOSE(CONTROL!$C$32, $C$9, 100%, $E$9)</f>
        <v>9.4122000000000003</v>
      </c>
      <c r="O532" s="81">
        <f>9.4166 * CHOOSE(CONTROL!$C$32, $C$9, 100%, $E$9)</f>
        <v>9.4166000000000007</v>
      </c>
    </row>
    <row r="533" spans="1:15" ht="15">
      <c r="A533" s="16">
        <v>57436</v>
      </c>
      <c r="B533" s="80">
        <f>8.0086 * CHOOSE(CONTROL!$C$32, $C$9, 100%, $E$9)</f>
        <v>8.0085999999999995</v>
      </c>
      <c r="C533" s="80">
        <f>8.0086 * CHOOSE(CONTROL!$C$32, $C$9, 100%, $E$9)</f>
        <v>8.0085999999999995</v>
      </c>
      <c r="D533" s="80">
        <f>8.0122 * CHOOSE(CONTROL!$C$32, $C$9, 100%, $E$9)</f>
        <v>8.0122</v>
      </c>
      <c r="E533" s="81">
        <f>9.5413 * CHOOSE(CONTROL!$C$32, $C$9, 100%, $E$9)</f>
        <v>9.5412999999999997</v>
      </c>
      <c r="F533" s="81">
        <f>9.5413 * CHOOSE(CONTROL!$C$32, $C$9, 100%, $E$9)</f>
        <v>9.5412999999999997</v>
      </c>
      <c r="G533" s="81">
        <f>9.5457 * CHOOSE(CONTROL!$C$32, $C$9, 100%, $E$9)</f>
        <v>9.5457000000000001</v>
      </c>
      <c r="H533" s="81">
        <f>17.1316 * CHOOSE(CONTROL!$C$32, $C$9, 100%, $E$9)</f>
        <v>17.131599999999999</v>
      </c>
      <c r="I533" s="81">
        <f>17.136 * CHOOSE(CONTROL!$C$32, $C$9, 100%, $E$9)</f>
        <v>17.135999999999999</v>
      </c>
      <c r="J533" s="81">
        <f>17.1316 * CHOOSE(CONTROL!$C$32, $C$9, 100%, $E$9)</f>
        <v>17.131599999999999</v>
      </c>
      <c r="K533" s="81">
        <f>17.136 * CHOOSE(CONTROL!$C$32, $C$9, 100%, $E$9)</f>
        <v>17.135999999999999</v>
      </c>
      <c r="L533" s="81">
        <f>9.5413 * CHOOSE(CONTROL!$C$32, $C$9, 100%, $E$9)</f>
        <v>9.5412999999999997</v>
      </c>
      <c r="M533" s="81">
        <f>9.5457 * CHOOSE(CONTROL!$C$32, $C$9, 100%, $E$9)</f>
        <v>9.5457000000000001</v>
      </c>
      <c r="N533" s="81">
        <f>9.5413 * CHOOSE(CONTROL!$C$32, $C$9, 100%, $E$9)</f>
        <v>9.5412999999999997</v>
      </c>
      <c r="O533" s="81">
        <f>9.5457 * CHOOSE(CONTROL!$C$32, $C$9, 100%, $E$9)</f>
        <v>9.5457000000000001</v>
      </c>
    </row>
    <row r="534" spans="1:15" ht="15">
      <c r="A534" s="16">
        <v>57466</v>
      </c>
      <c r="B534" s="80">
        <f>8.0086 * CHOOSE(CONTROL!$C$32, $C$9, 100%, $E$9)</f>
        <v>8.0085999999999995</v>
      </c>
      <c r="C534" s="80">
        <f>8.0086 * CHOOSE(CONTROL!$C$32, $C$9, 100%, $E$9)</f>
        <v>8.0085999999999995</v>
      </c>
      <c r="D534" s="80">
        <f>8.0138 * CHOOSE(CONTROL!$C$32, $C$9, 100%, $E$9)</f>
        <v>8.0137999999999998</v>
      </c>
      <c r="E534" s="81">
        <f>9.5913 * CHOOSE(CONTROL!$C$32, $C$9, 100%, $E$9)</f>
        <v>9.5913000000000004</v>
      </c>
      <c r="F534" s="81">
        <f>9.5913 * CHOOSE(CONTROL!$C$32, $C$9, 100%, $E$9)</f>
        <v>9.5913000000000004</v>
      </c>
      <c r="G534" s="81">
        <f>9.5977 * CHOOSE(CONTROL!$C$32, $C$9, 100%, $E$9)</f>
        <v>9.5976999999999997</v>
      </c>
      <c r="H534" s="81">
        <f>17.1673 * CHOOSE(CONTROL!$C$32, $C$9, 100%, $E$9)</f>
        <v>17.167300000000001</v>
      </c>
      <c r="I534" s="81">
        <f>17.1736 * CHOOSE(CONTROL!$C$32, $C$9, 100%, $E$9)</f>
        <v>17.1736</v>
      </c>
      <c r="J534" s="81">
        <f>17.1673 * CHOOSE(CONTROL!$C$32, $C$9, 100%, $E$9)</f>
        <v>17.167300000000001</v>
      </c>
      <c r="K534" s="81">
        <f>17.1736 * CHOOSE(CONTROL!$C$32, $C$9, 100%, $E$9)</f>
        <v>17.1736</v>
      </c>
      <c r="L534" s="81">
        <f>9.5913 * CHOOSE(CONTROL!$C$32, $C$9, 100%, $E$9)</f>
        <v>9.5913000000000004</v>
      </c>
      <c r="M534" s="81">
        <f>9.5977 * CHOOSE(CONTROL!$C$32, $C$9, 100%, $E$9)</f>
        <v>9.5976999999999997</v>
      </c>
      <c r="N534" s="81">
        <f>9.5913 * CHOOSE(CONTROL!$C$32, $C$9, 100%, $E$9)</f>
        <v>9.5913000000000004</v>
      </c>
      <c r="O534" s="81">
        <f>9.5977 * CHOOSE(CONTROL!$C$32, $C$9, 100%, $E$9)</f>
        <v>9.5976999999999997</v>
      </c>
    </row>
    <row r="535" spans="1:15" ht="15">
      <c r="A535" s="16">
        <v>57497</v>
      </c>
      <c r="B535" s="80">
        <f>8.0147 * CHOOSE(CONTROL!$C$32, $C$9, 100%, $E$9)</f>
        <v>8.0146999999999995</v>
      </c>
      <c r="C535" s="80">
        <f>8.0147 * CHOOSE(CONTROL!$C$32, $C$9, 100%, $E$9)</f>
        <v>8.0146999999999995</v>
      </c>
      <c r="D535" s="80">
        <f>8.0199 * CHOOSE(CONTROL!$C$32, $C$9, 100%, $E$9)</f>
        <v>8.0198999999999998</v>
      </c>
      <c r="E535" s="81">
        <f>9.5456 * CHOOSE(CONTROL!$C$32, $C$9, 100%, $E$9)</f>
        <v>9.5456000000000003</v>
      </c>
      <c r="F535" s="81">
        <f>9.5456 * CHOOSE(CONTROL!$C$32, $C$9, 100%, $E$9)</f>
        <v>9.5456000000000003</v>
      </c>
      <c r="G535" s="81">
        <f>9.5519 * CHOOSE(CONTROL!$C$32, $C$9, 100%, $E$9)</f>
        <v>9.5518999999999998</v>
      </c>
      <c r="H535" s="81">
        <f>17.2031 * CHOOSE(CONTROL!$C$32, $C$9, 100%, $E$9)</f>
        <v>17.203099999999999</v>
      </c>
      <c r="I535" s="81">
        <f>17.2094 * CHOOSE(CONTROL!$C$32, $C$9, 100%, $E$9)</f>
        <v>17.209399999999999</v>
      </c>
      <c r="J535" s="81">
        <f>17.2031 * CHOOSE(CONTROL!$C$32, $C$9, 100%, $E$9)</f>
        <v>17.203099999999999</v>
      </c>
      <c r="K535" s="81">
        <f>17.2094 * CHOOSE(CONTROL!$C$32, $C$9, 100%, $E$9)</f>
        <v>17.209399999999999</v>
      </c>
      <c r="L535" s="81">
        <f>9.5456 * CHOOSE(CONTROL!$C$32, $C$9, 100%, $E$9)</f>
        <v>9.5456000000000003</v>
      </c>
      <c r="M535" s="81">
        <f>9.5519 * CHOOSE(CONTROL!$C$32, $C$9, 100%, $E$9)</f>
        <v>9.5518999999999998</v>
      </c>
      <c r="N535" s="81">
        <f>9.5456 * CHOOSE(CONTROL!$C$32, $C$9, 100%, $E$9)</f>
        <v>9.5456000000000003</v>
      </c>
      <c r="O535" s="81">
        <f>9.5519 * CHOOSE(CONTROL!$C$32, $C$9, 100%, $E$9)</f>
        <v>9.5518999999999998</v>
      </c>
    </row>
    <row r="536" spans="1:15" ht="15">
      <c r="A536" s="16">
        <v>57527</v>
      </c>
      <c r="B536" s="80">
        <f>8.1404 * CHOOSE(CONTROL!$C$32, $C$9, 100%, $E$9)</f>
        <v>8.1403999999999996</v>
      </c>
      <c r="C536" s="80">
        <f>8.1404 * CHOOSE(CONTROL!$C$32, $C$9, 100%, $E$9)</f>
        <v>8.1403999999999996</v>
      </c>
      <c r="D536" s="80">
        <f>8.1456 * CHOOSE(CONTROL!$C$32, $C$9, 100%, $E$9)</f>
        <v>8.1456</v>
      </c>
      <c r="E536" s="81">
        <f>9.7022 * CHOOSE(CONTROL!$C$32, $C$9, 100%, $E$9)</f>
        <v>9.7021999999999995</v>
      </c>
      <c r="F536" s="81">
        <f>9.7022 * CHOOSE(CONTROL!$C$32, $C$9, 100%, $E$9)</f>
        <v>9.7021999999999995</v>
      </c>
      <c r="G536" s="81">
        <f>9.7085 * CHOOSE(CONTROL!$C$32, $C$9, 100%, $E$9)</f>
        <v>9.7085000000000008</v>
      </c>
      <c r="H536" s="81">
        <f>17.2389 * CHOOSE(CONTROL!$C$32, $C$9, 100%, $E$9)</f>
        <v>17.238900000000001</v>
      </c>
      <c r="I536" s="81">
        <f>17.2452 * CHOOSE(CONTROL!$C$32, $C$9, 100%, $E$9)</f>
        <v>17.245200000000001</v>
      </c>
      <c r="J536" s="81">
        <f>17.2389 * CHOOSE(CONTROL!$C$32, $C$9, 100%, $E$9)</f>
        <v>17.238900000000001</v>
      </c>
      <c r="K536" s="81">
        <f>17.2452 * CHOOSE(CONTROL!$C$32, $C$9, 100%, $E$9)</f>
        <v>17.245200000000001</v>
      </c>
      <c r="L536" s="81">
        <f>9.7022 * CHOOSE(CONTROL!$C$32, $C$9, 100%, $E$9)</f>
        <v>9.7021999999999995</v>
      </c>
      <c r="M536" s="81">
        <f>9.7085 * CHOOSE(CONTROL!$C$32, $C$9, 100%, $E$9)</f>
        <v>9.7085000000000008</v>
      </c>
      <c r="N536" s="81">
        <f>9.7022 * CHOOSE(CONTROL!$C$32, $C$9, 100%, $E$9)</f>
        <v>9.7021999999999995</v>
      </c>
      <c r="O536" s="81">
        <f>9.7085 * CHOOSE(CONTROL!$C$32, $C$9, 100%, $E$9)</f>
        <v>9.7085000000000008</v>
      </c>
    </row>
    <row r="537" spans="1:15" ht="15">
      <c r="A537" s="16">
        <v>57558</v>
      </c>
      <c r="B537" s="80">
        <f>8.1471 * CHOOSE(CONTROL!$C$32, $C$9, 100%, $E$9)</f>
        <v>8.1471</v>
      </c>
      <c r="C537" s="80">
        <f>8.1471 * CHOOSE(CONTROL!$C$32, $C$9, 100%, $E$9)</f>
        <v>8.1471</v>
      </c>
      <c r="D537" s="80">
        <f>8.1523 * CHOOSE(CONTROL!$C$32, $C$9, 100%, $E$9)</f>
        <v>8.1523000000000003</v>
      </c>
      <c r="E537" s="81">
        <f>9.5568 * CHOOSE(CONTROL!$C$32, $C$9, 100%, $E$9)</f>
        <v>9.5568000000000008</v>
      </c>
      <c r="F537" s="81">
        <f>9.5568 * CHOOSE(CONTROL!$C$32, $C$9, 100%, $E$9)</f>
        <v>9.5568000000000008</v>
      </c>
      <c r="G537" s="81">
        <f>9.5631 * CHOOSE(CONTROL!$C$32, $C$9, 100%, $E$9)</f>
        <v>9.5631000000000004</v>
      </c>
      <c r="H537" s="81">
        <f>17.2748 * CHOOSE(CONTROL!$C$32, $C$9, 100%, $E$9)</f>
        <v>17.274799999999999</v>
      </c>
      <c r="I537" s="81">
        <f>17.2811 * CHOOSE(CONTROL!$C$32, $C$9, 100%, $E$9)</f>
        <v>17.281099999999999</v>
      </c>
      <c r="J537" s="81">
        <f>17.2748 * CHOOSE(CONTROL!$C$32, $C$9, 100%, $E$9)</f>
        <v>17.274799999999999</v>
      </c>
      <c r="K537" s="81">
        <f>17.2811 * CHOOSE(CONTROL!$C$32, $C$9, 100%, $E$9)</f>
        <v>17.281099999999999</v>
      </c>
      <c r="L537" s="81">
        <f>9.5568 * CHOOSE(CONTROL!$C$32, $C$9, 100%, $E$9)</f>
        <v>9.5568000000000008</v>
      </c>
      <c r="M537" s="81">
        <f>9.5631 * CHOOSE(CONTROL!$C$32, $C$9, 100%, $E$9)</f>
        <v>9.5631000000000004</v>
      </c>
      <c r="N537" s="81">
        <f>9.5568 * CHOOSE(CONTROL!$C$32, $C$9, 100%, $E$9)</f>
        <v>9.5568000000000008</v>
      </c>
      <c r="O537" s="81">
        <f>9.5631 * CHOOSE(CONTROL!$C$32, $C$9, 100%, $E$9)</f>
        <v>9.5631000000000004</v>
      </c>
    </row>
    <row r="538" spans="1:15" ht="15">
      <c r="A538" s="16">
        <v>57589</v>
      </c>
      <c r="B538" s="80">
        <f>8.1441 * CHOOSE(CONTROL!$C$32, $C$9, 100%, $E$9)</f>
        <v>8.1440999999999999</v>
      </c>
      <c r="C538" s="80">
        <f>8.1441 * CHOOSE(CONTROL!$C$32, $C$9, 100%, $E$9)</f>
        <v>8.1440999999999999</v>
      </c>
      <c r="D538" s="80">
        <f>8.1492 * CHOOSE(CONTROL!$C$32, $C$9, 100%, $E$9)</f>
        <v>8.1492000000000004</v>
      </c>
      <c r="E538" s="81">
        <f>9.538 * CHOOSE(CONTROL!$C$32, $C$9, 100%, $E$9)</f>
        <v>9.5380000000000003</v>
      </c>
      <c r="F538" s="81">
        <f>9.538 * CHOOSE(CONTROL!$C$32, $C$9, 100%, $E$9)</f>
        <v>9.5380000000000003</v>
      </c>
      <c r="G538" s="81">
        <f>9.5443 * CHOOSE(CONTROL!$C$32, $C$9, 100%, $E$9)</f>
        <v>9.5442999999999998</v>
      </c>
      <c r="H538" s="81">
        <f>17.3108 * CHOOSE(CONTROL!$C$32, $C$9, 100%, $E$9)</f>
        <v>17.3108</v>
      </c>
      <c r="I538" s="81">
        <f>17.3171 * CHOOSE(CONTROL!$C$32, $C$9, 100%, $E$9)</f>
        <v>17.3171</v>
      </c>
      <c r="J538" s="81">
        <f>17.3108 * CHOOSE(CONTROL!$C$32, $C$9, 100%, $E$9)</f>
        <v>17.3108</v>
      </c>
      <c r="K538" s="81">
        <f>17.3171 * CHOOSE(CONTROL!$C$32, $C$9, 100%, $E$9)</f>
        <v>17.3171</v>
      </c>
      <c r="L538" s="81">
        <f>9.538 * CHOOSE(CONTROL!$C$32, $C$9, 100%, $E$9)</f>
        <v>9.5380000000000003</v>
      </c>
      <c r="M538" s="81">
        <f>9.5443 * CHOOSE(CONTROL!$C$32, $C$9, 100%, $E$9)</f>
        <v>9.5442999999999998</v>
      </c>
      <c r="N538" s="81">
        <f>9.538 * CHOOSE(CONTROL!$C$32, $C$9, 100%, $E$9)</f>
        <v>9.5380000000000003</v>
      </c>
      <c r="O538" s="81">
        <f>9.5443 * CHOOSE(CONTROL!$C$32, $C$9, 100%, $E$9)</f>
        <v>9.5442999999999998</v>
      </c>
    </row>
    <row r="539" spans="1:15" ht="15">
      <c r="A539" s="16">
        <v>57619</v>
      </c>
      <c r="B539" s="80">
        <f>8.1527 * CHOOSE(CONTROL!$C$32, $C$9, 100%, $E$9)</f>
        <v>8.1526999999999994</v>
      </c>
      <c r="C539" s="80">
        <f>8.1527 * CHOOSE(CONTROL!$C$32, $C$9, 100%, $E$9)</f>
        <v>8.1526999999999994</v>
      </c>
      <c r="D539" s="80">
        <f>8.1563 * CHOOSE(CONTROL!$C$32, $C$9, 100%, $E$9)</f>
        <v>8.1562999999999999</v>
      </c>
      <c r="E539" s="81">
        <f>9.5913 * CHOOSE(CONTROL!$C$32, $C$9, 100%, $E$9)</f>
        <v>9.5913000000000004</v>
      </c>
      <c r="F539" s="81">
        <f>9.5913 * CHOOSE(CONTROL!$C$32, $C$9, 100%, $E$9)</f>
        <v>9.5913000000000004</v>
      </c>
      <c r="G539" s="81">
        <f>9.5956 * CHOOSE(CONTROL!$C$32, $C$9, 100%, $E$9)</f>
        <v>9.5955999999999992</v>
      </c>
      <c r="H539" s="81">
        <f>17.3469 * CHOOSE(CONTROL!$C$32, $C$9, 100%, $E$9)</f>
        <v>17.346900000000002</v>
      </c>
      <c r="I539" s="81">
        <f>17.3513 * CHOOSE(CONTROL!$C$32, $C$9, 100%, $E$9)</f>
        <v>17.351299999999998</v>
      </c>
      <c r="J539" s="81">
        <f>17.3469 * CHOOSE(CONTROL!$C$32, $C$9, 100%, $E$9)</f>
        <v>17.346900000000002</v>
      </c>
      <c r="K539" s="81">
        <f>17.3513 * CHOOSE(CONTROL!$C$32, $C$9, 100%, $E$9)</f>
        <v>17.351299999999998</v>
      </c>
      <c r="L539" s="81">
        <f>9.5913 * CHOOSE(CONTROL!$C$32, $C$9, 100%, $E$9)</f>
        <v>9.5913000000000004</v>
      </c>
      <c r="M539" s="81">
        <f>9.5956 * CHOOSE(CONTROL!$C$32, $C$9, 100%, $E$9)</f>
        <v>9.5955999999999992</v>
      </c>
      <c r="N539" s="81">
        <f>9.5913 * CHOOSE(CONTROL!$C$32, $C$9, 100%, $E$9)</f>
        <v>9.5913000000000004</v>
      </c>
      <c r="O539" s="81">
        <f>9.5956 * CHOOSE(CONTROL!$C$32, $C$9, 100%, $E$9)</f>
        <v>9.5955999999999992</v>
      </c>
    </row>
    <row r="540" spans="1:15" ht="15">
      <c r="A540" s="16">
        <v>57650</v>
      </c>
      <c r="B540" s="80">
        <f>8.1558 * CHOOSE(CONTROL!$C$32, $C$9, 100%, $E$9)</f>
        <v>8.1557999999999993</v>
      </c>
      <c r="C540" s="80">
        <f>8.1558 * CHOOSE(CONTROL!$C$32, $C$9, 100%, $E$9)</f>
        <v>8.1557999999999993</v>
      </c>
      <c r="D540" s="80">
        <f>8.1593 * CHOOSE(CONTROL!$C$32, $C$9, 100%, $E$9)</f>
        <v>8.1593</v>
      </c>
      <c r="E540" s="81">
        <f>9.6267 * CHOOSE(CONTROL!$C$32, $C$9, 100%, $E$9)</f>
        <v>9.6266999999999996</v>
      </c>
      <c r="F540" s="81">
        <f>9.6267 * CHOOSE(CONTROL!$C$32, $C$9, 100%, $E$9)</f>
        <v>9.6266999999999996</v>
      </c>
      <c r="G540" s="81">
        <f>9.6311 * CHOOSE(CONTROL!$C$32, $C$9, 100%, $E$9)</f>
        <v>9.6311</v>
      </c>
      <c r="H540" s="81">
        <f>17.383 * CHOOSE(CONTROL!$C$32, $C$9, 100%, $E$9)</f>
        <v>17.382999999999999</v>
      </c>
      <c r="I540" s="81">
        <f>17.3874 * CHOOSE(CONTROL!$C$32, $C$9, 100%, $E$9)</f>
        <v>17.3874</v>
      </c>
      <c r="J540" s="81">
        <f>17.383 * CHOOSE(CONTROL!$C$32, $C$9, 100%, $E$9)</f>
        <v>17.382999999999999</v>
      </c>
      <c r="K540" s="81">
        <f>17.3874 * CHOOSE(CONTROL!$C$32, $C$9, 100%, $E$9)</f>
        <v>17.3874</v>
      </c>
      <c r="L540" s="81">
        <f>9.6267 * CHOOSE(CONTROL!$C$32, $C$9, 100%, $E$9)</f>
        <v>9.6266999999999996</v>
      </c>
      <c r="M540" s="81">
        <f>9.6311 * CHOOSE(CONTROL!$C$32, $C$9, 100%, $E$9)</f>
        <v>9.6311</v>
      </c>
      <c r="N540" s="81">
        <f>9.6267 * CHOOSE(CONTROL!$C$32, $C$9, 100%, $E$9)</f>
        <v>9.6266999999999996</v>
      </c>
      <c r="O540" s="81">
        <f>9.6311 * CHOOSE(CONTROL!$C$32, $C$9, 100%, $E$9)</f>
        <v>9.6311</v>
      </c>
    </row>
    <row r="541" spans="1:15" ht="15">
      <c r="A541" s="16">
        <v>57680</v>
      </c>
      <c r="B541" s="80">
        <f>8.1558 * CHOOSE(CONTROL!$C$32, $C$9, 100%, $E$9)</f>
        <v>8.1557999999999993</v>
      </c>
      <c r="C541" s="80">
        <f>8.1558 * CHOOSE(CONTROL!$C$32, $C$9, 100%, $E$9)</f>
        <v>8.1557999999999993</v>
      </c>
      <c r="D541" s="80">
        <f>8.1593 * CHOOSE(CONTROL!$C$32, $C$9, 100%, $E$9)</f>
        <v>8.1593</v>
      </c>
      <c r="E541" s="81">
        <f>9.5434 * CHOOSE(CONTROL!$C$32, $C$9, 100%, $E$9)</f>
        <v>9.5434000000000001</v>
      </c>
      <c r="F541" s="81">
        <f>9.5434 * CHOOSE(CONTROL!$C$32, $C$9, 100%, $E$9)</f>
        <v>9.5434000000000001</v>
      </c>
      <c r="G541" s="81">
        <f>9.5478 * CHOOSE(CONTROL!$C$32, $C$9, 100%, $E$9)</f>
        <v>9.5478000000000005</v>
      </c>
      <c r="H541" s="81">
        <f>17.4192 * CHOOSE(CONTROL!$C$32, $C$9, 100%, $E$9)</f>
        <v>17.4192</v>
      </c>
      <c r="I541" s="81">
        <f>17.4236 * CHOOSE(CONTROL!$C$32, $C$9, 100%, $E$9)</f>
        <v>17.4236</v>
      </c>
      <c r="J541" s="81">
        <f>17.4192 * CHOOSE(CONTROL!$C$32, $C$9, 100%, $E$9)</f>
        <v>17.4192</v>
      </c>
      <c r="K541" s="81">
        <f>17.4236 * CHOOSE(CONTROL!$C$32, $C$9, 100%, $E$9)</f>
        <v>17.4236</v>
      </c>
      <c r="L541" s="81">
        <f>9.5434 * CHOOSE(CONTROL!$C$32, $C$9, 100%, $E$9)</f>
        <v>9.5434000000000001</v>
      </c>
      <c r="M541" s="81">
        <f>9.5478 * CHOOSE(CONTROL!$C$32, $C$9, 100%, $E$9)</f>
        <v>9.5478000000000005</v>
      </c>
      <c r="N541" s="81">
        <f>9.5434 * CHOOSE(CONTROL!$C$32, $C$9, 100%, $E$9)</f>
        <v>9.5434000000000001</v>
      </c>
      <c r="O541" s="81">
        <f>9.5478 * CHOOSE(CONTROL!$C$32, $C$9, 100%, $E$9)</f>
        <v>9.5478000000000005</v>
      </c>
    </row>
    <row r="542" spans="1:15" ht="15">
      <c r="A542" s="16">
        <v>57711</v>
      </c>
      <c r="B542" s="80">
        <f>8.2256 * CHOOSE(CONTROL!$C$32, $C$9, 100%, $E$9)</f>
        <v>8.2256</v>
      </c>
      <c r="C542" s="80">
        <f>8.2256 * CHOOSE(CONTROL!$C$32, $C$9, 100%, $E$9)</f>
        <v>8.2256</v>
      </c>
      <c r="D542" s="80">
        <f>8.2292 * CHOOSE(CONTROL!$C$32, $C$9, 100%, $E$9)</f>
        <v>8.2292000000000005</v>
      </c>
      <c r="E542" s="81">
        <f>9.6809 * CHOOSE(CONTROL!$C$32, $C$9, 100%, $E$9)</f>
        <v>9.6808999999999994</v>
      </c>
      <c r="F542" s="81">
        <f>9.6809 * CHOOSE(CONTROL!$C$32, $C$9, 100%, $E$9)</f>
        <v>9.6808999999999994</v>
      </c>
      <c r="G542" s="81">
        <f>9.6853 * CHOOSE(CONTROL!$C$32, $C$9, 100%, $E$9)</f>
        <v>9.6852999999999998</v>
      </c>
      <c r="H542" s="81">
        <f>17.4555 * CHOOSE(CONTROL!$C$32, $C$9, 100%, $E$9)</f>
        <v>17.455500000000001</v>
      </c>
      <c r="I542" s="81">
        <f>17.4599 * CHOOSE(CONTROL!$C$32, $C$9, 100%, $E$9)</f>
        <v>17.459900000000001</v>
      </c>
      <c r="J542" s="81">
        <f>17.4555 * CHOOSE(CONTROL!$C$32, $C$9, 100%, $E$9)</f>
        <v>17.455500000000001</v>
      </c>
      <c r="K542" s="81">
        <f>17.4599 * CHOOSE(CONTROL!$C$32, $C$9, 100%, $E$9)</f>
        <v>17.459900000000001</v>
      </c>
      <c r="L542" s="81">
        <f>9.6809 * CHOOSE(CONTROL!$C$32, $C$9, 100%, $E$9)</f>
        <v>9.6808999999999994</v>
      </c>
      <c r="M542" s="81">
        <f>9.6853 * CHOOSE(CONTROL!$C$32, $C$9, 100%, $E$9)</f>
        <v>9.6852999999999998</v>
      </c>
      <c r="N542" s="81">
        <f>9.6809 * CHOOSE(CONTROL!$C$32, $C$9, 100%, $E$9)</f>
        <v>9.6808999999999994</v>
      </c>
      <c r="O542" s="81">
        <f>9.6853 * CHOOSE(CONTROL!$C$32, $C$9, 100%, $E$9)</f>
        <v>9.6852999999999998</v>
      </c>
    </row>
    <row r="543" spans="1:15" ht="15">
      <c r="A543" s="16">
        <v>57742</v>
      </c>
      <c r="B543" s="80">
        <f>8.2226 * CHOOSE(CONTROL!$C$32, $C$9, 100%, $E$9)</f>
        <v>8.2225999999999999</v>
      </c>
      <c r="C543" s="80">
        <f>8.2226 * CHOOSE(CONTROL!$C$32, $C$9, 100%, $E$9)</f>
        <v>8.2225999999999999</v>
      </c>
      <c r="D543" s="80">
        <f>8.2261 * CHOOSE(CONTROL!$C$32, $C$9, 100%, $E$9)</f>
        <v>8.2261000000000006</v>
      </c>
      <c r="E543" s="81">
        <f>9.5169 * CHOOSE(CONTROL!$C$32, $C$9, 100%, $E$9)</f>
        <v>9.5168999999999997</v>
      </c>
      <c r="F543" s="81">
        <f>9.5169 * CHOOSE(CONTROL!$C$32, $C$9, 100%, $E$9)</f>
        <v>9.5168999999999997</v>
      </c>
      <c r="G543" s="81">
        <f>9.5212 * CHOOSE(CONTROL!$C$32, $C$9, 100%, $E$9)</f>
        <v>9.5212000000000003</v>
      </c>
      <c r="H543" s="81">
        <f>17.4919 * CHOOSE(CONTROL!$C$32, $C$9, 100%, $E$9)</f>
        <v>17.491900000000001</v>
      </c>
      <c r="I543" s="81">
        <f>17.4963 * CHOOSE(CONTROL!$C$32, $C$9, 100%, $E$9)</f>
        <v>17.496300000000002</v>
      </c>
      <c r="J543" s="81">
        <f>17.4919 * CHOOSE(CONTROL!$C$32, $C$9, 100%, $E$9)</f>
        <v>17.491900000000001</v>
      </c>
      <c r="K543" s="81">
        <f>17.4963 * CHOOSE(CONTROL!$C$32, $C$9, 100%, $E$9)</f>
        <v>17.496300000000002</v>
      </c>
      <c r="L543" s="81">
        <f>9.5169 * CHOOSE(CONTROL!$C$32, $C$9, 100%, $E$9)</f>
        <v>9.5168999999999997</v>
      </c>
      <c r="M543" s="81">
        <f>9.5212 * CHOOSE(CONTROL!$C$32, $C$9, 100%, $E$9)</f>
        <v>9.5212000000000003</v>
      </c>
      <c r="N543" s="81">
        <f>9.5169 * CHOOSE(CONTROL!$C$32, $C$9, 100%, $E$9)</f>
        <v>9.5168999999999997</v>
      </c>
      <c r="O543" s="81">
        <f>9.5212 * CHOOSE(CONTROL!$C$32, $C$9, 100%, $E$9)</f>
        <v>9.5212000000000003</v>
      </c>
    </row>
    <row r="544" spans="1:15" ht="15">
      <c r="A544" s="16">
        <v>57770</v>
      </c>
      <c r="B544" s="80">
        <f>8.2195 * CHOOSE(CONTROL!$C$32, $C$9, 100%, $E$9)</f>
        <v>8.2195</v>
      </c>
      <c r="C544" s="80">
        <f>8.2195 * CHOOSE(CONTROL!$C$32, $C$9, 100%, $E$9)</f>
        <v>8.2195</v>
      </c>
      <c r="D544" s="80">
        <f>8.2231 * CHOOSE(CONTROL!$C$32, $C$9, 100%, $E$9)</f>
        <v>8.2231000000000005</v>
      </c>
      <c r="E544" s="81">
        <f>9.6424 * CHOOSE(CONTROL!$C$32, $C$9, 100%, $E$9)</f>
        <v>9.6424000000000003</v>
      </c>
      <c r="F544" s="81">
        <f>9.6424 * CHOOSE(CONTROL!$C$32, $C$9, 100%, $E$9)</f>
        <v>9.6424000000000003</v>
      </c>
      <c r="G544" s="81">
        <f>9.6468 * CHOOSE(CONTROL!$C$32, $C$9, 100%, $E$9)</f>
        <v>9.6468000000000007</v>
      </c>
      <c r="H544" s="81">
        <f>17.5283 * CHOOSE(CONTROL!$C$32, $C$9, 100%, $E$9)</f>
        <v>17.528300000000002</v>
      </c>
      <c r="I544" s="81">
        <f>17.5327 * CHOOSE(CONTROL!$C$32, $C$9, 100%, $E$9)</f>
        <v>17.532699999999998</v>
      </c>
      <c r="J544" s="81">
        <f>17.5283 * CHOOSE(CONTROL!$C$32, $C$9, 100%, $E$9)</f>
        <v>17.528300000000002</v>
      </c>
      <c r="K544" s="81">
        <f>17.5327 * CHOOSE(CONTROL!$C$32, $C$9, 100%, $E$9)</f>
        <v>17.532699999999998</v>
      </c>
      <c r="L544" s="81">
        <f>9.6424 * CHOOSE(CONTROL!$C$32, $C$9, 100%, $E$9)</f>
        <v>9.6424000000000003</v>
      </c>
      <c r="M544" s="81">
        <f>9.6468 * CHOOSE(CONTROL!$C$32, $C$9, 100%, $E$9)</f>
        <v>9.6468000000000007</v>
      </c>
      <c r="N544" s="81">
        <f>9.6424 * CHOOSE(CONTROL!$C$32, $C$9, 100%, $E$9)</f>
        <v>9.6424000000000003</v>
      </c>
      <c r="O544" s="81">
        <f>9.6468 * CHOOSE(CONTROL!$C$32, $C$9, 100%, $E$9)</f>
        <v>9.6468000000000007</v>
      </c>
    </row>
    <row r="545" spans="1:15" ht="15">
      <c r="A545" s="16">
        <v>57801</v>
      </c>
      <c r="B545" s="80">
        <f>8.2208 * CHOOSE(CONTROL!$C$32, $C$9, 100%, $E$9)</f>
        <v>8.2208000000000006</v>
      </c>
      <c r="C545" s="80">
        <f>8.2208 * CHOOSE(CONTROL!$C$32, $C$9, 100%, $E$9)</f>
        <v>8.2208000000000006</v>
      </c>
      <c r="D545" s="80">
        <f>8.2243 * CHOOSE(CONTROL!$C$32, $C$9, 100%, $E$9)</f>
        <v>8.2242999999999995</v>
      </c>
      <c r="E545" s="81">
        <f>9.7753 * CHOOSE(CONTROL!$C$32, $C$9, 100%, $E$9)</f>
        <v>9.7752999999999997</v>
      </c>
      <c r="F545" s="81">
        <f>9.7753 * CHOOSE(CONTROL!$C$32, $C$9, 100%, $E$9)</f>
        <v>9.7752999999999997</v>
      </c>
      <c r="G545" s="81">
        <f>9.7797 * CHOOSE(CONTROL!$C$32, $C$9, 100%, $E$9)</f>
        <v>9.7797000000000001</v>
      </c>
      <c r="H545" s="81">
        <f>17.5649 * CHOOSE(CONTROL!$C$32, $C$9, 100%, $E$9)</f>
        <v>17.564900000000002</v>
      </c>
      <c r="I545" s="81">
        <f>17.5692 * CHOOSE(CONTROL!$C$32, $C$9, 100%, $E$9)</f>
        <v>17.569199999999999</v>
      </c>
      <c r="J545" s="81">
        <f>17.5649 * CHOOSE(CONTROL!$C$32, $C$9, 100%, $E$9)</f>
        <v>17.564900000000002</v>
      </c>
      <c r="K545" s="81">
        <f>17.5692 * CHOOSE(CONTROL!$C$32, $C$9, 100%, $E$9)</f>
        <v>17.569199999999999</v>
      </c>
      <c r="L545" s="81">
        <f>9.7753 * CHOOSE(CONTROL!$C$32, $C$9, 100%, $E$9)</f>
        <v>9.7752999999999997</v>
      </c>
      <c r="M545" s="81">
        <f>9.7797 * CHOOSE(CONTROL!$C$32, $C$9, 100%, $E$9)</f>
        <v>9.7797000000000001</v>
      </c>
      <c r="N545" s="81">
        <f>9.7753 * CHOOSE(CONTROL!$C$32, $C$9, 100%, $E$9)</f>
        <v>9.7752999999999997</v>
      </c>
      <c r="O545" s="81">
        <f>9.7797 * CHOOSE(CONTROL!$C$32, $C$9, 100%, $E$9)</f>
        <v>9.7797000000000001</v>
      </c>
    </row>
    <row r="546" spans="1:15" ht="15">
      <c r="A546" s="16">
        <v>57831</v>
      </c>
      <c r="B546" s="80">
        <f>8.2208 * CHOOSE(CONTROL!$C$32, $C$9, 100%, $E$9)</f>
        <v>8.2208000000000006</v>
      </c>
      <c r="C546" s="80">
        <f>8.2208 * CHOOSE(CONTROL!$C$32, $C$9, 100%, $E$9)</f>
        <v>8.2208000000000006</v>
      </c>
      <c r="D546" s="80">
        <f>8.2259 * CHOOSE(CONTROL!$C$32, $C$9, 100%, $E$9)</f>
        <v>8.2258999999999993</v>
      </c>
      <c r="E546" s="81">
        <f>9.8267 * CHOOSE(CONTROL!$C$32, $C$9, 100%, $E$9)</f>
        <v>9.8267000000000007</v>
      </c>
      <c r="F546" s="81">
        <f>9.8267 * CHOOSE(CONTROL!$C$32, $C$9, 100%, $E$9)</f>
        <v>9.8267000000000007</v>
      </c>
      <c r="G546" s="81">
        <f>9.833 * CHOOSE(CONTROL!$C$32, $C$9, 100%, $E$9)</f>
        <v>9.8330000000000002</v>
      </c>
      <c r="H546" s="81">
        <f>17.6014 * CHOOSE(CONTROL!$C$32, $C$9, 100%, $E$9)</f>
        <v>17.601400000000002</v>
      </c>
      <c r="I546" s="81">
        <f>17.6078 * CHOOSE(CONTROL!$C$32, $C$9, 100%, $E$9)</f>
        <v>17.607800000000001</v>
      </c>
      <c r="J546" s="81">
        <f>17.6014 * CHOOSE(CONTROL!$C$32, $C$9, 100%, $E$9)</f>
        <v>17.601400000000002</v>
      </c>
      <c r="K546" s="81">
        <f>17.6078 * CHOOSE(CONTROL!$C$32, $C$9, 100%, $E$9)</f>
        <v>17.607800000000001</v>
      </c>
      <c r="L546" s="81">
        <f>9.8267 * CHOOSE(CONTROL!$C$32, $C$9, 100%, $E$9)</f>
        <v>9.8267000000000007</v>
      </c>
      <c r="M546" s="81">
        <f>9.833 * CHOOSE(CONTROL!$C$32, $C$9, 100%, $E$9)</f>
        <v>9.8330000000000002</v>
      </c>
      <c r="N546" s="81">
        <f>9.8267 * CHOOSE(CONTROL!$C$32, $C$9, 100%, $E$9)</f>
        <v>9.8267000000000007</v>
      </c>
      <c r="O546" s="81">
        <f>9.833 * CHOOSE(CONTROL!$C$32, $C$9, 100%, $E$9)</f>
        <v>9.8330000000000002</v>
      </c>
    </row>
    <row r="547" spans="1:15" ht="15">
      <c r="A547" s="16">
        <v>57862</v>
      </c>
      <c r="B547" s="80">
        <f>8.2269 * CHOOSE(CONTROL!$C$32, $C$9, 100%, $E$9)</f>
        <v>8.2269000000000005</v>
      </c>
      <c r="C547" s="80">
        <f>8.2269 * CHOOSE(CONTROL!$C$32, $C$9, 100%, $E$9)</f>
        <v>8.2269000000000005</v>
      </c>
      <c r="D547" s="80">
        <f>8.232 * CHOOSE(CONTROL!$C$32, $C$9, 100%, $E$9)</f>
        <v>8.2319999999999993</v>
      </c>
      <c r="E547" s="81">
        <f>9.7795 * CHOOSE(CONTROL!$C$32, $C$9, 100%, $E$9)</f>
        <v>9.7795000000000005</v>
      </c>
      <c r="F547" s="81">
        <f>9.7795 * CHOOSE(CONTROL!$C$32, $C$9, 100%, $E$9)</f>
        <v>9.7795000000000005</v>
      </c>
      <c r="G547" s="81">
        <f>9.7858 * CHOOSE(CONTROL!$C$32, $C$9, 100%, $E$9)</f>
        <v>9.7858000000000001</v>
      </c>
      <c r="H547" s="81">
        <f>17.6381 * CHOOSE(CONTROL!$C$32, $C$9, 100%, $E$9)</f>
        <v>17.638100000000001</v>
      </c>
      <c r="I547" s="81">
        <f>17.6444 * CHOOSE(CONTROL!$C$32, $C$9, 100%, $E$9)</f>
        <v>17.644400000000001</v>
      </c>
      <c r="J547" s="81">
        <f>17.6381 * CHOOSE(CONTROL!$C$32, $C$9, 100%, $E$9)</f>
        <v>17.638100000000001</v>
      </c>
      <c r="K547" s="81">
        <f>17.6444 * CHOOSE(CONTROL!$C$32, $C$9, 100%, $E$9)</f>
        <v>17.644400000000001</v>
      </c>
      <c r="L547" s="81">
        <f>9.7795 * CHOOSE(CONTROL!$C$32, $C$9, 100%, $E$9)</f>
        <v>9.7795000000000005</v>
      </c>
      <c r="M547" s="81">
        <f>9.7858 * CHOOSE(CONTROL!$C$32, $C$9, 100%, $E$9)</f>
        <v>9.7858000000000001</v>
      </c>
      <c r="N547" s="81">
        <f>9.7795 * CHOOSE(CONTROL!$C$32, $C$9, 100%, $E$9)</f>
        <v>9.7795000000000005</v>
      </c>
      <c r="O547" s="81">
        <f>9.7858 * CHOOSE(CONTROL!$C$32, $C$9, 100%, $E$9)</f>
        <v>9.7858000000000001</v>
      </c>
    </row>
    <row r="548" spans="1:15" ht="15">
      <c r="A548" s="16">
        <v>57892</v>
      </c>
      <c r="B548" s="80">
        <f>8.3557 * CHOOSE(CONTROL!$C$32, $C$9, 100%, $E$9)</f>
        <v>8.3557000000000006</v>
      </c>
      <c r="C548" s="80">
        <f>8.3557 * CHOOSE(CONTROL!$C$32, $C$9, 100%, $E$9)</f>
        <v>8.3557000000000006</v>
      </c>
      <c r="D548" s="80">
        <f>8.3608 * CHOOSE(CONTROL!$C$32, $C$9, 100%, $E$9)</f>
        <v>8.3607999999999993</v>
      </c>
      <c r="E548" s="81">
        <f>9.9397 * CHOOSE(CONTROL!$C$32, $C$9, 100%, $E$9)</f>
        <v>9.9397000000000002</v>
      </c>
      <c r="F548" s="81">
        <f>9.9397 * CHOOSE(CONTROL!$C$32, $C$9, 100%, $E$9)</f>
        <v>9.9397000000000002</v>
      </c>
      <c r="G548" s="81">
        <f>9.946 * CHOOSE(CONTROL!$C$32, $C$9, 100%, $E$9)</f>
        <v>9.9459999999999997</v>
      </c>
      <c r="H548" s="81">
        <f>17.6749 * CHOOSE(CONTROL!$C$32, $C$9, 100%, $E$9)</f>
        <v>17.674900000000001</v>
      </c>
      <c r="I548" s="81">
        <f>17.6812 * CHOOSE(CONTROL!$C$32, $C$9, 100%, $E$9)</f>
        <v>17.6812</v>
      </c>
      <c r="J548" s="81">
        <f>17.6749 * CHOOSE(CONTROL!$C$32, $C$9, 100%, $E$9)</f>
        <v>17.674900000000001</v>
      </c>
      <c r="K548" s="81">
        <f>17.6812 * CHOOSE(CONTROL!$C$32, $C$9, 100%, $E$9)</f>
        <v>17.6812</v>
      </c>
      <c r="L548" s="81">
        <f>9.9397 * CHOOSE(CONTROL!$C$32, $C$9, 100%, $E$9)</f>
        <v>9.9397000000000002</v>
      </c>
      <c r="M548" s="81">
        <f>9.946 * CHOOSE(CONTROL!$C$32, $C$9, 100%, $E$9)</f>
        <v>9.9459999999999997</v>
      </c>
      <c r="N548" s="81">
        <f>9.9397 * CHOOSE(CONTROL!$C$32, $C$9, 100%, $E$9)</f>
        <v>9.9397000000000002</v>
      </c>
      <c r="O548" s="81">
        <f>9.946 * CHOOSE(CONTROL!$C$32, $C$9, 100%, $E$9)</f>
        <v>9.9459999999999997</v>
      </c>
    </row>
    <row r="549" spans="1:15" ht="15">
      <c r="A549" s="16">
        <v>57923</v>
      </c>
      <c r="B549" s="80">
        <f>8.3623 * CHOOSE(CONTROL!$C$32, $C$9, 100%, $E$9)</f>
        <v>8.3622999999999994</v>
      </c>
      <c r="C549" s="80">
        <f>8.3623 * CHOOSE(CONTROL!$C$32, $C$9, 100%, $E$9)</f>
        <v>8.3622999999999994</v>
      </c>
      <c r="D549" s="80">
        <f>8.3675 * CHOOSE(CONTROL!$C$32, $C$9, 100%, $E$9)</f>
        <v>8.3674999999999997</v>
      </c>
      <c r="E549" s="81">
        <f>9.7901 * CHOOSE(CONTROL!$C$32, $C$9, 100%, $E$9)</f>
        <v>9.7901000000000007</v>
      </c>
      <c r="F549" s="81">
        <f>9.7901 * CHOOSE(CONTROL!$C$32, $C$9, 100%, $E$9)</f>
        <v>9.7901000000000007</v>
      </c>
      <c r="G549" s="81">
        <f>9.7964 * CHOOSE(CONTROL!$C$32, $C$9, 100%, $E$9)</f>
        <v>9.7964000000000002</v>
      </c>
      <c r="H549" s="81">
        <f>17.7117 * CHOOSE(CONTROL!$C$32, $C$9, 100%, $E$9)</f>
        <v>17.7117</v>
      </c>
      <c r="I549" s="81">
        <f>17.718 * CHOOSE(CONTROL!$C$32, $C$9, 100%, $E$9)</f>
        <v>17.718</v>
      </c>
      <c r="J549" s="81">
        <f>17.7117 * CHOOSE(CONTROL!$C$32, $C$9, 100%, $E$9)</f>
        <v>17.7117</v>
      </c>
      <c r="K549" s="81">
        <f>17.718 * CHOOSE(CONTROL!$C$32, $C$9, 100%, $E$9)</f>
        <v>17.718</v>
      </c>
      <c r="L549" s="81">
        <f>9.7901 * CHOOSE(CONTROL!$C$32, $C$9, 100%, $E$9)</f>
        <v>9.7901000000000007</v>
      </c>
      <c r="M549" s="81">
        <f>9.7964 * CHOOSE(CONTROL!$C$32, $C$9, 100%, $E$9)</f>
        <v>9.7964000000000002</v>
      </c>
      <c r="N549" s="81">
        <f>9.7901 * CHOOSE(CONTROL!$C$32, $C$9, 100%, $E$9)</f>
        <v>9.7901000000000007</v>
      </c>
      <c r="O549" s="81">
        <f>9.7964 * CHOOSE(CONTROL!$C$32, $C$9, 100%, $E$9)</f>
        <v>9.7964000000000002</v>
      </c>
    </row>
    <row r="550" spans="1:15" ht="15">
      <c r="A550" s="16">
        <v>57954</v>
      </c>
      <c r="B550" s="80">
        <f>8.3593 * CHOOSE(CONTROL!$C$32, $C$9, 100%, $E$9)</f>
        <v>8.3592999999999993</v>
      </c>
      <c r="C550" s="80">
        <f>8.3593 * CHOOSE(CONTROL!$C$32, $C$9, 100%, $E$9)</f>
        <v>8.3592999999999993</v>
      </c>
      <c r="D550" s="80">
        <f>8.3645 * CHOOSE(CONTROL!$C$32, $C$9, 100%, $E$9)</f>
        <v>8.3644999999999996</v>
      </c>
      <c r="E550" s="81">
        <f>9.7709 * CHOOSE(CONTROL!$C$32, $C$9, 100%, $E$9)</f>
        <v>9.7708999999999993</v>
      </c>
      <c r="F550" s="81">
        <f>9.7709 * CHOOSE(CONTROL!$C$32, $C$9, 100%, $E$9)</f>
        <v>9.7708999999999993</v>
      </c>
      <c r="G550" s="81">
        <f>9.7772 * CHOOSE(CONTROL!$C$32, $C$9, 100%, $E$9)</f>
        <v>9.7772000000000006</v>
      </c>
      <c r="H550" s="81">
        <f>17.7486 * CHOOSE(CONTROL!$C$32, $C$9, 100%, $E$9)</f>
        <v>17.7486</v>
      </c>
      <c r="I550" s="81">
        <f>17.7549 * CHOOSE(CONTROL!$C$32, $C$9, 100%, $E$9)</f>
        <v>17.754899999999999</v>
      </c>
      <c r="J550" s="81">
        <f>17.7486 * CHOOSE(CONTROL!$C$32, $C$9, 100%, $E$9)</f>
        <v>17.7486</v>
      </c>
      <c r="K550" s="81">
        <f>17.7549 * CHOOSE(CONTROL!$C$32, $C$9, 100%, $E$9)</f>
        <v>17.754899999999999</v>
      </c>
      <c r="L550" s="81">
        <f>9.7709 * CHOOSE(CONTROL!$C$32, $C$9, 100%, $E$9)</f>
        <v>9.7708999999999993</v>
      </c>
      <c r="M550" s="81">
        <f>9.7772 * CHOOSE(CONTROL!$C$32, $C$9, 100%, $E$9)</f>
        <v>9.7772000000000006</v>
      </c>
      <c r="N550" s="81">
        <f>9.7709 * CHOOSE(CONTROL!$C$32, $C$9, 100%, $E$9)</f>
        <v>9.7708999999999993</v>
      </c>
      <c r="O550" s="81">
        <f>9.7772 * CHOOSE(CONTROL!$C$32, $C$9, 100%, $E$9)</f>
        <v>9.7772000000000006</v>
      </c>
    </row>
    <row r="551" spans="1:15" ht="15">
      <c r="A551" s="16">
        <v>57984</v>
      </c>
      <c r="B551" s="80">
        <f>8.3686 * CHOOSE(CONTROL!$C$32, $C$9, 100%, $E$9)</f>
        <v>8.3686000000000007</v>
      </c>
      <c r="C551" s="80">
        <f>8.3686 * CHOOSE(CONTROL!$C$32, $C$9, 100%, $E$9)</f>
        <v>8.3686000000000007</v>
      </c>
      <c r="D551" s="80">
        <f>8.3722 * CHOOSE(CONTROL!$C$32, $C$9, 100%, $E$9)</f>
        <v>8.3721999999999994</v>
      </c>
      <c r="E551" s="81">
        <f>9.826 * CHOOSE(CONTROL!$C$32, $C$9, 100%, $E$9)</f>
        <v>9.8260000000000005</v>
      </c>
      <c r="F551" s="81">
        <f>9.826 * CHOOSE(CONTROL!$C$32, $C$9, 100%, $E$9)</f>
        <v>9.8260000000000005</v>
      </c>
      <c r="G551" s="81">
        <f>9.8304 * CHOOSE(CONTROL!$C$32, $C$9, 100%, $E$9)</f>
        <v>9.8303999999999991</v>
      </c>
      <c r="H551" s="81">
        <f>17.7856 * CHOOSE(CONTROL!$C$32, $C$9, 100%, $E$9)</f>
        <v>17.785599999999999</v>
      </c>
      <c r="I551" s="81">
        <f>17.7899 * CHOOSE(CONTROL!$C$32, $C$9, 100%, $E$9)</f>
        <v>17.789899999999999</v>
      </c>
      <c r="J551" s="81">
        <f>17.7856 * CHOOSE(CONTROL!$C$32, $C$9, 100%, $E$9)</f>
        <v>17.785599999999999</v>
      </c>
      <c r="K551" s="81">
        <f>17.7899 * CHOOSE(CONTROL!$C$32, $C$9, 100%, $E$9)</f>
        <v>17.789899999999999</v>
      </c>
      <c r="L551" s="81">
        <f>9.826 * CHOOSE(CONTROL!$C$32, $C$9, 100%, $E$9)</f>
        <v>9.8260000000000005</v>
      </c>
      <c r="M551" s="81">
        <f>9.8304 * CHOOSE(CONTROL!$C$32, $C$9, 100%, $E$9)</f>
        <v>9.8303999999999991</v>
      </c>
      <c r="N551" s="81">
        <f>9.826 * CHOOSE(CONTROL!$C$32, $C$9, 100%, $E$9)</f>
        <v>9.8260000000000005</v>
      </c>
      <c r="O551" s="81">
        <f>9.8304 * CHOOSE(CONTROL!$C$32, $C$9, 100%, $E$9)</f>
        <v>9.8303999999999991</v>
      </c>
    </row>
    <row r="552" spans="1:15" ht="15">
      <c r="A552" s="16">
        <v>58015</v>
      </c>
      <c r="B552" s="80">
        <f>8.3717 * CHOOSE(CONTROL!$C$32, $C$9, 100%, $E$9)</f>
        <v>8.3717000000000006</v>
      </c>
      <c r="C552" s="80">
        <f>8.3717 * CHOOSE(CONTROL!$C$32, $C$9, 100%, $E$9)</f>
        <v>8.3717000000000006</v>
      </c>
      <c r="D552" s="80">
        <f>8.3752 * CHOOSE(CONTROL!$C$32, $C$9, 100%, $E$9)</f>
        <v>8.3751999999999995</v>
      </c>
      <c r="E552" s="81">
        <f>9.8624 * CHOOSE(CONTROL!$C$32, $C$9, 100%, $E$9)</f>
        <v>9.8623999999999992</v>
      </c>
      <c r="F552" s="81">
        <f>9.8624 * CHOOSE(CONTROL!$C$32, $C$9, 100%, $E$9)</f>
        <v>9.8623999999999992</v>
      </c>
      <c r="G552" s="81">
        <f>9.8667 * CHOOSE(CONTROL!$C$32, $C$9, 100%, $E$9)</f>
        <v>9.8666999999999998</v>
      </c>
      <c r="H552" s="81">
        <f>17.8226 * CHOOSE(CONTROL!$C$32, $C$9, 100%, $E$9)</f>
        <v>17.822600000000001</v>
      </c>
      <c r="I552" s="81">
        <f>17.827 * CHOOSE(CONTROL!$C$32, $C$9, 100%, $E$9)</f>
        <v>17.827000000000002</v>
      </c>
      <c r="J552" s="81">
        <f>17.8226 * CHOOSE(CONTROL!$C$32, $C$9, 100%, $E$9)</f>
        <v>17.822600000000001</v>
      </c>
      <c r="K552" s="81">
        <f>17.827 * CHOOSE(CONTROL!$C$32, $C$9, 100%, $E$9)</f>
        <v>17.827000000000002</v>
      </c>
      <c r="L552" s="81">
        <f>9.8624 * CHOOSE(CONTROL!$C$32, $C$9, 100%, $E$9)</f>
        <v>9.8623999999999992</v>
      </c>
      <c r="M552" s="81">
        <f>9.8667 * CHOOSE(CONTROL!$C$32, $C$9, 100%, $E$9)</f>
        <v>9.8666999999999998</v>
      </c>
      <c r="N552" s="81">
        <f>9.8624 * CHOOSE(CONTROL!$C$32, $C$9, 100%, $E$9)</f>
        <v>9.8623999999999992</v>
      </c>
      <c r="O552" s="81">
        <f>9.8667 * CHOOSE(CONTROL!$C$32, $C$9, 100%, $E$9)</f>
        <v>9.8666999999999998</v>
      </c>
    </row>
    <row r="553" spans="1:15" ht="15">
      <c r="A553" s="16">
        <v>58045</v>
      </c>
      <c r="B553" s="80">
        <f>8.3717 * CHOOSE(CONTROL!$C$32, $C$9, 100%, $E$9)</f>
        <v>8.3717000000000006</v>
      </c>
      <c r="C553" s="80">
        <f>8.3717 * CHOOSE(CONTROL!$C$32, $C$9, 100%, $E$9)</f>
        <v>8.3717000000000006</v>
      </c>
      <c r="D553" s="80">
        <f>8.3752 * CHOOSE(CONTROL!$C$32, $C$9, 100%, $E$9)</f>
        <v>8.3751999999999995</v>
      </c>
      <c r="E553" s="81">
        <f>9.7767 * CHOOSE(CONTROL!$C$32, $C$9, 100%, $E$9)</f>
        <v>9.7766999999999999</v>
      </c>
      <c r="F553" s="81">
        <f>9.7767 * CHOOSE(CONTROL!$C$32, $C$9, 100%, $E$9)</f>
        <v>9.7766999999999999</v>
      </c>
      <c r="G553" s="81">
        <f>9.7811 * CHOOSE(CONTROL!$C$32, $C$9, 100%, $E$9)</f>
        <v>9.7811000000000003</v>
      </c>
      <c r="H553" s="81">
        <f>17.8597 * CHOOSE(CONTROL!$C$32, $C$9, 100%, $E$9)</f>
        <v>17.8597</v>
      </c>
      <c r="I553" s="81">
        <f>17.8641 * CHOOSE(CONTROL!$C$32, $C$9, 100%, $E$9)</f>
        <v>17.864100000000001</v>
      </c>
      <c r="J553" s="81">
        <f>17.8597 * CHOOSE(CONTROL!$C$32, $C$9, 100%, $E$9)</f>
        <v>17.8597</v>
      </c>
      <c r="K553" s="81">
        <f>17.8641 * CHOOSE(CONTROL!$C$32, $C$9, 100%, $E$9)</f>
        <v>17.864100000000001</v>
      </c>
      <c r="L553" s="81">
        <f>9.7767 * CHOOSE(CONTROL!$C$32, $C$9, 100%, $E$9)</f>
        <v>9.7766999999999999</v>
      </c>
      <c r="M553" s="81">
        <f>9.7811 * CHOOSE(CONTROL!$C$32, $C$9, 100%, $E$9)</f>
        <v>9.7811000000000003</v>
      </c>
      <c r="N553" s="81">
        <f>9.7767 * CHOOSE(CONTROL!$C$32, $C$9, 100%, $E$9)</f>
        <v>9.7766999999999999</v>
      </c>
      <c r="O553" s="81">
        <f>9.7811 * CHOOSE(CONTROL!$C$32, $C$9, 100%, $E$9)</f>
        <v>9.7811000000000003</v>
      </c>
    </row>
    <row r="554" spans="1:15" ht="15">
      <c r="A554" s="16">
        <v>58076</v>
      </c>
      <c r="B554" s="80">
        <f>8.4433 * CHOOSE(CONTROL!$C$32, $C$9, 100%, $E$9)</f>
        <v>8.4433000000000007</v>
      </c>
      <c r="C554" s="80">
        <f>8.4433 * CHOOSE(CONTROL!$C$32, $C$9, 100%, $E$9)</f>
        <v>8.4433000000000007</v>
      </c>
      <c r="D554" s="80">
        <f>8.4468 * CHOOSE(CONTROL!$C$32, $C$9, 100%, $E$9)</f>
        <v>8.4467999999999996</v>
      </c>
      <c r="E554" s="81">
        <f>9.9178 * CHOOSE(CONTROL!$C$32, $C$9, 100%, $E$9)</f>
        <v>9.9177999999999997</v>
      </c>
      <c r="F554" s="81">
        <f>9.9178 * CHOOSE(CONTROL!$C$32, $C$9, 100%, $E$9)</f>
        <v>9.9177999999999997</v>
      </c>
      <c r="G554" s="81">
        <f>9.9221 * CHOOSE(CONTROL!$C$32, $C$9, 100%, $E$9)</f>
        <v>9.9221000000000004</v>
      </c>
      <c r="H554" s="81">
        <f>17.897 * CHOOSE(CONTROL!$C$32, $C$9, 100%, $E$9)</f>
        <v>17.896999999999998</v>
      </c>
      <c r="I554" s="81">
        <f>17.9013 * CHOOSE(CONTROL!$C$32, $C$9, 100%, $E$9)</f>
        <v>17.901299999999999</v>
      </c>
      <c r="J554" s="81">
        <f>17.897 * CHOOSE(CONTROL!$C$32, $C$9, 100%, $E$9)</f>
        <v>17.896999999999998</v>
      </c>
      <c r="K554" s="81">
        <f>17.9013 * CHOOSE(CONTROL!$C$32, $C$9, 100%, $E$9)</f>
        <v>17.901299999999999</v>
      </c>
      <c r="L554" s="81">
        <f>9.9178 * CHOOSE(CONTROL!$C$32, $C$9, 100%, $E$9)</f>
        <v>9.9177999999999997</v>
      </c>
      <c r="M554" s="81">
        <f>9.9221 * CHOOSE(CONTROL!$C$32, $C$9, 100%, $E$9)</f>
        <v>9.9221000000000004</v>
      </c>
      <c r="N554" s="81">
        <f>9.9178 * CHOOSE(CONTROL!$C$32, $C$9, 100%, $E$9)</f>
        <v>9.9177999999999997</v>
      </c>
      <c r="O554" s="81">
        <f>9.9221 * CHOOSE(CONTROL!$C$32, $C$9, 100%, $E$9)</f>
        <v>9.9221000000000004</v>
      </c>
    </row>
    <row r="555" spans="1:15" ht="15">
      <c r="A555" s="16">
        <v>58107</v>
      </c>
      <c r="B555" s="80">
        <f>8.4402 * CHOOSE(CONTROL!$C$32, $C$9, 100%, $E$9)</f>
        <v>8.4402000000000008</v>
      </c>
      <c r="C555" s="80">
        <f>8.4402 * CHOOSE(CONTROL!$C$32, $C$9, 100%, $E$9)</f>
        <v>8.4402000000000008</v>
      </c>
      <c r="D555" s="80">
        <f>8.4438 * CHOOSE(CONTROL!$C$32, $C$9, 100%, $E$9)</f>
        <v>8.4437999999999995</v>
      </c>
      <c r="E555" s="81">
        <f>9.7492 * CHOOSE(CONTROL!$C$32, $C$9, 100%, $E$9)</f>
        <v>9.7492000000000001</v>
      </c>
      <c r="F555" s="81">
        <f>9.7492 * CHOOSE(CONTROL!$C$32, $C$9, 100%, $E$9)</f>
        <v>9.7492000000000001</v>
      </c>
      <c r="G555" s="81">
        <f>9.7535 * CHOOSE(CONTROL!$C$32, $C$9, 100%, $E$9)</f>
        <v>9.7535000000000007</v>
      </c>
      <c r="H555" s="81">
        <f>17.9342 * CHOOSE(CONTROL!$C$32, $C$9, 100%, $E$9)</f>
        <v>17.934200000000001</v>
      </c>
      <c r="I555" s="81">
        <f>17.9386 * CHOOSE(CONTROL!$C$32, $C$9, 100%, $E$9)</f>
        <v>17.938600000000001</v>
      </c>
      <c r="J555" s="81">
        <f>17.9342 * CHOOSE(CONTROL!$C$32, $C$9, 100%, $E$9)</f>
        <v>17.934200000000001</v>
      </c>
      <c r="K555" s="81">
        <f>17.9386 * CHOOSE(CONTROL!$C$32, $C$9, 100%, $E$9)</f>
        <v>17.938600000000001</v>
      </c>
      <c r="L555" s="81">
        <f>9.7492 * CHOOSE(CONTROL!$C$32, $C$9, 100%, $E$9)</f>
        <v>9.7492000000000001</v>
      </c>
      <c r="M555" s="81">
        <f>9.7535 * CHOOSE(CONTROL!$C$32, $C$9, 100%, $E$9)</f>
        <v>9.7535000000000007</v>
      </c>
      <c r="N555" s="81">
        <f>9.7492 * CHOOSE(CONTROL!$C$32, $C$9, 100%, $E$9)</f>
        <v>9.7492000000000001</v>
      </c>
      <c r="O555" s="81">
        <f>9.7535 * CHOOSE(CONTROL!$C$32, $C$9, 100%, $E$9)</f>
        <v>9.7535000000000007</v>
      </c>
    </row>
    <row r="556" spans="1:15" ht="15">
      <c r="A556" s="16">
        <v>58135</v>
      </c>
      <c r="B556" s="80">
        <f>8.4372 * CHOOSE(CONTROL!$C$32, $C$9, 100%, $E$9)</f>
        <v>8.4372000000000007</v>
      </c>
      <c r="C556" s="80">
        <f>8.4372 * CHOOSE(CONTROL!$C$32, $C$9, 100%, $E$9)</f>
        <v>8.4372000000000007</v>
      </c>
      <c r="D556" s="80">
        <f>8.4407 * CHOOSE(CONTROL!$C$32, $C$9, 100%, $E$9)</f>
        <v>8.4406999999999996</v>
      </c>
      <c r="E556" s="81">
        <f>9.8783 * CHOOSE(CONTROL!$C$32, $C$9, 100%, $E$9)</f>
        <v>9.8782999999999994</v>
      </c>
      <c r="F556" s="81">
        <f>9.8783 * CHOOSE(CONTROL!$C$32, $C$9, 100%, $E$9)</f>
        <v>9.8782999999999994</v>
      </c>
      <c r="G556" s="81">
        <f>9.8827 * CHOOSE(CONTROL!$C$32, $C$9, 100%, $E$9)</f>
        <v>9.8826999999999998</v>
      </c>
      <c r="H556" s="81">
        <f>17.9716 * CHOOSE(CONTROL!$C$32, $C$9, 100%, $E$9)</f>
        <v>17.971599999999999</v>
      </c>
      <c r="I556" s="81">
        <f>17.976 * CHOOSE(CONTROL!$C$32, $C$9, 100%, $E$9)</f>
        <v>17.975999999999999</v>
      </c>
      <c r="J556" s="81">
        <f>17.9716 * CHOOSE(CONTROL!$C$32, $C$9, 100%, $E$9)</f>
        <v>17.971599999999999</v>
      </c>
      <c r="K556" s="81">
        <f>17.976 * CHOOSE(CONTROL!$C$32, $C$9, 100%, $E$9)</f>
        <v>17.975999999999999</v>
      </c>
      <c r="L556" s="81">
        <f>9.8783 * CHOOSE(CONTROL!$C$32, $C$9, 100%, $E$9)</f>
        <v>9.8782999999999994</v>
      </c>
      <c r="M556" s="81">
        <f>9.8827 * CHOOSE(CONTROL!$C$32, $C$9, 100%, $E$9)</f>
        <v>9.8826999999999998</v>
      </c>
      <c r="N556" s="81">
        <f>9.8783 * CHOOSE(CONTROL!$C$32, $C$9, 100%, $E$9)</f>
        <v>9.8782999999999994</v>
      </c>
      <c r="O556" s="81">
        <f>9.8827 * CHOOSE(CONTROL!$C$32, $C$9, 100%, $E$9)</f>
        <v>9.8826999999999998</v>
      </c>
    </row>
    <row r="557" spans="1:15" ht="15">
      <c r="A557" s="16">
        <v>58166</v>
      </c>
      <c r="B557" s="80">
        <f>8.4386 * CHOOSE(CONTROL!$C$32, $C$9, 100%, $E$9)</f>
        <v>8.4385999999999992</v>
      </c>
      <c r="C557" s="80">
        <f>8.4386 * CHOOSE(CONTROL!$C$32, $C$9, 100%, $E$9)</f>
        <v>8.4385999999999992</v>
      </c>
      <c r="D557" s="80">
        <f>8.4422 * CHOOSE(CONTROL!$C$32, $C$9, 100%, $E$9)</f>
        <v>8.4421999999999997</v>
      </c>
      <c r="E557" s="81">
        <f>10.015 * CHOOSE(CONTROL!$C$32, $C$9, 100%, $E$9)</f>
        <v>10.015000000000001</v>
      </c>
      <c r="F557" s="81">
        <f>10.015 * CHOOSE(CONTROL!$C$32, $C$9, 100%, $E$9)</f>
        <v>10.015000000000001</v>
      </c>
      <c r="G557" s="81">
        <f>10.0194 * CHOOSE(CONTROL!$C$32, $C$9, 100%, $E$9)</f>
        <v>10.019399999999999</v>
      </c>
      <c r="H557" s="81">
        <f>18.009 * CHOOSE(CONTROL!$C$32, $C$9, 100%, $E$9)</f>
        <v>18.009</v>
      </c>
      <c r="I557" s="81">
        <f>18.0134 * CHOOSE(CONTROL!$C$32, $C$9, 100%, $E$9)</f>
        <v>18.013400000000001</v>
      </c>
      <c r="J557" s="81">
        <f>18.009 * CHOOSE(CONTROL!$C$32, $C$9, 100%, $E$9)</f>
        <v>18.009</v>
      </c>
      <c r="K557" s="81">
        <f>18.0134 * CHOOSE(CONTROL!$C$32, $C$9, 100%, $E$9)</f>
        <v>18.013400000000001</v>
      </c>
      <c r="L557" s="81">
        <f>10.015 * CHOOSE(CONTROL!$C$32, $C$9, 100%, $E$9)</f>
        <v>10.015000000000001</v>
      </c>
      <c r="M557" s="81">
        <f>10.0194 * CHOOSE(CONTROL!$C$32, $C$9, 100%, $E$9)</f>
        <v>10.019399999999999</v>
      </c>
      <c r="N557" s="81">
        <f>10.015 * CHOOSE(CONTROL!$C$32, $C$9, 100%, $E$9)</f>
        <v>10.015000000000001</v>
      </c>
      <c r="O557" s="81">
        <f>10.0194 * CHOOSE(CONTROL!$C$32, $C$9, 100%, $E$9)</f>
        <v>10.019399999999999</v>
      </c>
    </row>
    <row r="558" spans="1:15" ht="15">
      <c r="A558" s="16">
        <v>58196</v>
      </c>
      <c r="B558" s="80">
        <f>8.4386 * CHOOSE(CONTROL!$C$32, $C$9, 100%, $E$9)</f>
        <v>8.4385999999999992</v>
      </c>
      <c r="C558" s="80">
        <f>8.4386 * CHOOSE(CONTROL!$C$32, $C$9, 100%, $E$9)</f>
        <v>8.4385999999999992</v>
      </c>
      <c r="D558" s="80">
        <f>8.4438 * CHOOSE(CONTROL!$C$32, $C$9, 100%, $E$9)</f>
        <v>8.4437999999999995</v>
      </c>
      <c r="E558" s="81">
        <f>10.0679 * CHOOSE(CONTROL!$C$32, $C$9, 100%, $E$9)</f>
        <v>10.0679</v>
      </c>
      <c r="F558" s="81">
        <f>10.0679 * CHOOSE(CONTROL!$C$32, $C$9, 100%, $E$9)</f>
        <v>10.0679</v>
      </c>
      <c r="G558" s="81">
        <f>10.0742 * CHOOSE(CONTROL!$C$32, $C$9, 100%, $E$9)</f>
        <v>10.074199999999999</v>
      </c>
      <c r="H558" s="81">
        <f>18.0466 * CHOOSE(CONTROL!$C$32, $C$9, 100%, $E$9)</f>
        <v>18.046600000000002</v>
      </c>
      <c r="I558" s="81">
        <f>18.0529 * CHOOSE(CONTROL!$C$32, $C$9, 100%, $E$9)</f>
        <v>18.052900000000001</v>
      </c>
      <c r="J558" s="81">
        <f>18.0466 * CHOOSE(CONTROL!$C$32, $C$9, 100%, $E$9)</f>
        <v>18.046600000000002</v>
      </c>
      <c r="K558" s="81">
        <f>18.0529 * CHOOSE(CONTROL!$C$32, $C$9, 100%, $E$9)</f>
        <v>18.052900000000001</v>
      </c>
      <c r="L558" s="81">
        <f>10.0679 * CHOOSE(CONTROL!$C$32, $C$9, 100%, $E$9)</f>
        <v>10.0679</v>
      </c>
      <c r="M558" s="81">
        <f>10.0742 * CHOOSE(CONTROL!$C$32, $C$9, 100%, $E$9)</f>
        <v>10.074199999999999</v>
      </c>
      <c r="N558" s="81">
        <f>10.0679 * CHOOSE(CONTROL!$C$32, $C$9, 100%, $E$9)</f>
        <v>10.0679</v>
      </c>
      <c r="O558" s="81">
        <f>10.0742 * CHOOSE(CONTROL!$C$32, $C$9, 100%, $E$9)</f>
        <v>10.074199999999999</v>
      </c>
    </row>
    <row r="559" spans="1:15" ht="15">
      <c r="A559" s="16">
        <v>58227</v>
      </c>
      <c r="B559" s="80">
        <f>8.4447 * CHOOSE(CONTROL!$C$32, $C$9, 100%, $E$9)</f>
        <v>8.4446999999999992</v>
      </c>
      <c r="C559" s="80">
        <f>8.4447 * CHOOSE(CONTROL!$C$32, $C$9, 100%, $E$9)</f>
        <v>8.4446999999999992</v>
      </c>
      <c r="D559" s="80">
        <f>8.4499 * CHOOSE(CONTROL!$C$32, $C$9, 100%, $E$9)</f>
        <v>8.4498999999999995</v>
      </c>
      <c r="E559" s="81">
        <f>10.0192 * CHOOSE(CONTROL!$C$32, $C$9, 100%, $E$9)</f>
        <v>10.0192</v>
      </c>
      <c r="F559" s="81">
        <f>10.0192 * CHOOSE(CONTROL!$C$32, $C$9, 100%, $E$9)</f>
        <v>10.0192</v>
      </c>
      <c r="G559" s="81">
        <f>10.0256 * CHOOSE(CONTROL!$C$32, $C$9, 100%, $E$9)</f>
        <v>10.025600000000001</v>
      </c>
      <c r="H559" s="81">
        <f>18.0842 * CHOOSE(CONTROL!$C$32, $C$9, 100%, $E$9)</f>
        <v>18.084199999999999</v>
      </c>
      <c r="I559" s="81">
        <f>18.0905 * CHOOSE(CONTROL!$C$32, $C$9, 100%, $E$9)</f>
        <v>18.090499999999999</v>
      </c>
      <c r="J559" s="81">
        <f>18.0842 * CHOOSE(CONTROL!$C$32, $C$9, 100%, $E$9)</f>
        <v>18.084199999999999</v>
      </c>
      <c r="K559" s="81">
        <f>18.0905 * CHOOSE(CONTROL!$C$32, $C$9, 100%, $E$9)</f>
        <v>18.090499999999999</v>
      </c>
      <c r="L559" s="81">
        <f>10.0192 * CHOOSE(CONTROL!$C$32, $C$9, 100%, $E$9)</f>
        <v>10.0192</v>
      </c>
      <c r="M559" s="81">
        <f>10.0256 * CHOOSE(CONTROL!$C$32, $C$9, 100%, $E$9)</f>
        <v>10.025600000000001</v>
      </c>
      <c r="N559" s="81">
        <f>10.0192 * CHOOSE(CONTROL!$C$32, $C$9, 100%, $E$9)</f>
        <v>10.0192</v>
      </c>
      <c r="O559" s="81">
        <f>10.0256 * CHOOSE(CONTROL!$C$32, $C$9, 100%, $E$9)</f>
        <v>10.025600000000001</v>
      </c>
    </row>
    <row r="560" spans="1:15" ht="15">
      <c r="A560" s="16">
        <v>58257</v>
      </c>
      <c r="B560" s="80">
        <f>8.5766 * CHOOSE(CONTROL!$C$32, $C$9, 100%, $E$9)</f>
        <v>8.5765999999999991</v>
      </c>
      <c r="C560" s="80">
        <f>8.5766 * CHOOSE(CONTROL!$C$32, $C$9, 100%, $E$9)</f>
        <v>8.5765999999999991</v>
      </c>
      <c r="D560" s="80">
        <f>8.5818 * CHOOSE(CONTROL!$C$32, $C$9, 100%, $E$9)</f>
        <v>8.5817999999999994</v>
      </c>
      <c r="E560" s="81">
        <f>10.183 * CHOOSE(CONTROL!$C$32, $C$9, 100%, $E$9)</f>
        <v>10.183</v>
      </c>
      <c r="F560" s="81">
        <f>10.183 * CHOOSE(CONTROL!$C$32, $C$9, 100%, $E$9)</f>
        <v>10.183</v>
      </c>
      <c r="G560" s="81">
        <f>10.1894 * CHOOSE(CONTROL!$C$32, $C$9, 100%, $E$9)</f>
        <v>10.189399999999999</v>
      </c>
      <c r="H560" s="81">
        <f>18.1218 * CHOOSE(CONTROL!$C$32, $C$9, 100%, $E$9)</f>
        <v>18.1218</v>
      </c>
      <c r="I560" s="81">
        <f>18.1281 * CHOOSE(CONTROL!$C$32, $C$9, 100%, $E$9)</f>
        <v>18.1281</v>
      </c>
      <c r="J560" s="81">
        <f>18.1218 * CHOOSE(CONTROL!$C$32, $C$9, 100%, $E$9)</f>
        <v>18.1218</v>
      </c>
      <c r="K560" s="81">
        <f>18.1281 * CHOOSE(CONTROL!$C$32, $C$9, 100%, $E$9)</f>
        <v>18.1281</v>
      </c>
      <c r="L560" s="81">
        <f>10.183 * CHOOSE(CONTROL!$C$32, $C$9, 100%, $E$9)</f>
        <v>10.183</v>
      </c>
      <c r="M560" s="81">
        <f>10.1894 * CHOOSE(CONTROL!$C$32, $C$9, 100%, $E$9)</f>
        <v>10.189399999999999</v>
      </c>
      <c r="N560" s="81">
        <f>10.183 * CHOOSE(CONTROL!$C$32, $C$9, 100%, $E$9)</f>
        <v>10.183</v>
      </c>
      <c r="O560" s="81">
        <f>10.1894 * CHOOSE(CONTROL!$C$32, $C$9, 100%, $E$9)</f>
        <v>10.189399999999999</v>
      </c>
    </row>
    <row r="561" spans="1:15" ht="15">
      <c r="A561" s="16">
        <v>58288</v>
      </c>
      <c r="B561" s="80">
        <f>8.5833 * CHOOSE(CONTROL!$C$32, $C$9, 100%, $E$9)</f>
        <v>8.5832999999999995</v>
      </c>
      <c r="C561" s="80">
        <f>8.5833 * CHOOSE(CONTROL!$C$32, $C$9, 100%, $E$9)</f>
        <v>8.5832999999999995</v>
      </c>
      <c r="D561" s="80">
        <f>8.5885 * CHOOSE(CONTROL!$C$32, $C$9, 100%, $E$9)</f>
        <v>8.5884999999999998</v>
      </c>
      <c r="E561" s="81">
        <f>10.0291 * CHOOSE(CONTROL!$C$32, $C$9, 100%, $E$9)</f>
        <v>10.0291</v>
      </c>
      <c r="F561" s="81">
        <f>10.0291 * CHOOSE(CONTROL!$C$32, $C$9, 100%, $E$9)</f>
        <v>10.0291</v>
      </c>
      <c r="G561" s="81">
        <f>10.0355 * CHOOSE(CONTROL!$C$32, $C$9, 100%, $E$9)</f>
        <v>10.035500000000001</v>
      </c>
      <c r="H561" s="81">
        <f>18.1596 * CHOOSE(CONTROL!$C$32, $C$9, 100%, $E$9)</f>
        <v>18.159600000000001</v>
      </c>
      <c r="I561" s="81">
        <f>18.1659 * CHOOSE(CONTROL!$C$32, $C$9, 100%, $E$9)</f>
        <v>18.165900000000001</v>
      </c>
      <c r="J561" s="81">
        <f>18.1596 * CHOOSE(CONTROL!$C$32, $C$9, 100%, $E$9)</f>
        <v>18.159600000000001</v>
      </c>
      <c r="K561" s="81">
        <f>18.1659 * CHOOSE(CONTROL!$C$32, $C$9, 100%, $E$9)</f>
        <v>18.165900000000001</v>
      </c>
      <c r="L561" s="81">
        <f>10.0291 * CHOOSE(CONTROL!$C$32, $C$9, 100%, $E$9)</f>
        <v>10.0291</v>
      </c>
      <c r="M561" s="81">
        <f>10.0355 * CHOOSE(CONTROL!$C$32, $C$9, 100%, $E$9)</f>
        <v>10.035500000000001</v>
      </c>
      <c r="N561" s="81">
        <f>10.0291 * CHOOSE(CONTROL!$C$32, $C$9, 100%, $E$9)</f>
        <v>10.0291</v>
      </c>
      <c r="O561" s="81">
        <f>10.0355 * CHOOSE(CONTROL!$C$32, $C$9, 100%, $E$9)</f>
        <v>10.035500000000001</v>
      </c>
    </row>
    <row r="562" spans="1:15" ht="15">
      <c r="A562" s="16">
        <v>58319</v>
      </c>
      <c r="B562" s="80">
        <f>8.5803 * CHOOSE(CONTROL!$C$32, $C$9, 100%, $E$9)</f>
        <v>8.5802999999999994</v>
      </c>
      <c r="C562" s="80">
        <f>8.5803 * CHOOSE(CONTROL!$C$32, $C$9, 100%, $E$9)</f>
        <v>8.5802999999999994</v>
      </c>
      <c r="D562" s="80">
        <f>8.5854 * CHOOSE(CONTROL!$C$32, $C$9, 100%, $E$9)</f>
        <v>8.5853999999999999</v>
      </c>
      <c r="E562" s="81">
        <f>10.0094 * CHOOSE(CONTROL!$C$32, $C$9, 100%, $E$9)</f>
        <v>10.009399999999999</v>
      </c>
      <c r="F562" s="81">
        <f>10.0094 * CHOOSE(CONTROL!$C$32, $C$9, 100%, $E$9)</f>
        <v>10.009399999999999</v>
      </c>
      <c r="G562" s="81">
        <f>10.0157 * CHOOSE(CONTROL!$C$32, $C$9, 100%, $E$9)</f>
        <v>10.015700000000001</v>
      </c>
      <c r="H562" s="81">
        <f>18.1974 * CHOOSE(CONTROL!$C$32, $C$9, 100%, $E$9)</f>
        <v>18.197399999999998</v>
      </c>
      <c r="I562" s="81">
        <f>18.2037 * CHOOSE(CONTROL!$C$32, $C$9, 100%, $E$9)</f>
        <v>18.203700000000001</v>
      </c>
      <c r="J562" s="81">
        <f>18.1974 * CHOOSE(CONTROL!$C$32, $C$9, 100%, $E$9)</f>
        <v>18.197399999999998</v>
      </c>
      <c r="K562" s="81">
        <f>18.2037 * CHOOSE(CONTROL!$C$32, $C$9, 100%, $E$9)</f>
        <v>18.203700000000001</v>
      </c>
      <c r="L562" s="81">
        <f>10.0094 * CHOOSE(CONTROL!$C$32, $C$9, 100%, $E$9)</f>
        <v>10.009399999999999</v>
      </c>
      <c r="M562" s="81">
        <f>10.0157 * CHOOSE(CONTROL!$C$32, $C$9, 100%, $E$9)</f>
        <v>10.015700000000001</v>
      </c>
      <c r="N562" s="81">
        <f>10.0094 * CHOOSE(CONTROL!$C$32, $C$9, 100%, $E$9)</f>
        <v>10.009399999999999</v>
      </c>
      <c r="O562" s="81">
        <f>10.0157 * CHOOSE(CONTROL!$C$32, $C$9, 100%, $E$9)</f>
        <v>10.015700000000001</v>
      </c>
    </row>
    <row r="563" spans="1:15" ht="15">
      <c r="A563" s="16">
        <v>58349</v>
      </c>
      <c r="B563" s="80">
        <f>8.5903 * CHOOSE(CONTROL!$C$32, $C$9, 100%, $E$9)</f>
        <v>8.5902999999999992</v>
      </c>
      <c r="C563" s="80">
        <f>8.5903 * CHOOSE(CONTROL!$C$32, $C$9, 100%, $E$9)</f>
        <v>8.5902999999999992</v>
      </c>
      <c r="D563" s="80">
        <f>8.5939 * CHOOSE(CONTROL!$C$32, $C$9, 100%, $E$9)</f>
        <v>8.5938999999999997</v>
      </c>
      <c r="E563" s="81">
        <f>10.0665 * CHOOSE(CONTROL!$C$32, $C$9, 100%, $E$9)</f>
        <v>10.0665</v>
      </c>
      <c r="F563" s="81">
        <f>10.0665 * CHOOSE(CONTROL!$C$32, $C$9, 100%, $E$9)</f>
        <v>10.0665</v>
      </c>
      <c r="G563" s="81">
        <f>10.0708 * CHOOSE(CONTROL!$C$32, $C$9, 100%, $E$9)</f>
        <v>10.0708</v>
      </c>
      <c r="H563" s="81">
        <f>18.2353 * CHOOSE(CONTROL!$C$32, $C$9, 100%, $E$9)</f>
        <v>18.235299999999999</v>
      </c>
      <c r="I563" s="81">
        <f>18.2397 * CHOOSE(CONTROL!$C$32, $C$9, 100%, $E$9)</f>
        <v>18.239699999999999</v>
      </c>
      <c r="J563" s="81">
        <f>18.2353 * CHOOSE(CONTROL!$C$32, $C$9, 100%, $E$9)</f>
        <v>18.235299999999999</v>
      </c>
      <c r="K563" s="81">
        <f>18.2397 * CHOOSE(CONTROL!$C$32, $C$9, 100%, $E$9)</f>
        <v>18.239699999999999</v>
      </c>
      <c r="L563" s="81">
        <f>10.0665 * CHOOSE(CONTROL!$C$32, $C$9, 100%, $E$9)</f>
        <v>10.0665</v>
      </c>
      <c r="M563" s="81">
        <f>10.0708 * CHOOSE(CONTROL!$C$32, $C$9, 100%, $E$9)</f>
        <v>10.0708</v>
      </c>
      <c r="N563" s="81">
        <f>10.0665 * CHOOSE(CONTROL!$C$32, $C$9, 100%, $E$9)</f>
        <v>10.0665</v>
      </c>
      <c r="O563" s="81">
        <f>10.0708 * CHOOSE(CONTROL!$C$32, $C$9, 100%, $E$9)</f>
        <v>10.0708</v>
      </c>
    </row>
    <row r="564" spans="1:15" ht="15">
      <c r="A564" s="16">
        <v>58380</v>
      </c>
      <c r="B564" s="80">
        <f>8.5934 * CHOOSE(CONTROL!$C$32, $C$9, 100%, $E$9)</f>
        <v>8.5934000000000008</v>
      </c>
      <c r="C564" s="80">
        <f>8.5934 * CHOOSE(CONTROL!$C$32, $C$9, 100%, $E$9)</f>
        <v>8.5934000000000008</v>
      </c>
      <c r="D564" s="80">
        <f>8.5969 * CHOOSE(CONTROL!$C$32, $C$9, 100%, $E$9)</f>
        <v>8.5968999999999998</v>
      </c>
      <c r="E564" s="81">
        <f>10.1038 * CHOOSE(CONTROL!$C$32, $C$9, 100%, $E$9)</f>
        <v>10.1038</v>
      </c>
      <c r="F564" s="81">
        <f>10.1038 * CHOOSE(CONTROL!$C$32, $C$9, 100%, $E$9)</f>
        <v>10.1038</v>
      </c>
      <c r="G564" s="81">
        <f>10.1082 * CHOOSE(CONTROL!$C$32, $C$9, 100%, $E$9)</f>
        <v>10.1082</v>
      </c>
      <c r="H564" s="81">
        <f>18.2733 * CHOOSE(CONTROL!$C$32, $C$9, 100%, $E$9)</f>
        <v>18.273299999999999</v>
      </c>
      <c r="I564" s="81">
        <f>18.2777 * CHOOSE(CONTROL!$C$32, $C$9, 100%, $E$9)</f>
        <v>18.277699999999999</v>
      </c>
      <c r="J564" s="81">
        <f>18.2733 * CHOOSE(CONTROL!$C$32, $C$9, 100%, $E$9)</f>
        <v>18.273299999999999</v>
      </c>
      <c r="K564" s="81">
        <f>18.2777 * CHOOSE(CONTROL!$C$32, $C$9, 100%, $E$9)</f>
        <v>18.277699999999999</v>
      </c>
      <c r="L564" s="81">
        <f>10.1038 * CHOOSE(CONTROL!$C$32, $C$9, 100%, $E$9)</f>
        <v>10.1038</v>
      </c>
      <c r="M564" s="81">
        <f>10.1082 * CHOOSE(CONTROL!$C$32, $C$9, 100%, $E$9)</f>
        <v>10.1082</v>
      </c>
      <c r="N564" s="81">
        <f>10.1038 * CHOOSE(CONTROL!$C$32, $C$9, 100%, $E$9)</f>
        <v>10.1038</v>
      </c>
      <c r="O564" s="81">
        <f>10.1082 * CHOOSE(CONTROL!$C$32, $C$9, 100%, $E$9)</f>
        <v>10.1082</v>
      </c>
    </row>
    <row r="565" spans="1:15" ht="15">
      <c r="A565" s="16">
        <v>58410</v>
      </c>
      <c r="B565" s="80">
        <f>8.5934 * CHOOSE(CONTROL!$C$32, $C$9, 100%, $E$9)</f>
        <v>8.5934000000000008</v>
      </c>
      <c r="C565" s="80">
        <f>8.5934 * CHOOSE(CONTROL!$C$32, $C$9, 100%, $E$9)</f>
        <v>8.5934000000000008</v>
      </c>
      <c r="D565" s="80">
        <f>8.5969 * CHOOSE(CONTROL!$C$32, $C$9, 100%, $E$9)</f>
        <v>8.5968999999999998</v>
      </c>
      <c r="E565" s="81">
        <f>10.0157 * CHOOSE(CONTROL!$C$32, $C$9, 100%, $E$9)</f>
        <v>10.015700000000001</v>
      </c>
      <c r="F565" s="81">
        <f>10.0157 * CHOOSE(CONTROL!$C$32, $C$9, 100%, $E$9)</f>
        <v>10.015700000000001</v>
      </c>
      <c r="G565" s="81">
        <f>10.0201 * CHOOSE(CONTROL!$C$32, $C$9, 100%, $E$9)</f>
        <v>10.020099999999999</v>
      </c>
      <c r="H565" s="81">
        <f>18.3114 * CHOOSE(CONTROL!$C$32, $C$9, 100%, $E$9)</f>
        <v>18.311399999999999</v>
      </c>
      <c r="I565" s="81">
        <f>18.3158 * CHOOSE(CONTROL!$C$32, $C$9, 100%, $E$9)</f>
        <v>18.315799999999999</v>
      </c>
      <c r="J565" s="81">
        <f>18.3114 * CHOOSE(CONTROL!$C$32, $C$9, 100%, $E$9)</f>
        <v>18.311399999999999</v>
      </c>
      <c r="K565" s="81">
        <f>18.3158 * CHOOSE(CONTROL!$C$32, $C$9, 100%, $E$9)</f>
        <v>18.315799999999999</v>
      </c>
      <c r="L565" s="81">
        <f>10.0157 * CHOOSE(CONTROL!$C$32, $C$9, 100%, $E$9)</f>
        <v>10.015700000000001</v>
      </c>
      <c r="M565" s="81">
        <f>10.0201 * CHOOSE(CONTROL!$C$32, $C$9, 100%, $E$9)</f>
        <v>10.020099999999999</v>
      </c>
      <c r="N565" s="81">
        <f>10.0157 * CHOOSE(CONTROL!$C$32, $C$9, 100%, $E$9)</f>
        <v>10.015700000000001</v>
      </c>
      <c r="O565" s="81">
        <f>10.0201 * CHOOSE(CONTROL!$C$32, $C$9, 100%, $E$9)</f>
        <v>10.020099999999999</v>
      </c>
    </row>
    <row r="566" spans="1:15" ht="15">
      <c r="A566" s="16">
        <v>58441</v>
      </c>
      <c r="B566" s="80">
        <f>8.6667 * CHOOSE(CONTROL!$C$32, $C$9, 100%, $E$9)</f>
        <v>8.6667000000000005</v>
      </c>
      <c r="C566" s="80">
        <f>8.6667 * CHOOSE(CONTROL!$C$32, $C$9, 100%, $E$9)</f>
        <v>8.6667000000000005</v>
      </c>
      <c r="D566" s="80">
        <f>8.6703 * CHOOSE(CONTROL!$C$32, $C$9, 100%, $E$9)</f>
        <v>8.6702999999999992</v>
      </c>
      <c r="E566" s="81">
        <f>10.1604 * CHOOSE(CONTROL!$C$32, $C$9, 100%, $E$9)</f>
        <v>10.160399999999999</v>
      </c>
      <c r="F566" s="81">
        <f>10.1604 * CHOOSE(CONTROL!$C$32, $C$9, 100%, $E$9)</f>
        <v>10.160399999999999</v>
      </c>
      <c r="G566" s="81">
        <f>10.1648 * CHOOSE(CONTROL!$C$32, $C$9, 100%, $E$9)</f>
        <v>10.1648</v>
      </c>
      <c r="H566" s="81">
        <f>18.3495 * CHOOSE(CONTROL!$C$32, $C$9, 100%, $E$9)</f>
        <v>18.349499999999999</v>
      </c>
      <c r="I566" s="81">
        <f>18.3539 * CHOOSE(CONTROL!$C$32, $C$9, 100%, $E$9)</f>
        <v>18.353899999999999</v>
      </c>
      <c r="J566" s="81">
        <f>18.3495 * CHOOSE(CONTROL!$C$32, $C$9, 100%, $E$9)</f>
        <v>18.349499999999999</v>
      </c>
      <c r="K566" s="81">
        <f>18.3539 * CHOOSE(CONTROL!$C$32, $C$9, 100%, $E$9)</f>
        <v>18.353899999999999</v>
      </c>
      <c r="L566" s="81">
        <f>10.1604 * CHOOSE(CONTROL!$C$32, $C$9, 100%, $E$9)</f>
        <v>10.160399999999999</v>
      </c>
      <c r="M566" s="81">
        <f>10.1648 * CHOOSE(CONTROL!$C$32, $C$9, 100%, $E$9)</f>
        <v>10.1648</v>
      </c>
      <c r="N566" s="81">
        <f>10.1604 * CHOOSE(CONTROL!$C$32, $C$9, 100%, $E$9)</f>
        <v>10.160399999999999</v>
      </c>
      <c r="O566" s="81">
        <f>10.1648 * CHOOSE(CONTROL!$C$32, $C$9, 100%, $E$9)</f>
        <v>10.1648</v>
      </c>
    </row>
    <row r="567" spans="1:15" ht="15">
      <c r="A567" s="16">
        <v>58472</v>
      </c>
      <c r="B567" s="80">
        <f>8.6637 * CHOOSE(CONTROL!$C$32, $C$9, 100%, $E$9)</f>
        <v>8.6637000000000004</v>
      </c>
      <c r="C567" s="80">
        <f>8.6637 * CHOOSE(CONTROL!$C$32, $C$9, 100%, $E$9)</f>
        <v>8.6637000000000004</v>
      </c>
      <c r="D567" s="80">
        <f>8.6672 * CHOOSE(CONTROL!$C$32, $C$9, 100%, $E$9)</f>
        <v>8.6671999999999993</v>
      </c>
      <c r="E567" s="81">
        <f>9.9871 * CHOOSE(CONTROL!$C$32, $C$9, 100%, $E$9)</f>
        <v>9.9870999999999999</v>
      </c>
      <c r="F567" s="81">
        <f>9.9871 * CHOOSE(CONTROL!$C$32, $C$9, 100%, $E$9)</f>
        <v>9.9870999999999999</v>
      </c>
      <c r="G567" s="81">
        <f>9.9915 * CHOOSE(CONTROL!$C$32, $C$9, 100%, $E$9)</f>
        <v>9.9915000000000003</v>
      </c>
      <c r="H567" s="81">
        <f>18.3878 * CHOOSE(CONTROL!$C$32, $C$9, 100%, $E$9)</f>
        <v>18.387799999999999</v>
      </c>
      <c r="I567" s="81">
        <f>18.3921 * CHOOSE(CONTROL!$C$32, $C$9, 100%, $E$9)</f>
        <v>18.392099999999999</v>
      </c>
      <c r="J567" s="81">
        <f>18.3878 * CHOOSE(CONTROL!$C$32, $C$9, 100%, $E$9)</f>
        <v>18.387799999999999</v>
      </c>
      <c r="K567" s="81">
        <f>18.3921 * CHOOSE(CONTROL!$C$32, $C$9, 100%, $E$9)</f>
        <v>18.392099999999999</v>
      </c>
      <c r="L567" s="81">
        <f>9.9871 * CHOOSE(CONTROL!$C$32, $C$9, 100%, $E$9)</f>
        <v>9.9870999999999999</v>
      </c>
      <c r="M567" s="81">
        <f>9.9915 * CHOOSE(CONTROL!$C$32, $C$9, 100%, $E$9)</f>
        <v>9.9915000000000003</v>
      </c>
      <c r="N567" s="81">
        <f>9.9871 * CHOOSE(CONTROL!$C$32, $C$9, 100%, $E$9)</f>
        <v>9.9870999999999999</v>
      </c>
      <c r="O567" s="81">
        <f>9.9915 * CHOOSE(CONTROL!$C$32, $C$9, 100%, $E$9)</f>
        <v>9.9915000000000003</v>
      </c>
    </row>
    <row r="568" spans="1:15" ht="15">
      <c r="A568" s="16">
        <v>58501</v>
      </c>
      <c r="B568" s="80">
        <f>8.6607 * CHOOSE(CONTROL!$C$32, $C$9, 100%, $E$9)</f>
        <v>8.6607000000000003</v>
      </c>
      <c r="C568" s="80">
        <f>8.6607 * CHOOSE(CONTROL!$C$32, $C$9, 100%, $E$9)</f>
        <v>8.6607000000000003</v>
      </c>
      <c r="D568" s="80">
        <f>8.6642 * CHOOSE(CONTROL!$C$32, $C$9, 100%, $E$9)</f>
        <v>8.6641999999999992</v>
      </c>
      <c r="E568" s="81">
        <f>10.1199 * CHOOSE(CONTROL!$C$32, $C$9, 100%, $E$9)</f>
        <v>10.119899999999999</v>
      </c>
      <c r="F568" s="81">
        <f>10.1199 * CHOOSE(CONTROL!$C$32, $C$9, 100%, $E$9)</f>
        <v>10.119899999999999</v>
      </c>
      <c r="G568" s="81">
        <f>10.1243 * CHOOSE(CONTROL!$C$32, $C$9, 100%, $E$9)</f>
        <v>10.1243</v>
      </c>
      <c r="H568" s="81">
        <f>18.4261 * CHOOSE(CONTROL!$C$32, $C$9, 100%, $E$9)</f>
        <v>18.426100000000002</v>
      </c>
      <c r="I568" s="81">
        <f>18.4304 * CHOOSE(CONTROL!$C$32, $C$9, 100%, $E$9)</f>
        <v>18.430399999999999</v>
      </c>
      <c r="J568" s="81">
        <f>18.4261 * CHOOSE(CONTROL!$C$32, $C$9, 100%, $E$9)</f>
        <v>18.426100000000002</v>
      </c>
      <c r="K568" s="81">
        <f>18.4304 * CHOOSE(CONTROL!$C$32, $C$9, 100%, $E$9)</f>
        <v>18.430399999999999</v>
      </c>
      <c r="L568" s="81">
        <f>10.1199 * CHOOSE(CONTROL!$C$32, $C$9, 100%, $E$9)</f>
        <v>10.119899999999999</v>
      </c>
      <c r="M568" s="81">
        <f>10.1243 * CHOOSE(CONTROL!$C$32, $C$9, 100%, $E$9)</f>
        <v>10.1243</v>
      </c>
      <c r="N568" s="81">
        <f>10.1199 * CHOOSE(CONTROL!$C$32, $C$9, 100%, $E$9)</f>
        <v>10.119899999999999</v>
      </c>
      <c r="O568" s="81">
        <f>10.1243 * CHOOSE(CONTROL!$C$32, $C$9, 100%, $E$9)</f>
        <v>10.1243</v>
      </c>
    </row>
    <row r="569" spans="1:15" ht="15">
      <c r="A569" s="16">
        <v>58532</v>
      </c>
      <c r="B569" s="80">
        <f>8.6623 * CHOOSE(CONTROL!$C$32, $C$9, 100%, $E$9)</f>
        <v>8.6623000000000001</v>
      </c>
      <c r="C569" s="80">
        <f>8.6623 * CHOOSE(CONTROL!$C$32, $C$9, 100%, $E$9)</f>
        <v>8.6623000000000001</v>
      </c>
      <c r="D569" s="80">
        <f>8.6658 * CHOOSE(CONTROL!$C$32, $C$9, 100%, $E$9)</f>
        <v>8.6658000000000008</v>
      </c>
      <c r="E569" s="81">
        <f>10.2606 * CHOOSE(CONTROL!$C$32, $C$9, 100%, $E$9)</f>
        <v>10.2606</v>
      </c>
      <c r="F569" s="81">
        <f>10.2606 * CHOOSE(CONTROL!$C$32, $C$9, 100%, $E$9)</f>
        <v>10.2606</v>
      </c>
      <c r="G569" s="81">
        <f>10.265 * CHOOSE(CONTROL!$C$32, $C$9, 100%, $E$9)</f>
        <v>10.265000000000001</v>
      </c>
      <c r="H569" s="81">
        <f>18.4645 * CHOOSE(CONTROL!$C$32, $C$9, 100%, $E$9)</f>
        <v>18.464500000000001</v>
      </c>
      <c r="I569" s="81">
        <f>18.4688 * CHOOSE(CONTROL!$C$32, $C$9, 100%, $E$9)</f>
        <v>18.468800000000002</v>
      </c>
      <c r="J569" s="81">
        <f>18.4645 * CHOOSE(CONTROL!$C$32, $C$9, 100%, $E$9)</f>
        <v>18.464500000000001</v>
      </c>
      <c r="K569" s="81">
        <f>18.4688 * CHOOSE(CONTROL!$C$32, $C$9, 100%, $E$9)</f>
        <v>18.468800000000002</v>
      </c>
      <c r="L569" s="81">
        <f>10.2606 * CHOOSE(CONTROL!$C$32, $C$9, 100%, $E$9)</f>
        <v>10.2606</v>
      </c>
      <c r="M569" s="81">
        <f>10.265 * CHOOSE(CONTROL!$C$32, $C$9, 100%, $E$9)</f>
        <v>10.265000000000001</v>
      </c>
      <c r="N569" s="81">
        <f>10.2606 * CHOOSE(CONTROL!$C$32, $C$9, 100%, $E$9)</f>
        <v>10.2606</v>
      </c>
      <c r="O569" s="81">
        <f>10.265 * CHOOSE(CONTROL!$C$32, $C$9, 100%, $E$9)</f>
        <v>10.265000000000001</v>
      </c>
    </row>
    <row r="570" spans="1:15" ht="15">
      <c r="A570" s="16">
        <v>58562</v>
      </c>
      <c r="B570" s="80">
        <f>8.6623 * CHOOSE(CONTROL!$C$32, $C$9, 100%, $E$9)</f>
        <v>8.6623000000000001</v>
      </c>
      <c r="C570" s="80">
        <f>8.6623 * CHOOSE(CONTROL!$C$32, $C$9, 100%, $E$9)</f>
        <v>8.6623000000000001</v>
      </c>
      <c r="D570" s="80">
        <f>8.6674 * CHOOSE(CONTROL!$C$32, $C$9, 100%, $E$9)</f>
        <v>8.6674000000000007</v>
      </c>
      <c r="E570" s="81">
        <f>10.315 * CHOOSE(CONTROL!$C$32, $C$9, 100%, $E$9)</f>
        <v>10.315</v>
      </c>
      <c r="F570" s="81">
        <f>10.315 * CHOOSE(CONTROL!$C$32, $C$9, 100%, $E$9)</f>
        <v>10.315</v>
      </c>
      <c r="G570" s="81">
        <f>10.3213 * CHOOSE(CONTROL!$C$32, $C$9, 100%, $E$9)</f>
        <v>10.321300000000001</v>
      </c>
      <c r="H570" s="81">
        <f>18.5029 * CHOOSE(CONTROL!$C$32, $C$9, 100%, $E$9)</f>
        <v>18.5029</v>
      </c>
      <c r="I570" s="81">
        <f>18.5092 * CHOOSE(CONTROL!$C$32, $C$9, 100%, $E$9)</f>
        <v>18.5092</v>
      </c>
      <c r="J570" s="81">
        <f>18.5029 * CHOOSE(CONTROL!$C$32, $C$9, 100%, $E$9)</f>
        <v>18.5029</v>
      </c>
      <c r="K570" s="81">
        <f>18.5092 * CHOOSE(CONTROL!$C$32, $C$9, 100%, $E$9)</f>
        <v>18.5092</v>
      </c>
      <c r="L570" s="81">
        <f>10.315 * CHOOSE(CONTROL!$C$32, $C$9, 100%, $E$9)</f>
        <v>10.315</v>
      </c>
      <c r="M570" s="81">
        <f>10.3213 * CHOOSE(CONTROL!$C$32, $C$9, 100%, $E$9)</f>
        <v>10.321300000000001</v>
      </c>
      <c r="N570" s="81">
        <f>10.315 * CHOOSE(CONTROL!$C$32, $C$9, 100%, $E$9)</f>
        <v>10.315</v>
      </c>
      <c r="O570" s="81">
        <f>10.3213 * CHOOSE(CONTROL!$C$32, $C$9, 100%, $E$9)</f>
        <v>10.321300000000001</v>
      </c>
    </row>
    <row r="571" spans="1:15" ht="15">
      <c r="A571" s="16">
        <v>58593</v>
      </c>
      <c r="B571" s="80">
        <f>8.6684 * CHOOSE(CONTROL!$C$32, $C$9, 100%, $E$9)</f>
        <v>8.6684000000000001</v>
      </c>
      <c r="C571" s="80">
        <f>8.6684 * CHOOSE(CONTROL!$C$32, $C$9, 100%, $E$9)</f>
        <v>8.6684000000000001</v>
      </c>
      <c r="D571" s="80">
        <f>8.6735 * CHOOSE(CONTROL!$C$32, $C$9, 100%, $E$9)</f>
        <v>8.6735000000000007</v>
      </c>
      <c r="E571" s="81">
        <f>10.2649 * CHOOSE(CONTROL!$C$32, $C$9, 100%, $E$9)</f>
        <v>10.264900000000001</v>
      </c>
      <c r="F571" s="81">
        <f>10.2649 * CHOOSE(CONTROL!$C$32, $C$9, 100%, $E$9)</f>
        <v>10.264900000000001</v>
      </c>
      <c r="G571" s="81">
        <f>10.2712 * CHOOSE(CONTROL!$C$32, $C$9, 100%, $E$9)</f>
        <v>10.2712</v>
      </c>
      <c r="H571" s="81">
        <f>18.5415 * CHOOSE(CONTROL!$C$32, $C$9, 100%, $E$9)</f>
        <v>18.541499999999999</v>
      </c>
      <c r="I571" s="81">
        <f>18.5478 * CHOOSE(CONTROL!$C$32, $C$9, 100%, $E$9)</f>
        <v>18.547799999999999</v>
      </c>
      <c r="J571" s="81">
        <f>18.5415 * CHOOSE(CONTROL!$C$32, $C$9, 100%, $E$9)</f>
        <v>18.541499999999999</v>
      </c>
      <c r="K571" s="81">
        <f>18.5478 * CHOOSE(CONTROL!$C$32, $C$9, 100%, $E$9)</f>
        <v>18.547799999999999</v>
      </c>
      <c r="L571" s="81">
        <f>10.2649 * CHOOSE(CONTROL!$C$32, $C$9, 100%, $E$9)</f>
        <v>10.264900000000001</v>
      </c>
      <c r="M571" s="81">
        <f>10.2712 * CHOOSE(CONTROL!$C$32, $C$9, 100%, $E$9)</f>
        <v>10.2712</v>
      </c>
      <c r="N571" s="81">
        <f>10.2649 * CHOOSE(CONTROL!$C$32, $C$9, 100%, $E$9)</f>
        <v>10.264900000000001</v>
      </c>
      <c r="O571" s="81">
        <f>10.2712 * CHOOSE(CONTROL!$C$32, $C$9, 100%, $E$9)</f>
        <v>10.2712</v>
      </c>
    </row>
    <row r="572" spans="1:15" ht="15">
      <c r="A572" s="16">
        <v>58623</v>
      </c>
      <c r="B572" s="80">
        <f>8.8035 * CHOOSE(CONTROL!$C$32, $C$9, 100%, $E$9)</f>
        <v>8.8034999999999997</v>
      </c>
      <c r="C572" s="80">
        <f>8.8035 * CHOOSE(CONTROL!$C$32, $C$9, 100%, $E$9)</f>
        <v>8.8034999999999997</v>
      </c>
      <c r="D572" s="80">
        <f>8.8087 * CHOOSE(CONTROL!$C$32, $C$9, 100%, $E$9)</f>
        <v>8.8087</v>
      </c>
      <c r="E572" s="81">
        <f>10.4324 * CHOOSE(CONTROL!$C$32, $C$9, 100%, $E$9)</f>
        <v>10.432399999999999</v>
      </c>
      <c r="F572" s="81">
        <f>10.4324 * CHOOSE(CONTROL!$C$32, $C$9, 100%, $E$9)</f>
        <v>10.432399999999999</v>
      </c>
      <c r="G572" s="81">
        <f>10.4387 * CHOOSE(CONTROL!$C$32, $C$9, 100%, $E$9)</f>
        <v>10.438700000000001</v>
      </c>
      <c r="H572" s="81">
        <f>18.5801 * CHOOSE(CONTROL!$C$32, $C$9, 100%, $E$9)</f>
        <v>18.580100000000002</v>
      </c>
      <c r="I572" s="81">
        <f>18.5864 * CHOOSE(CONTROL!$C$32, $C$9, 100%, $E$9)</f>
        <v>18.586400000000001</v>
      </c>
      <c r="J572" s="81">
        <f>18.5801 * CHOOSE(CONTROL!$C$32, $C$9, 100%, $E$9)</f>
        <v>18.580100000000002</v>
      </c>
      <c r="K572" s="81">
        <f>18.5864 * CHOOSE(CONTROL!$C$32, $C$9, 100%, $E$9)</f>
        <v>18.586400000000001</v>
      </c>
      <c r="L572" s="81">
        <f>10.4324 * CHOOSE(CONTROL!$C$32, $C$9, 100%, $E$9)</f>
        <v>10.432399999999999</v>
      </c>
      <c r="M572" s="81">
        <f>10.4387 * CHOOSE(CONTROL!$C$32, $C$9, 100%, $E$9)</f>
        <v>10.438700000000001</v>
      </c>
      <c r="N572" s="81">
        <f>10.4324 * CHOOSE(CONTROL!$C$32, $C$9, 100%, $E$9)</f>
        <v>10.432399999999999</v>
      </c>
      <c r="O572" s="81">
        <f>10.4387 * CHOOSE(CONTROL!$C$32, $C$9, 100%, $E$9)</f>
        <v>10.438700000000001</v>
      </c>
    </row>
    <row r="573" spans="1:15" ht="15">
      <c r="A573" s="16">
        <v>58654</v>
      </c>
      <c r="B573" s="80">
        <f>8.8102 * CHOOSE(CONTROL!$C$32, $C$9, 100%, $E$9)</f>
        <v>8.8102</v>
      </c>
      <c r="C573" s="80">
        <f>8.8102 * CHOOSE(CONTROL!$C$32, $C$9, 100%, $E$9)</f>
        <v>8.8102</v>
      </c>
      <c r="D573" s="80">
        <f>8.8154 * CHOOSE(CONTROL!$C$32, $C$9, 100%, $E$9)</f>
        <v>8.8154000000000003</v>
      </c>
      <c r="E573" s="81">
        <f>10.274 * CHOOSE(CONTROL!$C$32, $C$9, 100%, $E$9)</f>
        <v>10.273999999999999</v>
      </c>
      <c r="F573" s="81">
        <f>10.274 * CHOOSE(CONTROL!$C$32, $C$9, 100%, $E$9)</f>
        <v>10.273999999999999</v>
      </c>
      <c r="G573" s="81">
        <f>10.2803 * CHOOSE(CONTROL!$C$32, $C$9, 100%, $E$9)</f>
        <v>10.2803</v>
      </c>
      <c r="H573" s="81">
        <f>18.6188 * CHOOSE(CONTROL!$C$32, $C$9, 100%, $E$9)</f>
        <v>18.6188</v>
      </c>
      <c r="I573" s="81">
        <f>18.6251 * CHOOSE(CONTROL!$C$32, $C$9, 100%, $E$9)</f>
        <v>18.6251</v>
      </c>
      <c r="J573" s="81">
        <f>18.6188 * CHOOSE(CONTROL!$C$32, $C$9, 100%, $E$9)</f>
        <v>18.6188</v>
      </c>
      <c r="K573" s="81">
        <f>18.6251 * CHOOSE(CONTROL!$C$32, $C$9, 100%, $E$9)</f>
        <v>18.6251</v>
      </c>
      <c r="L573" s="81">
        <f>10.274 * CHOOSE(CONTROL!$C$32, $C$9, 100%, $E$9)</f>
        <v>10.273999999999999</v>
      </c>
      <c r="M573" s="81">
        <f>10.2803 * CHOOSE(CONTROL!$C$32, $C$9, 100%, $E$9)</f>
        <v>10.2803</v>
      </c>
      <c r="N573" s="81">
        <f>10.274 * CHOOSE(CONTROL!$C$32, $C$9, 100%, $E$9)</f>
        <v>10.273999999999999</v>
      </c>
      <c r="O573" s="81">
        <f>10.2803 * CHOOSE(CONTROL!$C$32, $C$9, 100%, $E$9)</f>
        <v>10.2803</v>
      </c>
    </row>
    <row r="574" spans="1:15" ht="15">
      <c r="A574" s="16">
        <v>58685</v>
      </c>
      <c r="B574" s="80">
        <f>8.8072 * CHOOSE(CONTROL!$C$32, $C$9, 100%, $E$9)</f>
        <v>8.8071999999999999</v>
      </c>
      <c r="C574" s="80">
        <f>8.8072 * CHOOSE(CONTROL!$C$32, $C$9, 100%, $E$9)</f>
        <v>8.8071999999999999</v>
      </c>
      <c r="D574" s="80">
        <f>8.8123 * CHOOSE(CONTROL!$C$32, $C$9, 100%, $E$9)</f>
        <v>8.8123000000000005</v>
      </c>
      <c r="E574" s="81">
        <f>10.2538 * CHOOSE(CONTROL!$C$32, $C$9, 100%, $E$9)</f>
        <v>10.2538</v>
      </c>
      <c r="F574" s="81">
        <f>10.2538 * CHOOSE(CONTROL!$C$32, $C$9, 100%, $E$9)</f>
        <v>10.2538</v>
      </c>
      <c r="G574" s="81">
        <f>10.2601 * CHOOSE(CONTROL!$C$32, $C$9, 100%, $E$9)</f>
        <v>10.2601</v>
      </c>
      <c r="H574" s="81">
        <f>18.6576 * CHOOSE(CONTROL!$C$32, $C$9, 100%, $E$9)</f>
        <v>18.657599999999999</v>
      </c>
      <c r="I574" s="81">
        <f>18.6639 * CHOOSE(CONTROL!$C$32, $C$9, 100%, $E$9)</f>
        <v>18.663900000000002</v>
      </c>
      <c r="J574" s="81">
        <f>18.6576 * CHOOSE(CONTROL!$C$32, $C$9, 100%, $E$9)</f>
        <v>18.657599999999999</v>
      </c>
      <c r="K574" s="81">
        <f>18.6639 * CHOOSE(CONTROL!$C$32, $C$9, 100%, $E$9)</f>
        <v>18.663900000000002</v>
      </c>
      <c r="L574" s="81">
        <f>10.2538 * CHOOSE(CONTROL!$C$32, $C$9, 100%, $E$9)</f>
        <v>10.2538</v>
      </c>
      <c r="M574" s="81">
        <f>10.2601 * CHOOSE(CONTROL!$C$32, $C$9, 100%, $E$9)</f>
        <v>10.2601</v>
      </c>
      <c r="N574" s="81">
        <f>10.2538 * CHOOSE(CONTROL!$C$32, $C$9, 100%, $E$9)</f>
        <v>10.2538</v>
      </c>
      <c r="O574" s="81">
        <f>10.2601 * CHOOSE(CONTROL!$C$32, $C$9, 100%, $E$9)</f>
        <v>10.2601</v>
      </c>
    </row>
    <row r="575" spans="1:15" ht="15">
      <c r="A575" s="16">
        <v>58715</v>
      </c>
      <c r="B575" s="80">
        <f>8.8179 * CHOOSE(CONTROL!$C$32, $C$9, 100%, $E$9)</f>
        <v>8.8178999999999998</v>
      </c>
      <c r="C575" s="80">
        <f>8.8179 * CHOOSE(CONTROL!$C$32, $C$9, 100%, $E$9)</f>
        <v>8.8178999999999998</v>
      </c>
      <c r="D575" s="80">
        <f>8.8215 * CHOOSE(CONTROL!$C$32, $C$9, 100%, $E$9)</f>
        <v>8.8215000000000003</v>
      </c>
      <c r="E575" s="81">
        <f>10.3128 * CHOOSE(CONTROL!$C$32, $C$9, 100%, $E$9)</f>
        <v>10.312799999999999</v>
      </c>
      <c r="F575" s="81">
        <f>10.3128 * CHOOSE(CONTROL!$C$32, $C$9, 100%, $E$9)</f>
        <v>10.312799999999999</v>
      </c>
      <c r="G575" s="81">
        <f>10.3172 * CHOOSE(CONTROL!$C$32, $C$9, 100%, $E$9)</f>
        <v>10.3172</v>
      </c>
      <c r="H575" s="81">
        <f>18.6965 * CHOOSE(CONTROL!$C$32, $C$9, 100%, $E$9)</f>
        <v>18.6965</v>
      </c>
      <c r="I575" s="81">
        <f>18.7008 * CHOOSE(CONTROL!$C$32, $C$9, 100%, $E$9)</f>
        <v>18.700800000000001</v>
      </c>
      <c r="J575" s="81">
        <f>18.6965 * CHOOSE(CONTROL!$C$32, $C$9, 100%, $E$9)</f>
        <v>18.6965</v>
      </c>
      <c r="K575" s="81">
        <f>18.7008 * CHOOSE(CONTROL!$C$32, $C$9, 100%, $E$9)</f>
        <v>18.700800000000001</v>
      </c>
      <c r="L575" s="81">
        <f>10.3128 * CHOOSE(CONTROL!$C$32, $C$9, 100%, $E$9)</f>
        <v>10.312799999999999</v>
      </c>
      <c r="M575" s="81">
        <f>10.3172 * CHOOSE(CONTROL!$C$32, $C$9, 100%, $E$9)</f>
        <v>10.3172</v>
      </c>
      <c r="N575" s="81">
        <f>10.3128 * CHOOSE(CONTROL!$C$32, $C$9, 100%, $E$9)</f>
        <v>10.312799999999999</v>
      </c>
      <c r="O575" s="81">
        <f>10.3172 * CHOOSE(CONTROL!$C$32, $C$9, 100%, $E$9)</f>
        <v>10.3172</v>
      </c>
    </row>
    <row r="576" spans="1:15" ht="15">
      <c r="A576" s="16">
        <v>58746</v>
      </c>
      <c r="B576" s="80">
        <f>8.821 * CHOOSE(CONTROL!$C$32, $C$9, 100%, $E$9)</f>
        <v>8.8209999999999997</v>
      </c>
      <c r="C576" s="80">
        <f>8.821 * CHOOSE(CONTROL!$C$32, $C$9, 100%, $E$9)</f>
        <v>8.8209999999999997</v>
      </c>
      <c r="D576" s="80">
        <f>8.8245 * CHOOSE(CONTROL!$C$32, $C$9, 100%, $E$9)</f>
        <v>8.8245000000000005</v>
      </c>
      <c r="E576" s="81">
        <f>10.3512 * CHOOSE(CONTROL!$C$32, $C$9, 100%, $E$9)</f>
        <v>10.3512</v>
      </c>
      <c r="F576" s="81">
        <f>10.3512 * CHOOSE(CONTROL!$C$32, $C$9, 100%, $E$9)</f>
        <v>10.3512</v>
      </c>
      <c r="G576" s="81">
        <f>10.3555 * CHOOSE(CONTROL!$C$32, $C$9, 100%, $E$9)</f>
        <v>10.355499999999999</v>
      </c>
      <c r="H576" s="81">
        <f>18.7354 * CHOOSE(CONTROL!$C$32, $C$9, 100%, $E$9)</f>
        <v>18.735399999999998</v>
      </c>
      <c r="I576" s="81">
        <f>18.7398 * CHOOSE(CONTROL!$C$32, $C$9, 100%, $E$9)</f>
        <v>18.739799999999999</v>
      </c>
      <c r="J576" s="81">
        <f>18.7354 * CHOOSE(CONTROL!$C$32, $C$9, 100%, $E$9)</f>
        <v>18.735399999999998</v>
      </c>
      <c r="K576" s="81">
        <f>18.7398 * CHOOSE(CONTROL!$C$32, $C$9, 100%, $E$9)</f>
        <v>18.739799999999999</v>
      </c>
      <c r="L576" s="81">
        <f>10.3512 * CHOOSE(CONTROL!$C$32, $C$9, 100%, $E$9)</f>
        <v>10.3512</v>
      </c>
      <c r="M576" s="81">
        <f>10.3555 * CHOOSE(CONTROL!$C$32, $C$9, 100%, $E$9)</f>
        <v>10.355499999999999</v>
      </c>
      <c r="N576" s="81">
        <f>10.3512 * CHOOSE(CONTROL!$C$32, $C$9, 100%, $E$9)</f>
        <v>10.3512</v>
      </c>
      <c r="O576" s="81">
        <f>10.3555 * CHOOSE(CONTROL!$C$32, $C$9, 100%, $E$9)</f>
        <v>10.355499999999999</v>
      </c>
    </row>
    <row r="577" spans="1:15" ht="15">
      <c r="A577" s="16">
        <v>58776</v>
      </c>
      <c r="B577" s="80">
        <f>8.821 * CHOOSE(CONTROL!$C$32, $C$9, 100%, $E$9)</f>
        <v>8.8209999999999997</v>
      </c>
      <c r="C577" s="80">
        <f>8.821 * CHOOSE(CONTROL!$C$32, $C$9, 100%, $E$9)</f>
        <v>8.8209999999999997</v>
      </c>
      <c r="D577" s="80">
        <f>8.8245 * CHOOSE(CONTROL!$C$32, $C$9, 100%, $E$9)</f>
        <v>8.8245000000000005</v>
      </c>
      <c r="E577" s="81">
        <f>10.2606 * CHOOSE(CONTROL!$C$32, $C$9, 100%, $E$9)</f>
        <v>10.2606</v>
      </c>
      <c r="F577" s="81">
        <f>10.2606 * CHOOSE(CONTROL!$C$32, $C$9, 100%, $E$9)</f>
        <v>10.2606</v>
      </c>
      <c r="G577" s="81">
        <f>10.265 * CHOOSE(CONTROL!$C$32, $C$9, 100%, $E$9)</f>
        <v>10.265000000000001</v>
      </c>
      <c r="H577" s="81">
        <f>18.7745 * CHOOSE(CONTROL!$C$32, $C$9, 100%, $E$9)</f>
        <v>18.7745</v>
      </c>
      <c r="I577" s="81">
        <f>18.7788 * CHOOSE(CONTROL!$C$32, $C$9, 100%, $E$9)</f>
        <v>18.7788</v>
      </c>
      <c r="J577" s="81">
        <f>18.7745 * CHOOSE(CONTROL!$C$32, $C$9, 100%, $E$9)</f>
        <v>18.7745</v>
      </c>
      <c r="K577" s="81">
        <f>18.7788 * CHOOSE(CONTROL!$C$32, $C$9, 100%, $E$9)</f>
        <v>18.7788</v>
      </c>
      <c r="L577" s="81">
        <f>10.2606 * CHOOSE(CONTROL!$C$32, $C$9, 100%, $E$9)</f>
        <v>10.2606</v>
      </c>
      <c r="M577" s="81">
        <f>10.265 * CHOOSE(CONTROL!$C$32, $C$9, 100%, $E$9)</f>
        <v>10.265000000000001</v>
      </c>
      <c r="N577" s="81">
        <f>10.2606 * CHOOSE(CONTROL!$C$32, $C$9, 100%, $E$9)</f>
        <v>10.2606</v>
      </c>
      <c r="O577" s="81">
        <f>10.265 * CHOOSE(CONTROL!$C$32, $C$9, 100%, $E$9)</f>
        <v>10.265000000000001</v>
      </c>
    </row>
    <row r="578" spans="1:15" ht="15">
      <c r="A578" s="16">
        <v>58807</v>
      </c>
      <c r="B578" s="80">
        <f>8.8962 * CHOOSE(CONTROL!$C$32, $C$9, 100%, $E$9)</f>
        <v>8.8962000000000003</v>
      </c>
      <c r="C578" s="80">
        <f>8.8962 * CHOOSE(CONTROL!$C$32, $C$9, 100%, $E$9)</f>
        <v>8.8962000000000003</v>
      </c>
      <c r="D578" s="80">
        <f>8.8997 * CHOOSE(CONTROL!$C$32, $C$9, 100%, $E$9)</f>
        <v>8.8996999999999993</v>
      </c>
      <c r="E578" s="81">
        <f>10.409 * CHOOSE(CONTROL!$C$32, $C$9, 100%, $E$9)</f>
        <v>10.409000000000001</v>
      </c>
      <c r="F578" s="81">
        <f>10.409 * CHOOSE(CONTROL!$C$32, $C$9, 100%, $E$9)</f>
        <v>10.409000000000001</v>
      </c>
      <c r="G578" s="81">
        <f>10.4134 * CHOOSE(CONTROL!$C$32, $C$9, 100%, $E$9)</f>
        <v>10.413399999999999</v>
      </c>
      <c r="H578" s="81">
        <f>18.8136 * CHOOSE(CONTROL!$C$32, $C$9, 100%, $E$9)</f>
        <v>18.813600000000001</v>
      </c>
      <c r="I578" s="81">
        <f>18.8179 * CHOOSE(CONTROL!$C$32, $C$9, 100%, $E$9)</f>
        <v>18.817900000000002</v>
      </c>
      <c r="J578" s="81">
        <f>18.8136 * CHOOSE(CONTROL!$C$32, $C$9, 100%, $E$9)</f>
        <v>18.813600000000001</v>
      </c>
      <c r="K578" s="81">
        <f>18.8179 * CHOOSE(CONTROL!$C$32, $C$9, 100%, $E$9)</f>
        <v>18.817900000000002</v>
      </c>
      <c r="L578" s="81">
        <f>10.409 * CHOOSE(CONTROL!$C$32, $C$9, 100%, $E$9)</f>
        <v>10.409000000000001</v>
      </c>
      <c r="M578" s="81">
        <f>10.4134 * CHOOSE(CONTROL!$C$32, $C$9, 100%, $E$9)</f>
        <v>10.413399999999999</v>
      </c>
      <c r="N578" s="81">
        <f>10.409 * CHOOSE(CONTROL!$C$32, $C$9, 100%, $E$9)</f>
        <v>10.409000000000001</v>
      </c>
      <c r="O578" s="81">
        <f>10.4134 * CHOOSE(CONTROL!$C$32, $C$9, 100%, $E$9)</f>
        <v>10.413399999999999</v>
      </c>
    </row>
    <row r="579" spans="1:15" ht="15">
      <c r="A579" s="16">
        <v>58838</v>
      </c>
      <c r="B579" s="80">
        <f>8.8931 * CHOOSE(CONTROL!$C$32, $C$9, 100%, $E$9)</f>
        <v>8.8931000000000004</v>
      </c>
      <c r="C579" s="80">
        <f>8.8931 * CHOOSE(CONTROL!$C$32, $C$9, 100%, $E$9)</f>
        <v>8.8931000000000004</v>
      </c>
      <c r="D579" s="80">
        <f>8.8967 * CHOOSE(CONTROL!$C$32, $C$9, 100%, $E$9)</f>
        <v>8.8966999999999992</v>
      </c>
      <c r="E579" s="81">
        <f>10.2309 * CHOOSE(CONTROL!$C$32, $C$9, 100%, $E$9)</f>
        <v>10.2309</v>
      </c>
      <c r="F579" s="81">
        <f>10.2309 * CHOOSE(CONTROL!$C$32, $C$9, 100%, $E$9)</f>
        <v>10.2309</v>
      </c>
      <c r="G579" s="81">
        <f>10.2353 * CHOOSE(CONTROL!$C$32, $C$9, 100%, $E$9)</f>
        <v>10.235300000000001</v>
      </c>
      <c r="H579" s="81">
        <f>18.8528 * CHOOSE(CONTROL!$C$32, $C$9, 100%, $E$9)</f>
        <v>18.852799999999998</v>
      </c>
      <c r="I579" s="81">
        <f>18.8571 * CHOOSE(CONTROL!$C$32, $C$9, 100%, $E$9)</f>
        <v>18.857099999999999</v>
      </c>
      <c r="J579" s="81">
        <f>18.8528 * CHOOSE(CONTROL!$C$32, $C$9, 100%, $E$9)</f>
        <v>18.852799999999998</v>
      </c>
      <c r="K579" s="81">
        <f>18.8571 * CHOOSE(CONTROL!$C$32, $C$9, 100%, $E$9)</f>
        <v>18.857099999999999</v>
      </c>
      <c r="L579" s="81">
        <f>10.2309 * CHOOSE(CONTROL!$C$32, $C$9, 100%, $E$9)</f>
        <v>10.2309</v>
      </c>
      <c r="M579" s="81">
        <f>10.2353 * CHOOSE(CONTROL!$C$32, $C$9, 100%, $E$9)</f>
        <v>10.235300000000001</v>
      </c>
      <c r="N579" s="81">
        <f>10.2309 * CHOOSE(CONTROL!$C$32, $C$9, 100%, $E$9)</f>
        <v>10.2309</v>
      </c>
      <c r="O579" s="81">
        <f>10.2353 * CHOOSE(CONTROL!$C$32, $C$9, 100%, $E$9)</f>
        <v>10.235300000000001</v>
      </c>
    </row>
    <row r="580" spans="1:15" ht="15">
      <c r="A580" s="16">
        <v>58866</v>
      </c>
      <c r="B580" s="80">
        <f>8.8901 * CHOOSE(CONTROL!$C$32, $C$9, 100%, $E$9)</f>
        <v>8.8901000000000003</v>
      </c>
      <c r="C580" s="80">
        <f>8.8901 * CHOOSE(CONTROL!$C$32, $C$9, 100%, $E$9)</f>
        <v>8.8901000000000003</v>
      </c>
      <c r="D580" s="80">
        <f>8.8936 * CHOOSE(CONTROL!$C$32, $C$9, 100%, $E$9)</f>
        <v>8.8935999999999993</v>
      </c>
      <c r="E580" s="81">
        <f>10.3675 * CHOOSE(CONTROL!$C$32, $C$9, 100%, $E$9)</f>
        <v>10.3675</v>
      </c>
      <c r="F580" s="81">
        <f>10.3675 * CHOOSE(CONTROL!$C$32, $C$9, 100%, $E$9)</f>
        <v>10.3675</v>
      </c>
      <c r="G580" s="81">
        <f>10.3719 * CHOOSE(CONTROL!$C$32, $C$9, 100%, $E$9)</f>
        <v>10.3719</v>
      </c>
      <c r="H580" s="81">
        <f>18.892 * CHOOSE(CONTROL!$C$32, $C$9, 100%, $E$9)</f>
        <v>18.891999999999999</v>
      </c>
      <c r="I580" s="81">
        <f>18.8964 * CHOOSE(CONTROL!$C$32, $C$9, 100%, $E$9)</f>
        <v>18.8964</v>
      </c>
      <c r="J580" s="81">
        <f>18.892 * CHOOSE(CONTROL!$C$32, $C$9, 100%, $E$9)</f>
        <v>18.891999999999999</v>
      </c>
      <c r="K580" s="81">
        <f>18.8964 * CHOOSE(CONTROL!$C$32, $C$9, 100%, $E$9)</f>
        <v>18.8964</v>
      </c>
      <c r="L580" s="81">
        <f>10.3675 * CHOOSE(CONTROL!$C$32, $C$9, 100%, $E$9)</f>
        <v>10.3675</v>
      </c>
      <c r="M580" s="81">
        <f>10.3719 * CHOOSE(CONTROL!$C$32, $C$9, 100%, $E$9)</f>
        <v>10.3719</v>
      </c>
      <c r="N580" s="81">
        <f>10.3675 * CHOOSE(CONTROL!$C$32, $C$9, 100%, $E$9)</f>
        <v>10.3675</v>
      </c>
      <c r="O580" s="81">
        <f>10.3719 * CHOOSE(CONTROL!$C$32, $C$9, 100%, $E$9)</f>
        <v>10.3719</v>
      </c>
    </row>
    <row r="581" spans="1:15" ht="15">
      <c r="A581" s="16">
        <v>58897</v>
      </c>
      <c r="B581" s="80">
        <f>8.8919 * CHOOSE(CONTROL!$C$32, $C$9, 100%, $E$9)</f>
        <v>8.8918999999999997</v>
      </c>
      <c r="C581" s="80">
        <f>8.8919 * CHOOSE(CONTROL!$C$32, $C$9, 100%, $E$9)</f>
        <v>8.8918999999999997</v>
      </c>
      <c r="D581" s="80">
        <f>8.8954 * CHOOSE(CONTROL!$C$32, $C$9, 100%, $E$9)</f>
        <v>8.8954000000000004</v>
      </c>
      <c r="E581" s="81">
        <f>10.5123 * CHOOSE(CONTROL!$C$32, $C$9, 100%, $E$9)</f>
        <v>10.5123</v>
      </c>
      <c r="F581" s="81">
        <f>10.5123 * CHOOSE(CONTROL!$C$32, $C$9, 100%, $E$9)</f>
        <v>10.5123</v>
      </c>
      <c r="G581" s="81">
        <f>10.5166 * CHOOSE(CONTROL!$C$32, $C$9, 100%, $E$9)</f>
        <v>10.5166</v>
      </c>
      <c r="H581" s="81">
        <f>18.9314 * CHOOSE(CONTROL!$C$32, $C$9, 100%, $E$9)</f>
        <v>18.9314</v>
      </c>
      <c r="I581" s="81">
        <f>18.9358 * CHOOSE(CONTROL!$C$32, $C$9, 100%, $E$9)</f>
        <v>18.9358</v>
      </c>
      <c r="J581" s="81">
        <f>18.9314 * CHOOSE(CONTROL!$C$32, $C$9, 100%, $E$9)</f>
        <v>18.9314</v>
      </c>
      <c r="K581" s="81">
        <f>18.9358 * CHOOSE(CONTROL!$C$32, $C$9, 100%, $E$9)</f>
        <v>18.9358</v>
      </c>
      <c r="L581" s="81">
        <f>10.5123 * CHOOSE(CONTROL!$C$32, $C$9, 100%, $E$9)</f>
        <v>10.5123</v>
      </c>
      <c r="M581" s="81">
        <f>10.5166 * CHOOSE(CONTROL!$C$32, $C$9, 100%, $E$9)</f>
        <v>10.5166</v>
      </c>
      <c r="N581" s="81">
        <f>10.5123 * CHOOSE(CONTROL!$C$32, $C$9, 100%, $E$9)</f>
        <v>10.5123</v>
      </c>
      <c r="O581" s="81">
        <f>10.5166 * CHOOSE(CONTROL!$C$32, $C$9, 100%, $E$9)</f>
        <v>10.5166</v>
      </c>
    </row>
    <row r="582" spans="1:15" ht="15">
      <c r="A582" s="16">
        <v>58927</v>
      </c>
      <c r="B582" s="80">
        <f>8.8919 * CHOOSE(CONTROL!$C$32, $C$9, 100%, $E$9)</f>
        <v>8.8918999999999997</v>
      </c>
      <c r="C582" s="80">
        <f>8.8919 * CHOOSE(CONTROL!$C$32, $C$9, 100%, $E$9)</f>
        <v>8.8918999999999997</v>
      </c>
      <c r="D582" s="80">
        <f>8.8971 * CHOOSE(CONTROL!$C$32, $C$9, 100%, $E$9)</f>
        <v>8.8971</v>
      </c>
      <c r="E582" s="81">
        <f>10.5681 * CHOOSE(CONTROL!$C$32, $C$9, 100%, $E$9)</f>
        <v>10.568099999999999</v>
      </c>
      <c r="F582" s="81">
        <f>10.5681 * CHOOSE(CONTROL!$C$32, $C$9, 100%, $E$9)</f>
        <v>10.568099999999999</v>
      </c>
      <c r="G582" s="81">
        <f>10.5745 * CHOOSE(CONTROL!$C$32, $C$9, 100%, $E$9)</f>
        <v>10.5745</v>
      </c>
      <c r="H582" s="81">
        <f>18.9708 * CHOOSE(CONTROL!$C$32, $C$9, 100%, $E$9)</f>
        <v>18.970800000000001</v>
      </c>
      <c r="I582" s="81">
        <f>18.9772 * CHOOSE(CONTROL!$C$32, $C$9, 100%, $E$9)</f>
        <v>18.9772</v>
      </c>
      <c r="J582" s="81">
        <f>18.9708 * CHOOSE(CONTROL!$C$32, $C$9, 100%, $E$9)</f>
        <v>18.970800000000001</v>
      </c>
      <c r="K582" s="81">
        <f>18.9772 * CHOOSE(CONTROL!$C$32, $C$9, 100%, $E$9)</f>
        <v>18.9772</v>
      </c>
      <c r="L582" s="81">
        <f>10.5681 * CHOOSE(CONTROL!$C$32, $C$9, 100%, $E$9)</f>
        <v>10.568099999999999</v>
      </c>
      <c r="M582" s="81">
        <f>10.5745 * CHOOSE(CONTROL!$C$32, $C$9, 100%, $E$9)</f>
        <v>10.5745</v>
      </c>
      <c r="N582" s="81">
        <f>10.5681 * CHOOSE(CONTROL!$C$32, $C$9, 100%, $E$9)</f>
        <v>10.568099999999999</v>
      </c>
      <c r="O582" s="81">
        <f>10.5745 * CHOOSE(CONTROL!$C$32, $C$9, 100%, $E$9)</f>
        <v>10.5745</v>
      </c>
    </row>
    <row r="583" spans="1:15" ht="15">
      <c r="A583" s="16">
        <v>58958</v>
      </c>
      <c r="B583" s="80">
        <f>8.898 * CHOOSE(CONTROL!$C$32, $C$9, 100%, $E$9)</f>
        <v>8.8979999999999997</v>
      </c>
      <c r="C583" s="80">
        <f>8.898 * CHOOSE(CONTROL!$C$32, $C$9, 100%, $E$9)</f>
        <v>8.8979999999999997</v>
      </c>
      <c r="D583" s="80">
        <f>8.9031 * CHOOSE(CONTROL!$C$32, $C$9, 100%, $E$9)</f>
        <v>8.9031000000000002</v>
      </c>
      <c r="E583" s="81">
        <f>10.5165 * CHOOSE(CONTROL!$C$32, $C$9, 100%, $E$9)</f>
        <v>10.516500000000001</v>
      </c>
      <c r="F583" s="81">
        <f>10.5165 * CHOOSE(CONTROL!$C$32, $C$9, 100%, $E$9)</f>
        <v>10.516500000000001</v>
      </c>
      <c r="G583" s="81">
        <f>10.5228 * CHOOSE(CONTROL!$C$32, $C$9, 100%, $E$9)</f>
        <v>10.5228</v>
      </c>
      <c r="H583" s="81">
        <f>19.0104 * CHOOSE(CONTROL!$C$32, $C$9, 100%, $E$9)</f>
        <v>19.010400000000001</v>
      </c>
      <c r="I583" s="81">
        <f>19.0167 * CHOOSE(CONTROL!$C$32, $C$9, 100%, $E$9)</f>
        <v>19.0167</v>
      </c>
      <c r="J583" s="81">
        <f>19.0104 * CHOOSE(CONTROL!$C$32, $C$9, 100%, $E$9)</f>
        <v>19.010400000000001</v>
      </c>
      <c r="K583" s="81">
        <f>19.0167 * CHOOSE(CONTROL!$C$32, $C$9, 100%, $E$9)</f>
        <v>19.0167</v>
      </c>
      <c r="L583" s="81">
        <f>10.5165 * CHOOSE(CONTROL!$C$32, $C$9, 100%, $E$9)</f>
        <v>10.516500000000001</v>
      </c>
      <c r="M583" s="81">
        <f>10.5228 * CHOOSE(CONTROL!$C$32, $C$9, 100%, $E$9)</f>
        <v>10.5228</v>
      </c>
      <c r="N583" s="81">
        <f>10.5165 * CHOOSE(CONTROL!$C$32, $C$9, 100%, $E$9)</f>
        <v>10.516500000000001</v>
      </c>
      <c r="O583" s="81">
        <f>10.5228 * CHOOSE(CONTROL!$C$32, $C$9, 100%, $E$9)</f>
        <v>10.5228</v>
      </c>
    </row>
    <row r="584" spans="1:15" ht="15">
      <c r="A584" s="16">
        <v>58988</v>
      </c>
      <c r="B584" s="80">
        <f>9.0365 * CHOOSE(CONTROL!$C$32, $C$9, 100%, $E$9)</f>
        <v>9.0365000000000002</v>
      </c>
      <c r="C584" s="80">
        <f>9.0365 * CHOOSE(CONTROL!$C$32, $C$9, 100%, $E$9)</f>
        <v>9.0365000000000002</v>
      </c>
      <c r="D584" s="80">
        <f>9.0416 * CHOOSE(CONTROL!$C$32, $C$9, 100%, $E$9)</f>
        <v>9.0416000000000007</v>
      </c>
      <c r="E584" s="81">
        <f>10.6879 * CHOOSE(CONTROL!$C$32, $C$9, 100%, $E$9)</f>
        <v>10.687900000000001</v>
      </c>
      <c r="F584" s="81">
        <f>10.6879 * CHOOSE(CONTROL!$C$32, $C$9, 100%, $E$9)</f>
        <v>10.687900000000001</v>
      </c>
      <c r="G584" s="81">
        <f>10.6942 * CHOOSE(CONTROL!$C$32, $C$9, 100%, $E$9)</f>
        <v>10.6942</v>
      </c>
      <c r="H584" s="81">
        <f>19.05 * CHOOSE(CONTROL!$C$32, $C$9, 100%, $E$9)</f>
        <v>19.05</v>
      </c>
      <c r="I584" s="81">
        <f>19.0563 * CHOOSE(CONTROL!$C$32, $C$9, 100%, $E$9)</f>
        <v>19.0563</v>
      </c>
      <c r="J584" s="81">
        <f>19.05 * CHOOSE(CONTROL!$C$32, $C$9, 100%, $E$9)</f>
        <v>19.05</v>
      </c>
      <c r="K584" s="81">
        <f>19.0563 * CHOOSE(CONTROL!$C$32, $C$9, 100%, $E$9)</f>
        <v>19.0563</v>
      </c>
      <c r="L584" s="81">
        <f>10.6879 * CHOOSE(CONTROL!$C$32, $C$9, 100%, $E$9)</f>
        <v>10.687900000000001</v>
      </c>
      <c r="M584" s="81">
        <f>10.6942 * CHOOSE(CONTROL!$C$32, $C$9, 100%, $E$9)</f>
        <v>10.6942</v>
      </c>
      <c r="N584" s="81">
        <f>10.6879 * CHOOSE(CONTROL!$C$32, $C$9, 100%, $E$9)</f>
        <v>10.687900000000001</v>
      </c>
      <c r="O584" s="81">
        <f>10.6942 * CHOOSE(CONTROL!$C$32, $C$9, 100%, $E$9)</f>
        <v>10.6942</v>
      </c>
    </row>
    <row r="585" spans="1:15" ht="15">
      <c r="A585" s="16">
        <v>59019</v>
      </c>
      <c r="B585" s="80">
        <f>9.0432 * CHOOSE(CONTROL!$C$32, $C$9, 100%, $E$9)</f>
        <v>9.0432000000000006</v>
      </c>
      <c r="C585" s="80">
        <f>9.0432 * CHOOSE(CONTROL!$C$32, $C$9, 100%, $E$9)</f>
        <v>9.0432000000000006</v>
      </c>
      <c r="D585" s="80">
        <f>9.0483 * CHOOSE(CONTROL!$C$32, $C$9, 100%, $E$9)</f>
        <v>9.0482999999999993</v>
      </c>
      <c r="E585" s="81">
        <f>10.5249 * CHOOSE(CONTROL!$C$32, $C$9, 100%, $E$9)</f>
        <v>10.524900000000001</v>
      </c>
      <c r="F585" s="81">
        <f>10.5249 * CHOOSE(CONTROL!$C$32, $C$9, 100%, $E$9)</f>
        <v>10.524900000000001</v>
      </c>
      <c r="G585" s="81">
        <f>10.5313 * CHOOSE(CONTROL!$C$32, $C$9, 100%, $E$9)</f>
        <v>10.5313</v>
      </c>
      <c r="H585" s="81">
        <f>19.0897 * CHOOSE(CONTROL!$C$32, $C$9, 100%, $E$9)</f>
        <v>19.089700000000001</v>
      </c>
      <c r="I585" s="81">
        <f>19.096 * CHOOSE(CONTROL!$C$32, $C$9, 100%, $E$9)</f>
        <v>19.096</v>
      </c>
      <c r="J585" s="81">
        <f>19.0897 * CHOOSE(CONTROL!$C$32, $C$9, 100%, $E$9)</f>
        <v>19.089700000000001</v>
      </c>
      <c r="K585" s="81">
        <f>19.096 * CHOOSE(CONTROL!$C$32, $C$9, 100%, $E$9)</f>
        <v>19.096</v>
      </c>
      <c r="L585" s="81">
        <f>10.5249 * CHOOSE(CONTROL!$C$32, $C$9, 100%, $E$9)</f>
        <v>10.524900000000001</v>
      </c>
      <c r="M585" s="81">
        <f>10.5313 * CHOOSE(CONTROL!$C$32, $C$9, 100%, $E$9)</f>
        <v>10.5313</v>
      </c>
      <c r="N585" s="81">
        <f>10.5249 * CHOOSE(CONTROL!$C$32, $C$9, 100%, $E$9)</f>
        <v>10.524900000000001</v>
      </c>
      <c r="O585" s="81">
        <f>10.5313 * CHOOSE(CONTROL!$C$32, $C$9, 100%, $E$9)</f>
        <v>10.5313</v>
      </c>
    </row>
    <row r="586" spans="1:15" ht="15">
      <c r="A586" s="16">
        <v>59050</v>
      </c>
      <c r="B586" s="80">
        <f>9.0401 * CHOOSE(CONTROL!$C$32, $C$9, 100%, $E$9)</f>
        <v>9.0401000000000007</v>
      </c>
      <c r="C586" s="80">
        <f>9.0401 * CHOOSE(CONTROL!$C$32, $C$9, 100%, $E$9)</f>
        <v>9.0401000000000007</v>
      </c>
      <c r="D586" s="80">
        <f>9.0453 * CHOOSE(CONTROL!$C$32, $C$9, 100%, $E$9)</f>
        <v>9.0452999999999992</v>
      </c>
      <c r="E586" s="81">
        <f>10.5042 * CHOOSE(CONTROL!$C$32, $C$9, 100%, $E$9)</f>
        <v>10.504200000000001</v>
      </c>
      <c r="F586" s="81">
        <f>10.5042 * CHOOSE(CONTROL!$C$32, $C$9, 100%, $E$9)</f>
        <v>10.504200000000001</v>
      </c>
      <c r="G586" s="81">
        <f>10.5105 * CHOOSE(CONTROL!$C$32, $C$9, 100%, $E$9)</f>
        <v>10.5105</v>
      </c>
      <c r="H586" s="81">
        <f>19.1294 * CHOOSE(CONTROL!$C$32, $C$9, 100%, $E$9)</f>
        <v>19.1294</v>
      </c>
      <c r="I586" s="81">
        <f>19.1357 * CHOOSE(CONTROL!$C$32, $C$9, 100%, $E$9)</f>
        <v>19.1357</v>
      </c>
      <c r="J586" s="81">
        <f>19.1294 * CHOOSE(CONTROL!$C$32, $C$9, 100%, $E$9)</f>
        <v>19.1294</v>
      </c>
      <c r="K586" s="81">
        <f>19.1357 * CHOOSE(CONTROL!$C$32, $C$9, 100%, $E$9)</f>
        <v>19.1357</v>
      </c>
      <c r="L586" s="81">
        <f>10.5042 * CHOOSE(CONTROL!$C$32, $C$9, 100%, $E$9)</f>
        <v>10.504200000000001</v>
      </c>
      <c r="M586" s="81">
        <f>10.5105 * CHOOSE(CONTROL!$C$32, $C$9, 100%, $E$9)</f>
        <v>10.5105</v>
      </c>
      <c r="N586" s="81">
        <f>10.5042 * CHOOSE(CONTROL!$C$32, $C$9, 100%, $E$9)</f>
        <v>10.504200000000001</v>
      </c>
      <c r="O586" s="81">
        <f>10.5105 * CHOOSE(CONTROL!$C$32, $C$9, 100%, $E$9)</f>
        <v>10.5105</v>
      </c>
    </row>
    <row r="587" spans="1:15" ht="15">
      <c r="A587" s="16">
        <v>59080</v>
      </c>
      <c r="B587" s="80">
        <f>9.0516 * CHOOSE(CONTROL!$C$32, $C$9, 100%, $E$9)</f>
        <v>9.0516000000000005</v>
      </c>
      <c r="C587" s="80">
        <f>9.0516 * CHOOSE(CONTROL!$C$32, $C$9, 100%, $E$9)</f>
        <v>9.0516000000000005</v>
      </c>
      <c r="D587" s="80">
        <f>9.0552 * CHOOSE(CONTROL!$C$32, $C$9, 100%, $E$9)</f>
        <v>9.0551999999999992</v>
      </c>
      <c r="E587" s="81">
        <f>10.5653 * CHOOSE(CONTROL!$C$32, $C$9, 100%, $E$9)</f>
        <v>10.565300000000001</v>
      </c>
      <c r="F587" s="81">
        <f>10.5653 * CHOOSE(CONTROL!$C$32, $C$9, 100%, $E$9)</f>
        <v>10.565300000000001</v>
      </c>
      <c r="G587" s="81">
        <f>10.5696 * CHOOSE(CONTROL!$C$32, $C$9, 100%, $E$9)</f>
        <v>10.569599999999999</v>
      </c>
      <c r="H587" s="81">
        <f>19.1693 * CHOOSE(CONTROL!$C$32, $C$9, 100%, $E$9)</f>
        <v>19.1693</v>
      </c>
      <c r="I587" s="81">
        <f>19.1736 * CHOOSE(CONTROL!$C$32, $C$9, 100%, $E$9)</f>
        <v>19.1736</v>
      </c>
      <c r="J587" s="81">
        <f>19.1693 * CHOOSE(CONTROL!$C$32, $C$9, 100%, $E$9)</f>
        <v>19.1693</v>
      </c>
      <c r="K587" s="81">
        <f>19.1736 * CHOOSE(CONTROL!$C$32, $C$9, 100%, $E$9)</f>
        <v>19.1736</v>
      </c>
      <c r="L587" s="81">
        <f>10.5653 * CHOOSE(CONTROL!$C$32, $C$9, 100%, $E$9)</f>
        <v>10.565300000000001</v>
      </c>
      <c r="M587" s="81">
        <f>10.5696 * CHOOSE(CONTROL!$C$32, $C$9, 100%, $E$9)</f>
        <v>10.569599999999999</v>
      </c>
      <c r="N587" s="81">
        <f>10.5653 * CHOOSE(CONTROL!$C$32, $C$9, 100%, $E$9)</f>
        <v>10.565300000000001</v>
      </c>
      <c r="O587" s="81">
        <f>10.5696 * CHOOSE(CONTROL!$C$32, $C$9, 100%, $E$9)</f>
        <v>10.569599999999999</v>
      </c>
    </row>
    <row r="588" spans="1:15" ht="15">
      <c r="A588" s="16">
        <v>59111</v>
      </c>
      <c r="B588" s="80">
        <f>9.0547 * CHOOSE(CONTROL!$C$32, $C$9, 100%, $E$9)</f>
        <v>9.0547000000000004</v>
      </c>
      <c r="C588" s="80">
        <f>9.0547 * CHOOSE(CONTROL!$C$32, $C$9, 100%, $E$9)</f>
        <v>9.0547000000000004</v>
      </c>
      <c r="D588" s="80">
        <f>9.0582 * CHOOSE(CONTROL!$C$32, $C$9, 100%, $E$9)</f>
        <v>9.0581999999999994</v>
      </c>
      <c r="E588" s="81">
        <f>10.6046 * CHOOSE(CONTROL!$C$32, $C$9, 100%, $E$9)</f>
        <v>10.6046</v>
      </c>
      <c r="F588" s="81">
        <f>10.6046 * CHOOSE(CONTROL!$C$32, $C$9, 100%, $E$9)</f>
        <v>10.6046</v>
      </c>
      <c r="G588" s="81">
        <f>10.609 * CHOOSE(CONTROL!$C$32, $C$9, 100%, $E$9)</f>
        <v>10.609</v>
      </c>
      <c r="H588" s="81">
        <f>19.2092 * CHOOSE(CONTROL!$C$32, $C$9, 100%, $E$9)</f>
        <v>19.209199999999999</v>
      </c>
      <c r="I588" s="81">
        <f>19.2136 * CHOOSE(CONTROL!$C$32, $C$9, 100%, $E$9)</f>
        <v>19.2136</v>
      </c>
      <c r="J588" s="81">
        <f>19.2092 * CHOOSE(CONTROL!$C$32, $C$9, 100%, $E$9)</f>
        <v>19.209199999999999</v>
      </c>
      <c r="K588" s="81">
        <f>19.2136 * CHOOSE(CONTROL!$C$32, $C$9, 100%, $E$9)</f>
        <v>19.2136</v>
      </c>
      <c r="L588" s="81">
        <f>10.6046 * CHOOSE(CONTROL!$C$32, $C$9, 100%, $E$9)</f>
        <v>10.6046</v>
      </c>
      <c r="M588" s="81">
        <f>10.609 * CHOOSE(CONTROL!$C$32, $C$9, 100%, $E$9)</f>
        <v>10.609</v>
      </c>
      <c r="N588" s="81">
        <f>10.6046 * CHOOSE(CONTROL!$C$32, $C$9, 100%, $E$9)</f>
        <v>10.6046</v>
      </c>
      <c r="O588" s="81">
        <f>10.609 * CHOOSE(CONTROL!$C$32, $C$9, 100%, $E$9)</f>
        <v>10.609</v>
      </c>
    </row>
    <row r="589" spans="1:15" ht="15">
      <c r="A589" s="16">
        <v>59141</v>
      </c>
      <c r="B589" s="80">
        <f>9.0547 * CHOOSE(CONTROL!$C$32, $C$9, 100%, $E$9)</f>
        <v>9.0547000000000004</v>
      </c>
      <c r="C589" s="80">
        <f>9.0547 * CHOOSE(CONTROL!$C$32, $C$9, 100%, $E$9)</f>
        <v>9.0547000000000004</v>
      </c>
      <c r="D589" s="80">
        <f>9.0582 * CHOOSE(CONTROL!$C$32, $C$9, 100%, $E$9)</f>
        <v>9.0581999999999994</v>
      </c>
      <c r="E589" s="81">
        <f>10.5115 * CHOOSE(CONTROL!$C$32, $C$9, 100%, $E$9)</f>
        <v>10.5115</v>
      </c>
      <c r="F589" s="81">
        <f>10.5115 * CHOOSE(CONTROL!$C$32, $C$9, 100%, $E$9)</f>
        <v>10.5115</v>
      </c>
      <c r="G589" s="81">
        <f>10.5159 * CHOOSE(CONTROL!$C$32, $C$9, 100%, $E$9)</f>
        <v>10.5159</v>
      </c>
      <c r="H589" s="81">
        <f>19.2492 * CHOOSE(CONTROL!$C$32, $C$9, 100%, $E$9)</f>
        <v>19.249199999999998</v>
      </c>
      <c r="I589" s="81">
        <f>19.2536 * CHOOSE(CONTROL!$C$32, $C$9, 100%, $E$9)</f>
        <v>19.253599999999999</v>
      </c>
      <c r="J589" s="81">
        <f>19.2492 * CHOOSE(CONTROL!$C$32, $C$9, 100%, $E$9)</f>
        <v>19.249199999999998</v>
      </c>
      <c r="K589" s="81">
        <f>19.2536 * CHOOSE(CONTROL!$C$32, $C$9, 100%, $E$9)</f>
        <v>19.253599999999999</v>
      </c>
      <c r="L589" s="81">
        <f>10.5115 * CHOOSE(CONTROL!$C$32, $C$9, 100%, $E$9)</f>
        <v>10.5115</v>
      </c>
      <c r="M589" s="81">
        <f>10.5159 * CHOOSE(CONTROL!$C$32, $C$9, 100%, $E$9)</f>
        <v>10.5159</v>
      </c>
      <c r="N589" s="81">
        <f>10.5115 * CHOOSE(CONTROL!$C$32, $C$9, 100%, $E$9)</f>
        <v>10.5115</v>
      </c>
      <c r="O589" s="81">
        <f>10.5159 * CHOOSE(CONTROL!$C$32, $C$9, 100%, $E$9)</f>
        <v>10.5159</v>
      </c>
    </row>
    <row r="590" spans="1:15" ht="15">
      <c r="A590" s="16">
        <v>59172</v>
      </c>
      <c r="B590" s="80">
        <f>9.1318 * CHOOSE(CONTROL!$C$32, $C$9, 100%, $E$9)</f>
        <v>9.1318000000000001</v>
      </c>
      <c r="C590" s="80">
        <f>9.1318 * CHOOSE(CONTROL!$C$32, $C$9, 100%, $E$9)</f>
        <v>9.1318000000000001</v>
      </c>
      <c r="D590" s="80">
        <f>9.1318 * CHOOSE(CONTROL!$C$32, $C$9, 100%, $E$9)</f>
        <v>9.1318000000000001</v>
      </c>
      <c r="E590" s="81">
        <f>10.6637 * CHOOSE(CONTROL!$C$32, $C$9, 100%, $E$9)</f>
        <v>10.6637</v>
      </c>
      <c r="F590" s="81">
        <f>10.6637 * CHOOSE(CONTROL!$C$32, $C$9, 100%, $E$9)</f>
        <v>10.6637</v>
      </c>
      <c r="G590" s="81">
        <f>10.6637 * CHOOSE(CONTROL!$C$32, $C$9, 100%, $E$9)</f>
        <v>10.6637</v>
      </c>
      <c r="H590" s="81">
        <f>19.2893 * CHOOSE(CONTROL!$C$32, $C$9, 100%, $E$9)</f>
        <v>19.289300000000001</v>
      </c>
      <c r="I590" s="81">
        <f>19.2893 * CHOOSE(CONTROL!$C$32, $C$9, 100%, $E$9)</f>
        <v>19.289300000000001</v>
      </c>
      <c r="J590" s="81">
        <f>19.2893 * CHOOSE(CONTROL!$C$32, $C$9, 100%, $E$9)</f>
        <v>19.289300000000001</v>
      </c>
      <c r="K590" s="81">
        <f>19.2893 * CHOOSE(CONTROL!$C$32, $C$9, 100%, $E$9)</f>
        <v>19.289300000000001</v>
      </c>
      <c r="L590" s="81">
        <f>10.6637 * CHOOSE(CONTROL!$C$32, $C$9, 100%, $E$9)</f>
        <v>10.6637</v>
      </c>
      <c r="M590" s="81">
        <f>10.6637 * CHOOSE(CONTROL!$C$32, $C$9, 100%, $E$9)</f>
        <v>10.6637</v>
      </c>
      <c r="N590" s="81">
        <f>10.6637 * CHOOSE(CONTROL!$C$32, $C$9, 100%, $E$9)</f>
        <v>10.6637</v>
      </c>
      <c r="O590" s="81">
        <f>10.6637 * CHOOSE(CONTROL!$C$32, $C$9, 100%, $E$9)</f>
        <v>10.6637</v>
      </c>
    </row>
    <row r="591" spans="1:15" ht="15">
      <c r="A591" s="16">
        <v>59203</v>
      </c>
      <c r="B591" s="80">
        <f>9.1287 * CHOOSE(CONTROL!$C$32, $C$9, 100%, $E$9)</f>
        <v>9.1287000000000003</v>
      </c>
      <c r="C591" s="80">
        <f>9.1287 * CHOOSE(CONTROL!$C$32, $C$9, 100%, $E$9)</f>
        <v>9.1287000000000003</v>
      </c>
      <c r="D591" s="80">
        <f>9.1287 * CHOOSE(CONTROL!$C$32, $C$9, 100%, $E$9)</f>
        <v>9.1287000000000003</v>
      </c>
      <c r="E591" s="81">
        <f>10.4807 * CHOOSE(CONTROL!$C$32, $C$9, 100%, $E$9)</f>
        <v>10.480700000000001</v>
      </c>
      <c r="F591" s="81">
        <f>10.4807 * CHOOSE(CONTROL!$C$32, $C$9, 100%, $E$9)</f>
        <v>10.480700000000001</v>
      </c>
      <c r="G591" s="81">
        <f>10.4807 * CHOOSE(CONTROL!$C$32, $C$9, 100%, $E$9)</f>
        <v>10.480700000000001</v>
      </c>
      <c r="H591" s="81">
        <f>19.3295 * CHOOSE(CONTROL!$C$32, $C$9, 100%, $E$9)</f>
        <v>19.329499999999999</v>
      </c>
      <c r="I591" s="81">
        <f>19.3295 * CHOOSE(CONTROL!$C$32, $C$9, 100%, $E$9)</f>
        <v>19.329499999999999</v>
      </c>
      <c r="J591" s="81">
        <f>19.3295 * CHOOSE(CONTROL!$C$32, $C$9, 100%, $E$9)</f>
        <v>19.329499999999999</v>
      </c>
      <c r="K591" s="81">
        <f>19.3295 * CHOOSE(CONTROL!$C$32, $C$9, 100%, $E$9)</f>
        <v>19.329499999999999</v>
      </c>
      <c r="L591" s="81">
        <f>10.4807 * CHOOSE(CONTROL!$C$32, $C$9, 100%, $E$9)</f>
        <v>10.480700000000001</v>
      </c>
      <c r="M591" s="81">
        <f>10.4807 * CHOOSE(CONTROL!$C$32, $C$9, 100%, $E$9)</f>
        <v>10.480700000000001</v>
      </c>
      <c r="N591" s="81">
        <f>10.4807 * CHOOSE(CONTROL!$C$32, $C$9, 100%, $E$9)</f>
        <v>10.480700000000001</v>
      </c>
      <c r="O591" s="81">
        <f>10.4807 * CHOOSE(CONTROL!$C$32, $C$9, 100%, $E$9)</f>
        <v>10.480700000000001</v>
      </c>
    </row>
    <row r="592" spans="1:15" ht="15">
      <c r="A592" s="16">
        <v>59231</v>
      </c>
      <c r="B592" s="80">
        <f>9.1257 * CHOOSE(CONTROL!$C$32, $C$9, 100%, $E$9)</f>
        <v>9.1257000000000001</v>
      </c>
      <c r="C592" s="80">
        <f>9.1257 * CHOOSE(CONTROL!$C$32, $C$9, 100%, $E$9)</f>
        <v>9.1257000000000001</v>
      </c>
      <c r="D592" s="80">
        <f>9.1257 * CHOOSE(CONTROL!$C$32, $C$9, 100%, $E$9)</f>
        <v>9.1257000000000001</v>
      </c>
      <c r="E592" s="81">
        <f>10.6212 * CHOOSE(CONTROL!$C$32, $C$9, 100%, $E$9)</f>
        <v>10.6212</v>
      </c>
      <c r="F592" s="81">
        <f>10.6212 * CHOOSE(CONTROL!$C$32, $C$9, 100%, $E$9)</f>
        <v>10.6212</v>
      </c>
      <c r="G592" s="81">
        <f>10.6212 * CHOOSE(CONTROL!$C$32, $C$9, 100%, $E$9)</f>
        <v>10.6212</v>
      </c>
      <c r="H592" s="81">
        <f>19.3698 * CHOOSE(CONTROL!$C$32, $C$9, 100%, $E$9)</f>
        <v>19.369800000000001</v>
      </c>
      <c r="I592" s="81">
        <f>19.3698 * CHOOSE(CONTROL!$C$32, $C$9, 100%, $E$9)</f>
        <v>19.369800000000001</v>
      </c>
      <c r="J592" s="81">
        <f>19.3698 * CHOOSE(CONTROL!$C$32, $C$9, 100%, $E$9)</f>
        <v>19.369800000000001</v>
      </c>
      <c r="K592" s="81">
        <f>19.3698 * CHOOSE(CONTROL!$C$32, $C$9, 100%, $E$9)</f>
        <v>19.369800000000001</v>
      </c>
      <c r="L592" s="81">
        <f>10.6212 * CHOOSE(CONTROL!$C$32, $C$9, 100%, $E$9)</f>
        <v>10.6212</v>
      </c>
      <c r="M592" s="81">
        <f>10.6212 * CHOOSE(CONTROL!$C$32, $C$9, 100%, $E$9)</f>
        <v>10.6212</v>
      </c>
      <c r="N592" s="81">
        <f>10.6212 * CHOOSE(CONTROL!$C$32, $C$9, 100%, $E$9)</f>
        <v>10.6212</v>
      </c>
      <c r="O592" s="81">
        <f>10.6212 * CHOOSE(CONTROL!$C$32, $C$9, 100%, $E$9)</f>
        <v>10.6212</v>
      </c>
    </row>
    <row r="593" spans="1:15" ht="15">
      <c r="A593" s="16">
        <v>59262</v>
      </c>
      <c r="B593" s="80">
        <f>9.1277 * CHOOSE(CONTROL!$C$32, $C$9, 100%, $E$9)</f>
        <v>9.1277000000000008</v>
      </c>
      <c r="C593" s="80">
        <f>9.1277 * CHOOSE(CONTROL!$C$32, $C$9, 100%, $E$9)</f>
        <v>9.1277000000000008</v>
      </c>
      <c r="D593" s="80">
        <f>9.1277 * CHOOSE(CONTROL!$C$32, $C$9, 100%, $E$9)</f>
        <v>9.1277000000000008</v>
      </c>
      <c r="E593" s="81">
        <f>10.7701 * CHOOSE(CONTROL!$C$32, $C$9, 100%, $E$9)</f>
        <v>10.770099999999999</v>
      </c>
      <c r="F593" s="81">
        <f>10.7701 * CHOOSE(CONTROL!$C$32, $C$9, 100%, $E$9)</f>
        <v>10.770099999999999</v>
      </c>
      <c r="G593" s="81">
        <f>10.7701 * CHOOSE(CONTROL!$C$32, $C$9, 100%, $E$9)</f>
        <v>10.770099999999999</v>
      </c>
      <c r="H593" s="81">
        <f>19.4101 * CHOOSE(CONTROL!$C$32, $C$9, 100%, $E$9)</f>
        <v>19.4101</v>
      </c>
      <c r="I593" s="81">
        <f>19.4101 * CHOOSE(CONTROL!$C$32, $C$9, 100%, $E$9)</f>
        <v>19.4101</v>
      </c>
      <c r="J593" s="81">
        <f>19.4101 * CHOOSE(CONTROL!$C$32, $C$9, 100%, $E$9)</f>
        <v>19.4101</v>
      </c>
      <c r="K593" s="81">
        <f>19.4101 * CHOOSE(CONTROL!$C$32, $C$9, 100%, $E$9)</f>
        <v>19.4101</v>
      </c>
      <c r="L593" s="81">
        <f>10.7701 * CHOOSE(CONTROL!$C$32, $C$9, 100%, $E$9)</f>
        <v>10.770099999999999</v>
      </c>
      <c r="M593" s="81">
        <f>10.7701 * CHOOSE(CONTROL!$C$32, $C$9, 100%, $E$9)</f>
        <v>10.770099999999999</v>
      </c>
      <c r="N593" s="81">
        <f>10.7701 * CHOOSE(CONTROL!$C$32, $C$9, 100%, $E$9)</f>
        <v>10.770099999999999</v>
      </c>
      <c r="O593" s="81">
        <f>10.7701 * CHOOSE(CONTROL!$C$32, $C$9, 100%, $E$9)</f>
        <v>10.770099999999999</v>
      </c>
    </row>
    <row r="594" spans="1:15" ht="15">
      <c r="A594" s="16">
        <v>59292</v>
      </c>
      <c r="B594" s="80">
        <f>9.1277 * CHOOSE(CONTROL!$C$32, $C$9, 100%, $E$9)</f>
        <v>9.1277000000000008</v>
      </c>
      <c r="C594" s="80">
        <f>9.1277 * CHOOSE(CONTROL!$C$32, $C$9, 100%, $E$9)</f>
        <v>9.1277000000000008</v>
      </c>
      <c r="D594" s="80">
        <f>9.1277 * CHOOSE(CONTROL!$C$32, $C$9, 100%, $E$9)</f>
        <v>9.1277000000000008</v>
      </c>
      <c r="E594" s="81">
        <f>10.8276 * CHOOSE(CONTROL!$C$32, $C$9, 100%, $E$9)</f>
        <v>10.8276</v>
      </c>
      <c r="F594" s="81">
        <f>10.8276 * CHOOSE(CONTROL!$C$32, $C$9, 100%, $E$9)</f>
        <v>10.8276</v>
      </c>
      <c r="G594" s="81">
        <f>10.8276 * CHOOSE(CONTROL!$C$32, $C$9, 100%, $E$9)</f>
        <v>10.8276</v>
      </c>
      <c r="H594" s="81">
        <f>19.4506 * CHOOSE(CONTROL!$C$32, $C$9, 100%, $E$9)</f>
        <v>19.450600000000001</v>
      </c>
      <c r="I594" s="81">
        <f>19.4506 * CHOOSE(CONTROL!$C$32, $C$9, 100%, $E$9)</f>
        <v>19.450600000000001</v>
      </c>
      <c r="J594" s="81">
        <f>19.4506 * CHOOSE(CONTROL!$C$32, $C$9, 100%, $E$9)</f>
        <v>19.450600000000001</v>
      </c>
      <c r="K594" s="81">
        <f>19.4506 * CHOOSE(CONTROL!$C$32, $C$9, 100%, $E$9)</f>
        <v>19.450600000000001</v>
      </c>
      <c r="L594" s="81">
        <f>10.8276 * CHOOSE(CONTROL!$C$32, $C$9, 100%, $E$9)</f>
        <v>10.8276</v>
      </c>
      <c r="M594" s="81">
        <f>10.8276 * CHOOSE(CONTROL!$C$32, $C$9, 100%, $E$9)</f>
        <v>10.8276</v>
      </c>
      <c r="N594" s="81">
        <f>10.8276 * CHOOSE(CONTROL!$C$32, $C$9, 100%, $E$9)</f>
        <v>10.8276</v>
      </c>
      <c r="O594" s="81">
        <f>10.8276 * CHOOSE(CONTROL!$C$32, $C$9, 100%, $E$9)</f>
        <v>10.8276</v>
      </c>
    </row>
    <row r="595" spans="1:15" ht="15">
      <c r="A595" s="16">
        <v>59323</v>
      </c>
      <c r="B595" s="80">
        <f>9.1337 * CHOOSE(CONTROL!$C$32, $C$9, 100%, $E$9)</f>
        <v>9.1336999999999993</v>
      </c>
      <c r="C595" s="80">
        <f>9.1337 * CHOOSE(CONTROL!$C$32, $C$9, 100%, $E$9)</f>
        <v>9.1336999999999993</v>
      </c>
      <c r="D595" s="80">
        <f>9.1337 * CHOOSE(CONTROL!$C$32, $C$9, 100%, $E$9)</f>
        <v>9.1336999999999993</v>
      </c>
      <c r="E595" s="81">
        <f>10.7744 * CHOOSE(CONTROL!$C$32, $C$9, 100%, $E$9)</f>
        <v>10.7744</v>
      </c>
      <c r="F595" s="81">
        <f>10.7744 * CHOOSE(CONTROL!$C$32, $C$9, 100%, $E$9)</f>
        <v>10.7744</v>
      </c>
      <c r="G595" s="81">
        <f>10.7744 * CHOOSE(CONTROL!$C$32, $C$9, 100%, $E$9)</f>
        <v>10.7744</v>
      </c>
      <c r="H595" s="81">
        <f>19.4911 * CHOOSE(CONTROL!$C$32, $C$9, 100%, $E$9)</f>
        <v>19.491099999999999</v>
      </c>
      <c r="I595" s="81">
        <f>19.4911 * CHOOSE(CONTROL!$C$32, $C$9, 100%, $E$9)</f>
        <v>19.491099999999999</v>
      </c>
      <c r="J595" s="81">
        <f>19.4911 * CHOOSE(CONTROL!$C$32, $C$9, 100%, $E$9)</f>
        <v>19.491099999999999</v>
      </c>
      <c r="K595" s="81">
        <f>19.4911 * CHOOSE(CONTROL!$C$32, $C$9, 100%, $E$9)</f>
        <v>19.491099999999999</v>
      </c>
      <c r="L595" s="81">
        <f>10.7744 * CHOOSE(CONTROL!$C$32, $C$9, 100%, $E$9)</f>
        <v>10.7744</v>
      </c>
      <c r="M595" s="81">
        <f>10.7744 * CHOOSE(CONTROL!$C$32, $C$9, 100%, $E$9)</f>
        <v>10.7744</v>
      </c>
      <c r="N595" s="81">
        <f>10.7744 * CHOOSE(CONTROL!$C$32, $C$9, 100%, $E$9)</f>
        <v>10.7744</v>
      </c>
      <c r="O595" s="81">
        <f>10.7744 * CHOOSE(CONTROL!$C$32, $C$9, 100%, $E$9)</f>
        <v>10.7744</v>
      </c>
    </row>
    <row r="596" spans="1:15" ht="15">
      <c r="A596" s="16">
        <v>59353</v>
      </c>
      <c r="B596" s="80">
        <f>9.2757 * CHOOSE(CONTROL!$C$32, $C$9, 100%, $E$9)</f>
        <v>9.2757000000000005</v>
      </c>
      <c r="C596" s="80">
        <f>9.2757 * CHOOSE(CONTROL!$C$32, $C$9, 100%, $E$9)</f>
        <v>9.2757000000000005</v>
      </c>
      <c r="D596" s="80">
        <f>9.2757 * CHOOSE(CONTROL!$C$32, $C$9, 100%, $E$9)</f>
        <v>9.2757000000000005</v>
      </c>
      <c r="E596" s="81">
        <f>10.9496 * CHOOSE(CONTROL!$C$32, $C$9, 100%, $E$9)</f>
        <v>10.9496</v>
      </c>
      <c r="F596" s="81">
        <f>10.9496 * CHOOSE(CONTROL!$C$32, $C$9, 100%, $E$9)</f>
        <v>10.9496</v>
      </c>
      <c r="G596" s="81">
        <f>10.9496 * CHOOSE(CONTROL!$C$32, $C$9, 100%, $E$9)</f>
        <v>10.9496</v>
      </c>
      <c r="H596" s="81">
        <f>19.5317 * CHOOSE(CONTROL!$C$32, $C$9, 100%, $E$9)</f>
        <v>19.531700000000001</v>
      </c>
      <c r="I596" s="81">
        <f>19.5317 * CHOOSE(CONTROL!$C$32, $C$9, 100%, $E$9)</f>
        <v>19.531700000000001</v>
      </c>
      <c r="J596" s="81">
        <f>19.5317 * CHOOSE(CONTROL!$C$32, $C$9, 100%, $E$9)</f>
        <v>19.531700000000001</v>
      </c>
      <c r="K596" s="81">
        <f>19.5317 * CHOOSE(CONTROL!$C$32, $C$9, 100%, $E$9)</f>
        <v>19.531700000000001</v>
      </c>
      <c r="L596" s="81">
        <f>10.9496 * CHOOSE(CONTROL!$C$32, $C$9, 100%, $E$9)</f>
        <v>10.9496</v>
      </c>
      <c r="M596" s="81">
        <f>10.9496 * CHOOSE(CONTROL!$C$32, $C$9, 100%, $E$9)</f>
        <v>10.9496</v>
      </c>
      <c r="N596" s="81">
        <f>10.9496 * CHOOSE(CONTROL!$C$32, $C$9, 100%, $E$9)</f>
        <v>10.9496</v>
      </c>
      <c r="O596" s="81">
        <f>10.9496 * CHOOSE(CONTROL!$C$32, $C$9, 100%, $E$9)</f>
        <v>10.9496</v>
      </c>
    </row>
    <row r="597" spans="1:15" ht="15">
      <c r="A597" s="16">
        <v>59384</v>
      </c>
      <c r="B597" s="80">
        <f>9.2823 * CHOOSE(CONTROL!$C$32, $C$9, 100%, $E$9)</f>
        <v>9.2822999999999993</v>
      </c>
      <c r="C597" s="80">
        <f>9.2823 * CHOOSE(CONTROL!$C$32, $C$9, 100%, $E$9)</f>
        <v>9.2822999999999993</v>
      </c>
      <c r="D597" s="80">
        <f>9.2823 * CHOOSE(CONTROL!$C$32, $C$9, 100%, $E$9)</f>
        <v>9.2822999999999993</v>
      </c>
      <c r="E597" s="81">
        <f>10.782 * CHOOSE(CONTROL!$C$32, $C$9, 100%, $E$9)</f>
        <v>10.782</v>
      </c>
      <c r="F597" s="81">
        <f>10.782 * CHOOSE(CONTROL!$C$32, $C$9, 100%, $E$9)</f>
        <v>10.782</v>
      </c>
      <c r="G597" s="81">
        <f>10.782 * CHOOSE(CONTROL!$C$32, $C$9, 100%, $E$9)</f>
        <v>10.782</v>
      </c>
      <c r="H597" s="81">
        <f>19.5724 * CHOOSE(CONTROL!$C$32, $C$9, 100%, $E$9)</f>
        <v>19.572399999999998</v>
      </c>
      <c r="I597" s="81">
        <f>19.5724 * CHOOSE(CONTROL!$C$32, $C$9, 100%, $E$9)</f>
        <v>19.572399999999998</v>
      </c>
      <c r="J597" s="81">
        <f>19.5724 * CHOOSE(CONTROL!$C$32, $C$9, 100%, $E$9)</f>
        <v>19.572399999999998</v>
      </c>
      <c r="K597" s="81">
        <f>19.5724 * CHOOSE(CONTROL!$C$32, $C$9, 100%, $E$9)</f>
        <v>19.572399999999998</v>
      </c>
      <c r="L597" s="81">
        <f>10.782 * CHOOSE(CONTROL!$C$32, $C$9, 100%, $E$9)</f>
        <v>10.782</v>
      </c>
      <c r="M597" s="81">
        <f>10.782 * CHOOSE(CONTROL!$C$32, $C$9, 100%, $E$9)</f>
        <v>10.782</v>
      </c>
      <c r="N597" s="81">
        <f>10.782 * CHOOSE(CONTROL!$C$32, $C$9, 100%, $E$9)</f>
        <v>10.782</v>
      </c>
      <c r="O597" s="81">
        <f>10.782 * CHOOSE(CONTROL!$C$32, $C$9, 100%, $E$9)</f>
        <v>10.782</v>
      </c>
    </row>
    <row r="598" spans="1:15" ht="15">
      <c r="A598" s="16">
        <v>59415</v>
      </c>
      <c r="B598" s="80">
        <f>9.2793 * CHOOSE(CONTROL!$C$32, $C$9, 100%, $E$9)</f>
        <v>9.2792999999999992</v>
      </c>
      <c r="C598" s="80">
        <f>9.2793 * CHOOSE(CONTROL!$C$32, $C$9, 100%, $E$9)</f>
        <v>9.2792999999999992</v>
      </c>
      <c r="D598" s="80">
        <f>9.2793 * CHOOSE(CONTROL!$C$32, $C$9, 100%, $E$9)</f>
        <v>9.2792999999999992</v>
      </c>
      <c r="E598" s="81">
        <f>10.7607 * CHOOSE(CONTROL!$C$32, $C$9, 100%, $E$9)</f>
        <v>10.7607</v>
      </c>
      <c r="F598" s="81">
        <f>10.7607 * CHOOSE(CONTROL!$C$32, $C$9, 100%, $E$9)</f>
        <v>10.7607</v>
      </c>
      <c r="G598" s="81">
        <f>10.7607 * CHOOSE(CONTROL!$C$32, $C$9, 100%, $E$9)</f>
        <v>10.7607</v>
      </c>
      <c r="H598" s="81">
        <f>19.6132 * CHOOSE(CONTROL!$C$32, $C$9, 100%, $E$9)</f>
        <v>19.613199999999999</v>
      </c>
      <c r="I598" s="81">
        <f>19.6132 * CHOOSE(CONTROL!$C$32, $C$9, 100%, $E$9)</f>
        <v>19.613199999999999</v>
      </c>
      <c r="J598" s="81">
        <f>19.6132 * CHOOSE(CONTROL!$C$32, $C$9, 100%, $E$9)</f>
        <v>19.613199999999999</v>
      </c>
      <c r="K598" s="81">
        <f>19.6132 * CHOOSE(CONTROL!$C$32, $C$9, 100%, $E$9)</f>
        <v>19.613199999999999</v>
      </c>
      <c r="L598" s="81">
        <f>10.7607 * CHOOSE(CONTROL!$C$32, $C$9, 100%, $E$9)</f>
        <v>10.7607</v>
      </c>
      <c r="M598" s="81">
        <f>10.7607 * CHOOSE(CONTROL!$C$32, $C$9, 100%, $E$9)</f>
        <v>10.7607</v>
      </c>
      <c r="N598" s="81">
        <f>10.7607 * CHOOSE(CONTROL!$C$32, $C$9, 100%, $E$9)</f>
        <v>10.7607</v>
      </c>
      <c r="O598" s="81">
        <f>10.7607 * CHOOSE(CONTROL!$C$32, $C$9, 100%, $E$9)</f>
        <v>10.7607</v>
      </c>
    </row>
    <row r="599" spans="1:15" ht="15">
      <c r="A599" s="16">
        <v>59445</v>
      </c>
      <c r="B599" s="80">
        <f>9.2916 * CHOOSE(CONTROL!$C$32, $C$9, 100%, $E$9)</f>
        <v>9.2916000000000007</v>
      </c>
      <c r="C599" s="80">
        <f>9.2916 * CHOOSE(CONTROL!$C$32, $C$9, 100%, $E$9)</f>
        <v>9.2916000000000007</v>
      </c>
      <c r="D599" s="80">
        <f>9.2916 * CHOOSE(CONTROL!$C$32, $C$9, 100%, $E$9)</f>
        <v>9.2916000000000007</v>
      </c>
      <c r="E599" s="81">
        <f>10.8239 * CHOOSE(CONTROL!$C$32, $C$9, 100%, $E$9)</f>
        <v>10.8239</v>
      </c>
      <c r="F599" s="81">
        <f>10.8239 * CHOOSE(CONTROL!$C$32, $C$9, 100%, $E$9)</f>
        <v>10.8239</v>
      </c>
      <c r="G599" s="81">
        <f>10.8239 * CHOOSE(CONTROL!$C$32, $C$9, 100%, $E$9)</f>
        <v>10.8239</v>
      </c>
      <c r="H599" s="81">
        <f>19.654 * CHOOSE(CONTROL!$C$32, $C$9, 100%, $E$9)</f>
        <v>19.654</v>
      </c>
      <c r="I599" s="81">
        <f>19.654 * CHOOSE(CONTROL!$C$32, $C$9, 100%, $E$9)</f>
        <v>19.654</v>
      </c>
      <c r="J599" s="81">
        <f>19.654 * CHOOSE(CONTROL!$C$32, $C$9, 100%, $E$9)</f>
        <v>19.654</v>
      </c>
      <c r="K599" s="81">
        <f>19.654 * CHOOSE(CONTROL!$C$32, $C$9, 100%, $E$9)</f>
        <v>19.654</v>
      </c>
      <c r="L599" s="81">
        <f>10.8239 * CHOOSE(CONTROL!$C$32, $C$9, 100%, $E$9)</f>
        <v>10.8239</v>
      </c>
      <c r="M599" s="81">
        <f>10.8239 * CHOOSE(CONTROL!$C$32, $C$9, 100%, $E$9)</f>
        <v>10.8239</v>
      </c>
      <c r="N599" s="81">
        <f>10.8239 * CHOOSE(CONTROL!$C$32, $C$9, 100%, $E$9)</f>
        <v>10.8239</v>
      </c>
      <c r="O599" s="81">
        <f>10.8239 * CHOOSE(CONTROL!$C$32, $C$9, 100%, $E$9)</f>
        <v>10.8239</v>
      </c>
    </row>
    <row r="600" spans="1:15" ht="15">
      <c r="A600" s="16">
        <v>59476</v>
      </c>
      <c r="B600" s="80">
        <f>9.2946 * CHOOSE(CONTROL!$C$32, $C$9, 100%, $E$9)</f>
        <v>9.2946000000000009</v>
      </c>
      <c r="C600" s="80">
        <f>9.2946 * CHOOSE(CONTROL!$C$32, $C$9, 100%, $E$9)</f>
        <v>9.2946000000000009</v>
      </c>
      <c r="D600" s="80">
        <f>9.2946 * CHOOSE(CONTROL!$C$32, $C$9, 100%, $E$9)</f>
        <v>9.2946000000000009</v>
      </c>
      <c r="E600" s="81">
        <f>10.8643 * CHOOSE(CONTROL!$C$32, $C$9, 100%, $E$9)</f>
        <v>10.8643</v>
      </c>
      <c r="F600" s="81">
        <f>10.8643 * CHOOSE(CONTROL!$C$32, $C$9, 100%, $E$9)</f>
        <v>10.8643</v>
      </c>
      <c r="G600" s="81">
        <f>10.8643 * CHOOSE(CONTROL!$C$32, $C$9, 100%, $E$9)</f>
        <v>10.8643</v>
      </c>
      <c r="H600" s="81">
        <f>19.695 * CHOOSE(CONTROL!$C$32, $C$9, 100%, $E$9)</f>
        <v>19.695</v>
      </c>
      <c r="I600" s="81">
        <f>19.695 * CHOOSE(CONTROL!$C$32, $C$9, 100%, $E$9)</f>
        <v>19.695</v>
      </c>
      <c r="J600" s="81">
        <f>19.695 * CHOOSE(CONTROL!$C$32, $C$9, 100%, $E$9)</f>
        <v>19.695</v>
      </c>
      <c r="K600" s="81">
        <f>19.695 * CHOOSE(CONTROL!$C$32, $C$9, 100%, $E$9)</f>
        <v>19.695</v>
      </c>
      <c r="L600" s="81">
        <f>10.8643 * CHOOSE(CONTROL!$C$32, $C$9, 100%, $E$9)</f>
        <v>10.8643</v>
      </c>
      <c r="M600" s="81">
        <f>10.8643 * CHOOSE(CONTROL!$C$32, $C$9, 100%, $E$9)</f>
        <v>10.8643</v>
      </c>
      <c r="N600" s="81">
        <f>10.8643 * CHOOSE(CONTROL!$C$32, $C$9, 100%, $E$9)</f>
        <v>10.8643</v>
      </c>
      <c r="O600" s="81">
        <f>10.8643 * CHOOSE(CONTROL!$C$32, $C$9, 100%, $E$9)</f>
        <v>10.8643</v>
      </c>
    </row>
    <row r="601" spans="1:15" ht="15">
      <c r="A601" s="16">
        <v>59506</v>
      </c>
      <c r="B601" s="80">
        <f>9.2946 * CHOOSE(CONTROL!$C$32, $C$9, 100%, $E$9)</f>
        <v>9.2946000000000009</v>
      </c>
      <c r="C601" s="80">
        <f>9.2946 * CHOOSE(CONTROL!$C$32, $C$9, 100%, $E$9)</f>
        <v>9.2946000000000009</v>
      </c>
      <c r="D601" s="80">
        <f>9.2946 * CHOOSE(CONTROL!$C$32, $C$9, 100%, $E$9)</f>
        <v>9.2946000000000009</v>
      </c>
      <c r="E601" s="81">
        <f>10.7686 * CHOOSE(CONTROL!$C$32, $C$9, 100%, $E$9)</f>
        <v>10.768599999999999</v>
      </c>
      <c r="F601" s="81">
        <f>10.7686 * CHOOSE(CONTROL!$C$32, $C$9, 100%, $E$9)</f>
        <v>10.768599999999999</v>
      </c>
      <c r="G601" s="81">
        <f>10.7686 * CHOOSE(CONTROL!$C$32, $C$9, 100%, $E$9)</f>
        <v>10.768599999999999</v>
      </c>
      <c r="H601" s="81">
        <f>19.736 * CHOOSE(CONTROL!$C$32, $C$9, 100%, $E$9)</f>
        <v>19.736000000000001</v>
      </c>
      <c r="I601" s="81">
        <f>19.736 * CHOOSE(CONTROL!$C$32, $C$9, 100%, $E$9)</f>
        <v>19.736000000000001</v>
      </c>
      <c r="J601" s="81">
        <f>19.736 * CHOOSE(CONTROL!$C$32, $C$9, 100%, $E$9)</f>
        <v>19.736000000000001</v>
      </c>
      <c r="K601" s="81">
        <f>19.736 * CHOOSE(CONTROL!$C$32, $C$9, 100%, $E$9)</f>
        <v>19.736000000000001</v>
      </c>
      <c r="L601" s="81">
        <f>10.7686 * CHOOSE(CONTROL!$C$32, $C$9, 100%, $E$9)</f>
        <v>10.768599999999999</v>
      </c>
      <c r="M601" s="81">
        <f>10.7686 * CHOOSE(CONTROL!$C$32, $C$9, 100%, $E$9)</f>
        <v>10.768599999999999</v>
      </c>
      <c r="N601" s="81">
        <f>10.7686 * CHOOSE(CONTROL!$C$32, $C$9, 100%, $E$9)</f>
        <v>10.768599999999999</v>
      </c>
      <c r="O601" s="81">
        <f>10.7686 * CHOOSE(CONTROL!$C$32, $C$9, 100%, $E$9)</f>
        <v>10.768599999999999</v>
      </c>
    </row>
    <row r="602" spans="1:15" ht="15">
      <c r="A602" s="16">
        <v>59537</v>
      </c>
      <c r="B602" s="80">
        <f>9.3673 * CHOOSE(CONTROL!$C$32, $C$9, 100%, $E$9)</f>
        <v>9.3673000000000002</v>
      </c>
      <c r="C602" s="80">
        <f>9.3673 * CHOOSE(CONTROL!$C$32, $C$9, 100%, $E$9)</f>
        <v>9.3673000000000002</v>
      </c>
      <c r="D602" s="80">
        <f>9.3638 * CHOOSE(CONTROL!$C$32, $C$9, 100%, $E$9)</f>
        <v>9.3637999999999995</v>
      </c>
      <c r="E602" s="81">
        <f>10.9185 * CHOOSE(CONTROL!$C$32, $C$9, 100%, $E$9)</f>
        <v>10.9185</v>
      </c>
      <c r="F602" s="81">
        <f>10.9185 * CHOOSE(CONTROL!$C$32, $C$9, 100%, $E$9)</f>
        <v>10.9185</v>
      </c>
      <c r="G602" s="81">
        <f>10.9141 * CHOOSE(CONTROL!$C$32, $C$9, 100%, $E$9)</f>
        <v>10.914099999999999</v>
      </c>
      <c r="H602" s="81">
        <f>19.7651 * CHOOSE(CONTROL!$C$32, $C$9, 100%, $E$9)</f>
        <v>19.7651</v>
      </c>
      <c r="I602" s="81">
        <f>19.7607 * CHOOSE(CONTROL!$C$32, $C$9, 100%, $E$9)</f>
        <v>19.7607</v>
      </c>
      <c r="J602" s="81">
        <f>19.7651 * CHOOSE(CONTROL!$C$32, $C$9, 100%, $E$9)</f>
        <v>19.7651</v>
      </c>
      <c r="K602" s="81">
        <f>19.7607 * CHOOSE(CONTROL!$C$32, $C$9, 100%, $E$9)</f>
        <v>19.7607</v>
      </c>
      <c r="L602" s="81">
        <f>10.9185 * CHOOSE(CONTROL!$C$32, $C$9, 100%, $E$9)</f>
        <v>10.9185</v>
      </c>
      <c r="M602" s="81">
        <f>10.9141 * CHOOSE(CONTROL!$C$32, $C$9, 100%, $E$9)</f>
        <v>10.914099999999999</v>
      </c>
      <c r="N602" s="81">
        <f>10.9185 * CHOOSE(CONTROL!$C$32, $C$9, 100%, $E$9)</f>
        <v>10.9185</v>
      </c>
      <c r="O602" s="81">
        <f>10.9141 * CHOOSE(CONTROL!$C$32, $C$9, 100%, $E$9)</f>
        <v>10.914099999999999</v>
      </c>
    </row>
    <row r="603" spans="1:15" ht="15">
      <c r="A603" s="16">
        <v>59568</v>
      </c>
      <c r="B603" s="80">
        <f>9.3643 * CHOOSE(CONTROL!$C$32, $C$9, 100%, $E$9)</f>
        <v>9.3643000000000001</v>
      </c>
      <c r="C603" s="80">
        <f>9.3643 * CHOOSE(CONTROL!$C$32, $C$9, 100%, $E$9)</f>
        <v>9.3643000000000001</v>
      </c>
      <c r="D603" s="80">
        <f>9.3607 * CHOOSE(CONTROL!$C$32, $C$9, 100%, $E$9)</f>
        <v>9.3606999999999996</v>
      </c>
      <c r="E603" s="81">
        <f>10.7305 * CHOOSE(CONTROL!$C$32, $C$9, 100%, $E$9)</f>
        <v>10.730499999999999</v>
      </c>
      <c r="F603" s="81">
        <f>10.7305 * CHOOSE(CONTROL!$C$32, $C$9, 100%, $E$9)</f>
        <v>10.730499999999999</v>
      </c>
      <c r="G603" s="81">
        <f>10.7262 * CHOOSE(CONTROL!$C$32, $C$9, 100%, $E$9)</f>
        <v>10.7262</v>
      </c>
      <c r="H603" s="81">
        <f>19.8063 * CHOOSE(CONTROL!$C$32, $C$9, 100%, $E$9)</f>
        <v>19.8063</v>
      </c>
      <c r="I603" s="81">
        <f>19.8019 * CHOOSE(CONTROL!$C$32, $C$9, 100%, $E$9)</f>
        <v>19.8019</v>
      </c>
      <c r="J603" s="81">
        <f>19.8063 * CHOOSE(CONTROL!$C$32, $C$9, 100%, $E$9)</f>
        <v>19.8063</v>
      </c>
      <c r="K603" s="81">
        <f>19.8019 * CHOOSE(CONTROL!$C$32, $C$9, 100%, $E$9)</f>
        <v>19.8019</v>
      </c>
      <c r="L603" s="81">
        <f>10.7305 * CHOOSE(CONTROL!$C$32, $C$9, 100%, $E$9)</f>
        <v>10.730499999999999</v>
      </c>
      <c r="M603" s="81">
        <f>10.7262 * CHOOSE(CONTROL!$C$32, $C$9, 100%, $E$9)</f>
        <v>10.7262</v>
      </c>
      <c r="N603" s="81">
        <f>10.7305 * CHOOSE(CONTROL!$C$32, $C$9, 100%, $E$9)</f>
        <v>10.730499999999999</v>
      </c>
      <c r="O603" s="81">
        <f>10.7262 * CHOOSE(CONTROL!$C$32, $C$9, 100%, $E$9)</f>
        <v>10.7262</v>
      </c>
    </row>
    <row r="604" spans="1:15" ht="15">
      <c r="A604" s="16">
        <v>59596</v>
      </c>
      <c r="B604" s="80">
        <f>9.3612 * CHOOSE(CONTROL!$C$32, $C$9, 100%, $E$9)</f>
        <v>9.3612000000000002</v>
      </c>
      <c r="C604" s="80">
        <f>9.3612 * CHOOSE(CONTROL!$C$32, $C$9, 100%, $E$9)</f>
        <v>9.3612000000000002</v>
      </c>
      <c r="D604" s="80">
        <f>9.3577 * CHOOSE(CONTROL!$C$32, $C$9, 100%, $E$9)</f>
        <v>9.3576999999999995</v>
      </c>
      <c r="E604" s="81">
        <f>10.8749 * CHOOSE(CONTROL!$C$32, $C$9, 100%, $E$9)</f>
        <v>10.8749</v>
      </c>
      <c r="F604" s="81">
        <f>10.8749 * CHOOSE(CONTROL!$C$32, $C$9, 100%, $E$9)</f>
        <v>10.8749</v>
      </c>
      <c r="G604" s="81">
        <f>10.8705 * CHOOSE(CONTROL!$C$32, $C$9, 100%, $E$9)</f>
        <v>10.8705</v>
      </c>
      <c r="H604" s="81">
        <f>19.8475 * CHOOSE(CONTROL!$C$32, $C$9, 100%, $E$9)</f>
        <v>19.8475</v>
      </c>
      <c r="I604" s="81">
        <f>19.8432 * CHOOSE(CONTROL!$C$32, $C$9, 100%, $E$9)</f>
        <v>19.8432</v>
      </c>
      <c r="J604" s="81">
        <f>19.8475 * CHOOSE(CONTROL!$C$32, $C$9, 100%, $E$9)</f>
        <v>19.8475</v>
      </c>
      <c r="K604" s="81">
        <f>19.8432 * CHOOSE(CONTROL!$C$32, $C$9, 100%, $E$9)</f>
        <v>19.8432</v>
      </c>
      <c r="L604" s="81">
        <f>10.8749 * CHOOSE(CONTROL!$C$32, $C$9, 100%, $E$9)</f>
        <v>10.8749</v>
      </c>
      <c r="M604" s="81">
        <f>10.8705 * CHOOSE(CONTROL!$C$32, $C$9, 100%, $E$9)</f>
        <v>10.8705</v>
      </c>
      <c r="N604" s="81">
        <f>10.8749 * CHOOSE(CONTROL!$C$32, $C$9, 100%, $E$9)</f>
        <v>10.8749</v>
      </c>
      <c r="O604" s="81">
        <f>10.8705 * CHOOSE(CONTROL!$C$32, $C$9, 100%, $E$9)</f>
        <v>10.8705</v>
      </c>
    </row>
    <row r="605" spans="1:15" ht="15">
      <c r="A605" s="16">
        <v>59627</v>
      </c>
      <c r="B605" s="80">
        <f>9.3634 * CHOOSE(CONTROL!$C$32, $C$9, 100%, $E$9)</f>
        <v>9.3634000000000004</v>
      </c>
      <c r="C605" s="80">
        <f>9.3634 * CHOOSE(CONTROL!$C$32, $C$9, 100%, $E$9)</f>
        <v>9.3634000000000004</v>
      </c>
      <c r="D605" s="80">
        <f>9.3599 * CHOOSE(CONTROL!$C$32, $C$9, 100%, $E$9)</f>
        <v>9.3598999999999997</v>
      </c>
      <c r="E605" s="81">
        <f>11.028 * CHOOSE(CONTROL!$C$32, $C$9, 100%, $E$9)</f>
        <v>11.028</v>
      </c>
      <c r="F605" s="81">
        <f>11.028 * CHOOSE(CONTROL!$C$32, $C$9, 100%, $E$9)</f>
        <v>11.028</v>
      </c>
      <c r="G605" s="81">
        <f>11.0236 * CHOOSE(CONTROL!$C$32, $C$9, 100%, $E$9)</f>
        <v>11.0236</v>
      </c>
      <c r="H605" s="81">
        <f>19.8889 * CHOOSE(CONTROL!$C$32, $C$9, 100%, $E$9)</f>
        <v>19.8889</v>
      </c>
      <c r="I605" s="81">
        <f>19.8845 * CHOOSE(CONTROL!$C$32, $C$9, 100%, $E$9)</f>
        <v>19.884499999999999</v>
      </c>
      <c r="J605" s="81">
        <f>19.8889 * CHOOSE(CONTROL!$C$32, $C$9, 100%, $E$9)</f>
        <v>19.8889</v>
      </c>
      <c r="K605" s="81">
        <f>19.8845 * CHOOSE(CONTROL!$C$32, $C$9, 100%, $E$9)</f>
        <v>19.884499999999999</v>
      </c>
      <c r="L605" s="81">
        <f>11.028 * CHOOSE(CONTROL!$C$32, $C$9, 100%, $E$9)</f>
        <v>11.028</v>
      </c>
      <c r="M605" s="81">
        <f>11.0236 * CHOOSE(CONTROL!$C$32, $C$9, 100%, $E$9)</f>
        <v>11.0236</v>
      </c>
      <c r="N605" s="81">
        <f>11.028 * CHOOSE(CONTROL!$C$32, $C$9, 100%, $E$9)</f>
        <v>11.028</v>
      </c>
      <c r="O605" s="81">
        <f>11.0236 * CHOOSE(CONTROL!$C$32, $C$9, 100%, $E$9)</f>
        <v>11.0236</v>
      </c>
    </row>
    <row r="606" spans="1:15" ht="15">
      <c r="A606" s="16">
        <v>59657</v>
      </c>
      <c r="B606" s="80">
        <f>9.3634 * CHOOSE(CONTROL!$C$32, $C$9, 100%, $E$9)</f>
        <v>9.3634000000000004</v>
      </c>
      <c r="C606" s="80">
        <f>9.3634 * CHOOSE(CONTROL!$C$32, $C$9, 100%, $E$9)</f>
        <v>9.3634000000000004</v>
      </c>
      <c r="D606" s="80">
        <f>9.3583 * CHOOSE(CONTROL!$C$32, $C$9, 100%, $E$9)</f>
        <v>9.3582999999999998</v>
      </c>
      <c r="E606" s="81">
        <f>11.087 * CHOOSE(CONTROL!$C$32, $C$9, 100%, $E$9)</f>
        <v>11.087</v>
      </c>
      <c r="F606" s="81">
        <f>11.087 * CHOOSE(CONTROL!$C$32, $C$9, 100%, $E$9)</f>
        <v>11.087</v>
      </c>
      <c r="G606" s="81">
        <f>11.0807 * CHOOSE(CONTROL!$C$32, $C$9, 100%, $E$9)</f>
        <v>11.0807</v>
      </c>
      <c r="H606" s="81">
        <f>19.9303 * CHOOSE(CONTROL!$C$32, $C$9, 100%, $E$9)</f>
        <v>19.930299999999999</v>
      </c>
      <c r="I606" s="81">
        <f>19.924 * CHOOSE(CONTROL!$C$32, $C$9, 100%, $E$9)</f>
        <v>19.923999999999999</v>
      </c>
      <c r="J606" s="81">
        <f>19.9303 * CHOOSE(CONTROL!$C$32, $C$9, 100%, $E$9)</f>
        <v>19.930299999999999</v>
      </c>
      <c r="K606" s="81">
        <f>19.924 * CHOOSE(CONTROL!$C$32, $C$9, 100%, $E$9)</f>
        <v>19.923999999999999</v>
      </c>
      <c r="L606" s="81">
        <f>11.087 * CHOOSE(CONTROL!$C$32, $C$9, 100%, $E$9)</f>
        <v>11.087</v>
      </c>
      <c r="M606" s="81">
        <f>11.0807 * CHOOSE(CONTROL!$C$32, $C$9, 100%, $E$9)</f>
        <v>11.0807</v>
      </c>
      <c r="N606" s="81">
        <f>11.087 * CHOOSE(CONTROL!$C$32, $C$9, 100%, $E$9)</f>
        <v>11.087</v>
      </c>
      <c r="O606" s="81">
        <f>11.0807 * CHOOSE(CONTROL!$C$32, $C$9, 100%, $E$9)</f>
        <v>11.0807</v>
      </c>
    </row>
    <row r="607" spans="1:15" ht="15">
      <c r="A607" s="16">
        <v>59688</v>
      </c>
      <c r="B607" s="80">
        <f>9.3695 * CHOOSE(CONTROL!$C$32, $C$9, 100%, $E$9)</f>
        <v>9.3695000000000004</v>
      </c>
      <c r="C607" s="80">
        <f>9.3695 * CHOOSE(CONTROL!$C$32, $C$9, 100%, $E$9)</f>
        <v>9.3695000000000004</v>
      </c>
      <c r="D607" s="80">
        <f>9.3644 * CHOOSE(CONTROL!$C$32, $C$9, 100%, $E$9)</f>
        <v>9.3643999999999998</v>
      </c>
      <c r="E607" s="81">
        <f>11.0322 * CHOOSE(CONTROL!$C$32, $C$9, 100%, $E$9)</f>
        <v>11.0322</v>
      </c>
      <c r="F607" s="81">
        <f>11.0322 * CHOOSE(CONTROL!$C$32, $C$9, 100%, $E$9)</f>
        <v>11.0322</v>
      </c>
      <c r="G607" s="81">
        <f>11.0259 * CHOOSE(CONTROL!$C$32, $C$9, 100%, $E$9)</f>
        <v>11.0259</v>
      </c>
      <c r="H607" s="81">
        <f>19.9719 * CHOOSE(CONTROL!$C$32, $C$9, 100%, $E$9)</f>
        <v>19.971900000000002</v>
      </c>
      <c r="I607" s="81">
        <f>19.9655 * CHOOSE(CONTROL!$C$32, $C$9, 100%, $E$9)</f>
        <v>19.965499999999999</v>
      </c>
      <c r="J607" s="81">
        <f>19.9719 * CHOOSE(CONTROL!$C$32, $C$9, 100%, $E$9)</f>
        <v>19.971900000000002</v>
      </c>
      <c r="K607" s="81">
        <f>19.9655 * CHOOSE(CONTROL!$C$32, $C$9, 100%, $E$9)</f>
        <v>19.965499999999999</v>
      </c>
      <c r="L607" s="81">
        <f>11.0322 * CHOOSE(CONTROL!$C$32, $C$9, 100%, $E$9)</f>
        <v>11.0322</v>
      </c>
      <c r="M607" s="81">
        <f>11.0259 * CHOOSE(CONTROL!$C$32, $C$9, 100%, $E$9)</f>
        <v>11.0259</v>
      </c>
      <c r="N607" s="81">
        <f>11.0322 * CHOOSE(CONTROL!$C$32, $C$9, 100%, $E$9)</f>
        <v>11.0322</v>
      </c>
      <c r="O607" s="81">
        <f>11.0259 * CHOOSE(CONTROL!$C$32, $C$9, 100%, $E$9)</f>
        <v>11.0259</v>
      </c>
    </row>
    <row r="608" spans="1:15" ht="15">
      <c r="A608" s="16">
        <v>59718</v>
      </c>
      <c r="B608" s="80">
        <f>9.5148 * CHOOSE(CONTROL!$C$32, $C$9, 100%, $E$9)</f>
        <v>9.5147999999999993</v>
      </c>
      <c r="C608" s="80">
        <f>9.5148 * CHOOSE(CONTROL!$C$32, $C$9, 100%, $E$9)</f>
        <v>9.5147999999999993</v>
      </c>
      <c r="D608" s="80">
        <f>9.5097 * CHOOSE(CONTROL!$C$32, $C$9, 100%, $E$9)</f>
        <v>9.5097000000000005</v>
      </c>
      <c r="E608" s="81">
        <f>11.2114 * CHOOSE(CONTROL!$C$32, $C$9, 100%, $E$9)</f>
        <v>11.211399999999999</v>
      </c>
      <c r="F608" s="81">
        <f>11.2114 * CHOOSE(CONTROL!$C$32, $C$9, 100%, $E$9)</f>
        <v>11.211399999999999</v>
      </c>
      <c r="G608" s="81">
        <f>11.2051 * CHOOSE(CONTROL!$C$32, $C$9, 100%, $E$9)</f>
        <v>11.2051</v>
      </c>
      <c r="H608" s="81">
        <f>20.0135 * CHOOSE(CONTROL!$C$32, $C$9, 100%, $E$9)</f>
        <v>20.013500000000001</v>
      </c>
      <c r="I608" s="81">
        <f>20.0071 * CHOOSE(CONTROL!$C$32, $C$9, 100%, $E$9)</f>
        <v>20.007100000000001</v>
      </c>
      <c r="J608" s="81">
        <f>20.0135 * CHOOSE(CONTROL!$C$32, $C$9, 100%, $E$9)</f>
        <v>20.013500000000001</v>
      </c>
      <c r="K608" s="81">
        <f>20.0071 * CHOOSE(CONTROL!$C$32, $C$9, 100%, $E$9)</f>
        <v>20.007100000000001</v>
      </c>
      <c r="L608" s="81">
        <f>11.2114 * CHOOSE(CONTROL!$C$32, $C$9, 100%, $E$9)</f>
        <v>11.211399999999999</v>
      </c>
      <c r="M608" s="81">
        <f>11.2051 * CHOOSE(CONTROL!$C$32, $C$9, 100%, $E$9)</f>
        <v>11.2051</v>
      </c>
      <c r="N608" s="81">
        <f>11.2114 * CHOOSE(CONTROL!$C$32, $C$9, 100%, $E$9)</f>
        <v>11.211399999999999</v>
      </c>
      <c r="O608" s="81">
        <f>11.2051 * CHOOSE(CONTROL!$C$32, $C$9, 100%, $E$9)</f>
        <v>11.2051</v>
      </c>
    </row>
    <row r="609" spans="1:15" ht="15">
      <c r="A609" s="16">
        <v>59749</v>
      </c>
      <c r="B609" s="80">
        <f>9.5215 * CHOOSE(CONTROL!$C$32, $C$9, 100%, $E$9)</f>
        <v>9.5214999999999996</v>
      </c>
      <c r="C609" s="80">
        <f>9.5215 * CHOOSE(CONTROL!$C$32, $C$9, 100%, $E$9)</f>
        <v>9.5214999999999996</v>
      </c>
      <c r="D609" s="80">
        <f>9.5164 * CHOOSE(CONTROL!$C$32, $C$9, 100%, $E$9)</f>
        <v>9.5164000000000009</v>
      </c>
      <c r="E609" s="81">
        <f>11.0391 * CHOOSE(CONTROL!$C$32, $C$9, 100%, $E$9)</f>
        <v>11.039099999999999</v>
      </c>
      <c r="F609" s="81">
        <f>11.0391 * CHOOSE(CONTROL!$C$32, $C$9, 100%, $E$9)</f>
        <v>11.039099999999999</v>
      </c>
      <c r="G609" s="81">
        <f>11.0328 * CHOOSE(CONTROL!$C$32, $C$9, 100%, $E$9)</f>
        <v>11.0328</v>
      </c>
      <c r="H609" s="81">
        <f>20.0552 * CHOOSE(CONTROL!$C$32, $C$9, 100%, $E$9)</f>
        <v>20.055199999999999</v>
      </c>
      <c r="I609" s="81">
        <f>20.0488 * CHOOSE(CONTROL!$C$32, $C$9, 100%, $E$9)</f>
        <v>20.0488</v>
      </c>
      <c r="J609" s="81">
        <f>20.0552 * CHOOSE(CONTROL!$C$32, $C$9, 100%, $E$9)</f>
        <v>20.055199999999999</v>
      </c>
      <c r="K609" s="81">
        <f>20.0488 * CHOOSE(CONTROL!$C$32, $C$9, 100%, $E$9)</f>
        <v>20.0488</v>
      </c>
      <c r="L609" s="81">
        <f>11.0391 * CHOOSE(CONTROL!$C$32, $C$9, 100%, $E$9)</f>
        <v>11.039099999999999</v>
      </c>
      <c r="M609" s="81">
        <f>11.0328 * CHOOSE(CONTROL!$C$32, $C$9, 100%, $E$9)</f>
        <v>11.0328</v>
      </c>
      <c r="N609" s="81">
        <f>11.0391 * CHOOSE(CONTROL!$C$32, $C$9, 100%, $E$9)</f>
        <v>11.039099999999999</v>
      </c>
      <c r="O609" s="81">
        <f>11.0328 * CHOOSE(CONTROL!$C$32, $C$9, 100%, $E$9)</f>
        <v>11.0328</v>
      </c>
    </row>
    <row r="610" spans="1:15" ht="15">
      <c r="A610" s="16">
        <v>59780</v>
      </c>
      <c r="B610" s="80">
        <f>9.5185 * CHOOSE(CONTROL!$C$32, $C$9, 100%, $E$9)</f>
        <v>9.5184999999999995</v>
      </c>
      <c r="C610" s="80">
        <f>9.5185 * CHOOSE(CONTROL!$C$32, $C$9, 100%, $E$9)</f>
        <v>9.5184999999999995</v>
      </c>
      <c r="D610" s="80">
        <f>9.5133 * CHOOSE(CONTROL!$C$32, $C$9, 100%, $E$9)</f>
        <v>9.5132999999999992</v>
      </c>
      <c r="E610" s="81">
        <f>11.0173 * CHOOSE(CONTROL!$C$32, $C$9, 100%, $E$9)</f>
        <v>11.017300000000001</v>
      </c>
      <c r="F610" s="81">
        <f>11.0173 * CHOOSE(CONTROL!$C$32, $C$9, 100%, $E$9)</f>
        <v>11.017300000000001</v>
      </c>
      <c r="G610" s="81">
        <f>11.011 * CHOOSE(CONTROL!$C$32, $C$9, 100%, $E$9)</f>
        <v>11.010999999999999</v>
      </c>
      <c r="H610" s="81">
        <f>20.0969 * CHOOSE(CONTROL!$C$32, $C$9, 100%, $E$9)</f>
        <v>20.096900000000002</v>
      </c>
      <c r="I610" s="81">
        <f>20.0906 * CHOOSE(CONTROL!$C$32, $C$9, 100%, $E$9)</f>
        <v>20.090599999999998</v>
      </c>
      <c r="J610" s="81">
        <f>20.0969 * CHOOSE(CONTROL!$C$32, $C$9, 100%, $E$9)</f>
        <v>20.096900000000002</v>
      </c>
      <c r="K610" s="81">
        <f>20.0906 * CHOOSE(CONTROL!$C$32, $C$9, 100%, $E$9)</f>
        <v>20.090599999999998</v>
      </c>
      <c r="L610" s="81">
        <f>11.0173 * CHOOSE(CONTROL!$C$32, $C$9, 100%, $E$9)</f>
        <v>11.017300000000001</v>
      </c>
      <c r="M610" s="81">
        <f>11.011 * CHOOSE(CONTROL!$C$32, $C$9, 100%, $E$9)</f>
        <v>11.010999999999999</v>
      </c>
      <c r="N610" s="81">
        <f>11.0173 * CHOOSE(CONTROL!$C$32, $C$9, 100%, $E$9)</f>
        <v>11.017300000000001</v>
      </c>
      <c r="O610" s="81">
        <f>11.011 * CHOOSE(CONTROL!$C$32, $C$9, 100%, $E$9)</f>
        <v>11.010999999999999</v>
      </c>
    </row>
    <row r="611" spans="1:15" ht="15">
      <c r="A611" s="16">
        <v>59810</v>
      </c>
      <c r="B611" s="80">
        <f>9.5315 * CHOOSE(CONTROL!$C$32, $C$9, 100%, $E$9)</f>
        <v>9.5314999999999994</v>
      </c>
      <c r="C611" s="80">
        <f>9.5315 * CHOOSE(CONTROL!$C$32, $C$9, 100%, $E$9)</f>
        <v>9.5314999999999994</v>
      </c>
      <c r="D611" s="80">
        <f>9.528 * CHOOSE(CONTROL!$C$32, $C$9, 100%, $E$9)</f>
        <v>9.5280000000000005</v>
      </c>
      <c r="E611" s="81">
        <f>11.0825 * CHOOSE(CONTROL!$C$32, $C$9, 100%, $E$9)</f>
        <v>11.0825</v>
      </c>
      <c r="F611" s="81">
        <f>11.0825 * CHOOSE(CONTROL!$C$32, $C$9, 100%, $E$9)</f>
        <v>11.0825</v>
      </c>
      <c r="G611" s="81">
        <f>11.0782 * CHOOSE(CONTROL!$C$32, $C$9, 100%, $E$9)</f>
        <v>11.078200000000001</v>
      </c>
      <c r="H611" s="81">
        <f>20.1388 * CHOOSE(CONTROL!$C$32, $C$9, 100%, $E$9)</f>
        <v>20.1388</v>
      </c>
      <c r="I611" s="81">
        <f>20.1344 * CHOOSE(CONTROL!$C$32, $C$9, 100%, $E$9)</f>
        <v>20.134399999999999</v>
      </c>
      <c r="J611" s="81">
        <f>20.1388 * CHOOSE(CONTROL!$C$32, $C$9, 100%, $E$9)</f>
        <v>20.1388</v>
      </c>
      <c r="K611" s="81">
        <f>20.1344 * CHOOSE(CONTROL!$C$32, $C$9, 100%, $E$9)</f>
        <v>20.134399999999999</v>
      </c>
      <c r="L611" s="81">
        <f>11.0825 * CHOOSE(CONTROL!$C$32, $C$9, 100%, $E$9)</f>
        <v>11.0825</v>
      </c>
      <c r="M611" s="81">
        <f>11.0782 * CHOOSE(CONTROL!$C$32, $C$9, 100%, $E$9)</f>
        <v>11.078200000000001</v>
      </c>
      <c r="N611" s="81">
        <f>11.0825 * CHOOSE(CONTROL!$C$32, $C$9, 100%, $E$9)</f>
        <v>11.0825</v>
      </c>
      <c r="O611" s="81">
        <f>11.0782 * CHOOSE(CONTROL!$C$32, $C$9, 100%, $E$9)</f>
        <v>11.078200000000001</v>
      </c>
    </row>
    <row r="612" spans="1:15" ht="15">
      <c r="A612" s="16">
        <v>59841</v>
      </c>
      <c r="B612" s="80">
        <f>9.5345 * CHOOSE(CONTROL!$C$32, $C$9, 100%, $E$9)</f>
        <v>9.5344999999999995</v>
      </c>
      <c r="C612" s="80">
        <f>9.5345 * CHOOSE(CONTROL!$C$32, $C$9, 100%, $E$9)</f>
        <v>9.5344999999999995</v>
      </c>
      <c r="D612" s="80">
        <f>9.531 * CHOOSE(CONTROL!$C$32, $C$9, 100%, $E$9)</f>
        <v>9.5310000000000006</v>
      </c>
      <c r="E612" s="81">
        <f>11.124 * CHOOSE(CONTROL!$C$32, $C$9, 100%, $E$9)</f>
        <v>11.124000000000001</v>
      </c>
      <c r="F612" s="81">
        <f>11.124 * CHOOSE(CONTROL!$C$32, $C$9, 100%, $E$9)</f>
        <v>11.124000000000001</v>
      </c>
      <c r="G612" s="81">
        <f>11.1196 * CHOOSE(CONTROL!$C$32, $C$9, 100%, $E$9)</f>
        <v>11.1196</v>
      </c>
      <c r="H612" s="81">
        <f>20.1808 * CHOOSE(CONTROL!$C$32, $C$9, 100%, $E$9)</f>
        <v>20.180800000000001</v>
      </c>
      <c r="I612" s="81">
        <f>20.1764 * CHOOSE(CONTROL!$C$32, $C$9, 100%, $E$9)</f>
        <v>20.176400000000001</v>
      </c>
      <c r="J612" s="81">
        <f>20.1808 * CHOOSE(CONTROL!$C$32, $C$9, 100%, $E$9)</f>
        <v>20.180800000000001</v>
      </c>
      <c r="K612" s="81">
        <f>20.1764 * CHOOSE(CONTROL!$C$32, $C$9, 100%, $E$9)</f>
        <v>20.176400000000001</v>
      </c>
      <c r="L612" s="81">
        <f>11.124 * CHOOSE(CONTROL!$C$32, $C$9, 100%, $E$9)</f>
        <v>11.124000000000001</v>
      </c>
      <c r="M612" s="81">
        <f>11.1196 * CHOOSE(CONTROL!$C$32, $C$9, 100%, $E$9)</f>
        <v>11.1196</v>
      </c>
      <c r="N612" s="81">
        <f>11.124 * CHOOSE(CONTROL!$C$32, $C$9, 100%, $E$9)</f>
        <v>11.124000000000001</v>
      </c>
      <c r="O612" s="81">
        <f>11.1196 * CHOOSE(CONTROL!$C$32, $C$9, 100%, $E$9)</f>
        <v>11.1196</v>
      </c>
    </row>
    <row r="613" spans="1:15" ht="15">
      <c r="A613" s="16">
        <v>59871</v>
      </c>
      <c r="B613" s="80">
        <f>9.5345 * CHOOSE(CONTROL!$C$32, $C$9, 100%, $E$9)</f>
        <v>9.5344999999999995</v>
      </c>
      <c r="C613" s="80">
        <f>9.5345 * CHOOSE(CONTROL!$C$32, $C$9, 100%, $E$9)</f>
        <v>9.5344999999999995</v>
      </c>
      <c r="D613" s="80">
        <f>9.531 * CHOOSE(CONTROL!$C$32, $C$9, 100%, $E$9)</f>
        <v>9.5310000000000006</v>
      </c>
      <c r="E613" s="81">
        <f>11.0257 * CHOOSE(CONTROL!$C$32, $C$9, 100%, $E$9)</f>
        <v>11.025700000000001</v>
      </c>
      <c r="F613" s="81">
        <f>11.0257 * CHOOSE(CONTROL!$C$32, $C$9, 100%, $E$9)</f>
        <v>11.025700000000001</v>
      </c>
      <c r="G613" s="81">
        <f>11.0213 * CHOOSE(CONTROL!$C$32, $C$9, 100%, $E$9)</f>
        <v>11.0213</v>
      </c>
      <c r="H613" s="81">
        <f>20.2228 * CHOOSE(CONTROL!$C$32, $C$9, 100%, $E$9)</f>
        <v>20.222799999999999</v>
      </c>
      <c r="I613" s="81">
        <f>20.2184 * CHOOSE(CONTROL!$C$32, $C$9, 100%, $E$9)</f>
        <v>20.218399999999999</v>
      </c>
      <c r="J613" s="81">
        <f>20.2228 * CHOOSE(CONTROL!$C$32, $C$9, 100%, $E$9)</f>
        <v>20.222799999999999</v>
      </c>
      <c r="K613" s="81">
        <f>20.2184 * CHOOSE(CONTROL!$C$32, $C$9, 100%, $E$9)</f>
        <v>20.218399999999999</v>
      </c>
      <c r="L613" s="81">
        <f>11.0257 * CHOOSE(CONTROL!$C$32, $C$9, 100%, $E$9)</f>
        <v>11.025700000000001</v>
      </c>
      <c r="M613" s="81">
        <f>11.0213 * CHOOSE(CONTROL!$C$32, $C$9, 100%, $E$9)</f>
        <v>11.0213</v>
      </c>
      <c r="N613" s="81">
        <f>11.0257 * CHOOSE(CONTROL!$C$32, $C$9, 100%, $E$9)</f>
        <v>11.025700000000001</v>
      </c>
      <c r="O613" s="81">
        <f>11.0213 * CHOOSE(CONTROL!$C$32, $C$9, 100%, $E$9)</f>
        <v>11.0213</v>
      </c>
    </row>
    <row r="614" spans="1:15" ht="15">
      <c r="A614" s="16">
        <v>59902</v>
      </c>
      <c r="B614" s="80">
        <f>9.6029 * CHOOSE(CONTROL!$C$32, $C$9, 100%, $E$9)</f>
        <v>9.6029</v>
      </c>
      <c r="C614" s="80">
        <f>9.6029 * CHOOSE(CONTROL!$C$32, $C$9, 100%, $E$9)</f>
        <v>9.6029</v>
      </c>
      <c r="D614" s="80">
        <f>9.5958 * CHOOSE(CONTROL!$C$32, $C$9, 100%, $E$9)</f>
        <v>9.5958000000000006</v>
      </c>
      <c r="E614" s="81">
        <f>11.1732 * CHOOSE(CONTROL!$C$32, $C$9, 100%, $E$9)</f>
        <v>11.1732</v>
      </c>
      <c r="F614" s="81">
        <f>11.1732 * CHOOSE(CONTROL!$C$32, $C$9, 100%, $E$9)</f>
        <v>11.1732</v>
      </c>
      <c r="G614" s="81">
        <f>11.1645 * CHOOSE(CONTROL!$C$32, $C$9, 100%, $E$9)</f>
        <v>11.1645</v>
      </c>
      <c r="H614" s="81">
        <f>20.2409 * CHOOSE(CONTROL!$C$32, $C$9, 100%, $E$9)</f>
        <v>20.2409</v>
      </c>
      <c r="I614" s="81">
        <f>20.2321 * CHOOSE(CONTROL!$C$32, $C$9, 100%, $E$9)</f>
        <v>20.232099999999999</v>
      </c>
      <c r="J614" s="81">
        <f>20.2409 * CHOOSE(CONTROL!$C$32, $C$9, 100%, $E$9)</f>
        <v>20.2409</v>
      </c>
      <c r="K614" s="81">
        <f>20.2321 * CHOOSE(CONTROL!$C$32, $C$9, 100%, $E$9)</f>
        <v>20.232099999999999</v>
      </c>
      <c r="L614" s="81">
        <f>11.1732 * CHOOSE(CONTROL!$C$32, $C$9, 100%, $E$9)</f>
        <v>11.1732</v>
      </c>
      <c r="M614" s="81">
        <f>11.1645 * CHOOSE(CONTROL!$C$32, $C$9, 100%, $E$9)</f>
        <v>11.1645</v>
      </c>
      <c r="N614" s="81">
        <f>11.1732 * CHOOSE(CONTROL!$C$32, $C$9, 100%, $E$9)</f>
        <v>11.1732</v>
      </c>
      <c r="O614" s="81">
        <f>11.1645 * CHOOSE(CONTROL!$C$32, $C$9, 100%, $E$9)</f>
        <v>11.1645</v>
      </c>
    </row>
    <row r="615" spans="1:15" ht="15">
      <c r="A615" s="16">
        <v>59933</v>
      </c>
      <c r="B615" s="80">
        <f>9.5999 * CHOOSE(CONTROL!$C$32, $C$9, 100%, $E$9)</f>
        <v>9.5998999999999999</v>
      </c>
      <c r="C615" s="80">
        <f>9.5999 * CHOOSE(CONTROL!$C$32, $C$9, 100%, $E$9)</f>
        <v>9.5998999999999999</v>
      </c>
      <c r="D615" s="80">
        <f>9.5928 * CHOOSE(CONTROL!$C$32, $C$9, 100%, $E$9)</f>
        <v>9.5928000000000004</v>
      </c>
      <c r="E615" s="81">
        <f>10.9803 * CHOOSE(CONTROL!$C$32, $C$9, 100%, $E$9)</f>
        <v>10.9803</v>
      </c>
      <c r="F615" s="81">
        <f>10.9803 * CHOOSE(CONTROL!$C$32, $C$9, 100%, $E$9)</f>
        <v>10.9803</v>
      </c>
      <c r="G615" s="81">
        <f>10.9716 * CHOOSE(CONTROL!$C$32, $C$9, 100%, $E$9)</f>
        <v>10.9716</v>
      </c>
      <c r="H615" s="81">
        <f>20.283 * CHOOSE(CONTROL!$C$32, $C$9, 100%, $E$9)</f>
        <v>20.283000000000001</v>
      </c>
      <c r="I615" s="81">
        <f>20.2743 * CHOOSE(CONTROL!$C$32, $C$9, 100%, $E$9)</f>
        <v>20.2743</v>
      </c>
      <c r="J615" s="81">
        <f>20.283 * CHOOSE(CONTROL!$C$32, $C$9, 100%, $E$9)</f>
        <v>20.283000000000001</v>
      </c>
      <c r="K615" s="81">
        <f>20.2743 * CHOOSE(CONTROL!$C$32, $C$9, 100%, $E$9)</f>
        <v>20.2743</v>
      </c>
      <c r="L615" s="81">
        <f>10.9803 * CHOOSE(CONTROL!$C$32, $C$9, 100%, $E$9)</f>
        <v>10.9803</v>
      </c>
      <c r="M615" s="81">
        <f>10.9716 * CHOOSE(CONTROL!$C$32, $C$9, 100%, $E$9)</f>
        <v>10.9716</v>
      </c>
      <c r="N615" s="81">
        <f>10.9803 * CHOOSE(CONTROL!$C$32, $C$9, 100%, $E$9)</f>
        <v>10.9803</v>
      </c>
      <c r="O615" s="81">
        <f>10.9716 * CHOOSE(CONTROL!$C$32, $C$9, 100%, $E$9)</f>
        <v>10.9716</v>
      </c>
    </row>
    <row r="616" spans="1:15" ht="15">
      <c r="A616" s="16">
        <v>59962</v>
      </c>
      <c r="B616" s="80">
        <f>9.5968 * CHOOSE(CONTROL!$C$32, $C$9, 100%, $E$9)</f>
        <v>9.5968</v>
      </c>
      <c r="C616" s="80">
        <f>9.5968 * CHOOSE(CONTROL!$C$32, $C$9, 100%, $E$9)</f>
        <v>9.5968</v>
      </c>
      <c r="D616" s="80">
        <f>9.5897 * CHOOSE(CONTROL!$C$32, $C$9, 100%, $E$9)</f>
        <v>9.5897000000000006</v>
      </c>
      <c r="E616" s="81">
        <f>11.1286 * CHOOSE(CONTROL!$C$32, $C$9, 100%, $E$9)</f>
        <v>11.1286</v>
      </c>
      <c r="F616" s="81">
        <f>11.1286 * CHOOSE(CONTROL!$C$32, $C$9, 100%, $E$9)</f>
        <v>11.1286</v>
      </c>
      <c r="G616" s="81">
        <f>11.1198 * CHOOSE(CONTROL!$C$32, $C$9, 100%, $E$9)</f>
        <v>11.1198</v>
      </c>
      <c r="H616" s="81">
        <f>20.3253 * CHOOSE(CONTROL!$C$32, $C$9, 100%, $E$9)</f>
        <v>20.325299999999999</v>
      </c>
      <c r="I616" s="81">
        <f>20.3166 * CHOOSE(CONTROL!$C$32, $C$9, 100%, $E$9)</f>
        <v>20.316600000000001</v>
      </c>
      <c r="J616" s="81">
        <f>20.3253 * CHOOSE(CONTROL!$C$32, $C$9, 100%, $E$9)</f>
        <v>20.325299999999999</v>
      </c>
      <c r="K616" s="81">
        <f>20.3166 * CHOOSE(CONTROL!$C$32, $C$9, 100%, $E$9)</f>
        <v>20.316600000000001</v>
      </c>
      <c r="L616" s="81">
        <f>11.1286 * CHOOSE(CONTROL!$C$32, $C$9, 100%, $E$9)</f>
        <v>11.1286</v>
      </c>
      <c r="M616" s="81">
        <f>11.1198 * CHOOSE(CONTROL!$C$32, $C$9, 100%, $E$9)</f>
        <v>11.1198</v>
      </c>
      <c r="N616" s="81">
        <f>11.1286 * CHOOSE(CONTROL!$C$32, $C$9, 100%, $E$9)</f>
        <v>11.1286</v>
      </c>
      <c r="O616" s="81">
        <f>11.1198 * CHOOSE(CONTROL!$C$32, $C$9, 100%, $E$9)</f>
        <v>11.1198</v>
      </c>
    </row>
    <row r="617" spans="1:15" ht="15">
      <c r="A617" s="16">
        <v>59993</v>
      </c>
      <c r="B617" s="80">
        <f>9.5992 * CHOOSE(CONTROL!$C$32, $C$9, 100%, $E$9)</f>
        <v>9.5991999999999997</v>
      </c>
      <c r="C617" s="80">
        <f>9.5992 * CHOOSE(CONTROL!$C$32, $C$9, 100%, $E$9)</f>
        <v>9.5991999999999997</v>
      </c>
      <c r="D617" s="80">
        <f>9.5921 * CHOOSE(CONTROL!$C$32, $C$9, 100%, $E$9)</f>
        <v>9.5921000000000003</v>
      </c>
      <c r="E617" s="81">
        <f>11.2859 * CHOOSE(CONTROL!$C$32, $C$9, 100%, $E$9)</f>
        <v>11.2859</v>
      </c>
      <c r="F617" s="81">
        <f>11.2859 * CHOOSE(CONTROL!$C$32, $C$9, 100%, $E$9)</f>
        <v>11.2859</v>
      </c>
      <c r="G617" s="81">
        <f>11.2771 * CHOOSE(CONTROL!$C$32, $C$9, 100%, $E$9)</f>
        <v>11.277100000000001</v>
      </c>
      <c r="H617" s="81">
        <f>20.3676 * CHOOSE(CONTROL!$C$32, $C$9, 100%, $E$9)</f>
        <v>20.367599999999999</v>
      </c>
      <c r="I617" s="81">
        <f>20.3589 * CHOOSE(CONTROL!$C$32, $C$9, 100%, $E$9)</f>
        <v>20.358899999999998</v>
      </c>
      <c r="J617" s="81">
        <f>20.3676 * CHOOSE(CONTROL!$C$32, $C$9, 100%, $E$9)</f>
        <v>20.367599999999999</v>
      </c>
      <c r="K617" s="81">
        <f>20.3589 * CHOOSE(CONTROL!$C$32, $C$9, 100%, $E$9)</f>
        <v>20.358899999999998</v>
      </c>
      <c r="L617" s="81">
        <f>11.2859 * CHOOSE(CONTROL!$C$32, $C$9, 100%, $E$9)</f>
        <v>11.2859</v>
      </c>
      <c r="M617" s="81">
        <f>11.2771 * CHOOSE(CONTROL!$C$32, $C$9, 100%, $E$9)</f>
        <v>11.277100000000001</v>
      </c>
      <c r="N617" s="81">
        <f>11.2859 * CHOOSE(CONTROL!$C$32, $C$9, 100%, $E$9)</f>
        <v>11.2859</v>
      </c>
      <c r="O617" s="81">
        <f>11.2771 * CHOOSE(CONTROL!$C$32, $C$9, 100%, $E$9)</f>
        <v>11.277100000000001</v>
      </c>
    </row>
    <row r="618" spans="1:15" ht="15">
      <c r="A618" s="16">
        <v>60023</v>
      </c>
      <c r="B618" s="80">
        <f>9.5992 * CHOOSE(CONTROL!$C$32, $C$9, 100%, $E$9)</f>
        <v>9.5991999999999997</v>
      </c>
      <c r="C618" s="80">
        <f>9.5992 * CHOOSE(CONTROL!$C$32, $C$9, 100%, $E$9)</f>
        <v>9.5991999999999997</v>
      </c>
      <c r="D618" s="80">
        <f>9.5889 * CHOOSE(CONTROL!$C$32, $C$9, 100%, $E$9)</f>
        <v>9.5889000000000006</v>
      </c>
      <c r="E618" s="81">
        <f>11.3464 * CHOOSE(CONTROL!$C$32, $C$9, 100%, $E$9)</f>
        <v>11.346399999999999</v>
      </c>
      <c r="F618" s="81">
        <f>11.3464 * CHOOSE(CONTROL!$C$32, $C$9, 100%, $E$9)</f>
        <v>11.346399999999999</v>
      </c>
      <c r="G618" s="81">
        <f>11.3338 * CHOOSE(CONTROL!$C$32, $C$9, 100%, $E$9)</f>
        <v>11.3338</v>
      </c>
      <c r="H618" s="81">
        <f>20.4101 * CHOOSE(CONTROL!$C$32, $C$9, 100%, $E$9)</f>
        <v>20.4101</v>
      </c>
      <c r="I618" s="81">
        <f>20.3974 * CHOOSE(CONTROL!$C$32, $C$9, 100%, $E$9)</f>
        <v>20.397400000000001</v>
      </c>
      <c r="J618" s="81">
        <f>20.4101 * CHOOSE(CONTROL!$C$32, $C$9, 100%, $E$9)</f>
        <v>20.4101</v>
      </c>
      <c r="K618" s="81">
        <f>20.3974 * CHOOSE(CONTROL!$C$32, $C$9, 100%, $E$9)</f>
        <v>20.397400000000001</v>
      </c>
      <c r="L618" s="81">
        <f>11.3464 * CHOOSE(CONTROL!$C$32, $C$9, 100%, $E$9)</f>
        <v>11.346399999999999</v>
      </c>
      <c r="M618" s="81">
        <f>11.3338 * CHOOSE(CONTROL!$C$32, $C$9, 100%, $E$9)</f>
        <v>11.3338</v>
      </c>
      <c r="N618" s="81">
        <f>11.3464 * CHOOSE(CONTROL!$C$32, $C$9, 100%, $E$9)</f>
        <v>11.346399999999999</v>
      </c>
      <c r="O618" s="81">
        <f>11.3338 * CHOOSE(CONTROL!$C$32, $C$9, 100%, $E$9)</f>
        <v>11.3338</v>
      </c>
    </row>
    <row r="619" spans="1:15" ht="15">
      <c r="A619" s="16">
        <v>60054</v>
      </c>
      <c r="B619" s="80">
        <f>9.6053 * CHOOSE(CONTROL!$C$32, $C$9, 100%, $E$9)</f>
        <v>9.6052999999999997</v>
      </c>
      <c r="C619" s="80">
        <f>9.6053 * CHOOSE(CONTROL!$C$32, $C$9, 100%, $E$9)</f>
        <v>9.6052999999999997</v>
      </c>
      <c r="D619" s="80">
        <f>9.595 * CHOOSE(CONTROL!$C$32, $C$9, 100%, $E$9)</f>
        <v>9.5950000000000006</v>
      </c>
      <c r="E619" s="81">
        <f>11.2901 * CHOOSE(CONTROL!$C$32, $C$9, 100%, $E$9)</f>
        <v>11.290100000000001</v>
      </c>
      <c r="F619" s="81">
        <f>11.2901 * CHOOSE(CONTROL!$C$32, $C$9, 100%, $E$9)</f>
        <v>11.290100000000001</v>
      </c>
      <c r="G619" s="81">
        <f>11.2775 * CHOOSE(CONTROL!$C$32, $C$9, 100%, $E$9)</f>
        <v>11.2775</v>
      </c>
      <c r="H619" s="81">
        <f>20.4526 * CHOOSE(CONTROL!$C$32, $C$9, 100%, $E$9)</f>
        <v>20.4526</v>
      </c>
      <c r="I619" s="81">
        <f>20.44 * CHOOSE(CONTROL!$C$32, $C$9, 100%, $E$9)</f>
        <v>20.440000000000001</v>
      </c>
      <c r="J619" s="81">
        <f>20.4526 * CHOOSE(CONTROL!$C$32, $C$9, 100%, $E$9)</f>
        <v>20.4526</v>
      </c>
      <c r="K619" s="81">
        <f>20.44 * CHOOSE(CONTROL!$C$32, $C$9, 100%, $E$9)</f>
        <v>20.440000000000001</v>
      </c>
      <c r="L619" s="81">
        <f>11.2901 * CHOOSE(CONTROL!$C$32, $C$9, 100%, $E$9)</f>
        <v>11.290100000000001</v>
      </c>
      <c r="M619" s="81">
        <f>11.2775 * CHOOSE(CONTROL!$C$32, $C$9, 100%, $E$9)</f>
        <v>11.2775</v>
      </c>
      <c r="N619" s="81">
        <f>11.2901 * CHOOSE(CONTROL!$C$32, $C$9, 100%, $E$9)</f>
        <v>11.290100000000001</v>
      </c>
      <c r="O619" s="81">
        <f>11.2775 * CHOOSE(CONTROL!$C$32, $C$9, 100%, $E$9)</f>
        <v>11.2775</v>
      </c>
    </row>
    <row r="620" spans="1:15" ht="15">
      <c r="A620" s="16">
        <v>60084</v>
      </c>
      <c r="B620" s="80">
        <f>9.754 * CHOOSE(CONTROL!$C$32, $C$9, 100%, $E$9)</f>
        <v>9.7539999999999996</v>
      </c>
      <c r="C620" s="80">
        <f>9.754 * CHOOSE(CONTROL!$C$32, $C$9, 100%, $E$9)</f>
        <v>9.7539999999999996</v>
      </c>
      <c r="D620" s="80">
        <f>9.7437 * CHOOSE(CONTROL!$C$32, $C$9, 100%, $E$9)</f>
        <v>9.7437000000000005</v>
      </c>
      <c r="E620" s="81">
        <f>11.4732 * CHOOSE(CONTROL!$C$32, $C$9, 100%, $E$9)</f>
        <v>11.4732</v>
      </c>
      <c r="F620" s="81">
        <f>11.4732 * CHOOSE(CONTROL!$C$32, $C$9, 100%, $E$9)</f>
        <v>11.4732</v>
      </c>
      <c r="G620" s="81">
        <f>11.4606 * CHOOSE(CONTROL!$C$32, $C$9, 100%, $E$9)</f>
        <v>11.460599999999999</v>
      </c>
      <c r="H620" s="81">
        <f>20.4952 * CHOOSE(CONTROL!$C$32, $C$9, 100%, $E$9)</f>
        <v>20.495200000000001</v>
      </c>
      <c r="I620" s="81">
        <f>20.4826 * CHOOSE(CONTROL!$C$32, $C$9, 100%, $E$9)</f>
        <v>20.482600000000001</v>
      </c>
      <c r="J620" s="81">
        <f>20.4952 * CHOOSE(CONTROL!$C$32, $C$9, 100%, $E$9)</f>
        <v>20.495200000000001</v>
      </c>
      <c r="K620" s="81">
        <f>20.4826 * CHOOSE(CONTROL!$C$32, $C$9, 100%, $E$9)</f>
        <v>20.482600000000001</v>
      </c>
      <c r="L620" s="81">
        <f>11.4732 * CHOOSE(CONTROL!$C$32, $C$9, 100%, $E$9)</f>
        <v>11.4732</v>
      </c>
      <c r="M620" s="81">
        <f>11.4606 * CHOOSE(CONTROL!$C$32, $C$9, 100%, $E$9)</f>
        <v>11.460599999999999</v>
      </c>
      <c r="N620" s="81">
        <f>11.4732 * CHOOSE(CONTROL!$C$32, $C$9, 100%, $E$9)</f>
        <v>11.4732</v>
      </c>
      <c r="O620" s="81">
        <f>11.4606 * CHOOSE(CONTROL!$C$32, $C$9, 100%, $E$9)</f>
        <v>11.460599999999999</v>
      </c>
    </row>
    <row r="621" spans="1:15" ht="15">
      <c r="A621" s="16">
        <v>60115</v>
      </c>
      <c r="B621" s="80">
        <f>9.7607 * CHOOSE(CONTROL!$C$32, $C$9, 100%, $E$9)</f>
        <v>9.7606999999999999</v>
      </c>
      <c r="C621" s="80">
        <f>9.7607 * CHOOSE(CONTROL!$C$32, $C$9, 100%, $E$9)</f>
        <v>9.7606999999999999</v>
      </c>
      <c r="D621" s="80">
        <f>9.7504 * CHOOSE(CONTROL!$C$32, $C$9, 100%, $E$9)</f>
        <v>9.7504000000000008</v>
      </c>
      <c r="E621" s="81">
        <f>11.2961 * CHOOSE(CONTROL!$C$32, $C$9, 100%, $E$9)</f>
        <v>11.296099999999999</v>
      </c>
      <c r="F621" s="81">
        <f>11.2961 * CHOOSE(CONTROL!$C$32, $C$9, 100%, $E$9)</f>
        <v>11.296099999999999</v>
      </c>
      <c r="G621" s="81">
        <f>11.2835 * CHOOSE(CONTROL!$C$32, $C$9, 100%, $E$9)</f>
        <v>11.2835</v>
      </c>
      <c r="H621" s="81">
        <f>20.5379 * CHOOSE(CONTROL!$C$32, $C$9, 100%, $E$9)</f>
        <v>20.5379</v>
      </c>
      <c r="I621" s="81">
        <f>20.5253 * CHOOSE(CONTROL!$C$32, $C$9, 100%, $E$9)</f>
        <v>20.525300000000001</v>
      </c>
      <c r="J621" s="81">
        <f>20.5379 * CHOOSE(CONTROL!$C$32, $C$9, 100%, $E$9)</f>
        <v>20.5379</v>
      </c>
      <c r="K621" s="81">
        <f>20.5253 * CHOOSE(CONTROL!$C$32, $C$9, 100%, $E$9)</f>
        <v>20.525300000000001</v>
      </c>
      <c r="L621" s="81">
        <f>11.2961 * CHOOSE(CONTROL!$C$32, $C$9, 100%, $E$9)</f>
        <v>11.296099999999999</v>
      </c>
      <c r="M621" s="81">
        <f>11.2835 * CHOOSE(CONTROL!$C$32, $C$9, 100%, $E$9)</f>
        <v>11.2835</v>
      </c>
      <c r="N621" s="81">
        <f>11.2961 * CHOOSE(CONTROL!$C$32, $C$9, 100%, $E$9)</f>
        <v>11.296099999999999</v>
      </c>
      <c r="O621" s="81">
        <f>11.2835 * CHOOSE(CONTROL!$C$32, $C$9, 100%, $E$9)</f>
        <v>11.2835</v>
      </c>
    </row>
    <row r="622" spans="1:15" ht="15">
      <c r="A622" s="16">
        <v>60146</v>
      </c>
      <c r="B622" s="80">
        <f>9.7577 * CHOOSE(CONTROL!$C$32, $C$9, 100%, $E$9)</f>
        <v>9.7576999999999998</v>
      </c>
      <c r="C622" s="80">
        <f>9.7577 * CHOOSE(CONTROL!$C$32, $C$9, 100%, $E$9)</f>
        <v>9.7576999999999998</v>
      </c>
      <c r="D622" s="80">
        <f>9.7473 * CHOOSE(CONTROL!$C$32, $C$9, 100%, $E$9)</f>
        <v>9.7472999999999992</v>
      </c>
      <c r="E622" s="81">
        <f>11.2738 * CHOOSE(CONTROL!$C$32, $C$9, 100%, $E$9)</f>
        <v>11.2738</v>
      </c>
      <c r="F622" s="81">
        <f>11.2738 * CHOOSE(CONTROL!$C$32, $C$9, 100%, $E$9)</f>
        <v>11.2738</v>
      </c>
      <c r="G622" s="81">
        <f>11.2612 * CHOOSE(CONTROL!$C$32, $C$9, 100%, $E$9)</f>
        <v>11.261200000000001</v>
      </c>
      <c r="H622" s="81">
        <f>20.5807 * CHOOSE(CONTROL!$C$32, $C$9, 100%, $E$9)</f>
        <v>20.5807</v>
      </c>
      <c r="I622" s="81">
        <f>20.5681 * CHOOSE(CONTROL!$C$32, $C$9, 100%, $E$9)</f>
        <v>20.568100000000001</v>
      </c>
      <c r="J622" s="81">
        <f>20.5807 * CHOOSE(CONTROL!$C$32, $C$9, 100%, $E$9)</f>
        <v>20.5807</v>
      </c>
      <c r="K622" s="81">
        <f>20.5681 * CHOOSE(CONTROL!$C$32, $C$9, 100%, $E$9)</f>
        <v>20.568100000000001</v>
      </c>
      <c r="L622" s="81">
        <f>11.2738 * CHOOSE(CONTROL!$C$32, $C$9, 100%, $E$9)</f>
        <v>11.2738</v>
      </c>
      <c r="M622" s="81">
        <f>11.2612 * CHOOSE(CONTROL!$C$32, $C$9, 100%, $E$9)</f>
        <v>11.261200000000001</v>
      </c>
      <c r="N622" s="81">
        <f>11.2738 * CHOOSE(CONTROL!$C$32, $C$9, 100%, $E$9)</f>
        <v>11.2738</v>
      </c>
      <c r="O622" s="81">
        <f>11.2612 * CHOOSE(CONTROL!$C$32, $C$9, 100%, $E$9)</f>
        <v>11.261200000000001</v>
      </c>
    </row>
    <row r="623" spans="1:15" ht="15">
      <c r="A623" s="16">
        <v>60176</v>
      </c>
      <c r="B623" s="80">
        <f>9.7714 * CHOOSE(CONTROL!$C$32, $C$9, 100%, $E$9)</f>
        <v>9.7713999999999999</v>
      </c>
      <c r="C623" s="80">
        <f>9.7714 * CHOOSE(CONTROL!$C$32, $C$9, 100%, $E$9)</f>
        <v>9.7713999999999999</v>
      </c>
      <c r="D623" s="80">
        <f>9.7644 * CHOOSE(CONTROL!$C$32, $C$9, 100%, $E$9)</f>
        <v>9.7644000000000002</v>
      </c>
      <c r="E623" s="81">
        <f>11.3412 * CHOOSE(CONTROL!$C$32, $C$9, 100%, $E$9)</f>
        <v>11.341200000000001</v>
      </c>
      <c r="F623" s="81">
        <f>11.3412 * CHOOSE(CONTROL!$C$32, $C$9, 100%, $E$9)</f>
        <v>11.341200000000001</v>
      </c>
      <c r="G623" s="81">
        <f>11.3325 * CHOOSE(CONTROL!$C$32, $C$9, 100%, $E$9)</f>
        <v>11.3325</v>
      </c>
      <c r="H623" s="81">
        <f>20.6236 * CHOOSE(CONTROL!$C$32, $C$9, 100%, $E$9)</f>
        <v>20.6236</v>
      </c>
      <c r="I623" s="81">
        <f>20.6148 * CHOOSE(CONTROL!$C$32, $C$9, 100%, $E$9)</f>
        <v>20.614799999999999</v>
      </c>
      <c r="J623" s="81">
        <f>20.6236 * CHOOSE(CONTROL!$C$32, $C$9, 100%, $E$9)</f>
        <v>20.6236</v>
      </c>
      <c r="K623" s="81">
        <f>20.6148 * CHOOSE(CONTROL!$C$32, $C$9, 100%, $E$9)</f>
        <v>20.614799999999999</v>
      </c>
      <c r="L623" s="81">
        <f>11.3412 * CHOOSE(CONTROL!$C$32, $C$9, 100%, $E$9)</f>
        <v>11.341200000000001</v>
      </c>
      <c r="M623" s="81">
        <f>11.3325 * CHOOSE(CONTROL!$C$32, $C$9, 100%, $E$9)</f>
        <v>11.3325</v>
      </c>
      <c r="N623" s="81">
        <f>11.3412 * CHOOSE(CONTROL!$C$32, $C$9, 100%, $E$9)</f>
        <v>11.341200000000001</v>
      </c>
      <c r="O623" s="81">
        <f>11.3325 * CHOOSE(CONTROL!$C$32, $C$9, 100%, $E$9)</f>
        <v>11.3325</v>
      </c>
    </row>
    <row r="624" spans="1:15" ht="15">
      <c r="A624" s="16">
        <v>60207</v>
      </c>
      <c r="B624" s="80">
        <f>9.7745 * CHOOSE(CONTROL!$C$32, $C$9, 100%, $E$9)</f>
        <v>9.7744999999999997</v>
      </c>
      <c r="C624" s="80">
        <f>9.7745 * CHOOSE(CONTROL!$C$32, $C$9, 100%, $E$9)</f>
        <v>9.7744999999999997</v>
      </c>
      <c r="D624" s="80">
        <f>9.7674 * CHOOSE(CONTROL!$C$32, $C$9, 100%, $E$9)</f>
        <v>9.7674000000000003</v>
      </c>
      <c r="E624" s="81">
        <f>11.3837 * CHOOSE(CONTROL!$C$32, $C$9, 100%, $E$9)</f>
        <v>11.383699999999999</v>
      </c>
      <c r="F624" s="81">
        <f>11.3837 * CHOOSE(CONTROL!$C$32, $C$9, 100%, $E$9)</f>
        <v>11.383699999999999</v>
      </c>
      <c r="G624" s="81">
        <f>11.3749 * CHOOSE(CONTROL!$C$32, $C$9, 100%, $E$9)</f>
        <v>11.3749</v>
      </c>
      <c r="H624" s="81">
        <f>20.6665 * CHOOSE(CONTROL!$C$32, $C$9, 100%, $E$9)</f>
        <v>20.666499999999999</v>
      </c>
      <c r="I624" s="81">
        <f>20.6578 * CHOOSE(CONTROL!$C$32, $C$9, 100%, $E$9)</f>
        <v>20.657800000000002</v>
      </c>
      <c r="J624" s="81">
        <f>20.6665 * CHOOSE(CONTROL!$C$32, $C$9, 100%, $E$9)</f>
        <v>20.666499999999999</v>
      </c>
      <c r="K624" s="81">
        <f>20.6578 * CHOOSE(CONTROL!$C$32, $C$9, 100%, $E$9)</f>
        <v>20.657800000000002</v>
      </c>
      <c r="L624" s="81">
        <f>11.3837 * CHOOSE(CONTROL!$C$32, $C$9, 100%, $E$9)</f>
        <v>11.383699999999999</v>
      </c>
      <c r="M624" s="81">
        <f>11.3749 * CHOOSE(CONTROL!$C$32, $C$9, 100%, $E$9)</f>
        <v>11.3749</v>
      </c>
      <c r="N624" s="81">
        <f>11.3837 * CHOOSE(CONTROL!$C$32, $C$9, 100%, $E$9)</f>
        <v>11.383699999999999</v>
      </c>
      <c r="O624" s="81">
        <f>11.3749 * CHOOSE(CONTROL!$C$32, $C$9, 100%, $E$9)</f>
        <v>11.3749</v>
      </c>
    </row>
    <row r="625" spans="1:15" ht="15">
      <c r="A625" s="16">
        <v>60237</v>
      </c>
      <c r="B625" s="80">
        <f>9.7745 * CHOOSE(CONTROL!$C$32, $C$9, 100%, $E$9)</f>
        <v>9.7744999999999997</v>
      </c>
      <c r="C625" s="80">
        <f>9.7745 * CHOOSE(CONTROL!$C$32, $C$9, 100%, $E$9)</f>
        <v>9.7744999999999997</v>
      </c>
      <c r="D625" s="80">
        <f>9.7674 * CHOOSE(CONTROL!$C$32, $C$9, 100%, $E$9)</f>
        <v>9.7674000000000003</v>
      </c>
      <c r="E625" s="81">
        <f>11.2827 * CHOOSE(CONTROL!$C$32, $C$9, 100%, $E$9)</f>
        <v>11.2827</v>
      </c>
      <c r="F625" s="81">
        <f>11.2827 * CHOOSE(CONTROL!$C$32, $C$9, 100%, $E$9)</f>
        <v>11.2827</v>
      </c>
      <c r="G625" s="81">
        <f>11.274 * CHOOSE(CONTROL!$C$32, $C$9, 100%, $E$9)</f>
        <v>11.273999999999999</v>
      </c>
      <c r="H625" s="81">
        <f>20.7096 * CHOOSE(CONTROL!$C$32, $C$9, 100%, $E$9)</f>
        <v>20.709599999999998</v>
      </c>
      <c r="I625" s="81">
        <f>20.7009 * CHOOSE(CONTROL!$C$32, $C$9, 100%, $E$9)</f>
        <v>20.700900000000001</v>
      </c>
      <c r="J625" s="81">
        <f>20.7096 * CHOOSE(CONTROL!$C$32, $C$9, 100%, $E$9)</f>
        <v>20.709599999999998</v>
      </c>
      <c r="K625" s="81">
        <f>20.7009 * CHOOSE(CONTROL!$C$32, $C$9, 100%, $E$9)</f>
        <v>20.700900000000001</v>
      </c>
      <c r="L625" s="81">
        <f>11.2827 * CHOOSE(CONTROL!$C$32, $C$9, 100%, $E$9)</f>
        <v>11.2827</v>
      </c>
      <c r="M625" s="81">
        <f>11.274 * CHOOSE(CONTROL!$C$32, $C$9, 100%, $E$9)</f>
        <v>11.273999999999999</v>
      </c>
      <c r="N625" s="81">
        <f>11.2827 * CHOOSE(CONTROL!$C$32, $C$9, 100%, $E$9)</f>
        <v>11.2827</v>
      </c>
      <c r="O625" s="81">
        <f>11.274 * CHOOSE(CONTROL!$C$32, $C$9, 100%, $E$9)</f>
        <v>11.273999999999999</v>
      </c>
    </row>
    <row r="626" spans="1:15" ht="15">
      <c r="A626" s="16">
        <v>60268</v>
      </c>
      <c r="B626" s="80">
        <f>9.8385 * CHOOSE(CONTROL!$C$32, $C$9, 100%, $E$9)</f>
        <v>9.8384999999999998</v>
      </c>
      <c r="C626" s="80">
        <f>9.8385 * CHOOSE(CONTROL!$C$32, $C$9, 100%, $E$9)</f>
        <v>9.8384999999999998</v>
      </c>
      <c r="D626" s="80">
        <f>9.8278 * CHOOSE(CONTROL!$C$32, $C$9, 100%, $E$9)</f>
        <v>9.8277999999999999</v>
      </c>
      <c r="E626" s="81">
        <f>11.4279 * CHOOSE(CONTROL!$C$32, $C$9, 100%, $E$9)</f>
        <v>11.427899999999999</v>
      </c>
      <c r="F626" s="81">
        <f>11.4279 * CHOOSE(CONTROL!$C$32, $C$9, 100%, $E$9)</f>
        <v>11.427899999999999</v>
      </c>
      <c r="G626" s="81">
        <f>11.4148 * CHOOSE(CONTROL!$C$32, $C$9, 100%, $E$9)</f>
        <v>11.4148</v>
      </c>
      <c r="H626" s="81">
        <f>20.7166 * CHOOSE(CONTROL!$C$32, $C$9, 100%, $E$9)</f>
        <v>20.7166</v>
      </c>
      <c r="I626" s="81">
        <f>20.7035 * CHOOSE(CONTROL!$C$32, $C$9, 100%, $E$9)</f>
        <v>20.703499999999998</v>
      </c>
      <c r="J626" s="81">
        <f>20.7166 * CHOOSE(CONTROL!$C$32, $C$9, 100%, $E$9)</f>
        <v>20.7166</v>
      </c>
      <c r="K626" s="81">
        <f>20.7035 * CHOOSE(CONTROL!$C$32, $C$9, 100%, $E$9)</f>
        <v>20.703499999999998</v>
      </c>
      <c r="L626" s="81">
        <f>11.4279 * CHOOSE(CONTROL!$C$32, $C$9, 100%, $E$9)</f>
        <v>11.427899999999999</v>
      </c>
      <c r="M626" s="81">
        <f>11.4148 * CHOOSE(CONTROL!$C$32, $C$9, 100%, $E$9)</f>
        <v>11.4148</v>
      </c>
      <c r="N626" s="81">
        <f>11.4279 * CHOOSE(CONTROL!$C$32, $C$9, 100%, $E$9)</f>
        <v>11.427899999999999</v>
      </c>
      <c r="O626" s="81">
        <f>11.4148 * CHOOSE(CONTROL!$C$32, $C$9, 100%, $E$9)</f>
        <v>11.4148</v>
      </c>
    </row>
    <row r="627" spans="1:15" ht="15">
      <c r="A627" s="16">
        <v>60299</v>
      </c>
      <c r="B627" s="80">
        <f>9.8354 * CHOOSE(CONTROL!$C$32, $C$9, 100%, $E$9)</f>
        <v>9.8353999999999999</v>
      </c>
      <c r="C627" s="80">
        <f>9.8354 * CHOOSE(CONTROL!$C$32, $C$9, 100%, $E$9)</f>
        <v>9.8353999999999999</v>
      </c>
      <c r="D627" s="80">
        <f>9.8248 * CHOOSE(CONTROL!$C$32, $C$9, 100%, $E$9)</f>
        <v>9.8247999999999998</v>
      </c>
      <c r="E627" s="81">
        <f>11.2301 * CHOOSE(CONTROL!$C$32, $C$9, 100%, $E$9)</f>
        <v>11.2301</v>
      </c>
      <c r="F627" s="81">
        <f>11.2301 * CHOOSE(CONTROL!$C$32, $C$9, 100%, $E$9)</f>
        <v>11.2301</v>
      </c>
      <c r="G627" s="81">
        <f>11.217 * CHOOSE(CONTROL!$C$32, $C$9, 100%, $E$9)</f>
        <v>11.217000000000001</v>
      </c>
      <c r="H627" s="81">
        <f>20.7598 * CHOOSE(CONTROL!$C$32, $C$9, 100%, $E$9)</f>
        <v>20.759799999999998</v>
      </c>
      <c r="I627" s="81">
        <f>20.7467 * CHOOSE(CONTROL!$C$32, $C$9, 100%, $E$9)</f>
        <v>20.746700000000001</v>
      </c>
      <c r="J627" s="81">
        <f>20.7598 * CHOOSE(CONTROL!$C$32, $C$9, 100%, $E$9)</f>
        <v>20.759799999999998</v>
      </c>
      <c r="K627" s="81">
        <f>20.7467 * CHOOSE(CONTROL!$C$32, $C$9, 100%, $E$9)</f>
        <v>20.746700000000001</v>
      </c>
      <c r="L627" s="81">
        <f>11.2301 * CHOOSE(CONTROL!$C$32, $C$9, 100%, $E$9)</f>
        <v>11.2301</v>
      </c>
      <c r="M627" s="81">
        <f>11.217 * CHOOSE(CONTROL!$C$32, $C$9, 100%, $E$9)</f>
        <v>11.217000000000001</v>
      </c>
      <c r="N627" s="81">
        <f>11.2301 * CHOOSE(CONTROL!$C$32, $C$9, 100%, $E$9)</f>
        <v>11.2301</v>
      </c>
      <c r="O627" s="81">
        <f>11.217 * CHOOSE(CONTROL!$C$32, $C$9, 100%, $E$9)</f>
        <v>11.217000000000001</v>
      </c>
    </row>
    <row r="628" spans="1:15" ht="15">
      <c r="A628" s="16">
        <v>60327</v>
      </c>
      <c r="B628" s="80">
        <f>9.8324 * CHOOSE(CONTROL!$C$32, $C$9, 100%, $E$9)</f>
        <v>9.8323999999999998</v>
      </c>
      <c r="C628" s="80">
        <f>9.8324 * CHOOSE(CONTROL!$C$32, $C$9, 100%, $E$9)</f>
        <v>9.8323999999999998</v>
      </c>
      <c r="D628" s="80">
        <f>9.8218 * CHOOSE(CONTROL!$C$32, $C$9, 100%, $E$9)</f>
        <v>9.8217999999999996</v>
      </c>
      <c r="E628" s="81">
        <f>11.3823 * CHOOSE(CONTROL!$C$32, $C$9, 100%, $E$9)</f>
        <v>11.382300000000001</v>
      </c>
      <c r="F628" s="81">
        <f>11.3823 * CHOOSE(CONTROL!$C$32, $C$9, 100%, $E$9)</f>
        <v>11.382300000000001</v>
      </c>
      <c r="G628" s="81">
        <f>11.3692 * CHOOSE(CONTROL!$C$32, $C$9, 100%, $E$9)</f>
        <v>11.369199999999999</v>
      </c>
      <c r="H628" s="81">
        <f>20.803 * CHOOSE(CONTROL!$C$32, $C$9, 100%, $E$9)</f>
        <v>20.803000000000001</v>
      </c>
      <c r="I628" s="81">
        <f>20.79 * CHOOSE(CONTROL!$C$32, $C$9, 100%, $E$9)</f>
        <v>20.79</v>
      </c>
      <c r="J628" s="81">
        <f>20.803 * CHOOSE(CONTROL!$C$32, $C$9, 100%, $E$9)</f>
        <v>20.803000000000001</v>
      </c>
      <c r="K628" s="81">
        <f>20.79 * CHOOSE(CONTROL!$C$32, $C$9, 100%, $E$9)</f>
        <v>20.79</v>
      </c>
      <c r="L628" s="81">
        <f>11.3823 * CHOOSE(CONTROL!$C$32, $C$9, 100%, $E$9)</f>
        <v>11.382300000000001</v>
      </c>
      <c r="M628" s="81">
        <f>11.3692 * CHOOSE(CONTROL!$C$32, $C$9, 100%, $E$9)</f>
        <v>11.369199999999999</v>
      </c>
      <c r="N628" s="81">
        <f>11.3823 * CHOOSE(CONTROL!$C$32, $C$9, 100%, $E$9)</f>
        <v>11.382300000000001</v>
      </c>
      <c r="O628" s="81">
        <f>11.3692 * CHOOSE(CONTROL!$C$32, $C$9, 100%, $E$9)</f>
        <v>11.369199999999999</v>
      </c>
    </row>
    <row r="629" spans="1:15" ht="15">
      <c r="A629" s="16">
        <v>60358</v>
      </c>
      <c r="B629" s="80">
        <f>9.835 * CHOOSE(CONTROL!$C$32, $C$9, 100%, $E$9)</f>
        <v>9.8350000000000009</v>
      </c>
      <c r="C629" s="80">
        <f>9.835 * CHOOSE(CONTROL!$C$32, $C$9, 100%, $E$9)</f>
        <v>9.8350000000000009</v>
      </c>
      <c r="D629" s="80">
        <f>9.8243 * CHOOSE(CONTROL!$C$32, $C$9, 100%, $E$9)</f>
        <v>9.8242999999999991</v>
      </c>
      <c r="E629" s="81">
        <f>11.5437 * CHOOSE(CONTROL!$C$32, $C$9, 100%, $E$9)</f>
        <v>11.543699999999999</v>
      </c>
      <c r="F629" s="81">
        <f>11.5437 * CHOOSE(CONTROL!$C$32, $C$9, 100%, $E$9)</f>
        <v>11.543699999999999</v>
      </c>
      <c r="G629" s="81">
        <f>11.5306 * CHOOSE(CONTROL!$C$32, $C$9, 100%, $E$9)</f>
        <v>11.5306</v>
      </c>
      <c r="H629" s="81">
        <f>20.8464 * CHOOSE(CONTROL!$C$32, $C$9, 100%, $E$9)</f>
        <v>20.846399999999999</v>
      </c>
      <c r="I629" s="81">
        <f>20.8333 * CHOOSE(CONTROL!$C$32, $C$9, 100%, $E$9)</f>
        <v>20.833300000000001</v>
      </c>
      <c r="J629" s="81">
        <f>20.8464 * CHOOSE(CONTROL!$C$32, $C$9, 100%, $E$9)</f>
        <v>20.846399999999999</v>
      </c>
      <c r="K629" s="81">
        <f>20.8333 * CHOOSE(CONTROL!$C$32, $C$9, 100%, $E$9)</f>
        <v>20.833300000000001</v>
      </c>
      <c r="L629" s="81">
        <f>11.5437 * CHOOSE(CONTROL!$C$32, $C$9, 100%, $E$9)</f>
        <v>11.543699999999999</v>
      </c>
      <c r="M629" s="81">
        <f>11.5306 * CHOOSE(CONTROL!$C$32, $C$9, 100%, $E$9)</f>
        <v>11.5306</v>
      </c>
      <c r="N629" s="81">
        <f>11.5437 * CHOOSE(CONTROL!$C$32, $C$9, 100%, $E$9)</f>
        <v>11.543699999999999</v>
      </c>
      <c r="O629" s="81">
        <f>11.5306 * CHOOSE(CONTROL!$C$32, $C$9, 100%, $E$9)</f>
        <v>11.5306</v>
      </c>
    </row>
    <row r="630" spans="1:15" ht="15">
      <c r="A630" s="16">
        <v>60388</v>
      </c>
      <c r="B630" s="80">
        <f>9.835 * CHOOSE(CONTROL!$C$32, $C$9, 100%, $E$9)</f>
        <v>9.8350000000000009</v>
      </c>
      <c r="C630" s="80">
        <f>9.835 * CHOOSE(CONTROL!$C$32, $C$9, 100%, $E$9)</f>
        <v>9.8350000000000009</v>
      </c>
      <c r="D630" s="80">
        <f>9.8195 * CHOOSE(CONTROL!$C$32, $C$9, 100%, $E$9)</f>
        <v>9.8194999999999997</v>
      </c>
      <c r="E630" s="81">
        <f>11.6059 * CHOOSE(CONTROL!$C$32, $C$9, 100%, $E$9)</f>
        <v>11.6059</v>
      </c>
      <c r="F630" s="81">
        <f>11.6059 * CHOOSE(CONTROL!$C$32, $C$9, 100%, $E$9)</f>
        <v>11.6059</v>
      </c>
      <c r="G630" s="81">
        <f>11.5869 * CHOOSE(CONTROL!$C$32, $C$9, 100%, $E$9)</f>
        <v>11.5869</v>
      </c>
      <c r="H630" s="81">
        <f>20.8898 * CHOOSE(CONTROL!$C$32, $C$9, 100%, $E$9)</f>
        <v>20.889800000000001</v>
      </c>
      <c r="I630" s="81">
        <f>20.8709 * CHOOSE(CONTROL!$C$32, $C$9, 100%, $E$9)</f>
        <v>20.870899999999999</v>
      </c>
      <c r="J630" s="81">
        <f>20.8898 * CHOOSE(CONTROL!$C$32, $C$9, 100%, $E$9)</f>
        <v>20.889800000000001</v>
      </c>
      <c r="K630" s="81">
        <f>20.8709 * CHOOSE(CONTROL!$C$32, $C$9, 100%, $E$9)</f>
        <v>20.870899999999999</v>
      </c>
      <c r="L630" s="81">
        <f>11.6059 * CHOOSE(CONTROL!$C$32, $C$9, 100%, $E$9)</f>
        <v>11.6059</v>
      </c>
      <c r="M630" s="81">
        <f>11.5869 * CHOOSE(CONTROL!$C$32, $C$9, 100%, $E$9)</f>
        <v>11.5869</v>
      </c>
      <c r="N630" s="81">
        <f>11.6059 * CHOOSE(CONTROL!$C$32, $C$9, 100%, $E$9)</f>
        <v>11.6059</v>
      </c>
      <c r="O630" s="81">
        <f>11.5869 * CHOOSE(CONTROL!$C$32, $C$9, 100%, $E$9)</f>
        <v>11.5869</v>
      </c>
    </row>
    <row r="631" spans="1:15" ht="15">
      <c r="A631" s="16">
        <v>60419</v>
      </c>
      <c r="B631" s="80">
        <f>9.841 * CHOOSE(CONTROL!$C$32, $C$9, 100%, $E$9)</f>
        <v>9.8409999999999993</v>
      </c>
      <c r="C631" s="80">
        <f>9.841 * CHOOSE(CONTROL!$C$32, $C$9, 100%, $E$9)</f>
        <v>9.8409999999999993</v>
      </c>
      <c r="D631" s="80">
        <f>9.8256 * CHOOSE(CONTROL!$C$32, $C$9, 100%, $E$9)</f>
        <v>9.8255999999999997</v>
      </c>
      <c r="E631" s="81">
        <f>11.548 * CHOOSE(CONTROL!$C$32, $C$9, 100%, $E$9)</f>
        <v>11.548</v>
      </c>
      <c r="F631" s="81">
        <f>11.548 * CHOOSE(CONTROL!$C$32, $C$9, 100%, $E$9)</f>
        <v>11.548</v>
      </c>
      <c r="G631" s="81">
        <f>11.529 * CHOOSE(CONTROL!$C$32, $C$9, 100%, $E$9)</f>
        <v>11.529</v>
      </c>
      <c r="H631" s="81">
        <f>20.9333 * CHOOSE(CONTROL!$C$32, $C$9, 100%, $E$9)</f>
        <v>20.933299999999999</v>
      </c>
      <c r="I631" s="81">
        <f>20.9144 * CHOOSE(CONTROL!$C$32, $C$9, 100%, $E$9)</f>
        <v>20.914400000000001</v>
      </c>
      <c r="J631" s="81">
        <f>20.9333 * CHOOSE(CONTROL!$C$32, $C$9, 100%, $E$9)</f>
        <v>20.933299999999999</v>
      </c>
      <c r="K631" s="81">
        <f>20.9144 * CHOOSE(CONTROL!$C$32, $C$9, 100%, $E$9)</f>
        <v>20.914400000000001</v>
      </c>
      <c r="L631" s="81">
        <f>11.548 * CHOOSE(CONTROL!$C$32, $C$9, 100%, $E$9)</f>
        <v>11.548</v>
      </c>
      <c r="M631" s="81">
        <f>11.529 * CHOOSE(CONTROL!$C$32, $C$9, 100%, $E$9)</f>
        <v>11.529</v>
      </c>
      <c r="N631" s="81">
        <f>11.548 * CHOOSE(CONTROL!$C$32, $C$9, 100%, $E$9)</f>
        <v>11.548</v>
      </c>
      <c r="O631" s="81">
        <f>11.529 * CHOOSE(CONTROL!$C$32, $C$9, 100%, $E$9)</f>
        <v>11.529</v>
      </c>
    </row>
    <row r="632" spans="1:15" ht="15">
      <c r="A632" s="16">
        <v>60449</v>
      </c>
      <c r="B632" s="80">
        <f>9.9932 * CHOOSE(CONTROL!$C$32, $C$9, 100%, $E$9)</f>
        <v>9.9931999999999999</v>
      </c>
      <c r="C632" s="80">
        <f>9.9932 * CHOOSE(CONTROL!$C$32, $C$9, 100%, $E$9)</f>
        <v>9.9931999999999999</v>
      </c>
      <c r="D632" s="80">
        <f>9.9777 * CHOOSE(CONTROL!$C$32, $C$9, 100%, $E$9)</f>
        <v>9.9777000000000005</v>
      </c>
      <c r="E632" s="81">
        <f>11.735 * CHOOSE(CONTROL!$C$32, $C$9, 100%, $E$9)</f>
        <v>11.734999999999999</v>
      </c>
      <c r="F632" s="81">
        <f>11.735 * CHOOSE(CONTROL!$C$32, $C$9, 100%, $E$9)</f>
        <v>11.734999999999999</v>
      </c>
      <c r="G632" s="81">
        <f>11.716 * CHOOSE(CONTROL!$C$32, $C$9, 100%, $E$9)</f>
        <v>11.715999999999999</v>
      </c>
      <c r="H632" s="81">
        <f>20.9769 * CHOOSE(CONTROL!$C$32, $C$9, 100%, $E$9)</f>
        <v>20.976900000000001</v>
      </c>
      <c r="I632" s="81">
        <f>20.958 * CHOOSE(CONTROL!$C$32, $C$9, 100%, $E$9)</f>
        <v>20.957999999999998</v>
      </c>
      <c r="J632" s="81">
        <f>20.9769 * CHOOSE(CONTROL!$C$32, $C$9, 100%, $E$9)</f>
        <v>20.976900000000001</v>
      </c>
      <c r="K632" s="81">
        <f>20.958 * CHOOSE(CONTROL!$C$32, $C$9, 100%, $E$9)</f>
        <v>20.957999999999998</v>
      </c>
      <c r="L632" s="81">
        <f>11.735 * CHOOSE(CONTROL!$C$32, $C$9, 100%, $E$9)</f>
        <v>11.734999999999999</v>
      </c>
      <c r="M632" s="81">
        <f>11.716 * CHOOSE(CONTROL!$C$32, $C$9, 100%, $E$9)</f>
        <v>11.715999999999999</v>
      </c>
      <c r="N632" s="81">
        <f>11.735 * CHOOSE(CONTROL!$C$32, $C$9, 100%, $E$9)</f>
        <v>11.734999999999999</v>
      </c>
      <c r="O632" s="81">
        <f>11.716 * CHOOSE(CONTROL!$C$32, $C$9, 100%, $E$9)</f>
        <v>11.715999999999999</v>
      </c>
    </row>
    <row r="633" spans="1:15" ht="15">
      <c r="A633" s="16">
        <v>60480</v>
      </c>
      <c r="B633" s="80">
        <f>9.9999 * CHOOSE(CONTROL!$C$32, $C$9, 100%, $E$9)</f>
        <v>9.9999000000000002</v>
      </c>
      <c r="C633" s="80">
        <f>9.9999 * CHOOSE(CONTROL!$C$32, $C$9, 100%, $E$9)</f>
        <v>9.9999000000000002</v>
      </c>
      <c r="D633" s="80">
        <f>9.9844 * CHOOSE(CONTROL!$C$32, $C$9, 100%, $E$9)</f>
        <v>9.9844000000000008</v>
      </c>
      <c r="E633" s="81">
        <f>11.5532 * CHOOSE(CONTROL!$C$32, $C$9, 100%, $E$9)</f>
        <v>11.5532</v>
      </c>
      <c r="F633" s="81">
        <f>11.5532 * CHOOSE(CONTROL!$C$32, $C$9, 100%, $E$9)</f>
        <v>11.5532</v>
      </c>
      <c r="G633" s="81">
        <f>11.5343 * CHOOSE(CONTROL!$C$32, $C$9, 100%, $E$9)</f>
        <v>11.5343</v>
      </c>
      <c r="H633" s="81">
        <f>21.0206 * CHOOSE(CONTROL!$C$32, $C$9, 100%, $E$9)</f>
        <v>21.020600000000002</v>
      </c>
      <c r="I633" s="81">
        <f>21.0017 * CHOOSE(CONTROL!$C$32, $C$9, 100%, $E$9)</f>
        <v>21.0017</v>
      </c>
      <c r="J633" s="81">
        <f>21.0206 * CHOOSE(CONTROL!$C$32, $C$9, 100%, $E$9)</f>
        <v>21.020600000000002</v>
      </c>
      <c r="K633" s="81">
        <f>21.0017 * CHOOSE(CONTROL!$C$32, $C$9, 100%, $E$9)</f>
        <v>21.0017</v>
      </c>
      <c r="L633" s="81">
        <f>11.5532 * CHOOSE(CONTROL!$C$32, $C$9, 100%, $E$9)</f>
        <v>11.5532</v>
      </c>
      <c r="M633" s="81">
        <f>11.5343 * CHOOSE(CONTROL!$C$32, $C$9, 100%, $E$9)</f>
        <v>11.5343</v>
      </c>
      <c r="N633" s="81">
        <f>11.5532 * CHOOSE(CONTROL!$C$32, $C$9, 100%, $E$9)</f>
        <v>11.5532</v>
      </c>
      <c r="O633" s="81">
        <f>11.5343 * CHOOSE(CONTROL!$C$32, $C$9, 100%, $E$9)</f>
        <v>11.5343</v>
      </c>
    </row>
    <row r="634" spans="1:15" ht="15">
      <c r="A634" s="16">
        <v>60511</v>
      </c>
      <c r="B634" s="80">
        <f>9.9968 * CHOOSE(CONTROL!$C$32, $C$9, 100%, $E$9)</f>
        <v>9.9968000000000004</v>
      </c>
      <c r="C634" s="80">
        <f>9.9968 * CHOOSE(CONTROL!$C$32, $C$9, 100%, $E$9)</f>
        <v>9.9968000000000004</v>
      </c>
      <c r="D634" s="80">
        <f>9.9814 * CHOOSE(CONTROL!$C$32, $C$9, 100%, $E$9)</f>
        <v>9.9814000000000007</v>
      </c>
      <c r="E634" s="81">
        <f>11.5304 * CHOOSE(CONTROL!$C$32, $C$9, 100%, $E$9)</f>
        <v>11.5304</v>
      </c>
      <c r="F634" s="81">
        <f>11.5304 * CHOOSE(CONTROL!$C$32, $C$9, 100%, $E$9)</f>
        <v>11.5304</v>
      </c>
      <c r="G634" s="81">
        <f>11.5114 * CHOOSE(CONTROL!$C$32, $C$9, 100%, $E$9)</f>
        <v>11.5114</v>
      </c>
      <c r="H634" s="81">
        <f>21.0644 * CHOOSE(CONTROL!$C$32, $C$9, 100%, $E$9)</f>
        <v>21.064399999999999</v>
      </c>
      <c r="I634" s="81">
        <f>21.0455 * CHOOSE(CONTROL!$C$32, $C$9, 100%, $E$9)</f>
        <v>21.045500000000001</v>
      </c>
      <c r="J634" s="81">
        <f>21.0644 * CHOOSE(CONTROL!$C$32, $C$9, 100%, $E$9)</f>
        <v>21.064399999999999</v>
      </c>
      <c r="K634" s="81">
        <f>21.0455 * CHOOSE(CONTROL!$C$32, $C$9, 100%, $E$9)</f>
        <v>21.045500000000001</v>
      </c>
      <c r="L634" s="81">
        <f>11.5304 * CHOOSE(CONTROL!$C$32, $C$9, 100%, $E$9)</f>
        <v>11.5304</v>
      </c>
      <c r="M634" s="81">
        <f>11.5114 * CHOOSE(CONTROL!$C$32, $C$9, 100%, $E$9)</f>
        <v>11.5114</v>
      </c>
      <c r="N634" s="81">
        <f>11.5304 * CHOOSE(CONTROL!$C$32, $C$9, 100%, $E$9)</f>
        <v>11.5304</v>
      </c>
      <c r="O634" s="81">
        <f>11.5114 * CHOOSE(CONTROL!$C$32, $C$9, 100%, $E$9)</f>
        <v>11.5114</v>
      </c>
    </row>
    <row r="635" spans="1:15" ht="15">
      <c r="A635" s="16">
        <v>60541</v>
      </c>
      <c r="B635" s="80">
        <f>10.0114 * CHOOSE(CONTROL!$C$32, $C$9, 100%, $E$9)</f>
        <v>10.0114</v>
      </c>
      <c r="C635" s="80">
        <f>10.0114 * CHOOSE(CONTROL!$C$32, $C$9, 100%, $E$9)</f>
        <v>10.0114</v>
      </c>
      <c r="D635" s="80">
        <f>10.0008 * CHOOSE(CONTROL!$C$32, $C$9, 100%, $E$9)</f>
        <v>10.0008</v>
      </c>
      <c r="E635" s="81">
        <f>11.5998 * CHOOSE(CONTROL!$C$32, $C$9, 100%, $E$9)</f>
        <v>11.5998</v>
      </c>
      <c r="F635" s="81">
        <f>11.5998 * CHOOSE(CONTROL!$C$32, $C$9, 100%, $E$9)</f>
        <v>11.5998</v>
      </c>
      <c r="G635" s="81">
        <f>11.5867 * CHOOSE(CONTROL!$C$32, $C$9, 100%, $E$9)</f>
        <v>11.5867</v>
      </c>
      <c r="H635" s="81">
        <f>21.1083 * CHOOSE(CONTROL!$C$32, $C$9, 100%, $E$9)</f>
        <v>21.1083</v>
      </c>
      <c r="I635" s="81">
        <f>21.0952 * CHOOSE(CONTROL!$C$32, $C$9, 100%, $E$9)</f>
        <v>21.095199999999998</v>
      </c>
      <c r="J635" s="81">
        <f>21.1083 * CHOOSE(CONTROL!$C$32, $C$9, 100%, $E$9)</f>
        <v>21.1083</v>
      </c>
      <c r="K635" s="81">
        <f>21.0952 * CHOOSE(CONTROL!$C$32, $C$9, 100%, $E$9)</f>
        <v>21.095199999999998</v>
      </c>
      <c r="L635" s="81">
        <f>11.5998 * CHOOSE(CONTROL!$C$32, $C$9, 100%, $E$9)</f>
        <v>11.5998</v>
      </c>
      <c r="M635" s="81">
        <f>11.5867 * CHOOSE(CONTROL!$C$32, $C$9, 100%, $E$9)</f>
        <v>11.5867</v>
      </c>
      <c r="N635" s="81">
        <f>11.5998 * CHOOSE(CONTROL!$C$32, $C$9, 100%, $E$9)</f>
        <v>11.5998</v>
      </c>
      <c r="O635" s="81">
        <f>11.5867 * CHOOSE(CONTROL!$C$32, $C$9, 100%, $E$9)</f>
        <v>11.5867</v>
      </c>
    </row>
    <row r="636" spans="1:15" ht="15">
      <c r="A636" s="16">
        <v>60572</v>
      </c>
      <c r="B636" s="80">
        <f>10.0144 * CHOOSE(CONTROL!$C$32, $C$9, 100%, $E$9)</f>
        <v>10.0144</v>
      </c>
      <c r="C636" s="80">
        <f>10.0144 * CHOOSE(CONTROL!$C$32, $C$9, 100%, $E$9)</f>
        <v>10.0144</v>
      </c>
      <c r="D636" s="80">
        <f>10.0038 * CHOOSE(CONTROL!$C$32, $C$9, 100%, $E$9)</f>
        <v>10.0038</v>
      </c>
      <c r="E636" s="81">
        <f>11.6434 * CHOOSE(CONTROL!$C$32, $C$9, 100%, $E$9)</f>
        <v>11.6434</v>
      </c>
      <c r="F636" s="81">
        <f>11.6434 * CHOOSE(CONTROL!$C$32, $C$9, 100%, $E$9)</f>
        <v>11.6434</v>
      </c>
      <c r="G636" s="81">
        <f>11.6303 * CHOOSE(CONTROL!$C$32, $C$9, 100%, $E$9)</f>
        <v>11.6303</v>
      </c>
      <c r="H636" s="81">
        <f>21.1523 * CHOOSE(CONTROL!$C$32, $C$9, 100%, $E$9)</f>
        <v>21.1523</v>
      </c>
      <c r="I636" s="81">
        <f>21.1392 * CHOOSE(CONTROL!$C$32, $C$9, 100%, $E$9)</f>
        <v>21.139199999999999</v>
      </c>
      <c r="J636" s="81">
        <f>21.1523 * CHOOSE(CONTROL!$C$32, $C$9, 100%, $E$9)</f>
        <v>21.1523</v>
      </c>
      <c r="K636" s="81">
        <f>21.1392 * CHOOSE(CONTROL!$C$32, $C$9, 100%, $E$9)</f>
        <v>21.139199999999999</v>
      </c>
      <c r="L636" s="81">
        <f>11.6434 * CHOOSE(CONTROL!$C$32, $C$9, 100%, $E$9)</f>
        <v>11.6434</v>
      </c>
      <c r="M636" s="81">
        <f>11.6303 * CHOOSE(CONTROL!$C$32, $C$9, 100%, $E$9)</f>
        <v>11.6303</v>
      </c>
      <c r="N636" s="81">
        <f>11.6434 * CHOOSE(CONTROL!$C$32, $C$9, 100%, $E$9)</f>
        <v>11.6434</v>
      </c>
      <c r="O636" s="81">
        <f>11.6303 * CHOOSE(CONTROL!$C$32, $C$9, 100%, $E$9)</f>
        <v>11.6303</v>
      </c>
    </row>
    <row r="637" spans="1:15" ht="15">
      <c r="A637" s="16">
        <v>60602</v>
      </c>
      <c r="B637" s="80">
        <f>10.0144 * CHOOSE(CONTROL!$C$32, $C$9, 100%, $E$9)</f>
        <v>10.0144</v>
      </c>
      <c r="C637" s="80">
        <f>10.0144 * CHOOSE(CONTROL!$C$32, $C$9, 100%, $E$9)</f>
        <v>10.0144</v>
      </c>
      <c r="D637" s="80">
        <f>10.0038 * CHOOSE(CONTROL!$C$32, $C$9, 100%, $E$9)</f>
        <v>10.0038</v>
      </c>
      <c r="E637" s="81">
        <f>11.5398 * CHOOSE(CONTROL!$C$32, $C$9, 100%, $E$9)</f>
        <v>11.5398</v>
      </c>
      <c r="F637" s="81">
        <f>11.5398 * CHOOSE(CONTROL!$C$32, $C$9, 100%, $E$9)</f>
        <v>11.5398</v>
      </c>
      <c r="G637" s="81">
        <f>11.5267 * CHOOSE(CONTROL!$C$32, $C$9, 100%, $E$9)</f>
        <v>11.5267</v>
      </c>
      <c r="H637" s="81">
        <f>21.1964 * CHOOSE(CONTROL!$C$32, $C$9, 100%, $E$9)</f>
        <v>21.196400000000001</v>
      </c>
      <c r="I637" s="81">
        <f>21.1833 * CHOOSE(CONTROL!$C$32, $C$9, 100%, $E$9)</f>
        <v>21.183299999999999</v>
      </c>
      <c r="J637" s="81">
        <f>21.1964 * CHOOSE(CONTROL!$C$32, $C$9, 100%, $E$9)</f>
        <v>21.196400000000001</v>
      </c>
      <c r="K637" s="81">
        <f>21.1833 * CHOOSE(CONTROL!$C$32, $C$9, 100%, $E$9)</f>
        <v>21.183299999999999</v>
      </c>
      <c r="L637" s="81">
        <f>11.5398 * CHOOSE(CONTROL!$C$32, $C$9, 100%, $E$9)</f>
        <v>11.5398</v>
      </c>
      <c r="M637" s="81">
        <f>11.5267 * CHOOSE(CONTROL!$C$32, $C$9, 100%, $E$9)</f>
        <v>11.5267</v>
      </c>
      <c r="N637" s="81">
        <f>11.5398 * CHOOSE(CONTROL!$C$32, $C$9, 100%, $E$9)</f>
        <v>11.5398</v>
      </c>
      <c r="O637" s="81">
        <f>11.5267 * CHOOSE(CONTROL!$C$32, $C$9, 100%, $E$9)</f>
        <v>11.5267</v>
      </c>
    </row>
    <row r="638" spans="1:15" ht="15">
      <c r="A638" s="16">
        <v>60633</v>
      </c>
      <c r="B638" s="80">
        <f>10.074 * CHOOSE(CONTROL!$C$32, $C$9, 100%, $E$9)</f>
        <v>10.074</v>
      </c>
      <c r="C638" s="80">
        <f>10.074 * CHOOSE(CONTROL!$C$32, $C$9, 100%, $E$9)</f>
        <v>10.074</v>
      </c>
      <c r="D638" s="80">
        <f>10.0599 * CHOOSE(CONTROL!$C$32, $C$9, 100%, $E$9)</f>
        <v>10.059900000000001</v>
      </c>
      <c r="E638" s="81">
        <f>11.6826 * CHOOSE(CONTROL!$C$32, $C$9, 100%, $E$9)</f>
        <v>11.682600000000001</v>
      </c>
      <c r="F638" s="81">
        <f>11.6826 * CHOOSE(CONTROL!$C$32, $C$9, 100%, $E$9)</f>
        <v>11.682600000000001</v>
      </c>
      <c r="G638" s="81">
        <f>11.6652 * CHOOSE(CONTROL!$C$32, $C$9, 100%, $E$9)</f>
        <v>11.6652</v>
      </c>
      <c r="H638" s="81">
        <f>21.1924 * CHOOSE(CONTROL!$C$32, $C$9, 100%, $E$9)</f>
        <v>21.192399999999999</v>
      </c>
      <c r="I638" s="81">
        <f>21.1749 * CHOOSE(CONTROL!$C$32, $C$9, 100%, $E$9)</f>
        <v>21.174900000000001</v>
      </c>
      <c r="J638" s="81">
        <f>21.1924 * CHOOSE(CONTROL!$C$32, $C$9, 100%, $E$9)</f>
        <v>21.192399999999999</v>
      </c>
      <c r="K638" s="81">
        <f>21.1749 * CHOOSE(CONTROL!$C$32, $C$9, 100%, $E$9)</f>
        <v>21.174900000000001</v>
      </c>
      <c r="L638" s="81">
        <f>11.6826 * CHOOSE(CONTROL!$C$32, $C$9, 100%, $E$9)</f>
        <v>11.682600000000001</v>
      </c>
      <c r="M638" s="81">
        <f>11.6652 * CHOOSE(CONTROL!$C$32, $C$9, 100%, $E$9)</f>
        <v>11.6652</v>
      </c>
      <c r="N638" s="81">
        <f>11.6826 * CHOOSE(CONTROL!$C$32, $C$9, 100%, $E$9)</f>
        <v>11.682600000000001</v>
      </c>
      <c r="O638" s="81">
        <f>11.6652 * CHOOSE(CONTROL!$C$32, $C$9, 100%, $E$9)</f>
        <v>11.6652</v>
      </c>
    </row>
    <row r="639" spans="1:15" ht="15">
      <c r="A639" s="16">
        <v>60664</v>
      </c>
      <c r="B639" s="80">
        <f>10.071 * CHOOSE(CONTROL!$C$32, $C$9, 100%, $E$9)</f>
        <v>10.071</v>
      </c>
      <c r="C639" s="80">
        <f>10.071 * CHOOSE(CONTROL!$C$32, $C$9, 100%, $E$9)</f>
        <v>10.071</v>
      </c>
      <c r="D639" s="80">
        <f>10.0568 * CHOOSE(CONTROL!$C$32, $C$9, 100%, $E$9)</f>
        <v>10.056800000000001</v>
      </c>
      <c r="E639" s="81">
        <f>11.4799 * CHOOSE(CONTROL!$C$32, $C$9, 100%, $E$9)</f>
        <v>11.479900000000001</v>
      </c>
      <c r="F639" s="81">
        <f>11.4799 * CHOOSE(CONTROL!$C$32, $C$9, 100%, $E$9)</f>
        <v>11.479900000000001</v>
      </c>
      <c r="G639" s="81">
        <f>11.4624 * CHOOSE(CONTROL!$C$32, $C$9, 100%, $E$9)</f>
        <v>11.462400000000001</v>
      </c>
      <c r="H639" s="81">
        <f>21.2366 * CHOOSE(CONTROL!$C$32, $C$9, 100%, $E$9)</f>
        <v>21.236599999999999</v>
      </c>
      <c r="I639" s="81">
        <f>21.2191 * CHOOSE(CONTROL!$C$32, $C$9, 100%, $E$9)</f>
        <v>21.219100000000001</v>
      </c>
      <c r="J639" s="81">
        <f>21.2366 * CHOOSE(CONTROL!$C$32, $C$9, 100%, $E$9)</f>
        <v>21.236599999999999</v>
      </c>
      <c r="K639" s="81">
        <f>21.2191 * CHOOSE(CONTROL!$C$32, $C$9, 100%, $E$9)</f>
        <v>21.219100000000001</v>
      </c>
      <c r="L639" s="81">
        <f>11.4799 * CHOOSE(CONTROL!$C$32, $C$9, 100%, $E$9)</f>
        <v>11.479900000000001</v>
      </c>
      <c r="M639" s="81">
        <f>11.4624 * CHOOSE(CONTROL!$C$32, $C$9, 100%, $E$9)</f>
        <v>11.462400000000001</v>
      </c>
      <c r="N639" s="81">
        <f>11.4799 * CHOOSE(CONTROL!$C$32, $C$9, 100%, $E$9)</f>
        <v>11.479900000000001</v>
      </c>
      <c r="O639" s="81">
        <f>11.4624 * CHOOSE(CONTROL!$C$32, $C$9, 100%, $E$9)</f>
        <v>11.462400000000001</v>
      </c>
    </row>
    <row r="640" spans="1:15" ht="15">
      <c r="A640" s="16">
        <v>60692</v>
      </c>
      <c r="B640" s="80">
        <f>10.068 * CHOOSE(CONTROL!$C$32, $C$9, 100%, $E$9)</f>
        <v>10.068</v>
      </c>
      <c r="C640" s="80">
        <f>10.068 * CHOOSE(CONTROL!$C$32, $C$9, 100%, $E$9)</f>
        <v>10.068</v>
      </c>
      <c r="D640" s="80">
        <f>10.0538 * CHOOSE(CONTROL!$C$32, $C$9, 100%, $E$9)</f>
        <v>10.053800000000001</v>
      </c>
      <c r="E640" s="81">
        <f>11.6359 * CHOOSE(CONTROL!$C$32, $C$9, 100%, $E$9)</f>
        <v>11.635899999999999</v>
      </c>
      <c r="F640" s="81">
        <f>11.6359 * CHOOSE(CONTROL!$C$32, $C$9, 100%, $E$9)</f>
        <v>11.635899999999999</v>
      </c>
      <c r="G640" s="81">
        <f>11.6185 * CHOOSE(CONTROL!$C$32, $C$9, 100%, $E$9)</f>
        <v>11.618499999999999</v>
      </c>
      <c r="H640" s="81">
        <f>21.2808 * CHOOSE(CONTROL!$C$32, $C$9, 100%, $E$9)</f>
        <v>21.280799999999999</v>
      </c>
      <c r="I640" s="81">
        <f>21.2633 * CHOOSE(CONTROL!$C$32, $C$9, 100%, $E$9)</f>
        <v>21.263300000000001</v>
      </c>
      <c r="J640" s="81">
        <f>21.2808 * CHOOSE(CONTROL!$C$32, $C$9, 100%, $E$9)</f>
        <v>21.280799999999999</v>
      </c>
      <c r="K640" s="81">
        <f>21.2633 * CHOOSE(CONTROL!$C$32, $C$9, 100%, $E$9)</f>
        <v>21.263300000000001</v>
      </c>
      <c r="L640" s="81">
        <f>11.6359 * CHOOSE(CONTROL!$C$32, $C$9, 100%, $E$9)</f>
        <v>11.635899999999999</v>
      </c>
      <c r="M640" s="81">
        <f>11.6185 * CHOOSE(CONTROL!$C$32, $C$9, 100%, $E$9)</f>
        <v>11.618499999999999</v>
      </c>
      <c r="N640" s="81">
        <f>11.6359 * CHOOSE(CONTROL!$C$32, $C$9, 100%, $E$9)</f>
        <v>11.635899999999999</v>
      </c>
      <c r="O640" s="81">
        <f>11.6185 * CHOOSE(CONTROL!$C$32, $C$9, 100%, $E$9)</f>
        <v>11.618499999999999</v>
      </c>
    </row>
    <row r="641" spans="1:15" ht="15">
      <c r="A641" s="16">
        <v>60723</v>
      </c>
      <c r="B641" s="80">
        <f>10.0707 * CHOOSE(CONTROL!$C$32, $C$9, 100%, $E$9)</f>
        <v>10.0707</v>
      </c>
      <c r="C641" s="80">
        <f>10.0707 * CHOOSE(CONTROL!$C$32, $C$9, 100%, $E$9)</f>
        <v>10.0707</v>
      </c>
      <c r="D641" s="80">
        <f>10.0566 * CHOOSE(CONTROL!$C$32, $C$9, 100%, $E$9)</f>
        <v>10.0566</v>
      </c>
      <c r="E641" s="81">
        <f>11.8016 * CHOOSE(CONTROL!$C$32, $C$9, 100%, $E$9)</f>
        <v>11.801600000000001</v>
      </c>
      <c r="F641" s="81">
        <f>11.8016 * CHOOSE(CONTROL!$C$32, $C$9, 100%, $E$9)</f>
        <v>11.801600000000001</v>
      </c>
      <c r="G641" s="81">
        <f>11.7841 * CHOOSE(CONTROL!$C$32, $C$9, 100%, $E$9)</f>
        <v>11.7841</v>
      </c>
      <c r="H641" s="81">
        <f>21.3251 * CHOOSE(CONTROL!$C$32, $C$9, 100%, $E$9)</f>
        <v>21.325099999999999</v>
      </c>
      <c r="I641" s="81">
        <f>21.3077 * CHOOSE(CONTROL!$C$32, $C$9, 100%, $E$9)</f>
        <v>21.307700000000001</v>
      </c>
      <c r="J641" s="81">
        <f>21.3251 * CHOOSE(CONTROL!$C$32, $C$9, 100%, $E$9)</f>
        <v>21.325099999999999</v>
      </c>
      <c r="K641" s="81">
        <f>21.3077 * CHOOSE(CONTROL!$C$32, $C$9, 100%, $E$9)</f>
        <v>21.307700000000001</v>
      </c>
      <c r="L641" s="81">
        <f>11.8016 * CHOOSE(CONTROL!$C$32, $C$9, 100%, $E$9)</f>
        <v>11.801600000000001</v>
      </c>
      <c r="M641" s="81">
        <f>11.7841 * CHOOSE(CONTROL!$C$32, $C$9, 100%, $E$9)</f>
        <v>11.7841</v>
      </c>
      <c r="N641" s="81">
        <f>11.8016 * CHOOSE(CONTROL!$C$32, $C$9, 100%, $E$9)</f>
        <v>11.801600000000001</v>
      </c>
      <c r="O641" s="81">
        <f>11.7841 * CHOOSE(CONTROL!$C$32, $C$9, 100%, $E$9)</f>
        <v>11.7841</v>
      </c>
    </row>
    <row r="642" spans="1:15" ht="15">
      <c r="A642" s="16">
        <v>60753</v>
      </c>
      <c r="B642" s="80">
        <f>10.0707 * CHOOSE(CONTROL!$C$32, $C$9, 100%, $E$9)</f>
        <v>10.0707</v>
      </c>
      <c r="C642" s="80">
        <f>10.0707 * CHOOSE(CONTROL!$C$32, $C$9, 100%, $E$9)</f>
        <v>10.0707</v>
      </c>
      <c r="D642" s="80">
        <f>10.0501 * CHOOSE(CONTROL!$C$32, $C$9, 100%, $E$9)</f>
        <v>10.0501</v>
      </c>
      <c r="E642" s="81">
        <f>11.8653 * CHOOSE(CONTROL!$C$32, $C$9, 100%, $E$9)</f>
        <v>11.8653</v>
      </c>
      <c r="F642" s="81">
        <f>11.8653 * CHOOSE(CONTROL!$C$32, $C$9, 100%, $E$9)</f>
        <v>11.8653</v>
      </c>
      <c r="G642" s="81">
        <f>11.84 * CHOOSE(CONTROL!$C$32, $C$9, 100%, $E$9)</f>
        <v>11.84</v>
      </c>
      <c r="H642" s="81">
        <f>21.3696 * CHOOSE(CONTROL!$C$32, $C$9, 100%, $E$9)</f>
        <v>21.369599999999998</v>
      </c>
      <c r="I642" s="81">
        <f>21.3443 * CHOOSE(CONTROL!$C$32, $C$9, 100%, $E$9)</f>
        <v>21.3443</v>
      </c>
      <c r="J642" s="81">
        <f>21.3696 * CHOOSE(CONTROL!$C$32, $C$9, 100%, $E$9)</f>
        <v>21.369599999999998</v>
      </c>
      <c r="K642" s="81">
        <f>21.3443 * CHOOSE(CONTROL!$C$32, $C$9, 100%, $E$9)</f>
        <v>21.3443</v>
      </c>
      <c r="L642" s="81">
        <f>11.8653 * CHOOSE(CONTROL!$C$32, $C$9, 100%, $E$9)</f>
        <v>11.8653</v>
      </c>
      <c r="M642" s="81">
        <f>11.84 * CHOOSE(CONTROL!$C$32, $C$9, 100%, $E$9)</f>
        <v>11.84</v>
      </c>
      <c r="N642" s="81">
        <f>11.8653 * CHOOSE(CONTROL!$C$32, $C$9, 100%, $E$9)</f>
        <v>11.8653</v>
      </c>
      <c r="O642" s="81">
        <f>11.84 * CHOOSE(CONTROL!$C$32, $C$9, 100%, $E$9)</f>
        <v>11.84</v>
      </c>
    </row>
    <row r="643" spans="1:15" ht="15">
      <c r="A643" s="16">
        <v>60784</v>
      </c>
      <c r="B643" s="80">
        <f>10.0768 * CHOOSE(CONTROL!$C$32, $C$9, 100%, $E$9)</f>
        <v>10.0768</v>
      </c>
      <c r="C643" s="80">
        <f>10.0768 * CHOOSE(CONTROL!$C$32, $C$9, 100%, $E$9)</f>
        <v>10.0768</v>
      </c>
      <c r="D643" s="80">
        <f>10.0562 * CHOOSE(CONTROL!$C$32, $C$9, 100%, $E$9)</f>
        <v>10.0562</v>
      </c>
      <c r="E643" s="81">
        <f>11.8058 * CHOOSE(CONTROL!$C$32, $C$9, 100%, $E$9)</f>
        <v>11.8058</v>
      </c>
      <c r="F643" s="81">
        <f>11.8058 * CHOOSE(CONTROL!$C$32, $C$9, 100%, $E$9)</f>
        <v>11.8058</v>
      </c>
      <c r="G643" s="81">
        <f>11.7806 * CHOOSE(CONTROL!$C$32, $C$9, 100%, $E$9)</f>
        <v>11.7806</v>
      </c>
      <c r="H643" s="81">
        <f>21.4141 * CHOOSE(CONTROL!$C$32, $C$9, 100%, $E$9)</f>
        <v>21.414100000000001</v>
      </c>
      <c r="I643" s="81">
        <f>21.3888 * CHOOSE(CONTROL!$C$32, $C$9, 100%, $E$9)</f>
        <v>21.3888</v>
      </c>
      <c r="J643" s="81">
        <f>21.4141 * CHOOSE(CONTROL!$C$32, $C$9, 100%, $E$9)</f>
        <v>21.414100000000001</v>
      </c>
      <c r="K643" s="81">
        <f>21.3888 * CHOOSE(CONTROL!$C$32, $C$9, 100%, $E$9)</f>
        <v>21.3888</v>
      </c>
      <c r="L643" s="81">
        <f>11.8058 * CHOOSE(CONTROL!$C$32, $C$9, 100%, $E$9)</f>
        <v>11.8058</v>
      </c>
      <c r="M643" s="81">
        <f>11.7806 * CHOOSE(CONTROL!$C$32, $C$9, 100%, $E$9)</f>
        <v>11.7806</v>
      </c>
      <c r="N643" s="81">
        <f>11.8058 * CHOOSE(CONTROL!$C$32, $C$9, 100%, $E$9)</f>
        <v>11.8058</v>
      </c>
      <c r="O643" s="81">
        <f>11.7806 * CHOOSE(CONTROL!$C$32, $C$9, 100%, $E$9)</f>
        <v>11.7806</v>
      </c>
    </row>
    <row r="644" spans="1:15" ht="15">
      <c r="A644" s="16">
        <v>60814</v>
      </c>
      <c r="B644" s="80">
        <f>10.2324 * CHOOSE(CONTROL!$C$32, $C$9, 100%, $E$9)</f>
        <v>10.2324</v>
      </c>
      <c r="C644" s="80">
        <f>10.2324 * CHOOSE(CONTROL!$C$32, $C$9, 100%, $E$9)</f>
        <v>10.2324</v>
      </c>
      <c r="D644" s="80">
        <f>10.2117 * CHOOSE(CONTROL!$C$32, $C$9, 100%, $E$9)</f>
        <v>10.2117</v>
      </c>
      <c r="E644" s="81">
        <f>11.9967 * CHOOSE(CONTROL!$C$32, $C$9, 100%, $E$9)</f>
        <v>11.996700000000001</v>
      </c>
      <c r="F644" s="81">
        <f>11.9967 * CHOOSE(CONTROL!$C$32, $C$9, 100%, $E$9)</f>
        <v>11.996700000000001</v>
      </c>
      <c r="G644" s="81">
        <f>11.9715 * CHOOSE(CONTROL!$C$32, $C$9, 100%, $E$9)</f>
        <v>11.971500000000001</v>
      </c>
      <c r="H644" s="81">
        <f>21.4587 * CHOOSE(CONTROL!$C$32, $C$9, 100%, $E$9)</f>
        <v>21.4587</v>
      </c>
      <c r="I644" s="81">
        <f>21.4334 * CHOOSE(CONTROL!$C$32, $C$9, 100%, $E$9)</f>
        <v>21.433399999999999</v>
      </c>
      <c r="J644" s="81">
        <f>21.4587 * CHOOSE(CONTROL!$C$32, $C$9, 100%, $E$9)</f>
        <v>21.4587</v>
      </c>
      <c r="K644" s="81">
        <f>21.4334 * CHOOSE(CONTROL!$C$32, $C$9, 100%, $E$9)</f>
        <v>21.433399999999999</v>
      </c>
      <c r="L644" s="81">
        <f>11.9967 * CHOOSE(CONTROL!$C$32, $C$9, 100%, $E$9)</f>
        <v>11.996700000000001</v>
      </c>
      <c r="M644" s="81">
        <f>11.9715 * CHOOSE(CONTROL!$C$32, $C$9, 100%, $E$9)</f>
        <v>11.971500000000001</v>
      </c>
      <c r="N644" s="81">
        <f>11.9967 * CHOOSE(CONTROL!$C$32, $C$9, 100%, $E$9)</f>
        <v>11.996700000000001</v>
      </c>
      <c r="O644" s="81">
        <f>11.9715 * CHOOSE(CONTROL!$C$32, $C$9, 100%, $E$9)</f>
        <v>11.971500000000001</v>
      </c>
    </row>
    <row r="645" spans="1:15" ht="15">
      <c r="A645" s="16">
        <v>60845</v>
      </c>
      <c r="B645" s="80">
        <f>10.2391 * CHOOSE(CONTROL!$C$32, $C$9, 100%, $E$9)</f>
        <v>10.239100000000001</v>
      </c>
      <c r="C645" s="80">
        <f>10.2391 * CHOOSE(CONTROL!$C$32, $C$9, 100%, $E$9)</f>
        <v>10.239100000000001</v>
      </c>
      <c r="D645" s="80">
        <f>10.2184 * CHOOSE(CONTROL!$C$32, $C$9, 100%, $E$9)</f>
        <v>10.218400000000001</v>
      </c>
      <c r="E645" s="81">
        <f>11.8103 * CHOOSE(CONTROL!$C$32, $C$9, 100%, $E$9)</f>
        <v>11.8103</v>
      </c>
      <c r="F645" s="81">
        <f>11.8103 * CHOOSE(CONTROL!$C$32, $C$9, 100%, $E$9)</f>
        <v>11.8103</v>
      </c>
      <c r="G645" s="81">
        <f>11.785 * CHOOSE(CONTROL!$C$32, $C$9, 100%, $E$9)</f>
        <v>11.785</v>
      </c>
      <c r="H645" s="81">
        <f>21.5034 * CHOOSE(CONTROL!$C$32, $C$9, 100%, $E$9)</f>
        <v>21.503399999999999</v>
      </c>
      <c r="I645" s="81">
        <f>21.4781 * CHOOSE(CONTROL!$C$32, $C$9, 100%, $E$9)</f>
        <v>21.478100000000001</v>
      </c>
      <c r="J645" s="81">
        <f>21.5034 * CHOOSE(CONTROL!$C$32, $C$9, 100%, $E$9)</f>
        <v>21.503399999999999</v>
      </c>
      <c r="K645" s="81">
        <f>21.4781 * CHOOSE(CONTROL!$C$32, $C$9, 100%, $E$9)</f>
        <v>21.478100000000001</v>
      </c>
      <c r="L645" s="81">
        <f>11.8103 * CHOOSE(CONTROL!$C$32, $C$9, 100%, $E$9)</f>
        <v>11.8103</v>
      </c>
      <c r="M645" s="81">
        <f>11.785 * CHOOSE(CONTROL!$C$32, $C$9, 100%, $E$9)</f>
        <v>11.785</v>
      </c>
      <c r="N645" s="81">
        <f>11.8103 * CHOOSE(CONTROL!$C$32, $C$9, 100%, $E$9)</f>
        <v>11.8103</v>
      </c>
      <c r="O645" s="81">
        <f>11.785 * CHOOSE(CONTROL!$C$32, $C$9, 100%, $E$9)</f>
        <v>11.785</v>
      </c>
    </row>
    <row r="646" spans="1:15" ht="15">
      <c r="A646" s="16">
        <v>60876</v>
      </c>
      <c r="B646" s="80">
        <f>10.236 * CHOOSE(CONTROL!$C$32, $C$9, 100%, $E$9)</f>
        <v>10.236000000000001</v>
      </c>
      <c r="C646" s="80">
        <f>10.236 * CHOOSE(CONTROL!$C$32, $C$9, 100%, $E$9)</f>
        <v>10.236000000000001</v>
      </c>
      <c r="D646" s="80">
        <f>10.2154 * CHOOSE(CONTROL!$C$32, $C$9, 100%, $E$9)</f>
        <v>10.215400000000001</v>
      </c>
      <c r="E646" s="81">
        <f>11.7869 * CHOOSE(CONTROL!$C$32, $C$9, 100%, $E$9)</f>
        <v>11.786899999999999</v>
      </c>
      <c r="F646" s="81">
        <f>11.7869 * CHOOSE(CONTROL!$C$32, $C$9, 100%, $E$9)</f>
        <v>11.786899999999999</v>
      </c>
      <c r="G646" s="81">
        <f>11.7617 * CHOOSE(CONTROL!$C$32, $C$9, 100%, $E$9)</f>
        <v>11.761699999999999</v>
      </c>
      <c r="H646" s="81">
        <f>21.5482 * CHOOSE(CONTROL!$C$32, $C$9, 100%, $E$9)</f>
        <v>21.548200000000001</v>
      </c>
      <c r="I646" s="81">
        <f>21.5229 * CHOOSE(CONTROL!$C$32, $C$9, 100%, $E$9)</f>
        <v>21.5229</v>
      </c>
      <c r="J646" s="81">
        <f>21.5482 * CHOOSE(CONTROL!$C$32, $C$9, 100%, $E$9)</f>
        <v>21.548200000000001</v>
      </c>
      <c r="K646" s="81">
        <f>21.5229 * CHOOSE(CONTROL!$C$32, $C$9, 100%, $E$9)</f>
        <v>21.5229</v>
      </c>
      <c r="L646" s="81">
        <f>11.7869 * CHOOSE(CONTROL!$C$32, $C$9, 100%, $E$9)</f>
        <v>11.786899999999999</v>
      </c>
      <c r="M646" s="81">
        <f>11.7617 * CHOOSE(CONTROL!$C$32, $C$9, 100%, $E$9)</f>
        <v>11.761699999999999</v>
      </c>
      <c r="N646" s="81">
        <f>11.7869 * CHOOSE(CONTROL!$C$32, $C$9, 100%, $E$9)</f>
        <v>11.786899999999999</v>
      </c>
      <c r="O646" s="81">
        <f>11.7617 * CHOOSE(CONTROL!$C$32, $C$9, 100%, $E$9)</f>
        <v>11.761699999999999</v>
      </c>
    </row>
    <row r="647" spans="1:15" ht="15">
      <c r="A647" s="16">
        <v>60906</v>
      </c>
      <c r="B647" s="80">
        <f>10.2513 * CHOOSE(CONTROL!$C$32, $C$9, 100%, $E$9)</f>
        <v>10.251300000000001</v>
      </c>
      <c r="C647" s="80">
        <f>10.2513 * CHOOSE(CONTROL!$C$32, $C$9, 100%, $E$9)</f>
        <v>10.251300000000001</v>
      </c>
      <c r="D647" s="80">
        <f>10.2372 * CHOOSE(CONTROL!$C$32, $C$9, 100%, $E$9)</f>
        <v>10.2372</v>
      </c>
      <c r="E647" s="81">
        <f>11.8585 * CHOOSE(CONTROL!$C$32, $C$9, 100%, $E$9)</f>
        <v>11.858499999999999</v>
      </c>
      <c r="F647" s="81">
        <f>11.8585 * CHOOSE(CONTROL!$C$32, $C$9, 100%, $E$9)</f>
        <v>11.858499999999999</v>
      </c>
      <c r="G647" s="81">
        <f>11.841 * CHOOSE(CONTROL!$C$32, $C$9, 100%, $E$9)</f>
        <v>11.840999999999999</v>
      </c>
      <c r="H647" s="81">
        <f>21.5931 * CHOOSE(CONTROL!$C$32, $C$9, 100%, $E$9)</f>
        <v>21.5931</v>
      </c>
      <c r="I647" s="81">
        <f>21.5756 * CHOOSE(CONTROL!$C$32, $C$9, 100%, $E$9)</f>
        <v>21.575600000000001</v>
      </c>
      <c r="J647" s="81">
        <f>21.5931 * CHOOSE(CONTROL!$C$32, $C$9, 100%, $E$9)</f>
        <v>21.5931</v>
      </c>
      <c r="K647" s="81">
        <f>21.5756 * CHOOSE(CONTROL!$C$32, $C$9, 100%, $E$9)</f>
        <v>21.575600000000001</v>
      </c>
      <c r="L647" s="81">
        <f>11.8585 * CHOOSE(CONTROL!$C$32, $C$9, 100%, $E$9)</f>
        <v>11.858499999999999</v>
      </c>
      <c r="M647" s="81">
        <f>11.841 * CHOOSE(CONTROL!$C$32, $C$9, 100%, $E$9)</f>
        <v>11.840999999999999</v>
      </c>
      <c r="N647" s="81">
        <f>11.8585 * CHOOSE(CONTROL!$C$32, $C$9, 100%, $E$9)</f>
        <v>11.858499999999999</v>
      </c>
      <c r="O647" s="81">
        <f>11.841 * CHOOSE(CONTROL!$C$32, $C$9, 100%, $E$9)</f>
        <v>11.840999999999999</v>
      </c>
    </row>
    <row r="648" spans="1:15" ht="15">
      <c r="A648" s="16">
        <v>60937</v>
      </c>
      <c r="B648" s="80">
        <f>10.2544 * CHOOSE(CONTROL!$C$32, $C$9, 100%, $E$9)</f>
        <v>10.2544</v>
      </c>
      <c r="C648" s="80">
        <f>10.2544 * CHOOSE(CONTROL!$C$32, $C$9, 100%, $E$9)</f>
        <v>10.2544</v>
      </c>
      <c r="D648" s="80">
        <f>10.2402 * CHOOSE(CONTROL!$C$32, $C$9, 100%, $E$9)</f>
        <v>10.2402</v>
      </c>
      <c r="E648" s="81">
        <f>11.903 * CHOOSE(CONTROL!$C$32, $C$9, 100%, $E$9)</f>
        <v>11.903</v>
      </c>
      <c r="F648" s="81">
        <f>11.903 * CHOOSE(CONTROL!$C$32, $C$9, 100%, $E$9)</f>
        <v>11.903</v>
      </c>
      <c r="G648" s="81">
        <f>11.8856 * CHOOSE(CONTROL!$C$32, $C$9, 100%, $E$9)</f>
        <v>11.8856</v>
      </c>
      <c r="H648" s="81">
        <f>21.6381 * CHOOSE(CONTROL!$C$32, $C$9, 100%, $E$9)</f>
        <v>21.638100000000001</v>
      </c>
      <c r="I648" s="81">
        <f>21.6206 * CHOOSE(CONTROL!$C$32, $C$9, 100%, $E$9)</f>
        <v>21.6206</v>
      </c>
      <c r="J648" s="81">
        <f>21.6381 * CHOOSE(CONTROL!$C$32, $C$9, 100%, $E$9)</f>
        <v>21.638100000000001</v>
      </c>
      <c r="K648" s="81">
        <f>21.6206 * CHOOSE(CONTROL!$C$32, $C$9, 100%, $E$9)</f>
        <v>21.6206</v>
      </c>
      <c r="L648" s="81">
        <f>11.903 * CHOOSE(CONTROL!$C$32, $C$9, 100%, $E$9)</f>
        <v>11.903</v>
      </c>
      <c r="M648" s="81">
        <f>11.8856 * CHOOSE(CONTROL!$C$32, $C$9, 100%, $E$9)</f>
        <v>11.8856</v>
      </c>
      <c r="N648" s="81">
        <f>11.903 * CHOOSE(CONTROL!$C$32, $C$9, 100%, $E$9)</f>
        <v>11.903</v>
      </c>
      <c r="O648" s="81">
        <f>11.8856 * CHOOSE(CONTROL!$C$32, $C$9, 100%, $E$9)</f>
        <v>11.8856</v>
      </c>
    </row>
    <row r="649" spans="1:15" ht="15">
      <c r="A649" s="16">
        <v>60967</v>
      </c>
      <c r="B649" s="80">
        <f>10.2544 * CHOOSE(CONTROL!$C$32, $C$9, 100%, $E$9)</f>
        <v>10.2544</v>
      </c>
      <c r="C649" s="80">
        <f>10.2544 * CHOOSE(CONTROL!$C$32, $C$9, 100%, $E$9)</f>
        <v>10.2544</v>
      </c>
      <c r="D649" s="80">
        <f>10.2402 * CHOOSE(CONTROL!$C$32, $C$9, 100%, $E$9)</f>
        <v>10.2402</v>
      </c>
      <c r="E649" s="81">
        <f>11.7969 * CHOOSE(CONTROL!$C$32, $C$9, 100%, $E$9)</f>
        <v>11.796900000000001</v>
      </c>
      <c r="F649" s="81">
        <f>11.7969 * CHOOSE(CONTROL!$C$32, $C$9, 100%, $E$9)</f>
        <v>11.796900000000001</v>
      </c>
      <c r="G649" s="81">
        <f>11.7794 * CHOOSE(CONTROL!$C$32, $C$9, 100%, $E$9)</f>
        <v>11.779400000000001</v>
      </c>
      <c r="H649" s="81">
        <f>21.6832 * CHOOSE(CONTROL!$C$32, $C$9, 100%, $E$9)</f>
        <v>21.683199999999999</v>
      </c>
      <c r="I649" s="81">
        <f>21.6657 * CHOOSE(CONTROL!$C$32, $C$9, 100%, $E$9)</f>
        <v>21.665700000000001</v>
      </c>
      <c r="J649" s="81">
        <f>21.6832 * CHOOSE(CONTROL!$C$32, $C$9, 100%, $E$9)</f>
        <v>21.683199999999999</v>
      </c>
      <c r="K649" s="81">
        <f>21.6657 * CHOOSE(CONTROL!$C$32, $C$9, 100%, $E$9)</f>
        <v>21.665700000000001</v>
      </c>
      <c r="L649" s="81">
        <f>11.7969 * CHOOSE(CONTROL!$C$32, $C$9, 100%, $E$9)</f>
        <v>11.796900000000001</v>
      </c>
      <c r="M649" s="81">
        <f>11.7794 * CHOOSE(CONTROL!$C$32, $C$9, 100%, $E$9)</f>
        <v>11.779400000000001</v>
      </c>
      <c r="N649" s="81">
        <f>11.7969 * CHOOSE(CONTROL!$C$32, $C$9, 100%, $E$9)</f>
        <v>11.796900000000001</v>
      </c>
      <c r="O649" s="81">
        <f>11.7794 * CHOOSE(CONTROL!$C$32, $C$9, 100%, $E$9)</f>
        <v>11.779400000000001</v>
      </c>
    </row>
    <row r="650" spans="1:15" ht="15">
      <c r="A650" s="16">
        <v>60998</v>
      </c>
      <c r="B650" s="80">
        <f>10.3096 * CHOOSE(CONTROL!$C$32, $C$9, 100%, $E$9)</f>
        <v>10.3096</v>
      </c>
      <c r="C650" s="80">
        <f>10.3096 * CHOOSE(CONTROL!$C$32, $C$9, 100%, $E$9)</f>
        <v>10.3096</v>
      </c>
      <c r="D650" s="80">
        <f>10.2919 * CHOOSE(CONTROL!$C$32, $C$9, 100%, $E$9)</f>
        <v>10.2919</v>
      </c>
      <c r="E650" s="81">
        <f>11.9374 * CHOOSE(CONTROL!$C$32, $C$9, 100%, $E$9)</f>
        <v>11.9374</v>
      </c>
      <c r="F650" s="81">
        <f>11.9374 * CHOOSE(CONTROL!$C$32, $C$9, 100%, $E$9)</f>
        <v>11.9374</v>
      </c>
      <c r="G650" s="81">
        <f>11.9155 * CHOOSE(CONTROL!$C$32, $C$9, 100%, $E$9)</f>
        <v>11.9155</v>
      </c>
      <c r="H650" s="81">
        <f>21.6682 * CHOOSE(CONTROL!$C$32, $C$9, 100%, $E$9)</f>
        <v>21.668199999999999</v>
      </c>
      <c r="I650" s="81">
        <f>21.6463 * CHOOSE(CONTROL!$C$32, $C$9, 100%, $E$9)</f>
        <v>21.6463</v>
      </c>
      <c r="J650" s="81">
        <f>21.6682 * CHOOSE(CONTROL!$C$32, $C$9, 100%, $E$9)</f>
        <v>21.668199999999999</v>
      </c>
      <c r="K650" s="81">
        <f>21.6463 * CHOOSE(CONTROL!$C$32, $C$9, 100%, $E$9)</f>
        <v>21.6463</v>
      </c>
      <c r="L650" s="81">
        <f>11.9374 * CHOOSE(CONTROL!$C$32, $C$9, 100%, $E$9)</f>
        <v>11.9374</v>
      </c>
      <c r="M650" s="81">
        <f>11.9155 * CHOOSE(CONTROL!$C$32, $C$9, 100%, $E$9)</f>
        <v>11.9155</v>
      </c>
      <c r="N650" s="81">
        <f>11.9374 * CHOOSE(CONTROL!$C$32, $C$9, 100%, $E$9)</f>
        <v>11.9374</v>
      </c>
      <c r="O650" s="81">
        <f>11.9155 * CHOOSE(CONTROL!$C$32, $C$9, 100%, $E$9)</f>
        <v>11.9155</v>
      </c>
    </row>
    <row r="651" spans="1:15" ht="15">
      <c r="A651" s="16">
        <v>61029</v>
      </c>
      <c r="B651" s="80">
        <f>10.3066 * CHOOSE(CONTROL!$C$32, $C$9, 100%, $E$9)</f>
        <v>10.3066</v>
      </c>
      <c r="C651" s="80">
        <f>10.3066 * CHOOSE(CONTROL!$C$32, $C$9, 100%, $E$9)</f>
        <v>10.3066</v>
      </c>
      <c r="D651" s="80">
        <f>10.2889 * CHOOSE(CONTROL!$C$32, $C$9, 100%, $E$9)</f>
        <v>10.2889</v>
      </c>
      <c r="E651" s="81">
        <f>11.7297 * CHOOSE(CONTROL!$C$32, $C$9, 100%, $E$9)</f>
        <v>11.729699999999999</v>
      </c>
      <c r="F651" s="81">
        <f>11.7297 * CHOOSE(CONTROL!$C$32, $C$9, 100%, $E$9)</f>
        <v>11.729699999999999</v>
      </c>
      <c r="G651" s="81">
        <f>11.7078 * CHOOSE(CONTROL!$C$32, $C$9, 100%, $E$9)</f>
        <v>11.707800000000001</v>
      </c>
      <c r="H651" s="81">
        <f>21.7133 * CHOOSE(CONTROL!$C$32, $C$9, 100%, $E$9)</f>
        <v>21.7133</v>
      </c>
      <c r="I651" s="81">
        <f>21.6915 * CHOOSE(CONTROL!$C$32, $C$9, 100%, $E$9)</f>
        <v>21.691500000000001</v>
      </c>
      <c r="J651" s="81">
        <f>21.7133 * CHOOSE(CONTROL!$C$32, $C$9, 100%, $E$9)</f>
        <v>21.7133</v>
      </c>
      <c r="K651" s="81">
        <f>21.6915 * CHOOSE(CONTROL!$C$32, $C$9, 100%, $E$9)</f>
        <v>21.691500000000001</v>
      </c>
      <c r="L651" s="81">
        <f>11.7297 * CHOOSE(CONTROL!$C$32, $C$9, 100%, $E$9)</f>
        <v>11.729699999999999</v>
      </c>
      <c r="M651" s="81">
        <f>11.7078 * CHOOSE(CONTROL!$C$32, $C$9, 100%, $E$9)</f>
        <v>11.707800000000001</v>
      </c>
      <c r="N651" s="81">
        <f>11.7297 * CHOOSE(CONTROL!$C$32, $C$9, 100%, $E$9)</f>
        <v>11.729699999999999</v>
      </c>
      <c r="O651" s="81">
        <f>11.7078 * CHOOSE(CONTROL!$C$32, $C$9, 100%, $E$9)</f>
        <v>11.707800000000001</v>
      </c>
    </row>
    <row r="652" spans="1:15" ht="15">
      <c r="A652" s="16">
        <v>61057</v>
      </c>
      <c r="B652" s="80">
        <f>10.3035 * CHOOSE(CONTROL!$C$32, $C$9, 100%, $E$9)</f>
        <v>10.3035</v>
      </c>
      <c r="C652" s="80">
        <f>10.3035 * CHOOSE(CONTROL!$C$32, $C$9, 100%, $E$9)</f>
        <v>10.3035</v>
      </c>
      <c r="D652" s="80">
        <f>10.2858 * CHOOSE(CONTROL!$C$32, $C$9, 100%, $E$9)</f>
        <v>10.2858</v>
      </c>
      <c r="E652" s="81">
        <f>11.8896 * CHOOSE(CONTROL!$C$32, $C$9, 100%, $E$9)</f>
        <v>11.8896</v>
      </c>
      <c r="F652" s="81">
        <f>11.8896 * CHOOSE(CONTROL!$C$32, $C$9, 100%, $E$9)</f>
        <v>11.8896</v>
      </c>
      <c r="G652" s="81">
        <f>11.8678 * CHOOSE(CONTROL!$C$32, $C$9, 100%, $E$9)</f>
        <v>11.867800000000001</v>
      </c>
      <c r="H652" s="81">
        <f>21.7585 * CHOOSE(CONTROL!$C$32, $C$9, 100%, $E$9)</f>
        <v>21.758500000000002</v>
      </c>
      <c r="I652" s="81">
        <f>21.7367 * CHOOSE(CONTROL!$C$32, $C$9, 100%, $E$9)</f>
        <v>21.736699999999999</v>
      </c>
      <c r="J652" s="81">
        <f>21.7585 * CHOOSE(CONTROL!$C$32, $C$9, 100%, $E$9)</f>
        <v>21.758500000000002</v>
      </c>
      <c r="K652" s="81">
        <f>21.7367 * CHOOSE(CONTROL!$C$32, $C$9, 100%, $E$9)</f>
        <v>21.736699999999999</v>
      </c>
      <c r="L652" s="81">
        <f>11.8896 * CHOOSE(CONTROL!$C$32, $C$9, 100%, $E$9)</f>
        <v>11.8896</v>
      </c>
      <c r="M652" s="81">
        <f>11.8678 * CHOOSE(CONTROL!$C$32, $C$9, 100%, $E$9)</f>
        <v>11.867800000000001</v>
      </c>
      <c r="N652" s="81">
        <f>11.8896 * CHOOSE(CONTROL!$C$32, $C$9, 100%, $E$9)</f>
        <v>11.8896</v>
      </c>
      <c r="O652" s="81">
        <f>11.8678 * CHOOSE(CONTROL!$C$32, $C$9, 100%, $E$9)</f>
        <v>11.867800000000001</v>
      </c>
    </row>
    <row r="653" spans="1:15" ht="15">
      <c r="A653" s="16">
        <v>61088</v>
      </c>
      <c r="B653" s="80">
        <f>10.3065 * CHOOSE(CONTROL!$C$32, $C$9, 100%, $E$9)</f>
        <v>10.3065</v>
      </c>
      <c r="C653" s="80">
        <f>10.3065 * CHOOSE(CONTROL!$C$32, $C$9, 100%, $E$9)</f>
        <v>10.3065</v>
      </c>
      <c r="D653" s="80">
        <f>10.2888 * CHOOSE(CONTROL!$C$32, $C$9, 100%, $E$9)</f>
        <v>10.2888</v>
      </c>
      <c r="E653" s="81">
        <f>12.0594 * CHOOSE(CONTROL!$C$32, $C$9, 100%, $E$9)</f>
        <v>12.0594</v>
      </c>
      <c r="F653" s="81">
        <f>12.0594 * CHOOSE(CONTROL!$C$32, $C$9, 100%, $E$9)</f>
        <v>12.0594</v>
      </c>
      <c r="G653" s="81">
        <f>12.0376 * CHOOSE(CONTROL!$C$32, $C$9, 100%, $E$9)</f>
        <v>12.037599999999999</v>
      </c>
      <c r="H653" s="81">
        <f>21.8039 * CHOOSE(CONTROL!$C$32, $C$9, 100%, $E$9)</f>
        <v>21.803899999999999</v>
      </c>
      <c r="I653" s="81">
        <f>21.7821 * CHOOSE(CONTROL!$C$32, $C$9, 100%, $E$9)</f>
        <v>21.7821</v>
      </c>
      <c r="J653" s="81">
        <f>21.8039 * CHOOSE(CONTROL!$C$32, $C$9, 100%, $E$9)</f>
        <v>21.803899999999999</v>
      </c>
      <c r="K653" s="81">
        <f>21.7821 * CHOOSE(CONTROL!$C$32, $C$9, 100%, $E$9)</f>
        <v>21.7821</v>
      </c>
      <c r="L653" s="81">
        <f>12.0594 * CHOOSE(CONTROL!$C$32, $C$9, 100%, $E$9)</f>
        <v>12.0594</v>
      </c>
      <c r="M653" s="81">
        <f>12.0376 * CHOOSE(CONTROL!$C$32, $C$9, 100%, $E$9)</f>
        <v>12.037599999999999</v>
      </c>
      <c r="N653" s="81">
        <f>12.0594 * CHOOSE(CONTROL!$C$32, $C$9, 100%, $E$9)</f>
        <v>12.0594</v>
      </c>
      <c r="O653" s="81">
        <f>12.0376 * CHOOSE(CONTROL!$C$32, $C$9, 100%, $E$9)</f>
        <v>12.037599999999999</v>
      </c>
    </row>
    <row r="654" spans="1:15" ht="15">
      <c r="A654" s="16">
        <v>61118</v>
      </c>
      <c r="B654" s="80">
        <f>10.3065 * CHOOSE(CONTROL!$C$32, $C$9, 100%, $E$9)</f>
        <v>10.3065</v>
      </c>
      <c r="C654" s="80">
        <f>10.3065 * CHOOSE(CONTROL!$C$32, $C$9, 100%, $E$9)</f>
        <v>10.3065</v>
      </c>
      <c r="D654" s="80">
        <f>10.2807 * CHOOSE(CONTROL!$C$32, $C$9, 100%, $E$9)</f>
        <v>10.2807</v>
      </c>
      <c r="E654" s="81">
        <f>12.1247 * CHOOSE(CONTROL!$C$32, $C$9, 100%, $E$9)</f>
        <v>12.124700000000001</v>
      </c>
      <c r="F654" s="81">
        <f>12.1247 * CHOOSE(CONTROL!$C$32, $C$9, 100%, $E$9)</f>
        <v>12.124700000000001</v>
      </c>
      <c r="G654" s="81">
        <f>12.0931 * CHOOSE(CONTROL!$C$32, $C$9, 100%, $E$9)</f>
        <v>12.0931</v>
      </c>
      <c r="H654" s="81">
        <f>21.8493 * CHOOSE(CONTROL!$C$32, $C$9, 100%, $E$9)</f>
        <v>21.849299999999999</v>
      </c>
      <c r="I654" s="81">
        <f>21.8177 * CHOOSE(CONTROL!$C$32, $C$9, 100%, $E$9)</f>
        <v>21.817699999999999</v>
      </c>
      <c r="J654" s="81">
        <f>21.8493 * CHOOSE(CONTROL!$C$32, $C$9, 100%, $E$9)</f>
        <v>21.849299999999999</v>
      </c>
      <c r="K654" s="81">
        <f>21.8177 * CHOOSE(CONTROL!$C$32, $C$9, 100%, $E$9)</f>
        <v>21.817699999999999</v>
      </c>
      <c r="L654" s="81">
        <f>12.1247 * CHOOSE(CONTROL!$C$32, $C$9, 100%, $E$9)</f>
        <v>12.124700000000001</v>
      </c>
      <c r="M654" s="81">
        <f>12.0931 * CHOOSE(CONTROL!$C$32, $C$9, 100%, $E$9)</f>
        <v>12.0931</v>
      </c>
      <c r="N654" s="81">
        <f>12.1247 * CHOOSE(CONTROL!$C$32, $C$9, 100%, $E$9)</f>
        <v>12.124700000000001</v>
      </c>
      <c r="O654" s="81">
        <f>12.0931 * CHOOSE(CONTROL!$C$32, $C$9, 100%, $E$9)</f>
        <v>12.0931</v>
      </c>
    </row>
    <row r="655" spans="1:15" ht="15">
      <c r="A655" s="16">
        <v>61149</v>
      </c>
      <c r="B655" s="80">
        <f>10.3126 * CHOOSE(CONTROL!$C$32, $C$9, 100%, $E$9)</f>
        <v>10.3126</v>
      </c>
      <c r="C655" s="80">
        <f>10.3126 * CHOOSE(CONTROL!$C$32, $C$9, 100%, $E$9)</f>
        <v>10.3126</v>
      </c>
      <c r="D655" s="80">
        <f>10.2868 * CHOOSE(CONTROL!$C$32, $C$9, 100%, $E$9)</f>
        <v>10.286799999999999</v>
      </c>
      <c r="E655" s="81">
        <f>12.0637 * CHOOSE(CONTROL!$C$32, $C$9, 100%, $E$9)</f>
        <v>12.063700000000001</v>
      </c>
      <c r="F655" s="81">
        <f>12.0637 * CHOOSE(CONTROL!$C$32, $C$9, 100%, $E$9)</f>
        <v>12.063700000000001</v>
      </c>
      <c r="G655" s="81">
        <f>12.0321 * CHOOSE(CONTROL!$C$32, $C$9, 100%, $E$9)</f>
        <v>12.0321</v>
      </c>
      <c r="H655" s="81">
        <f>21.8948 * CHOOSE(CONTROL!$C$32, $C$9, 100%, $E$9)</f>
        <v>21.8948</v>
      </c>
      <c r="I655" s="81">
        <f>21.8632 * CHOOSE(CONTROL!$C$32, $C$9, 100%, $E$9)</f>
        <v>21.863199999999999</v>
      </c>
      <c r="J655" s="81">
        <f>21.8948 * CHOOSE(CONTROL!$C$32, $C$9, 100%, $E$9)</f>
        <v>21.8948</v>
      </c>
      <c r="K655" s="81">
        <f>21.8632 * CHOOSE(CONTROL!$C$32, $C$9, 100%, $E$9)</f>
        <v>21.863199999999999</v>
      </c>
      <c r="L655" s="81">
        <f>12.0637 * CHOOSE(CONTROL!$C$32, $C$9, 100%, $E$9)</f>
        <v>12.063700000000001</v>
      </c>
      <c r="M655" s="81">
        <f>12.0321 * CHOOSE(CONTROL!$C$32, $C$9, 100%, $E$9)</f>
        <v>12.0321</v>
      </c>
      <c r="N655" s="81">
        <f>12.0637 * CHOOSE(CONTROL!$C$32, $C$9, 100%, $E$9)</f>
        <v>12.063700000000001</v>
      </c>
      <c r="O655" s="81">
        <f>12.0321 * CHOOSE(CONTROL!$C$32, $C$9, 100%, $E$9)</f>
        <v>12.0321</v>
      </c>
    </row>
    <row r="656" spans="1:15" ht="15">
      <c r="A656" s="16">
        <v>61179</v>
      </c>
      <c r="B656" s="80">
        <f>10.4716 * CHOOSE(CONTROL!$C$32, $C$9, 100%, $E$9)</f>
        <v>10.4716</v>
      </c>
      <c r="C656" s="80">
        <f>10.4716 * CHOOSE(CONTROL!$C$32, $C$9, 100%, $E$9)</f>
        <v>10.4716</v>
      </c>
      <c r="D656" s="80">
        <f>10.4457 * CHOOSE(CONTROL!$C$32, $C$9, 100%, $E$9)</f>
        <v>10.4457</v>
      </c>
      <c r="E656" s="81">
        <f>12.2585 * CHOOSE(CONTROL!$C$32, $C$9, 100%, $E$9)</f>
        <v>12.2585</v>
      </c>
      <c r="F656" s="81">
        <f>12.2585 * CHOOSE(CONTROL!$C$32, $C$9, 100%, $E$9)</f>
        <v>12.2585</v>
      </c>
      <c r="G656" s="81">
        <f>12.2269 * CHOOSE(CONTROL!$C$32, $C$9, 100%, $E$9)</f>
        <v>12.226900000000001</v>
      </c>
      <c r="H656" s="81">
        <f>21.9404 * CHOOSE(CONTROL!$C$32, $C$9, 100%, $E$9)</f>
        <v>21.9404</v>
      </c>
      <c r="I656" s="81">
        <f>21.9089 * CHOOSE(CONTROL!$C$32, $C$9, 100%, $E$9)</f>
        <v>21.908899999999999</v>
      </c>
      <c r="J656" s="81">
        <f>21.9404 * CHOOSE(CONTROL!$C$32, $C$9, 100%, $E$9)</f>
        <v>21.9404</v>
      </c>
      <c r="K656" s="81">
        <f>21.9089 * CHOOSE(CONTROL!$C$32, $C$9, 100%, $E$9)</f>
        <v>21.908899999999999</v>
      </c>
      <c r="L656" s="81">
        <f>12.2585 * CHOOSE(CONTROL!$C$32, $C$9, 100%, $E$9)</f>
        <v>12.2585</v>
      </c>
      <c r="M656" s="81">
        <f>12.2269 * CHOOSE(CONTROL!$C$32, $C$9, 100%, $E$9)</f>
        <v>12.226900000000001</v>
      </c>
      <c r="N656" s="81">
        <f>12.2585 * CHOOSE(CONTROL!$C$32, $C$9, 100%, $E$9)</f>
        <v>12.2585</v>
      </c>
      <c r="O656" s="81">
        <f>12.2269 * CHOOSE(CONTROL!$C$32, $C$9, 100%, $E$9)</f>
        <v>12.226900000000001</v>
      </c>
    </row>
    <row r="657" spans="1:15" ht="15">
      <c r="A657" s="16">
        <v>61210</v>
      </c>
      <c r="B657" s="80">
        <f>10.4782 * CHOOSE(CONTROL!$C$32, $C$9, 100%, $E$9)</f>
        <v>10.478199999999999</v>
      </c>
      <c r="C657" s="80">
        <f>10.4782 * CHOOSE(CONTROL!$C$32, $C$9, 100%, $E$9)</f>
        <v>10.478199999999999</v>
      </c>
      <c r="D657" s="80">
        <f>10.4524 * CHOOSE(CONTROL!$C$32, $C$9, 100%, $E$9)</f>
        <v>10.452400000000001</v>
      </c>
      <c r="E657" s="81">
        <f>12.0674 * CHOOSE(CONTROL!$C$32, $C$9, 100%, $E$9)</f>
        <v>12.067399999999999</v>
      </c>
      <c r="F657" s="81">
        <f>12.0674 * CHOOSE(CONTROL!$C$32, $C$9, 100%, $E$9)</f>
        <v>12.067399999999999</v>
      </c>
      <c r="G657" s="81">
        <f>12.0358 * CHOOSE(CONTROL!$C$32, $C$9, 100%, $E$9)</f>
        <v>12.0358</v>
      </c>
      <c r="H657" s="81">
        <f>21.9861 * CHOOSE(CONTROL!$C$32, $C$9, 100%, $E$9)</f>
        <v>21.9861</v>
      </c>
      <c r="I657" s="81">
        <f>21.9546 * CHOOSE(CONTROL!$C$32, $C$9, 100%, $E$9)</f>
        <v>21.954599999999999</v>
      </c>
      <c r="J657" s="81">
        <f>21.9861 * CHOOSE(CONTROL!$C$32, $C$9, 100%, $E$9)</f>
        <v>21.9861</v>
      </c>
      <c r="K657" s="81">
        <f>21.9546 * CHOOSE(CONTROL!$C$32, $C$9, 100%, $E$9)</f>
        <v>21.954599999999999</v>
      </c>
      <c r="L657" s="81">
        <f>12.0674 * CHOOSE(CONTROL!$C$32, $C$9, 100%, $E$9)</f>
        <v>12.067399999999999</v>
      </c>
      <c r="M657" s="81">
        <f>12.0358 * CHOOSE(CONTROL!$C$32, $C$9, 100%, $E$9)</f>
        <v>12.0358</v>
      </c>
      <c r="N657" s="81">
        <f>12.0674 * CHOOSE(CONTROL!$C$32, $C$9, 100%, $E$9)</f>
        <v>12.067399999999999</v>
      </c>
      <c r="O657" s="81">
        <f>12.0358 * CHOOSE(CONTROL!$C$32, $C$9, 100%, $E$9)</f>
        <v>12.0358</v>
      </c>
    </row>
    <row r="658" spans="1:15" ht="15">
      <c r="A658" s="16">
        <v>61241</v>
      </c>
      <c r="B658" s="80">
        <f>10.4752 * CHOOSE(CONTROL!$C$32, $C$9, 100%, $E$9)</f>
        <v>10.475199999999999</v>
      </c>
      <c r="C658" s="80">
        <f>10.4752 * CHOOSE(CONTROL!$C$32, $C$9, 100%, $E$9)</f>
        <v>10.475199999999999</v>
      </c>
      <c r="D658" s="80">
        <f>10.4494 * CHOOSE(CONTROL!$C$32, $C$9, 100%, $E$9)</f>
        <v>10.449400000000001</v>
      </c>
      <c r="E658" s="81">
        <f>12.0435 * CHOOSE(CONTROL!$C$32, $C$9, 100%, $E$9)</f>
        <v>12.0435</v>
      </c>
      <c r="F658" s="81">
        <f>12.0435 * CHOOSE(CONTROL!$C$32, $C$9, 100%, $E$9)</f>
        <v>12.0435</v>
      </c>
      <c r="G658" s="81">
        <f>12.0119 * CHOOSE(CONTROL!$C$32, $C$9, 100%, $E$9)</f>
        <v>12.011900000000001</v>
      </c>
      <c r="H658" s="81">
        <f>22.0319 * CHOOSE(CONTROL!$C$32, $C$9, 100%, $E$9)</f>
        <v>22.0319</v>
      </c>
      <c r="I658" s="81">
        <f>22.0004 * CHOOSE(CONTROL!$C$32, $C$9, 100%, $E$9)</f>
        <v>22.000399999999999</v>
      </c>
      <c r="J658" s="81">
        <f>22.0319 * CHOOSE(CONTROL!$C$32, $C$9, 100%, $E$9)</f>
        <v>22.0319</v>
      </c>
      <c r="K658" s="81">
        <f>22.0004 * CHOOSE(CONTROL!$C$32, $C$9, 100%, $E$9)</f>
        <v>22.000399999999999</v>
      </c>
      <c r="L658" s="81">
        <f>12.0435 * CHOOSE(CONTROL!$C$32, $C$9, 100%, $E$9)</f>
        <v>12.0435</v>
      </c>
      <c r="M658" s="81">
        <f>12.0119 * CHOOSE(CONTROL!$C$32, $C$9, 100%, $E$9)</f>
        <v>12.011900000000001</v>
      </c>
      <c r="N658" s="81">
        <f>12.0435 * CHOOSE(CONTROL!$C$32, $C$9, 100%, $E$9)</f>
        <v>12.0435</v>
      </c>
      <c r="O658" s="81">
        <f>12.0119 * CHOOSE(CONTROL!$C$32, $C$9, 100%, $E$9)</f>
        <v>12.011900000000001</v>
      </c>
    </row>
    <row r="659" spans="1:15" ht="15">
      <c r="A659" s="16">
        <v>61271</v>
      </c>
      <c r="B659" s="80">
        <f>10.4913 * CHOOSE(CONTROL!$C$32, $C$9, 100%, $E$9)</f>
        <v>10.491300000000001</v>
      </c>
      <c r="C659" s="80">
        <f>10.4913 * CHOOSE(CONTROL!$C$32, $C$9, 100%, $E$9)</f>
        <v>10.491300000000001</v>
      </c>
      <c r="D659" s="80">
        <f>10.4736 * CHOOSE(CONTROL!$C$32, $C$9, 100%, $E$9)</f>
        <v>10.473599999999999</v>
      </c>
      <c r="E659" s="81">
        <f>12.1171 * CHOOSE(CONTROL!$C$32, $C$9, 100%, $E$9)</f>
        <v>12.117100000000001</v>
      </c>
      <c r="F659" s="81">
        <f>12.1171 * CHOOSE(CONTROL!$C$32, $C$9, 100%, $E$9)</f>
        <v>12.117100000000001</v>
      </c>
      <c r="G659" s="81">
        <f>12.0953 * CHOOSE(CONTROL!$C$32, $C$9, 100%, $E$9)</f>
        <v>12.0953</v>
      </c>
      <c r="H659" s="81">
        <f>22.0778 * CHOOSE(CONTROL!$C$32, $C$9, 100%, $E$9)</f>
        <v>22.0778</v>
      </c>
      <c r="I659" s="81">
        <f>22.056 * CHOOSE(CONTROL!$C$32, $C$9, 100%, $E$9)</f>
        <v>22.056000000000001</v>
      </c>
      <c r="J659" s="81">
        <f>22.0778 * CHOOSE(CONTROL!$C$32, $C$9, 100%, $E$9)</f>
        <v>22.0778</v>
      </c>
      <c r="K659" s="81">
        <f>22.056 * CHOOSE(CONTROL!$C$32, $C$9, 100%, $E$9)</f>
        <v>22.056000000000001</v>
      </c>
      <c r="L659" s="81">
        <f>12.1171 * CHOOSE(CONTROL!$C$32, $C$9, 100%, $E$9)</f>
        <v>12.117100000000001</v>
      </c>
      <c r="M659" s="81">
        <f>12.0953 * CHOOSE(CONTROL!$C$32, $C$9, 100%, $E$9)</f>
        <v>12.0953</v>
      </c>
      <c r="N659" s="81">
        <f>12.1171 * CHOOSE(CONTROL!$C$32, $C$9, 100%, $E$9)</f>
        <v>12.117100000000001</v>
      </c>
      <c r="O659" s="81">
        <f>12.0953 * CHOOSE(CONTROL!$C$32, $C$9, 100%, $E$9)</f>
        <v>12.0953</v>
      </c>
    </row>
    <row r="660" spans="1:15" ht="15">
      <c r="A660" s="16">
        <v>61302</v>
      </c>
      <c r="B660" s="80">
        <f>10.4943 * CHOOSE(CONTROL!$C$32, $C$9, 100%, $E$9)</f>
        <v>10.494300000000001</v>
      </c>
      <c r="C660" s="80">
        <f>10.4943 * CHOOSE(CONTROL!$C$32, $C$9, 100%, $E$9)</f>
        <v>10.494300000000001</v>
      </c>
      <c r="D660" s="80">
        <f>10.4766 * CHOOSE(CONTROL!$C$32, $C$9, 100%, $E$9)</f>
        <v>10.476599999999999</v>
      </c>
      <c r="E660" s="81">
        <f>12.1627 * CHOOSE(CONTROL!$C$32, $C$9, 100%, $E$9)</f>
        <v>12.162699999999999</v>
      </c>
      <c r="F660" s="81">
        <f>12.1627 * CHOOSE(CONTROL!$C$32, $C$9, 100%, $E$9)</f>
        <v>12.162699999999999</v>
      </c>
      <c r="G660" s="81">
        <f>12.1409 * CHOOSE(CONTROL!$C$32, $C$9, 100%, $E$9)</f>
        <v>12.1409</v>
      </c>
      <c r="H660" s="81">
        <f>22.1238 * CHOOSE(CONTROL!$C$32, $C$9, 100%, $E$9)</f>
        <v>22.123799999999999</v>
      </c>
      <c r="I660" s="81">
        <f>22.102 * CHOOSE(CONTROL!$C$32, $C$9, 100%, $E$9)</f>
        <v>22.102</v>
      </c>
      <c r="J660" s="81">
        <f>22.1238 * CHOOSE(CONTROL!$C$32, $C$9, 100%, $E$9)</f>
        <v>22.123799999999999</v>
      </c>
      <c r="K660" s="81">
        <f>22.102 * CHOOSE(CONTROL!$C$32, $C$9, 100%, $E$9)</f>
        <v>22.102</v>
      </c>
      <c r="L660" s="81">
        <f>12.1627 * CHOOSE(CONTROL!$C$32, $C$9, 100%, $E$9)</f>
        <v>12.162699999999999</v>
      </c>
      <c r="M660" s="81">
        <f>12.1409 * CHOOSE(CONTROL!$C$32, $C$9, 100%, $E$9)</f>
        <v>12.1409</v>
      </c>
      <c r="N660" s="81">
        <f>12.1627 * CHOOSE(CONTROL!$C$32, $C$9, 100%, $E$9)</f>
        <v>12.162699999999999</v>
      </c>
      <c r="O660" s="81">
        <f>12.1409 * CHOOSE(CONTROL!$C$32, $C$9, 100%, $E$9)</f>
        <v>12.1409</v>
      </c>
    </row>
    <row r="661" spans="1:15" ht="15">
      <c r="A661" s="16">
        <v>61332</v>
      </c>
      <c r="B661" s="80">
        <f>10.4943 * CHOOSE(CONTROL!$C$32, $C$9, 100%, $E$9)</f>
        <v>10.494300000000001</v>
      </c>
      <c r="C661" s="80">
        <f>10.4943 * CHOOSE(CONTROL!$C$32, $C$9, 100%, $E$9)</f>
        <v>10.494300000000001</v>
      </c>
      <c r="D661" s="80">
        <f>10.4766 * CHOOSE(CONTROL!$C$32, $C$9, 100%, $E$9)</f>
        <v>10.476599999999999</v>
      </c>
      <c r="E661" s="81">
        <f>12.0539 * CHOOSE(CONTROL!$C$32, $C$9, 100%, $E$9)</f>
        <v>12.053900000000001</v>
      </c>
      <c r="F661" s="81">
        <f>12.0539 * CHOOSE(CONTROL!$C$32, $C$9, 100%, $E$9)</f>
        <v>12.053900000000001</v>
      </c>
      <c r="G661" s="81">
        <f>12.0321 * CHOOSE(CONTROL!$C$32, $C$9, 100%, $E$9)</f>
        <v>12.0321</v>
      </c>
      <c r="H661" s="81">
        <f>22.1699 * CHOOSE(CONTROL!$C$32, $C$9, 100%, $E$9)</f>
        <v>22.169899999999998</v>
      </c>
      <c r="I661" s="81">
        <f>22.1481 * CHOOSE(CONTROL!$C$32, $C$9, 100%, $E$9)</f>
        <v>22.148099999999999</v>
      </c>
      <c r="J661" s="81">
        <f>22.1699 * CHOOSE(CONTROL!$C$32, $C$9, 100%, $E$9)</f>
        <v>22.169899999999998</v>
      </c>
      <c r="K661" s="81">
        <f>22.1481 * CHOOSE(CONTROL!$C$32, $C$9, 100%, $E$9)</f>
        <v>22.148099999999999</v>
      </c>
      <c r="L661" s="81">
        <f>12.0539 * CHOOSE(CONTROL!$C$32, $C$9, 100%, $E$9)</f>
        <v>12.053900000000001</v>
      </c>
      <c r="M661" s="81">
        <f>12.0321 * CHOOSE(CONTROL!$C$32, $C$9, 100%, $E$9)</f>
        <v>12.0321</v>
      </c>
      <c r="N661" s="81">
        <f>12.0539 * CHOOSE(CONTROL!$C$32, $C$9, 100%, $E$9)</f>
        <v>12.053900000000001</v>
      </c>
      <c r="O661" s="81">
        <f>12.0321 * CHOOSE(CONTROL!$C$32, $C$9, 100%, $E$9)</f>
        <v>12.0321</v>
      </c>
    </row>
    <row r="662" spans="1:15" ht="15">
      <c r="A662" s="16">
        <v>61363</v>
      </c>
      <c r="B662" s="80">
        <f>10.5452 * CHOOSE(CONTROL!$C$32, $C$9, 100%, $E$9)</f>
        <v>10.545199999999999</v>
      </c>
      <c r="C662" s="80">
        <f>10.5452 * CHOOSE(CONTROL!$C$32, $C$9, 100%, $E$9)</f>
        <v>10.545199999999999</v>
      </c>
      <c r="D662" s="80">
        <f>10.5239 * CHOOSE(CONTROL!$C$32, $C$9, 100%, $E$9)</f>
        <v>10.523899999999999</v>
      </c>
      <c r="E662" s="81">
        <f>12.1921 * CHOOSE(CONTROL!$C$32, $C$9, 100%, $E$9)</f>
        <v>12.1921</v>
      </c>
      <c r="F662" s="81">
        <f>12.1921 * CHOOSE(CONTROL!$C$32, $C$9, 100%, $E$9)</f>
        <v>12.1921</v>
      </c>
      <c r="G662" s="81">
        <f>12.1659 * CHOOSE(CONTROL!$C$32, $C$9, 100%, $E$9)</f>
        <v>12.165900000000001</v>
      </c>
      <c r="H662" s="81">
        <f>22.1439 * CHOOSE(CONTROL!$C$32, $C$9, 100%, $E$9)</f>
        <v>22.143899999999999</v>
      </c>
      <c r="I662" s="81">
        <f>22.1177 * CHOOSE(CONTROL!$C$32, $C$9, 100%, $E$9)</f>
        <v>22.117699999999999</v>
      </c>
      <c r="J662" s="81">
        <f>22.1439 * CHOOSE(CONTROL!$C$32, $C$9, 100%, $E$9)</f>
        <v>22.143899999999999</v>
      </c>
      <c r="K662" s="81">
        <f>22.1177 * CHOOSE(CONTROL!$C$32, $C$9, 100%, $E$9)</f>
        <v>22.117699999999999</v>
      </c>
      <c r="L662" s="81">
        <f>12.1921 * CHOOSE(CONTROL!$C$32, $C$9, 100%, $E$9)</f>
        <v>12.1921</v>
      </c>
      <c r="M662" s="81">
        <f>12.1659 * CHOOSE(CONTROL!$C$32, $C$9, 100%, $E$9)</f>
        <v>12.165900000000001</v>
      </c>
      <c r="N662" s="81">
        <f>12.1921 * CHOOSE(CONTROL!$C$32, $C$9, 100%, $E$9)</f>
        <v>12.1921</v>
      </c>
      <c r="O662" s="81">
        <f>12.1659 * CHOOSE(CONTROL!$C$32, $C$9, 100%, $E$9)</f>
        <v>12.165900000000001</v>
      </c>
    </row>
    <row r="663" spans="1:15" ht="15">
      <c r="A663" s="16">
        <v>61394</v>
      </c>
      <c r="B663" s="80">
        <f>10.5421 * CHOOSE(CONTROL!$C$32, $C$9, 100%, $E$9)</f>
        <v>10.5421</v>
      </c>
      <c r="C663" s="80">
        <f>10.5421 * CHOOSE(CONTROL!$C$32, $C$9, 100%, $E$9)</f>
        <v>10.5421</v>
      </c>
      <c r="D663" s="80">
        <f>10.5209 * CHOOSE(CONTROL!$C$32, $C$9, 100%, $E$9)</f>
        <v>10.520899999999999</v>
      </c>
      <c r="E663" s="81">
        <f>11.9794 * CHOOSE(CONTROL!$C$32, $C$9, 100%, $E$9)</f>
        <v>11.9794</v>
      </c>
      <c r="F663" s="81">
        <f>11.9794 * CHOOSE(CONTROL!$C$32, $C$9, 100%, $E$9)</f>
        <v>11.9794</v>
      </c>
      <c r="G663" s="81">
        <f>11.9533 * CHOOSE(CONTROL!$C$32, $C$9, 100%, $E$9)</f>
        <v>11.9533</v>
      </c>
      <c r="H663" s="81">
        <f>22.1901 * CHOOSE(CONTROL!$C$32, $C$9, 100%, $E$9)</f>
        <v>22.190100000000001</v>
      </c>
      <c r="I663" s="81">
        <f>22.1639 * CHOOSE(CONTROL!$C$32, $C$9, 100%, $E$9)</f>
        <v>22.163900000000002</v>
      </c>
      <c r="J663" s="81">
        <f>22.1901 * CHOOSE(CONTROL!$C$32, $C$9, 100%, $E$9)</f>
        <v>22.190100000000001</v>
      </c>
      <c r="K663" s="81">
        <f>22.1639 * CHOOSE(CONTROL!$C$32, $C$9, 100%, $E$9)</f>
        <v>22.163900000000002</v>
      </c>
      <c r="L663" s="81">
        <f>11.9794 * CHOOSE(CONTROL!$C$32, $C$9, 100%, $E$9)</f>
        <v>11.9794</v>
      </c>
      <c r="M663" s="81">
        <f>11.9533 * CHOOSE(CONTROL!$C$32, $C$9, 100%, $E$9)</f>
        <v>11.9533</v>
      </c>
      <c r="N663" s="81">
        <f>11.9794 * CHOOSE(CONTROL!$C$32, $C$9, 100%, $E$9)</f>
        <v>11.9794</v>
      </c>
      <c r="O663" s="81">
        <f>11.9533 * CHOOSE(CONTROL!$C$32, $C$9, 100%, $E$9)</f>
        <v>11.9533</v>
      </c>
    </row>
    <row r="664" spans="1:15" ht="15">
      <c r="A664" s="16">
        <v>61423</v>
      </c>
      <c r="B664" s="80">
        <f>10.5391 * CHOOSE(CONTROL!$C$32, $C$9, 100%, $E$9)</f>
        <v>10.539099999999999</v>
      </c>
      <c r="C664" s="80">
        <f>10.5391 * CHOOSE(CONTROL!$C$32, $C$9, 100%, $E$9)</f>
        <v>10.539099999999999</v>
      </c>
      <c r="D664" s="80">
        <f>10.5178 * CHOOSE(CONTROL!$C$32, $C$9, 100%, $E$9)</f>
        <v>10.517799999999999</v>
      </c>
      <c r="E664" s="81">
        <f>12.1433 * CHOOSE(CONTROL!$C$32, $C$9, 100%, $E$9)</f>
        <v>12.1433</v>
      </c>
      <c r="F664" s="81">
        <f>12.1433 * CHOOSE(CONTROL!$C$32, $C$9, 100%, $E$9)</f>
        <v>12.1433</v>
      </c>
      <c r="G664" s="81">
        <f>12.1171 * CHOOSE(CONTROL!$C$32, $C$9, 100%, $E$9)</f>
        <v>12.117100000000001</v>
      </c>
      <c r="H664" s="81">
        <f>22.2363 * CHOOSE(CONTROL!$C$32, $C$9, 100%, $E$9)</f>
        <v>22.2363</v>
      </c>
      <c r="I664" s="81">
        <f>22.2101 * CHOOSE(CONTROL!$C$32, $C$9, 100%, $E$9)</f>
        <v>22.210100000000001</v>
      </c>
      <c r="J664" s="81">
        <f>22.2363 * CHOOSE(CONTROL!$C$32, $C$9, 100%, $E$9)</f>
        <v>22.2363</v>
      </c>
      <c r="K664" s="81">
        <f>22.2101 * CHOOSE(CONTROL!$C$32, $C$9, 100%, $E$9)</f>
        <v>22.210100000000001</v>
      </c>
      <c r="L664" s="81">
        <f>12.1433 * CHOOSE(CONTROL!$C$32, $C$9, 100%, $E$9)</f>
        <v>12.1433</v>
      </c>
      <c r="M664" s="81">
        <f>12.1171 * CHOOSE(CONTROL!$C$32, $C$9, 100%, $E$9)</f>
        <v>12.117100000000001</v>
      </c>
      <c r="N664" s="81">
        <f>12.1433 * CHOOSE(CONTROL!$C$32, $C$9, 100%, $E$9)</f>
        <v>12.1433</v>
      </c>
      <c r="O664" s="81">
        <f>12.1171 * CHOOSE(CONTROL!$C$32, $C$9, 100%, $E$9)</f>
        <v>12.117100000000001</v>
      </c>
    </row>
    <row r="665" spans="1:15" ht="15">
      <c r="A665" s="16">
        <v>61454</v>
      </c>
      <c r="B665" s="80">
        <f>10.5423 * CHOOSE(CONTROL!$C$32, $C$9, 100%, $E$9)</f>
        <v>10.542299999999999</v>
      </c>
      <c r="C665" s="80">
        <f>10.5423 * CHOOSE(CONTROL!$C$32, $C$9, 100%, $E$9)</f>
        <v>10.542299999999999</v>
      </c>
      <c r="D665" s="80">
        <f>10.521 * CHOOSE(CONTROL!$C$32, $C$9, 100%, $E$9)</f>
        <v>10.521000000000001</v>
      </c>
      <c r="E665" s="81">
        <f>12.3173 * CHOOSE(CONTROL!$C$32, $C$9, 100%, $E$9)</f>
        <v>12.317299999999999</v>
      </c>
      <c r="F665" s="81">
        <f>12.3173 * CHOOSE(CONTROL!$C$32, $C$9, 100%, $E$9)</f>
        <v>12.317299999999999</v>
      </c>
      <c r="G665" s="81">
        <f>12.2911 * CHOOSE(CONTROL!$C$32, $C$9, 100%, $E$9)</f>
        <v>12.2911</v>
      </c>
      <c r="H665" s="81">
        <f>22.2826 * CHOOSE(CONTROL!$C$32, $C$9, 100%, $E$9)</f>
        <v>22.282599999999999</v>
      </c>
      <c r="I665" s="81">
        <f>22.2564 * CHOOSE(CONTROL!$C$32, $C$9, 100%, $E$9)</f>
        <v>22.256399999999999</v>
      </c>
      <c r="J665" s="81">
        <f>22.2826 * CHOOSE(CONTROL!$C$32, $C$9, 100%, $E$9)</f>
        <v>22.282599999999999</v>
      </c>
      <c r="K665" s="81">
        <f>22.2564 * CHOOSE(CONTROL!$C$32, $C$9, 100%, $E$9)</f>
        <v>22.256399999999999</v>
      </c>
      <c r="L665" s="81">
        <f>12.3173 * CHOOSE(CONTROL!$C$32, $C$9, 100%, $E$9)</f>
        <v>12.317299999999999</v>
      </c>
      <c r="M665" s="81">
        <f>12.2911 * CHOOSE(CONTROL!$C$32, $C$9, 100%, $E$9)</f>
        <v>12.2911</v>
      </c>
      <c r="N665" s="81">
        <f>12.3173 * CHOOSE(CONTROL!$C$32, $C$9, 100%, $E$9)</f>
        <v>12.317299999999999</v>
      </c>
      <c r="O665" s="81">
        <f>12.2911 * CHOOSE(CONTROL!$C$32, $C$9, 100%, $E$9)</f>
        <v>12.2911</v>
      </c>
    </row>
    <row r="666" spans="1:15" ht="15">
      <c r="A666" s="16">
        <v>61484</v>
      </c>
      <c r="B666" s="80">
        <f>10.5423 * CHOOSE(CONTROL!$C$32, $C$9, 100%, $E$9)</f>
        <v>10.542299999999999</v>
      </c>
      <c r="C666" s="80">
        <f>10.5423 * CHOOSE(CONTROL!$C$32, $C$9, 100%, $E$9)</f>
        <v>10.542299999999999</v>
      </c>
      <c r="D666" s="80">
        <f>10.5113 * CHOOSE(CONTROL!$C$32, $C$9, 100%, $E$9)</f>
        <v>10.5113</v>
      </c>
      <c r="E666" s="81">
        <f>12.3841 * CHOOSE(CONTROL!$C$32, $C$9, 100%, $E$9)</f>
        <v>12.3841</v>
      </c>
      <c r="F666" s="81">
        <f>12.3841 * CHOOSE(CONTROL!$C$32, $C$9, 100%, $E$9)</f>
        <v>12.3841</v>
      </c>
      <c r="G666" s="81">
        <f>12.3462 * CHOOSE(CONTROL!$C$32, $C$9, 100%, $E$9)</f>
        <v>12.3462</v>
      </c>
      <c r="H666" s="81">
        <f>22.329 * CHOOSE(CONTROL!$C$32, $C$9, 100%, $E$9)</f>
        <v>22.329000000000001</v>
      </c>
      <c r="I666" s="81">
        <f>22.2912 * CHOOSE(CONTROL!$C$32, $C$9, 100%, $E$9)</f>
        <v>22.2912</v>
      </c>
      <c r="J666" s="81">
        <f>22.329 * CHOOSE(CONTROL!$C$32, $C$9, 100%, $E$9)</f>
        <v>22.329000000000001</v>
      </c>
      <c r="K666" s="81">
        <f>22.2912 * CHOOSE(CONTROL!$C$32, $C$9, 100%, $E$9)</f>
        <v>22.2912</v>
      </c>
      <c r="L666" s="81">
        <f>12.3841 * CHOOSE(CONTROL!$C$32, $C$9, 100%, $E$9)</f>
        <v>12.3841</v>
      </c>
      <c r="M666" s="81">
        <f>12.3462 * CHOOSE(CONTROL!$C$32, $C$9, 100%, $E$9)</f>
        <v>12.3462</v>
      </c>
      <c r="N666" s="81">
        <f>12.3841 * CHOOSE(CONTROL!$C$32, $C$9, 100%, $E$9)</f>
        <v>12.3841</v>
      </c>
      <c r="O666" s="81">
        <f>12.3462 * CHOOSE(CONTROL!$C$32, $C$9, 100%, $E$9)</f>
        <v>12.3462</v>
      </c>
    </row>
    <row r="667" spans="1:15" ht="15">
      <c r="A667" s="16">
        <v>61515</v>
      </c>
      <c r="B667" s="80">
        <f>10.5483 * CHOOSE(CONTROL!$C$32, $C$9, 100%, $E$9)</f>
        <v>10.548299999999999</v>
      </c>
      <c r="C667" s="80">
        <f>10.5483 * CHOOSE(CONTROL!$C$32, $C$9, 100%, $E$9)</f>
        <v>10.548299999999999</v>
      </c>
      <c r="D667" s="80">
        <f>10.5174 * CHOOSE(CONTROL!$C$32, $C$9, 100%, $E$9)</f>
        <v>10.5174</v>
      </c>
      <c r="E667" s="81">
        <f>12.3215 * CHOOSE(CONTROL!$C$32, $C$9, 100%, $E$9)</f>
        <v>12.3215</v>
      </c>
      <c r="F667" s="81">
        <f>12.3215 * CHOOSE(CONTROL!$C$32, $C$9, 100%, $E$9)</f>
        <v>12.3215</v>
      </c>
      <c r="G667" s="81">
        <f>12.2836 * CHOOSE(CONTROL!$C$32, $C$9, 100%, $E$9)</f>
        <v>12.2836</v>
      </c>
      <c r="H667" s="81">
        <f>22.3756 * CHOOSE(CONTROL!$C$32, $C$9, 100%, $E$9)</f>
        <v>22.375599999999999</v>
      </c>
      <c r="I667" s="81">
        <f>22.3377 * CHOOSE(CONTROL!$C$32, $C$9, 100%, $E$9)</f>
        <v>22.337700000000002</v>
      </c>
      <c r="J667" s="81">
        <f>22.3756 * CHOOSE(CONTROL!$C$32, $C$9, 100%, $E$9)</f>
        <v>22.375599999999999</v>
      </c>
      <c r="K667" s="81">
        <f>22.3377 * CHOOSE(CONTROL!$C$32, $C$9, 100%, $E$9)</f>
        <v>22.337700000000002</v>
      </c>
      <c r="L667" s="81">
        <f>12.3215 * CHOOSE(CONTROL!$C$32, $C$9, 100%, $E$9)</f>
        <v>12.3215</v>
      </c>
      <c r="M667" s="81">
        <f>12.2836 * CHOOSE(CONTROL!$C$32, $C$9, 100%, $E$9)</f>
        <v>12.2836</v>
      </c>
      <c r="N667" s="81">
        <f>12.3215 * CHOOSE(CONTROL!$C$32, $C$9, 100%, $E$9)</f>
        <v>12.3215</v>
      </c>
      <c r="O667" s="81">
        <f>12.2836 * CHOOSE(CONTROL!$C$32, $C$9, 100%, $E$9)</f>
        <v>12.2836</v>
      </c>
    </row>
    <row r="668" spans="1:15" ht="15">
      <c r="A668" s="16">
        <v>61545</v>
      </c>
      <c r="B668" s="80">
        <f>10.7107 * CHOOSE(CONTROL!$C$32, $C$9, 100%, $E$9)</f>
        <v>10.710699999999999</v>
      </c>
      <c r="C668" s="80">
        <f>10.7107 * CHOOSE(CONTROL!$C$32, $C$9, 100%, $E$9)</f>
        <v>10.710699999999999</v>
      </c>
      <c r="D668" s="80">
        <f>10.6798 * CHOOSE(CONTROL!$C$32, $C$9, 100%, $E$9)</f>
        <v>10.6798</v>
      </c>
      <c r="E668" s="81">
        <f>12.5203 * CHOOSE(CONTROL!$C$32, $C$9, 100%, $E$9)</f>
        <v>12.520300000000001</v>
      </c>
      <c r="F668" s="81">
        <f>12.5203 * CHOOSE(CONTROL!$C$32, $C$9, 100%, $E$9)</f>
        <v>12.520300000000001</v>
      </c>
      <c r="G668" s="81">
        <f>12.4824 * CHOOSE(CONTROL!$C$32, $C$9, 100%, $E$9)</f>
        <v>12.4824</v>
      </c>
      <c r="H668" s="81">
        <f>22.4222 * CHOOSE(CONTROL!$C$32, $C$9, 100%, $E$9)</f>
        <v>22.4222</v>
      </c>
      <c r="I668" s="81">
        <f>22.3843 * CHOOSE(CONTROL!$C$32, $C$9, 100%, $E$9)</f>
        <v>22.3843</v>
      </c>
      <c r="J668" s="81">
        <f>22.4222 * CHOOSE(CONTROL!$C$32, $C$9, 100%, $E$9)</f>
        <v>22.4222</v>
      </c>
      <c r="K668" s="81">
        <f>22.3843 * CHOOSE(CONTROL!$C$32, $C$9, 100%, $E$9)</f>
        <v>22.3843</v>
      </c>
      <c r="L668" s="81">
        <f>12.5203 * CHOOSE(CONTROL!$C$32, $C$9, 100%, $E$9)</f>
        <v>12.520300000000001</v>
      </c>
      <c r="M668" s="81">
        <f>12.4824 * CHOOSE(CONTROL!$C$32, $C$9, 100%, $E$9)</f>
        <v>12.4824</v>
      </c>
      <c r="N668" s="81">
        <f>12.5203 * CHOOSE(CONTROL!$C$32, $C$9, 100%, $E$9)</f>
        <v>12.520300000000001</v>
      </c>
      <c r="O668" s="81">
        <f>12.4824 * CHOOSE(CONTROL!$C$32, $C$9, 100%, $E$9)</f>
        <v>12.4824</v>
      </c>
    </row>
    <row r="669" spans="1:15" ht="15">
      <c r="A669" s="16">
        <v>61576</v>
      </c>
      <c r="B669" s="80">
        <f>10.7174 * CHOOSE(CONTROL!$C$32, $C$9, 100%, $E$9)</f>
        <v>10.7174</v>
      </c>
      <c r="C669" s="80">
        <f>10.7174 * CHOOSE(CONTROL!$C$32, $C$9, 100%, $E$9)</f>
        <v>10.7174</v>
      </c>
      <c r="D669" s="80">
        <f>10.6864 * CHOOSE(CONTROL!$C$32, $C$9, 100%, $E$9)</f>
        <v>10.686400000000001</v>
      </c>
      <c r="E669" s="81">
        <f>12.3244 * CHOOSE(CONTROL!$C$32, $C$9, 100%, $E$9)</f>
        <v>12.324400000000001</v>
      </c>
      <c r="F669" s="81">
        <f>12.3244 * CHOOSE(CONTROL!$C$32, $C$9, 100%, $E$9)</f>
        <v>12.324400000000001</v>
      </c>
      <c r="G669" s="81">
        <f>12.2865 * CHOOSE(CONTROL!$C$32, $C$9, 100%, $E$9)</f>
        <v>12.2865</v>
      </c>
      <c r="H669" s="81">
        <f>22.4689 * CHOOSE(CONTROL!$C$32, $C$9, 100%, $E$9)</f>
        <v>22.468900000000001</v>
      </c>
      <c r="I669" s="81">
        <f>22.431 * CHOOSE(CONTROL!$C$32, $C$9, 100%, $E$9)</f>
        <v>22.431000000000001</v>
      </c>
      <c r="J669" s="81">
        <f>22.4689 * CHOOSE(CONTROL!$C$32, $C$9, 100%, $E$9)</f>
        <v>22.468900000000001</v>
      </c>
      <c r="K669" s="81">
        <f>22.431 * CHOOSE(CONTROL!$C$32, $C$9, 100%, $E$9)</f>
        <v>22.431000000000001</v>
      </c>
      <c r="L669" s="81">
        <f>12.3244 * CHOOSE(CONTROL!$C$32, $C$9, 100%, $E$9)</f>
        <v>12.324400000000001</v>
      </c>
      <c r="M669" s="81">
        <f>12.2865 * CHOOSE(CONTROL!$C$32, $C$9, 100%, $E$9)</f>
        <v>12.2865</v>
      </c>
      <c r="N669" s="81">
        <f>12.3244 * CHOOSE(CONTROL!$C$32, $C$9, 100%, $E$9)</f>
        <v>12.324400000000001</v>
      </c>
      <c r="O669" s="81">
        <f>12.2865 * CHOOSE(CONTROL!$C$32, $C$9, 100%, $E$9)</f>
        <v>12.2865</v>
      </c>
    </row>
    <row r="670" spans="1:15" ht="15">
      <c r="A670" s="16">
        <v>61607</v>
      </c>
      <c r="B670" s="80">
        <f>10.7144 * CHOOSE(CONTROL!$C$32, $C$9, 100%, $E$9)</f>
        <v>10.714399999999999</v>
      </c>
      <c r="C670" s="80">
        <f>10.7144 * CHOOSE(CONTROL!$C$32, $C$9, 100%, $E$9)</f>
        <v>10.714399999999999</v>
      </c>
      <c r="D670" s="80">
        <f>10.6834 * CHOOSE(CONTROL!$C$32, $C$9, 100%, $E$9)</f>
        <v>10.683400000000001</v>
      </c>
      <c r="E670" s="81">
        <f>12.3 * CHOOSE(CONTROL!$C$32, $C$9, 100%, $E$9)</f>
        <v>12.3</v>
      </c>
      <c r="F670" s="81">
        <f>12.3 * CHOOSE(CONTROL!$C$32, $C$9, 100%, $E$9)</f>
        <v>12.3</v>
      </c>
      <c r="G670" s="81">
        <f>12.2621 * CHOOSE(CONTROL!$C$32, $C$9, 100%, $E$9)</f>
        <v>12.2621</v>
      </c>
      <c r="H670" s="81">
        <f>22.5157 * CHOOSE(CONTROL!$C$32, $C$9, 100%, $E$9)</f>
        <v>22.515699999999999</v>
      </c>
      <c r="I670" s="81">
        <f>22.4778 * CHOOSE(CONTROL!$C$32, $C$9, 100%, $E$9)</f>
        <v>22.477799999999998</v>
      </c>
      <c r="J670" s="81">
        <f>22.5157 * CHOOSE(CONTROL!$C$32, $C$9, 100%, $E$9)</f>
        <v>22.515699999999999</v>
      </c>
      <c r="K670" s="81">
        <f>22.4778 * CHOOSE(CONTROL!$C$32, $C$9, 100%, $E$9)</f>
        <v>22.477799999999998</v>
      </c>
      <c r="L670" s="81">
        <f>12.3 * CHOOSE(CONTROL!$C$32, $C$9, 100%, $E$9)</f>
        <v>12.3</v>
      </c>
      <c r="M670" s="81">
        <f>12.2621 * CHOOSE(CONTROL!$C$32, $C$9, 100%, $E$9)</f>
        <v>12.2621</v>
      </c>
      <c r="N670" s="81">
        <f>12.3 * CHOOSE(CONTROL!$C$32, $C$9, 100%, $E$9)</f>
        <v>12.3</v>
      </c>
      <c r="O670" s="81">
        <f>12.2621 * CHOOSE(CONTROL!$C$32, $C$9, 100%, $E$9)</f>
        <v>12.2621</v>
      </c>
    </row>
    <row r="671" spans="1:15" ht="15">
      <c r="A671" s="16">
        <v>61637</v>
      </c>
      <c r="B671" s="80">
        <f>10.7312 * CHOOSE(CONTROL!$C$32, $C$9, 100%, $E$9)</f>
        <v>10.731199999999999</v>
      </c>
      <c r="C671" s="80">
        <f>10.7312 * CHOOSE(CONTROL!$C$32, $C$9, 100%, $E$9)</f>
        <v>10.731199999999999</v>
      </c>
      <c r="D671" s="80">
        <f>10.7099 * CHOOSE(CONTROL!$C$32, $C$9, 100%, $E$9)</f>
        <v>10.709899999999999</v>
      </c>
      <c r="E671" s="81">
        <f>12.3757 * CHOOSE(CONTROL!$C$32, $C$9, 100%, $E$9)</f>
        <v>12.3757</v>
      </c>
      <c r="F671" s="81">
        <f>12.3757 * CHOOSE(CONTROL!$C$32, $C$9, 100%, $E$9)</f>
        <v>12.3757</v>
      </c>
      <c r="G671" s="81">
        <f>12.3495 * CHOOSE(CONTROL!$C$32, $C$9, 100%, $E$9)</f>
        <v>12.349500000000001</v>
      </c>
      <c r="H671" s="81">
        <f>22.5626 * CHOOSE(CONTROL!$C$32, $C$9, 100%, $E$9)</f>
        <v>22.5626</v>
      </c>
      <c r="I671" s="81">
        <f>22.5364 * CHOOSE(CONTROL!$C$32, $C$9, 100%, $E$9)</f>
        <v>22.5364</v>
      </c>
      <c r="J671" s="81">
        <f>22.5626 * CHOOSE(CONTROL!$C$32, $C$9, 100%, $E$9)</f>
        <v>22.5626</v>
      </c>
      <c r="K671" s="81">
        <f>22.5364 * CHOOSE(CONTROL!$C$32, $C$9, 100%, $E$9)</f>
        <v>22.5364</v>
      </c>
      <c r="L671" s="81">
        <f>12.3757 * CHOOSE(CONTROL!$C$32, $C$9, 100%, $E$9)</f>
        <v>12.3757</v>
      </c>
      <c r="M671" s="81">
        <f>12.3495 * CHOOSE(CONTROL!$C$32, $C$9, 100%, $E$9)</f>
        <v>12.349500000000001</v>
      </c>
      <c r="N671" s="81">
        <f>12.3757 * CHOOSE(CONTROL!$C$32, $C$9, 100%, $E$9)</f>
        <v>12.3757</v>
      </c>
      <c r="O671" s="81">
        <f>12.3495 * CHOOSE(CONTROL!$C$32, $C$9, 100%, $E$9)</f>
        <v>12.349500000000001</v>
      </c>
    </row>
    <row r="672" spans="1:15" ht="15">
      <c r="A672" s="16">
        <v>61668</v>
      </c>
      <c r="B672" s="80">
        <f>10.7342 * CHOOSE(CONTROL!$C$32, $C$9, 100%, $E$9)</f>
        <v>10.7342</v>
      </c>
      <c r="C672" s="80">
        <f>10.7342 * CHOOSE(CONTROL!$C$32, $C$9, 100%, $E$9)</f>
        <v>10.7342</v>
      </c>
      <c r="D672" s="80">
        <f>10.713 * CHOOSE(CONTROL!$C$32, $C$9, 100%, $E$9)</f>
        <v>10.712999999999999</v>
      </c>
      <c r="E672" s="81">
        <f>12.4224 * CHOOSE(CONTROL!$C$32, $C$9, 100%, $E$9)</f>
        <v>12.4224</v>
      </c>
      <c r="F672" s="81">
        <f>12.4224 * CHOOSE(CONTROL!$C$32, $C$9, 100%, $E$9)</f>
        <v>12.4224</v>
      </c>
      <c r="G672" s="81">
        <f>12.3962 * CHOOSE(CONTROL!$C$32, $C$9, 100%, $E$9)</f>
        <v>12.3962</v>
      </c>
      <c r="H672" s="81">
        <f>22.6096 * CHOOSE(CONTROL!$C$32, $C$9, 100%, $E$9)</f>
        <v>22.6096</v>
      </c>
      <c r="I672" s="81">
        <f>22.5834 * CHOOSE(CONTROL!$C$32, $C$9, 100%, $E$9)</f>
        <v>22.583400000000001</v>
      </c>
      <c r="J672" s="81">
        <f>22.6096 * CHOOSE(CONTROL!$C$32, $C$9, 100%, $E$9)</f>
        <v>22.6096</v>
      </c>
      <c r="K672" s="81">
        <f>22.5834 * CHOOSE(CONTROL!$C$32, $C$9, 100%, $E$9)</f>
        <v>22.583400000000001</v>
      </c>
      <c r="L672" s="81">
        <f>12.4224 * CHOOSE(CONTROL!$C$32, $C$9, 100%, $E$9)</f>
        <v>12.4224</v>
      </c>
      <c r="M672" s="81">
        <f>12.3962 * CHOOSE(CONTROL!$C$32, $C$9, 100%, $E$9)</f>
        <v>12.3962</v>
      </c>
      <c r="N672" s="81">
        <f>12.4224 * CHOOSE(CONTROL!$C$32, $C$9, 100%, $E$9)</f>
        <v>12.4224</v>
      </c>
      <c r="O672" s="81">
        <f>12.3962 * CHOOSE(CONTROL!$C$32, $C$9, 100%, $E$9)</f>
        <v>12.3962</v>
      </c>
    </row>
    <row r="673" spans="1:15" ht="15">
      <c r="A673" s="16">
        <v>61698</v>
      </c>
      <c r="B673" s="80">
        <f>10.7342 * CHOOSE(CONTROL!$C$32, $C$9, 100%, $E$9)</f>
        <v>10.7342</v>
      </c>
      <c r="C673" s="80">
        <f>10.7342 * CHOOSE(CONTROL!$C$32, $C$9, 100%, $E$9)</f>
        <v>10.7342</v>
      </c>
      <c r="D673" s="80">
        <f>10.713 * CHOOSE(CONTROL!$C$32, $C$9, 100%, $E$9)</f>
        <v>10.712999999999999</v>
      </c>
      <c r="E673" s="81">
        <f>12.311 * CHOOSE(CONTROL!$C$32, $C$9, 100%, $E$9)</f>
        <v>12.311</v>
      </c>
      <c r="F673" s="81">
        <f>12.311 * CHOOSE(CONTROL!$C$32, $C$9, 100%, $E$9)</f>
        <v>12.311</v>
      </c>
      <c r="G673" s="81">
        <f>12.2848 * CHOOSE(CONTROL!$C$32, $C$9, 100%, $E$9)</f>
        <v>12.284800000000001</v>
      </c>
      <c r="H673" s="81">
        <f>22.6567 * CHOOSE(CONTROL!$C$32, $C$9, 100%, $E$9)</f>
        <v>22.656700000000001</v>
      </c>
      <c r="I673" s="81">
        <f>22.6305 * CHOOSE(CONTROL!$C$32, $C$9, 100%, $E$9)</f>
        <v>22.630500000000001</v>
      </c>
      <c r="J673" s="81">
        <f>22.6567 * CHOOSE(CONTROL!$C$32, $C$9, 100%, $E$9)</f>
        <v>22.656700000000001</v>
      </c>
      <c r="K673" s="81">
        <f>22.6305 * CHOOSE(CONTROL!$C$32, $C$9, 100%, $E$9)</f>
        <v>22.630500000000001</v>
      </c>
      <c r="L673" s="81">
        <f>12.311 * CHOOSE(CONTROL!$C$32, $C$9, 100%, $E$9)</f>
        <v>12.311</v>
      </c>
      <c r="M673" s="81">
        <f>12.2848 * CHOOSE(CONTROL!$C$32, $C$9, 100%, $E$9)</f>
        <v>12.284800000000001</v>
      </c>
      <c r="N673" s="81">
        <f>12.311 * CHOOSE(CONTROL!$C$32, $C$9, 100%, $E$9)</f>
        <v>12.311</v>
      </c>
      <c r="O673" s="81">
        <f>12.2848 * CHOOSE(CONTROL!$C$32, $C$9, 100%, $E$9)</f>
        <v>12.284800000000001</v>
      </c>
    </row>
    <row r="674" spans="1:15" ht="15">
      <c r="A674" s="16">
        <v>61729</v>
      </c>
      <c r="B674" s="80">
        <f>10.7807 * CHOOSE(CONTROL!$C$32, $C$9, 100%, $E$9)</f>
        <v>10.7807</v>
      </c>
      <c r="C674" s="80">
        <f>10.7807 * CHOOSE(CONTROL!$C$32, $C$9, 100%, $E$9)</f>
        <v>10.7807</v>
      </c>
      <c r="D674" s="80">
        <f>10.756 * CHOOSE(CONTROL!$C$32, $C$9, 100%, $E$9)</f>
        <v>10.756</v>
      </c>
      <c r="E674" s="81">
        <f>12.4468 * CHOOSE(CONTROL!$C$32, $C$9, 100%, $E$9)</f>
        <v>12.4468</v>
      </c>
      <c r="F674" s="81">
        <f>12.4468 * CHOOSE(CONTROL!$C$32, $C$9, 100%, $E$9)</f>
        <v>12.4468</v>
      </c>
      <c r="G674" s="81">
        <f>12.4163 * CHOOSE(CONTROL!$C$32, $C$9, 100%, $E$9)</f>
        <v>12.4163</v>
      </c>
      <c r="H674" s="81">
        <f>22.6197 * CHOOSE(CONTROL!$C$32, $C$9, 100%, $E$9)</f>
        <v>22.619700000000002</v>
      </c>
      <c r="I674" s="81">
        <f>22.5891 * CHOOSE(CONTROL!$C$32, $C$9, 100%, $E$9)</f>
        <v>22.589099999999998</v>
      </c>
      <c r="J674" s="81">
        <f>22.6197 * CHOOSE(CONTROL!$C$32, $C$9, 100%, $E$9)</f>
        <v>22.619700000000002</v>
      </c>
      <c r="K674" s="81">
        <f>22.5891 * CHOOSE(CONTROL!$C$32, $C$9, 100%, $E$9)</f>
        <v>22.589099999999998</v>
      </c>
      <c r="L674" s="81">
        <f>12.4468 * CHOOSE(CONTROL!$C$32, $C$9, 100%, $E$9)</f>
        <v>12.4468</v>
      </c>
      <c r="M674" s="81">
        <f>12.4163 * CHOOSE(CONTROL!$C$32, $C$9, 100%, $E$9)</f>
        <v>12.4163</v>
      </c>
      <c r="N674" s="81">
        <f>12.4468 * CHOOSE(CONTROL!$C$32, $C$9, 100%, $E$9)</f>
        <v>12.4468</v>
      </c>
      <c r="O674" s="81">
        <f>12.4163 * CHOOSE(CONTROL!$C$32, $C$9, 100%, $E$9)</f>
        <v>12.4163</v>
      </c>
    </row>
    <row r="675" spans="1:15" ht="15">
      <c r="A675" s="16">
        <v>61760</v>
      </c>
      <c r="B675" s="80">
        <f>10.7777 * CHOOSE(CONTROL!$C$32, $C$9, 100%, $E$9)</f>
        <v>10.777699999999999</v>
      </c>
      <c r="C675" s="80">
        <f>10.7777 * CHOOSE(CONTROL!$C$32, $C$9, 100%, $E$9)</f>
        <v>10.777699999999999</v>
      </c>
      <c r="D675" s="80">
        <f>10.7529 * CHOOSE(CONTROL!$C$32, $C$9, 100%, $E$9)</f>
        <v>10.7529</v>
      </c>
      <c r="E675" s="81">
        <f>12.2292 * CHOOSE(CONTROL!$C$32, $C$9, 100%, $E$9)</f>
        <v>12.229200000000001</v>
      </c>
      <c r="F675" s="81">
        <f>12.2292 * CHOOSE(CONTROL!$C$32, $C$9, 100%, $E$9)</f>
        <v>12.229200000000001</v>
      </c>
      <c r="G675" s="81">
        <f>12.1987 * CHOOSE(CONTROL!$C$32, $C$9, 100%, $E$9)</f>
        <v>12.198700000000001</v>
      </c>
      <c r="H675" s="81">
        <f>22.6668 * CHOOSE(CONTROL!$C$32, $C$9, 100%, $E$9)</f>
        <v>22.666799999999999</v>
      </c>
      <c r="I675" s="81">
        <f>22.6363 * CHOOSE(CONTROL!$C$32, $C$9, 100%, $E$9)</f>
        <v>22.636299999999999</v>
      </c>
      <c r="J675" s="81">
        <f>22.6668 * CHOOSE(CONTROL!$C$32, $C$9, 100%, $E$9)</f>
        <v>22.666799999999999</v>
      </c>
      <c r="K675" s="81">
        <f>22.6363 * CHOOSE(CONTROL!$C$32, $C$9, 100%, $E$9)</f>
        <v>22.636299999999999</v>
      </c>
      <c r="L675" s="81">
        <f>12.2292 * CHOOSE(CONTROL!$C$32, $C$9, 100%, $E$9)</f>
        <v>12.229200000000001</v>
      </c>
      <c r="M675" s="81">
        <f>12.1987 * CHOOSE(CONTROL!$C$32, $C$9, 100%, $E$9)</f>
        <v>12.198700000000001</v>
      </c>
      <c r="N675" s="81">
        <f>12.2292 * CHOOSE(CONTROL!$C$32, $C$9, 100%, $E$9)</f>
        <v>12.229200000000001</v>
      </c>
      <c r="O675" s="81">
        <f>12.1987 * CHOOSE(CONTROL!$C$32, $C$9, 100%, $E$9)</f>
        <v>12.198700000000001</v>
      </c>
    </row>
    <row r="676" spans="1:15" ht="15">
      <c r="A676" s="16">
        <v>61788</v>
      </c>
      <c r="B676" s="80">
        <f>10.7747 * CHOOSE(CONTROL!$C$32, $C$9, 100%, $E$9)</f>
        <v>10.774699999999999</v>
      </c>
      <c r="C676" s="80">
        <f>10.7747 * CHOOSE(CONTROL!$C$32, $C$9, 100%, $E$9)</f>
        <v>10.774699999999999</v>
      </c>
      <c r="D676" s="80">
        <f>10.7499 * CHOOSE(CONTROL!$C$32, $C$9, 100%, $E$9)</f>
        <v>10.7499</v>
      </c>
      <c r="E676" s="81">
        <f>12.397 * CHOOSE(CONTROL!$C$32, $C$9, 100%, $E$9)</f>
        <v>12.397</v>
      </c>
      <c r="F676" s="81">
        <f>12.397 * CHOOSE(CONTROL!$C$32, $C$9, 100%, $E$9)</f>
        <v>12.397</v>
      </c>
      <c r="G676" s="81">
        <f>12.3664 * CHOOSE(CONTROL!$C$32, $C$9, 100%, $E$9)</f>
        <v>12.366400000000001</v>
      </c>
      <c r="H676" s="81">
        <f>22.714 * CHOOSE(CONTROL!$C$32, $C$9, 100%, $E$9)</f>
        <v>22.713999999999999</v>
      </c>
      <c r="I676" s="81">
        <f>22.6835 * CHOOSE(CONTROL!$C$32, $C$9, 100%, $E$9)</f>
        <v>22.683499999999999</v>
      </c>
      <c r="J676" s="81">
        <f>22.714 * CHOOSE(CONTROL!$C$32, $C$9, 100%, $E$9)</f>
        <v>22.713999999999999</v>
      </c>
      <c r="K676" s="81">
        <f>22.6835 * CHOOSE(CONTROL!$C$32, $C$9, 100%, $E$9)</f>
        <v>22.683499999999999</v>
      </c>
      <c r="L676" s="81">
        <f>12.397 * CHOOSE(CONTROL!$C$32, $C$9, 100%, $E$9)</f>
        <v>12.397</v>
      </c>
      <c r="M676" s="81">
        <f>12.3664 * CHOOSE(CONTROL!$C$32, $C$9, 100%, $E$9)</f>
        <v>12.366400000000001</v>
      </c>
      <c r="N676" s="81">
        <f>12.397 * CHOOSE(CONTROL!$C$32, $C$9, 100%, $E$9)</f>
        <v>12.397</v>
      </c>
      <c r="O676" s="81">
        <f>12.3664 * CHOOSE(CONTROL!$C$32, $C$9, 100%, $E$9)</f>
        <v>12.366400000000001</v>
      </c>
    </row>
    <row r="677" spans="1:15" ht="15">
      <c r="A677" s="16">
        <v>61819</v>
      </c>
      <c r="B677" s="80">
        <f>10.778 * CHOOSE(CONTROL!$C$32, $C$9, 100%, $E$9)</f>
        <v>10.778</v>
      </c>
      <c r="C677" s="80">
        <f>10.778 * CHOOSE(CONTROL!$C$32, $C$9, 100%, $E$9)</f>
        <v>10.778</v>
      </c>
      <c r="D677" s="80">
        <f>10.7532 * CHOOSE(CONTROL!$C$32, $C$9, 100%, $E$9)</f>
        <v>10.7532</v>
      </c>
      <c r="E677" s="81">
        <f>12.5752 * CHOOSE(CONTROL!$C$32, $C$9, 100%, $E$9)</f>
        <v>12.575200000000001</v>
      </c>
      <c r="F677" s="81">
        <f>12.5752 * CHOOSE(CONTROL!$C$32, $C$9, 100%, $E$9)</f>
        <v>12.575200000000001</v>
      </c>
      <c r="G677" s="81">
        <f>12.5446 * CHOOSE(CONTROL!$C$32, $C$9, 100%, $E$9)</f>
        <v>12.544600000000001</v>
      </c>
      <c r="H677" s="81">
        <f>22.7614 * CHOOSE(CONTROL!$C$32, $C$9, 100%, $E$9)</f>
        <v>22.761399999999998</v>
      </c>
      <c r="I677" s="81">
        <f>22.7308 * CHOOSE(CONTROL!$C$32, $C$9, 100%, $E$9)</f>
        <v>22.730799999999999</v>
      </c>
      <c r="J677" s="81">
        <f>22.7614 * CHOOSE(CONTROL!$C$32, $C$9, 100%, $E$9)</f>
        <v>22.761399999999998</v>
      </c>
      <c r="K677" s="81">
        <f>22.7308 * CHOOSE(CONTROL!$C$32, $C$9, 100%, $E$9)</f>
        <v>22.730799999999999</v>
      </c>
      <c r="L677" s="81">
        <f>12.5752 * CHOOSE(CONTROL!$C$32, $C$9, 100%, $E$9)</f>
        <v>12.575200000000001</v>
      </c>
      <c r="M677" s="81">
        <f>12.5446 * CHOOSE(CONTROL!$C$32, $C$9, 100%, $E$9)</f>
        <v>12.544600000000001</v>
      </c>
      <c r="N677" s="81">
        <f>12.5752 * CHOOSE(CONTROL!$C$32, $C$9, 100%, $E$9)</f>
        <v>12.575200000000001</v>
      </c>
      <c r="O677" s="81">
        <f>12.5446 * CHOOSE(CONTROL!$C$32, $C$9, 100%, $E$9)</f>
        <v>12.544600000000001</v>
      </c>
    </row>
    <row r="678" spans="1:15" ht="15">
      <c r="A678" s="16">
        <v>61849</v>
      </c>
      <c r="B678" s="80">
        <f>10.778 * CHOOSE(CONTROL!$C$32, $C$9, 100%, $E$9)</f>
        <v>10.778</v>
      </c>
      <c r="C678" s="80">
        <f>10.778 * CHOOSE(CONTROL!$C$32, $C$9, 100%, $E$9)</f>
        <v>10.778</v>
      </c>
      <c r="D678" s="80">
        <f>10.7419 * CHOOSE(CONTROL!$C$32, $C$9, 100%, $E$9)</f>
        <v>10.741899999999999</v>
      </c>
      <c r="E678" s="81">
        <f>12.6436 * CHOOSE(CONTROL!$C$32, $C$9, 100%, $E$9)</f>
        <v>12.643599999999999</v>
      </c>
      <c r="F678" s="81">
        <f>12.6436 * CHOOSE(CONTROL!$C$32, $C$9, 100%, $E$9)</f>
        <v>12.643599999999999</v>
      </c>
      <c r="G678" s="81">
        <f>12.5994 * CHOOSE(CONTROL!$C$32, $C$9, 100%, $E$9)</f>
        <v>12.599399999999999</v>
      </c>
      <c r="H678" s="81">
        <f>22.8088 * CHOOSE(CONTROL!$C$32, $C$9, 100%, $E$9)</f>
        <v>22.808800000000002</v>
      </c>
      <c r="I678" s="81">
        <f>22.7646 * CHOOSE(CONTROL!$C$32, $C$9, 100%, $E$9)</f>
        <v>22.764600000000002</v>
      </c>
      <c r="J678" s="81">
        <f>22.8088 * CHOOSE(CONTROL!$C$32, $C$9, 100%, $E$9)</f>
        <v>22.808800000000002</v>
      </c>
      <c r="K678" s="81">
        <f>22.7646 * CHOOSE(CONTROL!$C$32, $C$9, 100%, $E$9)</f>
        <v>22.764600000000002</v>
      </c>
      <c r="L678" s="81">
        <f>12.6436 * CHOOSE(CONTROL!$C$32, $C$9, 100%, $E$9)</f>
        <v>12.643599999999999</v>
      </c>
      <c r="M678" s="81">
        <f>12.5994 * CHOOSE(CONTROL!$C$32, $C$9, 100%, $E$9)</f>
        <v>12.599399999999999</v>
      </c>
      <c r="N678" s="81">
        <f>12.6436 * CHOOSE(CONTROL!$C$32, $C$9, 100%, $E$9)</f>
        <v>12.643599999999999</v>
      </c>
      <c r="O678" s="81">
        <f>12.5994 * CHOOSE(CONTROL!$C$32, $C$9, 100%, $E$9)</f>
        <v>12.599399999999999</v>
      </c>
    </row>
    <row r="679" spans="1:15" ht="15">
      <c r="A679" s="16">
        <v>61880</v>
      </c>
      <c r="B679" s="80">
        <f>10.7841 * CHOOSE(CONTROL!$C$32, $C$9, 100%, $E$9)</f>
        <v>10.7841</v>
      </c>
      <c r="C679" s="80">
        <f>10.7841 * CHOOSE(CONTROL!$C$32, $C$9, 100%, $E$9)</f>
        <v>10.7841</v>
      </c>
      <c r="D679" s="80">
        <f>10.748 * CHOOSE(CONTROL!$C$32, $C$9, 100%, $E$9)</f>
        <v>10.747999999999999</v>
      </c>
      <c r="E679" s="81">
        <f>12.5794 * CHOOSE(CONTROL!$C$32, $C$9, 100%, $E$9)</f>
        <v>12.5794</v>
      </c>
      <c r="F679" s="81">
        <f>12.5794 * CHOOSE(CONTROL!$C$32, $C$9, 100%, $E$9)</f>
        <v>12.5794</v>
      </c>
      <c r="G679" s="81">
        <f>12.5352 * CHOOSE(CONTROL!$C$32, $C$9, 100%, $E$9)</f>
        <v>12.5352</v>
      </c>
      <c r="H679" s="81">
        <f>22.8563 * CHOOSE(CONTROL!$C$32, $C$9, 100%, $E$9)</f>
        <v>22.856300000000001</v>
      </c>
      <c r="I679" s="81">
        <f>22.8121 * CHOOSE(CONTROL!$C$32, $C$9, 100%, $E$9)</f>
        <v>22.812100000000001</v>
      </c>
      <c r="J679" s="81">
        <f>22.8563 * CHOOSE(CONTROL!$C$32, $C$9, 100%, $E$9)</f>
        <v>22.856300000000001</v>
      </c>
      <c r="K679" s="81">
        <f>22.8121 * CHOOSE(CONTROL!$C$32, $C$9, 100%, $E$9)</f>
        <v>22.812100000000001</v>
      </c>
      <c r="L679" s="81">
        <f>12.5794 * CHOOSE(CONTROL!$C$32, $C$9, 100%, $E$9)</f>
        <v>12.5794</v>
      </c>
      <c r="M679" s="81">
        <f>12.5352 * CHOOSE(CONTROL!$C$32, $C$9, 100%, $E$9)</f>
        <v>12.5352</v>
      </c>
      <c r="N679" s="81">
        <f>12.5794 * CHOOSE(CONTROL!$C$32, $C$9, 100%, $E$9)</f>
        <v>12.5794</v>
      </c>
      <c r="O679" s="81">
        <f>12.5352 * CHOOSE(CONTROL!$C$32, $C$9, 100%, $E$9)</f>
        <v>12.5352</v>
      </c>
    </row>
    <row r="680" spans="1:15" ht="15">
      <c r="A680" s="16">
        <v>61910</v>
      </c>
      <c r="B680" s="80">
        <f>10.9499 * CHOOSE(CONTROL!$C$32, $C$9, 100%, $E$9)</f>
        <v>10.9499</v>
      </c>
      <c r="C680" s="80">
        <f>10.9499 * CHOOSE(CONTROL!$C$32, $C$9, 100%, $E$9)</f>
        <v>10.9499</v>
      </c>
      <c r="D680" s="80">
        <f>10.9138 * CHOOSE(CONTROL!$C$32, $C$9, 100%, $E$9)</f>
        <v>10.9138</v>
      </c>
      <c r="E680" s="81">
        <f>12.7821 * CHOOSE(CONTROL!$C$32, $C$9, 100%, $E$9)</f>
        <v>12.7821</v>
      </c>
      <c r="F680" s="81">
        <f>12.7821 * CHOOSE(CONTROL!$C$32, $C$9, 100%, $E$9)</f>
        <v>12.7821</v>
      </c>
      <c r="G680" s="81">
        <f>12.7379 * CHOOSE(CONTROL!$C$32, $C$9, 100%, $E$9)</f>
        <v>12.7379</v>
      </c>
      <c r="H680" s="81">
        <f>22.9039 * CHOOSE(CONTROL!$C$32, $C$9, 100%, $E$9)</f>
        <v>22.9039</v>
      </c>
      <c r="I680" s="81">
        <f>22.8597 * CHOOSE(CONTROL!$C$32, $C$9, 100%, $E$9)</f>
        <v>22.8597</v>
      </c>
      <c r="J680" s="81">
        <f>22.9039 * CHOOSE(CONTROL!$C$32, $C$9, 100%, $E$9)</f>
        <v>22.9039</v>
      </c>
      <c r="K680" s="81">
        <f>22.8597 * CHOOSE(CONTROL!$C$32, $C$9, 100%, $E$9)</f>
        <v>22.8597</v>
      </c>
      <c r="L680" s="81">
        <f>12.7821 * CHOOSE(CONTROL!$C$32, $C$9, 100%, $E$9)</f>
        <v>12.7821</v>
      </c>
      <c r="M680" s="81">
        <f>12.7379 * CHOOSE(CONTROL!$C$32, $C$9, 100%, $E$9)</f>
        <v>12.7379</v>
      </c>
      <c r="N680" s="81">
        <f>12.7821 * CHOOSE(CONTROL!$C$32, $C$9, 100%, $E$9)</f>
        <v>12.7821</v>
      </c>
      <c r="O680" s="81">
        <f>12.7379 * CHOOSE(CONTROL!$C$32, $C$9, 100%, $E$9)</f>
        <v>12.7379</v>
      </c>
    </row>
    <row r="681" spans="1:15" ht="15">
      <c r="A681" s="16">
        <v>61941</v>
      </c>
      <c r="B681" s="80">
        <f>10.9566 * CHOOSE(CONTROL!$C$32, $C$9, 100%, $E$9)</f>
        <v>10.9566</v>
      </c>
      <c r="C681" s="80">
        <f>10.9566 * CHOOSE(CONTROL!$C$32, $C$9, 100%, $E$9)</f>
        <v>10.9566</v>
      </c>
      <c r="D681" s="80">
        <f>10.9205 * CHOOSE(CONTROL!$C$32, $C$9, 100%, $E$9)</f>
        <v>10.920500000000001</v>
      </c>
      <c r="E681" s="81">
        <f>12.5815 * CHOOSE(CONTROL!$C$32, $C$9, 100%, $E$9)</f>
        <v>12.5815</v>
      </c>
      <c r="F681" s="81">
        <f>12.5815 * CHOOSE(CONTROL!$C$32, $C$9, 100%, $E$9)</f>
        <v>12.5815</v>
      </c>
      <c r="G681" s="81">
        <f>12.5373 * CHOOSE(CONTROL!$C$32, $C$9, 100%, $E$9)</f>
        <v>12.5373</v>
      </c>
      <c r="H681" s="81">
        <f>22.9516 * CHOOSE(CONTROL!$C$32, $C$9, 100%, $E$9)</f>
        <v>22.951599999999999</v>
      </c>
      <c r="I681" s="81">
        <f>22.9074 * CHOOSE(CONTROL!$C$32, $C$9, 100%, $E$9)</f>
        <v>22.907399999999999</v>
      </c>
      <c r="J681" s="81">
        <f>22.9516 * CHOOSE(CONTROL!$C$32, $C$9, 100%, $E$9)</f>
        <v>22.951599999999999</v>
      </c>
      <c r="K681" s="81">
        <f>22.9074 * CHOOSE(CONTROL!$C$32, $C$9, 100%, $E$9)</f>
        <v>22.907399999999999</v>
      </c>
      <c r="L681" s="81">
        <f>12.5815 * CHOOSE(CONTROL!$C$32, $C$9, 100%, $E$9)</f>
        <v>12.5815</v>
      </c>
      <c r="M681" s="81">
        <f>12.5373 * CHOOSE(CONTROL!$C$32, $C$9, 100%, $E$9)</f>
        <v>12.5373</v>
      </c>
      <c r="N681" s="81">
        <f>12.5815 * CHOOSE(CONTROL!$C$32, $C$9, 100%, $E$9)</f>
        <v>12.5815</v>
      </c>
      <c r="O681" s="81">
        <f>12.5373 * CHOOSE(CONTROL!$C$32, $C$9, 100%, $E$9)</f>
        <v>12.5373</v>
      </c>
    </row>
    <row r="682" spans="1:15" ht="15">
      <c r="A682" s="16">
        <v>61972</v>
      </c>
      <c r="B682" s="80">
        <f>10.9536 * CHOOSE(CONTROL!$C$32, $C$9, 100%, $E$9)</f>
        <v>10.9536</v>
      </c>
      <c r="C682" s="80">
        <f>10.9536 * CHOOSE(CONTROL!$C$32, $C$9, 100%, $E$9)</f>
        <v>10.9536</v>
      </c>
      <c r="D682" s="80">
        <f>10.9174 * CHOOSE(CONTROL!$C$32, $C$9, 100%, $E$9)</f>
        <v>10.917400000000001</v>
      </c>
      <c r="E682" s="81">
        <f>12.5566 * CHOOSE(CONTROL!$C$32, $C$9, 100%, $E$9)</f>
        <v>12.5566</v>
      </c>
      <c r="F682" s="81">
        <f>12.5566 * CHOOSE(CONTROL!$C$32, $C$9, 100%, $E$9)</f>
        <v>12.5566</v>
      </c>
      <c r="G682" s="81">
        <f>12.5124 * CHOOSE(CONTROL!$C$32, $C$9, 100%, $E$9)</f>
        <v>12.5124</v>
      </c>
      <c r="H682" s="81">
        <f>22.9995 * CHOOSE(CONTROL!$C$32, $C$9, 100%, $E$9)</f>
        <v>22.999500000000001</v>
      </c>
      <c r="I682" s="81">
        <f>22.9553 * CHOOSE(CONTROL!$C$32, $C$9, 100%, $E$9)</f>
        <v>22.955300000000001</v>
      </c>
      <c r="J682" s="81">
        <f>22.9995 * CHOOSE(CONTROL!$C$32, $C$9, 100%, $E$9)</f>
        <v>22.999500000000001</v>
      </c>
      <c r="K682" s="81">
        <f>22.9553 * CHOOSE(CONTROL!$C$32, $C$9, 100%, $E$9)</f>
        <v>22.955300000000001</v>
      </c>
      <c r="L682" s="81">
        <f>12.5566 * CHOOSE(CONTROL!$C$32, $C$9, 100%, $E$9)</f>
        <v>12.5566</v>
      </c>
      <c r="M682" s="81">
        <f>12.5124 * CHOOSE(CONTROL!$C$32, $C$9, 100%, $E$9)</f>
        <v>12.5124</v>
      </c>
      <c r="N682" s="81">
        <f>12.5566 * CHOOSE(CONTROL!$C$32, $C$9, 100%, $E$9)</f>
        <v>12.5566</v>
      </c>
      <c r="O682" s="81">
        <f>12.5124 * CHOOSE(CONTROL!$C$32, $C$9, 100%, $E$9)</f>
        <v>12.5124</v>
      </c>
    </row>
    <row r="683" spans="1:15" ht="15">
      <c r="A683" s="16">
        <v>62002</v>
      </c>
      <c r="B683" s="80">
        <f>10.9711 * CHOOSE(CONTROL!$C$32, $C$9, 100%, $E$9)</f>
        <v>10.9711</v>
      </c>
      <c r="C683" s="80">
        <f>10.9711 * CHOOSE(CONTROL!$C$32, $C$9, 100%, $E$9)</f>
        <v>10.9711</v>
      </c>
      <c r="D683" s="80">
        <f>10.9463 * CHOOSE(CONTROL!$C$32, $C$9, 100%, $E$9)</f>
        <v>10.946300000000001</v>
      </c>
      <c r="E683" s="81">
        <f>12.6344 * CHOOSE(CONTROL!$C$32, $C$9, 100%, $E$9)</f>
        <v>12.634399999999999</v>
      </c>
      <c r="F683" s="81">
        <f>12.6344 * CHOOSE(CONTROL!$C$32, $C$9, 100%, $E$9)</f>
        <v>12.634399999999999</v>
      </c>
      <c r="G683" s="81">
        <f>12.6038 * CHOOSE(CONTROL!$C$32, $C$9, 100%, $E$9)</f>
        <v>12.6038</v>
      </c>
      <c r="H683" s="81">
        <f>23.0474 * CHOOSE(CONTROL!$C$32, $C$9, 100%, $E$9)</f>
        <v>23.0474</v>
      </c>
      <c r="I683" s="81">
        <f>23.0168 * CHOOSE(CONTROL!$C$32, $C$9, 100%, $E$9)</f>
        <v>23.0168</v>
      </c>
      <c r="J683" s="81">
        <f>23.0474 * CHOOSE(CONTROL!$C$32, $C$9, 100%, $E$9)</f>
        <v>23.0474</v>
      </c>
      <c r="K683" s="81">
        <f>23.0168 * CHOOSE(CONTROL!$C$32, $C$9, 100%, $E$9)</f>
        <v>23.0168</v>
      </c>
      <c r="L683" s="81">
        <f>12.6344 * CHOOSE(CONTROL!$C$32, $C$9, 100%, $E$9)</f>
        <v>12.634399999999999</v>
      </c>
      <c r="M683" s="81">
        <f>12.6038 * CHOOSE(CONTROL!$C$32, $C$9, 100%, $E$9)</f>
        <v>12.6038</v>
      </c>
      <c r="N683" s="81">
        <f>12.6344 * CHOOSE(CONTROL!$C$32, $C$9, 100%, $E$9)</f>
        <v>12.634399999999999</v>
      </c>
      <c r="O683" s="81">
        <f>12.6038 * CHOOSE(CONTROL!$C$32, $C$9, 100%, $E$9)</f>
        <v>12.6038</v>
      </c>
    </row>
    <row r="684" spans="1:15" ht="15">
      <c r="A684" s="16">
        <v>62033</v>
      </c>
      <c r="B684" s="80">
        <f>10.9742 * CHOOSE(CONTROL!$C$32, $C$9, 100%, $E$9)</f>
        <v>10.9742</v>
      </c>
      <c r="C684" s="80">
        <f>10.9742 * CHOOSE(CONTROL!$C$32, $C$9, 100%, $E$9)</f>
        <v>10.9742</v>
      </c>
      <c r="D684" s="80">
        <f>10.9494 * CHOOSE(CONTROL!$C$32, $C$9, 100%, $E$9)</f>
        <v>10.949400000000001</v>
      </c>
      <c r="E684" s="81">
        <f>12.6821 * CHOOSE(CONTROL!$C$32, $C$9, 100%, $E$9)</f>
        <v>12.6821</v>
      </c>
      <c r="F684" s="81">
        <f>12.6821 * CHOOSE(CONTROL!$C$32, $C$9, 100%, $E$9)</f>
        <v>12.6821</v>
      </c>
      <c r="G684" s="81">
        <f>12.6515 * CHOOSE(CONTROL!$C$32, $C$9, 100%, $E$9)</f>
        <v>12.6515</v>
      </c>
      <c r="H684" s="81">
        <f>23.0954 * CHOOSE(CONTROL!$C$32, $C$9, 100%, $E$9)</f>
        <v>23.095400000000001</v>
      </c>
      <c r="I684" s="81">
        <f>23.0648 * CHOOSE(CONTROL!$C$32, $C$9, 100%, $E$9)</f>
        <v>23.064800000000002</v>
      </c>
      <c r="J684" s="81">
        <f>23.0954 * CHOOSE(CONTROL!$C$32, $C$9, 100%, $E$9)</f>
        <v>23.095400000000001</v>
      </c>
      <c r="K684" s="81">
        <f>23.0648 * CHOOSE(CONTROL!$C$32, $C$9, 100%, $E$9)</f>
        <v>23.064800000000002</v>
      </c>
      <c r="L684" s="81">
        <f>12.6821 * CHOOSE(CONTROL!$C$32, $C$9, 100%, $E$9)</f>
        <v>12.6821</v>
      </c>
      <c r="M684" s="81">
        <f>12.6515 * CHOOSE(CONTROL!$C$32, $C$9, 100%, $E$9)</f>
        <v>12.6515</v>
      </c>
      <c r="N684" s="81">
        <f>12.6821 * CHOOSE(CONTROL!$C$32, $C$9, 100%, $E$9)</f>
        <v>12.6821</v>
      </c>
      <c r="O684" s="81">
        <f>12.6515 * CHOOSE(CONTROL!$C$32, $C$9, 100%, $E$9)</f>
        <v>12.6515</v>
      </c>
    </row>
    <row r="685" spans="1:15" ht="15">
      <c r="A685" s="16">
        <v>62063</v>
      </c>
      <c r="B685" s="80">
        <f>10.9742 * CHOOSE(CONTROL!$C$32, $C$9, 100%, $E$9)</f>
        <v>10.9742</v>
      </c>
      <c r="C685" s="80">
        <f>10.9742 * CHOOSE(CONTROL!$C$32, $C$9, 100%, $E$9)</f>
        <v>10.9742</v>
      </c>
      <c r="D685" s="80">
        <f>10.9494 * CHOOSE(CONTROL!$C$32, $C$9, 100%, $E$9)</f>
        <v>10.949400000000001</v>
      </c>
      <c r="E685" s="81">
        <f>12.5681 * CHOOSE(CONTROL!$C$32, $C$9, 100%, $E$9)</f>
        <v>12.568099999999999</v>
      </c>
      <c r="F685" s="81">
        <f>12.5681 * CHOOSE(CONTROL!$C$32, $C$9, 100%, $E$9)</f>
        <v>12.568099999999999</v>
      </c>
      <c r="G685" s="81">
        <f>12.5375 * CHOOSE(CONTROL!$C$32, $C$9, 100%, $E$9)</f>
        <v>12.5375</v>
      </c>
      <c r="H685" s="81">
        <f>23.1435 * CHOOSE(CONTROL!$C$32, $C$9, 100%, $E$9)</f>
        <v>23.1435</v>
      </c>
      <c r="I685" s="81">
        <f>23.1129 * CHOOSE(CONTROL!$C$32, $C$9, 100%, $E$9)</f>
        <v>23.1129</v>
      </c>
      <c r="J685" s="81">
        <f>23.1435 * CHOOSE(CONTROL!$C$32, $C$9, 100%, $E$9)</f>
        <v>23.1435</v>
      </c>
      <c r="K685" s="81">
        <f>23.1129 * CHOOSE(CONTROL!$C$32, $C$9, 100%, $E$9)</f>
        <v>23.1129</v>
      </c>
      <c r="L685" s="81">
        <f>12.5681 * CHOOSE(CONTROL!$C$32, $C$9, 100%, $E$9)</f>
        <v>12.568099999999999</v>
      </c>
      <c r="M685" s="81">
        <f>12.5375 * CHOOSE(CONTROL!$C$32, $C$9, 100%, $E$9)</f>
        <v>12.5375</v>
      </c>
      <c r="N685" s="81">
        <f>12.5681 * CHOOSE(CONTROL!$C$32, $C$9, 100%, $E$9)</f>
        <v>12.568099999999999</v>
      </c>
      <c r="O685" s="81">
        <f>12.5375 * CHOOSE(CONTROL!$C$32, $C$9, 100%, $E$9)</f>
        <v>12.5375</v>
      </c>
    </row>
    <row r="686" spans="1:15" ht="15">
      <c r="A686" s="16">
        <v>62094</v>
      </c>
      <c r="B686" s="80">
        <f>11.0163 * CHOOSE(CONTROL!$C$32, $C$9, 100%, $E$9)</f>
        <v>11.016299999999999</v>
      </c>
      <c r="C686" s="80">
        <f>11.0163 * CHOOSE(CONTROL!$C$32, $C$9, 100%, $E$9)</f>
        <v>11.016299999999999</v>
      </c>
      <c r="D686" s="80">
        <f>10.988 * CHOOSE(CONTROL!$C$32, $C$9, 100%, $E$9)</f>
        <v>10.988</v>
      </c>
      <c r="E686" s="81">
        <f>12.7015 * CHOOSE(CONTROL!$C$32, $C$9, 100%, $E$9)</f>
        <v>12.701499999999999</v>
      </c>
      <c r="F686" s="81">
        <f>12.7015 * CHOOSE(CONTROL!$C$32, $C$9, 100%, $E$9)</f>
        <v>12.701499999999999</v>
      </c>
      <c r="G686" s="81">
        <f>12.6666 * CHOOSE(CONTROL!$C$32, $C$9, 100%, $E$9)</f>
        <v>12.666600000000001</v>
      </c>
      <c r="H686" s="81">
        <f>23.0955 * CHOOSE(CONTROL!$C$32, $C$9, 100%, $E$9)</f>
        <v>23.095500000000001</v>
      </c>
      <c r="I686" s="81">
        <f>23.0605 * CHOOSE(CONTROL!$C$32, $C$9, 100%, $E$9)</f>
        <v>23.060500000000001</v>
      </c>
      <c r="J686" s="81">
        <f>23.0955 * CHOOSE(CONTROL!$C$32, $C$9, 100%, $E$9)</f>
        <v>23.095500000000001</v>
      </c>
      <c r="K686" s="81">
        <f>23.0605 * CHOOSE(CONTROL!$C$32, $C$9, 100%, $E$9)</f>
        <v>23.060500000000001</v>
      </c>
      <c r="L686" s="81">
        <f>12.7015 * CHOOSE(CONTROL!$C$32, $C$9, 100%, $E$9)</f>
        <v>12.701499999999999</v>
      </c>
      <c r="M686" s="81">
        <f>12.6666 * CHOOSE(CONTROL!$C$32, $C$9, 100%, $E$9)</f>
        <v>12.666600000000001</v>
      </c>
      <c r="N686" s="81">
        <f>12.7015 * CHOOSE(CONTROL!$C$32, $C$9, 100%, $E$9)</f>
        <v>12.701499999999999</v>
      </c>
      <c r="O686" s="81">
        <f>12.6666 * CHOOSE(CONTROL!$C$32, $C$9, 100%, $E$9)</f>
        <v>12.666600000000001</v>
      </c>
    </row>
    <row r="687" spans="1:15" ht="15">
      <c r="A687" s="16">
        <v>62125</v>
      </c>
      <c r="B687" s="80">
        <f>11.0133 * CHOOSE(CONTROL!$C$32, $C$9, 100%, $E$9)</f>
        <v>11.013299999999999</v>
      </c>
      <c r="C687" s="80">
        <f>11.0133 * CHOOSE(CONTROL!$C$32, $C$9, 100%, $E$9)</f>
        <v>11.013299999999999</v>
      </c>
      <c r="D687" s="80">
        <f>10.9849 * CHOOSE(CONTROL!$C$32, $C$9, 100%, $E$9)</f>
        <v>10.9849</v>
      </c>
      <c r="E687" s="81">
        <f>12.479 * CHOOSE(CONTROL!$C$32, $C$9, 100%, $E$9)</f>
        <v>12.478999999999999</v>
      </c>
      <c r="F687" s="81">
        <f>12.479 * CHOOSE(CONTROL!$C$32, $C$9, 100%, $E$9)</f>
        <v>12.478999999999999</v>
      </c>
      <c r="G687" s="81">
        <f>12.4441 * CHOOSE(CONTROL!$C$32, $C$9, 100%, $E$9)</f>
        <v>12.444100000000001</v>
      </c>
      <c r="H687" s="81">
        <f>23.1436 * CHOOSE(CONTROL!$C$32, $C$9, 100%, $E$9)</f>
        <v>23.143599999999999</v>
      </c>
      <c r="I687" s="81">
        <f>23.1087 * CHOOSE(CONTROL!$C$32, $C$9, 100%, $E$9)</f>
        <v>23.108699999999999</v>
      </c>
      <c r="J687" s="81">
        <f>23.1436 * CHOOSE(CONTROL!$C$32, $C$9, 100%, $E$9)</f>
        <v>23.143599999999999</v>
      </c>
      <c r="K687" s="81">
        <f>23.1087 * CHOOSE(CONTROL!$C$32, $C$9, 100%, $E$9)</f>
        <v>23.108699999999999</v>
      </c>
      <c r="L687" s="81">
        <f>12.479 * CHOOSE(CONTROL!$C$32, $C$9, 100%, $E$9)</f>
        <v>12.478999999999999</v>
      </c>
      <c r="M687" s="81">
        <f>12.4441 * CHOOSE(CONTROL!$C$32, $C$9, 100%, $E$9)</f>
        <v>12.444100000000001</v>
      </c>
      <c r="N687" s="81">
        <f>12.479 * CHOOSE(CONTROL!$C$32, $C$9, 100%, $E$9)</f>
        <v>12.478999999999999</v>
      </c>
      <c r="O687" s="81">
        <f>12.4441 * CHOOSE(CONTROL!$C$32, $C$9, 100%, $E$9)</f>
        <v>12.444100000000001</v>
      </c>
    </row>
    <row r="688" spans="1:15" ht="15">
      <c r="A688" s="16">
        <v>62153</v>
      </c>
      <c r="B688" s="80">
        <f>11.0102 * CHOOSE(CONTROL!$C$32, $C$9, 100%, $E$9)</f>
        <v>11.010199999999999</v>
      </c>
      <c r="C688" s="80">
        <f>11.0102 * CHOOSE(CONTROL!$C$32, $C$9, 100%, $E$9)</f>
        <v>11.010199999999999</v>
      </c>
      <c r="D688" s="80">
        <f>10.9819 * CHOOSE(CONTROL!$C$32, $C$9, 100%, $E$9)</f>
        <v>10.9819</v>
      </c>
      <c r="E688" s="81">
        <f>12.6507 * CHOOSE(CONTROL!$C$32, $C$9, 100%, $E$9)</f>
        <v>12.650700000000001</v>
      </c>
      <c r="F688" s="81">
        <f>12.6507 * CHOOSE(CONTROL!$C$32, $C$9, 100%, $E$9)</f>
        <v>12.650700000000001</v>
      </c>
      <c r="G688" s="81">
        <f>12.6157 * CHOOSE(CONTROL!$C$32, $C$9, 100%, $E$9)</f>
        <v>12.6157</v>
      </c>
      <c r="H688" s="81">
        <f>23.1918 * CHOOSE(CONTROL!$C$32, $C$9, 100%, $E$9)</f>
        <v>23.191800000000001</v>
      </c>
      <c r="I688" s="81">
        <f>23.1569 * CHOOSE(CONTROL!$C$32, $C$9, 100%, $E$9)</f>
        <v>23.1569</v>
      </c>
      <c r="J688" s="81">
        <f>23.1918 * CHOOSE(CONTROL!$C$32, $C$9, 100%, $E$9)</f>
        <v>23.191800000000001</v>
      </c>
      <c r="K688" s="81">
        <f>23.1569 * CHOOSE(CONTROL!$C$32, $C$9, 100%, $E$9)</f>
        <v>23.1569</v>
      </c>
      <c r="L688" s="81">
        <f>12.6507 * CHOOSE(CONTROL!$C$32, $C$9, 100%, $E$9)</f>
        <v>12.650700000000001</v>
      </c>
      <c r="M688" s="81">
        <f>12.6157 * CHOOSE(CONTROL!$C$32, $C$9, 100%, $E$9)</f>
        <v>12.6157</v>
      </c>
      <c r="N688" s="81">
        <f>12.6507 * CHOOSE(CONTROL!$C$32, $C$9, 100%, $E$9)</f>
        <v>12.650700000000001</v>
      </c>
      <c r="O688" s="81">
        <f>12.6157 * CHOOSE(CONTROL!$C$32, $C$9, 100%, $E$9)</f>
        <v>12.6157</v>
      </c>
    </row>
    <row r="689" spans="1:15" ht="15">
      <c r="A689" s="16">
        <v>62184</v>
      </c>
      <c r="B689" s="80">
        <f>11.0138 * CHOOSE(CONTROL!$C$32, $C$9, 100%, $E$9)</f>
        <v>11.0138</v>
      </c>
      <c r="C689" s="80">
        <f>11.0138 * CHOOSE(CONTROL!$C$32, $C$9, 100%, $E$9)</f>
        <v>11.0138</v>
      </c>
      <c r="D689" s="80">
        <f>10.9855 * CHOOSE(CONTROL!$C$32, $C$9, 100%, $E$9)</f>
        <v>10.9855</v>
      </c>
      <c r="E689" s="81">
        <f>12.833 * CHOOSE(CONTROL!$C$32, $C$9, 100%, $E$9)</f>
        <v>12.833</v>
      </c>
      <c r="F689" s="81">
        <f>12.833 * CHOOSE(CONTROL!$C$32, $C$9, 100%, $E$9)</f>
        <v>12.833</v>
      </c>
      <c r="G689" s="81">
        <f>12.7981 * CHOOSE(CONTROL!$C$32, $C$9, 100%, $E$9)</f>
        <v>12.7981</v>
      </c>
      <c r="H689" s="81">
        <f>23.2401 * CHOOSE(CONTROL!$C$32, $C$9, 100%, $E$9)</f>
        <v>23.240100000000002</v>
      </c>
      <c r="I689" s="81">
        <f>23.2052 * CHOOSE(CONTROL!$C$32, $C$9, 100%, $E$9)</f>
        <v>23.205200000000001</v>
      </c>
      <c r="J689" s="81">
        <f>23.2401 * CHOOSE(CONTROL!$C$32, $C$9, 100%, $E$9)</f>
        <v>23.240100000000002</v>
      </c>
      <c r="K689" s="81">
        <f>23.2052 * CHOOSE(CONTROL!$C$32, $C$9, 100%, $E$9)</f>
        <v>23.205200000000001</v>
      </c>
      <c r="L689" s="81">
        <f>12.833 * CHOOSE(CONTROL!$C$32, $C$9, 100%, $E$9)</f>
        <v>12.833</v>
      </c>
      <c r="M689" s="81">
        <f>12.7981 * CHOOSE(CONTROL!$C$32, $C$9, 100%, $E$9)</f>
        <v>12.7981</v>
      </c>
      <c r="N689" s="81">
        <f>12.833 * CHOOSE(CONTROL!$C$32, $C$9, 100%, $E$9)</f>
        <v>12.833</v>
      </c>
      <c r="O689" s="81">
        <f>12.7981 * CHOOSE(CONTROL!$C$32, $C$9, 100%, $E$9)</f>
        <v>12.7981</v>
      </c>
    </row>
    <row r="690" spans="1:15" ht="15">
      <c r="A690" s="16">
        <v>62214</v>
      </c>
      <c r="B690" s="80">
        <f>11.0138 * CHOOSE(CONTROL!$C$32, $C$9, 100%, $E$9)</f>
        <v>11.0138</v>
      </c>
      <c r="C690" s="80">
        <f>11.0138 * CHOOSE(CONTROL!$C$32, $C$9, 100%, $E$9)</f>
        <v>11.0138</v>
      </c>
      <c r="D690" s="80">
        <f>10.9725 * CHOOSE(CONTROL!$C$32, $C$9, 100%, $E$9)</f>
        <v>10.9725</v>
      </c>
      <c r="E690" s="81">
        <f>12.903 * CHOOSE(CONTROL!$C$32, $C$9, 100%, $E$9)</f>
        <v>12.903</v>
      </c>
      <c r="F690" s="81">
        <f>12.903 * CHOOSE(CONTROL!$C$32, $C$9, 100%, $E$9)</f>
        <v>12.903</v>
      </c>
      <c r="G690" s="81">
        <f>12.8525 * CHOOSE(CONTROL!$C$32, $C$9, 100%, $E$9)</f>
        <v>12.852499999999999</v>
      </c>
      <c r="H690" s="81">
        <f>23.2885 * CHOOSE(CONTROL!$C$32, $C$9, 100%, $E$9)</f>
        <v>23.288499999999999</v>
      </c>
      <c r="I690" s="81">
        <f>23.238 * CHOOSE(CONTROL!$C$32, $C$9, 100%, $E$9)</f>
        <v>23.238</v>
      </c>
      <c r="J690" s="81">
        <f>23.2885 * CHOOSE(CONTROL!$C$32, $C$9, 100%, $E$9)</f>
        <v>23.288499999999999</v>
      </c>
      <c r="K690" s="81">
        <f>23.238 * CHOOSE(CONTROL!$C$32, $C$9, 100%, $E$9)</f>
        <v>23.238</v>
      </c>
      <c r="L690" s="81">
        <f>12.903 * CHOOSE(CONTROL!$C$32, $C$9, 100%, $E$9)</f>
        <v>12.903</v>
      </c>
      <c r="M690" s="81">
        <f>12.8525 * CHOOSE(CONTROL!$C$32, $C$9, 100%, $E$9)</f>
        <v>12.852499999999999</v>
      </c>
      <c r="N690" s="81">
        <f>12.903 * CHOOSE(CONTROL!$C$32, $C$9, 100%, $E$9)</f>
        <v>12.903</v>
      </c>
      <c r="O690" s="81">
        <f>12.8525 * CHOOSE(CONTROL!$C$32, $C$9, 100%, $E$9)</f>
        <v>12.852499999999999</v>
      </c>
    </row>
    <row r="691" spans="1:15" ht="15">
      <c r="A691" s="16">
        <v>62245</v>
      </c>
      <c r="B691" s="80">
        <f>11.0199 * CHOOSE(CONTROL!$C$32, $C$9, 100%, $E$9)</f>
        <v>11.0199</v>
      </c>
      <c r="C691" s="80">
        <f>11.0199 * CHOOSE(CONTROL!$C$32, $C$9, 100%, $E$9)</f>
        <v>11.0199</v>
      </c>
      <c r="D691" s="80">
        <f>10.9786 * CHOOSE(CONTROL!$C$32, $C$9, 100%, $E$9)</f>
        <v>10.9786</v>
      </c>
      <c r="E691" s="81">
        <f>12.8373 * CHOOSE(CONTROL!$C$32, $C$9, 100%, $E$9)</f>
        <v>12.837300000000001</v>
      </c>
      <c r="F691" s="81">
        <f>12.8373 * CHOOSE(CONTROL!$C$32, $C$9, 100%, $E$9)</f>
        <v>12.837300000000001</v>
      </c>
      <c r="G691" s="81">
        <f>12.7867 * CHOOSE(CONTROL!$C$32, $C$9, 100%, $E$9)</f>
        <v>12.7867</v>
      </c>
      <c r="H691" s="81">
        <f>23.3371 * CHOOSE(CONTROL!$C$32, $C$9, 100%, $E$9)</f>
        <v>23.3371</v>
      </c>
      <c r="I691" s="81">
        <f>23.2865 * CHOOSE(CONTROL!$C$32, $C$9, 100%, $E$9)</f>
        <v>23.2865</v>
      </c>
      <c r="J691" s="81">
        <f>23.3371 * CHOOSE(CONTROL!$C$32, $C$9, 100%, $E$9)</f>
        <v>23.3371</v>
      </c>
      <c r="K691" s="81">
        <f>23.2865 * CHOOSE(CONTROL!$C$32, $C$9, 100%, $E$9)</f>
        <v>23.2865</v>
      </c>
      <c r="L691" s="81">
        <f>12.8373 * CHOOSE(CONTROL!$C$32, $C$9, 100%, $E$9)</f>
        <v>12.837300000000001</v>
      </c>
      <c r="M691" s="81">
        <f>12.7867 * CHOOSE(CONTROL!$C$32, $C$9, 100%, $E$9)</f>
        <v>12.7867</v>
      </c>
      <c r="N691" s="81">
        <f>12.8373 * CHOOSE(CONTROL!$C$32, $C$9, 100%, $E$9)</f>
        <v>12.837300000000001</v>
      </c>
      <c r="O691" s="81">
        <f>12.7867 * CHOOSE(CONTROL!$C$32, $C$9, 100%, $E$9)</f>
        <v>12.7867</v>
      </c>
    </row>
    <row r="692" spans="1:15" ht="15">
      <c r="A692" s="16">
        <v>62275</v>
      </c>
      <c r="B692" s="80">
        <f>11.1891 * CHOOSE(CONTROL!$C$32, $C$9, 100%, $E$9)</f>
        <v>11.1891</v>
      </c>
      <c r="C692" s="80">
        <f>11.1891 * CHOOSE(CONTROL!$C$32, $C$9, 100%, $E$9)</f>
        <v>11.1891</v>
      </c>
      <c r="D692" s="80">
        <f>11.1478 * CHOOSE(CONTROL!$C$32, $C$9, 100%, $E$9)</f>
        <v>11.1478</v>
      </c>
      <c r="E692" s="81">
        <f>13.0438 * CHOOSE(CONTROL!$C$32, $C$9, 100%, $E$9)</f>
        <v>13.043799999999999</v>
      </c>
      <c r="F692" s="81">
        <f>13.0438 * CHOOSE(CONTROL!$C$32, $C$9, 100%, $E$9)</f>
        <v>13.043799999999999</v>
      </c>
      <c r="G692" s="81">
        <f>12.9933 * CHOOSE(CONTROL!$C$32, $C$9, 100%, $E$9)</f>
        <v>12.9933</v>
      </c>
      <c r="H692" s="81">
        <f>23.3857 * CHOOSE(CONTROL!$C$32, $C$9, 100%, $E$9)</f>
        <v>23.3857</v>
      </c>
      <c r="I692" s="81">
        <f>23.3351 * CHOOSE(CONTROL!$C$32, $C$9, 100%, $E$9)</f>
        <v>23.335100000000001</v>
      </c>
      <c r="J692" s="81">
        <f>23.3857 * CHOOSE(CONTROL!$C$32, $C$9, 100%, $E$9)</f>
        <v>23.3857</v>
      </c>
      <c r="K692" s="81">
        <f>23.3351 * CHOOSE(CONTROL!$C$32, $C$9, 100%, $E$9)</f>
        <v>23.335100000000001</v>
      </c>
      <c r="L692" s="81">
        <f>13.0438 * CHOOSE(CONTROL!$C$32, $C$9, 100%, $E$9)</f>
        <v>13.043799999999999</v>
      </c>
      <c r="M692" s="81">
        <f>12.9933 * CHOOSE(CONTROL!$C$32, $C$9, 100%, $E$9)</f>
        <v>12.9933</v>
      </c>
      <c r="N692" s="81">
        <f>13.0438 * CHOOSE(CONTROL!$C$32, $C$9, 100%, $E$9)</f>
        <v>13.043799999999999</v>
      </c>
      <c r="O692" s="81">
        <f>12.9933 * CHOOSE(CONTROL!$C$32, $C$9, 100%, $E$9)</f>
        <v>12.9933</v>
      </c>
    </row>
    <row r="693" spans="1:15" ht="15">
      <c r="A693" s="16">
        <v>62306</v>
      </c>
      <c r="B693" s="80">
        <f>11.1958 * CHOOSE(CONTROL!$C$32, $C$9, 100%, $E$9)</f>
        <v>11.1958</v>
      </c>
      <c r="C693" s="80">
        <f>11.1958 * CHOOSE(CONTROL!$C$32, $C$9, 100%, $E$9)</f>
        <v>11.1958</v>
      </c>
      <c r="D693" s="80">
        <f>11.1545 * CHOOSE(CONTROL!$C$32, $C$9, 100%, $E$9)</f>
        <v>11.154500000000001</v>
      </c>
      <c r="E693" s="81">
        <f>12.8386 * CHOOSE(CONTROL!$C$32, $C$9, 100%, $E$9)</f>
        <v>12.8386</v>
      </c>
      <c r="F693" s="81">
        <f>12.8386 * CHOOSE(CONTROL!$C$32, $C$9, 100%, $E$9)</f>
        <v>12.8386</v>
      </c>
      <c r="G693" s="81">
        <f>12.788 * CHOOSE(CONTROL!$C$32, $C$9, 100%, $E$9)</f>
        <v>12.788</v>
      </c>
      <c r="H693" s="81">
        <f>23.4344 * CHOOSE(CONTROL!$C$32, $C$9, 100%, $E$9)</f>
        <v>23.4344</v>
      </c>
      <c r="I693" s="81">
        <f>23.3839 * CHOOSE(CONTROL!$C$32, $C$9, 100%, $E$9)</f>
        <v>23.383900000000001</v>
      </c>
      <c r="J693" s="81">
        <f>23.4344 * CHOOSE(CONTROL!$C$32, $C$9, 100%, $E$9)</f>
        <v>23.4344</v>
      </c>
      <c r="K693" s="81">
        <f>23.3839 * CHOOSE(CONTROL!$C$32, $C$9, 100%, $E$9)</f>
        <v>23.383900000000001</v>
      </c>
      <c r="L693" s="81">
        <f>12.8386 * CHOOSE(CONTROL!$C$32, $C$9, 100%, $E$9)</f>
        <v>12.8386</v>
      </c>
      <c r="M693" s="81">
        <f>12.788 * CHOOSE(CONTROL!$C$32, $C$9, 100%, $E$9)</f>
        <v>12.788</v>
      </c>
      <c r="N693" s="81">
        <f>12.8386 * CHOOSE(CONTROL!$C$32, $C$9, 100%, $E$9)</f>
        <v>12.8386</v>
      </c>
      <c r="O693" s="81">
        <f>12.788 * CHOOSE(CONTROL!$C$32, $C$9, 100%, $E$9)</f>
        <v>12.788</v>
      </c>
    </row>
    <row r="694" spans="1:15" ht="15">
      <c r="A694" s="16">
        <v>62337</v>
      </c>
      <c r="B694" s="80">
        <f>11.1927 * CHOOSE(CONTROL!$C$32, $C$9, 100%, $E$9)</f>
        <v>11.1927</v>
      </c>
      <c r="C694" s="80">
        <f>11.1927 * CHOOSE(CONTROL!$C$32, $C$9, 100%, $E$9)</f>
        <v>11.1927</v>
      </c>
      <c r="D694" s="80">
        <f>11.1514 * CHOOSE(CONTROL!$C$32, $C$9, 100%, $E$9)</f>
        <v>11.151400000000001</v>
      </c>
      <c r="E694" s="81">
        <f>12.8131 * CHOOSE(CONTROL!$C$32, $C$9, 100%, $E$9)</f>
        <v>12.8131</v>
      </c>
      <c r="F694" s="81">
        <f>12.8131 * CHOOSE(CONTROL!$C$32, $C$9, 100%, $E$9)</f>
        <v>12.8131</v>
      </c>
      <c r="G694" s="81">
        <f>12.7626 * CHOOSE(CONTROL!$C$32, $C$9, 100%, $E$9)</f>
        <v>12.762600000000001</v>
      </c>
      <c r="H694" s="81">
        <f>23.4832 * CHOOSE(CONTROL!$C$32, $C$9, 100%, $E$9)</f>
        <v>23.4832</v>
      </c>
      <c r="I694" s="81">
        <f>23.4327 * CHOOSE(CONTROL!$C$32, $C$9, 100%, $E$9)</f>
        <v>23.432700000000001</v>
      </c>
      <c r="J694" s="81">
        <f>23.4832 * CHOOSE(CONTROL!$C$32, $C$9, 100%, $E$9)</f>
        <v>23.4832</v>
      </c>
      <c r="K694" s="81">
        <f>23.4327 * CHOOSE(CONTROL!$C$32, $C$9, 100%, $E$9)</f>
        <v>23.432700000000001</v>
      </c>
      <c r="L694" s="81">
        <f>12.8131 * CHOOSE(CONTROL!$C$32, $C$9, 100%, $E$9)</f>
        <v>12.8131</v>
      </c>
      <c r="M694" s="81">
        <f>12.7626 * CHOOSE(CONTROL!$C$32, $C$9, 100%, $E$9)</f>
        <v>12.762600000000001</v>
      </c>
      <c r="N694" s="81">
        <f>12.8131 * CHOOSE(CONTROL!$C$32, $C$9, 100%, $E$9)</f>
        <v>12.8131</v>
      </c>
      <c r="O694" s="81">
        <f>12.7626 * CHOOSE(CONTROL!$C$32, $C$9, 100%, $E$9)</f>
        <v>12.762600000000001</v>
      </c>
    </row>
    <row r="695" spans="1:15" ht="15">
      <c r="A695" s="16">
        <v>62367</v>
      </c>
      <c r="B695" s="80">
        <f>11.2111 * CHOOSE(CONTROL!$C$32, $C$9, 100%, $E$9)</f>
        <v>11.2111</v>
      </c>
      <c r="C695" s="80">
        <f>11.2111 * CHOOSE(CONTROL!$C$32, $C$9, 100%, $E$9)</f>
        <v>11.2111</v>
      </c>
      <c r="D695" s="80">
        <f>11.1827 * CHOOSE(CONTROL!$C$32, $C$9, 100%, $E$9)</f>
        <v>11.182700000000001</v>
      </c>
      <c r="E695" s="81">
        <f>12.893 * CHOOSE(CONTROL!$C$32, $C$9, 100%, $E$9)</f>
        <v>12.893000000000001</v>
      </c>
      <c r="F695" s="81">
        <f>12.893 * CHOOSE(CONTROL!$C$32, $C$9, 100%, $E$9)</f>
        <v>12.893000000000001</v>
      </c>
      <c r="G695" s="81">
        <f>12.8581 * CHOOSE(CONTROL!$C$32, $C$9, 100%, $E$9)</f>
        <v>12.8581</v>
      </c>
      <c r="H695" s="81">
        <f>23.5321 * CHOOSE(CONTROL!$C$32, $C$9, 100%, $E$9)</f>
        <v>23.5321</v>
      </c>
      <c r="I695" s="81">
        <f>23.4972 * CHOOSE(CONTROL!$C$32, $C$9, 100%, $E$9)</f>
        <v>23.497199999999999</v>
      </c>
      <c r="J695" s="81">
        <f>23.5321 * CHOOSE(CONTROL!$C$32, $C$9, 100%, $E$9)</f>
        <v>23.5321</v>
      </c>
      <c r="K695" s="81">
        <f>23.4972 * CHOOSE(CONTROL!$C$32, $C$9, 100%, $E$9)</f>
        <v>23.497199999999999</v>
      </c>
      <c r="L695" s="81">
        <f>12.893 * CHOOSE(CONTROL!$C$32, $C$9, 100%, $E$9)</f>
        <v>12.893000000000001</v>
      </c>
      <c r="M695" s="81">
        <f>12.8581 * CHOOSE(CONTROL!$C$32, $C$9, 100%, $E$9)</f>
        <v>12.8581</v>
      </c>
      <c r="N695" s="81">
        <f>12.893 * CHOOSE(CONTROL!$C$32, $C$9, 100%, $E$9)</f>
        <v>12.893000000000001</v>
      </c>
      <c r="O695" s="81">
        <f>12.8581 * CHOOSE(CONTROL!$C$32, $C$9, 100%, $E$9)</f>
        <v>12.8581</v>
      </c>
    </row>
    <row r="696" spans="1:15" ht="15">
      <c r="A696" s="16">
        <v>62398</v>
      </c>
      <c r="B696" s="80">
        <f>11.2141 * CHOOSE(CONTROL!$C$32, $C$9, 100%, $E$9)</f>
        <v>11.2141</v>
      </c>
      <c r="C696" s="80">
        <f>11.2141 * CHOOSE(CONTROL!$C$32, $C$9, 100%, $E$9)</f>
        <v>11.2141</v>
      </c>
      <c r="D696" s="80">
        <f>11.1858 * CHOOSE(CONTROL!$C$32, $C$9, 100%, $E$9)</f>
        <v>11.1858</v>
      </c>
      <c r="E696" s="81">
        <f>12.9418 * CHOOSE(CONTROL!$C$32, $C$9, 100%, $E$9)</f>
        <v>12.941800000000001</v>
      </c>
      <c r="F696" s="81">
        <f>12.9418 * CHOOSE(CONTROL!$C$32, $C$9, 100%, $E$9)</f>
        <v>12.941800000000001</v>
      </c>
      <c r="G696" s="81">
        <f>12.9069 * CHOOSE(CONTROL!$C$32, $C$9, 100%, $E$9)</f>
        <v>12.9069</v>
      </c>
      <c r="H696" s="81">
        <f>23.5812 * CHOOSE(CONTROL!$C$32, $C$9, 100%, $E$9)</f>
        <v>23.581199999999999</v>
      </c>
      <c r="I696" s="81">
        <f>23.5462 * CHOOSE(CONTROL!$C$32, $C$9, 100%, $E$9)</f>
        <v>23.546199999999999</v>
      </c>
      <c r="J696" s="81">
        <f>23.5812 * CHOOSE(CONTROL!$C$32, $C$9, 100%, $E$9)</f>
        <v>23.581199999999999</v>
      </c>
      <c r="K696" s="81">
        <f>23.5462 * CHOOSE(CONTROL!$C$32, $C$9, 100%, $E$9)</f>
        <v>23.546199999999999</v>
      </c>
      <c r="L696" s="81">
        <f>12.9418 * CHOOSE(CONTROL!$C$32, $C$9, 100%, $E$9)</f>
        <v>12.941800000000001</v>
      </c>
      <c r="M696" s="81">
        <f>12.9069 * CHOOSE(CONTROL!$C$32, $C$9, 100%, $E$9)</f>
        <v>12.9069</v>
      </c>
      <c r="N696" s="81">
        <f>12.9418 * CHOOSE(CONTROL!$C$32, $C$9, 100%, $E$9)</f>
        <v>12.941800000000001</v>
      </c>
      <c r="O696" s="81">
        <f>12.9069 * CHOOSE(CONTROL!$C$32, $C$9, 100%, $E$9)</f>
        <v>12.9069</v>
      </c>
    </row>
    <row r="697" spans="1:15" ht="15">
      <c r="A697" s="16">
        <v>62428</v>
      </c>
      <c r="B697" s="80">
        <f>11.2141 * CHOOSE(CONTROL!$C$32, $C$9, 100%, $E$9)</f>
        <v>11.2141</v>
      </c>
      <c r="C697" s="80">
        <f>11.2141 * CHOOSE(CONTROL!$C$32, $C$9, 100%, $E$9)</f>
        <v>11.2141</v>
      </c>
      <c r="D697" s="80">
        <f>11.1858 * CHOOSE(CONTROL!$C$32, $C$9, 100%, $E$9)</f>
        <v>11.1858</v>
      </c>
      <c r="E697" s="81">
        <f>12.8252 * CHOOSE(CONTROL!$C$32, $C$9, 100%, $E$9)</f>
        <v>12.825200000000001</v>
      </c>
      <c r="F697" s="81">
        <f>12.8252 * CHOOSE(CONTROL!$C$32, $C$9, 100%, $E$9)</f>
        <v>12.825200000000001</v>
      </c>
      <c r="G697" s="81">
        <f>12.7902 * CHOOSE(CONTROL!$C$32, $C$9, 100%, $E$9)</f>
        <v>12.7902</v>
      </c>
      <c r="H697" s="81">
        <f>23.6303 * CHOOSE(CONTROL!$C$32, $C$9, 100%, $E$9)</f>
        <v>23.630299999999998</v>
      </c>
      <c r="I697" s="81">
        <f>23.5954 * CHOOSE(CONTROL!$C$32, $C$9, 100%, $E$9)</f>
        <v>23.595400000000001</v>
      </c>
      <c r="J697" s="81">
        <f>23.6303 * CHOOSE(CONTROL!$C$32, $C$9, 100%, $E$9)</f>
        <v>23.630299999999998</v>
      </c>
      <c r="K697" s="81">
        <f>23.5954 * CHOOSE(CONTROL!$C$32, $C$9, 100%, $E$9)</f>
        <v>23.595400000000001</v>
      </c>
      <c r="L697" s="81">
        <f>12.8252 * CHOOSE(CONTROL!$C$32, $C$9, 100%, $E$9)</f>
        <v>12.825200000000001</v>
      </c>
      <c r="M697" s="81">
        <f>12.7902 * CHOOSE(CONTROL!$C$32, $C$9, 100%, $E$9)</f>
        <v>12.7902</v>
      </c>
      <c r="N697" s="81">
        <f>12.8252 * CHOOSE(CONTROL!$C$32, $C$9, 100%, $E$9)</f>
        <v>12.825200000000001</v>
      </c>
      <c r="O697" s="81">
        <f>12.7902 * CHOOSE(CONTROL!$C$32, $C$9, 100%, $E$9)</f>
        <v>12.7902</v>
      </c>
    </row>
    <row r="698" spans="1:15" ht="15">
      <c r="A698" s="16">
        <v>62459</v>
      </c>
      <c r="B698" s="80">
        <f>11.2519 * CHOOSE(CONTROL!$C$32, $C$9, 100%, $E$9)</f>
        <v>11.251899999999999</v>
      </c>
      <c r="C698" s="80">
        <f>11.2519 * CHOOSE(CONTROL!$C$32, $C$9, 100%, $E$9)</f>
        <v>11.251899999999999</v>
      </c>
      <c r="D698" s="80">
        <f>11.22 * CHOOSE(CONTROL!$C$32, $C$9, 100%, $E$9)</f>
        <v>11.22</v>
      </c>
      <c r="E698" s="81">
        <f>12.9563 * CHOOSE(CONTROL!$C$32, $C$9, 100%, $E$9)</f>
        <v>12.956300000000001</v>
      </c>
      <c r="F698" s="81">
        <f>12.9563 * CHOOSE(CONTROL!$C$32, $C$9, 100%, $E$9)</f>
        <v>12.956300000000001</v>
      </c>
      <c r="G698" s="81">
        <f>12.917 * CHOOSE(CONTROL!$C$32, $C$9, 100%, $E$9)</f>
        <v>12.917</v>
      </c>
      <c r="H698" s="81">
        <f>23.5712 * CHOOSE(CONTROL!$C$32, $C$9, 100%, $E$9)</f>
        <v>23.571200000000001</v>
      </c>
      <c r="I698" s="81">
        <f>23.5319 * CHOOSE(CONTROL!$C$32, $C$9, 100%, $E$9)</f>
        <v>23.5319</v>
      </c>
      <c r="J698" s="81">
        <f>23.5712 * CHOOSE(CONTROL!$C$32, $C$9, 100%, $E$9)</f>
        <v>23.571200000000001</v>
      </c>
      <c r="K698" s="81">
        <f>23.5319 * CHOOSE(CONTROL!$C$32, $C$9, 100%, $E$9)</f>
        <v>23.5319</v>
      </c>
      <c r="L698" s="81">
        <f>12.9563 * CHOOSE(CONTROL!$C$32, $C$9, 100%, $E$9)</f>
        <v>12.956300000000001</v>
      </c>
      <c r="M698" s="81">
        <f>12.917 * CHOOSE(CONTROL!$C$32, $C$9, 100%, $E$9)</f>
        <v>12.917</v>
      </c>
      <c r="N698" s="81">
        <f>12.9563 * CHOOSE(CONTROL!$C$32, $C$9, 100%, $E$9)</f>
        <v>12.956300000000001</v>
      </c>
      <c r="O698" s="81">
        <f>12.917 * CHOOSE(CONTROL!$C$32, $C$9, 100%, $E$9)</f>
        <v>12.917</v>
      </c>
    </row>
    <row r="699" spans="1:15" ht="15">
      <c r="A699" s="16">
        <v>62490</v>
      </c>
      <c r="B699" s="80">
        <f>11.2488 * CHOOSE(CONTROL!$C$32, $C$9, 100%, $E$9)</f>
        <v>11.248799999999999</v>
      </c>
      <c r="C699" s="80">
        <f>11.2488 * CHOOSE(CONTROL!$C$32, $C$9, 100%, $E$9)</f>
        <v>11.248799999999999</v>
      </c>
      <c r="D699" s="80">
        <f>11.217 * CHOOSE(CONTROL!$C$32, $C$9, 100%, $E$9)</f>
        <v>11.217000000000001</v>
      </c>
      <c r="E699" s="81">
        <f>12.7288 * CHOOSE(CONTROL!$C$32, $C$9, 100%, $E$9)</f>
        <v>12.7288</v>
      </c>
      <c r="F699" s="81">
        <f>12.7288 * CHOOSE(CONTROL!$C$32, $C$9, 100%, $E$9)</f>
        <v>12.7288</v>
      </c>
      <c r="G699" s="81">
        <f>12.6895 * CHOOSE(CONTROL!$C$32, $C$9, 100%, $E$9)</f>
        <v>12.689500000000001</v>
      </c>
      <c r="H699" s="81">
        <f>23.6203 * CHOOSE(CONTROL!$C$32, $C$9, 100%, $E$9)</f>
        <v>23.6203</v>
      </c>
      <c r="I699" s="81">
        <f>23.5811 * CHOOSE(CONTROL!$C$32, $C$9, 100%, $E$9)</f>
        <v>23.581099999999999</v>
      </c>
      <c r="J699" s="81">
        <f>23.6203 * CHOOSE(CONTROL!$C$32, $C$9, 100%, $E$9)</f>
        <v>23.6203</v>
      </c>
      <c r="K699" s="81">
        <f>23.5811 * CHOOSE(CONTROL!$C$32, $C$9, 100%, $E$9)</f>
        <v>23.581099999999999</v>
      </c>
      <c r="L699" s="81">
        <f>12.7288 * CHOOSE(CONTROL!$C$32, $C$9, 100%, $E$9)</f>
        <v>12.7288</v>
      </c>
      <c r="M699" s="81">
        <f>12.6895 * CHOOSE(CONTROL!$C$32, $C$9, 100%, $E$9)</f>
        <v>12.689500000000001</v>
      </c>
      <c r="N699" s="81">
        <f>12.7288 * CHOOSE(CONTROL!$C$32, $C$9, 100%, $E$9)</f>
        <v>12.7288</v>
      </c>
      <c r="O699" s="81">
        <f>12.6895 * CHOOSE(CONTROL!$C$32, $C$9, 100%, $E$9)</f>
        <v>12.689500000000001</v>
      </c>
    </row>
    <row r="700" spans="1:15" ht="15">
      <c r="A700" s="16">
        <v>62518</v>
      </c>
      <c r="B700" s="80">
        <f>11.2458 * CHOOSE(CONTROL!$C$32, $C$9, 100%, $E$9)</f>
        <v>11.245799999999999</v>
      </c>
      <c r="C700" s="80">
        <f>11.2458 * CHOOSE(CONTROL!$C$32, $C$9, 100%, $E$9)</f>
        <v>11.245799999999999</v>
      </c>
      <c r="D700" s="80">
        <f>11.2139 * CHOOSE(CONTROL!$C$32, $C$9, 100%, $E$9)</f>
        <v>11.213900000000001</v>
      </c>
      <c r="E700" s="81">
        <f>12.9043 * CHOOSE(CONTROL!$C$32, $C$9, 100%, $E$9)</f>
        <v>12.904299999999999</v>
      </c>
      <c r="F700" s="81">
        <f>12.9043 * CHOOSE(CONTROL!$C$32, $C$9, 100%, $E$9)</f>
        <v>12.904299999999999</v>
      </c>
      <c r="G700" s="81">
        <f>12.865 * CHOOSE(CONTROL!$C$32, $C$9, 100%, $E$9)</f>
        <v>12.865</v>
      </c>
      <c r="H700" s="81">
        <f>23.6695 * CHOOSE(CONTROL!$C$32, $C$9, 100%, $E$9)</f>
        <v>23.669499999999999</v>
      </c>
      <c r="I700" s="81">
        <f>23.6303 * CHOOSE(CONTROL!$C$32, $C$9, 100%, $E$9)</f>
        <v>23.630299999999998</v>
      </c>
      <c r="J700" s="81">
        <f>23.6695 * CHOOSE(CONTROL!$C$32, $C$9, 100%, $E$9)</f>
        <v>23.669499999999999</v>
      </c>
      <c r="K700" s="81">
        <f>23.6303 * CHOOSE(CONTROL!$C$32, $C$9, 100%, $E$9)</f>
        <v>23.630299999999998</v>
      </c>
      <c r="L700" s="81">
        <f>12.9043 * CHOOSE(CONTROL!$C$32, $C$9, 100%, $E$9)</f>
        <v>12.904299999999999</v>
      </c>
      <c r="M700" s="81">
        <f>12.865 * CHOOSE(CONTROL!$C$32, $C$9, 100%, $E$9)</f>
        <v>12.865</v>
      </c>
      <c r="N700" s="81">
        <f>12.9043 * CHOOSE(CONTROL!$C$32, $C$9, 100%, $E$9)</f>
        <v>12.904299999999999</v>
      </c>
      <c r="O700" s="81">
        <f>12.865 * CHOOSE(CONTROL!$C$32, $C$9, 100%, $E$9)</f>
        <v>12.865</v>
      </c>
    </row>
    <row r="701" spans="1:15" ht="15">
      <c r="A701" s="16">
        <v>62549</v>
      </c>
      <c r="B701" s="80">
        <f>11.2496 * CHOOSE(CONTROL!$C$32, $C$9, 100%, $E$9)</f>
        <v>11.249599999999999</v>
      </c>
      <c r="C701" s="80">
        <f>11.2496 * CHOOSE(CONTROL!$C$32, $C$9, 100%, $E$9)</f>
        <v>11.249599999999999</v>
      </c>
      <c r="D701" s="80">
        <f>11.2177 * CHOOSE(CONTROL!$C$32, $C$9, 100%, $E$9)</f>
        <v>11.217700000000001</v>
      </c>
      <c r="E701" s="81">
        <f>13.0909 * CHOOSE(CONTROL!$C$32, $C$9, 100%, $E$9)</f>
        <v>13.0909</v>
      </c>
      <c r="F701" s="81">
        <f>13.0909 * CHOOSE(CONTROL!$C$32, $C$9, 100%, $E$9)</f>
        <v>13.0909</v>
      </c>
      <c r="G701" s="81">
        <f>13.0516 * CHOOSE(CONTROL!$C$32, $C$9, 100%, $E$9)</f>
        <v>13.051600000000001</v>
      </c>
      <c r="H701" s="81">
        <f>23.7189 * CHOOSE(CONTROL!$C$32, $C$9, 100%, $E$9)</f>
        <v>23.718900000000001</v>
      </c>
      <c r="I701" s="81">
        <f>23.6796 * CHOOSE(CONTROL!$C$32, $C$9, 100%, $E$9)</f>
        <v>23.679600000000001</v>
      </c>
      <c r="J701" s="81">
        <f>23.7189 * CHOOSE(CONTROL!$C$32, $C$9, 100%, $E$9)</f>
        <v>23.718900000000001</v>
      </c>
      <c r="K701" s="81">
        <f>23.6796 * CHOOSE(CONTROL!$C$32, $C$9, 100%, $E$9)</f>
        <v>23.679600000000001</v>
      </c>
      <c r="L701" s="81">
        <f>13.0909 * CHOOSE(CONTROL!$C$32, $C$9, 100%, $E$9)</f>
        <v>13.0909</v>
      </c>
      <c r="M701" s="81">
        <f>13.0516 * CHOOSE(CONTROL!$C$32, $C$9, 100%, $E$9)</f>
        <v>13.051600000000001</v>
      </c>
      <c r="N701" s="81">
        <f>13.0909 * CHOOSE(CONTROL!$C$32, $C$9, 100%, $E$9)</f>
        <v>13.0909</v>
      </c>
      <c r="O701" s="81">
        <f>13.0516 * CHOOSE(CONTROL!$C$32, $C$9, 100%, $E$9)</f>
        <v>13.051600000000001</v>
      </c>
    </row>
    <row r="702" spans="1:15" ht="15">
      <c r="A702" s="16">
        <v>62579</v>
      </c>
      <c r="B702" s="80">
        <f>11.2496 * CHOOSE(CONTROL!$C$32, $C$9, 100%, $E$9)</f>
        <v>11.249599999999999</v>
      </c>
      <c r="C702" s="80">
        <f>11.2496 * CHOOSE(CONTROL!$C$32, $C$9, 100%, $E$9)</f>
        <v>11.249599999999999</v>
      </c>
      <c r="D702" s="80">
        <f>11.2031 * CHOOSE(CONTROL!$C$32, $C$9, 100%, $E$9)</f>
        <v>11.203099999999999</v>
      </c>
      <c r="E702" s="81">
        <f>13.1624 * CHOOSE(CONTROL!$C$32, $C$9, 100%, $E$9)</f>
        <v>13.1624</v>
      </c>
      <c r="F702" s="81">
        <f>13.1624 * CHOOSE(CONTROL!$C$32, $C$9, 100%, $E$9)</f>
        <v>13.1624</v>
      </c>
      <c r="G702" s="81">
        <f>13.1056 * CHOOSE(CONTROL!$C$32, $C$9, 100%, $E$9)</f>
        <v>13.105600000000001</v>
      </c>
      <c r="H702" s="81">
        <f>23.7683 * CHOOSE(CONTROL!$C$32, $C$9, 100%, $E$9)</f>
        <v>23.7683</v>
      </c>
      <c r="I702" s="81">
        <f>23.7114 * CHOOSE(CONTROL!$C$32, $C$9, 100%, $E$9)</f>
        <v>23.711400000000001</v>
      </c>
      <c r="J702" s="81">
        <f>23.7683 * CHOOSE(CONTROL!$C$32, $C$9, 100%, $E$9)</f>
        <v>23.7683</v>
      </c>
      <c r="K702" s="81">
        <f>23.7114 * CHOOSE(CONTROL!$C$32, $C$9, 100%, $E$9)</f>
        <v>23.711400000000001</v>
      </c>
      <c r="L702" s="81">
        <f>13.1624 * CHOOSE(CONTROL!$C$32, $C$9, 100%, $E$9)</f>
        <v>13.1624</v>
      </c>
      <c r="M702" s="81">
        <f>13.1056 * CHOOSE(CONTROL!$C$32, $C$9, 100%, $E$9)</f>
        <v>13.105600000000001</v>
      </c>
      <c r="N702" s="81">
        <f>13.1624 * CHOOSE(CONTROL!$C$32, $C$9, 100%, $E$9)</f>
        <v>13.1624</v>
      </c>
      <c r="O702" s="81">
        <f>13.1056 * CHOOSE(CONTROL!$C$32, $C$9, 100%, $E$9)</f>
        <v>13.105600000000001</v>
      </c>
    </row>
    <row r="703" spans="1:15" ht="15">
      <c r="A703" s="16">
        <v>62610</v>
      </c>
      <c r="B703" s="80">
        <f>11.2556 * CHOOSE(CONTROL!$C$32, $C$9, 100%, $E$9)</f>
        <v>11.255599999999999</v>
      </c>
      <c r="C703" s="80">
        <f>11.2556 * CHOOSE(CONTROL!$C$32, $C$9, 100%, $E$9)</f>
        <v>11.255599999999999</v>
      </c>
      <c r="D703" s="80">
        <f>11.2092 * CHOOSE(CONTROL!$C$32, $C$9, 100%, $E$9)</f>
        <v>11.209199999999999</v>
      </c>
      <c r="E703" s="81">
        <f>13.0951 * CHOOSE(CONTROL!$C$32, $C$9, 100%, $E$9)</f>
        <v>13.0951</v>
      </c>
      <c r="F703" s="81">
        <f>13.0951 * CHOOSE(CONTROL!$C$32, $C$9, 100%, $E$9)</f>
        <v>13.0951</v>
      </c>
      <c r="G703" s="81">
        <f>13.0383 * CHOOSE(CONTROL!$C$32, $C$9, 100%, $E$9)</f>
        <v>13.0383</v>
      </c>
      <c r="H703" s="81">
        <f>23.8178 * CHOOSE(CONTROL!$C$32, $C$9, 100%, $E$9)</f>
        <v>23.817799999999998</v>
      </c>
      <c r="I703" s="81">
        <f>23.761 * CHOOSE(CONTROL!$C$32, $C$9, 100%, $E$9)</f>
        <v>23.760999999999999</v>
      </c>
      <c r="J703" s="81">
        <f>23.8178 * CHOOSE(CONTROL!$C$32, $C$9, 100%, $E$9)</f>
        <v>23.817799999999998</v>
      </c>
      <c r="K703" s="81">
        <f>23.761 * CHOOSE(CONTROL!$C$32, $C$9, 100%, $E$9)</f>
        <v>23.760999999999999</v>
      </c>
      <c r="L703" s="81">
        <f>13.0951 * CHOOSE(CONTROL!$C$32, $C$9, 100%, $E$9)</f>
        <v>13.0951</v>
      </c>
      <c r="M703" s="81">
        <f>13.0383 * CHOOSE(CONTROL!$C$32, $C$9, 100%, $E$9)</f>
        <v>13.0383</v>
      </c>
      <c r="N703" s="81">
        <f>13.0951 * CHOOSE(CONTROL!$C$32, $C$9, 100%, $E$9)</f>
        <v>13.0951</v>
      </c>
      <c r="O703" s="81">
        <f>13.0383 * CHOOSE(CONTROL!$C$32, $C$9, 100%, $E$9)</f>
        <v>13.0383</v>
      </c>
    </row>
    <row r="704" spans="1:15" ht="15">
      <c r="A704" s="16">
        <v>62640</v>
      </c>
      <c r="B704" s="80">
        <f>11.4283 * CHOOSE(CONTROL!$C$32, $C$9, 100%, $E$9)</f>
        <v>11.4283</v>
      </c>
      <c r="C704" s="80">
        <f>11.4283 * CHOOSE(CONTROL!$C$32, $C$9, 100%, $E$9)</f>
        <v>11.4283</v>
      </c>
      <c r="D704" s="80">
        <f>11.3818 * CHOOSE(CONTROL!$C$32, $C$9, 100%, $E$9)</f>
        <v>11.3818</v>
      </c>
      <c r="E704" s="81">
        <f>13.3056 * CHOOSE(CONTROL!$C$32, $C$9, 100%, $E$9)</f>
        <v>13.3056</v>
      </c>
      <c r="F704" s="81">
        <f>13.3056 * CHOOSE(CONTROL!$C$32, $C$9, 100%, $E$9)</f>
        <v>13.3056</v>
      </c>
      <c r="G704" s="81">
        <f>13.2488 * CHOOSE(CONTROL!$C$32, $C$9, 100%, $E$9)</f>
        <v>13.248799999999999</v>
      </c>
      <c r="H704" s="81">
        <f>23.8674 * CHOOSE(CONTROL!$C$32, $C$9, 100%, $E$9)</f>
        <v>23.8674</v>
      </c>
      <c r="I704" s="81">
        <f>23.8106 * CHOOSE(CONTROL!$C$32, $C$9, 100%, $E$9)</f>
        <v>23.810600000000001</v>
      </c>
      <c r="J704" s="81">
        <f>23.8674 * CHOOSE(CONTROL!$C$32, $C$9, 100%, $E$9)</f>
        <v>23.8674</v>
      </c>
      <c r="K704" s="81">
        <f>23.8106 * CHOOSE(CONTROL!$C$32, $C$9, 100%, $E$9)</f>
        <v>23.810600000000001</v>
      </c>
      <c r="L704" s="81">
        <f>13.3056 * CHOOSE(CONTROL!$C$32, $C$9, 100%, $E$9)</f>
        <v>13.3056</v>
      </c>
      <c r="M704" s="81">
        <f>13.2488 * CHOOSE(CONTROL!$C$32, $C$9, 100%, $E$9)</f>
        <v>13.248799999999999</v>
      </c>
      <c r="N704" s="81">
        <f>13.3056 * CHOOSE(CONTROL!$C$32, $C$9, 100%, $E$9)</f>
        <v>13.3056</v>
      </c>
      <c r="O704" s="81">
        <f>13.2488 * CHOOSE(CONTROL!$C$32, $C$9, 100%, $E$9)</f>
        <v>13.248799999999999</v>
      </c>
    </row>
    <row r="705" spans="1:15" ht="15">
      <c r="A705" s="16">
        <v>62671</v>
      </c>
      <c r="B705" s="80">
        <f>11.435 * CHOOSE(CONTROL!$C$32, $C$9, 100%, $E$9)</f>
        <v>11.435</v>
      </c>
      <c r="C705" s="80">
        <f>11.435 * CHOOSE(CONTROL!$C$32, $C$9, 100%, $E$9)</f>
        <v>11.435</v>
      </c>
      <c r="D705" s="80">
        <f>11.3885 * CHOOSE(CONTROL!$C$32, $C$9, 100%, $E$9)</f>
        <v>11.388500000000001</v>
      </c>
      <c r="E705" s="81">
        <f>13.0956 * CHOOSE(CONTROL!$C$32, $C$9, 100%, $E$9)</f>
        <v>13.095599999999999</v>
      </c>
      <c r="F705" s="81">
        <f>13.0956 * CHOOSE(CONTROL!$C$32, $C$9, 100%, $E$9)</f>
        <v>13.095599999999999</v>
      </c>
      <c r="G705" s="81">
        <f>13.0388 * CHOOSE(CONTROL!$C$32, $C$9, 100%, $E$9)</f>
        <v>13.0388</v>
      </c>
      <c r="H705" s="81">
        <f>23.9171 * CHOOSE(CONTROL!$C$32, $C$9, 100%, $E$9)</f>
        <v>23.917100000000001</v>
      </c>
      <c r="I705" s="81">
        <f>23.8603 * CHOOSE(CONTROL!$C$32, $C$9, 100%, $E$9)</f>
        <v>23.860299999999999</v>
      </c>
      <c r="J705" s="81">
        <f>23.9171 * CHOOSE(CONTROL!$C$32, $C$9, 100%, $E$9)</f>
        <v>23.917100000000001</v>
      </c>
      <c r="K705" s="81">
        <f>23.8603 * CHOOSE(CONTROL!$C$32, $C$9, 100%, $E$9)</f>
        <v>23.860299999999999</v>
      </c>
      <c r="L705" s="81">
        <f>13.0956 * CHOOSE(CONTROL!$C$32, $C$9, 100%, $E$9)</f>
        <v>13.095599999999999</v>
      </c>
      <c r="M705" s="81">
        <f>13.0388 * CHOOSE(CONTROL!$C$32, $C$9, 100%, $E$9)</f>
        <v>13.0388</v>
      </c>
      <c r="N705" s="81">
        <f>13.0956 * CHOOSE(CONTROL!$C$32, $C$9, 100%, $E$9)</f>
        <v>13.095599999999999</v>
      </c>
      <c r="O705" s="81">
        <f>13.0388 * CHOOSE(CONTROL!$C$32, $C$9, 100%, $E$9)</f>
        <v>13.0388</v>
      </c>
    </row>
    <row r="706" spans="1:15" ht="15">
      <c r="A706" s="16">
        <v>62702</v>
      </c>
      <c r="B706" s="80">
        <f>11.4319 * CHOOSE(CONTROL!$C$32, $C$9, 100%, $E$9)</f>
        <v>11.431900000000001</v>
      </c>
      <c r="C706" s="80">
        <f>11.4319 * CHOOSE(CONTROL!$C$32, $C$9, 100%, $E$9)</f>
        <v>11.431900000000001</v>
      </c>
      <c r="D706" s="80">
        <f>11.3854 * CHOOSE(CONTROL!$C$32, $C$9, 100%, $E$9)</f>
        <v>11.385400000000001</v>
      </c>
      <c r="E706" s="81">
        <f>13.0697 * CHOOSE(CONTROL!$C$32, $C$9, 100%, $E$9)</f>
        <v>13.069699999999999</v>
      </c>
      <c r="F706" s="81">
        <f>13.0697 * CHOOSE(CONTROL!$C$32, $C$9, 100%, $E$9)</f>
        <v>13.069699999999999</v>
      </c>
      <c r="G706" s="81">
        <f>13.0128 * CHOOSE(CONTROL!$C$32, $C$9, 100%, $E$9)</f>
        <v>13.0128</v>
      </c>
      <c r="H706" s="81">
        <f>23.967 * CHOOSE(CONTROL!$C$32, $C$9, 100%, $E$9)</f>
        <v>23.966999999999999</v>
      </c>
      <c r="I706" s="81">
        <f>23.9101 * CHOOSE(CONTROL!$C$32, $C$9, 100%, $E$9)</f>
        <v>23.9101</v>
      </c>
      <c r="J706" s="81">
        <f>23.967 * CHOOSE(CONTROL!$C$32, $C$9, 100%, $E$9)</f>
        <v>23.966999999999999</v>
      </c>
      <c r="K706" s="81">
        <f>23.9101 * CHOOSE(CONTROL!$C$32, $C$9, 100%, $E$9)</f>
        <v>23.9101</v>
      </c>
      <c r="L706" s="81">
        <f>13.0697 * CHOOSE(CONTROL!$C$32, $C$9, 100%, $E$9)</f>
        <v>13.069699999999999</v>
      </c>
      <c r="M706" s="81">
        <f>13.0128 * CHOOSE(CONTROL!$C$32, $C$9, 100%, $E$9)</f>
        <v>13.0128</v>
      </c>
      <c r="N706" s="81">
        <f>13.0697 * CHOOSE(CONTROL!$C$32, $C$9, 100%, $E$9)</f>
        <v>13.069699999999999</v>
      </c>
      <c r="O706" s="81">
        <f>13.0128 * CHOOSE(CONTROL!$C$32, $C$9, 100%, $E$9)</f>
        <v>13.0128</v>
      </c>
    </row>
    <row r="707" spans="1:15" ht="15">
      <c r="A707" s="16">
        <v>62732</v>
      </c>
      <c r="B707" s="80">
        <f>11.451 * CHOOSE(CONTROL!$C$32, $C$9, 100%, $E$9)</f>
        <v>11.451000000000001</v>
      </c>
      <c r="C707" s="80">
        <f>11.451 * CHOOSE(CONTROL!$C$32, $C$9, 100%, $E$9)</f>
        <v>11.451000000000001</v>
      </c>
      <c r="D707" s="80">
        <f>11.4191 * CHOOSE(CONTROL!$C$32, $C$9, 100%, $E$9)</f>
        <v>11.4191</v>
      </c>
      <c r="E707" s="81">
        <f>13.1516 * CHOOSE(CONTROL!$C$32, $C$9, 100%, $E$9)</f>
        <v>13.1516</v>
      </c>
      <c r="F707" s="81">
        <f>13.1516 * CHOOSE(CONTROL!$C$32, $C$9, 100%, $E$9)</f>
        <v>13.1516</v>
      </c>
      <c r="G707" s="81">
        <f>13.1124 * CHOOSE(CONTROL!$C$32, $C$9, 100%, $E$9)</f>
        <v>13.112399999999999</v>
      </c>
      <c r="H707" s="81">
        <f>24.0169 * CHOOSE(CONTROL!$C$32, $C$9, 100%, $E$9)</f>
        <v>24.0169</v>
      </c>
      <c r="I707" s="81">
        <f>23.9776 * CHOOSE(CONTROL!$C$32, $C$9, 100%, $E$9)</f>
        <v>23.977599999999999</v>
      </c>
      <c r="J707" s="81">
        <f>24.0169 * CHOOSE(CONTROL!$C$32, $C$9, 100%, $E$9)</f>
        <v>24.0169</v>
      </c>
      <c r="K707" s="81">
        <f>23.9776 * CHOOSE(CONTROL!$C$32, $C$9, 100%, $E$9)</f>
        <v>23.977599999999999</v>
      </c>
      <c r="L707" s="81">
        <f>13.1516 * CHOOSE(CONTROL!$C$32, $C$9, 100%, $E$9)</f>
        <v>13.1516</v>
      </c>
      <c r="M707" s="81">
        <f>13.1124 * CHOOSE(CONTROL!$C$32, $C$9, 100%, $E$9)</f>
        <v>13.112399999999999</v>
      </c>
      <c r="N707" s="81">
        <f>13.1516 * CHOOSE(CONTROL!$C$32, $C$9, 100%, $E$9)</f>
        <v>13.1516</v>
      </c>
      <c r="O707" s="81">
        <f>13.1124 * CHOOSE(CONTROL!$C$32, $C$9, 100%, $E$9)</f>
        <v>13.112399999999999</v>
      </c>
    </row>
    <row r="708" spans="1:15" ht="15">
      <c r="A708" s="16">
        <v>62763</v>
      </c>
      <c r="B708" s="80">
        <f>11.4541 * CHOOSE(CONTROL!$C$32, $C$9, 100%, $E$9)</f>
        <v>11.4541</v>
      </c>
      <c r="C708" s="80">
        <f>11.4541 * CHOOSE(CONTROL!$C$32, $C$9, 100%, $E$9)</f>
        <v>11.4541</v>
      </c>
      <c r="D708" s="80">
        <f>11.4222 * CHOOSE(CONTROL!$C$32, $C$9, 100%, $E$9)</f>
        <v>11.4222</v>
      </c>
      <c r="E708" s="81">
        <f>13.2015 * CHOOSE(CONTROL!$C$32, $C$9, 100%, $E$9)</f>
        <v>13.201499999999999</v>
      </c>
      <c r="F708" s="81">
        <f>13.2015 * CHOOSE(CONTROL!$C$32, $C$9, 100%, $E$9)</f>
        <v>13.201499999999999</v>
      </c>
      <c r="G708" s="81">
        <f>13.1622 * CHOOSE(CONTROL!$C$32, $C$9, 100%, $E$9)</f>
        <v>13.1622</v>
      </c>
      <c r="H708" s="81">
        <f>24.0669 * CHOOSE(CONTROL!$C$32, $C$9, 100%, $E$9)</f>
        <v>24.0669</v>
      </c>
      <c r="I708" s="81">
        <f>24.0276 * CHOOSE(CONTROL!$C$32, $C$9, 100%, $E$9)</f>
        <v>24.0276</v>
      </c>
      <c r="J708" s="81">
        <f>24.0669 * CHOOSE(CONTROL!$C$32, $C$9, 100%, $E$9)</f>
        <v>24.0669</v>
      </c>
      <c r="K708" s="81">
        <f>24.0276 * CHOOSE(CONTROL!$C$32, $C$9, 100%, $E$9)</f>
        <v>24.0276</v>
      </c>
      <c r="L708" s="81">
        <f>13.2015 * CHOOSE(CONTROL!$C$32, $C$9, 100%, $E$9)</f>
        <v>13.201499999999999</v>
      </c>
      <c r="M708" s="81">
        <f>13.1622 * CHOOSE(CONTROL!$C$32, $C$9, 100%, $E$9)</f>
        <v>13.1622</v>
      </c>
      <c r="N708" s="81">
        <f>13.2015 * CHOOSE(CONTROL!$C$32, $C$9, 100%, $E$9)</f>
        <v>13.201499999999999</v>
      </c>
      <c r="O708" s="81">
        <f>13.1622 * CHOOSE(CONTROL!$C$32, $C$9, 100%, $E$9)</f>
        <v>13.1622</v>
      </c>
    </row>
    <row r="709" spans="1:15" ht="15">
      <c r="A709" s="16">
        <v>62793</v>
      </c>
      <c r="B709" s="80">
        <f>11.4541 * CHOOSE(CONTROL!$C$32, $C$9, 100%, $E$9)</f>
        <v>11.4541</v>
      </c>
      <c r="C709" s="80">
        <f>11.4541 * CHOOSE(CONTROL!$C$32, $C$9, 100%, $E$9)</f>
        <v>11.4541</v>
      </c>
      <c r="D709" s="80">
        <f>11.4222 * CHOOSE(CONTROL!$C$32, $C$9, 100%, $E$9)</f>
        <v>11.4222</v>
      </c>
      <c r="E709" s="81">
        <f>13.0822 * CHOOSE(CONTROL!$C$32, $C$9, 100%, $E$9)</f>
        <v>13.0822</v>
      </c>
      <c r="F709" s="81">
        <f>13.0822 * CHOOSE(CONTROL!$C$32, $C$9, 100%, $E$9)</f>
        <v>13.0822</v>
      </c>
      <c r="G709" s="81">
        <f>13.0429 * CHOOSE(CONTROL!$C$32, $C$9, 100%, $E$9)</f>
        <v>13.042899999999999</v>
      </c>
      <c r="H709" s="81">
        <f>24.1171 * CHOOSE(CONTROL!$C$32, $C$9, 100%, $E$9)</f>
        <v>24.117100000000001</v>
      </c>
      <c r="I709" s="81">
        <f>24.0778 * CHOOSE(CONTROL!$C$32, $C$9, 100%, $E$9)</f>
        <v>24.0778</v>
      </c>
      <c r="J709" s="81">
        <f>24.1171 * CHOOSE(CONTROL!$C$32, $C$9, 100%, $E$9)</f>
        <v>24.117100000000001</v>
      </c>
      <c r="K709" s="81">
        <f>24.0778 * CHOOSE(CONTROL!$C$32, $C$9, 100%, $E$9)</f>
        <v>24.0778</v>
      </c>
      <c r="L709" s="81">
        <f>13.0822 * CHOOSE(CONTROL!$C$32, $C$9, 100%, $E$9)</f>
        <v>13.0822</v>
      </c>
      <c r="M709" s="81">
        <f>13.0429 * CHOOSE(CONTROL!$C$32, $C$9, 100%, $E$9)</f>
        <v>13.042899999999999</v>
      </c>
      <c r="N709" s="81">
        <f>13.0822 * CHOOSE(CONTROL!$C$32, $C$9, 100%, $E$9)</f>
        <v>13.0822</v>
      </c>
      <c r="O709" s="81">
        <f>13.0429 * CHOOSE(CONTROL!$C$32, $C$9, 100%, $E$9)</f>
        <v>13.042899999999999</v>
      </c>
    </row>
    <row r="710" spans="1:15" ht="15">
      <c r="A710" s="16">
        <v>62824</v>
      </c>
      <c r="B710" s="80">
        <f>11.4875 * CHOOSE(CONTROL!$C$32, $C$9, 100%, $E$9)</f>
        <v>11.487500000000001</v>
      </c>
      <c r="C710" s="80">
        <f>11.4875 * CHOOSE(CONTROL!$C$32, $C$9, 100%, $E$9)</f>
        <v>11.487500000000001</v>
      </c>
      <c r="D710" s="80">
        <f>11.452 * CHOOSE(CONTROL!$C$32, $C$9, 100%, $E$9)</f>
        <v>11.452</v>
      </c>
      <c r="E710" s="81">
        <f>13.211 * CHOOSE(CONTROL!$C$32, $C$9, 100%, $E$9)</f>
        <v>13.211</v>
      </c>
      <c r="F710" s="81">
        <f>13.211 * CHOOSE(CONTROL!$C$32, $C$9, 100%, $E$9)</f>
        <v>13.211</v>
      </c>
      <c r="G710" s="81">
        <f>13.1673 * CHOOSE(CONTROL!$C$32, $C$9, 100%, $E$9)</f>
        <v>13.167299999999999</v>
      </c>
      <c r="H710" s="81">
        <f>24.047 * CHOOSE(CONTROL!$C$32, $C$9, 100%, $E$9)</f>
        <v>24.047000000000001</v>
      </c>
      <c r="I710" s="81">
        <f>24.0034 * CHOOSE(CONTROL!$C$32, $C$9, 100%, $E$9)</f>
        <v>24.003399999999999</v>
      </c>
      <c r="J710" s="81">
        <f>24.047 * CHOOSE(CONTROL!$C$32, $C$9, 100%, $E$9)</f>
        <v>24.047000000000001</v>
      </c>
      <c r="K710" s="81">
        <f>24.0034 * CHOOSE(CONTROL!$C$32, $C$9, 100%, $E$9)</f>
        <v>24.003399999999999</v>
      </c>
      <c r="L710" s="81">
        <f>13.211 * CHOOSE(CONTROL!$C$32, $C$9, 100%, $E$9)</f>
        <v>13.211</v>
      </c>
      <c r="M710" s="81">
        <f>13.1673 * CHOOSE(CONTROL!$C$32, $C$9, 100%, $E$9)</f>
        <v>13.167299999999999</v>
      </c>
      <c r="N710" s="81">
        <f>13.211 * CHOOSE(CONTROL!$C$32, $C$9, 100%, $E$9)</f>
        <v>13.211</v>
      </c>
      <c r="O710" s="81">
        <f>13.1673 * CHOOSE(CONTROL!$C$32, $C$9, 100%, $E$9)</f>
        <v>13.167299999999999</v>
      </c>
    </row>
    <row r="711" spans="1:15" ht="15">
      <c r="A711" s="16">
        <v>62855</v>
      </c>
      <c r="B711" s="80">
        <f>11.4844 * CHOOSE(CONTROL!$C$32, $C$9, 100%, $E$9)</f>
        <v>11.484400000000001</v>
      </c>
      <c r="C711" s="80">
        <f>11.4844 * CHOOSE(CONTROL!$C$32, $C$9, 100%, $E$9)</f>
        <v>11.484400000000001</v>
      </c>
      <c r="D711" s="80">
        <f>11.449 * CHOOSE(CONTROL!$C$32, $C$9, 100%, $E$9)</f>
        <v>11.449</v>
      </c>
      <c r="E711" s="81">
        <f>12.9786 * CHOOSE(CONTROL!$C$32, $C$9, 100%, $E$9)</f>
        <v>12.9786</v>
      </c>
      <c r="F711" s="81">
        <f>12.9786 * CHOOSE(CONTROL!$C$32, $C$9, 100%, $E$9)</f>
        <v>12.9786</v>
      </c>
      <c r="G711" s="81">
        <f>12.9349 * CHOOSE(CONTROL!$C$32, $C$9, 100%, $E$9)</f>
        <v>12.934900000000001</v>
      </c>
      <c r="H711" s="81">
        <f>24.0971 * CHOOSE(CONTROL!$C$32, $C$9, 100%, $E$9)</f>
        <v>24.097100000000001</v>
      </c>
      <c r="I711" s="81">
        <f>24.0534 * CHOOSE(CONTROL!$C$32, $C$9, 100%, $E$9)</f>
        <v>24.0534</v>
      </c>
      <c r="J711" s="81">
        <f>24.0971 * CHOOSE(CONTROL!$C$32, $C$9, 100%, $E$9)</f>
        <v>24.097100000000001</v>
      </c>
      <c r="K711" s="81">
        <f>24.0534 * CHOOSE(CONTROL!$C$32, $C$9, 100%, $E$9)</f>
        <v>24.0534</v>
      </c>
      <c r="L711" s="81">
        <f>12.9786 * CHOOSE(CONTROL!$C$32, $C$9, 100%, $E$9)</f>
        <v>12.9786</v>
      </c>
      <c r="M711" s="81">
        <f>12.9349 * CHOOSE(CONTROL!$C$32, $C$9, 100%, $E$9)</f>
        <v>12.934900000000001</v>
      </c>
      <c r="N711" s="81">
        <f>12.9786 * CHOOSE(CONTROL!$C$32, $C$9, 100%, $E$9)</f>
        <v>12.9786</v>
      </c>
      <c r="O711" s="81">
        <f>12.9349 * CHOOSE(CONTROL!$C$32, $C$9, 100%, $E$9)</f>
        <v>12.934900000000001</v>
      </c>
    </row>
    <row r="712" spans="1:15" ht="15">
      <c r="A712" s="16">
        <v>62884</v>
      </c>
      <c r="B712" s="80">
        <f>11.4814 * CHOOSE(CONTROL!$C$32, $C$9, 100%, $E$9)</f>
        <v>11.481400000000001</v>
      </c>
      <c r="C712" s="80">
        <f>11.4814 * CHOOSE(CONTROL!$C$32, $C$9, 100%, $E$9)</f>
        <v>11.481400000000001</v>
      </c>
      <c r="D712" s="80">
        <f>11.446 * CHOOSE(CONTROL!$C$32, $C$9, 100%, $E$9)</f>
        <v>11.446</v>
      </c>
      <c r="E712" s="81">
        <f>13.158 * CHOOSE(CONTROL!$C$32, $C$9, 100%, $E$9)</f>
        <v>13.157999999999999</v>
      </c>
      <c r="F712" s="81">
        <f>13.158 * CHOOSE(CONTROL!$C$32, $C$9, 100%, $E$9)</f>
        <v>13.157999999999999</v>
      </c>
      <c r="G712" s="81">
        <f>13.1144 * CHOOSE(CONTROL!$C$32, $C$9, 100%, $E$9)</f>
        <v>13.1144</v>
      </c>
      <c r="H712" s="81">
        <f>24.1473 * CHOOSE(CONTROL!$C$32, $C$9, 100%, $E$9)</f>
        <v>24.147300000000001</v>
      </c>
      <c r="I712" s="81">
        <f>24.1037 * CHOOSE(CONTROL!$C$32, $C$9, 100%, $E$9)</f>
        <v>24.1037</v>
      </c>
      <c r="J712" s="81">
        <f>24.1473 * CHOOSE(CONTROL!$C$32, $C$9, 100%, $E$9)</f>
        <v>24.147300000000001</v>
      </c>
      <c r="K712" s="81">
        <f>24.1037 * CHOOSE(CONTROL!$C$32, $C$9, 100%, $E$9)</f>
        <v>24.1037</v>
      </c>
      <c r="L712" s="81">
        <f>13.158 * CHOOSE(CONTROL!$C$32, $C$9, 100%, $E$9)</f>
        <v>13.157999999999999</v>
      </c>
      <c r="M712" s="81">
        <f>13.1144 * CHOOSE(CONTROL!$C$32, $C$9, 100%, $E$9)</f>
        <v>13.1144</v>
      </c>
      <c r="N712" s="81">
        <f>13.158 * CHOOSE(CONTROL!$C$32, $C$9, 100%, $E$9)</f>
        <v>13.157999999999999</v>
      </c>
      <c r="O712" s="81">
        <f>13.1144 * CHOOSE(CONTROL!$C$32, $C$9, 100%, $E$9)</f>
        <v>13.1144</v>
      </c>
    </row>
    <row r="713" spans="1:15" ht="15">
      <c r="A713" s="16">
        <v>62915</v>
      </c>
      <c r="B713" s="80">
        <f>11.4853 * CHOOSE(CONTROL!$C$32, $C$9, 100%, $E$9)</f>
        <v>11.485300000000001</v>
      </c>
      <c r="C713" s="80">
        <f>11.4853 * CHOOSE(CONTROL!$C$32, $C$9, 100%, $E$9)</f>
        <v>11.485300000000001</v>
      </c>
      <c r="D713" s="80">
        <f>11.4499 * CHOOSE(CONTROL!$C$32, $C$9, 100%, $E$9)</f>
        <v>11.4499</v>
      </c>
      <c r="E713" s="81">
        <f>13.3487 * CHOOSE(CONTROL!$C$32, $C$9, 100%, $E$9)</f>
        <v>13.348699999999999</v>
      </c>
      <c r="F713" s="81">
        <f>13.3487 * CHOOSE(CONTROL!$C$32, $C$9, 100%, $E$9)</f>
        <v>13.348699999999999</v>
      </c>
      <c r="G713" s="81">
        <f>13.3051 * CHOOSE(CONTROL!$C$32, $C$9, 100%, $E$9)</f>
        <v>13.305099999999999</v>
      </c>
      <c r="H713" s="81">
        <f>24.1976 * CHOOSE(CONTROL!$C$32, $C$9, 100%, $E$9)</f>
        <v>24.197600000000001</v>
      </c>
      <c r="I713" s="81">
        <f>24.154 * CHOOSE(CONTROL!$C$32, $C$9, 100%, $E$9)</f>
        <v>24.154</v>
      </c>
      <c r="J713" s="81">
        <f>24.1976 * CHOOSE(CONTROL!$C$32, $C$9, 100%, $E$9)</f>
        <v>24.197600000000001</v>
      </c>
      <c r="K713" s="81">
        <f>24.154 * CHOOSE(CONTROL!$C$32, $C$9, 100%, $E$9)</f>
        <v>24.154</v>
      </c>
      <c r="L713" s="81">
        <f>13.3487 * CHOOSE(CONTROL!$C$32, $C$9, 100%, $E$9)</f>
        <v>13.348699999999999</v>
      </c>
      <c r="M713" s="81">
        <f>13.3051 * CHOOSE(CONTROL!$C$32, $C$9, 100%, $E$9)</f>
        <v>13.305099999999999</v>
      </c>
      <c r="N713" s="81">
        <f>13.3487 * CHOOSE(CONTROL!$C$32, $C$9, 100%, $E$9)</f>
        <v>13.348699999999999</v>
      </c>
      <c r="O713" s="81">
        <f>13.3051 * CHOOSE(CONTROL!$C$32, $C$9, 100%, $E$9)</f>
        <v>13.305099999999999</v>
      </c>
    </row>
    <row r="714" spans="1:15" ht="15">
      <c r="A714" s="16">
        <v>62945</v>
      </c>
      <c r="B714" s="80">
        <f>11.4853 * CHOOSE(CONTROL!$C$32, $C$9, 100%, $E$9)</f>
        <v>11.485300000000001</v>
      </c>
      <c r="C714" s="80">
        <f>11.4853 * CHOOSE(CONTROL!$C$32, $C$9, 100%, $E$9)</f>
        <v>11.485300000000001</v>
      </c>
      <c r="D714" s="80">
        <f>11.4337 * CHOOSE(CONTROL!$C$32, $C$9, 100%, $E$9)</f>
        <v>11.4337</v>
      </c>
      <c r="E714" s="81">
        <f>13.4219 * CHOOSE(CONTROL!$C$32, $C$9, 100%, $E$9)</f>
        <v>13.421900000000001</v>
      </c>
      <c r="F714" s="81">
        <f>13.4219 * CHOOSE(CONTROL!$C$32, $C$9, 100%, $E$9)</f>
        <v>13.421900000000001</v>
      </c>
      <c r="G714" s="81">
        <f>13.3587 * CHOOSE(CONTROL!$C$32, $C$9, 100%, $E$9)</f>
        <v>13.358700000000001</v>
      </c>
      <c r="H714" s="81">
        <f>24.248 * CHOOSE(CONTROL!$C$32, $C$9, 100%, $E$9)</f>
        <v>24.248000000000001</v>
      </c>
      <c r="I714" s="81">
        <f>24.1849 * CHOOSE(CONTROL!$C$32, $C$9, 100%, $E$9)</f>
        <v>24.184899999999999</v>
      </c>
      <c r="J714" s="81">
        <f>24.248 * CHOOSE(CONTROL!$C$32, $C$9, 100%, $E$9)</f>
        <v>24.248000000000001</v>
      </c>
      <c r="K714" s="81">
        <f>24.1849 * CHOOSE(CONTROL!$C$32, $C$9, 100%, $E$9)</f>
        <v>24.184899999999999</v>
      </c>
      <c r="L714" s="81">
        <f>13.4219 * CHOOSE(CONTROL!$C$32, $C$9, 100%, $E$9)</f>
        <v>13.421900000000001</v>
      </c>
      <c r="M714" s="81">
        <f>13.3587 * CHOOSE(CONTROL!$C$32, $C$9, 100%, $E$9)</f>
        <v>13.358700000000001</v>
      </c>
      <c r="N714" s="81">
        <f>13.4219 * CHOOSE(CONTROL!$C$32, $C$9, 100%, $E$9)</f>
        <v>13.421900000000001</v>
      </c>
      <c r="O714" s="81">
        <f>13.3587 * CHOOSE(CONTROL!$C$32, $C$9, 100%, $E$9)</f>
        <v>13.358700000000001</v>
      </c>
    </row>
    <row r="715" spans="1:15" ht="15">
      <c r="A715" s="16">
        <v>62976</v>
      </c>
      <c r="B715" s="80">
        <f>11.4914 * CHOOSE(CONTROL!$C$32, $C$9, 100%, $E$9)</f>
        <v>11.491400000000001</v>
      </c>
      <c r="C715" s="80">
        <f>11.4914 * CHOOSE(CONTROL!$C$32, $C$9, 100%, $E$9)</f>
        <v>11.491400000000001</v>
      </c>
      <c r="D715" s="80">
        <f>11.4398 * CHOOSE(CONTROL!$C$32, $C$9, 100%, $E$9)</f>
        <v>11.4398</v>
      </c>
      <c r="E715" s="81">
        <f>13.353 * CHOOSE(CONTROL!$C$32, $C$9, 100%, $E$9)</f>
        <v>13.353</v>
      </c>
      <c r="F715" s="81">
        <f>13.353 * CHOOSE(CONTROL!$C$32, $C$9, 100%, $E$9)</f>
        <v>13.353</v>
      </c>
      <c r="G715" s="81">
        <f>13.2898 * CHOOSE(CONTROL!$C$32, $C$9, 100%, $E$9)</f>
        <v>13.2898</v>
      </c>
      <c r="H715" s="81">
        <f>24.2985 * CHOOSE(CONTROL!$C$32, $C$9, 100%, $E$9)</f>
        <v>24.298500000000001</v>
      </c>
      <c r="I715" s="81">
        <f>24.2354 * CHOOSE(CONTROL!$C$32, $C$9, 100%, $E$9)</f>
        <v>24.235399999999998</v>
      </c>
      <c r="J715" s="81">
        <f>24.2985 * CHOOSE(CONTROL!$C$32, $C$9, 100%, $E$9)</f>
        <v>24.298500000000001</v>
      </c>
      <c r="K715" s="81">
        <f>24.2354 * CHOOSE(CONTROL!$C$32, $C$9, 100%, $E$9)</f>
        <v>24.235399999999998</v>
      </c>
      <c r="L715" s="81">
        <f>13.353 * CHOOSE(CONTROL!$C$32, $C$9, 100%, $E$9)</f>
        <v>13.353</v>
      </c>
      <c r="M715" s="81">
        <f>13.2898 * CHOOSE(CONTROL!$C$32, $C$9, 100%, $E$9)</f>
        <v>13.2898</v>
      </c>
      <c r="N715" s="81">
        <f>13.353 * CHOOSE(CONTROL!$C$32, $C$9, 100%, $E$9)</f>
        <v>13.353</v>
      </c>
      <c r="O715" s="81">
        <f>13.2898 * CHOOSE(CONTROL!$C$32, $C$9, 100%, $E$9)</f>
        <v>13.2898</v>
      </c>
    </row>
    <row r="716" spans="1:15" ht="15">
      <c r="A716" s="16">
        <v>63006</v>
      </c>
      <c r="B716" s="80">
        <f>11.6674 * CHOOSE(CONTROL!$C$32, $C$9, 100%, $E$9)</f>
        <v>11.667400000000001</v>
      </c>
      <c r="C716" s="80">
        <f>11.6674 * CHOOSE(CONTROL!$C$32, $C$9, 100%, $E$9)</f>
        <v>11.667400000000001</v>
      </c>
      <c r="D716" s="80">
        <f>11.6158 * CHOOSE(CONTROL!$C$32, $C$9, 100%, $E$9)</f>
        <v>11.6158</v>
      </c>
      <c r="E716" s="81">
        <f>13.5674 * CHOOSE(CONTROL!$C$32, $C$9, 100%, $E$9)</f>
        <v>13.567399999999999</v>
      </c>
      <c r="F716" s="81">
        <f>13.5674 * CHOOSE(CONTROL!$C$32, $C$9, 100%, $E$9)</f>
        <v>13.567399999999999</v>
      </c>
      <c r="G716" s="81">
        <f>13.5042 * CHOOSE(CONTROL!$C$32, $C$9, 100%, $E$9)</f>
        <v>13.504200000000001</v>
      </c>
      <c r="H716" s="81">
        <f>24.3492 * CHOOSE(CONTROL!$C$32, $C$9, 100%, $E$9)</f>
        <v>24.3492</v>
      </c>
      <c r="I716" s="81">
        <f>24.286 * CHOOSE(CONTROL!$C$32, $C$9, 100%, $E$9)</f>
        <v>24.286000000000001</v>
      </c>
      <c r="J716" s="81">
        <f>24.3492 * CHOOSE(CONTROL!$C$32, $C$9, 100%, $E$9)</f>
        <v>24.3492</v>
      </c>
      <c r="K716" s="81">
        <f>24.286 * CHOOSE(CONTROL!$C$32, $C$9, 100%, $E$9)</f>
        <v>24.286000000000001</v>
      </c>
      <c r="L716" s="81">
        <f>13.5674 * CHOOSE(CONTROL!$C$32, $C$9, 100%, $E$9)</f>
        <v>13.567399999999999</v>
      </c>
      <c r="M716" s="81">
        <f>13.5042 * CHOOSE(CONTROL!$C$32, $C$9, 100%, $E$9)</f>
        <v>13.504200000000001</v>
      </c>
      <c r="N716" s="81">
        <f>13.5674 * CHOOSE(CONTROL!$C$32, $C$9, 100%, $E$9)</f>
        <v>13.567399999999999</v>
      </c>
      <c r="O716" s="81">
        <f>13.5042 * CHOOSE(CONTROL!$C$32, $C$9, 100%, $E$9)</f>
        <v>13.504200000000001</v>
      </c>
    </row>
    <row r="717" spans="1:15" ht="15">
      <c r="A717" s="16">
        <v>63037</v>
      </c>
      <c r="B717" s="80">
        <f>11.6741 * CHOOSE(CONTROL!$C$32, $C$9, 100%, $E$9)</f>
        <v>11.674099999999999</v>
      </c>
      <c r="C717" s="80">
        <f>11.6741 * CHOOSE(CONTROL!$C$32, $C$9, 100%, $E$9)</f>
        <v>11.674099999999999</v>
      </c>
      <c r="D717" s="80">
        <f>11.6225 * CHOOSE(CONTROL!$C$32, $C$9, 100%, $E$9)</f>
        <v>11.6225</v>
      </c>
      <c r="E717" s="81">
        <f>13.3527 * CHOOSE(CONTROL!$C$32, $C$9, 100%, $E$9)</f>
        <v>13.3527</v>
      </c>
      <c r="F717" s="81">
        <f>13.3527 * CHOOSE(CONTROL!$C$32, $C$9, 100%, $E$9)</f>
        <v>13.3527</v>
      </c>
      <c r="G717" s="81">
        <f>13.2896 * CHOOSE(CONTROL!$C$32, $C$9, 100%, $E$9)</f>
        <v>13.2896</v>
      </c>
      <c r="H717" s="81">
        <f>24.3999 * CHOOSE(CONTROL!$C$32, $C$9, 100%, $E$9)</f>
        <v>24.399899999999999</v>
      </c>
      <c r="I717" s="81">
        <f>24.3367 * CHOOSE(CONTROL!$C$32, $C$9, 100%, $E$9)</f>
        <v>24.3367</v>
      </c>
      <c r="J717" s="81">
        <f>24.3999 * CHOOSE(CONTROL!$C$32, $C$9, 100%, $E$9)</f>
        <v>24.399899999999999</v>
      </c>
      <c r="K717" s="81">
        <f>24.3367 * CHOOSE(CONTROL!$C$32, $C$9, 100%, $E$9)</f>
        <v>24.3367</v>
      </c>
      <c r="L717" s="81">
        <f>13.3527 * CHOOSE(CONTROL!$C$32, $C$9, 100%, $E$9)</f>
        <v>13.3527</v>
      </c>
      <c r="M717" s="81">
        <f>13.2896 * CHOOSE(CONTROL!$C$32, $C$9, 100%, $E$9)</f>
        <v>13.2896</v>
      </c>
      <c r="N717" s="81">
        <f>13.3527 * CHOOSE(CONTROL!$C$32, $C$9, 100%, $E$9)</f>
        <v>13.3527</v>
      </c>
      <c r="O717" s="81">
        <f>13.2896 * CHOOSE(CONTROL!$C$32, $C$9, 100%, $E$9)</f>
        <v>13.2896</v>
      </c>
    </row>
    <row r="718" spans="1:15" ht="15">
      <c r="A718" s="16">
        <v>63068</v>
      </c>
      <c r="B718" s="80">
        <f>11.6711 * CHOOSE(CONTROL!$C$32, $C$9, 100%, $E$9)</f>
        <v>11.671099999999999</v>
      </c>
      <c r="C718" s="80">
        <f>11.6711 * CHOOSE(CONTROL!$C$32, $C$9, 100%, $E$9)</f>
        <v>11.671099999999999</v>
      </c>
      <c r="D718" s="80">
        <f>11.6195 * CHOOSE(CONTROL!$C$32, $C$9, 100%, $E$9)</f>
        <v>11.6195</v>
      </c>
      <c r="E718" s="81">
        <f>13.3262 * CHOOSE(CONTROL!$C$32, $C$9, 100%, $E$9)</f>
        <v>13.3262</v>
      </c>
      <c r="F718" s="81">
        <f>13.3262 * CHOOSE(CONTROL!$C$32, $C$9, 100%, $E$9)</f>
        <v>13.3262</v>
      </c>
      <c r="G718" s="81">
        <f>13.2631 * CHOOSE(CONTROL!$C$32, $C$9, 100%, $E$9)</f>
        <v>13.2631</v>
      </c>
      <c r="H718" s="81">
        <f>24.4507 * CHOOSE(CONTROL!$C$32, $C$9, 100%, $E$9)</f>
        <v>24.450700000000001</v>
      </c>
      <c r="I718" s="81">
        <f>24.3876 * CHOOSE(CONTROL!$C$32, $C$9, 100%, $E$9)</f>
        <v>24.387599999999999</v>
      </c>
      <c r="J718" s="81">
        <f>24.4507 * CHOOSE(CONTROL!$C$32, $C$9, 100%, $E$9)</f>
        <v>24.450700000000001</v>
      </c>
      <c r="K718" s="81">
        <f>24.3876 * CHOOSE(CONTROL!$C$32, $C$9, 100%, $E$9)</f>
        <v>24.387599999999999</v>
      </c>
      <c r="L718" s="81">
        <f>13.3262 * CHOOSE(CONTROL!$C$32, $C$9, 100%, $E$9)</f>
        <v>13.3262</v>
      </c>
      <c r="M718" s="81">
        <f>13.2631 * CHOOSE(CONTROL!$C$32, $C$9, 100%, $E$9)</f>
        <v>13.2631</v>
      </c>
      <c r="N718" s="81">
        <f>13.3262 * CHOOSE(CONTROL!$C$32, $C$9, 100%, $E$9)</f>
        <v>13.3262</v>
      </c>
      <c r="O718" s="81">
        <f>13.2631 * CHOOSE(CONTROL!$C$32, $C$9, 100%, $E$9)</f>
        <v>13.2631</v>
      </c>
    </row>
    <row r="719" spans="1:15" ht="15">
      <c r="A719" s="16">
        <v>63098</v>
      </c>
      <c r="B719" s="80">
        <f>11.691 * CHOOSE(CONTROL!$C$32, $C$9, 100%, $E$9)</f>
        <v>11.691000000000001</v>
      </c>
      <c r="C719" s="80">
        <f>11.691 * CHOOSE(CONTROL!$C$32, $C$9, 100%, $E$9)</f>
        <v>11.691000000000001</v>
      </c>
      <c r="D719" s="80">
        <f>11.6555 * CHOOSE(CONTROL!$C$32, $C$9, 100%, $E$9)</f>
        <v>11.6555</v>
      </c>
      <c r="E719" s="81">
        <f>13.4103 * CHOOSE(CONTROL!$C$32, $C$9, 100%, $E$9)</f>
        <v>13.410299999999999</v>
      </c>
      <c r="F719" s="81">
        <f>13.4103 * CHOOSE(CONTROL!$C$32, $C$9, 100%, $E$9)</f>
        <v>13.410299999999999</v>
      </c>
      <c r="G719" s="81">
        <f>13.3666 * CHOOSE(CONTROL!$C$32, $C$9, 100%, $E$9)</f>
        <v>13.3666</v>
      </c>
      <c r="H719" s="81">
        <f>24.5017 * CHOOSE(CONTROL!$C$32, $C$9, 100%, $E$9)</f>
        <v>24.5017</v>
      </c>
      <c r="I719" s="81">
        <f>24.458 * CHOOSE(CONTROL!$C$32, $C$9, 100%, $E$9)</f>
        <v>24.457999999999998</v>
      </c>
      <c r="J719" s="81">
        <f>24.5017 * CHOOSE(CONTROL!$C$32, $C$9, 100%, $E$9)</f>
        <v>24.5017</v>
      </c>
      <c r="K719" s="81">
        <f>24.458 * CHOOSE(CONTROL!$C$32, $C$9, 100%, $E$9)</f>
        <v>24.457999999999998</v>
      </c>
      <c r="L719" s="81">
        <f>13.4103 * CHOOSE(CONTROL!$C$32, $C$9, 100%, $E$9)</f>
        <v>13.410299999999999</v>
      </c>
      <c r="M719" s="81">
        <f>13.3666 * CHOOSE(CONTROL!$C$32, $C$9, 100%, $E$9)</f>
        <v>13.3666</v>
      </c>
      <c r="N719" s="81">
        <f>13.4103 * CHOOSE(CONTROL!$C$32, $C$9, 100%, $E$9)</f>
        <v>13.410299999999999</v>
      </c>
      <c r="O719" s="81">
        <f>13.3666 * CHOOSE(CONTROL!$C$32, $C$9, 100%, $E$9)</f>
        <v>13.3666</v>
      </c>
    </row>
    <row r="720" spans="1:15" ht="15">
      <c r="A720" s="16">
        <v>63129</v>
      </c>
      <c r="B720" s="80">
        <f>11.694 * CHOOSE(CONTROL!$C$32, $C$9, 100%, $E$9)</f>
        <v>11.694000000000001</v>
      </c>
      <c r="C720" s="80">
        <f>11.694 * CHOOSE(CONTROL!$C$32, $C$9, 100%, $E$9)</f>
        <v>11.694000000000001</v>
      </c>
      <c r="D720" s="80">
        <f>11.6586 * CHOOSE(CONTROL!$C$32, $C$9, 100%, $E$9)</f>
        <v>11.6586</v>
      </c>
      <c r="E720" s="81">
        <f>13.4611 * CHOOSE(CONTROL!$C$32, $C$9, 100%, $E$9)</f>
        <v>13.4611</v>
      </c>
      <c r="F720" s="81">
        <f>13.4611 * CHOOSE(CONTROL!$C$32, $C$9, 100%, $E$9)</f>
        <v>13.4611</v>
      </c>
      <c r="G720" s="81">
        <f>13.4175 * CHOOSE(CONTROL!$C$32, $C$9, 100%, $E$9)</f>
        <v>13.4175</v>
      </c>
      <c r="H720" s="81">
        <f>24.5527 * CHOOSE(CONTROL!$C$32, $C$9, 100%, $E$9)</f>
        <v>24.552700000000002</v>
      </c>
      <c r="I720" s="81">
        <f>24.5091 * CHOOSE(CONTROL!$C$32, $C$9, 100%, $E$9)</f>
        <v>24.5091</v>
      </c>
      <c r="J720" s="81">
        <f>24.5527 * CHOOSE(CONTROL!$C$32, $C$9, 100%, $E$9)</f>
        <v>24.552700000000002</v>
      </c>
      <c r="K720" s="81">
        <f>24.5091 * CHOOSE(CONTROL!$C$32, $C$9, 100%, $E$9)</f>
        <v>24.5091</v>
      </c>
      <c r="L720" s="81">
        <f>13.4611 * CHOOSE(CONTROL!$C$32, $C$9, 100%, $E$9)</f>
        <v>13.4611</v>
      </c>
      <c r="M720" s="81">
        <f>13.4175 * CHOOSE(CONTROL!$C$32, $C$9, 100%, $E$9)</f>
        <v>13.4175</v>
      </c>
      <c r="N720" s="81">
        <f>13.4611 * CHOOSE(CONTROL!$C$32, $C$9, 100%, $E$9)</f>
        <v>13.4611</v>
      </c>
      <c r="O720" s="81">
        <f>13.4175 * CHOOSE(CONTROL!$C$32, $C$9, 100%, $E$9)</f>
        <v>13.4175</v>
      </c>
    </row>
    <row r="721" spans="1:15" ht="15">
      <c r="A721" s="16">
        <v>63159</v>
      </c>
      <c r="B721" s="80">
        <f>11.694 * CHOOSE(CONTROL!$C$32, $C$9, 100%, $E$9)</f>
        <v>11.694000000000001</v>
      </c>
      <c r="C721" s="80">
        <f>11.694 * CHOOSE(CONTROL!$C$32, $C$9, 100%, $E$9)</f>
        <v>11.694000000000001</v>
      </c>
      <c r="D721" s="80">
        <f>11.6586 * CHOOSE(CONTROL!$C$32, $C$9, 100%, $E$9)</f>
        <v>11.6586</v>
      </c>
      <c r="E721" s="81">
        <f>13.3393 * CHOOSE(CONTROL!$C$32, $C$9, 100%, $E$9)</f>
        <v>13.3393</v>
      </c>
      <c r="F721" s="81">
        <f>13.3393 * CHOOSE(CONTROL!$C$32, $C$9, 100%, $E$9)</f>
        <v>13.3393</v>
      </c>
      <c r="G721" s="81">
        <f>13.2956 * CHOOSE(CONTROL!$C$32, $C$9, 100%, $E$9)</f>
        <v>13.2956</v>
      </c>
      <c r="H721" s="81">
        <f>24.6039 * CHOOSE(CONTROL!$C$32, $C$9, 100%, $E$9)</f>
        <v>24.603899999999999</v>
      </c>
      <c r="I721" s="81">
        <f>24.5602 * CHOOSE(CONTROL!$C$32, $C$9, 100%, $E$9)</f>
        <v>24.560199999999998</v>
      </c>
      <c r="J721" s="81">
        <f>24.6039 * CHOOSE(CONTROL!$C$32, $C$9, 100%, $E$9)</f>
        <v>24.603899999999999</v>
      </c>
      <c r="K721" s="81">
        <f>24.5602 * CHOOSE(CONTROL!$C$32, $C$9, 100%, $E$9)</f>
        <v>24.560199999999998</v>
      </c>
      <c r="L721" s="81">
        <f>13.3393 * CHOOSE(CONTROL!$C$32, $C$9, 100%, $E$9)</f>
        <v>13.3393</v>
      </c>
      <c r="M721" s="81">
        <f>13.2956 * CHOOSE(CONTROL!$C$32, $C$9, 100%, $E$9)</f>
        <v>13.2956</v>
      </c>
      <c r="N721" s="81">
        <f>13.3393 * CHOOSE(CONTROL!$C$32, $C$9, 100%, $E$9)</f>
        <v>13.3393</v>
      </c>
      <c r="O721" s="81">
        <f>13.2956 * CHOOSE(CONTROL!$C$32, $C$9, 100%, $E$9)</f>
        <v>13.2956</v>
      </c>
    </row>
    <row r="722" spans="1:15" ht="15">
      <c r="A722" s="16">
        <v>63190</v>
      </c>
      <c r="B722" s="80">
        <f>11.723 * CHOOSE(CONTROL!$C$32, $C$9, 100%, $E$9)</f>
        <v>11.723000000000001</v>
      </c>
      <c r="C722" s="80">
        <f>11.723 * CHOOSE(CONTROL!$C$32, $C$9, 100%, $E$9)</f>
        <v>11.723000000000001</v>
      </c>
      <c r="D722" s="80">
        <f>11.6841 * CHOOSE(CONTROL!$C$32, $C$9, 100%, $E$9)</f>
        <v>11.684100000000001</v>
      </c>
      <c r="E722" s="81">
        <f>13.4657 * CHOOSE(CONTROL!$C$32, $C$9, 100%, $E$9)</f>
        <v>13.4657</v>
      </c>
      <c r="F722" s="81">
        <f>13.4657 * CHOOSE(CONTROL!$C$32, $C$9, 100%, $E$9)</f>
        <v>13.4657</v>
      </c>
      <c r="G722" s="81">
        <f>13.4177 * CHOOSE(CONTROL!$C$32, $C$9, 100%, $E$9)</f>
        <v>13.4177</v>
      </c>
      <c r="H722" s="81">
        <f>24.5228 * CHOOSE(CONTROL!$C$32, $C$9, 100%, $E$9)</f>
        <v>24.5228</v>
      </c>
      <c r="I722" s="81">
        <f>24.4748 * CHOOSE(CONTROL!$C$32, $C$9, 100%, $E$9)</f>
        <v>24.474799999999998</v>
      </c>
      <c r="J722" s="81">
        <f>24.5228 * CHOOSE(CONTROL!$C$32, $C$9, 100%, $E$9)</f>
        <v>24.5228</v>
      </c>
      <c r="K722" s="81">
        <f>24.4748 * CHOOSE(CONTROL!$C$32, $C$9, 100%, $E$9)</f>
        <v>24.474799999999998</v>
      </c>
      <c r="L722" s="81">
        <f>13.4657 * CHOOSE(CONTROL!$C$32, $C$9, 100%, $E$9)</f>
        <v>13.4657</v>
      </c>
      <c r="M722" s="81">
        <f>13.4177 * CHOOSE(CONTROL!$C$32, $C$9, 100%, $E$9)</f>
        <v>13.4177</v>
      </c>
      <c r="N722" s="81">
        <f>13.4657 * CHOOSE(CONTROL!$C$32, $C$9, 100%, $E$9)</f>
        <v>13.4657</v>
      </c>
      <c r="O722" s="81">
        <f>13.4177 * CHOOSE(CONTROL!$C$32, $C$9, 100%, $E$9)</f>
        <v>13.4177</v>
      </c>
    </row>
    <row r="723" spans="1:15" ht="15">
      <c r="A723" s="16">
        <v>63221</v>
      </c>
      <c r="B723" s="80">
        <f>11.72 * CHOOSE(CONTROL!$C$32, $C$9, 100%, $E$9)</f>
        <v>11.72</v>
      </c>
      <c r="C723" s="80">
        <f>11.72 * CHOOSE(CONTROL!$C$32, $C$9, 100%, $E$9)</f>
        <v>11.72</v>
      </c>
      <c r="D723" s="80">
        <f>11.681 * CHOOSE(CONTROL!$C$32, $C$9, 100%, $E$9)</f>
        <v>11.680999999999999</v>
      </c>
      <c r="E723" s="81">
        <f>13.2284 * CHOOSE(CONTROL!$C$32, $C$9, 100%, $E$9)</f>
        <v>13.228400000000001</v>
      </c>
      <c r="F723" s="81">
        <f>13.2284 * CHOOSE(CONTROL!$C$32, $C$9, 100%, $E$9)</f>
        <v>13.228400000000001</v>
      </c>
      <c r="G723" s="81">
        <f>13.1804 * CHOOSE(CONTROL!$C$32, $C$9, 100%, $E$9)</f>
        <v>13.180400000000001</v>
      </c>
      <c r="H723" s="81">
        <f>24.5739 * CHOOSE(CONTROL!$C$32, $C$9, 100%, $E$9)</f>
        <v>24.573899999999998</v>
      </c>
      <c r="I723" s="81">
        <f>24.5258 * CHOOSE(CONTROL!$C$32, $C$9, 100%, $E$9)</f>
        <v>24.5258</v>
      </c>
      <c r="J723" s="81">
        <f>24.5739 * CHOOSE(CONTROL!$C$32, $C$9, 100%, $E$9)</f>
        <v>24.573899999999998</v>
      </c>
      <c r="K723" s="81">
        <f>24.5258 * CHOOSE(CONTROL!$C$32, $C$9, 100%, $E$9)</f>
        <v>24.5258</v>
      </c>
      <c r="L723" s="81">
        <f>13.2284 * CHOOSE(CONTROL!$C$32, $C$9, 100%, $E$9)</f>
        <v>13.228400000000001</v>
      </c>
      <c r="M723" s="81">
        <f>13.1804 * CHOOSE(CONTROL!$C$32, $C$9, 100%, $E$9)</f>
        <v>13.180400000000001</v>
      </c>
      <c r="N723" s="81">
        <f>13.2284 * CHOOSE(CONTROL!$C$32, $C$9, 100%, $E$9)</f>
        <v>13.228400000000001</v>
      </c>
      <c r="O723" s="81">
        <f>13.1804 * CHOOSE(CONTROL!$C$32, $C$9, 100%, $E$9)</f>
        <v>13.180400000000001</v>
      </c>
    </row>
    <row r="724" spans="1:15" ht="15">
      <c r="A724" s="16">
        <v>63249</v>
      </c>
      <c r="B724" s="80">
        <f>11.717 * CHOOSE(CONTROL!$C$32, $C$9, 100%, $E$9)</f>
        <v>11.717000000000001</v>
      </c>
      <c r="C724" s="80">
        <f>11.717 * CHOOSE(CONTROL!$C$32, $C$9, 100%, $E$9)</f>
        <v>11.717000000000001</v>
      </c>
      <c r="D724" s="80">
        <f>11.678 * CHOOSE(CONTROL!$C$32, $C$9, 100%, $E$9)</f>
        <v>11.678000000000001</v>
      </c>
      <c r="E724" s="81">
        <f>13.4117 * CHOOSE(CONTROL!$C$32, $C$9, 100%, $E$9)</f>
        <v>13.4117</v>
      </c>
      <c r="F724" s="81">
        <f>13.4117 * CHOOSE(CONTROL!$C$32, $C$9, 100%, $E$9)</f>
        <v>13.4117</v>
      </c>
      <c r="G724" s="81">
        <f>13.3637 * CHOOSE(CONTROL!$C$32, $C$9, 100%, $E$9)</f>
        <v>13.3637</v>
      </c>
      <c r="H724" s="81">
        <f>24.6251 * CHOOSE(CONTROL!$C$32, $C$9, 100%, $E$9)</f>
        <v>24.6251</v>
      </c>
      <c r="I724" s="81">
        <f>24.577 * CHOOSE(CONTROL!$C$32, $C$9, 100%, $E$9)</f>
        <v>24.577000000000002</v>
      </c>
      <c r="J724" s="81">
        <f>24.6251 * CHOOSE(CONTROL!$C$32, $C$9, 100%, $E$9)</f>
        <v>24.6251</v>
      </c>
      <c r="K724" s="81">
        <f>24.577 * CHOOSE(CONTROL!$C$32, $C$9, 100%, $E$9)</f>
        <v>24.577000000000002</v>
      </c>
      <c r="L724" s="81">
        <f>13.4117 * CHOOSE(CONTROL!$C$32, $C$9, 100%, $E$9)</f>
        <v>13.4117</v>
      </c>
      <c r="M724" s="81">
        <f>13.3637 * CHOOSE(CONTROL!$C$32, $C$9, 100%, $E$9)</f>
        <v>13.3637</v>
      </c>
      <c r="N724" s="81">
        <f>13.4117 * CHOOSE(CONTROL!$C$32, $C$9, 100%, $E$9)</f>
        <v>13.4117</v>
      </c>
      <c r="O724" s="81">
        <f>13.3637 * CHOOSE(CONTROL!$C$32, $C$9, 100%, $E$9)</f>
        <v>13.3637</v>
      </c>
    </row>
    <row r="725" spans="1:15" ht="15">
      <c r="A725" s="16">
        <v>63280</v>
      </c>
      <c r="B725" s="80">
        <f>11.7211 * CHOOSE(CONTROL!$C$32, $C$9, 100%, $E$9)</f>
        <v>11.7211</v>
      </c>
      <c r="C725" s="80">
        <f>11.7211 * CHOOSE(CONTROL!$C$32, $C$9, 100%, $E$9)</f>
        <v>11.7211</v>
      </c>
      <c r="D725" s="80">
        <f>11.6821 * CHOOSE(CONTROL!$C$32, $C$9, 100%, $E$9)</f>
        <v>11.6821</v>
      </c>
      <c r="E725" s="81">
        <f>13.6066 * CHOOSE(CONTROL!$C$32, $C$9, 100%, $E$9)</f>
        <v>13.6066</v>
      </c>
      <c r="F725" s="81">
        <f>13.6066 * CHOOSE(CONTROL!$C$32, $C$9, 100%, $E$9)</f>
        <v>13.6066</v>
      </c>
      <c r="G725" s="81">
        <f>13.5586 * CHOOSE(CONTROL!$C$32, $C$9, 100%, $E$9)</f>
        <v>13.5586</v>
      </c>
      <c r="H725" s="81">
        <f>24.6764 * CHOOSE(CONTROL!$C$32, $C$9, 100%, $E$9)</f>
        <v>24.676400000000001</v>
      </c>
      <c r="I725" s="81">
        <f>24.6283 * CHOOSE(CONTROL!$C$32, $C$9, 100%, $E$9)</f>
        <v>24.628299999999999</v>
      </c>
      <c r="J725" s="81">
        <f>24.6764 * CHOOSE(CONTROL!$C$32, $C$9, 100%, $E$9)</f>
        <v>24.676400000000001</v>
      </c>
      <c r="K725" s="81">
        <f>24.6283 * CHOOSE(CONTROL!$C$32, $C$9, 100%, $E$9)</f>
        <v>24.628299999999999</v>
      </c>
      <c r="L725" s="81">
        <f>13.6066 * CHOOSE(CONTROL!$C$32, $C$9, 100%, $E$9)</f>
        <v>13.6066</v>
      </c>
      <c r="M725" s="81">
        <f>13.5586 * CHOOSE(CONTROL!$C$32, $C$9, 100%, $E$9)</f>
        <v>13.5586</v>
      </c>
      <c r="N725" s="81">
        <f>13.6066 * CHOOSE(CONTROL!$C$32, $C$9, 100%, $E$9)</f>
        <v>13.6066</v>
      </c>
      <c r="O725" s="81">
        <f>13.5586 * CHOOSE(CONTROL!$C$32, $C$9, 100%, $E$9)</f>
        <v>13.5586</v>
      </c>
    </row>
    <row r="726" spans="1:15" ht="15">
      <c r="A726" s="16">
        <v>63310</v>
      </c>
      <c r="B726" s="80">
        <f>11.7211 * CHOOSE(CONTROL!$C$32, $C$9, 100%, $E$9)</f>
        <v>11.7211</v>
      </c>
      <c r="C726" s="80">
        <f>11.7211 * CHOOSE(CONTROL!$C$32, $C$9, 100%, $E$9)</f>
        <v>11.7211</v>
      </c>
      <c r="D726" s="80">
        <f>11.6643 * CHOOSE(CONTROL!$C$32, $C$9, 100%, $E$9)</f>
        <v>11.664300000000001</v>
      </c>
      <c r="E726" s="81">
        <f>13.6813 * CHOOSE(CONTROL!$C$32, $C$9, 100%, $E$9)</f>
        <v>13.6813</v>
      </c>
      <c r="F726" s="81">
        <f>13.6813 * CHOOSE(CONTROL!$C$32, $C$9, 100%, $E$9)</f>
        <v>13.6813</v>
      </c>
      <c r="G726" s="81">
        <f>13.6118 * CHOOSE(CONTROL!$C$32, $C$9, 100%, $E$9)</f>
        <v>13.611800000000001</v>
      </c>
      <c r="H726" s="81">
        <f>24.7278 * CHOOSE(CONTROL!$C$32, $C$9, 100%, $E$9)</f>
        <v>24.727799999999998</v>
      </c>
      <c r="I726" s="81">
        <f>24.6583 * CHOOSE(CONTROL!$C$32, $C$9, 100%, $E$9)</f>
        <v>24.658300000000001</v>
      </c>
      <c r="J726" s="81">
        <f>24.7278 * CHOOSE(CONTROL!$C$32, $C$9, 100%, $E$9)</f>
        <v>24.727799999999998</v>
      </c>
      <c r="K726" s="81">
        <f>24.6583 * CHOOSE(CONTROL!$C$32, $C$9, 100%, $E$9)</f>
        <v>24.658300000000001</v>
      </c>
      <c r="L726" s="81">
        <f>13.6813 * CHOOSE(CONTROL!$C$32, $C$9, 100%, $E$9)</f>
        <v>13.6813</v>
      </c>
      <c r="M726" s="81">
        <f>13.6118 * CHOOSE(CONTROL!$C$32, $C$9, 100%, $E$9)</f>
        <v>13.611800000000001</v>
      </c>
      <c r="N726" s="81">
        <f>13.6813 * CHOOSE(CONTROL!$C$32, $C$9, 100%, $E$9)</f>
        <v>13.6813</v>
      </c>
      <c r="O726" s="81">
        <f>13.6118 * CHOOSE(CONTROL!$C$32, $C$9, 100%, $E$9)</f>
        <v>13.611800000000001</v>
      </c>
    </row>
    <row r="727" spans="1:15" ht="15">
      <c r="A727" s="16">
        <v>63341</v>
      </c>
      <c r="B727" s="80">
        <f>11.7272 * CHOOSE(CONTROL!$C$32, $C$9, 100%, $E$9)</f>
        <v>11.7272</v>
      </c>
      <c r="C727" s="80">
        <f>11.7272 * CHOOSE(CONTROL!$C$32, $C$9, 100%, $E$9)</f>
        <v>11.7272</v>
      </c>
      <c r="D727" s="80">
        <f>11.6704 * CHOOSE(CONTROL!$C$32, $C$9, 100%, $E$9)</f>
        <v>11.670400000000001</v>
      </c>
      <c r="E727" s="81">
        <f>13.6108 * CHOOSE(CONTROL!$C$32, $C$9, 100%, $E$9)</f>
        <v>13.610799999999999</v>
      </c>
      <c r="F727" s="81">
        <f>13.6108 * CHOOSE(CONTROL!$C$32, $C$9, 100%, $E$9)</f>
        <v>13.610799999999999</v>
      </c>
      <c r="G727" s="81">
        <f>13.5414 * CHOOSE(CONTROL!$C$32, $C$9, 100%, $E$9)</f>
        <v>13.541399999999999</v>
      </c>
      <c r="H727" s="81">
        <f>24.7793 * CHOOSE(CONTROL!$C$32, $C$9, 100%, $E$9)</f>
        <v>24.779299999999999</v>
      </c>
      <c r="I727" s="81">
        <f>24.7098 * CHOOSE(CONTROL!$C$32, $C$9, 100%, $E$9)</f>
        <v>24.709800000000001</v>
      </c>
      <c r="J727" s="81">
        <f>24.7793 * CHOOSE(CONTROL!$C$32, $C$9, 100%, $E$9)</f>
        <v>24.779299999999999</v>
      </c>
      <c r="K727" s="81">
        <f>24.7098 * CHOOSE(CONTROL!$C$32, $C$9, 100%, $E$9)</f>
        <v>24.709800000000001</v>
      </c>
      <c r="L727" s="81">
        <f>13.6108 * CHOOSE(CONTROL!$C$32, $C$9, 100%, $E$9)</f>
        <v>13.610799999999999</v>
      </c>
      <c r="M727" s="81">
        <f>13.5414 * CHOOSE(CONTROL!$C$32, $C$9, 100%, $E$9)</f>
        <v>13.541399999999999</v>
      </c>
      <c r="N727" s="81">
        <f>13.6108 * CHOOSE(CONTROL!$C$32, $C$9, 100%, $E$9)</f>
        <v>13.610799999999999</v>
      </c>
      <c r="O727" s="81">
        <f>13.5414 * CHOOSE(CONTROL!$C$32, $C$9, 100%, $E$9)</f>
        <v>13.541399999999999</v>
      </c>
    </row>
    <row r="728" spans="1:15" ht="15">
      <c r="A728" s="16">
        <v>63371</v>
      </c>
      <c r="B728" s="80">
        <f>11.9066 * CHOOSE(CONTROL!$C$32, $C$9, 100%, $E$9)</f>
        <v>11.906599999999999</v>
      </c>
      <c r="C728" s="80">
        <f>11.9066 * CHOOSE(CONTROL!$C$32, $C$9, 100%, $E$9)</f>
        <v>11.906599999999999</v>
      </c>
      <c r="D728" s="80">
        <f>11.8498 * CHOOSE(CONTROL!$C$32, $C$9, 100%, $E$9)</f>
        <v>11.8498</v>
      </c>
      <c r="E728" s="81">
        <f>13.8292 * CHOOSE(CONTROL!$C$32, $C$9, 100%, $E$9)</f>
        <v>13.8292</v>
      </c>
      <c r="F728" s="81">
        <f>13.8292 * CHOOSE(CONTROL!$C$32, $C$9, 100%, $E$9)</f>
        <v>13.8292</v>
      </c>
      <c r="G728" s="81">
        <f>13.7597 * CHOOSE(CONTROL!$C$32, $C$9, 100%, $E$9)</f>
        <v>13.7597</v>
      </c>
      <c r="H728" s="81">
        <f>24.8309 * CHOOSE(CONTROL!$C$32, $C$9, 100%, $E$9)</f>
        <v>24.8309</v>
      </c>
      <c r="I728" s="81">
        <f>24.7614 * CHOOSE(CONTROL!$C$32, $C$9, 100%, $E$9)</f>
        <v>24.761399999999998</v>
      </c>
      <c r="J728" s="81">
        <f>24.8309 * CHOOSE(CONTROL!$C$32, $C$9, 100%, $E$9)</f>
        <v>24.8309</v>
      </c>
      <c r="K728" s="81">
        <f>24.7614 * CHOOSE(CONTROL!$C$32, $C$9, 100%, $E$9)</f>
        <v>24.761399999999998</v>
      </c>
      <c r="L728" s="81">
        <f>13.8292 * CHOOSE(CONTROL!$C$32, $C$9, 100%, $E$9)</f>
        <v>13.8292</v>
      </c>
      <c r="M728" s="81">
        <f>13.7597 * CHOOSE(CONTROL!$C$32, $C$9, 100%, $E$9)</f>
        <v>13.7597</v>
      </c>
      <c r="N728" s="81">
        <f>13.8292 * CHOOSE(CONTROL!$C$32, $C$9, 100%, $E$9)</f>
        <v>13.8292</v>
      </c>
      <c r="O728" s="81">
        <f>13.7597 * CHOOSE(CONTROL!$C$32, $C$9, 100%, $E$9)</f>
        <v>13.7597</v>
      </c>
    </row>
    <row r="729" spans="1:15" ht="15">
      <c r="A729" s="16">
        <v>63402</v>
      </c>
      <c r="B729" s="80">
        <f>11.9133 * CHOOSE(CONTROL!$C$32, $C$9, 100%, $E$9)</f>
        <v>11.9133</v>
      </c>
      <c r="C729" s="80">
        <f>11.9133 * CHOOSE(CONTROL!$C$32, $C$9, 100%, $E$9)</f>
        <v>11.9133</v>
      </c>
      <c r="D729" s="80">
        <f>11.8565 * CHOOSE(CONTROL!$C$32, $C$9, 100%, $E$9)</f>
        <v>11.8565</v>
      </c>
      <c r="E729" s="81">
        <f>13.6098 * CHOOSE(CONTROL!$C$32, $C$9, 100%, $E$9)</f>
        <v>13.6098</v>
      </c>
      <c r="F729" s="81">
        <f>13.6098 * CHOOSE(CONTROL!$C$32, $C$9, 100%, $E$9)</f>
        <v>13.6098</v>
      </c>
      <c r="G729" s="81">
        <f>13.5403 * CHOOSE(CONTROL!$C$32, $C$9, 100%, $E$9)</f>
        <v>13.5403</v>
      </c>
      <c r="H729" s="81">
        <f>24.8826 * CHOOSE(CONTROL!$C$32, $C$9, 100%, $E$9)</f>
        <v>24.8826</v>
      </c>
      <c r="I729" s="81">
        <f>24.8132 * CHOOSE(CONTROL!$C$32, $C$9, 100%, $E$9)</f>
        <v>24.813199999999998</v>
      </c>
      <c r="J729" s="81">
        <f>24.8826 * CHOOSE(CONTROL!$C$32, $C$9, 100%, $E$9)</f>
        <v>24.8826</v>
      </c>
      <c r="K729" s="81">
        <f>24.8132 * CHOOSE(CONTROL!$C$32, $C$9, 100%, $E$9)</f>
        <v>24.813199999999998</v>
      </c>
      <c r="L729" s="81">
        <f>13.6098 * CHOOSE(CONTROL!$C$32, $C$9, 100%, $E$9)</f>
        <v>13.6098</v>
      </c>
      <c r="M729" s="81">
        <f>13.5403 * CHOOSE(CONTROL!$C$32, $C$9, 100%, $E$9)</f>
        <v>13.5403</v>
      </c>
      <c r="N729" s="81">
        <f>13.6098 * CHOOSE(CONTROL!$C$32, $C$9, 100%, $E$9)</f>
        <v>13.6098</v>
      </c>
      <c r="O729" s="81">
        <f>13.5403 * CHOOSE(CONTROL!$C$32, $C$9, 100%, $E$9)</f>
        <v>13.5403</v>
      </c>
    </row>
    <row r="730" spans="1:15" ht="15">
      <c r="A730" s="16">
        <v>63433</v>
      </c>
      <c r="B730" s="80">
        <f>11.9103 * CHOOSE(CONTROL!$C$32, $C$9, 100%, $E$9)</f>
        <v>11.910299999999999</v>
      </c>
      <c r="C730" s="80">
        <f>11.9103 * CHOOSE(CONTROL!$C$32, $C$9, 100%, $E$9)</f>
        <v>11.910299999999999</v>
      </c>
      <c r="D730" s="80">
        <f>11.8535 * CHOOSE(CONTROL!$C$32, $C$9, 100%, $E$9)</f>
        <v>11.8535</v>
      </c>
      <c r="E730" s="81">
        <f>13.5828 * CHOOSE(CONTROL!$C$32, $C$9, 100%, $E$9)</f>
        <v>13.582800000000001</v>
      </c>
      <c r="F730" s="81">
        <f>13.5828 * CHOOSE(CONTROL!$C$32, $C$9, 100%, $E$9)</f>
        <v>13.582800000000001</v>
      </c>
      <c r="G730" s="81">
        <f>13.5133 * CHOOSE(CONTROL!$C$32, $C$9, 100%, $E$9)</f>
        <v>13.513299999999999</v>
      </c>
      <c r="H730" s="81">
        <f>24.9345 * CHOOSE(CONTROL!$C$32, $C$9, 100%, $E$9)</f>
        <v>24.9345</v>
      </c>
      <c r="I730" s="81">
        <f>24.865 * CHOOSE(CONTROL!$C$32, $C$9, 100%, $E$9)</f>
        <v>24.864999999999998</v>
      </c>
      <c r="J730" s="81">
        <f>24.9345 * CHOOSE(CONTROL!$C$32, $C$9, 100%, $E$9)</f>
        <v>24.9345</v>
      </c>
      <c r="K730" s="81">
        <f>24.865 * CHOOSE(CONTROL!$C$32, $C$9, 100%, $E$9)</f>
        <v>24.864999999999998</v>
      </c>
      <c r="L730" s="81">
        <f>13.5828 * CHOOSE(CONTROL!$C$32, $C$9, 100%, $E$9)</f>
        <v>13.582800000000001</v>
      </c>
      <c r="M730" s="81">
        <f>13.5133 * CHOOSE(CONTROL!$C$32, $C$9, 100%, $E$9)</f>
        <v>13.513299999999999</v>
      </c>
      <c r="N730" s="81">
        <f>13.5828 * CHOOSE(CONTROL!$C$32, $C$9, 100%, $E$9)</f>
        <v>13.582800000000001</v>
      </c>
      <c r="O730" s="81">
        <f>13.5133 * CHOOSE(CONTROL!$C$32, $C$9, 100%, $E$9)</f>
        <v>13.513299999999999</v>
      </c>
    </row>
    <row r="731" spans="1:15" ht="15">
      <c r="A731" s="16">
        <v>63463</v>
      </c>
      <c r="B731" s="80">
        <f>11.9309 * CHOOSE(CONTROL!$C$32, $C$9, 100%, $E$9)</f>
        <v>11.930899999999999</v>
      </c>
      <c r="C731" s="80">
        <f>11.9309 * CHOOSE(CONTROL!$C$32, $C$9, 100%, $E$9)</f>
        <v>11.930899999999999</v>
      </c>
      <c r="D731" s="80">
        <f>11.8919 * CHOOSE(CONTROL!$C$32, $C$9, 100%, $E$9)</f>
        <v>11.8919</v>
      </c>
      <c r="E731" s="81">
        <f>13.6689 * CHOOSE(CONTROL!$C$32, $C$9, 100%, $E$9)</f>
        <v>13.668900000000001</v>
      </c>
      <c r="F731" s="81">
        <f>13.6689 * CHOOSE(CONTROL!$C$32, $C$9, 100%, $E$9)</f>
        <v>13.668900000000001</v>
      </c>
      <c r="G731" s="81">
        <f>13.6209 * CHOOSE(CONTROL!$C$32, $C$9, 100%, $E$9)</f>
        <v>13.620900000000001</v>
      </c>
      <c r="H731" s="81">
        <f>24.9864 * CHOOSE(CONTROL!$C$32, $C$9, 100%, $E$9)</f>
        <v>24.9864</v>
      </c>
      <c r="I731" s="81">
        <f>24.9384 * CHOOSE(CONTROL!$C$32, $C$9, 100%, $E$9)</f>
        <v>24.938400000000001</v>
      </c>
      <c r="J731" s="81">
        <f>24.9864 * CHOOSE(CONTROL!$C$32, $C$9, 100%, $E$9)</f>
        <v>24.9864</v>
      </c>
      <c r="K731" s="81">
        <f>24.9384 * CHOOSE(CONTROL!$C$32, $C$9, 100%, $E$9)</f>
        <v>24.938400000000001</v>
      </c>
      <c r="L731" s="81">
        <f>13.6689 * CHOOSE(CONTROL!$C$32, $C$9, 100%, $E$9)</f>
        <v>13.668900000000001</v>
      </c>
      <c r="M731" s="81">
        <f>13.6209 * CHOOSE(CONTROL!$C$32, $C$9, 100%, $E$9)</f>
        <v>13.620900000000001</v>
      </c>
      <c r="N731" s="81">
        <f>13.6689 * CHOOSE(CONTROL!$C$32, $C$9, 100%, $E$9)</f>
        <v>13.668900000000001</v>
      </c>
      <c r="O731" s="81">
        <f>13.6209 * CHOOSE(CONTROL!$C$32, $C$9, 100%, $E$9)</f>
        <v>13.620900000000001</v>
      </c>
    </row>
    <row r="732" spans="1:15" ht="15">
      <c r="A732" s="16">
        <v>63494</v>
      </c>
      <c r="B732" s="80">
        <f>11.9339 * CHOOSE(CONTROL!$C$32, $C$9, 100%, $E$9)</f>
        <v>11.9339</v>
      </c>
      <c r="C732" s="80">
        <f>11.9339 * CHOOSE(CONTROL!$C$32, $C$9, 100%, $E$9)</f>
        <v>11.9339</v>
      </c>
      <c r="D732" s="80">
        <f>11.895 * CHOOSE(CONTROL!$C$32, $C$9, 100%, $E$9)</f>
        <v>11.895</v>
      </c>
      <c r="E732" s="81">
        <f>13.7208 * CHOOSE(CONTROL!$C$32, $C$9, 100%, $E$9)</f>
        <v>13.720800000000001</v>
      </c>
      <c r="F732" s="81">
        <f>13.7208 * CHOOSE(CONTROL!$C$32, $C$9, 100%, $E$9)</f>
        <v>13.720800000000001</v>
      </c>
      <c r="G732" s="81">
        <f>13.6728 * CHOOSE(CONTROL!$C$32, $C$9, 100%, $E$9)</f>
        <v>13.672800000000001</v>
      </c>
      <c r="H732" s="81">
        <f>25.0385 * CHOOSE(CONTROL!$C$32, $C$9, 100%, $E$9)</f>
        <v>25.038499999999999</v>
      </c>
      <c r="I732" s="81">
        <f>24.9905 * CHOOSE(CONTROL!$C$32, $C$9, 100%, $E$9)</f>
        <v>24.990500000000001</v>
      </c>
      <c r="J732" s="81">
        <f>25.0385 * CHOOSE(CONTROL!$C$32, $C$9, 100%, $E$9)</f>
        <v>25.038499999999999</v>
      </c>
      <c r="K732" s="81">
        <f>24.9905 * CHOOSE(CONTROL!$C$32, $C$9, 100%, $E$9)</f>
        <v>24.990500000000001</v>
      </c>
      <c r="L732" s="81">
        <f>13.7208 * CHOOSE(CONTROL!$C$32, $C$9, 100%, $E$9)</f>
        <v>13.720800000000001</v>
      </c>
      <c r="M732" s="81">
        <f>13.6728 * CHOOSE(CONTROL!$C$32, $C$9, 100%, $E$9)</f>
        <v>13.672800000000001</v>
      </c>
      <c r="N732" s="81">
        <f>13.7208 * CHOOSE(CONTROL!$C$32, $C$9, 100%, $E$9)</f>
        <v>13.720800000000001</v>
      </c>
      <c r="O732" s="81">
        <f>13.6728 * CHOOSE(CONTROL!$C$32, $C$9, 100%, $E$9)</f>
        <v>13.672800000000001</v>
      </c>
    </row>
    <row r="733" spans="1:15" ht="15">
      <c r="A733" s="16">
        <v>63524</v>
      </c>
      <c r="B733" s="80">
        <f>11.9339 * CHOOSE(CONTROL!$C$32, $C$9, 100%, $E$9)</f>
        <v>11.9339</v>
      </c>
      <c r="C733" s="80">
        <f>11.9339 * CHOOSE(CONTROL!$C$32, $C$9, 100%, $E$9)</f>
        <v>11.9339</v>
      </c>
      <c r="D733" s="80">
        <f>11.895 * CHOOSE(CONTROL!$C$32, $C$9, 100%, $E$9)</f>
        <v>11.895</v>
      </c>
      <c r="E733" s="81">
        <f>13.5964 * CHOOSE(CONTROL!$C$32, $C$9, 100%, $E$9)</f>
        <v>13.596399999999999</v>
      </c>
      <c r="F733" s="81">
        <f>13.5964 * CHOOSE(CONTROL!$C$32, $C$9, 100%, $E$9)</f>
        <v>13.596399999999999</v>
      </c>
      <c r="G733" s="81">
        <f>13.5483 * CHOOSE(CONTROL!$C$32, $C$9, 100%, $E$9)</f>
        <v>13.548299999999999</v>
      </c>
      <c r="H733" s="81">
        <f>25.0906 * CHOOSE(CONTROL!$C$32, $C$9, 100%, $E$9)</f>
        <v>25.090599999999998</v>
      </c>
      <c r="I733" s="81">
        <f>25.0426 * CHOOSE(CONTROL!$C$32, $C$9, 100%, $E$9)</f>
        <v>25.0426</v>
      </c>
      <c r="J733" s="81">
        <f>25.0906 * CHOOSE(CONTROL!$C$32, $C$9, 100%, $E$9)</f>
        <v>25.090599999999998</v>
      </c>
      <c r="K733" s="81">
        <f>25.0426 * CHOOSE(CONTROL!$C$32, $C$9, 100%, $E$9)</f>
        <v>25.0426</v>
      </c>
      <c r="L733" s="81">
        <f>13.5964 * CHOOSE(CONTROL!$C$32, $C$9, 100%, $E$9)</f>
        <v>13.596399999999999</v>
      </c>
      <c r="M733" s="81">
        <f>13.5483 * CHOOSE(CONTROL!$C$32, $C$9, 100%, $E$9)</f>
        <v>13.548299999999999</v>
      </c>
      <c r="N733" s="81">
        <f>13.5964 * CHOOSE(CONTROL!$C$32, $C$9, 100%, $E$9)</f>
        <v>13.596399999999999</v>
      </c>
      <c r="O733" s="81">
        <f>13.5483 * CHOOSE(CONTROL!$C$32, $C$9, 100%, $E$9)</f>
        <v>13.548299999999999</v>
      </c>
    </row>
    <row r="734" spans="1:15" ht="15">
      <c r="A734" s="16">
        <v>63555</v>
      </c>
      <c r="B734" s="80">
        <f>11.9586 * CHOOSE(CONTROL!$C$32, $C$9, 100%, $E$9)</f>
        <v>11.958600000000001</v>
      </c>
      <c r="C734" s="80">
        <f>11.9586 * CHOOSE(CONTROL!$C$32, $C$9, 100%, $E$9)</f>
        <v>11.958600000000001</v>
      </c>
      <c r="D734" s="80">
        <f>11.9161 * CHOOSE(CONTROL!$C$32, $C$9, 100%, $E$9)</f>
        <v>11.9161</v>
      </c>
      <c r="E734" s="81">
        <f>13.7204 * CHOOSE(CONTROL!$C$32, $C$9, 100%, $E$9)</f>
        <v>13.7204</v>
      </c>
      <c r="F734" s="81">
        <f>13.7204 * CHOOSE(CONTROL!$C$32, $C$9, 100%, $E$9)</f>
        <v>13.7204</v>
      </c>
      <c r="G734" s="81">
        <f>13.6681 * CHOOSE(CONTROL!$C$32, $C$9, 100%, $E$9)</f>
        <v>13.668100000000001</v>
      </c>
      <c r="H734" s="81">
        <f>24.9985 * CHOOSE(CONTROL!$C$32, $C$9, 100%, $E$9)</f>
        <v>24.9985</v>
      </c>
      <c r="I734" s="81">
        <f>24.9462 * CHOOSE(CONTROL!$C$32, $C$9, 100%, $E$9)</f>
        <v>24.946200000000001</v>
      </c>
      <c r="J734" s="81">
        <f>24.9985 * CHOOSE(CONTROL!$C$32, $C$9, 100%, $E$9)</f>
        <v>24.9985</v>
      </c>
      <c r="K734" s="81">
        <f>24.9462 * CHOOSE(CONTROL!$C$32, $C$9, 100%, $E$9)</f>
        <v>24.946200000000001</v>
      </c>
      <c r="L734" s="81">
        <f>13.7204 * CHOOSE(CONTROL!$C$32, $C$9, 100%, $E$9)</f>
        <v>13.7204</v>
      </c>
      <c r="M734" s="81">
        <f>13.6681 * CHOOSE(CONTROL!$C$32, $C$9, 100%, $E$9)</f>
        <v>13.668100000000001</v>
      </c>
      <c r="N734" s="81">
        <f>13.7204 * CHOOSE(CONTROL!$C$32, $C$9, 100%, $E$9)</f>
        <v>13.7204</v>
      </c>
      <c r="O734" s="81">
        <f>13.6681 * CHOOSE(CONTROL!$C$32, $C$9, 100%, $E$9)</f>
        <v>13.668100000000001</v>
      </c>
    </row>
    <row r="735" spans="1:15" ht="15">
      <c r="A735" s="16">
        <v>63586</v>
      </c>
      <c r="B735" s="80">
        <f>11.9556 * CHOOSE(CONTROL!$C$32, $C$9, 100%, $E$9)</f>
        <v>11.9556</v>
      </c>
      <c r="C735" s="80">
        <f>11.9556 * CHOOSE(CONTROL!$C$32, $C$9, 100%, $E$9)</f>
        <v>11.9556</v>
      </c>
      <c r="D735" s="80">
        <f>11.9131 * CHOOSE(CONTROL!$C$32, $C$9, 100%, $E$9)</f>
        <v>11.9131</v>
      </c>
      <c r="E735" s="81">
        <f>13.4782 * CHOOSE(CONTROL!$C$32, $C$9, 100%, $E$9)</f>
        <v>13.478199999999999</v>
      </c>
      <c r="F735" s="81">
        <f>13.4782 * CHOOSE(CONTROL!$C$32, $C$9, 100%, $E$9)</f>
        <v>13.478199999999999</v>
      </c>
      <c r="G735" s="81">
        <f>13.4258 * CHOOSE(CONTROL!$C$32, $C$9, 100%, $E$9)</f>
        <v>13.425800000000001</v>
      </c>
      <c r="H735" s="81">
        <f>25.0506 * CHOOSE(CONTROL!$C$32, $C$9, 100%, $E$9)</f>
        <v>25.050599999999999</v>
      </c>
      <c r="I735" s="81">
        <f>24.9982 * CHOOSE(CONTROL!$C$32, $C$9, 100%, $E$9)</f>
        <v>24.998200000000001</v>
      </c>
      <c r="J735" s="81">
        <f>25.0506 * CHOOSE(CONTROL!$C$32, $C$9, 100%, $E$9)</f>
        <v>25.050599999999999</v>
      </c>
      <c r="K735" s="81">
        <f>24.9982 * CHOOSE(CONTROL!$C$32, $C$9, 100%, $E$9)</f>
        <v>24.998200000000001</v>
      </c>
      <c r="L735" s="81">
        <f>13.4782 * CHOOSE(CONTROL!$C$32, $C$9, 100%, $E$9)</f>
        <v>13.478199999999999</v>
      </c>
      <c r="M735" s="81">
        <f>13.4258 * CHOOSE(CONTROL!$C$32, $C$9, 100%, $E$9)</f>
        <v>13.425800000000001</v>
      </c>
      <c r="N735" s="81">
        <f>13.4782 * CHOOSE(CONTROL!$C$32, $C$9, 100%, $E$9)</f>
        <v>13.478199999999999</v>
      </c>
      <c r="O735" s="81">
        <f>13.4258 * CHOOSE(CONTROL!$C$32, $C$9, 100%, $E$9)</f>
        <v>13.425800000000001</v>
      </c>
    </row>
    <row r="736" spans="1:15" ht="15">
      <c r="A736" s="16">
        <v>63614</v>
      </c>
      <c r="B736" s="80">
        <f>11.9525 * CHOOSE(CONTROL!$C$32, $C$9, 100%, $E$9)</f>
        <v>11.952500000000001</v>
      </c>
      <c r="C736" s="80">
        <f>11.9525 * CHOOSE(CONTROL!$C$32, $C$9, 100%, $E$9)</f>
        <v>11.952500000000001</v>
      </c>
      <c r="D736" s="80">
        <f>11.91 * CHOOSE(CONTROL!$C$32, $C$9, 100%, $E$9)</f>
        <v>11.91</v>
      </c>
      <c r="E736" s="81">
        <f>13.6654 * CHOOSE(CONTROL!$C$32, $C$9, 100%, $E$9)</f>
        <v>13.6654</v>
      </c>
      <c r="F736" s="81">
        <f>13.6654 * CHOOSE(CONTROL!$C$32, $C$9, 100%, $E$9)</f>
        <v>13.6654</v>
      </c>
      <c r="G736" s="81">
        <f>13.613 * CHOOSE(CONTROL!$C$32, $C$9, 100%, $E$9)</f>
        <v>13.613</v>
      </c>
      <c r="H736" s="81">
        <f>25.1028 * CHOOSE(CONTROL!$C$32, $C$9, 100%, $E$9)</f>
        <v>25.102799999999998</v>
      </c>
      <c r="I736" s="81">
        <f>25.0504 * CHOOSE(CONTROL!$C$32, $C$9, 100%, $E$9)</f>
        <v>25.0504</v>
      </c>
      <c r="J736" s="81">
        <f>25.1028 * CHOOSE(CONTROL!$C$32, $C$9, 100%, $E$9)</f>
        <v>25.102799999999998</v>
      </c>
      <c r="K736" s="81">
        <f>25.0504 * CHOOSE(CONTROL!$C$32, $C$9, 100%, $E$9)</f>
        <v>25.0504</v>
      </c>
      <c r="L736" s="81">
        <f>13.6654 * CHOOSE(CONTROL!$C$32, $C$9, 100%, $E$9)</f>
        <v>13.6654</v>
      </c>
      <c r="M736" s="81">
        <f>13.613 * CHOOSE(CONTROL!$C$32, $C$9, 100%, $E$9)</f>
        <v>13.613</v>
      </c>
      <c r="N736" s="81">
        <f>13.6654 * CHOOSE(CONTROL!$C$32, $C$9, 100%, $E$9)</f>
        <v>13.6654</v>
      </c>
      <c r="O736" s="81">
        <f>13.613 * CHOOSE(CONTROL!$C$32, $C$9, 100%, $E$9)</f>
        <v>13.613</v>
      </c>
    </row>
    <row r="737" spans="1:15" ht="15">
      <c r="A737" s="16">
        <v>63645</v>
      </c>
      <c r="B737" s="80">
        <f>11.9569 * CHOOSE(CONTROL!$C$32, $C$9, 100%, $E$9)</f>
        <v>11.956899999999999</v>
      </c>
      <c r="C737" s="80">
        <f>11.9569 * CHOOSE(CONTROL!$C$32, $C$9, 100%, $E$9)</f>
        <v>11.956899999999999</v>
      </c>
      <c r="D737" s="80">
        <f>11.9143 * CHOOSE(CONTROL!$C$32, $C$9, 100%, $E$9)</f>
        <v>11.914300000000001</v>
      </c>
      <c r="E737" s="81">
        <f>13.8645 * CHOOSE(CONTROL!$C$32, $C$9, 100%, $E$9)</f>
        <v>13.8645</v>
      </c>
      <c r="F737" s="81">
        <f>13.8645 * CHOOSE(CONTROL!$C$32, $C$9, 100%, $E$9)</f>
        <v>13.8645</v>
      </c>
      <c r="G737" s="81">
        <f>13.8121 * CHOOSE(CONTROL!$C$32, $C$9, 100%, $E$9)</f>
        <v>13.812099999999999</v>
      </c>
      <c r="H737" s="81">
        <f>25.1551 * CHOOSE(CONTROL!$C$32, $C$9, 100%, $E$9)</f>
        <v>25.155100000000001</v>
      </c>
      <c r="I737" s="81">
        <f>25.1027 * CHOOSE(CONTROL!$C$32, $C$9, 100%, $E$9)</f>
        <v>25.102699999999999</v>
      </c>
      <c r="J737" s="81">
        <f>25.1551 * CHOOSE(CONTROL!$C$32, $C$9, 100%, $E$9)</f>
        <v>25.155100000000001</v>
      </c>
      <c r="K737" s="81">
        <f>25.1027 * CHOOSE(CONTROL!$C$32, $C$9, 100%, $E$9)</f>
        <v>25.102699999999999</v>
      </c>
      <c r="L737" s="81">
        <f>13.8645 * CHOOSE(CONTROL!$C$32, $C$9, 100%, $E$9)</f>
        <v>13.8645</v>
      </c>
      <c r="M737" s="81">
        <f>13.8121 * CHOOSE(CONTROL!$C$32, $C$9, 100%, $E$9)</f>
        <v>13.812099999999999</v>
      </c>
      <c r="N737" s="81">
        <f>13.8645 * CHOOSE(CONTROL!$C$32, $C$9, 100%, $E$9)</f>
        <v>13.8645</v>
      </c>
      <c r="O737" s="81">
        <f>13.8121 * CHOOSE(CONTROL!$C$32, $C$9, 100%, $E$9)</f>
        <v>13.812099999999999</v>
      </c>
    </row>
    <row r="738" spans="1:15" ht="15">
      <c r="A738" s="16">
        <v>63675</v>
      </c>
      <c r="B738" s="80">
        <f>11.9569 * CHOOSE(CONTROL!$C$32, $C$9, 100%, $E$9)</f>
        <v>11.956899999999999</v>
      </c>
      <c r="C738" s="80">
        <f>11.9569 * CHOOSE(CONTROL!$C$32, $C$9, 100%, $E$9)</f>
        <v>11.956899999999999</v>
      </c>
      <c r="D738" s="80">
        <f>11.8949 * CHOOSE(CONTROL!$C$32, $C$9, 100%, $E$9)</f>
        <v>11.8949</v>
      </c>
      <c r="E738" s="81">
        <f>13.9407 * CHOOSE(CONTROL!$C$32, $C$9, 100%, $E$9)</f>
        <v>13.9407</v>
      </c>
      <c r="F738" s="81">
        <f>13.9407 * CHOOSE(CONTROL!$C$32, $C$9, 100%, $E$9)</f>
        <v>13.9407</v>
      </c>
      <c r="G738" s="81">
        <f>13.8649 * CHOOSE(CONTROL!$C$32, $C$9, 100%, $E$9)</f>
        <v>13.8649</v>
      </c>
      <c r="H738" s="81">
        <f>25.2075 * CHOOSE(CONTROL!$C$32, $C$9, 100%, $E$9)</f>
        <v>25.2075</v>
      </c>
      <c r="I738" s="81">
        <f>25.1317 * CHOOSE(CONTROL!$C$32, $C$9, 100%, $E$9)</f>
        <v>25.131699999999999</v>
      </c>
      <c r="J738" s="81">
        <f>25.2075 * CHOOSE(CONTROL!$C$32, $C$9, 100%, $E$9)</f>
        <v>25.2075</v>
      </c>
      <c r="K738" s="81">
        <f>25.1317 * CHOOSE(CONTROL!$C$32, $C$9, 100%, $E$9)</f>
        <v>25.131699999999999</v>
      </c>
      <c r="L738" s="81">
        <f>13.9407 * CHOOSE(CONTROL!$C$32, $C$9, 100%, $E$9)</f>
        <v>13.9407</v>
      </c>
      <c r="M738" s="81">
        <f>13.8649 * CHOOSE(CONTROL!$C$32, $C$9, 100%, $E$9)</f>
        <v>13.8649</v>
      </c>
      <c r="N738" s="81">
        <f>13.9407 * CHOOSE(CONTROL!$C$32, $C$9, 100%, $E$9)</f>
        <v>13.9407</v>
      </c>
      <c r="O738" s="81">
        <f>13.8649 * CHOOSE(CONTROL!$C$32, $C$9, 100%, $E$9)</f>
        <v>13.8649</v>
      </c>
    </row>
    <row r="739" spans="1:15" ht="15">
      <c r="A739" s="16">
        <v>63706</v>
      </c>
      <c r="B739" s="80">
        <f>11.9629 * CHOOSE(CONTROL!$C$32, $C$9, 100%, $E$9)</f>
        <v>11.962899999999999</v>
      </c>
      <c r="C739" s="80">
        <f>11.9629 * CHOOSE(CONTROL!$C$32, $C$9, 100%, $E$9)</f>
        <v>11.962899999999999</v>
      </c>
      <c r="D739" s="80">
        <f>11.901 * CHOOSE(CONTROL!$C$32, $C$9, 100%, $E$9)</f>
        <v>11.901</v>
      </c>
      <c r="E739" s="81">
        <f>13.8687 * CHOOSE(CONTROL!$C$32, $C$9, 100%, $E$9)</f>
        <v>13.8687</v>
      </c>
      <c r="F739" s="81">
        <f>13.8687 * CHOOSE(CONTROL!$C$32, $C$9, 100%, $E$9)</f>
        <v>13.8687</v>
      </c>
      <c r="G739" s="81">
        <f>13.7929 * CHOOSE(CONTROL!$C$32, $C$9, 100%, $E$9)</f>
        <v>13.792899999999999</v>
      </c>
      <c r="H739" s="81">
        <f>25.26 * CHOOSE(CONTROL!$C$32, $C$9, 100%, $E$9)</f>
        <v>25.26</v>
      </c>
      <c r="I739" s="81">
        <f>25.1842 * CHOOSE(CONTROL!$C$32, $C$9, 100%, $E$9)</f>
        <v>25.184200000000001</v>
      </c>
      <c r="J739" s="81">
        <f>25.26 * CHOOSE(CONTROL!$C$32, $C$9, 100%, $E$9)</f>
        <v>25.26</v>
      </c>
      <c r="K739" s="81">
        <f>25.1842 * CHOOSE(CONTROL!$C$32, $C$9, 100%, $E$9)</f>
        <v>25.184200000000001</v>
      </c>
      <c r="L739" s="81">
        <f>13.8687 * CHOOSE(CONTROL!$C$32, $C$9, 100%, $E$9)</f>
        <v>13.8687</v>
      </c>
      <c r="M739" s="81">
        <f>13.7929 * CHOOSE(CONTROL!$C$32, $C$9, 100%, $E$9)</f>
        <v>13.792899999999999</v>
      </c>
      <c r="N739" s="81">
        <f>13.8687 * CHOOSE(CONTROL!$C$32, $C$9, 100%, $E$9)</f>
        <v>13.8687</v>
      </c>
      <c r="O739" s="81">
        <f>13.7929 * CHOOSE(CONTROL!$C$32, $C$9, 100%, $E$9)</f>
        <v>13.792899999999999</v>
      </c>
    </row>
    <row r="740" spans="1:15" ht="15">
      <c r="A740" s="16">
        <v>63736</v>
      </c>
      <c r="B740" s="80">
        <f>12.1458 * CHOOSE(CONTROL!$C$32, $C$9, 100%, $E$9)</f>
        <v>12.145799999999999</v>
      </c>
      <c r="C740" s="80">
        <f>12.1458 * CHOOSE(CONTROL!$C$32, $C$9, 100%, $E$9)</f>
        <v>12.145799999999999</v>
      </c>
      <c r="D740" s="80">
        <f>12.0838 * CHOOSE(CONTROL!$C$32, $C$9, 100%, $E$9)</f>
        <v>12.0838</v>
      </c>
      <c r="E740" s="81">
        <f>14.0909 * CHOOSE(CONTROL!$C$32, $C$9, 100%, $E$9)</f>
        <v>14.0909</v>
      </c>
      <c r="F740" s="81">
        <f>14.0909 * CHOOSE(CONTROL!$C$32, $C$9, 100%, $E$9)</f>
        <v>14.0909</v>
      </c>
      <c r="G740" s="81">
        <f>14.0151 * CHOOSE(CONTROL!$C$32, $C$9, 100%, $E$9)</f>
        <v>14.0151</v>
      </c>
      <c r="H740" s="81">
        <f>25.3126 * CHOOSE(CONTROL!$C$32, $C$9, 100%, $E$9)</f>
        <v>25.3126</v>
      </c>
      <c r="I740" s="81">
        <f>25.2369 * CHOOSE(CONTROL!$C$32, $C$9, 100%, $E$9)</f>
        <v>25.236899999999999</v>
      </c>
      <c r="J740" s="81">
        <f>25.3126 * CHOOSE(CONTROL!$C$32, $C$9, 100%, $E$9)</f>
        <v>25.3126</v>
      </c>
      <c r="K740" s="81">
        <f>25.2369 * CHOOSE(CONTROL!$C$32, $C$9, 100%, $E$9)</f>
        <v>25.236899999999999</v>
      </c>
      <c r="L740" s="81">
        <f>14.0909 * CHOOSE(CONTROL!$C$32, $C$9, 100%, $E$9)</f>
        <v>14.0909</v>
      </c>
      <c r="M740" s="81">
        <f>14.0151 * CHOOSE(CONTROL!$C$32, $C$9, 100%, $E$9)</f>
        <v>14.0151</v>
      </c>
      <c r="N740" s="81">
        <f>14.0909 * CHOOSE(CONTROL!$C$32, $C$9, 100%, $E$9)</f>
        <v>14.0909</v>
      </c>
      <c r="O740" s="81">
        <f>14.0151 * CHOOSE(CONTROL!$C$32, $C$9, 100%, $E$9)</f>
        <v>14.0151</v>
      </c>
    </row>
    <row r="741" spans="1:15" ht="15">
      <c r="A741" s="16">
        <v>63767</v>
      </c>
      <c r="B741" s="80">
        <f>12.1525 * CHOOSE(CONTROL!$C$32, $C$9, 100%, $E$9)</f>
        <v>12.1525</v>
      </c>
      <c r="C741" s="80">
        <f>12.1525 * CHOOSE(CONTROL!$C$32, $C$9, 100%, $E$9)</f>
        <v>12.1525</v>
      </c>
      <c r="D741" s="80">
        <f>12.0905 * CHOOSE(CONTROL!$C$32, $C$9, 100%, $E$9)</f>
        <v>12.0905</v>
      </c>
      <c r="E741" s="81">
        <f>13.8668 * CHOOSE(CONTROL!$C$32, $C$9, 100%, $E$9)</f>
        <v>13.8668</v>
      </c>
      <c r="F741" s="81">
        <f>13.8668 * CHOOSE(CONTROL!$C$32, $C$9, 100%, $E$9)</f>
        <v>13.8668</v>
      </c>
      <c r="G741" s="81">
        <f>13.7911 * CHOOSE(CONTROL!$C$32, $C$9, 100%, $E$9)</f>
        <v>13.7911</v>
      </c>
      <c r="H741" s="81">
        <f>25.3654 * CHOOSE(CONTROL!$C$32, $C$9, 100%, $E$9)</f>
        <v>25.365400000000001</v>
      </c>
      <c r="I741" s="81">
        <f>25.2896 * CHOOSE(CONTROL!$C$32, $C$9, 100%, $E$9)</f>
        <v>25.2896</v>
      </c>
      <c r="J741" s="81">
        <f>25.3654 * CHOOSE(CONTROL!$C$32, $C$9, 100%, $E$9)</f>
        <v>25.365400000000001</v>
      </c>
      <c r="K741" s="81">
        <f>25.2896 * CHOOSE(CONTROL!$C$32, $C$9, 100%, $E$9)</f>
        <v>25.2896</v>
      </c>
      <c r="L741" s="81">
        <f>13.8668 * CHOOSE(CONTROL!$C$32, $C$9, 100%, $E$9)</f>
        <v>13.8668</v>
      </c>
      <c r="M741" s="81">
        <f>13.7911 * CHOOSE(CONTROL!$C$32, $C$9, 100%, $E$9)</f>
        <v>13.7911</v>
      </c>
      <c r="N741" s="81">
        <f>13.8668 * CHOOSE(CONTROL!$C$32, $C$9, 100%, $E$9)</f>
        <v>13.8668</v>
      </c>
      <c r="O741" s="81">
        <f>13.7911 * CHOOSE(CONTROL!$C$32, $C$9, 100%, $E$9)</f>
        <v>13.7911</v>
      </c>
    </row>
    <row r="742" spans="1:15" ht="15">
      <c r="A742" s="16">
        <v>63798</v>
      </c>
      <c r="B742" s="80">
        <f>12.1495 * CHOOSE(CONTROL!$C$32, $C$9, 100%, $E$9)</f>
        <v>12.1495</v>
      </c>
      <c r="C742" s="80">
        <f>12.1495 * CHOOSE(CONTROL!$C$32, $C$9, 100%, $E$9)</f>
        <v>12.1495</v>
      </c>
      <c r="D742" s="80">
        <f>12.0875 * CHOOSE(CONTROL!$C$32, $C$9, 100%, $E$9)</f>
        <v>12.0875</v>
      </c>
      <c r="E742" s="81">
        <f>13.8393 * CHOOSE(CONTROL!$C$32, $C$9, 100%, $E$9)</f>
        <v>13.8393</v>
      </c>
      <c r="F742" s="81">
        <f>13.8393 * CHOOSE(CONTROL!$C$32, $C$9, 100%, $E$9)</f>
        <v>13.8393</v>
      </c>
      <c r="G742" s="81">
        <f>13.7635 * CHOOSE(CONTROL!$C$32, $C$9, 100%, $E$9)</f>
        <v>13.763500000000001</v>
      </c>
      <c r="H742" s="81">
        <f>25.4182 * CHOOSE(CONTROL!$C$32, $C$9, 100%, $E$9)</f>
        <v>25.418199999999999</v>
      </c>
      <c r="I742" s="81">
        <f>25.3424 * CHOOSE(CONTROL!$C$32, $C$9, 100%, $E$9)</f>
        <v>25.342400000000001</v>
      </c>
      <c r="J742" s="81">
        <f>25.4182 * CHOOSE(CONTROL!$C$32, $C$9, 100%, $E$9)</f>
        <v>25.418199999999999</v>
      </c>
      <c r="K742" s="81">
        <f>25.3424 * CHOOSE(CONTROL!$C$32, $C$9, 100%, $E$9)</f>
        <v>25.342400000000001</v>
      </c>
      <c r="L742" s="81">
        <f>13.8393 * CHOOSE(CONTROL!$C$32, $C$9, 100%, $E$9)</f>
        <v>13.8393</v>
      </c>
      <c r="M742" s="81">
        <f>13.7635 * CHOOSE(CONTROL!$C$32, $C$9, 100%, $E$9)</f>
        <v>13.763500000000001</v>
      </c>
      <c r="N742" s="81">
        <f>13.8393 * CHOOSE(CONTROL!$C$32, $C$9, 100%, $E$9)</f>
        <v>13.8393</v>
      </c>
      <c r="O742" s="81">
        <f>13.7635 * CHOOSE(CONTROL!$C$32, $C$9, 100%, $E$9)</f>
        <v>13.763500000000001</v>
      </c>
    </row>
    <row r="743" spans="1:15" ht="15">
      <c r="A743" s="16">
        <v>63828</v>
      </c>
      <c r="B743" s="80">
        <f>12.1708 * CHOOSE(CONTROL!$C$32, $C$9, 100%, $E$9)</f>
        <v>12.1708</v>
      </c>
      <c r="C743" s="80">
        <f>12.1708 * CHOOSE(CONTROL!$C$32, $C$9, 100%, $E$9)</f>
        <v>12.1708</v>
      </c>
      <c r="D743" s="80">
        <f>12.1283 * CHOOSE(CONTROL!$C$32, $C$9, 100%, $E$9)</f>
        <v>12.128299999999999</v>
      </c>
      <c r="E743" s="81">
        <f>13.9276 * CHOOSE(CONTROL!$C$32, $C$9, 100%, $E$9)</f>
        <v>13.9276</v>
      </c>
      <c r="F743" s="81">
        <f>13.9276 * CHOOSE(CONTROL!$C$32, $C$9, 100%, $E$9)</f>
        <v>13.9276</v>
      </c>
      <c r="G743" s="81">
        <f>13.8752 * CHOOSE(CONTROL!$C$32, $C$9, 100%, $E$9)</f>
        <v>13.8752</v>
      </c>
      <c r="H743" s="81">
        <f>25.4712 * CHOOSE(CONTROL!$C$32, $C$9, 100%, $E$9)</f>
        <v>25.4712</v>
      </c>
      <c r="I743" s="81">
        <f>25.4188 * CHOOSE(CONTROL!$C$32, $C$9, 100%, $E$9)</f>
        <v>25.418800000000001</v>
      </c>
      <c r="J743" s="81">
        <f>25.4712 * CHOOSE(CONTROL!$C$32, $C$9, 100%, $E$9)</f>
        <v>25.4712</v>
      </c>
      <c r="K743" s="81">
        <f>25.4188 * CHOOSE(CONTROL!$C$32, $C$9, 100%, $E$9)</f>
        <v>25.418800000000001</v>
      </c>
      <c r="L743" s="81">
        <f>13.9276 * CHOOSE(CONTROL!$C$32, $C$9, 100%, $E$9)</f>
        <v>13.9276</v>
      </c>
      <c r="M743" s="81">
        <f>13.8752 * CHOOSE(CONTROL!$C$32, $C$9, 100%, $E$9)</f>
        <v>13.8752</v>
      </c>
      <c r="N743" s="81">
        <f>13.9276 * CHOOSE(CONTROL!$C$32, $C$9, 100%, $E$9)</f>
        <v>13.9276</v>
      </c>
      <c r="O743" s="81">
        <f>13.8752 * CHOOSE(CONTROL!$C$32, $C$9, 100%, $E$9)</f>
        <v>13.8752</v>
      </c>
    </row>
    <row r="744" spans="1:15" ht="15">
      <c r="A744" s="16">
        <v>63859</v>
      </c>
      <c r="B744" s="80">
        <f>12.1739 * CHOOSE(CONTROL!$C$32, $C$9, 100%, $E$9)</f>
        <v>12.1739</v>
      </c>
      <c r="C744" s="80">
        <f>12.1739 * CHOOSE(CONTROL!$C$32, $C$9, 100%, $E$9)</f>
        <v>12.1739</v>
      </c>
      <c r="D744" s="80">
        <f>12.1314 * CHOOSE(CONTROL!$C$32, $C$9, 100%, $E$9)</f>
        <v>12.131399999999999</v>
      </c>
      <c r="E744" s="81">
        <f>13.9805 * CHOOSE(CONTROL!$C$32, $C$9, 100%, $E$9)</f>
        <v>13.980499999999999</v>
      </c>
      <c r="F744" s="81">
        <f>13.9805 * CHOOSE(CONTROL!$C$32, $C$9, 100%, $E$9)</f>
        <v>13.980499999999999</v>
      </c>
      <c r="G744" s="81">
        <f>13.9281 * CHOOSE(CONTROL!$C$32, $C$9, 100%, $E$9)</f>
        <v>13.928100000000001</v>
      </c>
      <c r="H744" s="81">
        <f>25.5242 * CHOOSE(CONTROL!$C$32, $C$9, 100%, $E$9)</f>
        <v>25.5242</v>
      </c>
      <c r="I744" s="81">
        <f>25.4719 * CHOOSE(CONTROL!$C$32, $C$9, 100%, $E$9)</f>
        <v>25.471900000000002</v>
      </c>
      <c r="J744" s="81">
        <f>25.5242 * CHOOSE(CONTROL!$C$32, $C$9, 100%, $E$9)</f>
        <v>25.5242</v>
      </c>
      <c r="K744" s="81">
        <f>25.4719 * CHOOSE(CONTROL!$C$32, $C$9, 100%, $E$9)</f>
        <v>25.471900000000002</v>
      </c>
      <c r="L744" s="81">
        <f>13.9805 * CHOOSE(CONTROL!$C$32, $C$9, 100%, $E$9)</f>
        <v>13.980499999999999</v>
      </c>
      <c r="M744" s="81">
        <f>13.9281 * CHOOSE(CONTROL!$C$32, $C$9, 100%, $E$9)</f>
        <v>13.928100000000001</v>
      </c>
      <c r="N744" s="81">
        <f>13.9805 * CHOOSE(CONTROL!$C$32, $C$9, 100%, $E$9)</f>
        <v>13.980499999999999</v>
      </c>
      <c r="O744" s="81">
        <f>13.9281 * CHOOSE(CONTROL!$C$32, $C$9, 100%, $E$9)</f>
        <v>13.928100000000001</v>
      </c>
    </row>
    <row r="745" spans="1:15" ht="15">
      <c r="A745" s="16">
        <v>63889</v>
      </c>
      <c r="B745" s="80">
        <f>12.1739 * CHOOSE(CONTROL!$C$32, $C$9, 100%, $E$9)</f>
        <v>12.1739</v>
      </c>
      <c r="C745" s="80">
        <f>12.1739 * CHOOSE(CONTROL!$C$32, $C$9, 100%, $E$9)</f>
        <v>12.1739</v>
      </c>
      <c r="D745" s="80">
        <f>12.1314 * CHOOSE(CONTROL!$C$32, $C$9, 100%, $E$9)</f>
        <v>12.131399999999999</v>
      </c>
      <c r="E745" s="81">
        <f>13.8534 * CHOOSE(CONTROL!$C$32, $C$9, 100%, $E$9)</f>
        <v>13.853400000000001</v>
      </c>
      <c r="F745" s="81">
        <f>13.8534 * CHOOSE(CONTROL!$C$32, $C$9, 100%, $E$9)</f>
        <v>13.853400000000001</v>
      </c>
      <c r="G745" s="81">
        <f>13.8011 * CHOOSE(CONTROL!$C$32, $C$9, 100%, $E$9)</f>
        <v>13.8011</v>
      </c>
      <c r="H745" s="81">
        <f>25.5774 * CHOOSE(CONTROL!$C$32, $C$9, 100%, $E$9)</f>
        <v>25.577400000000001</v>
      </c>
      <c r="I745" s="81">
        <f>25.525 * CHOOSE(CONTROL!$C$32, $C$9, 100%, $E$9)</f>
        <v>25.524999999999999</v>
      </c>
      <c r="J745" s="81">
        <f>25.5774 * CHOOSE(CONTROL!$C$32, $C$9, 100%, $E$9)</f>
        <v>25.577400000000001</v>
      </c>
      <c r="K745" s="81">
        <f>25.525 * CHOOSE(CONTROL!$C$32, $C$9, 100%, $E$9)</f>
        <v>25.524999999999999</v>
      </c>
      <c r="L745" s="81">
        <f>13.8534 * CHOOSE(CONTROL!$C$32, $C$9, 100%, $E$9)</f>
        <v>13.853400000000001</v>
      </c>
      <c r="M745" s="81">
        <f>13.8011 * CHOOSE(CONTROL!$C$32, $C$9, 100%, $E$9)</f>
        <v>13.8011</v>
      </c>
      <c r="N745" s="81">
        <f>13.8534 * CHOOSE(CONTROL!$C$32, $C$9, 100%, $E$9)</f>
        <v>13.853400000000001</v>
      </c>
      <c r="O745" s="81">
        <f>13.8011 * CHOOSE(CONTROL!$C$32, $C$9, 100%, $E$9)</f>
        <v>13.8011</v>
      </c>
    </row>
    <row r="746" spans="1:15" ht="15">
      <c r="A746" s="16">
        <v>63920</v>
      </c>
      <c r="B746" s="80">
        <f>12.1942 * CHOOSE(CONTROL!$C$32, $C$9, 100%, $E$9)</f>
        <v>12.1942</v>
      </c>
      <c r="C746" s="80">
        <f>12.1942 * CHOOSE(CONTROL!$C$32, $C$9, 100%, $E$9)</f>
        <v>12.1942</v>
      </c>
      <c r="D746" s="80">
        <f>12.1481 * CHOOSE(CONTROL!$C$32, $C$9, 100%, $E$9)</f>
        <v>12.148099999999999</v>
      </c>
      <c r="E746" s="81">
        <f>13.9752 * CHOOSE(CONTROL!$C$32, $C$9, 100%, $E$9)</f>
        <v>13.975199999999999</v>
      </c>
      <c r="F746" s="81">
        <f>13.9752 * CHOOSE(CONTROL!$C$32, $C$9, 100%, $E$9)</f>
        <v>13.975199999999999</v>
      </c>
      <c r="G746" s="81">
        <f>13.9184 * CHOOSE(CONTROL!$C$32, $C$9, 100%, $E$9)</f>
        <v>13.9184</v>
      </c>
      <c r="H746" s="81">
        <f>25.4743 * CHOOSE(CONTROL!$C$32, $C$9, 100%, $E$9)</f>
        <v>25.474299999999999</v>
      </c>
      <c r="I746" s="81">
        <f>25.4176 * CHOOSE(CONTROL!$C$32, $C$9, 100%, $E$9)</f>
        <v>25.4176</v>
      </c>
      <c r="J746" s="81">
        <f>25.4743 * CHOOSE(CONTROL!$C$32, $C$9, 100%, $E$9)</f>
        <v>25.474299999999999</v>
      </c>
      <c r="K746" s="81">
        <f>25.4176 * CHOOSE(CONTROL!$C$32, $C$9, 100%, $E$9)</f>
        <v>25.4176</v>
      </c>
      <c r="L746" s="81">
        <f>13.9752 * CHOOSE(CONTROL!$C$32, $C$9, 100%, $E$9)</f>
        <v>13.975199999999999</v>
      </c>
      <c r="M746" s="81">
        <f>13.9184 * CHOOSE(CONTROL!$C$32, $C$9, 100%, $E$9)</f>
        <v>13.9184</v>
      </c>
      <c r="N746" s="81">
        <f>13.9752 * CHOOSE(CONTROL!$C$32, $C$9, 100%, $E$9)</f>
        <v>13.975199999999999</v>
      </c>
      <c r="O746" s="81">
        <f>13.9184 * CHOOSE(CONTROL!$C$32, $C$9, 100%, $E$9)</f>
        <v>13.9184</v>
      </c>
    </row>
    <row r="747" spans="1:15" ht="15">
      <c r="A747" s="16">
        <v>63951</v>
      </c>
      <c r="B747" s="80">
        <f>12.1911 * CHOOSE(CONTROL!$C$32, $C$9, 100%, $E$9)</f>
        <v>12.1911</v>
      </c>
      <c r="C747" s="80">
        <f>12.1911 * CHOOSE(CONTROL!$C$32, $C$9, 100%, $E$9)</f>
        <v>12.1911</v>
      </c>
      <c r="D747" s="80">
        <f>12.1451 * CHOOSE(CONTROL!$C$32, $C$9, 100%, $E$9)</f>
        <v>12.145099999999999</v>
      </c>
      <c r="E747" s="81">
        <f>13.728 * CHOOSE(CONTROL!$C$32, $C$9, 100%, $E$9)</f>
        <v>13.728</v>
      </c>
      <c r="F747" s="81">
        <f>13.728 * CHOOSE(CONTROL!$C$32, $C$9, 100%, $E$9)</f>
        <v>13.728</v>
      </c>
      <c r="G747" s="81">
        <f>13.6712 * CHOOSE(CONTROL!$C$32, $C$9, 100%, $E$9)</f>
        <v>13.671200000000001</v>
      </c>
      <c r="H747" s="81">
        <f>25.5274 * CHOOSE(CONTROL!$C$32, $C$9, 100%, $E$9)</f>
        <v>25.5274</v>
      </c>
      <c r="I747" s="81">
        <f>25.4706 * CHOOSE(CONTROL!$C$32, $C$9, 100%, $E$9)</f>
        <v>25.470600000000001</v>
      </c>
      <c r="J747" s="81">
        <f>25.5274 * CHOOSE(CONTROL!$C$32, $C$9, 100%, $E$9)</f>
        <v>25.5274</v>
      </c>
      <c r="K747" s="81">
        <f>25.4706 * CHOOSE(CONTROL!$C$32, $C$9, 100%, $E$9)</f>
        <v>25.470600000000001</v>
      </c>
      <c r="L747" s="81">
        <f>13.728 * CHOOSE(CONTROL!$C$32, $C$9, 100%, $E$9)</f>
        <v>13.728</v>
      </c>
      <c r="M747" s="81">
        <f>13.6712 * CHOOSE(CONTROL!$C$32, $C$9, 100%, $E$9)</f>
        <v>13.671200000000001</v>
      </c>
      <c r="N747" s="81">
        <f>13.728 * CHOOSE(CONTROL!$C$32, $C$9, 100%, $E$9)</f>
        <v>13.728</v>
      </c>
      <c r="O747" s="81">
        <f>13.6712 * CHOOSE(CONTROL!$C$32, $C$9, 100%, $E$9)</f>
        <v>13.671200000000001</v>
      </c>
    </row>
    <row r="748" spans="1:15" ht="15">
      <c r="A748" s="16">
        <v>63979</v>
      </c>
      <c r="B748" s="80">
        <f>12.1881 * CHOOSE(CONTROL!$C$32, $C$9, 100%, $E$9)</f>
        <v>12.1881</v>
      </c>
      <c r="C748" s="80">
        <f>12.1881 * CHOOSE(CONTROL!$C$32, $C$9, 100%, $E$9)</f>
        <v>12.1881</v>
      </c>
      <c r="D748" s="80">
        <f>12.142 * CHOOSE(CONTROL!$C$32, $C$9, 100%, $E$9)</f>
        <v>12.141999999999999</v>
      </c>
      <c r="E748" s="81">
        <f>13.9191 * CHOOSE(CONTROL!$C$32, $C$9, 100%, $E$9)</f>
        <v>13.9191</v>
      </c>
      <c r="F748" s="81">
        <f>13.9191 * CHOOSE(CONTROL!$C$32, $C$9, 100%, $E$9)</f>
        <v>13.9191</v>
      </c>
      <c r="G748" s="81">
        <f>13.8623 * CHOOSE(CONTROL!$C$32, $C$9, 100%, $E$9)</f>
        <v>13.862299999999999</v>
      </c>
      <c r="H748" s="81">
        <f>25.5806 * CHOOSE(CONTROL!$C$32, $C$9, 100%, $E$9)</f>
        <v>25.5806</v>
      </c>
      <c r="I748" s="81">
        <f>25.5238 * CHOOSE(CONTROL!$C$32, $C$9, 100%, $E$9)</f>
        <v>25.523800000000001</v>
      </c>
      <c r="J748" s="81">
        <f>25.5806 * CHOOSE(CONTROL!$C$32, $C$9, 100%, $E$9)</f>
        <v>25.5806</v>
      </c>
      <c r="K748" s="81">
        <f>25.5238 * CHOOSE(CONTROL!$C$32, $C$9, 100%, $E$9)</f>
        <v>25.523800000000001</v>
      </c>
      <c r="L748" s="81">
        <f>13.9191 * CHOOSE(CONTROL!$C$32, $C$9, 100%, $E$9)</f>
        <v>13.9191</v>
      </c>
      <c r="M748" s="81">
        <f>13.8623 * CHOOSE(CONTROL!$C$32, $C$9, 100%, $E$9)</f>
        <v>13.862299999999999</v>
      </c>
      <c r="N748" s="81">
        <f>13.9191 * CHOOSE(CONTROL!$C$32, $C$9, 100%, $E$9)</f>
        <v>13.9191</v>
      </c>
      <c r="O748" s="81">
        <f>13.8623 * CHOOSE(CONTROL!$C$32, $C$9, 100%, $E$9)</f>
        <v>13.862299999999999</v>
      </c>
    </row>
    <row r="749" spans="1:15" ht="15">
      <c r="A749" s="16">
        <v>64010</v>
      </c>
      <c r="B749" s="80">
        <f>12.1926 * CHOOSE(CONTROL!$C$32, $C$9, 100%, $E$9)</f>
        <v>12.192600000000001</v>
      </c>
      <c r="C749" s="80">
        <f>12.1926 * CHOOSE(CONTROL!$C$32, $C$9, 100%, $E$9)</f>
        <v>12.192600000000001</v>
      </c>
      <c r="D749" s="80">
        <f>12.1466 * CHOOSE(CONTROL!$C$32, $C$9, 100%, $E$9)</f>
        <v>12.146599999999999</v>
      </c>
      <c r="E749" s="81">
        <f>14.1223 * CHOOSE(CONTROL!$C$32, $C$9, 100%, $E$9)</f>
        <v>14.122299999999999</v>
      </c>
      <c r="F749" s="81">
        <f>14.1223 * CHOOSE(CONTROL!$C$32, $C$9, 100%, $E$9)</f>
        <v>14.122299999999999</v>
      </c>
      <c r="G749" s="81">
        <f>14.0656 * CHOOSE(CONTROL!$C$32, $C$9, 100%, $E$9)</f>
        <v>14.0656</v>
      </c>
      <c r="H749" s="81">
        <f>25.6338 * CHOOSE(CONTROL!$C$32, $C$9, 100%, $E$9)</f>
        <v>25.633800000000001</v>
      </c>
      <c r="I749" s="81">
        <f>25.5771 * CHOOSE(CONTROL!$C$32, $C$9, 100%, $E$9)</f>
        <v>25.577100000000002</v>
      </c>
      <c r="J749" s="81">
        <f>25.6338 * CHOOSE(CONTROL!$C$32, $C$9, 100%, $E$9)</f>
        <v>25.633800000000001</v>
      </c>
      <c r="K749" s="81">
        <f>25.5771 * CHOOSE(CONTROL!$C$32, $C$9, 100%, $E$9)</f>
        <v>25.577100000000002</v>
      </c>
      <c r="L749" s="81">
        <f>14.1223 * CHOOSE(CONTROL!$C$32, $C$9, 100%, $E$9)</f>
        <v>14.122299999999999</v>
      </c>
      <c r="M749" s="81">
        <f>14.0656 * CHOOSE(CONTROL!$C$32, $C$9, 100%, $E$9)</f>
        <v>14.0656</v>
      </c>
      <c r="N749" s="81">
        <f>14.1223 * CHOOSE(CONTROL!$C$32, $C$9, 100%, $E$9)</f>
        <v>14.122299999999999</v>
      </c>
      <c r="O749" s="81">
        <f>14.0656 * CHOOSE(CONTROL!$C$32, $C$9, 100%, $E$9)</f>
        <v>14.0656</v>
      </c>
    </row>
    <row r="750" spans="1:15" ht="15">
      <c r="A750" s="16">
        <v>64040</v>
      </c>
      <c r="B750" s="80">
        <f>12.1926 * CHOOSE(CONTROL!$C$32, $C$9, 100%, $E$9)</f>
        <v>12.192600000000001</v>
      </c>
      <c r="C750" s="80">
        <f>12.1926 * CHOOSE(CONTROL!$C$32, $C$9, 100%, $E$9)</f>
        <v>12.192600000000001</v>
      </c>
      <c r="D750" s="80">
        <f>12.1255 * CHOOSE(CONTROL!$C$32, $C$9, 100%, $E$9)</f>
        <v>12.125500000000001</v>
      </c>
      <c r="E750" s="81">
        <f>14.2001 * CHOOSE(CONTROL!$C$32, $C$9, 100%, $E$9)</f>
        <v>14.200100000000001</v>
      </c>
      <c r="F750" s="81">
        <f>14.2001 * CHOOSE(CONTROL!$C$32, $C$9, 100%, $E$9)</f>
        <v>14.200100000000001</v>
      </c>
      <c r="G750" s="81">
        <f>14.118 * CHOOSE(CONTROL!$C$32, $C$9, 100%, $E$9)</f>
        <v>14.118</v>
      </c>
      <c r="H750" s="81">
        <f>25.6872 * CHOOSE(CONTROL!$C$32, $C$9, 100%, $E$9)</f>
        <v>25.687200000000001</v>
      </c>
      <c r="I750" s="81">
        <f>25.6052 * CHOOSE(CONTROL!$C$32, $C$9, 100%, $E$9)</f>
        <v>25.6052</v>
      </c>
      <c r="J750" s="81">
        <f>25.6872 * CHOOSE(CONTROL!$C$32, $C$9, 100%, $E$9)</f>
        <v>25.687200000000001</v>
      </c>
      <c r="K750" s="81">
        <f>25.6052 * CHOOSE(CONTROL!$C$32, $C$9, 100%, $E$9)</f>
        <v>25.6052</v>
      </c>
      <c r="L750" s="81">
        <f>14.2001 * CHOOSE(CONTROL!$C$32, $C$9, 100%, $E$9)</f>
        <v>14.200100000000001</v>
      </c>
      <c r="M750" s="81">
        <f>14.118 * CHOOSE(CONTROL!$C$32, $C$9, 100%, $E$9)</f>
        <v>14.118</v>
      </c>
      <c r="N750" s="81">
        <f>14.2001 * CHOOSE(CONTROL!$C$32, $C$9, 100%, $E$9)</f>
        <v>14.200100000000001</v>
      </c>
      <c r="O750" s="81">
        <f>14.118 * CHOOSE(CONTROL!$C$32, $C$9, 100%, $E$9)</f>
        <v>14.118</v>
      </c>
    </row>
    <row r="751" spans="1:15" ht="15">
      <c r="A751" s="16">
        <v>64071</v>
      </c>
      <c r="B751" s="80">
        <f>12.1987 * CHOOSE(CONTROL!$C$32, $C$9, 100%, $E$9)</f>
        <v>12.198700000000001</v>
      </c>
      <c r="C751" s="80">
        <f>12.1987 * CHOOSE(CONTROL!$C$32, $C$9, 100%, $E$9)</f>
        <v>12.198700000000001</v>
      </c>
      <c r="D751" s="80">
        <f>12.1316 * CHOOSE(CONTROL!$C$32, $C$9, 100%, $E$9)</f>
        <v>12.131600000000001</v>
      </c>
      <c r="E751" s="81">
        <f>14.1266 * CHOOSE(CONTROL!$C$32, $C$9, 100%, $E$9)</f>
        <v>14.1266</v>
      </c>
      <c r="F751" s="81">
        <f>14.1266 * CHOOSE(CONTROL!$C$32, $C$9, 100%, $E$9)</f>
        <v>14.1266</v>
      </c>
      <c r="G751" s="81">
        <f>14.0445 * CHOOSE(CONTROL!$C$32, $C$9, 100%, $E$9)</f>
        <v>14.044499999999999</v>
      </c>
      <c r="H751" s="81">
        <f>25.7408 * CHOOSE(CONTROL!$C$32, $C$9, 100%, $E$9)</f>
        <v>25.7408</v>
      </c>
      <c r="I751" s="81">
        <f>25.6587 * CHOOSE(CONTROL!$C$32, $C$9, 100%, $E$9)</f>
        <v>25.6587</v>
      </c>
      <c r="J751" s="81">
        <f>25.7408 * CHOOSE(CONTROL!$C$32, $C$9, 100%, $E$9)</f>
        <v>25.7408</v>
      </c>
      <c r="K751" s="81">
        <f>25.6587 * CHOOSE(CONTROL!$C$32, $C$9, 100%, $E$9)</f>
        <v>25.6587</v>
      </c>
      <c r="L751" s="81">
        <f>14.1266 * CHOOSE(CONTROL!$C$32, $C$9, 100%, $E$9)</f>
        <v>14.1266</v>
      </c>
      <c r="M751" s="81">
        <f>14.0445 * CHOOSE(CONTROL!$C$32, $C$9, 100%, $E$9)</f>
        <v>14.044499999999999</v>
      </c>
      <c r="N751" s="81">
        <f>14.1266 * CHOOSE(CONTROL!$C$32, $C$9, 100%, $E$9)</f>
        <v>14.1266</v>
      </c>
      <c r="O751" s="81">
        <f>14.0445 * CHOOSE(CONTROL!$C$32, $C$9, 100%, $E$9)</f>
        <v>14.044499999999999</v>
      </c>
    </row>
    <row r="752" spans="1:15" ht="15">
      <c r="A752" s="16">
        <v>64101</v>
      </c>
      <c r="B752" s="80">
        <f>12.385 * CHOOSE(CONTROL!$C$32, $C$9, 100%, $E$9)</f>
        <v>12.385</v>
      </c>
      <c r="C752" s="80">
        <f>12.385 * CHOOSE(CONTROL!$C$32, $C$9, 100%, $E$9)</f>
        <v>12.385</v>
      </c>
      <c r="D752" s="80">
        <f>12.3179 * CHOOSE(CONTROL!$C$32, $C$9, 100%, $E$9)</f>
        <v>12.3179</v>
      </c>
      <c r="E752" s="81">
        <f>14.3527 * CHOOSE(CONTROL!$C$32, $C$9, 100%, $E$9)</f>
        <v>14.3527</v>
      </c>
      <c r="F752" s="81">
        <f>14.3527 * CHOOSE(CONTROL!$C$32, $C$9, 100%, $E$9)</f>
        <v>14.3527</v>
      </c>
      <c r="G752" s="81">
        <f>14.2706 * CHOOSE(CONTROL!$C$32, $C$9, 100%, $E$9)</f>
        <v>14.2706</v>
      </c>
      <c r="H752" s="81">
        <f>25.7944 * CHOOSE(CONTROL!$C$32, $C$9, 100%, $E$9)</f>
        <v>25.7944</v>
      </c>
      <c r="I752" s="81">
        <f>25.7123 * CHOOSE(CONTROL!$C$32, $C$9, 100%, $E$9)</f>
        <v>25.712299999999999</v>
      </c>
      <c r="J752" s="81">
        <f>25.7944 * CHOOSE(CONTROL!$C$32, $C$9, 100%, $E$9)</f>
        <v>25.7944</v>
      </c>
      <c r="K752" s="81">
        <f>25.7123 * CHOOSE(CONTROL!$C$32, $C$9, 100%, $E$9)</f>
        <v>25.712299999999999</v>
      </c>
      <c r="L752" s="81">
        <f>14.3527 * CHOOSE(CONTROL!$C$32, $C$9, 100%, $E$9)</f>
        <v>14.3527</v>
      </c>
      <c r="M752" s="81">
        <f>14.2706 * CHOOSE(CONTROL!$C$32, $C$9, 100%, $E$9)</f>
        <v>14.2706</v>
      </c>
      <c r="N752" s="81">
        <f>14.3527 * CHOOSE(CONTROL!$C$32, $C$9, 100%, $E$9)</f>
        <v>14.3527</v>
      </c>
      <c r="O752" s="81">
        <f>14.2706 * CHOOSE(CONTROL!$C$32, $C$9, 100%, $E$9)</f>
        <v>14.2706</v>
      </c>
    </row>
    <row r="753" spans="1:15" ht="15">
      <c r="A753" s="16">
        <v>64132</v>
      </c>
      <c r="B753" s="80">
        <f>12.3917 * CHOOSE(CONTROL!$C$32, $C$9, 100%, $E$9)</f>
        <v>12.3917</v>
      </c>
      <c r="C753" s="80">
        <f>12.3917 * CHOOSE(CONTROL!$C$32, $C$9, 100%, $E$9)</f>
        <v>12.3917</v>
      </c>
      <c r="D753" s="80">
        <f>12.3246 * CHOOSE(CONTROL!$C$32, $C$9, 100%, $E$9)</f>
        <v>12.3246</v>
      </c>
      <c r="E753" s="81">
        <f>14.1239 * CHOOSE(CONTROL!$C$32, $C$9, 100%, $E$9)</f>
        <v>14.123900000000001</v>
      </c>
      <c r="F753" s="81">
        <f>14.1239 * CHOOSE(CONTROL!$C$32, $C$9, 100%, $E$9)</f>
        <v>14.123900000000001</v>
      </c>
      <c r="G753" s="81">
        <f>14.0418 * CHOOSE(CONTROL!$C$32, $C$9, 100%, $E$9)</f>
        <v>14.0418</v>
      </c>
      <c r="H753" s="81">
        <f>25.8481 * CHOOSE(CONTROL!$C$32, $C$9, 100%, $E$9)</f>
        <v>25.848099999999999</v>
      </c>
      <c r="I753" s="81">
        <f>25.766 * CHOOSE(CONTROL!$C$32, $C$9, 100%, $E$9)</f>
        <v>25.765999999999998</v>
      </c>
      <c r="J753" s="81">
        <f>25.8481 * CHOOSE(CONTROL!$C$32, $C$9, 100%, $E$9)</f>
        <v>25.848099999999999</v>
      </c>
      <c r="K753" s="81">
        <f>25.766 * CHOOSE(CONTROL!$C$32, $C$9, 100%, $E$9)</f>
        <v>25.765999999999998</v>
      </c>
      <c r="L753" s="81">
        <f>14.1239 * CHOOSE(CONTROL!$C$32, $C$9, 100%, $E$9)</f>
        <v>14.123900000000001</v>
      </c>
      <c r="M753" s="81">
        <f>14.0418 * CHOOSE(CONTROL!$C$32, $C$9, 100%, $E$9)</f>
        <v>14.0418</v>
      </c>
      <c r="N753" s="81">
        <f>14.1239 * CHOOSE(CONTROL!$C$32, $C$9, 100%, $E$9)</f>
        <v>14.123900000000001</v>
      </c>
      <c r="O753" s="81">
        <f>14.0418 * CHOOSE(CONTROL!$C$32, $C$9, 100%, $E$9)</f>
        <v>14.0418</v>
      </c>
    </row>
    <row r="754" spans="1:15" ht="15">
      <c r="A754" s="16">
        <v>64163</v>
      </c>
      <c r="B754" s="80">
        <f>12.3886 * CHOOSE(CONTROL!$C$32, $C$9, 100%, $E$9)</f>
        <v>12.3886</v>
      </c>
      <c r="C754" s="80">
        <f>12.3886 * CHOOSE(CONTROL!$C$32, $C$9, 100%, $E$9)</f>
        <v>12.3886</v>
      </c>
      <c r="D754" s="80">
        <f>12.3215 * CHOOSE(CONTROL!$C$32, $C$9, 100%, $E$9)</f>
        <v>12.3215</v>
      </c>
      <c r="E754" s="81">
        <f>14.0959 * CHOOSE(CONTROL!$C$32, $C$9, 100%, $E$9)</f>
        <v>14.0959</v>
      </c>
      <c r="F754" s="81">
        <f>14.0959 * CHOOSE(CONTROL!$C$32, $C$9, 100%, $E$9)</f>
        <v>14.0959</v>
      </c>
      <c r="G754" s="81">
        <f>14.0138 * CHOOSE(CONTROL!$C$32, $C$9, 100%, $E$9)</f>
        <v>14.0138</v>
      </c>
      <c r="H754" s="81">
        <f>25.902 * CHOOSE(CONTROL!$C$32, $C$9, 100%, $E$9)</f>
        <v>25.902000000000001</v>
      </c>
      <c r="I754" s="81">
        <f>25.8199 * CHOOSE(CONTROL!$C$32, $C$9, 100%, $E$9)</f>
        <v>25.819900000000001</v>
      </c>
      <c r="J754" s="81">
        <f>25.902 * CHOOSE(CONTROL!$C$32, $C$9, 100%, $E$9)</f>
        <v>25.902000000000001</v>
      </c>
      <c r="K754" s="81">
        <f>25.8199 * CHOOSE(CONTROL!$C$32, $C$9, 100%, $E$9)</f>
        <v>25.819900000000001</v>
      </c>
      <c r="L754" s="81">
        <f>14.0959 * CHOOSE(CONTROL!$C$32, $C$9, 100%, $E$9)</f>
        <v>14.0959</v>
      </c>
      <c r="M754" s="81">
        <f>14.0138 * CHOOSE(CONTROL!$C$32, $C$9, 100%, $E$9)</f>
        <v>14.0138</v>
      </c>
      <c r="N754" s="81">
        <f>14.0959 * CHOOSE(CONTROL!$C$32, $C$9, 100%, $E$9)</f>
        <v>14.0959</v>
      </c>
      <c r="O754" s="81">
        <f>14.0138 * CHOOSE(CONTROL!$C$32, $C$9, 100%, $E$9)</f>
        <v>14.0138</v>
      </c>
    </row>
    <row r="755" spans="1:15" ht="15">
      <c r="A755" s="16">
        <v>64193</v>
      </c>
      <c r="B755" s="80">
        <f>12.4108 * CHOOSE(CONTROL!$C$32, $C$9, 100%, $E$9)</f>
        <v>12.4108</v>
      </c>
      <c r="C755" s="80">
        <f>12.4108 * CHOOSE(CONTROL!$C$32, $C$9, 100%, $E$9)</f>
        <v>12.4108</v>
      </c>
      <c r="D755" s="80">
        <f>12.3647 * CHOOSE(CONTROL!$C$32, $C$9, 100%, $E$9)</f>
        <v>12.364699999999999</v>
      </c>
      <c r="E755" s="81">
        <f>14.1862 * CHOOSE(CONTROL!$C$32, $C$9, 100%, $E$9)</f>
        <v>14.186199999999999</v>
      </c>
      <c r="F755" s="81">
        <f>14.1862 * CHOOSE(CONTROL!$C$32, $C$9, 100%, $E$9)</f>
        <v>14.186199999999999</v>
      </c>
      <c r="G755" s="81">
        <f>14.1295 * CHOOSE(CONTROL!$C$32, $C$9, 100%, $E$9)</f>
        <v>14.1295</v>
      </c>
      <c r="H755" s="81">
        <f>25.9559 * CHOOSE(CONTROL!$C$32, $C$9, 100%, $E$9)</f>
        <v>25.9559</v>
      </c>
      <c r="I755" s="81">
        <f>25.8992 * CHOOSE(CONTROL!$C$32, $C$9, 100%, $E$9)</f>
        <v>25.8992</v>
      </c>
      <c r="J755" s="81">
        <f>25.9559 * CHOOSE(CONTROL!$C$32, $C$9, 100%, $E$9)</f>
        <v>25.9559</v>
      </c>
      <c r="K755" s="81">
        <f>25.8992 * CHOOSE(CONTROL!$C$32, $C$9, 100%, $E$9)</f>
        <v>25.8992</v>
      </c>
      <c r="L755" s="81">
        <f>14.1862 * CHOOSE(CONTROL!$C$32, $C$9, 100%, $E$9)</f>
        <v>14.186199999999999</v>
      </c>
      <c r="M755" s="81">
        <f>14.1295 * CHOOSE(CONTROL!$C$32, $C$9, 100%, $E$9)</f>
        <v>14.1295</v>
      </c>
      <c r="N755" s="81">
        <f>14.1862 * CHOOSE(CONTROL!$C$32, $C$9, 100%, $E$9)</f>
        <v>14.186199999999999</v>
      </c>
      <c r="O755" s="81">
        <f>14.1295 * CHOOSE(CONTROL!$C$32, $C$9, 100%, $E$9)</f>
        <v>14.1295</v>
      </c>
    </row>
    <row r="756" spans="1:15" ht="15">
      <c r="A756" s="16">
        <v>64224</v>
      </c>
      <c r="B756" s="80">
        <f>12.4138 * CHOOSE(CONTROL!$C$32, $C$9, 100%, $E$9)</f>
        <v>12.4138</v>
      </c>
      <c r="C756" s="80">
        <f>12.4138 * CHOOSE(CONTROL!$C$32, $C$9, 100%, $E$9)</f>
        <v>12.4138</v>
      </c>
      <c r="D756" s="80">
        <f>12.3678 * CHOOSE(CONTROL!$C$32, $C$9, 100%, $E$9)</f>
        <v>12.367800000000001</v>
      </c>
      <c r="E756" s="81">
        <f>14.2402 * CHOOSE(CONTROL!$C$32, $C$9, 100%, $E$9)</f>
        <v>14.2402</v>
      </c>
      <c r="F756" s="81">
        <f>14.2402 * CHOOSE(CONTROL!$C$32, $C$9, 100%, $E$9)</f>
        <v>14.2402</v>
      </c>
      <c r="G756" s="81">
        <f>14.1834 * CHOOSE(CONTROL!$C$32, $C$9, 100%, $E$9)</f>
        <v>14.183400000000001</v>
      </c>
      <c r="H756" s="81">
        <f>26.01 * CHOOSE(CONTROL!$C$32, $C$9, 100%, $E$9)</f>
        <v>26.01</v>
      </c>
      <c r="I756" s="81">
        <f>25.9533 * CHOOSE(CONTROL!$C$32, $C$9, 100%, $E$9)</f>
        <v>25.953299999999999</v>
      </c>
      <c r="J756" s="81">
        <f>26.01 * CHOOSE(CONTROL!$C$32, $C$9, 100%, $E$9)</f>
        <v>26.01</v>
      </c>
      <c r="K756" s="81">
        <f>25.9533 * CHOOSE(CONTROL!$C$32, $C$9, 100%, $E$9)</f>
        <v>25.953299999999999</v>
      </c>
      <c r="L756" s="81">
        <f>14.2402 * CHOOSE(CONTROL!$C$32, $C$9, 100%, $E$9)</f>
        <v>14.2402</v>
      </c>
      <c r="M756" s="81">
        <f>14.1834 * CHOOSE(CONTROL!$C$32, $C$9, 100%, $E$9)</f>
        <v>14.183400000000001</v>
      </c>
      <c r="N756" s="81">
        <f>14.2402 * CHOOSE(CONTROL!$C$32, $C$9, 100%, $E$9)</f>
        <v>14.2402</v>
      </c>
      <c r="O756" s="81">
        <f>14.1834 * CHOOSE(CONTROL!$C$32, $C$9, 100%, $E$9)</f>
        <v>14.183400000000001</v>
      </c>
    </row>
    <row r="757" spans="1:15" ht="15">
      <c r="A757" s="16">
        <v>64254</v>
      </c>
      <c r="B757" s="80">
        <f>12.4138 * CHOOSE(CONTROL!$C$32, $C$9, 100%, $E$9)</f>
        <v>12.4138</v>
      </c>
      <c r="C757" s="80">
        <f>12.4138 * CHOOSE(CONTROL!$C$32, $C$9, 100%, $E$9)</f>
        <v>12.4138</v>
      </c>
      <c r="D757" s="80">
        <f>12.3678 * CHOOSE(CONTROL!$C$32, $C$9, 100%, $E$9)</f>
        <v>12.367800000000001</v>
      </c>
      <c r="E757" s="81">
        <f>14.1105 * CHOOSE(CONTROL!$C$32, $C$9, 100%, $E$9)</f>
        <v>14.1105</v>
      </c>
      <c r="F757" s="81">
        <f>14.1105 * CHOOSE(CONTROL!$C$32, $C$9, 100%, $E$9)</f>
        <v>14.1105</v>
      </c>
      <c r="G757" s="81">
        <f>14.0538 * CHOOSE(CONTROL!$C$32, $C$9, 100%, $E$9)</f>
        <v>14.053800000000001</v>
      </c>
      <c r="H757" s="81">
        <f>26.0642 * CHOOSE(CONTROL!$C$32, $C$9, 100%, $E$9)</f>
        <v>26.0642</v>
      </c>
      <c r="I757" s="81">
        <f>26.0075 * CHOOSE(CONTROL!$C$32, $C$9, 100%, $E$9)</f>
        <v>26.0075</v>
      </c>
      <c r="J757" s="81">
        <f>26.0642 * CHOOSE(CONTROL!$C$32, $C$9, 100%, $E$9)</f>
        <v>26.0642</v>
      </c>
      <c r="K757" s="81">
        <f>26.0075 * CHOOSE(CONTROL!$C$32, $C$9, 100%, $E$9)</f>
        <v>26.0075</v>
      </c>
      <c r="L757" s="81">
        <f>14.1105 * CHOOSE(CONTROL!$C$32, $C$9, 100%, $E$9)</f>
        <v>14.1105</v>
      </c>
      <c r="M757" s="81">
        <f>14.0538 * CHOOSE(CONTROL!$C$32, $C$9, 100%, $E$9)</f>
        <v>14.053800000000001</v>
      </c>
      <c r="N757" s="81">
        <f>14.1105 * CHOOSE(CONTROL!$C$32, $C$9, 100%, $E$9)</f>
        <v>14.1105</v>
      </c>
      <c r="O757" s="81">
        <f>14.0538 * CHOOSE(CONTROL!$C$32, $C$9, 100%, $E$9)</f>
        <v>14.053800000000001</v>
      </c>
    </row>
    <row r="758" spans="1:15" ht="15">
      <c r="A758" s="16">
        <v>64285</v>
      </c>
      <c r="B758" s="80">
        <f>12.4297 * CHOOSE(CONTROL!$C$32, $C$9, 100%, $E$9)</f>
        <v>12.4297</v>
      </c>
      <c r="C758" s="80">
        <f>12.4297 * CHOOSE(CONTROL!$C$32, $C$9, 100%, $E$9)</f>
        <v>12.4297</v>
      </c>
      <c r="D758" s="80">
        <f>12.3801 * CHOOSE(CONTROL!$C$32, $C$9, 100%, $E$9)</f>
        <v>12.380100000000001</v>
      </c>
      <c r="E758" s="81">
        <f>14.2299 * CHOOSE(CONTROL!$C$32, $C$9, 100%, $E$9)</f>
        <v>14.229900000000001</v>
      </c>
      <c r="F758" s="81">
        <f>14.2299 * CHOOSE(CONTROL!$C$32, $C$9, 100%, $E$9)</f>
        <v>14.229900000000001</v>
      </c>
      <c r="G758" s="81">
        <f>14.1688 * CHOOSE(CONTROL!$C$32, $C$9, 100%, $E$9)</f>
        <v>14.168799999999999</v>
      </c>
      <c r="H758" s="81">
        <f>25.9501 * CHOOSE(CONTROL!$C$32, $C$9, 100%, $E$9)</f>
        <v>25.950099999999999</v>
      </c>
      <c r="I758" s="81">
        <f>25.889 * CHOOSE(CONTROL!$C$32, $C$9, 100%, $E$9)</f>
        <v>25.888999999999999</v>
      </c>
      <c r="J758" s="81">
        <f>25.9501 * CHOOSE(CONTROL!$C$32, $C$9, 100%, $E$9)</f>
        <v>25.950099999999999</v>
      </c>
      <c r="K758" s="81">
        <f>25.889 * CHOOSE(CONTROL!$C$32, $C$9, 100%, $E$9)</f>
        <v>25.888999999999999</v>
      </c>
      <c r="L758" s="81">
        <f>14.2299 * CHOOSE(CONTROL!$C$32, $C$9, 100%, $E$9)</f>
        <v>14.229900000000001</v>
      </c>
      <c r="M758" s="81">
        <f>14.1688 * CHOOSE(CONTROL!$C$32, $C$9, 100%, $E$9)</f>
        <v>14.168799999999999</v>
      </c>
      <c r="N758" s="81">
        <f>14.2299 * CHOOSE(CONTROL!$C$32, $C$9, 100%, $E$9)</f>
        <v>14.229900000000001</v>
      </c>
      <c r="O758" s="81">
        <f>14.1688 * CHOOSE(CONTROL!$C$32, $C$9, 100%, $E$9)</f>
        <v>14.168799999999999</v>
      </c>
    </row>
    <row r="759" spans="1:15" ht="15">
      <c r="A759" s="16">
        <v>64316</v>
      </c>
      <c r="B759" s="80">
        <f>12.4267 * CHOOSE(CONTROL!$C$32, $C$9, 100%, $E$9)</f>
        <v>12.4267</v>
      </c>
      <c r="C759" s="80">
        <f>12.4267 * CHOOSE(CONTROL!$C$32, $C$9, 100%, $E$9)</f>
        <v>12.4267</v>
      </c>
      <c r="D759" s="80">
        <f>12.3771 * CHOOSE(CONTROL!$C$32, $C$9, 100%, $E$9)</f>
        <v>12.3771</v>
      </c>
      <c r="E759" s="81">
        <f>13.9777 * CHOOSE(CONTROL!$C$32, $C$9, 100%, $E$9)</f>
        <v>13.9777</v>
      </c>
      <c r="F759" s="81">
        <f>13.9777 * CHOOSE(CONTROL!$C$32, $C$9, 100%, $E$9)</f>
        <v>13.9777</v>
      </c>
      <c r="G759" s="81">
        <f>13.9166 * CHOOSE(CONTROL!$C$32, $C$9, 100%, $E$9)</f>
        <v>13.916600000000001</v>
      </c>
      <c r="H759" s="81">
        <f>26.0041 * CHOOSE(CONTROL!$C$32, $C$9, 100%, $E$9)</f>
        <v>26.004100000000001</v>
      </c>
      <c r="I759" s="81">
        <f>25.943 * CHOOSE(CONTROL!$C$32, $C$9, 100%, $E$9)</f>
        <v>25.943000000000001</v>
      </c>
      <c r="J759" s="81">
        <f>26.0041 * CHOOSE(CONTROL!$C$32, $C$9, 100%, $E$9)</f>
        <v>26.004100000000001</v>
      </c>
      <c r="K759" s="81">
        <f>25.943 * CHOOSE(CONTROL!$C$32, $C$9, 100%, $E$9)</f>
        <v>25.943000000000001</v>
      </c>
      <c r="L759" s="81">
        <f>13.9777 * CHOOSE(CONTROL!$C$32, $C$9, 100%, $E$9)</f>
        <v>13.9777</v>
      </c>
      <c r="M759" s="81">
        <f>13.9166 * CHOOSE(CONTROL!$C$32, $C$9, 100%, $E$9)</f>
        <v>13.916600000000001</v>
      </c>
      <c r="N759" s="81">
        <f>13.9777 * CHOOSE(CONTROL!$C$32, $C$9, 100%, $E$9)</f>
        <v>13.9777</v>
      </c>
      <c r="O759" s="81">
        <f>13.9166 * CHOOSE(CONTROL!$C$32, $C$9, 100%, $E$9)</f>
        <v>13.916600000000001</v>
      </c>
    </row>
    <row r="760" spans="1:15" ht="15">
      <c r="A760" s="16">
        <v>64345</v>
      </c>
      <c r="B760" s="80">
        <f>12.4237 * CHOOSE(CONTROL!$C$32, $C$9, 100%, $E$9)</f>
        <v>12.4237</v>
      </c>
      <c r="C760" s="80">
        <f>12.4237 * CHOOSE(CONTROL!$C$32, $C$9, 100%, $E$9)</f>
        <v>12.4237</v>
      </c>
      <c r="D760" s="80">
        <f>12.3741 * CHOOSE(CONTROL!$C$32, $C$9, 100%, $E$9)</f>
        <v>12.3741</v>
      </c>
      <c r="E760" s="81">
        <f>14.1727 * CHOOSE(CONTROL!$C$32, $C$9, 100%, $E$9)</f>
        <v>14.172700000000001</v>
      </c>
      <c r="F760" s="81">
        <f>14.1727 * CHOOSE(CONTROL!$C$32, $C$9, 100%, $E$9)</f>
        <v>14.172700000000001</v>
      </c>
      <c r="G760" s="81">
        <f>14.1116 * CHOOSE(CONTROL!$C$32, $C$9, 100%, $E$9)</f>
        <v>14.111599999999999</v>
      </c>
      <c r="H760" s="81">
        <f>26.0583 * CHOOSE(CONTROL!$C$32, $C$9, 100%, $E$9)</f>
        <v>26.058299999999999</v>
      </c>
      <c r="I760" s="81">
        <f>25.9972 * CHOOSE(CONTROL!$C$32, $C$9, 100%, $E$9)</f>
        <v>25.997199999999999</v>
      </c>
      <c r="J760" s="81">
        <f>26.0583 * CHOOSE(CONTROL!$C$32, $C$9, 100%, $E$9)</f>
        <v>26.058299999999999</v>
      </c>
      <c r="K760" s="81">
        <f>25.9972 * CHOOSE(CONTROL!$C$32, $C$9, 100%, $E$9)</f>
        <v>25.997199999999999</v>
      </c>
      <c r="L760" s="81">
        <f>14.1727 * CHOOSE(CONTROL!$C$32, $C$9, 100%, $E$9)</f>
        <v>14.172700000000001</v>
      </c>
      <c r="M760" s="81">
        <f>14.1116 * CHOOSE(CONTROL!$C$32, $C$9, 100%, $E$9)</f>
        <v>14.111599999999999</v>
      </c>
      <c r="N760" s="81">
        <f>14.1727 * CHOOSE(CONTROL!$C$32, $C$9, 100%, $E$9)</f>
        <v>14.172700000000001</v>
      </c>
      <c r="O760" s="81">
        <f>14.1116 * CHOOSE(CONTROL!$C$32, $C$9, 100%, $E$9)</f>
        <v>14.111599999999999</v>
      </c>
    </row>
    <row r="761" spans="1:15" ht="15">
      <c r="A761" s="16">
        <v>64376</v>
      </c>
      <c r="B761" s="80">
        <f>12.4284 * CHOOSE(CONTROL!$C$32, $C$9, 100%, $E$9)</f>
        <v>12.4284</v>
      </c>
      <c r="C761" s="80">
        <f>12.4284 * CHOOSE(CONTROL!$C$32, $C$9, 100%, $E$9)</f>
        <v>12.4284</v>
      </c>
      <c r="D761" s="80">
        <f>12.3788 * CHOOSE(CONTROL!$C$32, $C$9, 100%, $E$9)</f>
        <v>12.3788</v>
      </c>
      <c r="E761" s="81">
        <f>14.3802 * CHOOSE(CONTROL!$C$32, $C$9, 100%, $E$9)</f>
        <v>14.3802</v>
      </c>
      <c r="F761" s="81">
        <f>14.3802 * CHOOSE(CONTROL!$C$32, $C$9, 100%, $E$9)</f>
        <v>14.3802</v>
      </c>
      <c r="G761" s="81">
        <f>14.3191 * CHOOSE(CONTROL!$C$32, $C$9, 100%, $E$9)</f>
        <v>14.319100000000001</v>
      </c>
      <c r="H761" s="81">
        <f>26.1126 * CHOOSE(CONTROL!$C$32, $C$9, 100%, $E$9)</f>
        <v>26.1126</v>
      </c>
      <c r="I761" s="81">
        <f>26.0515 * CHOOSE(CONTROL!$C$32, $C$9, 100%, $E$9)</f>
        <v>26.051500000000001</v>
      </c>
      <c r="J761" s="81">
        <f>26.1126 * CHOOSE(CONTROL!$C$32, $C$9, 100%, $E$9)</f>
        <v>26.1126</v>
      </c>
      <c r="K761" s="81">
        <f>26.0515 * CHOOSE(CONTROL!$C$32, $C$9, 100%, $E$9)</f>
        <v>26.051500000000001</v>
      </c>
      <c r="L761" s="81">
        <f>14.3802 * CHOOSE(CONTROL!$C$32, $C$9, 100%, $E$9)</f>
        <v>14.3802</v>
      </c>
      <c r="M761" s="81">
        <f>14.3191 * CHOOSE(CONTROL!$C$32, $C$9, 100%, $E$9)</f>
        <v>14.319100000000001</v>
      </c>
      <c r="N761" s="81">
        <f>14.3802 * CHOOSE(CONTROL!$C$32, $C$9, 100%, $E$9)</f>
        <v>14.3802</v>
      </c>
      <c r="O761" s="81">
        <f>14.3191 * CHOOSE(CONTROL!$C$32, $C$9, 100%, $E$9)</f>
        <v>14.319100000000001</v>
      </c>
    </row>
    <row r="762" spans="1:15" ht="15">
      <c r="A762" s="16">
        <v>64406</v>
      </c>
      <c r="B762" s="80">
        <f>12.4284 * CHOOSE(CONTROL!$C$32, $C$9, 100%, $E$9)</f>
        <v>12.4284</v>
      </c>
      <c r="C762" s="80">
        <f>12.4284 * CHOOSE(CONTROL!$C$32, $C$9, 100%, $E$9)</f>
        <v>12.4284</v>
      </c>
      <c r="D762" s="80">
        <f>12.3561 * CHOOSE(CONTROL!$C$32, $C$9, 100%, $E$9)</f>
        <v>12.3561</v>
      </c>
      <c r="E762" s="81">
        <f>14.4596 * CHOOSE(CONTROL!$C$32, $C$9, 100%, $E$9)</f>
        <v>14.4596</v>
      </c>
      <c r="F762" s="81">
        <f>14.4596 * CHOOSE(CONTROL!$C$32, $C$9, 100%, $E$9)</f>
        <v>14.4596</v>
      </c>
      <c r="G762" s="81">
        <f>14.3712 * CHOOSE(CONTROL!$C$32, $C$9, 100%, $E$9)</f>
        <v>14.3712</v>
      </c>
      <c r="H762" s="81">
        <f>26.167 * CHOOSE(CONTROL!$C$32, $C$9, 100%, $E$9)</f>
        <v>26.167000000000002</v>
      </c>
      <c r="I762" s="81">
        <f>26.0786 * CHOOSE(CONTROL!$C$32, $C$9, 100%, $E$9)</f>
        <v>26.078600000000002</v>
      </c>
      <c r="J762" s="81">
        <f>26.167 * CHOOSE(CONTROL!$C$32, $C$9, 100%, $E$9)</f>
        <v>26.167000000000002</v>
      </c>
      <c r="K762" s="81">
        <f>26.0786 * CHOOSE(CONTROL!$C$32, $C$9, 100%, $E$9)</f>
        <v>26.078600000000002</v>
      </c>
      <c r="L762" s="81">
        <f>14.4596 * CHOOSE(CONTROL!$C$32, $C$9, 100%, $E$9)</f>
        <v>14.4596</v>
      </c>
      <c r="M762" s="81">
        <f>14.3712 * CHOOSE(CONTROL!$C$32, $C$9, 100%, $E$9)</f>
        <v>14.3712</v>
      </c>
      <c r="N762" s="81">
        <f>14.4596 * CHOOSE(CONTROL!$C$32, $C$9, 100%, $E$9)</f>
        <v>14.4596</v>
      </c>
      <c r="O762" s="81">
        <f>14.3712 * CHOOSE(CONTROL!$C$32, $C$9, 100%, $E$9)</f>
        <v>14.3712</v>
      </c>
    </row>
    <row r="763" spans="1:15" ht="15">
      <c r="A763" s="16">
        <v>64437</v>
      </c>
      <c r="B763" s="80">
        <f>12.4345 * CHOOSE(CONTROL!$C$32, $C$9, 100%, $E$9)</f>
        <v>12.4345</v>
      </c>
      <c r="C763" s="80">
        <f>12.4345 * CHOOSE(CONTROL!$C$32, $C$9, 100%, $E$9)</f>
        <v>12.4345</v>
      </c>
      <c r="D763" s="80">
        <f>12.3622 * CHOOSE(CONTROL!$C$32, $C$9, 100%, $E$9)</f>
        <v>12.3622</v>
      </c>
      <c r="E763" s="81">
        <f>14.3844 * CHOOSE(CONTROL!$C$32, $C$9, 100%, $E$9)</f>
        <v>14.384399999999999</v>
      </c>
      <c r="F763" s="81">
        <f>14.3844 * CHOOSE(CONTROL!$C$32, $C$9, 100%, $E$9)</f>
        <v>14.384399999999999</v>
      </c>
      <c r="G763" s="81">
        <f>14.296 * CHOOSE(CONTROL!$C$32, $C$9, 100%, $E$9)</f>
        <v>14.295999999999999</v>
      </c>
      <c r="H763" s="81">
        <f>26.2215 * CHOOSE(CONTROL!$C$32, $C$9, 100%, $E$9)</f>
        <v>26.221499999999999</v>
      </c>
      <c r="I763" s="81">
        <f>26.1331 * CHOOSE(CONTROL!$C$32, $C$9, 100%, $E$9)</f>
        <v>26.133099999999999</v>
      </c>
      <c r="J763" s="81">
        <f>26.2215 * CHOOSE(CONTROL!$C$32, $C$9, 100%, $E$9)</f>
        <v>26.221499999999999</v>
      </c>
      <c r="K763" s="81">
        <f>26.1331 * CHOOSE(CONTROL!$C$32, $C$9, 100%, $E$9)</f>
        <v>26.133099999999999</v>
      </c>
      <c r="L763" s="81">
        <f>14.3844 * CHOOSE(CONTROL!$C$32, $C$9, 100%, $E$9)</f>
        <v>14.384399999999999</v>
      </c>
      <c r="M763" s="81">
        <f>14.296 * CHOOSE(CONTROL!$C$32, $C$9, 100%, $E$9)</f>
        <v>14.295999999999999</v>
      </c>
      <c r="N763" s="81">
        <f>14.3844 * CHOOSE(CONTROL!$C$32, $C$9, 100%, $E$9)</f>
        <v>14.384399999999999</v>
      </c>
      <c r="O763" s="81">
        <f>14.296 * CHOOSE(CONTROL!$C$32, $C$9, 100%, $E$9)</f>
        <v>14.295999999999999</v>
      </c>
    </row>
    <row r="764" spans="1:15" ht="15">
      <c r="A764" s="16">
        <v>64467</v>
      </c>
      <c r="B764" s="80">
        <f>12.6242 * CHOOSE(CONTROL!$C$32, $C$9, 100%, $E$9)</f>
        <v>12.6242</v>
      </c>
      <c r="C764" s="80">
        <f>12.6242 * CHOOSE(CONTROL!$C$32, $C$9, 100%, $E$9)</f>
        <v>12.6242</v>
      </c>
      <c r="D764" s="80">
        <f>12.5519 * CHOOSE(CONTROL!$C$32, $C$9, 100%, $E$9)</f>
        <v>12.5519</v>
      </c>
      <c r="E764" s="81">
        <f>14.6145 * CHOOSE(CONTROL!$C$32, $C$9, 100%, $E$9)</f>
        <v>14.6145</v>
      </c>
      <c r="F764" s="81">
        <f>14.6145 * CHOOSE(CONTROL!$C$32, $C$9, 100%, $E$9)</f>
        <v>14.6145</v>
      </c>
      <c r="G764" s="81">
        <f>14.5261 * CHOOSE(CONTROL!$C$32, $C$9, 100%, $E$9)</f>
        <v>14.5261</v>
      </c>
      <c r="H764" s="81">
        <f>26.2761 * CHOOSE(CONTROL!$C$32, $C$9, 100%, $E$9)</f>
        <v>26.2761</v>
      </c>
      <c r="I764" s="81">
        <f>26.1877 * CHOOSE(CONTROL!$C$32, $C$9, 100%, $E$9)</f>
        <v>26.1877</v>
      </c>
      <c r="J764" s="81">
        <f>26.2761 * CHOOSE(CONTROL!$C$32, $C$9, 100%, $E$9)</f>
        <v>26.2761</v>
      </c>
      <c r="K764" s="81">
        <f>26.1877 * CHOOSE(CONTROL!$C$32, $C$9, 100%, $E$9)</f>
        <v>26.1877</v>
      </c>
      <c r="L764" s="81">
        <f>14.6145 * CHOOSE(CONTROL!$C$32, $C$9, 100%, $E$9)</f>
        <v>14.6145</v>
      </c>
      <c r="M764" s="81">
        <f>14.5261 * CHOOSE(CONTROL!$C$32, $C$9, 100%, $E$9)</f>
        <v>14.5261</v>
      </c>
      <c r="N764" s="81">
        <f>14.6145 * CHOOSE(CONTROL!$C$32, $C$9, 100%, $E$9)</f>
        <v>14.6145</v>
      </c>
      <c r="O764" s="81">
        <f>14.5261 * CHOOSE(CONTROL!$C$32, $C$9, 100%, $E$9)</f>
        <v>14.5261</v>
      </c>
    </row>
    <row r="765" spans="1:15" ht="15">
      <c r="A765" s="16">
        <v>64498</v>
      </c>
      <c r="B765" s="80">
        <f>12.6309 * CHOOSE(CONTROL!$C$32, $C$9, 100%, $E$9)</f>
        <v>12.6309</v>
      </c>
      <c r="C765" s="80">
        <f>12.6309 * CHOOSE(CONTROL!$C$32, $C$9, 100%, $E$9)</f>
        <v>12.6309</v>
      </c>
      <c r="D765" s="80">
        <f>12.5586 * CHOOSE(CONTROL!$C$32, $C$9, 100%, $E$9)</f>
        <v>12.5586</v>
      </c>
      <c r="E765" s="81">
        <f>14.381 * CHOOSE(CONTROL!$C$32, $C$9, 100%, $E$9)</f>
        <v>14.381</v>
      </c>
      <c r="F765" s="81">
        <f>14.381 * CHOOSE(CONTROL!$C$32, $C$9, 100%, $E$9)</f>
        <v>14.381</v>
      </c>
      <c r="G765" s="81">
        <f>14.2926 * CHOOSE(CONTROL!$C$32, $C$9, 100%, $E$9)</f>
        <v>14.2926</v>
      </c>
      <c r="H765" s="81">
        <f>26.3309 * CHOOSE(CONTROL!$C$32, $C$9, 100%, $E$9)</f>
        <v>26.3309</v>
      </c>
      <c r="I765" s="81">
        <f>26.2425 * CHOOSE(CONTROL!$C$32, $C$9, 100%, $E$9)</f>
        <v>26.2425</v>
      </c>
      <c r="J765" s="81">
        <f>26.3309 * CHOOSE(CONTROL!$C$32, $C$9, 100%, $E$9)</f>
        <v>26.3309</v>
      </c>
      <c r="K765" s="81">
        <f>26.2425 * CHOOSE(CONTROL!$C$32, $C$9, 100%, $E$9)</f>
        <v>26.2425</v>
      </c>
      <c r="L765" s="81">
        <f>14.381 * CHOOSE(CONTROL!$C$32, $C$9, 100%, $E$9)</f>
        <v>14.381</v>
      </c>
      <c r="M765" s="81">
        <f>14.2926 * CHOOSE(CONTROL!$C$32, $C$9, 100%, $E$9)</f>
        <v>14.2926</v>
      </c>
      <c r="N765" s="81">
        <f>14.381 * CHOOSE(CONTROL!$C$32, $C$9, 100%, $E$9)</f>
        <v>14.381</v>
      </c>
      <c r="O765" s="81">
        <f>14.2926 * CHOOSE(CONTROL!$C$32, $C$9, 100%, $E$9)</f>
        <v>14.2926</v>
      </c>
    </row>
    <row r="766" spans="1:15" ht="15">
      <c r="A766" s="16">
        <v>64529</v>
      </c>
      <c r="B766" s="80">
        <f>12.6278 * CHOOSE(CONTROL!$C$32, $C$9, 100%, $E$9)</f>
        <v>12.627800000000001</v>
      </c>
      <c r="C766" s="80">
        <f>12.6278 * CHOOSE(CONTROL!$C$32, $C$9, 100%, $E$9)</f>
        <v>12.627800000000001</v>
      </c>
      <c r="D766" s="80">
        <f>12.5555 * CHOOSE(CONTROL!$C$32, $C$9, 100%, $E$9)</f>
        <v>12.5555</v>
      </c>
      <c r="E766" s="81">
        <f>14.3524 * CHOOSE(CONTROL!$C$32, $C$9, 100%, $E$9)</f>
        <v>14.352399999999999</v>
      </c>
      <c r="F766" s="81">
        <f>14.3524 * CHOOSE(CONTROL!$C$32, $C$9, 100%, $E$9)</f>
        <v>14.352399999999999</v>
      </c>
      <c r="G766" s="81">
        <f>14.264 * CHOOSE(CONTROL!$C$32, $C$9, 100%, $E$9)</f>
        <v>14.263999999999999</v>
      </c>
      <c r="H766" s="81">
        <f>26.3857 * CHOOSE(CONTROL!$C$32, $C$9, 100%, $E$9)</f>
        <v>26.3857</v>
      </c>
      <c r="I766" s="81">
        <f>26.2973 * CHOOSE(CONTROL!$C$32, $C$9, 100%, $E$9)</f>
        <v>26.2973</v>
      </c>
      <c r="J766" s="81">
        <f>26.3857 * CHOOSE(CONTROL!$C$32, $C$9, 100%, $E$9)</f>
        <v>26.3857</v>
      </c>
      <c r="K766" s="81">
        <f>26.2973 * CHOOSE(CONTROL!$C$32, $C$9, 100%, $E$9)</f>
        <v>26.2973</v>
      </c>
      <c r="L766" s="81">
        <f>14.3524 * CHOOSE(CONTROL!$C$32, $C$9, 100%, $E$9)</f>
        <v>14.352399999999999</v>
      </c>
      <c r="M766" s="81">
        <f>14.264 * CHOOSE(CONTROL!$C$32, $C$9, 100%, $E$9)</f>
        <v>14.263999999999999</v>
      </c>
      <c r="N766" s="81">
        <f>14.3524 * CHOOSE(CONTROL!$C$32, $C$9, 100%, $E$9)</f>
        <v>14.352399999999999</v>
      </c>
      <c r="O766" s="81">
        <f>14.264 * CHOOSE(CONTROL!$C$32, $C$9, 100%, $E$9)</f>
        <v>14.263999999999999</v>
      </c>
    </row>
    <row r="767" spans="1:15" ht="15">
      <c r="A767" s="16">
        <v>64559</v>
      </c>
      <c r="B767" s="80">
        <f>12.6507 * CHOOSE(CONTROL!$C$32, $C$9, 100%, $E$9)</f>
        <v>12.650700000000001</v>
      </c>
      <c r="C767" s="80">
        <f>12.6507 * CHOOSE(CONTROL!$C$32, $C$9, 100%, $E$9)</f>
        <v>12.650700000000001</v>
      </c>
      <c r="D767" s="80">
        <f>12.6011 * CHOOSE(CONTROL!$C$32, $C$9, 100%, $E$9)</f>
        <v>12.601100000000001</v>
      </c>
      <c r="E767" s="81">
        <f>14.4448 * CHOOSE(CONTROL!$C$32, $C$9, 100%, $E$9)</f>
        <v>14.444800000000001</v>
      </c>
      <c r="F767" s="81">
        <f>14.4448 * CHOOSE(CONTROL!$C$32, $C$9, 100%, $E$9)</f>
        <v>14.444800000000001</v>
      </c>
      <c r="G767" s="81">
        <f>14.3837 * CHOOSE(CONTROL!$C$32, $C$9, 100%, $E$9)</f>
        <v>14.383699999999999</v>
      </c>
      <c r="H767" s="81">
        <f>26.4407 * CHOOSE(CONTROL!$C$32, $C$9, 100%, $E$9)</f>
        <v>26.4407</v>
      </c>
      <c r="I767" s="81">
        <f>26.3796 * CHOOSE(CONTROL!$C$32, $C$9, 100%, $E$9)</f>
        <v>26.3796</v>
      </c>
      <c r="J767" s="81">
        <f>26.4407 * CHOOSE(CONTROL!$C$32, $C$9, 100%, $E$9)</f>
        <v>26.4407</v>
      </c>
      <c r="K767" s="81">
        <f>26.3796 * CHOOSE(CONTROL!$C$32, $C$9, 100%, $E$9)</f>
        <v>26.3796</v>
      </c>
      <c r="L767" s="81">
        <f>14.4448 * CHOOSE(CONTROL!$C$32, $C$9, 100%, $E$9)</f>
        <v>14.444800000000001</v>
      </c>
      <c r="M767" s="81">
        <f>14.3837 * CHOOSE(CONTROL!$C$32, $C$9, 100%, $E$9)</f>
        <v>14.383699999999999</v>
      </c>
      <c r="N767" s="81">
        <f>14.4448 * CHOOSE(CONTROL!$C$32, $C$9, 100%, $E$9)</f>
        <v>14.444800000000001</v>
      </c>
      <c r="O767" s="81">
        <f>14.3837 * CHOOSE(CONTROL!$C$32, $C$9, 100%, $E$9)</f>
        <v>14.383699999999999</v>
      </c>
    </row>
    <row r="768" spans="1:15" ht="15">
      <c r="A768" s="16">
        <v>64590</v>
      </c>
      <c r="B768" s="80">
        <f>12.6538 * CHOOSE(CONTROL!$C$32, $C$9, 100%, $E$9)</f>
        <v>12.6538</v>
      </c>
      <c r="C768" s="80">
        <f>12.6538 * CHOOSE(CONTROL!$C$32, $C$9, 100%, $E$9)</f>
        <v>12.6538</v>
      </c>
      <c r="D768" s="80">
        <f>12.6042 * CHOOSE(CONTROL!$C$32, $C$9, 100%, $E$9)</f>
        <v>12.604200000000001</v>
      </c>
      <c r="E768" s="81">
        <f>14.4999 * CHOOSE(CONTROL!$C$32, $C$9, 100%, $E$9)</f>
        <v>14.4999</v>
      </c>
      <c r="F768" s="81">
        <f>14.4999 * CHOOSE(CONTROL!$C$32, $C$9, 100%, $E$9)</f>
        <v>14.4999</v>
      </c>
      <c r="G768" s="81">
        <f>14.4388 * CHOOSE(CONTROL!$C$32, $C$9, 100%, $E$9)</f>
        <v>14.438800000000001</v>
      </c>
      <c r="H768" s="81">
        <f>26.4958 * CHOOSE(CONTROL!$C$32, $C$9, 100%, $E$9)</f>
        <v>26.495799999999999</v>
      </c>
      <c r="I768" s="81">
        <f>26.4347 * CHOOSE(CONTROL!$C$32, $C$9, 100%, $E$9)</f>
        <v>26.434699999999999</v>
      </c>
      <c r="J768" s="81">
        <f>26.4958 * CHOOSE(CONTROL!$C$32, $C$9, 100%, $E$9)</f>
        <v>26.495799999999999</v>
      </c>
      <c r="K768" s="81">
        <f>26.4347 * CHOOSE(CONTROL!$C$32, $C$9, 100%, $E$9)</f>
        <v>26.434699999999999</v>
      </c>
      <c r="L768" s="81">
        <f>14.4999 * CHOOSE(CONTROL!$C$32, $C$9, 100%, $E$9)</f>
        <v>14.4999</v>
      </c>
      <c r="M768" s="81">
        <f>14.4388 * CHOOSE(CONTROL!$C$32, $C$9, 100%, $E$9)</f>
        <v>14.438800000000001</v>
      </c>
      <c r="N768" s="81">
        <f>14.4999 * CHOOSE(CONTROL!$C$32, $C$9, 100%, $E$9)</f>
        <v>14.4999</v>
      </c>
      <c r="O768" s="81">
        <f>14.4388 * CHOOSE(CONTROL!$C$32, $C$9, 100%, $E$9)</f>
        <v>14.438800000000001</v>
      </c>
    </row>
    <row r="769" spans="1:15" ht="15">
      <c r="A769" s="16">
        <v>64620</v>
      </c>
      <c r="B769" s="80">
        <f>12.6538 * CHOOSE(CONTROL!$C$32, $C$9, 100%, $E$9)</f>
        <v>12.6538</v>
      </c>
      <c r="C769" s="80">
        <f>12.6538 * CHOOSE(CONTROL!$C$32, $C$9, 100%, $E$9)</f>
        <v>12.6538</v>
      </c>
      <c r="D769" s="80">
        <f>12.6042 * CHOOSE(CONTROL!$C$32, $C$9, 100%, $E$9)</f>
        <v>12.604200000000001</v>
      </c>
      <c r="E769" s="81">
        <f>14.3676 * CHOOSE(CONTROL!$C$32, $C$9, 100%, $E$9)</f>
        <v>14.367599999999999</v>
      </c>
      <c r="F769" s="81">
        <f>14.3676 * CHOOSE(CONTROL!$C$32, $C$9, 100%, $E$9)</f>
        <v>14.367599999999999</v>
      </c>
      <c r="G769" s="81">
        <f>14.3065 * CHOOSE(CONTROL!$C$32, $C$9, 100%, $E$9)</f>
        <v>14.3065</v>
      </c>
      <c r="H769" s="81">
        <f>26.551 * CHOOSE(CONTROL!$C$32, $C$9, 100%, $E$9)</f>
        <v>26.550999999999998</v>
      </c>
      <c r="I769" s="81">
        <f>26.4899 * CHOOSE(CONTROL!$C$32, $C$9, 100%, $E$9)</f>
        <v>26.489899999999999</v>
      </c>
      <c r="J769" s="81">
        <f>26.551 * CHOOSE(CONTROL!$C$32, $C$9, 100%, $E$9)</f>
        <v>26.550999999999998</v>
      </c>
      <c r="K769" s="81">
        <f>26.4899 * CHOOSE(CONTROL!$C$32, $C$9, 100%, $E$9)</f>
        <v>26.489899999999999</v>
      </c>
      <c r="L769" s="81">
        <f>14.3676 * CHOOSE(CONTROL!$C$32, $C$9, 100%, $E$9)</f>
        <v>14.367599999999999</v>
      </c>
      <c r="M769" s="81">
        <f>14.3065 * CHOOSE(CONTROL!$C$32, $C$9, 100%, $E$9)</f>
        <v>14.3065</v>
      </c>
      <c r="N769" s="81">
        <f>14.3676 * CHOOSE(CONTROL!$C$32, $C$9, 100%, $E$9)</f>
        <v>14.367599999999999</v>
      </c>
      <c r="O769" s="81">
        <f>14.3065 * CHOOSE(CONTROL!$C$32, $C$9, 100%, $E$9)</f>
        <v>14.3065</v>
      </c>
    </row>
    <row r="770" spans="1:15" ht="15">
      <c r="A770" s="16">
        <v>64651</v>
      </c>
      <c r="B770" s="80">
        <f>12.6653 * CHOOSE(CONTROL!$C$32, $C$9, 100%, $E$9)</f>
        <v>12.6653</v>
      </c>
      <c r="C770" s="80">
        <f>12.6653 * CHOOSE(CONTROL!$C$32, $C$9, 100%, $E$9)</f>
        <v>12.6653</v>
      </c>
      <c r="D770" s="80">
        <f>12.6122 * CHOOSE(CONTROL!$C$32, $C$9, 100%, $E$9)</f>
        <v>12.6122</v>
      </c>
      <c r="E770" s="81">
        <f>14.4846 * CHOOSE(CONTROL!$C$32, $C$9, 100%, $E$9)</f>
        <v>14.4846</v>
      </c>
      <c r="F770" s="81">
        <f>14.4846 * CHOOSE(CONTROL!$C$32, $C$9, 100%, $E$9)</f>
        <v>14.4846</v>
      </c>
      <c r="G770" s="81">
        <f>14.4191 * CHOOSE(CONTROL!$C$32, $C$9, 100%, $E$9)</f>
        <v>14.4191</v>
      </c>
      <c r="H770" s="81">
        <f>26.4258 * CHOOSE(CONTROL!$C$32, $C$9, 100%, $E$9)</f>
        <v>26.425799999999999</v>
      </c>
      <c r="I770" s="81">
        <f>26.3604 * CHOOSE(CONTROL!$C$32, $C$9, 100%, $E$9)</f>
        <v>26.360399999999998</v>
      </c>
      <c r="J770" s="81">
        <f>26.4258 * CHOOSE(CONTROL!$C$32, $C$9, 100%, $E$9)</f>
        <v>26.425799999999999</v>
      </c>
      <c r="K770" s="81">
        <f>26.3604 * CHOOSE(CONTROL!$C$32, $C$9, 100%, $E$9)</f>
        <v>26.360399999999998</v>
      </c>
      <c r="L770" s="81">
        <f>14.4846 * CHOOSE(CONTROL!$C$32, $C$9, 100%, $E$9)</f>
        <v>14.4846</v>
      </c>
      <c r="M770" s="81">
        <f>14.4191 * CHOOSE(CONTROL!$C$32, $C$9, 100%, $E$9)</f>
        <v>14.4191</v>
      </c>
      <c r="N770" s="81">
        <f>14.4846 * CHOOSE(CONTROL!$C$32, $C$9, 100%, $E$9)</f>
        <v>14.4846</v>
      </c>
      <c r="O770" s="81">
        <f>14.4191 * CHOOSE(CONTROL!$C$32, $C$9, 100%, $E$9)</f>
        <v>14.4191</v>
      </c>
    </row>
    <row r="771" spans="1:15" ht="15">
      <c r="A771" s="16">
        <v>64682</v>
      </c>
      <c r="B771" s="80">
        <f>12.6623 * CHOOSE(CONTROL!$C$32, $C$9, 100%, $E$9)</f>
        <v>12.6623</v>
      </c>
      <c r="C771" s="80">
        <f>12.6623 * CHOOSE(CONTROL!$C$32, $C$9, 100%, $E$9)</f>
        <v>12.6623</v>
      </c>
      <c r="D771" s="80">
        <f>12.6091 * CHOOSE(CONTROL!$C$32, $C$9, 100%, $E$9)</f>
        <v>12.6091</v>
      </c>
      <c r="E771" s="81">
        <f>14.2275 * CHOOSE(CONTROL!$C$32, $C$9, 100%, $E$9)</f>
        <v>14.227499999999999</v>
      </c>
      <c r="F771" s="81">
        <f>14.2275 * CHOOSE(CONTROL!$C$32, $C$9, 100%, $E$9)</f>
        <v>14.227499999999999</v>
      </c>
      <c r="G771" s="81">
        <f>14.1621 * CHOOSE(CONTROL!$C$32, $C$9, 100%, $E$9)</f>
        <v>14.162100000000001</v>
      </c>
      <c r="H771" s="81">
        <f>26.4809 * CHOOSE(CONTROL!$C$32, $C$9, 100%, $E$9)</f>
        <v>26.480899999999998</v>
      </c>
      <c r="I771" s="81">
        <f>26.4154 * CHOOSE(CONTROL!$C$32, $C$9, 100%, $E$9)</f>
        <v>26.415400000000002</v>
      </c>
      <c r="J771" s="81">
        <f>26.4809 * CHOOSE(CONTROL!$C$32, $C$9, 100%, $E$9)</f>
        <v>26.480899999999998</v>
      </c>
      <c r="K771" s="81">
        <f>26.4154 * CHOOSE(CONTROL!$C$32, $C$9, 100%, $E$9)</f>
        <v>26.415400000000002</v>
      </c>
      <c r="L771" s="81">
        <f>14.2275 * CHOOSE(CONTROL!$C$32, $C$9, 100%, $E$9)</f>
        <v>14.227499999999999</v>
      </c>
      <c r="M771" s="81">
        <f>14.1621 * CHOOSE(CONTROL!$C$32, $C$9, 100%, $E$9)</f>
        <v>14.162100000000001</v>
      </c>
      <c r="N771" s="81">
        <f>14.2275 * CHOOSE(CONTROL!$C$32, $C$9, 100%, $E$9)</f>
        <v>14.227499999999999</v>
      </c>
      <c r="O771" s="81">
        <f>14.1621 * CHOOSE(CONTROL!$C$32, $C$9, 100%, $E$9)</f>
        <v>14.162100000000001</v>
      </c>
    </row>
    <row r="772" spans="1:15" ht="15">
      <c r="A772" s="16">
        <v>64710</v>
      </c>
      <c r="B772" s="80">
        <f>12.6592 * CHOOSE(CONTROL!$C$32, $C$9, 100%, $E$9)</f>
        <v>12.6592</v>
      </c>
      <c r="C772" s="80">
        <f>12.6592 * CHOOSE(CONTROL!$C$32, $C$9, 100%, $E$9)</f>
        <v>12.6592</v>
      </c>
      <c r="D772" s="80">
        <f>12.6061 * CHOOSE(CONTROL!$C$32, $C$9, 100%, $E$9)</f>
        <v>12.6061</v>
      </c>
      <c r="E772" s="81">
        <f>14.4264 * CHOOSE(CONTROL!$C$32, $C$9, 100%, $E$9)</f>
        <v>14.426399999999999</v>
      </c>
      <c r="F772" s="81">
        <f>14.4264 * CHOOSE(CONTROL!$C$32, $C$9, 100%, $E$9)</f>
        <v>14.426399999999999</v>
      </c>
      <c r="G772" s="81">
        <f>14.3609 * CHOOSE(CONTROL!$C$32, $C$9, 100%, $E$9)</f>
        <v>14.360900000000001</v>
      </c>
      <c r="H772" s="81">
        <f>26.5361 * CHOOSE(CONTROL!$C$32, $C$9, 100%, $E$9)</f>
        <v>26.536100000000001</v>
      </c>
      <c r="I772" s="81">
        <f>26.4706 * CHOOSE(CONTROL!$C$32, $C$9, 100%, $E$9)</f>
        <v>26.470600000000001</v>
      </c>
      <c r="J772" s="81">
        <f>26.5361 * CHOOSE(CONTROL!$C$32, $C$9, 100%, $E$9)</f>
        <v>26.536100000000001</v>
      </c>
      <c r="K772" s="81">
        <f>26.4706 * CHOOSE(CONTROL!$C$32, $C$9, 100%, $E$9)</f>
        <v>26.470600000000001</v>
      </c>
      <c r="L772" s="81">
        <f>14.4264 * CHOOSE(CONTROL!$C$32, $C$9, 100%, $E$9)</f>
        <v>14.426399999999999</v>
      </c>
      <c r="M772" s="81">
        <f>14.3609 * CHOOSE(CONTROL!$C$32, $C$9, 100%, $E$9)</f>
        <v>14.360900000000001</v>
      </c>
      <c r="N772" s="81">
        <f>14.4264 * CHOOSE(CONTROL!$C$32, $C$9, 100%, $E$9)</f>
        <v>14.426399999999999</v>
      </c>
      <c r="O772" s="81">
        <f>14.3609 * CHOOSE(CONTROL!$C$32, $C$9, 100%, $E$9)</f>
        <v>14.360900000000001</v>
      </c>
    </row>
    <row r="773" spans="1:15" ht="15">
      <c r="A773" s="16">
        <v>64741</v>
      </c>
      <c r="B773" s="80">
        <f>12.6642 * CHOOSE(CONTROL!$C$32, $C$9, 100%, $E$9)</f>
        <v>12.664199999999999</v>
      </c>
      <c r="C773" s="80">
        <f>12.6642 * CHOOSE(CONTROL!$C$32, $C$9, 100%, $E$9)</f>
        <v>12.664199999999999</v>
      </c>
      <c r="D773" s="80">
        <f>12.611 * CHOOSE(CONTROL!$C$32, $C$9, 100%, $E$9)</f>
        <v>12.611000000000001</v>
      </c>
      <c r="E773" s="81">
        <f>14.638 * CHOOSE(CONTROL!$C$32, $C$9, 100%, $E$9)</f>
        <v>14.638</v>
      </c>
      <c r="F773" s="81">
        <f>14.638 * CHOOSE(CONTROL!$C$32, $C$9, 100%, $E$9)</f>
        <v>14.638</v>
      </c>
      <c r="G773" s="81">
        <f>14.5726 * CHOOSE(CONTROL!$C$32, $C$9, 100%, $E$9)</f>
        <v>14.5726</v>
      </c>
      <c r="H773" s="81">
        <f>26.5913 * CHOOSE(CONTROL!$C$32, $C$9, 100%, $E$9)</f>
        <v>26.5913</v>
      </c>
      <c r="I773" s="81">
        <f>26.5259 * CHOOSE(CONTROL!$C$32, $C$9, 100%, $E$9)</f>
        <v>26.5259</v>
      </c>
      <c r="J773" s="81">
        <f>26.5913 * CHOOSE(CONTROL!$C$32, $C$9, 100%, $E$9)</f>
        <v>26.5913</v>
      </c>
      <c r="K773" s="81">
        <f>26.5259 * CHOOSE(CONTROL!$C$32, $C$9, 100%, $E$9)</f>
        <v>26.5259</v>
      </c>
      <c r="L773" s="81">
        <f>14.638 * CHOOSE(CONTROL!$C$32, $C$9, 100%, $E$9)</f>
        <v>14.638</v>
      </c>
      <c r="M773" s="81">
        <f>14.5726 * CHOOSE(CONTROL!$C$32, $C$9, 100%, $E$9)</f>
        <v>14.5726</v>
      </c>
      <c r="N773" s="81">
        <f>14.638 * CHOOSE(CONTROL!$C$32, $C$9, 100%, $E$9)</f>
        <v>14.638</v>
      </c>
      <c r="O773" s="81">
        <f>14.5726 * CHOOSE(CONTROL!$C$32, $C$9, 100%, $E$9)</f>
        <v>14.5726</v>
      </c>
    </row>
    <row r="774" spans="1:15" ht="15">
      <c r="A774" s="16">
        <v>64771</v>
      </c>
      <c r="B774" s="80">
        <f>12.6642 * CHOOSE(CONTROL!$C$32, $C$9, 100%, $E$9)</f>
        <v>12.664199999999999</v>
      </c>
      <c r="C774" s="80">
        <f>12.6642 * CHOOSE(CONTROL!$C$32, $C$9, 100%, $E$9)</f>
        <v>12.664199999999999</v>
      </c>
      <c r="D774" s="80">
        <f>12.5867 * CHOOSE(CONTROL!$C$32, $C$9, 100%, $E$9)</f>
        <v>12.5867</v>
      </c>
      <c r="E774" s="81">
        <f>14.719 * CHOOSE(CONTROL!$C$32, $C$9, 100%, $E$9)</f>
        <v>14.718999999999999</v>
      </c>
      <c r="F774" s="81">
        <f>14.719 * CHOOSE(CONTROL!$C$32, $C$9, 100%, $E$9)</f>
        <v>14.718999999999999</v>
      </c>
      <c r="G774" s="81">
        <f>14.6243 * CHOOSE(CONTROL!$C$32, $C$9, 100%, $E$9)</f>
        <v>14.6243</v>
      </c>
      <c r="H774" s="81">
        <f>26.6467 * CHOOSE(CONTROL!$C$32, $C$9, 100%, $E$9)</f>
        <v>26.646699999999999</v>
      </c>
      <c r="I774" s="81">
        <f>26.552 * CHOOSE(CONTROL!$C$32, $C$9, 100%, $E$9)</f>
        <v>26.552</v>
      </c>
      <c r="J774" s="81">
        <f>26.6467 * CHOOSE(CONTROL!$C$32, $C$9, 100%, $E$9)</f>
        <v>26.646699999999999</v>
      </c>
      <c r="K774" s="81">
        <f>26.552 * CHOOSE(CONTROL!$C$32, $C$9, 100%, $E$9)</f>
        <v>26.552</v>
      </c>
      <c r="L774" s="81">
        <f>14.719 * CHOOSE(CONTROL!$C$32, $C$9, 100%, $E$9)</f>
        <v>14.718999999999999</v>
      </c>
      <c r="M774" s="81">
        <f>14.6243 * CHOOSE(CONTROL!$C$32, $C$9, 100%, $E$9)</f>
        <v>14.6243</v>
      </c>
      <c r="N774" s="81">
        <f>14.719 * CHOOSE(CONTROL!$C$32, $C$9, 100%, $E$9)</f>
        <v>14.718999999999999</v>
      </c>
      <c r="O774" s="81">
        <f>14.6243 * CHOOSE(CONTROL!$C$32, $C$9, 100%, $E$9)</f>
        <v>14.6243</v>
      </c>
    </row>
    <row r="775" spans="1:15" ht="15">
      <c r="A775" s="16">
        <v>64802</v>
      </c>
      <c r="B775" s="80">
        <f>12.6702 * CHOOSE(CONTROL!$C$32, $C$9, 100%, $E$9)</f>
        <v>12.670199999999999</v>
      </c>
      <c r="C775" s="80">
        <f>12.6702 * CHOOSE(CONTROL!$C$32, $C$9, 100%, $E$9)</f>
        <v>12.670199999999999</v>
      </c>
      <c r="D775" s="80">
        <f>12.5928 * CHOOSE(CONTROL!$C$32, $C$9, 100%, $E$9)</f>
        <v>12.5928</v>
      </c>
      <c r="E775" s="81">
        <f>14.6423 * CHOOSE(CONTROL!$C$32, $C$9, 100%, $E$9)</f>
        <v>14.642300000000001</v>
      </c>
      <c r="F775" s="81">
        <f>14.6423 * CHOOSE(CONTROL!$C$32, $C$9, 100%, $E$9)</f>
        <v>14.642300000000001</v>
      </c>
      <c r="G775" s="81">
        <f>14.5476 * CHOOSE(CONTROL!$C$32, $C$9, 100%, $E$9)</f>
        <v>14.547599999999999</v>
      </c>
      <c r="H775" s="81">
        <f>26.7022 * CHOOSE(CONTROL!$C$32, $C$9, 100%, $E$9)</f>
        <v>26.702200000000001</v>
      </c>
      <c r="I775" s="81">
        <f>26.6075 * CHOOSE(CONTROL!$C$32, $C$9, 100%, $E$9)</f>
        <v>26.607500000000002</v>
      </c>
      <c r="J775" s="81">
        <f>26.7022 * CHOOSE(CONTROL!$C$32, $C$9, 100%, $E$9)</f>
        <v>26.702200000000001</v>
      </c>
      <c r="K775" s="81">
        <f>26.6075 * CHOOSE(CONTROL!$C$32, $C$9, 100%, $E$9)</f>
        <v>26.607500000000002</v>
      </c>
      <c r="L775" s="81">
        <f>14.6423 * CHOOSE(CONTROL!$C$32, $C$9, 100%, $E$9)</f>
        <v>14.642300000000001</v>
      </c>
      <c r="M775" s="81">
        <f>14.5476 * CHOOSE(CONTROL!$C$32, $C$9, 100%, $E$9)</f>
        <v>14.547599999999999</v>
      </c>
      <c r="N775" s="81">
        <f>14.6423 * CHOOSE(CONTROL!$C$32, $C$9, 100%, $E$9)</f>
        <v>14.642300000000001</v>
      </c>
      <c r="O775" s="81">
        <f>14.5476 * CHOOSE(CONTROL!$C$32, $C$9, 100%, $E$9)</f>
        <v>14.547599999999999</v>
      </c>
    </row>
    <row r="776" spans="1:15" ht="15">
      <c r="A776" s="16">
        <v>64832</v>
      </c>
      <c r="B776" s="80">
        <f>12.8633 * CHOOSE(CONTROL!$C$32, $C$9, 100%, $E$9)</f>
        <v>12.863300000000001</v>
      </c>
      <c r="C776" s="80">
        <f>12.8633 * CHOOSE(CONTROL!$C$32, $C$9, 100%, $E$9)</f>
        <v>12.863300000000001</v>
      </c>
      <c r="D776" s="80">
        <f>12.7859 * CHOOSE(CONTROL!$C$32, $C$9, 100%, $E$9)</f>
        <v>12.7859</v>
      </c>
      <c r="E776" s="81">
        <f>14.8762 * CHOOSE(CONTROL!$C$32, $C$9, 100%, $E$9)</f>
        <v>14.876200000000001</v>
      </c>
      <c r="F776" s="81">
        <f>14.8762 * CHOOSE(CONTROL!$C$32, $C$9, 100%, $E$9)</f>
        <v>14.876200000000001</v>
      </c>
      <c r="G776" s="81">
        <f>14.7815 * CHOOSE(CONTROL!$C$32, $C$9, 100%, $E$9)</f>
        <v>14.781499999999999</v>
      </c>
      <c r="H776" s="81">
        <f>26.7579 * CHOOSE(CONTROL!$C$32, $C$9, 100%, $E$9)</f>
        <v>26.757899999999999</v>
      </c>
      <c r="I776" s="81">
        <f>26.6632 * CHOOSE(CONTROL!$C$32, $C$9, 100%, $E$9)</f>
        <v>26.6632</v>
      </c>
      <c r="J776" s="81">
        <f>26.7579 * CHOOSE(CONTROL!$C$32, $C$9, 100%, $E$9)</f>
        <v>26.757899999999999</v>
      </c>
      <c r="K776" s="81">
        <f>26.6632 * CHOOSE(CONTROL!$C$32, $C$9, 100%, $E$9)</f>
        <v>26.6632</v>
      </c>
      <c r="L776" s="81">
        <f>14.8762 * CHOOSE(CONTROL!$C$32, $C$9, 100%, $E$9)</f>
        <v>14.876200000000001</v>
      </c>
      <c r="M776" s="81">
        <f>14.7815 * CHOOSE(CONTROL!$C$32, $C$9, 100%, $E$9)</f>
        <v>14.781499999999999</v>
      </c>
      <c r="N776" s="81">
        <f>14.8762 * CHOOSE(CONTROL!$C$32, $C$9, 100%, $E$9)</f>
        <v>14.876200000000001</v>
      </c>
      <c r="O776" s="81">
        <f>14.7815 * CHOOSE(CONTROL!$C$32, $C$9, 100%, $E$9)</f>
        <v>14.781499999999999</v>
      </c>
    </row>
    <row r="777" spans="1:15" ht="15">
      <c r="A777" s="16">
        <v>64863</v>
      </c>
      <c r="B777" s="80">
        <f>12.87 * CHOOSE(CONTROL!$C$32, $C$9, 100%, $E$9)</f>
        <v>12.87</v>
      </c>
      <c r="C777" s="80">
        <f>12.87 * CHOOSE(CONTROL!$C$32, $C$9, 100%, $E$9)</f>
        <v>12.87</v>
      </c>
      <c r="D777" s="80">
        <f>12.7926 * CHOOSE(CONTROL!$C$32, $C$9, 100%, $E$9)</f>
        <v>12.7926</v>
      </c>
      <c r="E777" s="81">
        <f>14.6381 * CHOOSE(CONTROL!$C$32, $C$9, 100%, $E$9)</f>
        <v>14.6381</v>
      </c>
      <c r="F777" s="81">
        <f>14.6381 * CHOOSE(CONTROL!$C$32, $C$9, 100%, $E$9)</f>
        <v>14.6381</v>
      </c>
      <c r="G777" s="81">
        <f>14.5433 * CHOOSE(CONTROL!$C$32, $C$9, 100%, $E$9)</f>
        <v>14.5433</v>
      </c>
      <c r="H777" s="81">
        <f>26.8136 * CHOOSE(CONTROL!$C$32, $C$9, 100%, $E$9)</f>
        <v>26.813600000000001</v>
      </c>
      <c r="I777" s="81">
        <f>26.7189 * CHOOSE(CONTROL!$C$32, $C$9, 100%, $E$9)</f>
        <v>26.718900000000001</v>
      </c>
      <c r="J777" s="81">
        <f>26.8136 * CHOOSE(CONTROL!$C$32, $C$9, 100%, $E$9)</f>
        <v>26.813600000000001</v>
      </c>
      <c r="K777" s="81">
        <f>26.7189 * CHOOSE(CONTROL!$C$32, $C$9, 100%, $E$9)</f>
        <v>26.718900000000001</v>
      </c>
      <c r="L777" s="81">
        <f>14.6381 * CHOOSE(CONTROL!$C$32, $C$9, 100%, $E$9)</f>
        <v>14.6381</v>
      </c>
      <c r="M777" s="81">
        <f>14.5433 * CHOOSE(CONTROL!$C$32, $C$9, 100%, $E$9)</f>
        <v>14.5433</v>
      </c>
      <c r="N777" s="81">
        <f>14.6381 * CHOOSE(CONTROL!$C$32, $C$9, 100%, $E$9)</f>
        <v>14.6381</v>
      </c>
      <c r="O777" s="81">
        <f>14.5433 * CHOOSE(CONTROL!$C$32, $C$9, 100%, $E$9)</f>
        <v>14.5433</v>
      </c>
    </row>
    <row r="778" spans="1:15" ht="15">
      <c r="A778" s="16">
        <v>64894</v>
      </c>
      <c r="B778" s="80">
        <f>12.867 * CHOOSE(CONTROL!$C$32, $C$9, 100%, $E$9)</f>
        <v>12.867000000000001</v>
      </c>
      <c r="C778" s="80">
        <f>12.867 * CHOOSE(CONTROL!$C$32, $C$9, 100%, $E$9)</f>
        <v>12.867000000000001</v>
      </c>
      <c r="D778" s="80">
        <f>12.7895 * CHOOSE(CONTROL!$C$32, $C$9, 100%, $E$9)</f>
        <v>12.7895</v>
      </c>
      <c r="E778" s="81">
        <f>14.609 * CHOOSE(CONTROL!$C$32, $C$9, 100%, $E$9)</f>
        <v>14.609</v>
      </c>
      <c r="F778" s="81">
        <f>14.609 * CHOOSE(CONTROL!$C$32, $C$9, 100%, $E$9)</f>
        <v>14.609</v>
      </c>
      <c r="G778" s="81">
        <f>14.5142 * CHOOSE(CONTROL!$C$32, $C$9, 100%, $E$9)</f>
        <v>14.514200000000001</v>
      </c>
      <c r="H778" s="81">
        <f>26.8695 * CHOOSE(CONTROL!$C$32, $C$9, 100%, $E$9)</f>
        <v>26.869499999999999</v>
      </c>
      <c r="I778" s="81">
        <f>26.7748 * CHOOSE(CONTROL!$C$32, $C$9, 100%, $E$9)</f>
        <v>26.774799999999999</v>
      </c>
      <c r="J778" s="81">
        <f>26.8695 * CHOOSE(CONTROL!$C$32, $C$9, 100%, $E$9)</f>
        <v>26.869499999999999</v>
      </c>
      <c r="K778" s="81">
        <f>26.7748 * CHOOSE(CONTROL!$C$32, $C$9, 100%, $E$9)</f>
        <v>26.774799999999999</v>
      </c>
      <c r="L778" s="81">
        <f>14.609 * CHOOSE(CONTROL!$C$32, $C$9, 100%, $E$9)</f>
        <v>14.609</v>
      </c>
      <c r="M778" s="81">
        <f>14.5142 * CHOOSE(CONTROL!$C$32, $C$9, 100%, $E$9)</f>
        <v>14.514200000000001</v>
      </c>
      <c r="N778" s="81">
        <f>14.609 * CHOOSE(CONTROL!$C$32, $C$9, 100%, $E$9)</f>
        <v>14.609</v>
      </c>
      <c r="O778" s="81">
        <f>14.5142 * CHOOSE(CONTROL!$C$32, $C$9, 100%, $E$9)</f>
        <v>14.514200000000001</v>
      </c>
    </row>
    <row r="779" spans="1:15" ht="15">
      <c r="A779" s="16">
        <v>64924</v>
      </c>
      <c r="B779" s="80">
        <f>12.8907 * CHOOSE(CONTROL!$C$32, $C$9, 100%, $E$9)</f>
        <v>12.890700000000001</v>
      </c>
      <c r="C779" s="80">
        <f>12.8907 * CHOOSE(CONTROL!$C$32, $C$9, 100%, $E$9)</f>
        <v>12.890700000000001</v>
      </c>
      <c r="D779" s="80">
        <f>12.8375 * CHOOSE(CONTROL!$C$32, $C$9, 100%, $E$9)</f>
        <v>12.8375</v>
      </c>
      <c r="E779" s="81">
        <f>14.7035 * CHOOSE(CONTROL!$C$32, $C$9, 100%, $E$9)</f>
        <v>14.7035</v>
      </c>
      <c r="F779" s="81">
        <f>14.7035 * CHOOSE(CONTROL!$C$32, $C$9, 100%, $E$9)</f>
        <v>14.7035</v>
      </c>
      <c r="G779" s="81">
        <f>14.638 * CHOOSE(CONTROL!$C$32, $C$9, 100%, $E$9)</f>
        <v>14.638</v>
      </c>
      <c r="H779" s="81">
        <f>26.9255 * CHOOSE(CONTROL!$C$32, $C$9, 100%, $E$9)</f>
        <v>26.9255</v>
      </c>
      <c r="I779" s="81">
        <f>26.86 * CHOOSE(CONTROL!$C$32, $C$9, 100%, $E$9)</f>
        <v>26.86</v>
      </c>
      <c r="J779" s="81">
        <f>26.9255 * CHOOSE(CONTROL!$C$32, $C$9, 100%, $E$9)</f>
        <v>26.9255</v>
      </c>
      <c r="K779" s="81">
        <f>26.86 * CHOOSE(CONTROL!$C$32, $C$9, 100%, $E$9)</f>
        <v>26.86</v>
      </c>
      <c r="L779" s="81">
        <f>14.7035 * CHOOSE(CONTROL!$C$32, $C$9, 100%, $E$9)</f>
        <v>14.7035</v>
      </c>
      <c r="M779" s="81">
        <f>14.638 * CHOOSE(CONTROL!$C$32, $C$9, 100%, $E$9)</f>
        <v>14.638</v>
      </c>
      <c r="N779" s="81">
        <f>14.7035 * CHOOSE(CONTROL!$C$32, $C$9, 100%, $E$9)</f>
        <v>14.7035</v>
      </c>
      <c r="O779" s="81">
        <f>14.638 * CHOOSE(CONTROL!$C$32, $C$9, 100%, $E$9)</f>
        <v>14.638</v>
      </c>
    </row>
    <row r="780" spans="1:15" ht="15">
      <c r="A780" s="16">
        <v>64955</v>
      </c>
      <c r="B780" s="80">
        <f>12.8937 * CHOOSE(CONTROL!$C$32, $C$9, 100%, $E$9)</f>
        <v>12.893700000000001</v>
      </c>
      <c r="C780" s="80">
        <f>12.8937 * CHOOSE(CONTROL!$C$32, $C$9, 100%, $E$9)</f>
        <v>12.893700000000001</v>
      </c>
      <c r="D780" s="80">
        <f>12.8406 * CHOOSE(CONTROL!$C$32, $C$9, 100%, $E$9)</f>
        <v>12.8406</v>
      </c>
      <c r="E780" s="81">
        <f>14.7596 * CHOOSE(CONTROL!$C$32, $C$9, 100%, $E$9)</f>
        <v>14.759600000000001</v>
      </c>
      <c r="F780" s="81">
        <f>14.7596 * CHOOSE(CONTROL!$C$32, $C$9, 100%, $E$9)</f>
        <v>14.759600000000001</v>
      </c>
      <c r="G780" s="81">
        <f>14.6941 * CHOOSE(CONTROL!$C$32, $C$9, 100%, $E$9)</f>
        <v>14.694100000000001</v>
      </c>
      <c r="H780" s="81">
        <f>26.9816 * CHOOSE(CONTROL!$C$32, $C$9, 100%, $E$9)</f>
        <v>26.9816</v>
      </c>
      <c r="I780" s="81">
        <f>26.9161 * CHOOSE(CONTROL!$C$32, $C$9, 100%, $E$9)</f>
        <v>26.9161</v>
      </c>
      <c r="J780" s="81">
        <f>26.9816 * CHOOSE(CONTROL!$C$32, $C$9, 100%, $E$9)</f>
        <v>26.9816</v>
      </c>
      <c r="K780" s="81">
        <f>26.9161 * CHOOSE(CONTROL!$C$32, $C$9, 100%, $E$9)</f>
        <v>26.9161</v>
      </c>
      <c r="L780" s="81">
        <f>14.7596 * CHOOSE(CONTROL!$C$32, $C$9, 100%, $E$9)</f>
        <v>14.759600000000001</v>
      </c>
      <c r="M780" s="81">
        <f>14.6941 * CHOOSE(CONTROL!$C$32, $C$9, 100%, $E$9)</f>
        <v>14.694100000000001</v>
      </c>
      <c r="N780" s="81">
        <f>14.7596 * CHOOSE(CONTROL!$C$32, $C$9, 100%, $E$9)</f>
        <v>14.759600000000001</v>
      </c>
      <c r="O780" s="81">
        <f>14.6941 * CHOOSE(CONTROL!$C$32, $C$9, 100%, $E$9)</f>
        <v>14.694100000000001</v>
      </c>
    </row>
    <row r="781" spans="1:15" ht="15">
      <c r="A781" s="16">
        <v>64985</v>
      </c>
      <c r="B781" s="80">
        <f>12.8937 * CHOOSE(CONTROL!$C$32, $C$9, 100%, $E$9)</f>
        <v>12.893700000000001</v>
      </c>
      <c r="C781" s="80">
        <f>12.8937 * CHOOSE(CONTROL!$C$32, $C$9, 100%, $E$9)</f>
        <v>12.893700000000001</v>
      </c>
      <c r="D781" s="80">
        <f>12.8406 * CHOOSE(CONTROL!$C$32, $C$9, 100%, $E$9)</f>
        <v>12.8406</v>
      </c>
      <c r="E781" s="81">
        <f>14.6246 * CHOOSE(CONTROL!$C$32, $C$9, 100%, $E$9)</f>
        <v>14.624599999999999</v>
      </c>
      <c r="F781" s="81">
        <f>14.6246 * CHOOSE(CONTROL!$C$32, $C$9, 100%, $E$9)</f>
        <v>14.624599999999999</v>
      </c>
      <c r="G781" s="81">
        <f>14.5592 * CHOOSE(CONTROL!$C$32, $C$9, 100%, $E$9)</f>
        <v>14.559200000000001</v>
      </c>
      <c r="H781" s="81">
        <f>27.0378 * CHOOSE(CONTROL!$C$32, $C$9, 100%, $E$9)</f>
        <v>27.037800000000001</v>
      </c>
      <c r="I781" s="81">
        <f>26.9723 * CHOOSE(CONTROL!$C$32, $C$9, 100%, $E$9)</f>
        <v>26.972300000000001</v>
      </c>
      <c r="J781" s="81">
        <f>27.0378 * CHOOSE(CONTROL!$C$32, $C$9, 100%, $E$9)</f>
        <v>27.037800000000001</v>
      </c>
      <c r="K781" s="81">
        <f>26.9723 * CHOOSE(CONTROL!$C$32, $C$9, 100%, $E$9)</f>
        <v>26.972300000000001</v>
      </c>
      <c r="L781" s="81">
        <f>14.6246 * CHOOSE(CONTROL!$C$32, $C$9, 100%, $E$9)</f>
        <v>14.624599999999999</v>
      </c>
      <c r="M781" s="81">
        <f>14.5592 * CHOOSE(CONTROL!$C$32, $C$9, 100%, $E$9)</f>
        <v>14.559200000000001</v>
      </c>
      <c r="N781" s="81">
        <f>14.6246 * CHOOSE(CONTROL!$C$32, $C$9, 100%, $E$9)</f>
        <v>14.624599999999999</v>
      </c>
      <c r="O781" s="81">
        <f>14.5592 * CHOOSE(CONTROL!$C$32, $C$9, 100%, $E$9)</f>
        <v>14.559200000000001</v>
      </c>
    </row>
    <row r="782" spans="1:15" ht="15">
      <c r="A782" s="16">
        <v>65016</v>
      </c>
      <c r="B782" s="80">
        <f>12.9009 * CHOOSE(CONTROL!$C$32, $C$9, 100%, $E$9)</f>
        <v>12.9009</v>
      </c>
      <c r="C782" s="80">
        <f>12.9009 * CHOOSE(CONTROL!$C$32, $C$9, 100%, $E$9)</f>
        <v>12.9009</v>
      </c>
      <c r="D782" s="80">
        <f>12.8442 * CHOOSE(CONTROL!$C$32, $C$9, 100%, $E$9)</f>
        <v>12.844200000000001</v>
      </c>
      <c r="E782" s="81">
        <f>14.7393 * CHOOSE(CONTROL!$C$32, $C$9, 100%, $E$9)</f>
        <v>14.7393</v>
      </c>
      <c r="F782" s="81">
        <f>14.7393 * CHOOSE(CONTROL!$C$32, $C$9, 100%, $E$9)</f>
        <v>14.7393</v>
      </c>
      <c r="G782" s="81">
        <f>14.6695 * CHOOSE(CONTROL!$C$32, $C$9, 100%, $E$9)</f>
        <v>14.669499999999999</v>
      </c>
      <c r="H782" s="81">
        <f>26.9016 * CHOOSE(CONTROL!$C$32, $C$9, 100%, $E$9)</f>
        <v>26.901599999999998</v>
      </c>
      <c r="I782" s="81">
        <f>26.8318 * CHOOSE(CONTROL!$C$32, $C$9, 100%, $E$9)</f>
        <v>26.831800000000001</v>
      </c>
      <c r="J782" s="81">
        <f>26.9016 * CHOOSE(CONTROL!$C$32, $C$9, 100%, $E$9)</f>
        <v>26.901599999999998</v>
      </c>
      <c r="K782" s="81">
        <f>26.8318 * CHOOSE(CONTROL!$C$32, $C$9, 100%, $E$9)</f>
        <v>26.831800000000001</v>
      </c>
      <c r="L782" s="81">
        <f>14.7393 * CHOOSE(CONTROL!$C$32, $C$9, 100%, $E$9)</f>
        <v>14.7393</v>
      </c>
      <c r="M782" s="81">
        <f>14.6695 * CHOOSE(CONTROL!$C$32, $C$9, 100%, $E$9)</f>
        <v>14.669499999999999</v>
      </c>
      <c r="N782" s="81">
        <f>14.7393 * CHOOSE(CONTROL!$C$32, $C$9, 100%, $E$9)</f>
        <v>14.7393</v>
      </c>
      <c r="O782" s="81">
        <f>14.6695 * CHOOSE(CONTROL!$C$32, $C$9, 100%, $E$9)</f>
        <v>14.669499999999999</v>
      </c>
    </row>
    <row r="783" spans="1:15" ht="15">
      <c r="A783" s="16">
        <v>65047</v>
      </c>
      <c r="B783" s="80">
        <f>12.8978 * CHOOSE(CONTROL!$C$32, $C$9, 100%, $E$9)</f>
        <v>12.8978</v>
      </c>
      <c r="C783" s="80">
        <f>12.8978 * CHOOSE(CONTROL!$C$32, $C$9, 100%, $E$9)</f>
        <v>12.8978</v>
      </c>
      <c r="D783" s="80">
        <f>12.8412 * CHOOSE(CONTROL!$C$32, $C$9, 100%, $E$9)</f>
        <v>12.841200000000001</v>
      </c>
      <c r="E783" s="81">
        <f>14.4773 * CHOOSE(CONTROL!$C$32, $C$9, 100%, $E$9)</f>
        <v>14.4773</v>
      </c>
      <c r="F783" s="81">
        <f>14.4773 * CHOOSE(CONTROL!$C$32, $C$9, 100%, $E$9)</f>
        <v>14.4773</v>
      </c>
      <c r="G783" s="81">
        <f>14.4075 * CHOOSE(CONTROL!$C$32, $C$9, 100%, $E$9)</f>
        <v>14.407500000000001</v>
      </c>
      <c r="H783" s="81">
        <f>26.9576 * CHOOSE(CONTROL!$C$32, $C$9, 100%, $E$9)</f>
        <v>26.957599999999999</v>
      </c>
      <c r="I783" s="81">
        <f>26.8878 * CHOOSE(CONTROL!$C$32, $C$9, 100%, $E$9)</f>
        <v>26.887799999999999</v>
      </c>
      <c r="J783" s="81">
        <f>26.9576 * CHOOSE(CONTROL!$C$32, $C$9, 100%, $E$9)</f>
        <v>26.957599999999999</v>
      </c>
      <c r="K783" s="81">
        <f>26.8878 * CHOOSE(CONTROL!$C$32, $C$9, 100%, $E$9)</f>
        <v>26.887799999999999</v>
      </c>
      <c r="L783" s="81">
        <f>14.4773 * CHOOSE(CONTROL!$C$32, $C$9, 100%, $E$9)</f>
        <v>14.4773</v>
      </c>
      <c r="M783" s="81">
        <f>14.4075 * CHOOSE(CONTROL!$C$32, $C$9, 100%, $E$9)</f>
        <v>14.407500000000001</v>
      </c>
      <c r="N783" s="81">
        <f>14.4773 * CHOOSE(CONTROL!$C$32, $C$9, 100%, $E$9)</f>
        <v>14.4773</v>
      </c>
      <c r="O783" s="81">
        <f>14.4075 * CHOOSE(CONTROL!$C$32, $C$9, 100%, $E$9)</f>
        <v>14.407500000000001</v>
      </c>
    </row>
    <row r="784" spans="1:15" ht="15">
      <c r="A784" s="16">
        <v>65075</v>
      </c>
      <c r="B784" s="80">
        <f>12.8948 * CHOOSE(CONTROL!$C$32, $C$9, 100%, $E$9)</f>
        <v>12.8948</v>
      </c>
      <c r="C784" s="80">
        <f>12.8948 * CHOOSE(CONTROL!$C$32, $C$9, 100%, $E$9)</f>
        <v>12.8948</v>
      </c>
      <c r="D784" s="80">
        <f>12.8381 * CHOOSE(CONTROL!$C$32, $C$9, 100%, $E$9)</f>
        <v>12.838100000000001</v>
      </c>
      <c r="E784" s="81">
        <f>14.6801 * CHOOSE(CONTROL!$C$32, $C$9, 100%, $E$9)</f>
        <v>14.680099999999999</v>
      </c>
      <c r="F784" s="81">
        <f>14.6801 * CHOOSE(CONTROL!$C$32, $C$9, 100%, $E$9)</f>
        <v>14.680099999999999</v>
      </c>
      <c r="G784" s="81">
        <f>14.6102 * CHOOSE(CONTROL!$C$32, $C$9, 100%, $E$9)</f>
        <v>14.610200000000001</v>
      </c>
      <c r="H784" s="81">
        <f>27.0138 * CHOOSE(CONTROL!$C$32, $C$9, 100%, $E$9)</f>
        <v>27.0138</v>
      </c>
      <c r="I784" s="81">
        <f>26.944 * CHOOSE(CONTROL!$C$32, $C$9, 100%, $E$9)</f>
        <v>26.943999999999999</v>
      </c>
      <c r="J784" s="81">
        <f>27.0138 * CHOOSE(CONTROL!$C$32, $C$9, 100%, $E$9)</f>
        <v>27.0138</v>
      </c>
      <c r="K784" s="81">
        <f>26.944 * CHOOSE(CONTROL!$C$32, $C$9, 100%, $E$9)</f>
        <v>26.943999999999999</v>
      </c>
      <c r="L784" s="81">
        <f>14.6801 * CHOOSE(CONTROL!$C$32, $C$9, 100%, $E$9)</f>
        <v>14.680099999999999</v>
      </c>
      <c r="M784" s="81">
        <f>14.6102 * CHOOSE(CONTROL!$C$32, $C$9, 100%, $E$9)</f>
        <v>14.610200000000001</v>
      </c>
      <c r="N784" s="81">
        <f>14.6801 * CHOOSE(CONTROL!$C$32, $C$9, 100%, $E$9)</f>
        <v>14.680099999999999</v>
      </c>
      <c r="O784" s="81">
        <f>14.6102 * CHOOSE(CONTROL!$C$32, $C$9, 100%, $E$9)</f>
        <v>14.610200000000001</v>
      </c>
    </row>
    <row r="785" spans="1:15" ht="15">
      <c r="A785" s="16">
        <v>65106</v>
      </c>
      <c r="B785" s="80">
        <f>12.8999 * CHOOSE(CONTROL!$C$32, $C$9, 100%, $E$9)</f>
        <v>12.899900000000001</v>
      </c>
      <c r="C785" s="80">
        <f>12.8999 * CHOOSE(CONTROL!$C$32, $C$9, 100%, $E$9)</f>
        <v>12.899900000000001</v>
      </c>
      <c r="D785" s="80">
        <f>12.8432 * CHOOSE(CONTROL!$C$32, $C$9, 100%, $E$9)</f>
        <v>12.8432</v>
      </c>
      <c r="E785" s="81">
        <f>14.8959 * CHOOSE(CONTROL!$C$32, $C$9, 100%, $E$9)</f>
        <v>14.895899999999999</v>
      </c>
      <c r="F785" s="81">
        <f>14.8959 * CHOOSE(CONTROL!$C$32, $C$9, 100%, $E$9)</f>
        <v>14.895899999999999</v>
      </c>
      <c r="G785" s="81">
        <f>14.8261 * CHOOSE(CONTROL!$C$32, $C$9, 100%, $E$9)</f>
        <v>14.8261</v>
      </c>
      <c r="H785" s="81">
        <f>27.0701 * CHOOSE(CONTROL!$C$32, $C$9, 100%, $E$9)</f>
        <v>27.0701</v>
      </c>
      <c r="I785" s="81">
        <f>27.0002 * CHOOSE(CONTROL!$C$32, $C$9, 100%, $E$9)</f>
        <v>27.0002</v>
      </c>
      <c r="J785" s="81">
        <f>27.0701 * CHOOSE(CONTROL!$C$32, $C$9, 100%, $E$9)</f>
        <v>27.0701</v>
      </c>
      <c r="K785" s="81">
        <f>27.0002 * CHOOSE(CONTROL!$C$32, $C$9, 100%, $E$9)</f>
        <v>27.0002</v>
      </c>
      <c r="L785" s="81">
        <f>14.8959 * CHOOSE(CONTROL!$C$32, $C$9, 100%, $E$9)</f>
        <v>14.895899999999999</v>
      </c>
      <c r="M785" s="81">
        <f>14.8261 * CHOOSE(CONTROL!$C$32, $C$9, 100%, $E$9)</f>
        <v>14.8261</v>
      </c>
      <c r="N785" s="81">
        <f>14.8959 * CHOOSE(CONTROL!$C$32, $C$9, 100%, $E$9)</f>
        <v>14.895899999999999</v>
      </c>
      <c r="O785" s="81">
        <f>14.8261 * CHOOSE(CONTROL!$C$32, $C$9, 100%, $E$9)</f>
        <v>14.8261</v>
      </c>
    </row>
    <row r="786" spans="1:15" ht="15">
      <c r="A786" s="16">
        <v>65136</v>
      </c>
      <c r="B786" s="80">
        <f>12.8999 * CHOOSE(CONTROL!$C$32, $C$9, 100%, $E$9)</f>
        <v>12.899900000000001</v>
      </c>
      <c r="C786" s="80">
        <f>12.8999 * CHOOSE(CONTROL!$C$32, $C$9, 100%, $E$9)</f>
        <v>12.899900000000001</v>
      </c>
      <c r="D786" s="80">
        <f>12.8173 * CHOOSE(CONTROL!$C$32, $C$9, 100%, $E$9)</f>
        <v>12.817299999999999</v>
      </c>
      <c r="E786" s="81">
        <f>14.9784 * CHOOSE(CONTROL!$C$32, $C$9, 100%, $E$9)</f>
        <v>14.978400000000001</v>
      </c>
      <c r="F786" s="81">
        <f>14.9784 * CHOOSE(CONTROL!$C$32, $C$9, 100%, $E$9)</f>
        <v>14.978400000000001</v>
      </c>
      <c r="G786" s="81">
        <f>14.8774 * CHOOSE(CONTROL!$C$32, $C$9, 100%, $E$9)</f>
        <v>14.8774</v>
      </c>
      <c r="H786" s="81">
        <f>27.1265 * CHOOSE(CONTROL!$C$32, $C$9, 100%, $E$9)</f>
        <v>27.1265</v>
      </c>
      <c r="I786" s="81">
        <f>27.0254 * CHOOSE(CONTROL!$C$32, $C$9, 100%, $E$9)</f>
        <v>27.025400000000001</v>
      </c>
      <c r="J786" s="81">
        <f>27.1265 * CHOOSE(CONTROL!$C$32, $C$9, 100%, $E$9)</f>
        <v>27.1265</v>
      </c>
      <c r="K786" s="81">
        <f>27.0254 * CHOOSE(CONTROL!$C$32, $C$9, 100%, $E$9)</f>
        <v>27.025400000000001</v>
      </c>
      <c r="L786" s="81">
        <f>14.9784 * CHOOSE(CONTROL!$C$32, $C$9, 100%, $E$9)</f>
        <v>14.978400000000001</v>
      </c>
      <c r="M786" s="81">
        <f>14.8774 * CHOOSE(CONTROL!$C$32, $C$9, 100%, $E$9)</f>
        <v>14.8774</v>
      </c>
      <c r="N786" s="81">
        <f>14.9784 * CHOOSE(CONTROL!$C$32, $C$9, 100%, $E$9)</f>
        <v>14.978400000000001</v>
      </c>
      <c r="O786" s="81">
        <f>14.8774 * CHOOSE(CONTROL!$C$32, $C$9, 100%, $E$9)</f>
        <v>14.8774</v>
      </c>
    </row>
    <row r="787" spans="1:15" ht="15">
      <c r="A787" s="16">
        <v>65167</v>
      </c>
      <c r="B787" s="80">
        <f>12.906 * CHOOSE(CONTROL!$C$32, $C$9, 100%, $E$9)</f>
        <v>12.906000000000001</v>
      </c>
      <c r="C787" s="80">
        <f>12.906 * CHOOSE(CONTROL!$C$32, $C$9, 100%, $E$9)</f>
        <v>12.906000000000001</v>
      </c>
      <c r="D787" s="80">
        <f>12.8234 * CHOOSE(CONTROL!$C$32, $C$9, 100%, $E$9)</f>
        <v>12.823399999999999</v>
      </c>
      <c r="E787" s="81">
        <f>14.9001 * CHOOSE(CONTROL!$C$32, $C$9, 100%, $E$9)</f>
        <v>14.9001</v>
      </c>
      <c r="F787" s="81">
        <f>14.9001 * CHOOSE(CONTROL!$C$32, $C$9, 100%, $E$9)</f>
        <v>14.9001</v>
      </c>
      <c r="G787" s="81">
        <f>14.7991 * CHOOSE(CONTROL!$C$32, $C$9, 100%, $E$9)</f>
        <v>14.799099999999999</v>
      </c>
      <c r="H787" s="81">
        <f>27.183 * CHOOSE(CONTROL!$C$32, $C$9, 100%, $E$9)</f>
        <v>27.183</v>
      </c>
      <c r="I787" s="81">
        <f>27.082 * CHOOSE(CONTROL!$C$32, $C$9, 100%, $E$9)</f>
        <v>27.082000000000001</v>
      </c>
      <c r="J787" s="81">
        <f>27.183 * CHOOSE(CONTROL!$C$32, $C$9, 100%, $E$9)</f>
        <v>27.183</v>
      </c>
      <c r="K787" s="81">
        <f>27.082 * CHOOSE(CONTROL!$C$32, $C$9, 100%, $E$9)</f>
        <v>27.082000000000001</v>
      </c>
      <c r="L787" s="81">
        <f>14.9001 * CHOOSE(CONTROL!$C$32, $C$9, 100%, $E$9)</f>
        <v>14.9001</v>
      </c>
      <c r="M787" s="81">
        <f>14.7991 * CHOOSE(CONTROL!$C$32, $C$9, 100%, $E$9)</f>
        <v>14.799099999999999</v>
      </c>
      <c r="N787" s="81">
        <f>14.9001 * CHOOSE(CONTROL!$C$32, $C$9, 100%, $E$9)</f>
        <v>14.9001</v>
      </c>
      <c r="O787" s="81">
        <f>14.7991 * CHOOSE(CONTROL!$C$32, $C$9, 100%, $E$9)</f>
        <v>14.799099999999999</v>
      </c>
    </row>
    <row r="788" spans="1:15" ht="15">
      <c r="A788" s="16">
        <v>65197</v>
      </c>
      <c r="B788" s="80">
        <f>13.1025 * CHOOSE(CONTROL!$C$32, $C$9, 100%, $E$9)</f>
        <v>13.102499999999999</v>
      </c>
      <c r="C788" s="80">
        <f>13.1025 * CHOOSE(CONTROL!$C$32, $C$9, 100%, $E$9)</f>
        <v>13.102499999999999</v>
      </c>
      <c r="D788" s="80">
        <f>13.0199 * CHOOSE(CONTROL!$C$32, $C$9, 100%, $E$9)</f>
        <v>13.0199</v>
      </c>
      <c r="E788" s="81">
        <f>15.138 * CHOOSE(CONTROL!$C$32, $C$9, 100%, $E$9)</f>
        <v>15.138</v>
      </c>
      <c r="F788" s="81">
        <f>15.138 * CHOOSE(CONTROL!$C$32, $C$9, 100%, $E$9)</f>
        <v>15.138</v>
      </c>
      <c r="G788" s="81">
        <f>15.037 * CHOOSE(CONTROL!$C$32, $C$9, 100%, $E$9)</f>
        <v>15.037000000000001</v>
      </c>
      <c r="H788" s="81">
        <f>27.2396 * CHOOSE(CONTROL!$C$32, $C$9, 100%, $E$9)</f>
        <v>27.239599999999999</v>
      </c>
      <c r="I788" s="81">
        <f>27.1386 * CHOOSE(CONTROL!$C$32, $C$9, 100%, $E$9)</f>
        <v>27.1386</v>
      </c>
      <c r="J788" s="81">
        <f>27.2396 * CHOOSE(CONTROL!$C$32, $C$9, 100%, $E$9)</f>
        <v>27.239599999999999</v>
      </c>
      <c r="K788" s="81">
        <f>27.1386 * CHOOSE(CONTROL!$C$32, $C$9, 100%, $E$9)</f>
        <v>27.1386</v>
      </c>
      <c r="L788" s="81">
        <f>15.138 * CHOOSE(CONTROL!$C$32, $C$9, 100%, $E$9)</f>
        <v>15.138</v>
      </c>
      <c r="M788" s="81">
        <f>15.037 * CHOOSE(CONTROL!$C$32, $C$9, 100%, $E$9)</f>
        <v>15.037000000000001</v>
      </c>
      <c r="N788" s="81">
        <f>15.138 * CHOOSE(CONTROL!$C$32, $C$9, 100%, $E$9)</f>
        <v>15.138</v>
      </c>
      <c r="O788" s="81">
        <f>15.037 * CHOOSE(CONTROL!$C$32, $C$9, 100%, $E$9)</f>
        <v>15.037000000000001</v>
      </c>
    </row>
    <row r="789" spans="1:15" ht="15">
      <c r="A789" s="16">
        <v>65228</v>
      </c>
      <c r="B789" s="80">
        <f>13.1092 * CHOOSE(CONTROL!$C$32, $C$9, 100%, $E$9)</f>
        <v>13.1092</v>
      </c>
      <c r="C789" s="80">
        <f>13.1092 * CHOOSE(CONTROL!$C$32, $C$9, 100%, $E$9)</f>
        <v>13.1092</v>
      </c>
      <c r="D789" s="80">
        <f>13.0266 * CHOOSE(CONTROL!$C$32, $C$9, 100%, $E$9)</f>
        <v>13.0266</v>
      </c>
      <c r="E789" s="81">
        <f>14.8951 * CHOOSE(CONTROL!$C$32, $C$9, 100%, $E$9)</f>
        <v>14.895099999999999</v>
      </c>
      <c r="F789" s="81">
        <f>14.8951 * CHOOSE(CONTROL!$C$32, $C$9, 100%, $E$9)</f>
        <v>14.895099999999999</v>
      </c>
      <c r="G789" s="81">
        <f>14.7941 * CHOOSE(CONTROL!$C$32, $C$9, 100%, $E$9)</f>
        <v>14.7941</v>
      </c>
      <c r="H789" s="81">
        <f>27.2964 * CHOOSE(CONTROL!$C$32, $C$9, 100%, $E$9)</f>
        <v>27.296399999999998</v>
      </c>
      <c r="I789" s="81">
        <f>27.1953 * CHOOSE(CONTROL!$C$32, $C$9, 100%, $E$9)</f>
        <v>27.1953</v>
      </c>
      <c r="J789" s="81">
        <f>27.2964 * CHOOSE(CONTROL!$C$32, $C$9, 100%, $E$9)</f>
        <v>27.296399999999998</v>
      </c>
      <c r="K789" s="81">
        <f>27.1953 * CHOOSE(CONTROL!$C$32, $C$9, 100%, $E$9)</f>
        <v>27.1953</v>
      </c>
      <c r="L789" s="81">
        <f>14.8951 * CHOOSE(CONTROL!$C$32, $C$9, 100%, $E$9)</f>
        <v>14.895099999999999</v>
      </c>
      <c r="M789" s="81">
        <f>14.7941 * CHOOSE(CONTROL!$C$32, $C$9, 100%, $E$9)</f>
        <v>14.7941</v>
      </c>
      <c r="N789" s="81">
        <f>14.8951 * CHOOSE(CONTROL!$C$32, $C$9, 100%, $E$9)</f>
        <v>14.895099999999999</v>
      </c>
      <c r="O789" s="81">
        <f>14.7941 * CHOOSE(CONTROL!$C$32, $C$9, 100%, $E$9)</f>
        <v>14.7941</v>
      </c>
    </row>
    <row r="790" spans="1:15" ht="15">
      <c r="A790" s="16">
        <v>65259</v>
      </c>
      <c r="B790" s="80">
        <f>13.1062 * CHOOSE(CONTROL!$C$32, $C$9, 100%, $E$9)</f>
        <v>13.106199999999999</v>
      </c>
      <c r="C790" s="80">
        <f>13.1062 * CHOOSE(CONTROL!$C$32, $C$9, 100%, $E$9)</f>
        <v>13.106199999999999</v>
      </c>
      <c r="D790" s="80">
        <f>13.0236 * CHOOSE(CONTROL!$C$32, $C$9, 100%, $E$9)</f>
        <v>13.0236</v>
      </c>
      <c r="E790" s="81">
        <f>14.8655 * CHOOSE(CONTROL!$C$32, $C$9, 100%, $E$9)</f>
        <v>14.865500000000001</v>
      </c>
      <c r="F790" s="81">
        <f>14.8655 * CHOOSE(CONTROL!$C$32, $C$9, 100%, $E$9)</f>
        <v>14.865500000000001</v>
      </c>
      <c r="G790" s="81">
        <f>14.7645 * CHOOSE(CONTROL!$C$32, $C$9, 100%, $E$9)</f>
        <v>14.7645</v>
      </c>
      <c r="H790" s="81">
        <f>27.3532 * CHOOSE(CONTROL!$C$32, $C$9, 100%, $E$9)</f>
        <v>27.353200000000001</v>
      </c>
      <c r="I790" s="81">
        <f>27.2522 * CHOOSE(CONTROL!$C$32, $C$9, 100%, $E$9)</f>
        <v>27.252199999999998</v>
      </c>
      <c r="J790" s="81">
        <f>27.3532 * CHOOSE(CONTROL!$C$32, $C$9, 100%, $E$9)</f>
        <v>27.353200000000001</v>
      </c>
      <c r="K790" s="81">
        <f>27.2522 * CHOOSE(CONTROL!$C$32, $C$9, 100%, $E$9)</f>
        <v>27.252199999999998</v>
      </c>
      <c r="L790" s="81">
        <f>14.8655 * CHOOSE(CONTROL!$C$32, $C$9, 100%, $E$9)</f>
        <v>14.865500000000001</v>
      </c>
      <c r="M790" s="81">
        <f>14.7645 * CHOOSE(CONTROL!$C$32, $C$9, 100%, $E$9)</f>
        <v>14.7645</v>
      </c>
      <c r="N790" s="81">
        <f>14.8655 * CHOOSE(CONTROL!$C$32, $C$9, 100%, $E$9)</f>
        <v>14.865500000000001</v>
      </c>
      <c r="O790" s="81">
        <f>14.7645 * CHOOSE(CONTROL!$C$32, $C$9, 100%, $E$9)</f>
        <v>14.7645</v>
      </c>
    </row>
    <row r="791" spans="1:15" ht="15">
      <c r="A791" s="16">
        <v>65289</v>
      </c>
      <c r="B791" s="80">
        <f>13.1306 * CHOOSE(CONTROL!$C$32, $C$9, 100%, $E$9)</f>
        <v>13.130599999999999</v>
      </c>
      <c r="C791" s="80">
        <f>13.1306 * CHOOSE(CONTROL!$C$32, $C$9, 100%, $E$9)</f>
        <v>13.130599999999999</v>
      </c>
      <c r="D791" s="80">
        <f>13.0739 * CHOOSE(CONTROL!$C$32, $C$9, 100%, $E$9)</f>
        <v>13.0739</v>
      </c>
      <c r="E791" s="81">
        <f>14.9621 * CHOOSE(CONTROL!$C$32, $C$9, 100%, $E$9)</f>
        <v>14.9621</v>
      </c>
      <c r="F791" s="81">
        <f>14.9621 * CHOOSE(CONTROL!$C$32, $C$9, 100%, $E$9)</f>
        <v>14.9621</v>
      </c>
      <c r="G791" s="81">
        <f>14.8923 * CHOOSE(CONTROL!$C$32, $C$9, 100%, $E$9)</f>
        <v>14.892300000000001</v>
      </c>
      <c r="H791" s="81">
        <f>27.4102 * CHOOSE(CONTROL!$C$32, $C$9, 100%, $E$9)</f>
        <v>27.4102</v>
      </c>
      <c r="I791" s="81">
        <f>27.3404 * CHOOSE(CONTROL!$C$32, $C$9, 100%, $E$9)</f>
        <v>27.340399999999999</v>
      </c>
      <c r="J791" s="81">
        <f>27.4102 * CHOOSE(CONTROL!$C$32, $C$9, 100%, $E$9)</f>
        <v>27.4102</v>
      </c>
      <c r="K791" s="81">
        <f>27.3404 * CHOOSE(CONTROL!$C$32, $C$9, 100%, $E$9)</f>
        <v>27.340399999999999</v>
      </c>
      <c r="L791" s="81">
        <f>14.9621 * CHOOSE(CONTROL!$C$32, $C$9, 100%, $E$9)</f>
        <v>14.9621</v>
      </c>
      <c r="M791" s="81">
        <f>14.8923 * CHOOSE(CONTROL!$C$32, $C$9, 100%, $E$9)</f>
        <v>14.892300000000001</v>
      </c>
      <c r="N791" s="81">
        <f>14.9621 * CHOOSE(CONTROL!$C$32, $C$9, 100%, $E$9)</f>
        <v>14.9621</v>
      </c>
      <c r="O791" s="81">
        <f>14.8923 * CHOOSE(CONTROL!$C$32, $C$9, 100%, $E$9)</f>
        <v>14.892300000000001</v>
      </c>
    </row>
    <row r="792" spans="1:15" ht="15">
      <c r="A792" s="16">
        <v>65320</v>
      </c>
      <c r="B792" s="80">
        <f>13.1336 * CHOOSE(CONTROL!$C$32, $C$9, 100%, $E$9)</f>
        <v>13.133599999999999</v>
      </c>
      <c r="C792" s="80">
        <f>13.1336 * CHOOSE(CONTROL!$C$32, $C$9, 100%, $E$9)</f>
        <v>13.133599999999999</v>
      </c>
      <c r="D792" s="80">
        <f>13.077 * CHOOSE(CONTROL!$C$32, $C$9, 100%, $E$9)</f>
        <v>13.077</v>
      </c>
      <c r="E792" s="81">
        <f>15.0192 * CHOOSE(CONTROL!$C$32, $C$9, 100%, $E$9)</f>
        <v>15.0192</v>
      </c>
      <c r="F792" s="81">
        <f>15.0192 * CHOOSE(CONTROL!$C$32, $C$9, 100%, $E$9)</f>
        <v>15.0192</v>
      </c>
      <c r="G792" s="81">
        <f>14.9494 * CHOOSE(CONTROL!$C$32, $C$9, 100%, $E$9)</f>
        <v>14.949400000000001</v>
      </c>
      <c r="H792" s="81">
        <f>27.4673 * CHOOSE(CONTROL!$C$32, $C$9, 100%, $E$9)</f>
        <v>27.467300000000002</v>
      </c>
      <c r="I792" s="81">
        <f>27.3975 * CHOOSE(CONTROL!$C$32, $C$9, 100%, $E$9)</f>
        <v>27.397500000000001</v>
      </c>
      <c r="J792" s="81">
        <f>27.4673 * CHOOSE(CONTROL!$C$32, $C$9, 100%, $E$9)</f>
        <v>27.467300000000002</v>
      </c>
      <c r="K792" s="81">
        <f>27.3975 * CHOOSE(CONTROL!$C$32, $C$9, 100%, $E$9)</f>
        <v>27.397500000000001</v>
      </c>
      <c r="L792" s="81">
        <f>15.0192 * CHOOSE(CONTROL!$C$32, $C$9, 100%, $E$9)</f>
        <v>15.0192</v>
      </c>
      <c r="M792" s="81">
        <f>14.9494 * CHOOSE(CONTROL!$C$32, $C$9, 100%, $E$9)</f>
        <v>14.949400000000001</v>
      </c>
      <c r="N792" s="81">
        <f>15.0192 * CHOOSE(CONTROL!$C$32, $C$9, 100%, $E$9)</f>
        <v>15.0192</v>
      </c>
      <c r="O792" s="81">
        <f>14.9494 * CHOOSE(CONTROL!$C$32, $C$9, 100%, $E$9)</f>
        <v>14.949400000000001</v>
      </c>
    </row>
    <row r="793" spans="1:15" ht="15">
      <c r="A793" s="16">
        <v>65350</v>
      </c>
      <c r="B793" s="80">
        <f>13.1336 * CHOOSE(CONTROL!$C$32, $C$9, 100%, $E$9)</f>
        <v>13.133599999999999</v>
      </c>
      <c r="C793" s="80">
        <f>13.1336 * CHOOSE(CONTROL!$C$32, $C$9, 100%, $E$9)</f>
        <v>13.133599999999999</v>
      </c>
      <c r="D793" s="80">
        <f>13.077 * CHOOSE(CONTROL!$C$32, $C$9, 100%, $E$9)</f>
        <v>13.077</v>
      </c>
      <c r="E793" s="81">
        <f>14.8817 * CHOOSE(CONTROL!$C$32, $C$9, 100%, $E$9)</f>
        <v>14.8817</v>
      </c>
      <c r="F793" s="81">
        <f>14.8817 * CHOOSE(CONTROL!$C$32, $C$9, 100%, $E$9)</f>
        <v>14.8817</v>
      </c>
      <c r="G793" s="81">
        <f>14.8119 * CHOOSE(CONTROL!$C$32, $C$9, 100%, $E$9)</f>
        <v>14.8119</v>
      </c>
      <c r="H793" s="81">
        <f>27.5246 * CHOOSE(CONTROL!$C$32, $C$9, 100%, $E$9)</f>
        <v>27.5246</v>
      </c>
      <c r="I793" s="81">
        <f>27.4547 * CHOOSE(CONTROL!$C$32, $C$9, 100%, $E$9)</f>
        <v>27.454699999999999</v>
      </c>
      <c r="J793" s="81">
        <f>27.5246 * CHOOSE(CONTROL!$C$32, $C$9, 100%, $E$9)</f>
        <v>27.5246</v>
      </c>
      <c r="K793" s="81">
        <f>27.4547 * CHOOSE(CONTROL!$C$32, $C$9, 100%, $E$9)</f>
        <v>27.454699999999999</v>
      </c>
      <c r="L793" s="81">
        <f>14.8817 * CHOOSE(CONTROL!$C$32, $C$9, 100%, $E$9)</f>
        <v>14.8817</v>
      </c>
      <c r="M793" s="81">
        <f>14.8119 * CHOOSE(CONTROL!$C$32, $C$9, 100%, $E$9)</f>
        <v>14.8119</v>
      </c>
      <c r="N793" s="81">
        <f>14.8817 * CHOOSE(CONTROL!$C$32, $C$9, 100%, $E$9)</f>
        <v>14.8817</v>
      </c>
      <c r="O793" s="81">
        <f>14.8119 * CHOOSE(CONTROL!$C$32, $C$9, 100%, $E$9)</f>
        <v>14.8119</v>
      </c>
    </row>
    <row r="794" spans="1:15" ht="15">
      <c r="A794" s="16">
        <v>65381</v>
      </c>
      <c r="B794" s="80">
        <f>13.1365 * CHOOSE(CONTROL!$C$32, $C$9, 100%, $E$9)</f>
        <v>13.1365</v>
      </c>
      <c r="C794" s="80">
        <f>13.1365 * CHOOSE(CONTROL!$C$32, $C$9, 100%, $E$9)</f>
        <v>13.1365</v>
      </c>
      <c r="D794" s="80">
        <f>13.0762 * CHOOSE(CONTROL!$C$32, $C$9, 100%, $E$9)</f>
        <v>13.0762</v>
      </c>
      <c r="E794" s="81">
        <f>14.9941 * CHOOSE(CONTROL!$C$32, $C$9, 100%, $E$9)</f>
        <v>14.9941</v>
      </c>
      <c r="F794" s="81">
        <f>14.9941 * CHOOSE(CONTROL!$C$32, $C$9, 100%, $E$9)</f>
        <v>14.9941</v>
      </c>
      <c r="G794" s="81">
        <f>14.9199 * CHOOSE(CONTROL!$C$32, $C$9, 100%, $E$9)</f>
        <v>14.9199</v>
      </c>
      <c r="H794" s="81">
        <f>27.3774 * CHOOSE(CONTROL!$C$32, $C$9, 100%, $E$9)</f>
        <v>27.377400000000002</v>
      </c>
      <c r="I794" s="81">
        <f>27.3032 * CHOOSE(CONTROL!$C$32, $C$9, 100%, $E$9)</f>
        <v>27.3032</v>
      </c>
      <c r="J794" s="81">
        <f>27.3774 * CHOOSE(CONTROL!$C$32, $C$9, 100%, $E$9)</f>
        <v>27.377400000000002</v>
      </c>
      <c r="K794" s="81">
        <f>27.3032 * CHOOSE(CONTROL!$C$32, $C$9, 100%, $E$9)</f>
        <v>27.3032</v>
      </c>
      <c r="L794" s="81">
        <f>14.9941 * CHOOSE(CONTROL!$C$32, $C$9, 100%, $E$9)</f>
        <v>14.9941</v>
      </c>
      <c r="M794" s="81">
        <f>14.9199 * CHOOSE(CONTROL!$C$32, $C$9, 100%, $E$9)</f>
        <v>14.9199</v>
      </c>
      <c r="N794" s="81">
        <f>14.9941 * CHOOSE(CONTROL!$C$32, $C$9, 100%, $E$9)</f>
        <v>14.9941</v>
      </c>
      <c r="O794" s="81">
        <f>14.9199 * CHOOSE(CONTROL!$C$32, $C$9, 100%, $E$9)</f>
        <v>14.9199</v>
      </c>
    </row>
    <row r="795" spans="1:15" ht="15">
      <c r="A795" s="16">
        <v>65412</v>
      </c>
      <c r="B795" s="80">
        <f>13.1334 * CHOOSE(CONTROL!$C$32, $C$9, 100%, $E$9)</f>
        <v>13.1334</v>
      </c>
      <c r="C795" s="80">
        <f>13.1334 * CHOOSE(CONTROL!$C$32, $C$9, 100%, $E$9)</f>
        <v>13.1334</v>
      </c>
      <c r="D795" s="80">
        <f>13.0732 * CHOOSE(CONTROL!$C$32, $C$9, 100%, $E$9)</f>
        <v>13.0732</v>
      </c>
      <c r="E795" s="81">
        <f>14.7271 * CHOOSE(CONTROL!$C$32, $C$9, 100%, $E$9)</f>
        <v>14.7271</v>
      </c>
      <c r="F795" s="81">
        <f>14.7271 * CHOOSE(CONTROL!$C$32, $C$9, 100%, $E$9)</f>
        <v>14.7271</v>
      </c>
      <c r="G795" s="81">
        <f>14.6529 * CHOOSE(CONTROL!$C$32, $C$9, 100%, $E$9)</f>
        <v>14.652900000000001</v>
      </c>
      <c r="H795" s="81">
        <f>27.4344 * CHOOSE(CONTROL!$C$32, $C$9, 100%, $E$9)</f>
        <v>27.4344</v>
      </c>
      <c r="I795" s="81">
        <f>27.3602 * CHOOSE(CONTROL!$C$32, $C$9, 100%, $E$9)</f>
        <v>27.360199999999999</v>
      </c>
      <c r="J795" s="81">
        <f>27.4344 * CHOOSE(CONTROL!$C$32, $C$9, 100%, $E$9)</f>
        <v>27.4344</v>
      </c>
      <c r="K795" s="81">
        <f>27.3602 * CHOOSE(CONTROL!$C$32, $C$9, 100%, $E$9)</f>
        <v>27.360199999999999</v>
      </c>
      <c r="L795" s="81">
        <f>14.7271 * CHOOSE(CONTROL!$C$32, $C$9, 100%, $E$9)</f>
        <v>14.7271</v>
      </c>
      <c r="M795" s="81">
        <f>14.6529 * CHOOSE(CONTROL!$C$32, $C$9, 100%, $E$9)</f>
        <v>14.652900000000001</v>
      </c>
      <c r="N795" s="81">
        <f>14.7271 * CHOOSE(CONTROL!$C$32, $C$9, 100%, $E$9)</f>
        <v>14.7271</v>
      </c>
      <c r="O795" s="81">
        <f>14.6529 * CHOOSE(CONTROL!$C$32, $C$9, 100%, $E$9)</f>
        <v>14.652900000000001</v>
      </c>
    </row>
    <row r="796" spans="1:15" ht="15">
      <c r="A796" s="16">
        <v>65440</v>
      </c>
      <c r="B796" s="80">
        <f>13.1304 * CHOOSE(CONTROL!$C$32, $C$9, 100%, $E$9)</f>
        <v>13.1304</v>
      </c>
      <c r="C796" s="80">
        <f>13.1304 * CHOOSE(CONTROL!$C$32, $C$9, 100%, $E$9)</f>
        <v>13.1304</v>
      </c>
      <c r="D796" s="80">
        <f>13.0702 * CHOOSE(CONTROL!$C$32, $C$9, 100%, $E$9)</f>
        <v>13.0702</v>
      </c>
      <c r="E796" s="81">
        <f>14.9338 * CHOOSE(CONTROL!$C$32, $C$9, 100%, $E$9)</f>
        <v>14.9338</v>
      </c>
      <c r="F796" s="81">
        <f>14.9338 * CHOOSE(CONTROL!$C$32, $C$9, 100%, $E$9)</f>
        <v>14.9338</v>
      </c>
      <c r="G796" s="81">
        <f>14.8596 * CHOOSE(CONTROL!$C$32, $C$9, 100%, $E$9)</f>
        <v>14.8596</v>
      </c>
      <c r="H796" s="81">
        <f>27.4916 * CHOOSE(CONTROL!$C$32, $C$9, 100%, $E$9)</f>
        <v>27.491599999999998</v>
      </c>
      <c r="I796" s="81">
        <f>27.4173 * CHOOSE(CONTROL!$C$32, $C$9, 100%, $E$9)</f>
        <v>27.417300000000001</v>
      </c>
      <c r="J796" s="81">
        <f>27.4916 * CHOOSE(CONTROL!$C$32, $C$9, 100%, $E$9)</f>
        <v>27.491599999999998</v>
      </c>
      <c r="K796" s="81">
        <f>27.4173 * CHOOSE(CONTROL!$C$32, $C$9, 100%, $E$9)</f>
        <v>27.417300000000001</v>
      </c>
      <c r="L796" s="81">
        <f>14.9338 * CHOOSE(CONTROL!$C$32, $C$9, 100%, $E$9)</f>
        <v>14.9338</v>
      </c>
      <c r="M796" s="81">
        <f>14.8596 * CHOOSE(CONTROL!$C$32, $C$9, 100%, $E$9)</f>
        <v>14.8596</v>
      </c>
      <c r="N796" s="81">
        <f>14.9338 * CHOOSE(CONTROL!$C$32, $C$9, 100%, $E$9)</f>
        <v>14.9338</v>
      </c>
      <c r="O796" s="81">
        <f>14.8596 * CHOOSE(CONTROL!$C$32, $C$9, 100%, $E$9)</f>
        <v>14.8596</v>
      </c>
    </row>
    <row r="797" spans="1:15" ht="15">
      <c r="A797" s="16">
        <v>65471</v>
      </c>
      <c r="B797" s="80">
        <f>13.1357 * CHOOSE(CONTROL!$C$32, $C$9, 100%, $E$9)</f>
        <v>13.1357</v>
      </c>
      <c r="C797" s="80">
        <f>13.1357 * CHOOSE(CONTROL!$C$32, $C$9, 100%, $E$9)</f>
        <v>13.1357</v>
      </c>
      <c r="D797" s="80">
        <f>13.0755 * CHOOSE(CONTROL!$C$32, $C$9, 100%, $E$9)</f>
        <v>13.0755</v>
      </c>
      <c r="E797" s="81">
        <f>15.1538 * CHOOSE(CONTROL!$C$32, $C$9, 100%, $E$9)</f>
        <v>15.1538</v>
      </c>
      <c r="F797" s="81">
        <f>15.1538 * CHOOSE(CONTROL!$C$32, $C$9, 100%, $E$9)</f>
        <v>15.1538</v>
      </c>
      <c r="G797" s="81">
        <f>15.0796 * CHOOSE(CONTROL!$C$32, $C$9, 100%, $E$9)</f>
        <v>15.079599999999999</v>
      </c>
      <c r="H797" s="81">
        <f>27.5488 * CHOOSE(CONTROL!$C$32, $C$9, 100%, $E$9)</f>
        <v>27.5488</v>
      </c>
      <c r="I797" s="81">
        <f>27.4746 * CHOOSE(CONTROL!$C$32, $C$9, 100%, $E$9)</f>
        <v>27.474599999999999</v>
      </c>
      <c r="J797" s="81">
        <f>27.5488 * CHOOSE(CONTROL!$C$32, $C$9, 100%, $E$9)</f>
        <v>27.5488</v>
      </c>
      <c r="K797" s="81">
        <f>27.4746 * CHOOSE(CONTROL!$C$32, $C$9, 100%, $E$9)</f>
        <v>27.474599999999999</v>
      </c>
      <c r="L797" s="81">
        <f>15.1538 * CHOOSE(CONTROL!$C$32, $C$9, 100%, $E$9)</f>
        <v>15.1538</v>
      </c>
      <c r="M797" s="81">
        <f>15.0796 * CHOOSE(CONTROL!$C$32, $C$9, 100%, $E$9)</f>
        <v>15.079599999999999</v>
      </c>
      <c r="N797" s="81">
        <f>15.1538 * CHOOSE(CONTROL!$C$32, $C$9, 100%, $E$9)</f>
        <v>15.1538</v>
      </c>
      <c r="O797" s="81">
        <f>15.0796 * CHOOSE(CONTROL!$C$32, $C$9, 100%, $E$9)</f>
        <v>15.079599999999999</v>
      </c>
    </row>
    <row r="798" spans="1:15" ht="15">
      <c r="A798" s="16">
        <v>65501</v>
      </c>
      <c r="B798" s="80">
        <f>13.1357 * CHOOSE(CONTROL!$C$32, $C$9, 100%, $E$9)</f>
        <v>13.1357</v>
      </c>
      <c r="C798" s="80">
        <f>13.1357 * CHOOSE(CONTROL!$C$32, $C$9, 100%, $E$9)</f>
        <v>13.1357</v>
      </c>
      <c r="D798" s="80">
        <f>13.0479 * CHOOSE(CONTROL!$C$32, $C$9, 100%, $E$9)</f>
        <v>13.0479</v>
      </c>
      <c r="E798" s="81">
        <f>15.2378 * CHOOSE(CONTROL!$C$32, $C$9, 100%, $E$9)</f>
        <v>15.2378</v>
      </c>
      <c r="F798" s="81">
        <f>15.2378 * CHOOSE(CONTROL!$C$32, $C$9, 100%, $E$9)</f>
        <v>15.2378</v>
      </c>
      <c r="G798" s="81">
        <f>15.1305 * CHOOSE(CONTROL!$C$32, $C$9, 100%, $E$9)</f>
        <v>15.1305</v>
      </c>
      <c r="H798" s="81">
        <f>27.6062 * CHOOSE(CONTROL!$C$32, $C$9, 100%, $E$9)</f>
        <v>27.606200000000001</v>
      </c>
      <c r="I798" s="81">
        <f>27.4989 * CHOOSE(CONTROL!$C$32, $C$9, 100%, $E$9)</f>
        <v>27.498899999999999</v>
      </c>
      <c r="J798" s="81">
        <f>27.6062 * CHOOSE(CONTROL!$C$32, $C$9, 100%, $E$9)</f>
        <v>27.606200000000001</v>
      </c>
      <c r="K798" s="81">
        <f>27.4989 * CHOOSE(CONTROL!$C$32, $C$9, 100%, $E$9)</f>
        <v>27.498899999999999</v>
      </c>
      <c r="L798" s="81">
        <f>15.2378 * CHOOSE(CONTROL!$C$32, $C$9, 100%, $E$9)</f>
        <v>15.2378</v>
      </c>
      <c r="M798" s="81">
        <f>15.1305 * CHOOSE(CONTROL!$C$32, $C$9, 100%, $E$9)</f>
        <v>15.1305</v>
      </c>
      <c r="N798" s="81">
        <f>15.2378 * CHOOSE(CONTROL!$C$32, $C$9, 100%, $E$9)</f>
        <v>15.2378</v>
      </c>
      <c r="O798" s="81">
        <f>15.1305 * CHOOSE(CONTROL!$C$32, $C$9, 100%, $E$9)</f>
        <v>15.1305</v>
      </c>
    </row>
    <row r="799" spans="1:15" ht="15">
      <c r="A799" s="16">
        <v>65532</v>
      </c>
      <c r="B799" s="80">
        <f>13.1418 * CHOOSE(CONTROL!$C$32, $C$9, 100%, $E$9)</f>
        <v>13.1418</v>
      </c>
      <c r="C799" s="80">
        <f>13.1418 * CHOOSE(CONTROL!$C$32, $C$9, 100%, $E$9)</f>
        <v>13.1418</v>
      </c>
      <c r="D799" s="80">
        <f>13.054 * CHOOSE(CONTROL!$C$32, $C$9, 100%, $E$9)</f>
        <v>13.054</v>
      </c>
      <c r="E799" s="81">
        <f>15.158 * CHOOSE(CONTROL!$C$32, $C$9, 100%, $E$9)</f>
        <v>15.157999999999999</v>
      </c>
      <c r="F799" s="81">
        <f>15.158 * CHOOSE(CONTROL!$C$32, $C$9, 100%, $E$9)</f>
        <v>15.157999999999999</v>
      </c>
      <c r="G799" s="81">
        <f>15.0506 * CHOOSE(CONTROL!$C$32, $C$9, 100%, $E$9)</f>
        <v>15.050599999999999</v>
      </c>
      <c r="H799" s="81">
        <f>27.6637 * CHOOSE(CONTROL!$C$32, $C$9, 100%, $E$9)</f>
        <v>27.663699999999999</v>
      </c>
      <c r="I799" s="81">
        <f>27.5564 * CHOOSE(CONTROL!$C$32, $C$9, 100%, $E$9)</f>
        <v>27.5564</v>
      </c>
      <c r="J799" s="81">
        <f>27.6637 * CHOOSE(CONTROL!$C$32, $C$9, 100%, $E$9)</f>
        <v>27.663699999999999</v>
      </c>
      <c r="K799" s="81">
        <f>27.5564 * CHOOSE(CONTROL!$C$32, $C$9, 100%, $E$9)</f>
        <v>27.5564</v>
      </c>
      <c r="L799" s="81">
        <f>15.158 * CHOOSE(CONTROL!$C$32, $C$9, 100%, $E$9)</f>
        <v>15.157999999999999</v>
      </c>
      <c r="M799" s="81">
        <f>15.0506 * CHOOSE(CONTROL!$C$32, $C$9, 100%, $E$9)</f>
        <v>15.050599999999999</v>
      </c>
      <c r="N799" s="81">
        <f>15.158 * CHOOSE(CONTROL!$C$32, $C$9, 100%, $E$9)</f>
        <v>15.157999999999999</v>
      </c>
      <c r="O799" s="81">
        <f>15.0506 * CHOOSE(CONTROL!$C$32, $C$9, 100%, $E$9)</f>
        <v>15.050599999999999</v>
      </c>
    </row>
    <row r="800" spans="1:15" ht="15">
      <c r="A800" s="16">
        <v>65562</v>
      </c>
      <c r="B800" s="80">
        <f>13.3417 * CHOOSE(CONTROL!$C$32, $C$9, 100%, $E$9)</f>
        <v>13.341699999999999</v>
      </c>
      <c r="C800" s="80">
        <f>13.3417 * CHOOSE(CONTROL!$C$32, $C$9, 100%, $E$9)</f>
        <v>13.341699999999999</v>
      </c>
      <c r="D800" s="80">
        <f>13.2539 * CHOOSE(CONTROL!$C$32, $C$9, 100%, $E$9)</f>
        <v>13.2539</v>
      </c>
      <c r="E800" s="81">
        <f>15.3998 * CHOOSE(CONTROL!$C$32, $C$9, 100%, $E$9)</f>
        <v>15.399800000000001</v>
      </c>
      <c r="F800" s="81">
        <f>15.3998 * CHOOSE(CONTROL!$C$32, $C$9, 100%, $E$9)</f>
        <v>15.399800000000001</v>
      </c>
      <c r="G800" s="81">
        <f>15.2924 * CHOOSE(CONTROL!$C$32, $C$9, 100%, $E$9)</f>
        <v>15.292400000000001</v>
      </c>
      <c r="H800" s="81">
        <f>27.7214 * CHOOSE(CONTROL!$C$32, $C$9, 100%, $E$9)</f>
        <v>27.721399999999999</v>
      </c>
      <c r="I800" s="81">
        <f>27.614 * CHOOSE(CONTROL!$C$32, $C$9, 100%, $E$9)</f>
        <v>27.614000000000001</v>
      </c>
      <c r="J800" s="81">
        <f>27.7214 * CHOOSE(CONTROL!$C$32, $C$9, 100%, $E$9)</f>
        <v>27.721399999999999</v>
      </c>
      <c r="K800" s="81">
        <f>27.614 * CHOOSE(CONTROL!$C$32, $C$9, 100%, $E$9)</f>
        <v>27.614000000000001</v>
      </c>
      <c r="L800" s="81">
        <f>15.3998 * CHOOSE(CONTROL!$C$32, $C$9, 100%, $E$9)</f>
        <v>15.399800000000001</v>
      </c>
      <c r="M800" s="81">
        <f>15.2924 * CHOOSE(CONTROL!$C$32, $C$9, 100%, $E$9)</f>
        <v>15.292400000000001</v>
      </c>
      <c r="N800" s="81">
        <f>15.3998 * CHOOSE(CONTROL!$C$32, $C$9, 100%, $E$9)</f>
        <v>15.399800000000001</v>
      </c>
      <c r="O800" s="81">
        <f>15.2924 * CHOOSE(CONTROL!$C$32, $C$9, 100%, $E$9)</f>
        <v>15.292400000000001</v>
      </c>
    </row>
    <row r="801" spans="1:15" ht="15">
      <c r="A801" s="16">
        <v>65593</v>
      </c>
      <c r="B801" s="80">
        <f>13.3484 * CHOOSE(CONTROL!$C$32, $C$9, 100%, $E$9)</f>
        <v>13.3484</v>
      </c>
      <c r="C801" s="80">
        <f>13.3484 * CHOOSE(CONTROL!$C$32, $C$9, 100%, $E$9)</f>
        <v>13.3484</v>
      </c>
      <c r="D801" s="80">
        <f>13.2606 * CHOOSE(CONTROL!$C$32, $C$9, 100%, $E$9)</f>
        <v>13.2606</v>
      </c>
      <c r="E801" s="81">
        <f>15.1522 * CHOOSE(CONTROL!$C$32, $C$9, 100%, $E$9)</f>
        <v>15.152200000000001</v>
      </c>
      <c r="F801" s="81">
        <f>15.1522 * CHOOSE(CONTROL!$C$32, $C$9, 100%, $E$9)</f>
        <v>15.152200000000001</v>
      </c>
      <c r="G801" s="81">
        <f>15.0448 * CHOOSE(CONTROL!$C$32, $C$9, 100%, $E$9)</f>
        <v>15.0448</v>
      </c>
      <c r="H801" s="81">
        <f>27.7791 * CHOOSE(CONTROL!$C$32, $C$9, 100%, $E$9)</f>
        <v>27.7791</v>
      </c>
      <c r="I801" s="81">
        <f>27.6718 * CHOOSE(CONTROL!$C$32, $C$9, 100%, $E$9)</f>
        <v>27.671800000000001</v>
      </c>
      <c r="J801" s="81">
        <f>27.7791 * CHOOSE(CONTROL!$C$32, $C$9, 100%, $E$9)</f>
        <v>27.7791</v>
      </c>
      <c r="K801" s="81">
        <f>27.6718 * CHOOSE(CONTROL!$C$32, $C$9, 100%, $E$9)</f>
        <v>27.671800000000001</v>
      </c>
      <c r="L801" s="81">
        <f>15.1522 * CHOOSE(CONTROL!$C$32, $C$9, 100%, $E$9)</f>
        <v>15.152200000000001</v>
      </c>
      <c r="M801" s="81">
        <f>15.0448 * CHOOSE(CONTROL!$C$32, $C$9, 100%, $E$9)</f>
        <v>15.0448</v>
      </c>
      <c r="N801" s="81">
        <f>15.1522 * CHOOSE(CONTROL!$C$32, $C$9, 100%, $E$9)</f>
        <v>15.152200000000001</v>
      </c>
      <c r="O801" s="81">
        <f>15.0448 * CHOOSE(CONTROL!$C$32, $C$9, 100%, $E$9)</f>
        <v>15.0448</v>
      </c>
    </row>
    <row r="802" spans="1:15" ht="15">
      <c r="A802" s="16">
        <v>65624</v>
      </c>
      <c r="B802" s="80">
        <f>13.3454 * CHOOSE(CONTROL!$C$32, $C$9, 100%, $E$9)</f>
        <v>13.3454</v>
      </c>
      <c r="C802" s="80">
        <f>13.3454 * CHOOSE(CONTROL!$C$32, $C$9, 100%, $E$9)</f>
        <v>13.3454</v>
      </c>
      <c r="D802" s="80">
        <f>13.2576 * CHOOSE(CONTROL!$C$32, $C$9, 100%, $E$9)</f>
        <v>13.2576</v>
      </c>
      <c r="E802" s="81">
        <f>15.1221 * CHOOSE(CONTROL!$C$32, $C$9, 100%, $E$9)</f>
        <v>15.1221</v>
      </c>
      <c r="F802" s="81">
        <f>15.1221 * CHOOSE(CONTROL!$C$32, $C$9, 100%, $E$9)</f>
        <v>15.1221</v>
      </c>
      <c r="G802" s="81">
        <f>15.0147 * CHOOSE(CONTROL!$C$32, $C$9, 100%, $E$9)</f>
        <v>15.014699999999999</v>
      </c>
      <c r="H802" s="81">
        <f>27.837 * CHOOSE(CONTROL!$C$32, $C$9, 100%, $E$9)</f>
        <v>27.837</v>
      </c>
      <c r="I802" s="81">
        <f>27.7296 * CHOOSE(CONTROL!$C$32, $C$9, 100%, $E$9)</f>
        <v>27.729600000000001</v>
      </c>
      <c r="J802" s="81">
        <f>27.837 * CHOOSE(CONTROL!$C$32, $C$9, 100%, $E$9)</f>
        <v>27.837</v>
      </c>
      <c r="K802" s="81">
        <f>27.7296 * CHOOSE(CONTROL!$C$32, $C$9, 100%, $E$9)</f>
        <v>27.729600000000001</v>
      </c>
      <c r="L802" s="81">
        <f>15.1221 * CHOOSE(CONTROL!$C$32, $C$9, 100%, $E$9)</f>
        <v>15.1221</v>
      </c>
      <c r="M802" s="81">
        <f>15.0147 * CHOOSE(CONTROL!$C$32, $C$9, 100%, $E$9)</f>
        <v>15.014699999999999</v>
      </c>
      <c r="N802" s="81">
        <f>15.1221 * CHOOSE(CONTROL!$C$32, $C$9, 100%, $E$9)</f>
        <v>15.1221</v>
      </c>
      <c r="O802" s="81">
        <f>15.0147 * CHOOSE(CONTROL!$C$32, $C$9, 100%, $E$9)</f>
        <v>15.014699999999999</v>
      </c>
    </row>
    <row r="803" spans="1:15" ht="15">
      <c r="A803" s="16">
        <v>65654</v>
      </c>
      <c r="B803" s="80">
        <f>13.3705 * CHOOSE(CONTROL!$C$32, $C$9, 100%, $E$9)</f>
        <v>13.3705</v>
      </c>
      <c r="C803" s="80">
        <f>13.3705 * CHOOSE(CONTROL!$C$32, $C$9, 100%, $E$9)</f>
        <v>13.3705</v>
      </c>
      <c r="D803" s="80">
        <f>13.3103 * CHOOSE(CONTROL!$C$32, $C$9, 100%, $E$9)</f>
        <v>13.3103</v>
      </c>
      <c r="E803" s="81">
        <f>15.2207 * CHOOSE(CONTROL!$C$32, $C$9, 100%, $E$9)</f>
        <v>15.220700000000001</v>
      </c>
      <c r="F803" s="81">
        <f>15.2207 * CHOOSE(CONTROL!$C$32, $C$9, 100%, $E$9)</f>
        <v>15.220700000000001</v>
      </c>
      <c r="G803" s="81">
        <f>15.1465 * CHOOSE(CONTROL!$C$32, $C$9, 100%, $E$9)</f>
        <v>15.1465</v>
      </c>
      <c r="H803" s="81">
        <f>27.895 * CHOOSE(CONTROL!$C$32, $C$9, 100%, $E$9)</f>
        <v>27.895</v>
      </c>
      <c r="I803" s="81">
        <f>27.8208 * CHOOSE(CONTROL!$C$32, $C$9, 100%, $E$9)</f>
        <v>27.820799999999998</v>
      </c>
      <c r="J803" s="81">
        <f>27.895 * CHOOSE(CONTROL!$C$32, $C$9, 100%, $E$9)</f>
        <v>27.895</v>
      </c>
      <c r="K803" s="81">
        <f>27.8208 * CHOOSE(CONTROL!$C$32, $C$9, 100%, $E$9)</f>
        <v>27.820799999999998</v>
      </c>
      <c r="L803" s="81">
        <f>15.2207 * CHOOSE(CONTROL!$C$32, $C$9, 100%, $E$9)</f>
        <v>15.220700000000001</v>
      </c>
      <c r="M803" s="81">
        <f>15.1465 * CHOOSE(CONTROL!$C$32, $C$9, 100%, $E$9)</f>
        <v>15.1465</v>
      </c>
      <c r="N803" s="81">
        <f>15.2207 * CHOOSE(CONTROL!$C$32, $C$9, 100%, $E$9)</f>
        <v>15.220700000000001</v>
      </c>
      <c r="O803" s="81">
        <f>15.1465 * CHOOSE(CONTROL!$C$32, $C$9, 100%, $E$9)</f>
        <v>15.1465</v>
      </c>
    </row>
    <row r="804" spans="1:15" ht="15">
      <c r="A804" s="16">
        <v>65685</v>
      </c>
      <c r="B804" s="80">
        <f>13.3736 * CHOOSE(CONTROL!$C$32, $C$9, 100%, $E$9)</f>
        <v>13.3736</v>
      </c>
      <c r="C804" s="80">
        <f>13.3736 * CHOOSE(CONTROL!$C$32, $C$9, 100%, $E$9)</f>
        <v>13.3736</v>
      </c>
      <c r="D804" s="80">
        <f>13.3134 * CHOOSE(CONTROL!$C$32, $C$9, 100%, $E$9)</f>
        <v>13.3134</v>
      </c>
      <c r="E804" s="81">
        <f>15.2789 * CHOOSE(CONTROL!$C$32, $C$9, 100%, $E$9)</f>
        <v>15.2789</v>
      </c>
      <c r="F804" s="81">
        <f>15.2789 * CHOOSE(CONTROL!$C$32, $C$9, 100%, $E$9)</f>
        <v>15.2789</v>
      </c>
      <c r="G804" s="81">
        <f>15.2047 * CHOOSE(CONTROL!$C$32, $C$9, 100%, $E$9)</f>
        <v>15.204700000000001</v>
      </c>
      <c r="H804" s="81">
        <f>27.9531 * CHOOSE(CONTROL!$C$32, $C$9, 100%, $E$9)</f>
        <v>27.953099999999999</v>
      </c>
      <c r="I804" s="81">
        <f>27.8789 * CHOOSE(CONTROL!$C$32, $C$9, 100%, $E$9)</f>
        <v>27.878900000000002</v>
      </c>
      <c r="J804" s="81">
        <f>27.9531 * CHOOSE(CONTROL!$C$32, $C$9, 100%, $E$9)</f>
        <v>27.953099999999999</v>
      </c>
      <c r="K804" s="81">
        <f>27.8789 * CHOOSE(CONTROL!$C$32, $C$9, 100%, $E$9)</f>
        <v>27.878900000000002</v>
      </c>
      <c r="L804" s="81">
        <f>15.2789 * CHOOSE(CONTROL!$C$32, $C$9, 100%, $E$9)</f>
        <v>15.2789</v>
      </c>
      <c r="M804" s="81">
        <f>15.2047 * CHOOSE(CONTROL!$C$32, $C$9, 100%, $E$9)</f>
        <v>15.204700000000001</v>
      </c>
      <c r="N804" s="81">
        <f>15.2789 * CHOOSE(CONTROL!$C$32, $C$9, 100%, $E$9)</f>
        <v>15.2789</v>
      </c>
      <c r="O804" s="81">
        <f>15.2047 * CHOOSE(CONTROL!$C$32, $C$9, 100%, $E$9)</f>
        <v>15.204700000000001</v>
      </c>
    </row>
    <row r="805" spans="1:15" ht="15">
      <c r="A805" s="16">
        <v>65715</v>
      </c>
      <c r="B805" s="80">
        <f>13.3736 * CHOOSE(CONTROL!$C$32, $C$9, 100%, $E$9)</f>
        <v>13.3736</v>
      </c>
      <c r="C805" s="80">
        <f>13.3736 * CHOOSE(CONTROL!$C$32, $C$9, 100%, $E$9)</f>
        <v>13.3736</v>
      </c>
      <c r="D805" s="80">
        <f>13.3134 * CHOOSE(CONTROL!$C$32, $C$9, 100%, $E$9)</f>
        <v>13.3134</v>
      </c>
      <c r="E805" s="81">
        <f>15.1388 * CHOOSE(CONTROL!$C$32, $C$9, 100%, $E$9)</f>
        <v>15.1388</v>
      </c>
      <c r="F805" s="81">
        <f>15.1388 * CHOOSE(CONTROL!$C$32, $C$9, 100%, $E$9)</f>
        <v>15.1388</v>
      </c>
      <c r="G805" s="81">
        <f>15.0646 * CHOOSE(CONTROL!$C$32, $C$9, 100%, $E$9)</f>
        <v>15.0646</v>
      </c>
      <c r="H805" s="81">
        <f>28.0113 * CHOOSE(CONTROL!$C$32, $C$9, 100%, $E$9)</f>
        <v>28.011299999999999</v>
      </c>
      <c r="I805" s="81">
        <f>27.9371 * CHOOSE(CONTROL!$C$32, $C$9, 100%, $E$9)</f>
        <v>27.937100000000001</v>
      </c>
      <c r="J805" s="81">
        <f>28.0113 * CHOOSE(CONTROL!$C$32, $C$9, 100%, $E$9)</f>
        <v>28.011299999999999</v>
      </c>
      <c r="K805" s="81">
        <f>27.9371 * CHOOSE(CONTROL!$C$32, $C$9, 100%, $E$9)</f>
        <v>27.937100000000001</v>
      </c>
      <c r="L805" s="81">
        <f>15.1388 * CHOOSE(CONTROL!$C$32, $C$9, 100%, $E$9)</f>
        <v>15.1388</v>
      </c>
      <c r="M805" s="81">
        <f>15.0646 * CHOOSE(CONTROL!$C$32, $C$9, 100%, $E$9)</f>
        <v>15.0646</v>
      </c>
      <c r="N805" s="81">
        <f>15.1388 * CHOOSE(CONTROL!$C$32, $C$9, 100%, $E$9)</f>
        <v>15.1388</v>
      </c>
      <c r="O805" s="81">
        <f>15.0646 * CHOOSE(CONTROL!$C$32, $C$9, 100%, $E$9)</f>
        <v>15.0646</v>
      </c>
    </row>
    <row r="806" spans="1:15" ht="15">
      <c r="A806" s="16">
        <v>65746</v>
      </c>
      <c r="B806" s="80">
        <f>13.372 * CHOOSE(CONTROL!$C$32, $C$9, 100%, $E$9)</f>
        <v>13.372</v>
      </c>
      <c r="C806" s="80">
        <f>13.372 * CHOOSE(CONTROL!$C$32, $C$9, 100%, $E$9)</f>
        <v>13.372</v>
      </c>
      <c r="D806" s="80">
        <f>13.3083 * CHOOSE(CONTROL!$C$32, $C$9, 100%, $E$9)</f>
        <v>13.308299999999999</v>
      </c>
      <c r="E806" s="81">
        <f>15.2488 * CHOOSE(CONTROL!$C$32, $C$9, 100%, $E$9)</f>
        <v>15.248799999999999</v>
      </c>
      <c r="F806" s="81">
        <f>15.2488 * CHOOSE(CONTROL!$C$32, $C$9, 100%, $E$9)</f>
        <v>15.248799999999999</v>
      </c>
      <c r="G806" s="81">
        <f>15.1702 * CHOOSE(CONTROL!$C$32, $C$9, 100%, $E$9)</f>
        <v>15.170199999999999</v>
      </c>
      <c r="H806" s="81">
        <f>27.8531 * CHOOSE(CONTROL!$C$32, $C$9, 100%, $E$9)</f>
        <v>27.853100000000001</v>
      </c>
      <c r="I806" s="81">
        <f>27.7746 * CHOOSE(CONTROL!$C$32, $C$9, 100%, $E$9)</f>
        <v>27.7746</v>
      </c>
      <c r="J806" s="81">
        <f>27.8531 * CHOOSE(CONTROL!$C$32, $C$9, 100%, $E$9)</f>
        <v>27.853100000000001</v>
      </c>
      <c r="K806" s="81">
        <f>27.7746 * CHOOSE(CONTROL!$C$32, $C$9, 100%, $E$9)</f>
        <v>27.7746</v>
      </c>
      <c r="L806" s="81">
        <f>15.2488 * CHOOSE(CONTROL!$C$32, $C$9, 100%, $E$9)</f>
        <v>15.248799999999999</v>
      </c>
      <c r="M806" s="81">
        <f>15.1702 * CHOOSE(CONTROL!$C$32, $C$9, 100%, $E$9)</f>
        <v>15.170199999999999</v>
      </c>
      <c r="N806" s="81">
        <f>15.2488 * CHOOSE(CONTROL!$C$32, $C$9, 100%, $E$9)</f>
        <v>15.248799999999999</v>
      </c>
      <c r="O806" s="81">
        <f>15.1702 * CHOOSE(CONTROL!$C$32, $C$9, 100%, $E$9)</f>
        <v>15.170199999999999</v>
      </c>
    </row>
    <row r="807" spans="1:15" ht="15">
      <c r="A807" s="16">
        <v>65777</v>
      </c>
      <c r="B807" s="80">
        <f>13.369 * CHOOSE(CONTROL!$C$32, $C$9, 100%, $E$9)</f>
        <v>13.369</v>
      </c>
      <c r="C807" s="80">
        <f>13.369 * CHOOSE(CONTROL!$C$32, $C$9, 100%, $E$9)</f>
        <v>13.369</v>
      </c>
      <c r="D807" s="80">
        <f>13.3052 * CHOOSE(CONTROL!$C$32, $C$9, 100%, $E$9)</f>
        <v>13.305199999999999</v>
      </c>
      <c r="E807" s="81">
        <f>14.9769 * CHOOSE(CONTROL!$C$32, $C$9, 100%, $E$9)</f>
        <v>14.976900000000001</v>
      </c>
      <c r="F807" s="81">
        <f>14.9769 * CHOOSE(CONTROL!$C$32, $C$9, 100%, $E$9)</f>
        <v>14.976900000000001</v>
      </c>
      <c r="G807" s="81">
        <f>14.8983 * CHOOSE(CONTROL!$C$32, $C$9, 100%, $E$9)</f>
        <v>14.898300000000001</v>
      </c>
      <c r="H807" s="81">
        <f>27.9112 * CHOOSE(CONTROL!$C$32, $C$9, 100%, $E$9)</f>
        <v>27.911200000000001</v>
      </c>
      <c r="I807" s="81">
        <f>27.8326 * CHOOSE(CONTROL!$C$32, $C$9, 100%, $E$9)</f>
        <v>27.832599999999999</v>
      </c>
      <c r="J807" s="81">
        <f>27.9112 * CHOOSE(CONTROL!$C$32, $C$9, 100%, $E$9)</f>
        <v>27.911200000000001</v>
      </c>
      <c r="K807" s="81">
        <f>27.8326 * CHOOSE(CONTROL!$C$32, $C$9, 100%, $E$9)</f>
        <v>27.832599999999999</v>
      </c>
      <c r="L807" s="81">
        <f>14.9769 * CHOOSE(CONTROL!$C$32, $C$9, 100%, $E$9)</f>
        <v>14.976900000000001</v>
      </c>
      <c r="M807" s="81">
        <f>14.8983 * CHOOSE(CONTROL!$C$32, $C$9, 100%, $E$9)</f>
        <v>14.898300000000001</v>
      </c>
      <c r="N807" s="81">
        <f>14.9769 * CHOOSE(CONTROL!$C$32, $C$9, 100%, $E$9)</f>
        <v>14.976900000000001</v>
      </c>
      <c r="O807" s="81">
        <f>14.8983 * CHOOSE(CONTROL!$C$32, $C$9, 100%, $E$9)</f>
        <v>14.898300000000001</v>
      </c>
    </row>
    <row r="808" spans="1:15" ht="15">
      <c r="A808" s="16">
        <v>65806</v>
      </c>
      <c r="B808" s="80">
        <f>13.3659 * CHOOSE(CONTROL!$C$32, $C$9, 100%, $E$9)</f>
        <v>13.3659</v>
      </c>
      <c r="C808" s="80">
        <f>13.3659 * CHOOSE(CONTROL!$C$32, $C$9, 100%, $E$9)</f>
        <v>13.3659</v>
      </c>
      <c r="D808" s="80">
        <f>13.3022 * CHOOSE(CONTROL!$C$32, $C$9, 100%, $E$9)</f>
        <v>13.302199999999999</v>
      </c>
      <c r="E808" s="81">
        <f>15.1874 * CHOOSE(CONTROL!$C$32, $C$9, 100%, $E$9)</f>
        <v>15.1874</v>
      </c>
      <c r="F808" s="81">
        <f>15.1874 * CHOOSE(CONTROL!$C$32, $C$9, 100%, $E$9)</f>
        <v>15.1874</v>
      </c>
      <c r="G808" s="81">
        <f>15.1089 * CHOOSE(CONTROL!$C$32, $C$9, 100%, $E$9)</f>
        <v>15.1089</v>
      </c>
      <c r="H808" s="81">
        <f>27.9693 * CHOOSE(CONTROL!$C$32, $C$9, 100%, $E$9)</f>
        <v>27.9693</v>
      </c>
      <c r="I808" s="81">
        <f>27.8907 * CHOOSE(CONTROL!$C$32, $C$9, 100%, $E$9)</f>
        <v>27.890699999999999</v>
      </c>
      <c r="J808" s="81">
        <f>27.9693 * CHOOSE(CONTROL!$C$32, $C$9, 100%, $E$9)</f>
        <v>27.9693</v>
      </c>
      <c r="K808" s="81">
        <f>27.8907 * CHOOSE(CONTROL!$C$32, $C$9, 100%, $E$9)</f>
        <v>27.890699999999999</v>
      </c>
      <c r="L808" s="81">
        <f>15.1874 * CHOOSE(CONTROL!$C$32, $C$9, 100%, $E$9)</f>
        <v>15.1874</v>
      </c>
      <c r="M808" s="81">
        <f>15.1089 * CHOOSE(CONTROL!$C$32, $C$9, 100%, $E$9)</f>
        <v>15.1089</v>
      </c>
      <c r="N808" s="81">
        <f>15.1874 * CHOOSE(CONTROL!$C$32, $C$9, 100%, $E$9)</f>
        <v>15.1874</v>
      </c>
      <c r="O808" s="81">
        <f>15.1089 * CHOOSE(CONTROL!$C$32, $C$9, 100%, $E$9)</f>
        <v>15.1089</v>
      </c>
    </row>
    <row r="809" spans="1:15" ht="15">
      <c r="A809" s="16">
        <v>65837</v>
      </c>
      <c r="B809" s="80">
        <f>13.3715 * CHOOSE(CONTROL!$C$32, $C$9, 100%, $E$9)</f>
        <v>13.371499999999999</v>
      </c>
      <c r="C809" s="80">
        <f>13.3715 * CHOOSE(CONTROL!$C$32, $C$9, 100%, $E$9)</f>
        <v>13.371499999999999</v>
      </c>
      <c r="D809" s="80">
        <f>13.3077 * CHOOSE(CONTROL!$C$32, $C$9, 100%, $E$9)</f>
        <v>13.307700000000001</v>
      </c>
      <c r="E809" s="81">
        <f>15.4116 * CHOOSE(CONTROL!$C$32, $C$9, 100%, $E$9)</f>
        <v>15.4116</v>
      </c>
      <c r="F809" s="81">
        <f>15.4116 * CHOOSE(CONTROL!$C$32, $C$9, 100%, $E$9)</f>
        <v>15.4116</v>
      </c>
      <c r="G809" s="81">
        <f>15.3331 * CHOOSE(CONTROL!$C$32, $C$9, 100%, $E$9)</f>
        <v>15.3331</v>
      </c>
      <c r="H809" s="81">
        <f>28.0276 * CHOOSE(CONTROL!$C$32, $C$9, 100%, $E$9)</f>
        <v>28.0276</v>
      </c>
      <c r="I809" s="81">
        <f>27.949 * CHOOSE(CONTROL!$C$32, $C$9, 100%, $E$9)</f>
        <v>27.949000000000002</v>
      </c>
      <c r="J809" s="81">
        <f>28.0276 * CHOOSE(CONTROL!$C$32, $C$9, 100%, $E$9)</f>
        <v>28.0276</v>
      </c>
      <c r="K809" s="81">
        <f>27.949 * CHOOSE(CONTROL!$C$32, $C$9, 100%, $E$9)</f>
        <v>27.949000000000002</v>
      </c>
      <c r="L809" s="81">
        <f>15.4116 * CHOOSE(CONTROL!$C$32, $C$9, 100%, $E$9)</f>
        <v>15.4116</v>
      </c>
      <c r="M809" s="81">
        <f>15.3331 * CHOOSE(CONTROL!$C$32, $C$9, 100%, $E$9)</f>
        <v>15.3331</v>
      </c>
      <c r="N809" s="81">
        <f>15.4116 * CHOOSE(CONTROL!$C$32, $C$9, 100%, $E$9)</f>
        <v>15.4116</v>
      </c>
      <c r="O809" s="81">
        <f>15.3331 * CHOOSE(CONTROL!$C$32, $C$9, 100%, $E$9)</f>
        <v>15.3331</v>
      </c>
    </row>
    <row r="810" spans="1:15" ht="15">
      <c r="A810" s="16">
        <v>65867</v>
      </c>
      <c r="B810" s="80">
        <f>13.3715 * CHOOSE(CONTROL!$C$32, $C$9, 100%, $E$9)</f>
        <v>13.371499999999999</v>
      </c>
      <c r="C810" s="80">
        <f>13.3715 * CHOOSE(CONTROL!$C$32, $C$9, 100%, $E$9)</f>
        <v>13.371499999999999</v>
      </c>
      <c r="D810" s="80">
        <f>13.2785 * CHOOSE(CONTROL!$C$32, $C$9, 100%, $E$9)</f>
        <v>13.278499999999999</v>
      </c>
      <c r="E810" s="81">
        <f>15.4973 * CHOOSE(CONTROL!$C$32, $C$9, 100%, $E$9)</f>
        <v>15.497299999999999</v>
      </c>
      <c r="F810" s="81">
        <f>15.4973 * CHOOSE(CONTROL!$C$32, $C$9, 100%, $E$9)</f>
        <v>15.497299999999999</v>
      </c>
      <c r="G810" s="81">
        <f>15.3836 * CHOOSE(CONTROL!$C$32, $C$9, 100%, $E$9)</f>
        <v>15.383599999999999</v>
      </c>
      <c r="H810" s="81">
        <f>28.086 * CHOOSE(CONTROL!$C$32, $C$9, 100%, $E$9)</f>
        <v>28.085999999999999</v>
      </c>
      <c r="I810" s="81">
        <f>27.9723 * CHOOSE(CONTROL!$C$32, $C$9, 100%, $E$9)</f>
        <v>27.972300000000001</v>
      </c>
      <c r="J810" s="81">
        <f>28.086 * CHOOSE(CONTROL!$C$32, $C$9, 100%, $E$9)</f>
        <v>28.085999999999999</v>
      </c>
      <c r="K810" s="81">
        <f>27.9723 * CHOOSE(CONTROL!$C$32, $C$9, 100%, $E$9)</f>
        <v>27.972300000000001</v>
      </c>
      <c r="L810" s="81">
        <f>15.4973 * CHOOSE(CONTROL!$C$32, $C$9, 100%, $E$9)</f>
        <v>15.497299999999999</v>
      </c>
      <c r="M810" s="81">
        <f>15.3836 * CHOOSE(CONTROL!$C$32, $C$9, 100%, $E$9)</f>
        <v>15.383599999999999</v>
      </c>
      <c r="N810" s="81">
        <f>15.4973 * CHOOSE(CONTROL!$C$32, $C$9, 100%, $E$9)</f>
        <v>15.497299999999999</v>
      </c>
      <c r="O810" s="81">
        <f>15.3836 * CHOOSE(CONTROL!$C$32, $C$9, 100%, $E$9)</f>
        <v>15.383599999999999</v>
      </c>
    </row>
    <row r="811" spans="1:15" ht="15">
      <c r="A811" s="16">
        <v>65898</v>
      </c>
      <c r="B811" s="80">
        <f>13.3775 * CHOOSE(CONTROL!$C$32, $C$9, 100%, $E$9)</f>
        <v>13.3775</v>
      </c>
      <c r="C811" s="80">
        <f>13.3775 * CHOOSE(CONTROL!$C$32, $C$9, 100%, $E$9)</f>
        <v>13.3775</v>
      </c>
      <c r="D811" s="80">
        <f>13.2846 * CHOOSE(CONTROL!$C$32, $C$9, 100%, $E$9)</f>
        <v>13.284599999999999</v>
      </c>
      <c r="E811" s="81">
        <f>15.4159 * CHOOSE(CONTROL!$C$32, $C$9, 100%, $E$9)</f>
        <v>15.415900000000001</v>
      </c>
      <c r="F811" s="81">
        <f>15.4159 * CHOOSE(CONTROL!$C$32, $C$9, 100%, $E$9)</f>
        <v>15.415900000000001</v>
      </c>
      <c r="G811" s="81">
        <f>15.3022 * CHOOSE(CONTROL!$C$32, $C$9, 100%, $E$9)</f>
        <v>15.302199999999999</v>
      </c>
      <c r="H811" s="81">
        <f>28.1445 * CHOOSE(CONTROL!$C$32, $C$9, 100%, $E$9)</f>
        <v>28.144500000000001</v>
      </c>
      <c r="I811" s="81">
        <f>28.0308 * CHOOSE(CONTROL!$C$32, $C$9, 100%, $E$9)</f>
        <v>28.030799999999999</v>
      </c>
      <c r="J811" s="81">
        <f>28.1445 * CHOOSE(CONTROL!$C$32, $C$9, 100%, $E$9)</f>
        <v>28.144500000000001</v>
      </c>
      <c r="K811" s="81">
        <f>28.0308 * CHOOSE(CONTROL!$C$32, $C$9, 100%, $E$9)</f>
        <v>28.030799999999999</v>
      </c>
      <c r="L811" s="81">
        <f>15.4159 * CHOOSE(CONTROL!$C$32, $C$9, 100%, $E$9)</f>
        <v>15.415900000000001</v>
      </c>
      <c r="M811" s="81">
        <f>15.3022 * CHOOSE(CONTROL!$C$32, $C$9, 100%, $E$9)</f>
        <v>15.302199999999999</v>
      </c>
      <c r="N811" s="81">
        <f>15.4159 * CHOOSE(CONTROL!$C$32, $C$9, 100%, $E$9)</f>
        <v>15.415900000000001</v>
      </c>
      <c r="O811" s="81">
        <f>15.3022 * CHOOSE(CONTROL!$C$32, $C$9, 100%, $E$9)</f>
        <v>15.302199999999999</v>
      </c>
    </row>
    <row r="812" spans="1:15" ht="15">
      <c r="A812" s="16">
        <v>65928</v>
      </c>
      <c r="B812" s="80">
        <f>13.5809 * CHOOSE(CONTROL!$C$32, $C$9, 100%, $E$9)</f>
        <v>13.5809</v>
      </c>
      <c r="C812" s="80">
        <f>13.5809 * CHOOSE(CONTROL!$C$32, $C$9, 100%, $E$9)</f>
        <v>13.5809</v>
      </c>
      <c r="D812" s="80">
        <f>13.4879 * CHOOSE(CONTROL!$C$32, $C$9, 100%, $E$9)</f>
        <v>13.4879</v>
      </c>
      <c r="E812" s="81">
        <f>15.6616 * CHOOSE(CONTROL!$C$32, $C$9, 100%, $E$9)</f>
        <v>15.6616</v>
      </c>
      <c r="F812" s="81">
        <f>15.6616 * CHOOSE(CONTROL!$C$32, $C$9, 100%, $E$9)</f>
        <v>15.6616</v>
      </c>
      <c r="G812" s="81">
        <f>15.5479 * CHOOSE(CONTROL!$C$32, $C$9, 100%, $E$9)</f>
        <v>15.5479</v>
      </c>
      <c r="H812" s="81">
        <f>28.2031 * CHOOSE(CONTROL!$C$32, $C$9, 100%, $E$9)</f>
        <v>28.203099999999999</v>
      </c>
      <c r="I812" s="81">
        <f>28.0894 * CHOOSE(CONTROL!$C$32, $C$9, 100%, $E$9)</f>
        <v>28.089400000000001</v>
      </c>
      <c r="J812" s="81">
        <f>28.2031 * CHOOSE(CONTROL!$C$32, $C$9, 100%, $E$9)</f>
        <v>28.203099999999999</v>
      </c>
      <c r="K812" s="81">
        <f>28.0894 * CHOOSE(CONTROL!$C$32, $C$9, 100%, $E$9)</f>
        <v>28.089400000000001</v>
      </c>
      <c r="L812" s="81">
        <f>15.6616 * CHOOSE(CONTROL!$C$32, $C$9, 100%, $E$9)</f>
        <v>15.6616</v>
      </c>
      <c r="M812" s="81">
        <f>15.5479 * CHOOSE(CONTROL!$C$32, $C$9, 100%, $E$9)</f>
        <v>15.5479</v>
      </c>
      <c r="N812" s="81">
        <f>15.6616 * CHOOSE(CONTROL!$C$32, $C$9, 100%, $E$9)</f>
        <v>15.6616</v>
      </c>
      <c r="O812" s="81">
        <f>15.5479 * CHOOSE(CONTROL!$C$32, $C$9, 100%, $E$9)</f>
        <v>15.5479</v>
      </c>
    </row>
    <row r="813" spans="1:15" ht="15">
      <c r="A813" s="16">
        <v>65959</v>
      </c>
      <c r="B813" s="80">
        <f>13.5876 * CHOOSE(CONTROL!$C$32, $C$9, 100%, $E$9)</f>
        <v>13.5876</v>
      </c>
      <c r="C813" s="80">
        <f>13.5876 * CHOOSE(CONTROL!$C$32, $C$9, 100%, $E$9)</f>
        <v>13.5876</v>
      </c>
      <c r="D813" s="80">
        <f>13.4946 * CHOOSE(CONTROL!$C$32, $C$9, 100%, $E$9)</f>
        <v>13.4946</v>
      </c>
      <c r="E813" s="81">
        <f>15.4093 * CHOOSE(CONTROL!$C$32, $C$9, 100%, $E$9)</f>
        <v>15.4093</v>
      </c>
      <c r="F813" s="81">
        <f>15.4093 * CHOOSE(CONTROL!$C$32, $C$9, 100%, $E$9)</f>
        <v>15.4093</v>
      </c>
      <c r="G813" s="81">
        <f>15.2956 * CHOOSE(CONTROL!$C$32, $C$9, 100%, $E$9)</f>
        <v>15.2956</v>
      </c>
      <c r="H813" s="81">
        <f>28.2619 * CHOOSE(CONTROL!$C$32, $C$9, 100%, $E$9)</f>
        <v>28.261900000000001</v>
      </c>
      <c r="I813" s="81">
        <f>28.1482 * CHOOSE(CONTROL!$C$32, $C$9, 100%, $E$9)</f>
        <v>28.148199999999999</v>
      </c>
      <c r="J813" s="81">
        <f>28.2619 * CHOOSE(CONTROL!$C$32, $C$9, 100%, $E$9)</f>
        <v>28.261900000000001</v>
      </c>
      <c r="K813" s="81">
        <f>28.1482 * CHOOSE(CONTROL!$C$32, $C$9, 100%, $E$9)</f>
        <v>28.148199999999999</v>
      </c>
      <c r="L813" s="81">
        <f>15.4093 * CHOOSE(CONTROL!$C$32, $C$9, 100%, $E$9)</f>
        <v>15.4093</v>
      </c>
      <c r="M813" s="81">
        <f>15.2956 * CHOOSE(CONTROL!$C$32, $C$9, 100%, $E$9)</f>
        <v>15.2956</v>
      </c>
      <c r="N813" s="81">
        <f>15.4093 * CHOOSE(CONTROL!$C$32, $C$9, 100%, $E$9)</f>
        <v>15.4093</v>
      </c>
      <c r="O813" s="81">
        <f>15.2956 * CHOOSE(CONTROL!$C$32, $C$9, 100%, $E$9)</f>
        <v>15.2956</v>
      </c>
    </row>
    <row r="814" spans="1:15" ht="15">
      <c r="A814" s="16">
        <v>65990</v>
      </c>
      <c r="B814" s="80">
        <f>13.5845 * CHOOSE(CONTROL!$C$32, $C$9, 100%, $E$9)</f>
        <v>13.5845</v>
      </c>
      <c r="C814" s="80">
        <f>13.5845 * CHOOSE(CONTROL!$C$32, $C$9, 100%, $E$9)</f>
        <v>13.5845</v>
      </c>
      <c r="D814" s="80">
        <f>13.4916 * CHOOSE(CONTROL!$C$32, $C$9, 100%, $E$9)</f>
        <v>13.4916</v>
      </c>
      <c r="E814" s="81">
        <f>15.3786 * CHOOSE(CONTROL!$C$32, $C$9, 100%, $E$9)</f>
        <v>15.3786</v>
      </c>
      <c r="F814" s="81">
        <f>15.3786 * CHOOSE(CONTROL!$C$32, $C$9, 100%, $E$9)</f>
        <v>15.3786</v>
      </c>
      <c r="G814" s="81">
        <f>15.2649 * CHOOSE(CONTROL!$C$32, $C$9, 100%, $E$9)</f>
        <v>15.264900000000001</v>
      </c>
      <c r="H814" s="81">
        <f>28.3207 * CHOOSE(CONTROL!$C$32, $C$9, 100%, $E$9)</f>
        <v>28.320699999999999</v>
      </c>
      <c r="I814" s="81">
        <f>28.2071 * CHOOSE(CONTROL!$C$32, $C$9, 100%, $E$9)</f>
        <v>28.207100000000001</v>
      </c>
      <c r="J814" s="81">
        <f>28.3207 * CHOOSE(CONTROL!$C$32, $C$9, 100%, $E$9)</f>
        <v>28.320699999999999</v>
      </c>
      <c r="K814" s="81">
        <f>28.2071 * CHOOSE(CONTROL!$C$32, $C$9, 100%, $E$9)</f>
        <v>28.207100000000001</v>
      </c>
      <c r="L814" s="81">
        <f>15.3786 * CHOOSE(CONTROL!$C$32, $C$9, 100%, $E$9)</f>
        <v>15.3786</v>
      </c>
      <c r="M814" s="81">
        <f>15.2649 * CHOOSE(CONTROL!$C$32, $C$9, 100%, $E$9)</f>
        <v>15.264900000000001</v>
      </c>
      <c r="N814" s="81">
        <f>15.3786 * CHOOSE(CONTROL!$C$32, $C$9, 100%, $E$9)</f>
        <v>15.3786</v>
      </c>
      <c r="O814" s="81">
        <f>15.2649 * CHOOSE(CONTROL!$C$32, $C$9, 100%, $E$9)</f>
        <v>15.264900000000001</v>
      </c>
    </row>
    <row r="815" spans="1:15" ht="15">
      <c r="A815" s="16">
        <v>66020</v>
      </c>
      <c r="B815" s="80">
        <f>13.6105 * CHOOSE(CONTROL!$C$32, $C$9, 100%, $E$9)</f>
        <v>13.6105</v>
      </c>
      <c r="C815" s="80">
        <f>13.6105 * CHOOSE(CONTROL!$C$32, $C$9, 100%, $E$9)</f>
        <v>13.6105</v>
      </c>
      <c r="D815" s="80">
        <f>13.5467 * CHOOSE(CONTROL!$C$32, $C$9, 100%, $E$9)</f>
        <v>13.5467</v>
      </c>
      <c r="E815" s="81">
        <f>15.4794 * CHOOSE(CONTROL!$C$32, $C$9, 100%, $E$9)</f>
        <v>15.4794</v>
      </c>
      <c r="F815" s="81">
        <f>15.4794 * CHOOSE(CONTROL!$C$32, $C$9, 100%, $E$9)</f>
        <v>15.4794</v>
      </c>
      <c r="G815" s="81">
        <f>15.4008 * CHOOSE(CONTROL!$C$32, $C$9, 100%, $E$9)</f>
        <v>15.4008</v>
      </c>
      <c r="H815" s="81">
        <f>28.3797 * CHOOSE(CONTROL!$C$32, $C$9, 100%, $E$9)</f>
        <v>28.3797</v>
      </c>
      <c r="I815" s="81">
        <f>28.3012 * CHOOSE(CONTROL!$C$32, $C$9, 100%, $E$9)</f>
        <v>28.301200000000001</v>
      </c>
      <c r="J815" s="81">
        <f>28.3797 * CHOOSE(CONTROL!$C$32, $C$9, 100%, $E$9)</f>
        <v>28.3797</v>
      </c>
      <c r="K815" s="81">
        <f>28.3012 * CHOOSE(CONTROL!$C$32, $C$9, 100%, $E$9)</f>
        <v>28.301200000000001</v>
      </c>
      <c r="L815" s="81">
        <f>15.4794 * CHOOSE(CONTROL!$C$32, $C$9, 100%, $E$9)</f>
        <v>15.4794</v>
      </c>
      <c r="M815" s="81">
        <f>15.4008 * CHOOSE(CONTROL!$C$32, $C$9, 100%, $E$9)</f>
        <v>15.4008</v>
      </c>
      <c r="N815" s="81">
        <f>15.4794 * CHOOSE(CONTROL!$C$32, $C$9, 100%, $E$9)</f>
        <v>15.4794</v>
      </c>
      <c r="O815" s="81">
        <f>15.4008 * CHOOSE(CONTROL!$C$32, $C$9, 100%, $E$9)</f>
        <v>15.4008</v>
      </c>
    </row>
    <row r="816" spans="1:15" ht="15">
      <c r="A816" s="16">
        <v>66051</v>
      </c>
      <c r="B816" s="80">
        <f>13.6135 * CHOOSE(CONTROL!$C$32, $C$9, 100%, $E$9)</f>
        <v>13.6135</v>
      </c>
      <c r="C816" s="80">
        <f>13.6135 * CHOOSE(CONTROL!$C$32, $C$9, 100%, $E$9)</f>
        <v>13.6135</v>
      </c>
      <c r="D816" s="80">
        <f>13.5498 * CHOOSE(CONTROL!$C$32, $C$9, 100%, $E$9)</f>
        <v>13.549799999999999</v>
      </c>
      <c r="E816" s="81">
        <f>15.5386 * CHOOSE(CONTROL!$C$32, $C$9, 100%, $E$9)</f>
        <v>15.538600000000001</v>
      </c>
      <c r="F816" s="81">
        <f>15.5386 * CHOOSE(CONTROL!$C$32, $C$9, 100%, $E$9)</f>
        <v>15.538600000000001</v>
      </c>
      <c r="G816" s="81">
        <f>15.46 * CHOOSE(CONTROL!$C$32, $C$9, 100%, $E$9)</f>
        <v>15.46</v>
      </c>
      <c r="H816" s="81">
        <f>28.4389 * CHOOSE(CONTROL!$C$32, $C$9, 100%, $E$9)</f>
        <v>28.4389</v>
      </c>
      <c r="I816" s="81">
        <f>28.3603 * CHOOSE(CONTROL!$C$32, $C$9, 100%, $E$9)</f>
        <v>28.360299999999999</v>
      </c>
      <c r="J816" s="81">
        <f>28.4389 * CHOOSE(CONTROL!$C$32, $C$9, 100%, $E$9)</f>
        <v>28.4389</v>
      </c>
      <c r="K816" s="81">
        <f>28.3603 * CHOOSE(CONTROL!$C$32, $C$9, 100%, $E$9)</f>
        <v>28.360299999999999</v>
      </c>
      <c r="L816" s="81">
        <f>15.5386 * CHOOSE(CONTROL!$C$32, $C$9, 100%, $E$9)</f>
        <v>15.538600000000001</v>
      </c>
      <c r="M816" s="81">
        <f>15.46 * CHOOSE(CONTROL!$C$32, $C$9, 100%, $E$9)</f>
        <v>15.46</v>
      </c>
      <c r="N816" s="81">
        <f>15.5386 * CHOOSE(CONTROL!$C$32, $C$9, 100%, $E$9)</f>
        <v>15.538600000000001</v>
      </c>
      <c r="O816" s="81">
        <f>15.46 * CHOOSE(CONTROL!$C$32, $C$9, 100%, $E$9)</f>
        <v>15.46</v>
      </c>
    </row>
    <row r="817" spans="1:15" ht="15">
      <c r="A817" s="16">
        <v>66081</v>
      </c>
      <c r="B817" s="80">
        <f>13.6135 * CHOOSE(CONTROL!$C$32, $C$9, 100%, $E$9)</f>
        <v>13.6135</v>
      </c>
      <c r="C817" s="80">
        <f>13.6135 * CHOOSE(CONTROL!$C$32, $C$9, 100%, $E$9)</f>
        <v>13.6135</v>
      </c>
      <c r="D817" s="80">
        <f>13.5498 * CHOOSE(CONTROL!$C$32, $C$9, 100%, $E$9)</f>
        <v>13.549799999999999</v>
      </c>
      <c r="E817" s="81">
        <f>15.3959 * CHOOSE(CONTROL!$C$32, $C$9, 100%, $E$9)</f>
        <v>15.395899999999999</v>
      </c>
      <c r="F817" s="81">
        <f>15.3959 * CHOOSE(CONTROL!$C$32, $C$9, 100%, $E$9)</f>
        <v>15.395899999999999</v>
      </c>
      <c r="G817" s="81">
        <f>15.3173 * CHOOSE(CONTROL!$C$32, $C$9, 100%, $E$9)</f>
        <v>15.317299999999999</v>
      </c>
      <c r="H817" s="81">
        <f>28.4981 * CHOOSE(CONTROL!$C$32, $C$9, 100%, $E$9)</f>
        <v>28.498100000000001</v>
      </c>
      <c r="I817" s="81">
        <f>28.4196 * CHOOSE(CONTROL!$C$32, $C$9, 100%, $E$9)</f>
        <v>28.419599999999999</v>
      </c>
      <c r="J817" s="81">
        <f>28.4981 * CHOOSE(CONTROL!$C$32, $C$9, 100%, $E$9)</f>
        <v>28.498100000000001</v>
      </c>
      <c r="K817" s="81">
        <f>28.4196 * CHOOSE(CONTROL!$C$32, $C$9, 100%, $E$9)</f>
        <v>28.419599999999999</v>
      </c>
      <c r="L817" s="81">
        <f>15.3959 * CHOOSE(CONTROL!$C$32, $C$9, 100%, $E$9)</f>
        <v>15.395899999999999</v>
      </c>
      <c r="M817" s="81">
        <f>15.3173 * CHOOSE(CONTROL!$C$32, $C$9, 100%, $E$9)</f>
        <v>15.317299999999999</v>
      </c>
      <c r="N817" s="81">
        <f>15.3959 * CHOOSE(CONTROL!$C$32, $C$9, 100%, $E$9)</f>
        <v>15.395899999999999</v>
      </c>
      <c r="O817" s="81">
        <f>15.3173 * CHOOSE(CONTROL!$C$32, $C$9, 100%, $E$9)</f>
        <v>15.317299999999999</v>
      </c>
    </row>
    <row r="818" spans="1:15" ht="15">
      <c r="A818" s="16">
        <v>66112</v>
      </c>
      <c r="B818" s="80">
        <f>13.6076 * CHOOSE(CONTROL!$C$32, $C$9, 100%, $E$9)</f>
        <v>13.6076</v>
      </c>
      <c r="C818" s="80">
        <f>13.6076 * CHOOSE(CONTROL!$C$32, $C$9, 100%, $E$9)</f>
        <v>13.6076</v>
      </c>
      <c r="D818" s="80">
        <f>13.5403 * CHOOSE(CONTROL!$C$32, $C$9, 100%, $E$9)</f>
        <v>13.5403</v>
      </c>
      <c r="E818" s="81">
        <f>15.5035 * CHOOSE(CONTROL!$C$32, $C$9, 100%, $E$9)</f>
        <v>15.503500000000001</v>
      </c>
      <c r="F818" s="81">
        <f>15.5035 * CHOOSE(CONTROL!$C$32, $C$9, 100%, $E$9)</f>
        <v>15.503500000000001</v>
      </c>
      <c r="G818" s="81">
        <f>15.4206 * CHOOSE(CONTROL!$C$32, $C$9, 100%, $E$9)</f>
        <v>15.4206</v>
      </c>
      <c r="H818" s="81">
        <f>28.3289 * CHOOSE(CONTROL!$C$32, $C$9, 100%, $E$9)</f>
        <v>28.328900000000001</v>
      </c>
      <c r="I818" s="81">
        <f>28.246 * CHOOSE(CONTROL!$C$32, $C$9, 100%, $E$9)</f>
        <v>28.245999999999999</v>
      </c>
      <c r="J818" s="81">
        <f>28.3289 * CHOOSE(CONTROL!$C$32, $C$9, 100%, $E$9)</f>
        <v>28.328900000000001</v>
      </c>
      <c r="K818" s="81">
        <f>28.246 * CHOOSE(CONTROL!$C$32, $C$9, 100%, $E$9)</f>
        <v>28.245999999999999</v>
      </c>
      <c r="L818" s="81">
        <f>15.5035 * CHOOSE(CONTROL!$C$32, $C$9, 100%, $E$9)</f>
        <v>15.503500000000001</v>
      </c>
      <c r="M818" s="81">
        <f>15.4206 * CHOOSE(CONTROL!$C$32, $C$9, 100%, $E$9)</f>
        <v>15.4206</v>
      </c>
      <c r="N818" s="81">
        <f>15.5035 * CHOOSE(CONTROL!$C$32, $C$9, 100%, $E$9)</f>
        <v>15.503500000000001</v>
      </c>
      <c r="O818" s="81">
        <f>15.4206 * CHOOSE(CONTROL!$C$32, $C$9, 100%, $E$9)</f>
        <v>15.4206</v>
      </c>
    </row>
    <row r="819" spans="1:15" ht="15">
      <c r="A819" s="16">
        <v>66143</v>
      </c>
      <c r="B819" s="80">
        <f>13.6046 * CHOOSE(CONTROL!$C$32, $C$9, 100%, $E$9)</f>
        <v>13.6046</v>
      </c>
      <c r="C819" s="80">
        <f>13.6046 * CHOOSE(CONTROL!$C$32, $C$9, 100%, $E$9)</f>
        <v>13.6046</v>
      </c>
      <c r="D819" s="80">
        <f>13.5373 * CHOOSE(CONTROL!$C$32, $C$9, 100%, $E$9)</f>
        <v>13.5373</v>
      </c>
      <c r="E819" s="81">
        <f>15.2267 * CHOOSE(CONTROL!$C$32, $C$9, 100%, $E$9)</f>
        <v>15.226699999999999</v>
      </c>
      <c r="F819" s="81">
        <f>15.2267 * CHOOSE(CONTROL!$C$32, $C$9, 100%, $E$9)</f>
        <v>15.226699999999999</v>
      </c>
      <c r="G819" s="81">
        <f>15.1437 * CHOOSE(CONTROL!$C$32, $C$9, 100%, $E$9)</f>
        <v>15.143700000000001</v>
      </c>
      <c r="H819" s="81">
        <f>28.3879 * CHOOSE(CONTROL!$C$32, $C$9, 100%, $E$9)</f>
        <v>28.387899999999998</v>
      </c>
      <c r="I819" s="81">
        <f>28.305 * CHOOSE(CONTROL!$C$32, $C$9, 100%, $E$9)</f>
        <v>28.305</v>
      </c>
      <c r="J819" s="81">
        <f>28.3879 * CHOOSE(CONTROL!$C$32, $C$9, 100%, $E$9)</f>
        <v>28.387899999999998</v>
      </c>
      <c r="K819" s="81">
        <f>28.305 * CHOOSE(CONTROL!$C$32, $C$9, 100%, $E$9)</f>
        <v>28.305</v>
      </c>
      <c r="L819" s="81">
        <f>15.2267 * CHOOSE(CONTROL!$C$32, $C$9, 100%, $E$9)</f>
        <v>15.226699999999999</v>
      </c>
      <c r="M819" s="81">
        <f>15.1437 * CHOOSE(CONTROL!$C$32, $C$9, 100%, $E$9)</f>
        <v>15.143700000000001</v>
      </c>
      <c r="N819" s="81">
        <f>15.2267 * CHOOSE(CONTROL!$C$32, $C$9, 100%, $E$9)</f>
        <v>15.226699999999999</v>
      </c>
      <c r="O819" s="81">
        <f>15.1437 * CHOOSE(CONTROL!$C$32, $C$9, 100%, $E$9)</f>
        <v>15.143700000000001</v>
      </c>
    </row>
    <row r="820" spans="1:15" ht="15">
      <c r="A820" s="16">
        <v>66171</v>
      </c>
      <c r="B820" s="80">
        <f>13.6015 * CHOOSE(CONTROL!$C$32, $C$9, 100%, $E$9)</f>
        <v>13.6015</v>
      </c>
      <c r="C820" s="80">
        <f>13.6015 * CHOOSE(CONTROL!$C$32, $C$9, 100%, $E$9)</f>
        <v>13.6015</v>
      </c>
      <c r="D820" s="80">
        <f>13.5342 * CHOOSE(CONTROL!$C$32, $C$9, 100%, $E$9)</f>
        <v>13.5342</v>
      </c>
      <c r="E820" s="81">
        <f>15.4411 * CHOOSE(CONTROL!$C$32, $C$9, 100%, $E$9)</f>
        <v>15.4411</v>
      </c>
      <c r="F820" s="81">
        <f>15.4411 * CHOOSE(CONTROL!$C$32, $C$9, 100%, $E$9)</f>
        <v>15.4411</v>
      </c>
      <c r="G820" s="81">
        <f>15.3582 * CHOOSE(CONTROL!$C$32, $C$9, 100%, $E$9)</f>
        <v>15.3582</v>
      </c>
      <c r="H820" s="81">
        <f>28.4471 * CHOOSE(CONTROL!$C$32, $C$9, 100%, $E$9)</f>
        <v>28.447099999999999</v>
      </c>
      <c r="I820" s="81">
        <f>28.3641 * CHOOSE(CONTROL!$C$32, $C$9, 100%, $E$9)</f>
        <v>28.364100000000001</v>
      </c>
      <c r="J820" s="81">
        <f>28.4471 * CHOOSE(CONTROL!$C$32, $C$9, 100%, $E$9)</f>
        <v>28.447099999999999</v>
      </c>
      <c r="K820" s="81">
        <f>28.3641 * CHOOSE(CONTROL!$C$32, $C$9, 100%, $E$9)</f>
        <v>28.364100000000001</v>
      </c>
      <c r="L820" s="81">
        <f>15.4411 * CHOOSE(CONTROL!$C$32, $C$9, 100%, $E$9)</f>
        <v>15.4411</v>
      </c>
      <c r="M820" s="81">
        <f>15.3582 * CHOOSE(CONTROL!$C$32, $C$9, 100%, $E$9)</f>
        <v>15.3582</v>
      </c>
      <c r="N820" s="81">
        <f>15.4411 * CHOOSE(CONTROL!$C$32, $C$9, 100%, $E$9)</f>
        <v>15.4411</v>
      </c>
      <c r="O820" s="81">
        <f>15.3582 * CHOOSE(CONTROL!$C$32, $C$9, 100%, $E$9)</f>
        <v>15.3582</v>
      </c>
    </row>
    <row r="821" spans="1:15" ht="15">
      <c r="A821" s="16">
        <v>66202</v>
      </c>
      <c r="B821" s="80">
        <f>13.6072 * CHOOSE(CONTROL!$C$32, $C$9, 100%, $E$9)</f>
        <v>13.607200000000001</v>
      </c>
      <c r="C821" s="80">
        <f>13.6072 * CHOOSE(CONTROL!$C$32, $C$9, 100%, $E$9)</f>
        <v>13.607200000000001</v>
      </c>
      <c r="D821" s="80">
        <f>13.5399 * CHOOSE(CONTROL!$C$32, $C$9, 100%, $E$9)</f>
        <v>13.539899999999999</v>
      </c>
      <c r="E821" s="81">
        <f>15.6695 * CHOOSE(CONTROL!$C$32, $C$9, 100%, $E$9)</f>
        <v>15.669499999999999</v>
      </c>
      <c r="F821" s="81">
        <f>15.6695 * CHOOSE(CONTROL!$C$32, $C$9, 100%, $E$9)</f>
        <v>15.669499999999999</v>
      </c>
      <c r="G821" s="81">
        <f>15.5865 * CHOOSE(CONTROL!$C$32, $C$9, 100%, $E$9)</f>
        <v>15.586499999999999</v>
      </c>
      <c r="H821" s="81">
        <f>28.5063 * CHOOSE(CONTROL!$C$32, $C$9, 100%, $E$9)</f>
        <v>28.5063</v>
      </c>
      <c r="I821" s="81">
        <f>28.4234 * CHOOSE(CONTROL!$C$32, $C$9, 100%, $E$9)</f>
        <v>28.423400000000001</v>
      </c>
      <c r="J821" s="81">
        <f>28.5063 * CHOOSE(CONTROL!$C$32, $C$9, 100%, $E$9)</f>
        <v>28.5063</v>
      </c>
      <c r="K821" s="81">
        <f>28.4234 * CHOOSE(CONTROL!$C$32, $C$9, 100%, $E$9)</f>
        <v>28.423400000000001</v>
      </c>
      <c r="L821" s="81">
        <f>15.6695 * CHOOSE(CONTROL!$C$32, $C$9, 100%, $E$9)</f>
        <v>15.669499999999999</v>
      </c>
      <c r="M821" s="81">
        <f>15.5865 * CHOOSE(CONTROL!$C$32, $C$9, 100%, $E$9)</f>
        <v>15.586499999999999</v>
      </c>
      <c r="N821" s="81">
        <f>15.6695 * CHOOSE(CONTROL!$C$32, $C$9, 100%, $E$9)</f>
        <v>15.669499999999999</v>
      </c>
      <c r="O821" s="81">
        <f>15.5865 * CHOOSE(CONTROL!$C$32, $C$9, 100%, $E$9)</f>
        <v>15.586499999999999</v>
      </c>
    </row>
    <row r="822" spans="1:15" ht="15">
      <c r="A822" s="16">
        <v>66232</v>
      </c>
      <c r="B822" s="80">
        <f>13.6072 * CHOOSE(CONTROL!$C$32, $C$9, 100%, $E$9)</f>
        <v>13.607200000000001</v>
      </c>
      <c r="C822" s="80">
        <f>13.6072 * CHOOSE(CONTROL!$C$32, $C$9, 100%, $E$9)</f>
        <v>13.607200000000001</v>
      </c>
      <c r="D822" s="80">
        <f>13.5091 * CHOOSE(CONTROL!$C$32, $C$9, 100%, $E$9)</f>
        <v>13.5091</v>
      </c>
      <c r="E822" s="81">
        <f>15.7567 * CHOOSE(CONTROL!$C$32, $C$9, 100%, $E$9)</f>
        <v>15.7567</v>
      </c>
      <c r="F822" s="81">
        <f>15.7567 * CHOOSE(CONTROL!$C$32, $C$9, 100%, $E$9)</f>
        <v>15.7567</v>
      </c>
      <c r="G822" s="81">
        <f>15.6367 * CHOOSE(CONTROL!$C$32, $C$9, 100%, $E$9)</f>
        <v>15.636699999999999</v>
      </c>
      <c r="H822" s="81">
        <f>28.5657 * CHOOSE(CONTROL!$C$32, $C$9, 100%, $E$9)</f>
        <v>28.5657</v>
      </c>
      <c r="I822" s="81">
        <f>28.4457 * CHOOSE(CONTROL!$C$32, $C$9, 100%, $E$9)</f>
        <v>28.445699999999999</v>
      </c>
      <c r="J822" s="81">
        <f>28.5657 * CHOOSE(CONTROL!$C$32, $C$9, 100%, $E$9)</f>
        <v>28.5657</v>
      </c>
      <c r="K822" s="81">
        <f>28.4457 * CHOOSE(CONTROL!$C$32, $C$9, 100%, $E$9)</f>
        <v>28.445699999999999</v>
      </c>
      <c r="L822" s="81">
        <f>15.7567 * CHOOSE(CONTROL!$C$32, $C$9, 100%, $E$9)</f>
        <v>15.7567</v>
      </c>
      <c r="M822" s="81">
        <f>15.6367 * CHOOSE(CONTROL!$C$32, $C$9, 100%, $E$9)</f>
        <v>15.636699999999999</v>
      </c>
      <c r="N822" s="81">
        <f>15.7567 * CHOOSE(CONTROL!$C$32, $C$9, 100%, $E$9)</f>
        <v>15.7567</v>
      </c>
      <c r="O822" s="81">
        <f>15.6367 * CHOOSE(CONTROL!$C$32, $C$9, 100%, $E$9)</f>
        <v>15.636699999999999</v>
      </c>
    </row>
    <row r="823" spans="1:15" ht="15">
      <c r="A823" s="16">
        <v>66263</v>
      </c>
      <c r="B823" s="80">
        <f>13.6133 * CHOOSE(CONTROL!$C$32, $C$9, 100%, $E$9)</f>
        <v>13.613300000000001</v>
      </c>
      <c r="C823" s="80">
        <f>13.6133 * CHOOSE(CONTROL!$C$32, $C$9, 100%, $E$9)</f>
        <v>13.613300000000001</v>
      </c>
      <c r="D823" s="80">
        <f>13.5152 * CHOOSE(CONTROL!$C$32, $C$9, 100%, $E$9)</f>
        <v>13.5152</v>
      </c>
      <c r="E823" s="81">
        <f>15.6737 * CHOOSE(CONTROL!$C$32, $C$9, 100%, $E$9)</f>
        <v>15.6737</v>
      </c>
      <c r="F823" s="81">
        <f>15.6737 * CHOOSE(CONTROL!$C$32, $C$9, 100%, $E$9)</f>
        <v>15.6737</v>
      </c>
      <c r="G823" s="81">
        <f>15.5537 * CHOOSE(CONTROL!$C$32, $C$9, 100%, $E$9)</f>
        <v>15.553699999999999</v>
      </c>
      <c r="H823" s="81">
        <f>28.6252 * CHOOSE(CONTROL!$C$32, $C$9, 100%, $E$9)</f>
        <v>28.6252</v>
      </c>
      <c r="I823" s="81">
        <f>28.5052 * CHOOSE(CONTROL!$C$32, $C$9, 100%, $E$9)</f>
        <v>28.505199999999999</v>
      </c>
      <c r="J823" s="81">
        <f>28.6252 * CHOOSE(CONTROL!$C$32, $C$9, 100%, $E$9)</f>
        <v>28.6252</v>
      </c>
      <c r="K823" s="81">
        <f>28.5052 * CHOOSE(CONTROL!$C$32, $C$9, 100%, $E$9)</f>
        <v>28.505199999999999</v>
      </c>
      <c r="L823" s="81">
        <f>15.6737 * CHOOSE(CONTROL!$C$32, $C$9, 100%, $E$9)</f>
        <v>15.6737</v>
      </c>
      <c r="M823" s="81">
        <f>15.5537 * CHOOSE(CONTROL!$C$32, $C$9, 100%, $E$9)</f>
        <v>15.553699999999999</v>
      </c>
      <c r="N823" s="81">
        <f>15.6737 * CHOOSE(CONTROL!$C$32, $C$9, 100%, $E$9)</f>
        <v>15.6737</v>
      </c>
      <c r="O823" s="81">
        <f>15.5537 * CHOOSE(CONTROL!$C$32, $C$9, 100%, $E$9)</f>
        <v>15.553699999999999</v>
      </c>
    </row>
    <row r="824" spans="1:15" ht="15">
      <c r="A824" s="16">
        <v>66293</v>
      </c>
      <c r="B824" s="80">
        <f>13.8201 * CHOOSE(CONTROL!$C$32, $C$9, 100%, $E$9)</f>
        <v>13.8201</v>
      </c>
      <c r="C824" s="80">
        <f>13.8201 * CHOOSE(CONTROL!$C$32, $C$9, 100%, $E$9)</f>
        <v>13.8201</v>
      </c>
      <c r="D824" s="80">
        <f>13.722 * CHOOSE(CONTROL!$C$32, $C$9, 100%, $E$9)</f>
        <v>13.722</v>
      </c>
      <c r="E824" s="81">
        <f>15.9233 * CHOOSE(CONTROL!$C$32, $C$9, 100%, $E$9)</f>
        <v>15.923299999999999</v>
      </c>
      <c r="F824" s="81">
        <f>15.9233 * CHOOSE(CONTROL!$C$32, $C$9, 100%, $E$9)</f>
        <v>15.923299999999999</v>
      </c>
      <c r="G824" s="81">
        <f>15.8034 * CHOOSE(CONTROL!$C$32, $C$9, 100%, $E$9)</f>
        <v>15.8034</v>
      </c>
      <c r="H824" s="81">
        <f>28.6849 * CHOOSE(CONTROL!$C$32, $C$9, 100%, $E$9)</f>
        <v>28.684899999999999</v>
      </c>
      <c r="I824" s="81">
        <f>28.5649 * CHOOSE(CONTROL!$C$32, $C$9, 100%, $E$9)</f>
        <v>28.564900000000002</v>
      </c>
      <c r="J824" s="81">
        <f>28.6849 * CHOOSE(CONTROL!$C$32, $C$9, 100%, $E$9)</f>
        <v>28.684899999999999</v>
      </c>
      <c r="K824" s="81">
        <f>28.5649 * CHOOSE(CONTROL!$C$32, $C$9, 100%, $E$9)</f>
        <v>28.564900000000002</v>
      </c>
      <c r="L824" s="81">
        <f>15.9233 * CHOOSE(CONTROL!$C$32, $C$9, 100%, $E$9)</f>
        <v>15.923299999999999</v>
      </c>
      <c r="M824" s="81">
        <f>15.8034 * CHOOSE(CONTROL!$C$32, $C$9, 100%, $E$9)</f>
        <v>15.8034</v>
      </c>
      <c r="N824" s="81">
        <f>15.9233 * CHOOSE(CONTROL!$C$32, $C$9, 100%, $E$9)</f>
        <v>15.923299999999999</v>
      </c>
      <c r="O824" s="81">
        <f>15.8034 * CHOOSE(CONTROL!$C$32, $C$9, 100%, $E$9)</f>
        <v>15.8034</v>
      </c>
    </row>
    <row r="825" spans="1:15" ht="15">
      <c r="A825" s="16">
        <v>66324</v>
      </c>
      <c r="B825" s="80">
        <f>13.8268 * CHOOSE(CONTROL!$C$32, $C$9, 100%, $E$9)</f>
        <v>13.8268</v>
      </c>
      <c r="C825" s="80">
        <f>13.8268 * CHOOSE(CONTROL!$C$32, $C$9, 100%, $E$9)</f>
        <v>13.8268</v>
      </c>
      <c r="D825" s="80">
        <f>13.7286 * CHOOSE(CONTROL!$C$32, $C$9, 100%, $E$9)</f>
        <v>13.7286</v>
      </c>
      <c r="E825" s="81">
        <f>15.6663 * CHOOSE(CONTROL!$C$32, $C$9, 100%, $E$9)</f>
        <v>15.6663</v>
      </c>
      <c r="F825" s="81">
        <f>15.6663 * CHOOSE(CONTROL!$C$32, $C$9, 100%, $E$9)</f>
        <v>15.6663</v>
      </c>
      <c r="G825" s="81">
        <f>15.5464 * CHOOSE(CONTROL!$C$32, $C$9, 100%, $E$9)</f>
        <v>15.5464</v>
      </c>
      <c r="H825" s="81">
        <f>28.7446 * CHOOSE(CONTROL!$C$32, $C$9, 100%, $E$9)</f>
        <v>28.744599999999998</v>
      </c>
      <c r="I825" s="81">
        <f>28.6246 * CHOOSE(CONTROL!$C$32, $C$9, 100%, $E$9)</f>
        <v>28.624600000000001</v>
      </c>
      <c r="J825" s="81">
        <f>28.7446 * CHOOSE(CONTROL!$C$32, $C$9, 100%, $E$9)</f>
        <v>28.744599999999998</v>
      </c>
      <c r="K825" s="81">
        <f>28.6246 * CHOOSE(CONTROL!$C$32, $C$9, 100%, $E$9)</f>
        <v>28.624600000000001</v>
      </c>
      <c r="L825" s="81">
        <f>15.6663 * CHOOSE(CONTROL!$C$32, $C$9, 100%, $E$9)</f>
        <v>15.6663</v>
      </c>
      <c r="M825" s="81">
        <f>15.5464 * CHOOSE(CONTROL!$C$32, $C$9, 100%, $E$9)</f>
        <v>15.5464</v>
      </c>
      <c r="N825" s="81">
        <f>15.6663 * CHOOSE(CONTROL!$C$32, $C$9, 100%, $E$9)</f>
        <v>15.6663</v>
      </c>
      <c r="O825" s="81">
        <f>15.5464 * CHOOSE(CONTROL!$C$32, $C$9, 100%, $E$9)</f>
        <v>15.5464</v>
      </c>
    </row>
    <row r="826" spans="1:15" ht="15">
      <c r="A826" s="16">
        <v>66355</v>
      </c>
      <c r="B826" s="80">
        <f>13.8237 * CHOOSE(CONTROL!$C$32, $C$9, 100%, $E$9)</f>
        <v>13.823700000000001</v>
      </c>
      <c r="C826" s="80">
        <f>13.8237 * CHOOSE(CONTROL!$C$32, $C$9, 100%, $E$9)</f>
        <v>13.823700000000001</v>
      </c>
      <c r="D826" s="80">
        <f>13.7256 * CHOOSE(CONTROL!$C$32, $C$9, 100%, $E$9)</f>
        <v>13.7256</v>
      </c>
      <c r="E826" s="81">
        <f>15.6351 * CHOOSE(CONTROL!$C$32, $C$9, 100%, $E$9)</f>
        <v>15.6351</v>
      </c>
      <c r="F826" s="81">
        <f>15.6351 * CHOOSE(CONTROL!$C$32, $C$9, 100%, $E$9)</f>
        <v>15.6351</v>
      </c>
      <c r="G826" s="81">
        <f>15.5152 * CHOOSE(CONTROL!$C$32, $C$9, 100%, $E$9)</f>
        <v>15.5152</v>
      </c>
      <c r="H826" s="81">
        <f>28.8045 * CHOOSE(CONTROL!$C$32, $C$9, 100%, $E$9)</f>
        <v>28.804500000000001</v>
      </c>
      <c r="I826" s="81">
        <f>28.6845 * CHOOSE(CONTROL!$C$32, $C$9, 100%, $E$9)</f>
        <v>28.6845</v>
      </c>
      <c r="J826" s="81">
        <f>28.8045 * CHOOSE(CONTROL!$C$32, $C$9, 100%, $E$9)</f>
        <v>28.804500000000001</v>
      </c>
      <c r="K826" s="81">
        <f>28.6845 * CHOOSE(CONTROL!$C$32, $C$9, 100%, $E$9)</f>
        <v>28.6845</v>
      </c>
      <c r="L826" s="81">
        <f>15.6351 * CHOOSE(CONTROL!$C$32, $C$9, 100%, $E$9)</f>
        <v>15.6351</v>
      </c>
      <c r="M826" s="81">
        <f>15.5152 * CHOOSE(CONTROL!$C$32, $C$9, 100%, $E$9)</f>
        <v>15.5152</v>
      </c>
      <c r="N826" s="81">
        <f>15.6351 * CHOOSE(CONTROL!$C$32, $C$9, 100%, $E$9)</f>
        <v>15.6351</v>
      </c>
      <c r="O826" s="81">
        <f>15.5152 * CHOOSE(CONTROL!$C$32, $C$9, 100%, $E$9)</f>
        <v>15.5152</v>
      </c>
    </row>
    <row r="827" spans="1:15" ht="15">
      <c r="A827" s="16">
        <v>66385</v>
      </c>
      <c r="B827" s="80">
        <f>13.8504 * CHOOSE(CONTROL!$C$32, $C$9, 100%, $E$9)</f>
        <v>13.8504</v>
      </c>
      <c r="C827" s="80">
        <f>13.8504 * CHOOSE(CONTROL!$C$32, $C$9, 100%, $E$9)</f>
        <v>13.8504</v>
      </c>
      <c r="D827" s="80">
        <f>13.7831 * CHOOSE(CONTROL!$C$32, $C$9, 100%, $E$9)</f>
        <v>13.783099999999999</v>
      </c>
      <c r="E827" s="81">
        <f>15.738 * CHOOSE(CONTROL!$C$32, $C$9, 100%, $E$9)</f>
        <v>15.738</v>
      </c>
      <c r="F827" s="81">
        <f>15.738 * CHOOSE(CONTROL!$C$32, $C$9, 100%, $E$9)</f>
        <v>15.738</v>
      </c>
      <c r="G827" s="81">
        <f>15.6551 * CHOOSE(CONTROL!$C$32, $C$9, 100%, $E$9)</f>
        <v>15.655099999999999</v>
      </c>
      <c r="H827" s="81">
        <f>28.8645 * CHOOSE(CONTROL!$C$32, $C$9, 100%, $E$9)</f>
        <v>28.8645</v>
      </c>
      <c r="I827" s="81">
        <f>28.7816 * CHOOSE(CONTROL!$C$32, $C$9, 100%, $E$9)</f>
        <v>28.781600000000001</v>
      </c>
      <c r="J827" s="81">
        <f>28.8645 * CHOOSE(CONTROL!$C$32, $C$9, 100%, $E$9)</f>
        <v>28.8645</v>
      </c>
      <c r="K827" s="81">
        <f>28.7816 * CHOOSE(CONTROL!$C$32, $C$9, 100%, $E$9)</f>
        <v>28.781600000000001</v>
      </c>
      <c r="L827" s="81">
        <f>15.738 * CHOOSE(CONTROL!$C$32, $C$9, 100%, $E$9)</f>
        <v>15.738</v>
      </c>
      <c r="M827" s="81">
        <f>15.6551 * CHOOSE(CONTROL!$C$32, $C$9, 100%, $E$9)</f>
        <v>15.655099999999999</v>
      </c>
      <c r="N827" s="81">
        <f>15.738 * CHOOSE(CONTROL!$C$32, $C$9, 100%, $E$9)</f>
        <v>15.738</v>
      </c>
      <c r="O827" s="81">
        <f>15.6551 * CHOOSE(CONTROL!$C$32, $C$9, 100%, $E$9)</f>
        <v>15.655099999999999</v>
      </c>
    </row>
    <row r="828" spans="1:15" ht="15">
      <c r="A828" s="16">
        <v>66416</v>
      </c>
      <c r="B828" s="80">
        <f>13.8535 * CHOOSE(CONTROL!$C$32, $C$9, 100%, $E$9)</f>
        <v>13.8535</v>
      </c>
      <c r="C828" s="80">
        <f>13.8535 * CHOOSE(CONTROL!$C$32, $C$9, 100%, $E$9)</f>
        <v>13.8535</v>
      </c>
      <c r="D828" s="80">
        <f>13.7862 * CHOOSE(CONTROL!$C$32, $C$9, 100%, $E$9)</f>
        <v>13.786199999999999</v>
      </c>
      <c r="E828" s="81">
        <f>15.7983 * CHOOSE(CONTROL!$C$32, $C$9, 100%, $E$9)</f>
        <v>15.798299999999999</v>
      </c>
      <c r="F828" s="81">
        <f>15.7983 * CHOOSE(CONTROL!$C$32, $C$9, 100%, $E$9)</f>
        <v>15.798299999999999</v>
      </c>
      <c r="G828" s="81">
        <f>15.7154 * CHOOSE(CONTROL!$C$32, $C$9, 100%, $E$9)</f>
        <v>15.715400000000001</v>
      </c>
      <c r="H828" s="81">
        <f>28.9246 * CHOOSE(CONTROL!$C$32, $C$9, 100%, $E$9)</f>
        <v>28.924600000000002</v>
      </c>
      <c r="I828" s="81">
        <f>28.8417 * CHOOSE(CONTROL!$C$32, $C$9, 100%, $E$9)</f>
        <v>28.841699999999999</v>
      </c>
      <c r="J828" s="81">
        <f>28.9246 * CHOOSE(CONTROL!$C$32, $C$9, 100%, $E$9)</f>
        <v>28.924600000000002</v>
      </c>
      <c r="K828" s="81">
        <f>28.8417 * CHOOSE(CONTROL!$C$32, $C$9, 100%, $E$9)</f>
        <v>28.841699999999999</v>
      </c>
      <c r="L828" s="81">
        <f>15.7983 * CHOOSE(CONTROL!$C$32, $C$9, 100%, $E$9)</f>
        <v>15.798299999999999</v>
      </c>
      <c r="M828" s="81">
        <f>15.7154 * CHOOSE(CONTROL!$C$32, $C$9, 100%, $E$9)</f>
        <v>15.715400000000001</v>
      </c>
      <c r="N828" s="81">
        <f>15.7983 * CHOOSE(CONTROL!$C$32, $C$9, 100%, $E$9)</f>
        <v>15.798299999999999</v>
      </c>
      <c r="O828" s="81">
        <f>15.7154 * CHOOSE(CONTROL!$C$32, $C$9, 100%, $E$9)</f>
        <v>15.715400000000001</v>
      </c>
    </row>
    <row r="829" spans="1:15" ht="15">
      <c r="A829" s="16">
        <v>66446</v>
      </c>
      <c r="B829" s="80">
        <f>13.8535 * CHOOSE(CONTROL!$C$32, $C$9, 100%, $E$9)</f>
        <v>13.8535</v>
      </c>
      <c r="C829" s="80">
        <f>13.8535 * CHOOSE(CONTROL!$C$32, $C$9, 100%, $E$9)</f>
        <v>13.8535</v>
      </c>
      <c r="D829" s="80">
        <f>13.7862 * CHOOSE(CONTROL!$C$32, $C$9, 100%, $E$9)</f>
        <v>13.786199999999999</v>
      </c>
      <c r="E829" s="81">
        <f>15.6529 * CHOOSE(CONTROL!$C$32, $C$9, 100%, $E$9)</f>
        <v>15.652900000000001</v>
      </c>
      <c r="F829" s="81">
        <f>15.6529 * CHOOSE(CONTROL!$C$32, $C$9, 100%, $E$9)</f>
        <v>15.652900000000001</v>
      </c>
      <c r="G829" s="81">
        <f>15.57 * CHOOSE(CONTROL!$C$32, $C$9, 100%, $E$9)</f>
        <v>15.57</v>
      </c>
      <c r="H829" s="81">
        <f>28.9849 * CHOOSE(CONTROL!$C$32, $C$9, 100%, $E$9)</f>
        <v>28.9849</v>
      </c>
      <c r="I829" s="81">
        <f>28.902 * CHOOSE(CONTROL!$C$32, $C$9, 100%, $E$9)</f>
        <v>28.902000000000001</v>
      </c>
      <c r="J829" s="81">
        <f>28.9849 * CHOOSE(CONTROL!$C$32, $C$9, 100%, $E$9)</f>
        <v>28.9849</v>
      </c>
      <c r="K829" s="81">
        <f>28.902 * CHOOSE(CONTROL!$C$32, $C$9, 100%, $E$9)</f>
        <v>28.902000000000001</v>
      </c>
      <c r="L829" s="81">
        <f>15.6529 * CHOOSE(CONTROL!$C$32, $C$9, 100%, $E$9)</f>
        <v>15.652900000000001</v>
      </c>
      <c r="M829" s="81">
        <f>15.57 * CHOOSE(CONTROL!$C$32, $C$9, 100%, $E$9)</f>
        <v>15.57</v>
      </c>
      <c r="N829" s="81">
        <f>15.6529 * CHOOSE(CONTROL!$C$32, $C$9, 100%, $E$9)</f>
        <v>15.652900000000001</v>
      </c>
      <c r="O829" s="81">
        <f>15.57 * CHOOSE(CONTROL!$C$32, $C$9, 100%, $E$9)</f>
        <v>15.57</v>
      </c>
    </row>
    <row r="830" spans="1:15" ht="15">
      <c r="A830" s="16">
        <v>66477</v>
      </c>
      <c r="B830" s="80">
        <f>13.8432 * CHOOSE(CONTROL!$C$32, $C$9, 100%, $E$9)</f>
        <v>13.8432</v>
      </c>
      <c r="C830" s="80">
        <f>13.8432 * CHOOSE(CONTROL!$C$32, $C$9, 100%, $E$9)</f>
        <v>13.8432</v>
      </c>
      <c r="D830" s="80">
        <f>13.7723 * CHOOSE(CONTROL!$C$32, $C$9, 100%, $E$9)</f>
        <v>13.7723</v>
      </c>
      <c r="E830" s="81">
        <f>15.7582 * CHOOSE(CONTROL!$C$32, $C$9, 100%, $E$9)</f>
        <v>15.7582</v>
      </c>
      <c r="F830" s="81">
        <f>15.7582 * CHOOSE(CONTROL!$C$32, $C$9, 100%, $E$9)</f>
        <v>15.7582</v>
      </c>
      <c r="G830" s="81">
        <f>15.6709 * CHOOSE(CONTROL!$C$32, $C$9, 100%, $E$9)</f>
        <v>15.6709</v>
      </c>
      <c r="H830" s="81">
        <f>28.8047 * CHOOSE(CONTROL!$C$32, $C$9, 100%, $E$9)</f>
        <v>28.8047</v>
      </c>
      <c r="I830" s="81">
        <f>28.7174 * CHOOSE(CONTROL!$C$32, $C$9, 100%, $E$9)</f>
        <v>28.717400000000001</v>
      </c>
      <c r="J830" s="81">
        <f>28.8047 * CHOOSE(CONTROL!$C$32, $C$9, 100%, $E$9)</f>
        <v>28.8047</v>
      </c>
      <c r="K830" s="81">
        <f>28.7174 * CHOOSE(CONTROL!$C$32, $C$9, 100%, $E$9)</f>
        <v>28.717400000000001</v>
      </c>
      <c r="L830" s="81">
        <f>15.7582 * CHOOSE(CONTROL!$C$32, $C$9, 100%, $E$9)</f>
        <v>15.7582</v>
      </c>
      <c r="M830" s="81">
        <f>15.6709 * CHOOSE(CONTROL!$C$32, $C$9, 100%, $E$9)</f>
        <v>15.6709</v>
      </c>
      <c r="N830" s="81">
        <f>15.7582 * CHOOSE(CONTROL!$C$32, $C$9, 100%, $E$9)</f>
        <v>15.7582</v>
      </c>
      <c r="O830" s="81">
        <f>15.6709 * CHOOSE(CONTROL!$C$32, $C$9, 100%, $E$9)</f>
        <v>15.6709</v>
      </c>
    </row>
    <row r="831" spans="1:15" ht="15">
      <c r="A831" s="16">
        <v>66508</v>
      </c>
      <c r="B831" s="80">
        <f>13.8401 * CHOOSE(CONTROL!$C$32, $C$9, 100%, $E$9)</f>
        <v>13.8401</v>
      </c>
      <c r="C831" s="80">
        <f>13.8401 * CHOOSE(CONTROL!$C$32, $C$9, 100%, $E$9)</f>
        <v>13.8401</v>
      </c>
      <c r="D831" s="80">
        <f>13.7693 * CHOOSE(CONTROL!$C$32, $C$9, 100%, $E$9)</f>
        <v>13.769299999999999</v>
      </c>
      <c r="E831" s="81">
        <f>15.4765 * CHOOSE(CONTROL!$C$32, $C$9, 100%, $E$9)</f>
        <v>15.4765</v>
      </c>
      <c r="F831" s="81">
        <f>15.4765 * CHOOSE(CONTROL!$C$32, $C$9, 100%, $E$9)</f>
        <v>15.4765</v>
      </c>
      <c r="G831" s="81">
        <f>15.3892 * CHOOSE(CONTROL!$C$32, $C$9, 100%, $E$9)</f>
        <v>15.389200000000001</v>
      </c>
      <c r="H831" s="81">
        <f>28.8647 * CHOOSE(CONTROL!$C$32, $C$9, 100%, $E$9)</f>
        <v>28.864699999999999</v>
      </c>
      <c r="I831" s="81">
        <f>28.7774 * CHOOSE(CONTROL!$C$32, $C$9, 100%, $E$9)</f>
        <v>28.7774</v>
      </c>
      <c r="J831" s="81">
        <f>28.8647 * CHOOSE(CONTROL!$C$32, $C$9, 100%, $E$9)</f>
        <v>28.864699999999999</v>
      </c>
      <c r="K831" s="81">
        <f>28.7774 * CHOOSE(CONTROL!$C$32, $C$9, 100%, $E$9)</f>
        <v>28.7774</v>
      </c>
      <c r="L831" s="81">
        <f>15.4765 * CHOOSE(CONTROL!$C$32, $C$9, 100%, $E$9)</f>
        <v>15.4765</v>
      </c>
      <c r="M831" s="81">
        <f>15.3892 * CHOOSE(CONTROL!$C$32, $C$9, 100%, $E$9)</f>
        <v>15.389200000000001</v>
      </c>
      <c r="N831" s="81">
        <f>15.4765 * CHOOSE(CONTROL!$C$32, $C$9, 100%, $E$9)</f>
        <v>15.4765</v>
      </c>
      <c r="O831" s="81">
        <f>15.3892 * CHOOSE(CONTROL!$C$32, $C$9, 100%, $E$9)</f>
        <v>15.389200000000001</v>
      </c>
    </row>
    <row r="832" spans="1:15" ht="15">
      <c r="A832" s="16">
        <v>66536</v>
      </c>
      <c r="B832" s="80">
        <f>13.8371 * CHOOSE(CONTROL!$C$32, $C$9, 100%, $E$9)</f>
        <v>13.8371</v>
      </c>
      <c r="C832" s="80">
        <f>13.8371 * CHOOSE(CONTROL!$C$32, $C$9, 100%, $E$9)</f>
        <v>13.8371</v>
      </c>
      <c r="D832" s="80">
        <f>13.7662 * CHOOSE(CONTROL!$C$32, $C$9, 100%, $E$9)</f>
        <v>13.7662</v>
      </c>
      <c r="E832" s="81">
        <f>15.6948 * CHOOSE(CONTROL!$C$32, $C$9, 100%, $E$9)</f>
        <v>15.694800000000001</v>
      </c>
      <c r="F832" s="81">
        <f>15.6948 * CHOOSE(CONTROL!$C$32, $C$9, 100%, $E$9)</f>
        <v>15.694800000000001</v>
      </c>
      <c r="G832" s="81">
        <f>15.6075 * CHOOSE(CONTROL!$C$32, $C$9, 100%, $E$9)</f>
        <v>15.6075</v>
      </c>
      <c r="H832" s="81">
        <f>28.9248 * CHOOSE(CONTROL!$C$32, $C$9, 100%, $E$9)</f>
        <v>28.924800000000001</v>
      </c>
      <c r="I832" s="81">
        <f>28.8375 * CHOOSE(CONTROL!$C$32, $C$9, 100%, $E$9)</f>
        <v>28.837499999999999</v>
      </c>
      <c r="J832" s="81">
        <f>28.9248 * CHOOSE(CONTROL!$C$32, $C$9, 100%, $E$9)</f>
        <v>28.924800000000001</v>
      </c>
      <c r="K832" s="81">
        <f>28.8375 * CHOOSE(CONTROL!$C$32, $C$9, 100%, $E$9)</f>
        <v>28.837499999999999</v>
      </c>
      <c r="L832" s="81">
        <f>15.6948 * CHOOSE(CONTROL!$C$32, $C$9, 100%, $E$9)</f>
        <v>15.694800000000001</v>
      </c>
      <c r="M832" s="81">
        <f>15.6075 * CHOOSE(CONTROL!$C$32, $C$9, 100%, $E$9)</f>
        <v>15.6075</v>
      </c>
      <c r="N832" s="81">
        <f>15.6948 * CHOOSE(CONTROL!$C$32, $C$9, 100%, $E$9)</f>
        <v>15.694800000000001</v>
      </c>
      <c r="O832" s="81">
        <f>15.6075 * CHOOSE(CONTROL!$C$32, $C$9, 100%, $E$9)</f>
        <v>15.6075</v>
      </c>
    </row>
    <row r="833" spans="1:15" ht="15">
      <c r="A833" s="16">
        <v>66567</v>
      </c>
      <c r="B833" s="80">
        <f>13.843 * CHOOSE(CONTROL!$C$32, $C$9, 100%, $E$9)</f>
        <v>13.843</v>
      </c>
      <c r="C833" s="80">
        <f>13.843 * CHOOSE(CONTROL!$C$32, $C$9, 100%, $E$9)</f>
        <v>13.843</v>
      </c>
      <c r="D833" s="80">
        <f>13.7721 * CHOOSE(CONTROL!$C$32, $C$9, 100%, $E$9)</f>
        <v>13.7721</v>
      </c>
      <c r="E833" s="81">
        <f>15.9273 * CHOOSE(CONTROL!$C$32, $C$9, 100%, $E$9)</f>
        <v>15.927300000000001</v>
      </c>
      <c r="F833" s="81">
        <f>15.9273 * CHOOSE(CONTROL!$C$32, $C$9, 100%, $E$9)</f>
        <v>15.927300000000001</v>
      </c>
      <c r="G833" s="81">
        <f>15.84 * CHOOSE(CONTROL!$C$32, $C$9, 100%, $E$9)</f>
        <v>15.84</v>
      </c>
      <c r="H833" s="81">
        <f>28.9851 * CHOOSE(CONTROL!$C$32, $C$9, 100%, $E$9)</f>
        <v>28.985099999999999</v>
      </c>
      <c r="I833" s="81">
        <f>28.8978 * CHOOSE(CONTROL!$C$32, $C$9, 100%, $E$9)</f>
        <v>28.8978</v>
      </c>
      <c r="J833" s="81">
        <f>28.9851 * CHOOSE(CONTROL!$C$32, $C$9, 100%, $E$9)</f>
        <v>28.985099999999999</v>
      </c>
      <c r="K833" s="81">
        <f>28.8978 * CHOOSE(CONTROL!$C$32, $C$9, 100%, $E$9)</f>
        <v>28.8978</v>
      </c>
      <c r="L833" s="81">
        <f>15.9273 * CHOOSE(CONTROL!$C$32, $C$9, 100%, $E$9)</f>
        <v>15.927300000000001</v>
      </c>
      <c r="M833" s="81">
        <f>15.84 * CHOOSE(CONTROL!$C$32, $C$9, 100%, $E$9)</f>
        <v>15.84</v>
      </c>
      <c r="N833" s="81">
        <f>15.9273 * CHOOSE(CONTROL!$C$32, $C$9, 100%, $E$9)</f>
        <v>15.927300000000001</v>
      </c>
      <c r="O833" s="81">
        <f>15.84 * CHOOSE(CONTROL!$C$32, $C$9, 100%, $E$9)</f>
        <v>15.84</v>
      </c>
    </row>
    <row r="834" spans="1:15" ht="15">
      <c r="A834" s="16">
        <v>66597</v>
      </c>
      <c r="B834" s="80">
        <f>13.843 * CHOOSE(CONTROL!$C$32, $C$9, 100%, $E$9)</f>
        <v>13.843</v>
      </c>
      <c r="C834" s="80">
        <f>13.843 * CHOOSE(CONTROL!$C$32, $C$9, 100%, $E$9)</f>
        <v>13.843</v>
      </c>
      <c r="D834" s="80">
        <f>13.7397 * CHOOSE(CONTROL!$C$32, $C$9, 100%, $E$9)</f>
        <v>13.739699999999999</v>
      </c>
      <c r="E834" s="81">
        <f>16.0161 * CHOOSE(CONTROL!$C$32, $C$9, 100%, $E$9)</f>
        <v>16.016100000000002</v>
      </c>
      <c r="F834" s="81">
        <f>16.0161 * CHOOSE(CONTROL!$C$32, $C$9, 100%, $E$9)</f>
        <v>16.016100000000002</v>
      </c>
      <c r="G834" s="81">
        <f>15.8898 * CHOOSE(CONTROL!$C$32, $C$9, 100%, $E$9)</f>
        <v>15.889799999999999</v>
      </c>
      <c r="H834" s="81">
        <f>29.0455 * CHOOSE(CONTROL!$C$32, $C$9, 100%, $E$9)</f>
        <v>29.045500000000001</v>
      </c>
      <c r="I834" s="81">
        <f>28.9192 * CHOOSE(CONTROL!$C$32, $C$9, 100%, $E$9)</f>
        <v>28.9192</v>
      </c>
      <c r="J834" s="81">
        <f>29.0455 * CHOOSE(CONTROL!$C$32, $C$9, 100%, $E$9)</f>
        <v>29.045500000000001</v>
      </c>
      <c r="K834" s="81">
        <f>28.9192 * CHOOSE(CONTROL!$C$32, $C$9, 100%, $E$9)</f>
        <v>28.9192</v>
      </c>
      <c r="L834" s="81">
        <f>16.0161 * CHOOSE(CONTROL!$C$32, $C$9, 100%, $E$9)</f>
        <v>16.016100000000002</v>
      </c>
      <c r="M834" s="81">
        <f>15.8898 * CHOOSE(CONTROL!$C$32, $C$9, 100%, $E$9)</f>
        <v>15.889799999999999</v>
      </c>
      <c r="N834" s="81">
        <f>16.0161 * CHOOSE(CONTROL!$C$32, $C$9, 100%, $E$9)</f>
        <v>16.016100000000002</v>
      </c>
      <c r="O834" s="81">
        <f>15.8898 * CHOOSE(CONTROL!$C$32, $C$9, 100%, $E$9)</f>
        <v>15.889799999999999</v>
      </c>
    </row>
    <row r="835" spans="1:15" ht="15">
      <c r="A835" s="16">
        <v>66628</v>
      </c>
      <c r="B835" s="80">
        <f>13.8491 * CHOOSE(CONTROL!$C$32, $C$9, 100%, $E$9)</f>
        <v>13.8491</v>
      </c>
      <c r="C835" s="80">
        <f>13.8491 * CHOOSE(CONTROL!$C$32, $C$9, 100%, $E$9)</f>
        <v>13.8491</v>
      </c>
      <c r="D835" s="80">
        <f>13.7458 * CHOOSE(CONTROL!$C$32, $C$9, 100%, $E$9)</f>
        <v>13.745799999999999</v>
      </c>
      <c r="E835" s="81">
        <f>15.9316 * CHOOSE(CONTROL!$C$32, $C$9, 100%, $E$9)</f>
        <v>15.9316</v>
      </c>
      <c r="F835" s="81">
        <f>15.9316 * CHOOSE(CONTROL!$C$32, $C$9, 100%, $E$9)</f>
        <v>15.9316</v>
      </c>
      <c r="G835" s="81">
        <f>15.8053 * CHOOSE(CONTROL!$C$32, $C$9, 100%, $E$9)</f>
        <v>15.805300000000001</v>
      </c>
      <c r="H835" s="81">
        <f>29.106 * CHOOSE(CONTROL!$C$32, $C$9, 100%, $E$9)</f>
        <v>29.106000000000002</v>
      </c>
      <c r="I835" s="81">
        <f>28.9797 * CHOOSE(CONTROL!$C$32, $C$9, 100%, $E$9)</f>
        <v>28.979700000000001</v>
      </c>
      <c r="J835" s="81">
        <f>29.106 * CHOOSE(CONTROL!$C$32, $C$9, 100%, $E$9)</f>
        <v>29.106000000000002</v>
      </c>
      <c r="K835" s="81">
        <f>28.9797 * CHOOSE(CONTROL!$C$32, $C$9, 100%, $E$9)</f>
        <v>28.979700000000001</v>
      </c>
      <c r="L835" s="81">
        <f>15.9316 * CHOOSE(CONTROL!$C$32, $C$9, 100%, $E$9)</f>
        <v>15.9316</v>
      </c>
      <c r="M835" s="81">
        <f>15.8053 * CHOOSE(CONTROL!$C$32, $C$9, 100%, $E$9)</f>
        <v>15.805300000000001</v>
      </c>
      <c r="N835" s="81">
        <f>15.9316 * CHOOSE(CONTROL!$C$32, $C$9, 100%, $E$9)</f>
        <v>15.9316</v>
      </c>
      <c r="O835" s="81">
        <f>15.8053 * CHOOSE(CONTROL!$C$32, $C$9, 100%, $E$9)</f>
        <v>15.805300000000001</v>
      </c>
    </row>
    <row r="836" spans="1:15" ht="15">
      <c r="A836" s="16">
        <v>66658</v>
      </c>
      <c r="B836" s="80">
        <f>14.0592 * CHOOSE(CONTROL!$C$32, $C$9, 100%, $E$9)</f>
        <v>14.059200000000001</v>
      </c>
      <c r="C836" s="80">
        <f>14.0592 * CHOOSE(CONTROL!$C$32, $C$9, 100%, $E$9)</f>
        <v>14.059200000000001</v>
      </c>
      <c r="D836" s="80">
        <f>13.956 * CHOOSE(CONTROL!$C$32, $C$9, 100%, $E$9)</f>
        <v>13.956</v>
      </c>
      <c r="E836" s="81">
        <f>16.1851 * CHOOSE(CONTROL!$C$32, $C$9, 100%, $E$9)</f>
        <v>16.185099999999998</v>
      </c>
      <c r="F836" s="81">
        <f>16.1851 * CHOOSE(CONTROL!$C$32, $C$9, 100%, $E$9)</f>
        <v>16.185099999999998</v>
      </c>
      <c r="G836" s="81">
        <f>16.0588 * CHOOSE(CONTROL!$C$32, $C$9, 100%, $E$9)</f>
        <v>16.058800000000002</v>
      </c>
      <c r="H836" s="81">
        <f>29.1666 * CHOOSE(CONTROL!$C$32, $C$9, 100%, $E$9)</f>
        <v>29.166599999999999</v>
      </c>
      <c r="I836" s="81">
        <f>29.0403 * CHOOSE(CONTROL!$C$32, $C$9, 100%, $E$9)</f>
        <v>29.040299999999998</v>
      </c>
      <c r="J836" s="81">
        <f>29.1666 * CHOOSE(CONTROL!$C$32, $C$9, 100%, $E$9)</f>
        <v>29.166599999999999</v>
      </c>
      <c r="K836" s="81">
        <f>29.0403 * CHOOSE(CONTROL!$C$32, $C$9, 100%, $E$9)</f>
        <v>29.040299999999998</v>
      </c>
      <c r="L836" s="81">
        <f>16.1851 * CHOOSE(CONTROL!$C$32, $C$9, 100%, $E$9)</f>
        <v>16.185099999999998</v>
      </c>
      <c r="M836" s="81">
        <f>16.0588 * CHOOSE(CONTROL!$C$32, $C$9, 100%, $E$9)</f>
        <v>16.058800000000002</v>
      </c>
      <c r="N836" s="81">
        <f>16.1851 * CHOOSE(CONTROL!$C$32, $C$9, 100%, $E$9)</f>
        <v>16.185099999999998</v>
      </c>
      <c r="O836" s="81">
        <f>16.0588 * CHOOSE(CONTROL!$C$32, $C$9, 100%, $E$9)</f>
        <v>16.058800000000002</v>
      </c>
    </row>
    <row r="837" spans="1:15" ht="15">
      <c r="A837" s="16">
        <v>66689</v>
      </c>
      <c r="B837" s="80">
        <f>14.0659 * CHOOSE(CONTROL!$C$32, $C$9, 100%, $E$9)</f>
        <v>14.065899999999999</v>
      </c>
      <c r="C837" s="80">
        <f>14.0659 * CHOOSE(CONTROL!$C$32, $C$9, 100%, $E$9)</f>
        <v>14.065899999999999</v>
      </c>
      <c r="D837" s="80">
        <f>13.9627 * CHOOSE(CONTROL!$C$32, $C$9, 100%, $E$9)</f>
        <v>13.9627</v>
      </c>
      <c r="E837" s="81">
        <f>15.9234 * CHOOSE(CONTROL!$C$32, $C$9, 100%, $E$9)</f>
        <v>15.923400000000001</v>
      </c>
      <c r="F837" s="81">
        <f>15.9234 * CHOOSE(CONTROL!$C$32, $C$9, 100%, $E$9)</f>
        <v>15.923400000000001</v>
      </c>
      <c r="G837" s="81">
        <f>15.7971 * CHOOSE(CONTROL!$C$32, $C$9, 100%, $E$9)</f>
        <v>15.7971</v>
      </c>
      <c r="H837" s="81">
        <f>29.2274 * CHOOSE(CONTROL!$C$32, $C$9, 100%, $E$9)</f>
        <v>29.227399999999999</v>
      </c>
      <c r="I837" s="81">
        <f>29.1011 * CHOOSE(CONTROL!$C$32, $C$9, 100%, $E$9)</f>
        <v>29.101099999999999</v>
      </c>
      <c r="J837" s="81">
        <f>29.2274 * CHOOSE(CONTROL!$C$32, $C$9, 100%, $E$9)</f>
        <v>29.227399999999999</v>
      </c>
      <c r="K837" s="81">
        <f>29.1011 * CHOOSE(CONTROL!$C$32, $C$9, 100%, $E$9)</f>
        <v>29.101099999999999</v>
      </c>
      <c r="L837" s="81">
        <f>15.9234 * CHOOSE(CONTROL!$C$32, $C$9, 100%, $E$9)</f>
        <v>15.923400000000001</v>
      </c>
      <c r="M837" s="81">
        <f>15.7971 * CHOOSE(CONTROL!$C$32, $C$9, 100%, $E$9)</f>
        <v>15.7971</v>
      </c>
      <c r="N837" s="81">
        <f>15.9234 * CHOOSE(CONTROL!$C$32, $C$9, 100%, $E$9)</f>
        <v>15.923400000000001</v>
      </c>
      <c r="O837" s="81">
        <f>15.7971 * CHOOSE(CONTROL!$C$32, $C$9, 100%, $E$9)</f>
        <v>15.7971</v>
      </c>
    </row>
    <row r="838" spans="1:15" ht="15">
      <c r="A838" s="16">
        <v>66720</v>
      </c>
      <c r="B838" s="80">
        <f>14.0629 * CHOOSE(CONTROL!$C$32, $C$9, 100%, $E$9)</f>
        <v>14.062900000000001</v>
      </c>
      <c r="C838" s="80">
        <f>14.0629 * CHOOSE(CONTROL!$C$32, $C$9, 100%, $E$9)</f>
        <v>14.062900000000001</v>
      </c>
      <c r="D838" s="80">
        <f>13.9596 * CHOOSE(CONTROL!$C$32, $C$9, 100%, $E$9)</f>
        <v>13.9596</v>
      </c>
      <c r="E838" s="81">
        <f>15.8917 * CHOOSE(CONTROL!$C$32, $C$9, 100%, $E$9)</f>
        <v>15.8917</v>
      </c>
      <c r="F838" s="81">
        <f>15.8917 * CHOOSE(CONTROL!$C$32, $C$9, 100%, $E$9)</f>
        <v>15.8917</v>
      </c>
      <c r="G838" s="81">
        <f>15.7654 * CHOOSE(CONTROL!$C$32, $C$9, 100%, $E$9)</f>
        <v>15.7654</v>
      </c>
      <c r="H838" s="81">
        <f>29.2883 * CHOOSE(CONTROL!$C$32, $C$9, 100%, $E$9)</f>
        <v>29.2883</v>
      </c>
      <c r="I838" s="81">
        <f>29.162 * CHOOSE(CONTROL!$C$32, $C$9, 100%, $E$9)</f>
        <v>29.161999999999999</v>
      </c>
      <c r="J838" s="81">
        <f>29.2883 * CHOOSE(CONTROL!$C$32, $C$9, 100%, $E$9)</f>
        <v>29.2883</v>
      </c>
      <c r="K838" s="81">
        <f>29.162 * CHOOSE(CONTROL!$C$32, $C$9, 100%, $E$9)</f>
        <v>29.161999999999999</v>
      </c>
      <c r="L838" s="81">
        <f>15.8917 * CHOOSE(CONTROL!$C$32, $C$9, 100%, $E$9)</f>
        <v>15.8917</v>
      </c>
      <c r="M838" s="81">
        <f>15.7654 * CHOOSE(CONTROL!$C$32, $C$9, 100%, $E$9)</f>
        <v>15.7654</v>
      </c>
      <c r="N838" s="81">
        <f>15.8917 * CHOOSE(CONTROL!$C$32, $C$9, 100%, $E$9)</f>
        <v>15.8917</v>
      </c>
      <c r="O838" s="81">
        <f>15.7654 * CHOOSE(CONTROL!$C$32, $C$9, 100%, $E$9)</f>
        <v>15.7654</v>
      </c>
    </row>
    <row r="839" spans="1:15" ht="15">
      <c r="A839" s="16">
        <v>66750</v>
      </c>
      <c r="B839" s="80">
        <f>14.0904 * CHOOSE(CONTROL!$C$32, $C$9, 100%, $E$9)</f>
        <v>14.090400000000001</v>
      </c>
      <c r="C839" s="80">
        <f>14.0904 * CHOOSE(CONTROL!$C$32, $C$9, 100%, $E$9)</f>
        <v>14.090400000000001</v>
      </c>
      <c r="D839" s="80">
        <f>14.0195 * CHOOSE(CONTROL!$C$32, $C$9, 100%, $E$9)</f>
        <v>14.019500000000001</v>
      </c>
      <c r="E839" s="81">
        <f>15.9967 * CHOOSE(CONTROL!$C$32, $C$9, 100%, $E$9)</f>
        <v>15.996700000000001</v>
      </c>
      <c r="F839" s="81">
        <f>15.9967 * CHOOSE(CONTROL!$C$32, $C$9, 100%, $E$9)</f>
        <v>15.996700000000001</v>
      </c>
      <c r="G839" s="81">
        <f>15.9094 * CHOOSE(CONTROL!$C$32, $C$9, 100%, $E$9)</f>
        <v>15.9094</v>
      </c>
      <c r="H839" s="81">
        <f>29.3493 * CHOOSE(CONTROL!$C$32, $C$9, 100%, $E$9)</f>
        <v>29.349299999999999</v>
      </c>
      <c r="I839" s="81">
        <f>29.262 * CHOOSE(CONTROL!$C$32, $C$9, 100%, $E$9)</f>
        <v>29.262</v>
      </c>
      <c r="J839" s="81">
        <f>29.3493 * CHOOSE(CONTROL!$C$32, $C$9, 100%, $E$9)</f>
        <v>29.349299999999999</v>
      </c>
      <c r="K839" s="81">
        <f>29.262 * CHOOSE(CONTROL!$C$32, $C$9, 100%, $E$9)</f>
        <v>29.262</v>
      </c>
      <c r="L839" s="81">
        <f>15.9967 * CHOOSE(CONTROL!$C$32, $C$9, 100%, $E$9)</f>
        <v>15.996700000000001</v>
      </c>
      <c r="M839" s="81">
        <f>15.9094 * CHOOSE(CONTROL!$C$32, $C$9, 100%, $E$9)</f>
        <v>15.9094</v>
      </c>
      <c r="N839" s="81">
        <f>15.9967 * CHOOSE(CONTROL!$C$32, $C$9, 100%, $E$9)</f>
        <v>15.996700000000001</v>
      </c>
      <c r="O839" s="81">
        <f>15.9094 * CHOOSE(CONTROL!$C$32, $C$9, 100%, $E$9)</f>
        <v>15.9094</v>
      </c>
    </row>
    <row r="840" spans="1:15" ht="15">
      <c r="A840" s="16">
        <v>66781</v>
      </c>
      <c r="B840" s="80">
        <f>14.0934 * CHOOSE(CONTROL!$C$32, $C$9, 100%, $E$9)</f>
        <v>14.093400000000001</v>
      </c>
      <c r="C840" s="80">
        <f>14.0934 * CHOOSE(CONTROL!$C$32, $C$9, 100%, $E$9)</f>
        <v>14.093400000000001</v>
      </c>
      <c r="D840" s="80">
        <f>14.0226 * CHOOSE(CONTROL!$C$32, $C$9, 100%, $E$9)</f>
        <v>14.022600000000001</v>
      </c>
      <c r="E840" s="81">
        <f>16.058 * CHOOSE(CONTROL!$C$32, $C$9, 100%, $E$9)</f>
        <v>16.058</v>
      </c>
      <c r="F840" s="81">
        <f>16.058 * CHOOSE(CONTROL!$C$32, $C$9, 100%, $E$9)</f>
        <v>16.058</v>
      </c>
      <c r="G840" s="81">
        <f>15.9707 * CHOOSE(CONTROL!$C$32, $C$9, 100%, $E$9)</f>
        <v>15.970700000000001</v>
      </c>
      <c r="H840" s="81">
        <f>29.4104 * CHOOSE(CONTROL!$C$32, $C$9, 100%, $E$9)</f>
        <v>29.410399999999999</v>
      </c>
      <c r="I840" s="81">
        <f>29.3231 * CHOOSE(CONTROL!$C$32, $C$9, 100%, $E$9)</f>
        <v>29.3231</v>
      </c>
      <c r="J840" s="81">
        <f>29.4104 * CHOOSE(CONTROL!$C$32, $C$9, 100%, $E$9)</f>
        <v>29.410399999999999</v>
      </c>
      <c r="K840" s="81">
        <f>29.3231 * CHOOSE(CONTROL!$C$32, $C$9, 100%, $E$9)</f>
        <v>29.3231</v>
      </c>
      <c r="L840" s="81">
        <f>16.058 * CHOOSE(CONTROL!$C$32, $C$9, 100%, $E$9)</f>
        <v>16.058</v>
      </c>
      <c r="M840" s="81">
        <f>15.9707 * CHOOSE(CONTROL!$C$32, $C$9, 100%, $E$9)</f>
        <v>15.970700000000001</v>
      </c>
      <c r="N840" s="81">
        <f>16.058 * CHOOSE(CONTROL!$C$32, $C$9, 100%, $E$9)</f>
        <v>16.058</v>
      </c>
      <c r="O840" s="81">
        <f>15.9707 * CHOOSE(CONTROL!$C$32, $C$9, 100%, $E$9)</f>
        <v>15.970700000000001</v>
      </c>
    </row>
    <row r="841" spans="1:15" ht="15">
      <c r="A841" s="16">
        <v>66811</v>
      </c>
      <c r="B841" s="80">
        <f>14.0934 * CHOOSE(CONTROL!$C$32, $C$9, 100%, $E$9)</f>
        <v>14.093400000000001</v>
      </c>
      <c r="C841" s="80">
        <f>14.0934 * CHOOSE(CONTROL!$C$32, $C$9, 100%, $E$9)</f>
        <v>14.093400000000001</v>
      </c>
      <c r="D841" s="80">
        <f>14.0226 * CHOOSE(CONTROL!$C$32, $C$9, 100%, $E$9)</f>
        <v>14.022600000000001</v>
      </c>
      <c r="E841" s="81">
        <f>15.91 * CHOOSE(CONTROL!$C$32, $C$9, 100%, $E$9)</f>
        <v>15.91</v>
      </c>
      <c r="F841" s="81">
        <f>15.91 * CHOOSE(CONTROL!$C$32, $C$9, 100%, $E$9)</f>
        <v>15.91</v>
      </c>
      <c r="G841" s="81">
        <f>15.8227 * CHOOSE(CONTROL!$C$32, $C$9, 100%, $E$9)</f>
        <v>15.822699999999999</v>
      </c>
      <c r="H841" s="81">
        <f>29.4717 * CHOOSE(CONTROL!$C$32, $C$9, 100%, $E$9)</f>
        <v>29.471699999999998</v>
      </c>
      <c r="I841" s="81">
        <f>29.3844 * CHOOSE(CONTROL!$C$32, $C$9, 100%, $E$9)</f>
        <v>29.384399999999999</v>
      </c>
      <c r="J841" s="81">
        <f>29.4717 * CHOOSE(CONTROL!$C$32, $C$9, 100%, $E$9)</f>
        <v>29.471699999999998</v>
      </c>
      <c r="K841" s="81">
        <f>29.3844 * CHOOSE(CONTROL!$C$32, $C$9, 100%, $E$9)</f>
        <v>29.384399999999999</v>
      </c>
      <c r="L841" s="81">
        <f>15.91 * CHOOSE(CONTROL!$C$32, $C$9, 100%, $E$9)</f>
        <v>15.91</v>
      </c>
      <c r="M841" s="81">
        <f>15.8227 * CHOOSE(CONTROL!$C$32, $C$9, 100%, $E$9)</f>
        <v>15.822699999999999</v>
      </c>
      <c r="N841" s="81">
        <f>15.91 * CHOOSE(CONTROL!$C$32, $C$9, 100%, $E$9)</f>
        <v>15.91</v>
      </c>
      <c r="O841" s="81">
        <f>15.8227 * CHOOSE(CONTROL!$C$32, $C$9, 100%, $E$9)</f>
        <v>15.822699999999999</v>
      </c>
    </row>
    <row r="842" spans="1:15" ht="15">
      <c r="A842" s="16">
        <v>66842</v>
      </c>
      <c r="B842" s="80">
        <f>14.0787 * CHOOSE(CONTROL!$C$32, $C$9, 100%, $E$9)</f>
        <v>14.0787</v>
      </c>
      <c r="C842" s="80">
        <f>14.0787 * CHOOSE(CONTROL!$C$32, $C$9, 100%, $E$9)</f>
        <v>14.0787</v>
      </c>
      <c r="D842" s="80">
        <f>14.0043 * CHOOSE(CONTROL!$C$32, $C$9, 100%, $E$9)</f>
        <v>14.004300000000001</v>
      </c>
      <c r="E842" s="81">
        <f>16.013 * CHOOSE(CONTROL!$C$32, $C$9, 100%, $E$9)</f>
        <v>16.013000000000002</v>
      </c>
      <c r="F842" s="81">
        <f>16.013 * CHOOSE(CONTROL!$C$32, $C$9, 100%, $E$9)</f>
        <v>16.013000000000002</v>
      </c>
      <c r="G842" s="81">
        <f>15.9213 * CHOOSE(CONTROL!$C$32, $C$9, 100%, $E$9)</f>
        <v>15.9213</v>
      </c>
      <c r="H842" s="81">
        <f>29.2804 * CHOOSE(CONTROL!$C$32, $C$9, 100%, $E$9)</f>
        <v>29.2804</v>
      </c>
      <c r="I842" s="81">
        <f>29.1888 * CHOOSE(CONTROL!$C$32, $C$9, 100%, $E$9)</f>
        <v>29.188800000000001</v>
      </c>
      <c r="J842" s="81">
        <f>29.2804 * CHOOSE(CONTROL!$C$32, $C$9, 100%, $E$9)</f>
        <v>29.2804</v>
      </c>
      <c r="K842" s="81">
        <f>29.1888 * CHOOSE(CONTROL!$C$32, $C$9, 100%, $E$9)</f>
        <v>29.188800000000001</v>
      </c>
      <c r="L842" s="81">
        <f>16.013 * CHOOSE(CONTROL!$C$32, $C$9, 100%, $E$9)</f>
        <v>16.013000000000002</v>
      </c>
      <c r="M842" s="81">
        <f>15.9213 * CHOOSE(CONTROL!$C$32, $C$9, 100%, $E$9)</f>
        <v>15.9213</v>
      </c>
      <c r="N842" s="81">
        <f>16.013 * CHOOSE(CONTROL!$C$32, $C$9, 100%, $E$9)</f>
        <v>16.013000000000002</v>
      </c>
      <c r="O842" s="81">
        <f>15.9213 * CHOOSE(CONTROL!$C$32, $C$9, 100%, $E$9)</f>
        <v>15.9213</v>
      </c>
    </row>
    <row r="843" spans="1:15" ht="15">
      <c r="A843" s="16">
        <v>66873</v>
      </c>
      <c r="B843" s="80">
        <f>14.0757 * CHOOSE(CONTROL!$C$32, $C$9, 100%, $E$9)</f>
        <v>14.075699999999999</v>
      </c>
      <c r="C843" s="80">
        <f>14.0757 * CHOOSE(CONTROL!$C$32, $C$9, 100%, $E$9)</f>
        <v>14.075699999999999</v>
      </c>
      <c r="D843" s="80">
        <f>14.0013 * CHOOSE(CONTROL!$C$32, $C$9, 100%, $E$9)</f>
        <v>14.001300000000001</v>
      </c>
      <c r="E843" s="81">
        <f>15.7262 * CHOOSE(CONTROL!$C$32, $C$9, 100%, $E$9)</f>
        <v>15.7262</v>
      </c>
      <c r="F843" s="81">
        <f>15.7262 * CHOOSE(CONTROL!$C$32, $C$9, 100%, $E$9)</f>
        <v>15.7262</v>
      </c>
      <c r="G843" s="81">
        <f>15.6346 * CHOOSE(CONTROL!$C$32, $C$9, 100%, $E$9)</f>
        <v>15.634600000000001</v>
      </c>
      <c r="H843" s="81">
        <f>29.3414 * CHOOSE(CONTROL!$C$32, $C$9, 100%, $E$9)</f>
        <v>29.3414</v>
      </c>
      <c r="I843" s="81">
        <f>29.2498 * CHOOSE(CONTROL!$C$32, $C$9, 100%, $E$9)</f>
        <v>29.2498</v>
      </c>
      <c r="J843" s="81">
        <f>29.3414 * CHOOSE(CONTROL!$C$32, $C$9, 100%, $E$9)</f>
        <v>29.3414</v>
      </c>
      <c r="K843" s="81">
        <f>29.2498 * CHOOSE(CONTROL!$C$32, $C$9, 100%, $E$9)</f>
        <v>29.2498</v>
      </c>
      <c r="L843" s="81">
        <f>15.7262 * CHOOSE(CONTROL!$C$32, $C$9, 100%, $E$9)</f>
        <v>15.7262</v>
      </c>
      <c r="M843" s="81">
        <f>15.6346 * CHOOSE(CONTROL!$C$32, $C$9, 100%, $E$9)</f>
        <v>15.634600000000001</v>
      </c>
      <c r="N843" s="81">
        <f>15.7262 * CHOOSE(CONTROL!$C$32, $C$9, 100%, $E$9)</f>
        <v>15.7262</v>
      </c>
      <c r="O843" s="81">
        <f>15.6346 * CHOOSE(CONTROL!$C$32, $C$9, 100%, $E$9)</f>
        <v>15.634600000000001</v>
      </c>
    </row>
    <row r="844" spans="1:15" ht="15">
      <c r="A844" s="16">
        <v>66901</v>
      </c>
      <c r="B844" s="80">
        <f>14.0727 * CHOOSE(CONTROL!$C$32, $C$9, 100%, $E$9)</f>
        <v>14.072699999999999</v>
      </c>
      <c r="C844" s="80">
        <f>14.0727 * CHOOSE(CONTROL!$C$32, $C$9, 100%, $E$9)</f>
        <v>14.072699999999999</v>
      </c>
      <c r="D844" s="80">
        <f>13.9983 * CHOOSE(CONTROL!$C$32, $C$9, 100%, $E$9)</f>
        <v>13.9983</v>
      </c>
      <c r="E844" s="81">
        <f>15.9485 * CHOOSE(CONTROL!$C$32, $C$9, 100%, $E$9)</f>
        <v>15.948499999999999</v>
      </c>
      <c r="F844" s="81">
        <f>15.9485 * CHOOSE(CONTROL!$C$32, $C$9, 100%, $E$9)</f>
        <v>15.948499999999999</v>
      </c>
      <c r="G844" s="81">
        <f>15.8568 * CHOOSE(CONTROL!$C$32, $C$9, 100%, $E$9)</f>
        <v>15.8568</v>
      </c>
      <c r="H844" s="81">
        <f>29.4026 * CHOOSE(CONTROL!$C$32, $C$9, 100%, $E$9)</f>
        <v>29.4026</v>
      </c>
      <c r="I844" s="81">
        <f>29.3109 * CHOOSE(CONTROL!$C$32, $C$9, 100%, $E$9)</f>
        <v>29.3109</v>
      </c>
      <c r="J844" s="81">
        <f>29.4026 * CHOOSE(CONTROL!$C$32, $C$9, 100%, $E$9)</f>
        <v>29.4026</v>
      </c>
      <c r="K844" s="81">
        <f>29.3109 * CHOOSE(CONTROL!$C$32, $C$9, 100%, $E$9)</f>
        <v>29.3109</v>
      </c>
      <c r="L844" s="81">
        <f>15.9485 * CHOOSE(CONTROL!$C$32, $C$9, 100%, $E$9)</f>
        <v>15.948499999999999</v>
      </c>
      <c r="M844" s="81">
        <f>15.8568 * CHOOSE(CONTROL!$C$32, $C$9, 100%, $E$9)</f>
        <v>15.8568</v>
      </c>
      <c r="N844" s="81">
        <f>15.9485 * CHOOSE(CONTROL!$C$32, $C$9, 100%, $E$9)</f>
        <v>15.948499999999999</v>
      </c>
      <c r="O844" s="81">
        <f>15.8568 * CHOOSE(CONTROL!$C$32, $C$9, 100%, $E$9)</f>
        <v>15.8568</v>
      </c>
    </row>
    <row r="845" spans="1:15" ht="15">
      <c r="A845" s="16">
        <v>66932</v>
      </c>
      <c r="B845" s="80">
        <f>14.0787 * CHOOSE(CONTROL!$C$32, $C$9, 100%, $E$9)</f>
        <v>14.0787</v>
      </c>
      <c r="C845" s="80">
        <f>14.0787 * CHOOSE(CONTROL!$C$32, $C$9, 100%, $E$9)</f>
        <v>14.0787</v>
      </c>
      <c r="D845" s="80">
        <f>14.0044 * CHOOSE(CONTROL!$C$32, $C$9, 100%, $E$9)</f>
        <v>14.0044</v>
      </c>
      <c r="E845" s="81">
        <f>16.1852 * CHOOSE(CONTROL!$C$32, $C$9, 100%, $E$9)</f>
        <v>16.185199999999998</v>
      </c>
      <c r="F845" s="81">
        <f>16.1852 * CHOOSE(CONTROL!$C$32, $C$9, 100%, $E$9)</f>
        <v>16.185199999999998</v>
      </c>
      <c r="G845" s="81">
        <f>16.0935 * CHOOSE(CONTROL!$C$32, $C$9, 100%, $E$9)</f>
        <v>16.093499999999999</v>
      </c>
      <c r="H845" s="81">
        <f>29.4638 * CHOOSE(CONTROL!$C$32, $C$9, 100%, $E$9)</f>
        <v>29.463799999999999</v>
      </c>
      <c r="I845" s="81">
        <f>29.3721 * CHOOSE(CONTROL!$C$32, $C$9, 100%, $E$9)</f>
        <v>29.3721</v>
      </c>
      <c r="J845" s="81">
        <f>29.4638 * CHOOSE(CONTROL!$C$32, $C$9, 100%, $E$9)</f>
        <v>29.463799999999999</v>
      </c>
      <c r="K845" s="81">
        <f>29.3721 * CHOOSE(CONTROL!$C$32, $C$9, 100%, $E$9)</f>
        <v>29.3721</v>
      </c>
      <c r="L845" s="81">
        <f>16.1852 * CHOOSE(CONTROL!$C$32, $C$9, 100%, $E$9)</f>
        <v>16.185199999999998</v>
      </c>
      <c r="M845" s="81">
        <f>16.0935 * CHOOSE(CONTROL!$C$32, $C$9, 100%, $E$9)</f>
        <v>16.093499999999999</v>
      </c>
      <c r="N845" s="81">
        <f>16.1852 * CHOOSE(CONTROL!$C$32, $C$9, 100%, $E$9)</f>
        <v>16.185199999999998</v>
      </c>
      <c r="O845" s="81">
        <f>16.0935 * CHOOSE(CONTROL!$C$32, $C$9, 100%, $E$9)</f>
        <v>16.093499999999999</v>
      </c>
    </row>
    <row r="846" spans="1:15" ht="15">
      <c r="A846" s="16">
        <v>66962</v>
      </c>
      <c r="B846" s="80">
        <f>14.0787 * CHOOSE(CONTROL!$C$32, $C$9, 100%, $E$9)</f>
        <v>14.0787</v>
      </c>
      <c r="C846" s="80">
        <f>14.0787 * CHOOSE(CONTROL!$C$32, $C$9, 100%, $E$9)</f>
        <v>14.0787</v>
      </c>
      <c r="D846" s="80">
        <f>13.9703 * CHOOSE(CONTROL!$C$32, $C$9, 100%, $E$9)</f>
        <v>13.9703</v>
      </c>
      <c r="E846" s="81">
        <f>16.2756 * CHOOSE(CONTROL!$C$32, $C$9, 100%, $E$9)</f>
        <v>16.275600000000001</v>
      </c>
      <c r="F846" s="81">
        <f>16.2756 * CHOOSE(CONTROL!$C$32, $C$9, 100%, $E$9)</f>
        <v>16.275600000000001</v>
      </c>
      <c r="G846" s="81">
        <f>16.1429 * CHOOSE(CONTROL!$C$32, $C$9, 100%, $E$9)</f>
        <v>16.142900000000001</v>
      </c>
      <c r="H846" s="81">
        <f>29.5252 * CHOOSE(CONTROL!$C$32, $C$9, 100%, $E$9)</f>
        <v>29.525200000000002</v>
      </c>
      <c r="I846" s="81">
        <f>29.3926 * CHOOSE(CONTROL!$C$32, $C$9, 100%, $E$9)</f>
        <v>29.392600000000002</v>
      </c>
      <c r="J846" s="81">
        <f>29.5252 * CHOOSE(CONTROL!$C$32, $C$9, 100%, $E$9)</f>
        <v>29.525200000000002</v>
      </c>
      <c r="K846" s="81">
        <f>29.3926 * CHOOSE(CONTROL!$C$32, $C$9, 100%, $E$9)</f>
        <v>29.392600000000002</v>
      </c>
      <c r="L846" s="81">
        <f>16.2756 * CHOOSE(CONTROL!$C$32, $C$9, 100%, $E$9)</f>
        <v>16.275600000000001</v>
      </c>
      <c r="M846" s="81">
        <f>16.1429 * CHOOSE(CONTROL!$C$32, $C$9, 100%, $E$9)</f>
        <v>16.142900000000001</v>
      </c>
      <c r="N846" s="81">
        <f>16.2756 * CHOOSE(CONTROL!$C$32, $C$9, 100%, $E$9)</f>
        <v>16.275600000000001</v>
      </c>
      <c r="O846" s="81">
        <f>16.1429 * CHOOSE(CONTROL!$C$32, $C$9, 100%, $E$9)</f>
        <v>16.142900000000001</v>
      </c>
    </row>
    <row r="847" spans="1:15" ht="15">
      <c r="A847" s="16">
        <v>66993</v>
      </c>
      <c r="B847" s="80">
        <f>14.0848 * CHOOSE(CONTROL!$C$32, $C$9, 100%, $E$9)</f>
        <v>14.0848</v>
      </c>
      <c r="C847" s="80">
        <f>14.0848 * CHOOSE(CONTROL!$C$32, $C$9, 100%, $E$9)</f>
        <v>14.0848</v>
      </c>
      <c r="D847" s="80">
        <f>13.9764 * CHOOSE(CONTROL!$C$32, $C$9, 100%, $E$9)</f>
        <v>13.9764</v>
      </c>
      <c r="E847" s="81">
        <f>16.1894 * CHOOSE(CONTROL!$C$32, $C$9, 100%, $E$9)</f>
        <v>16.189399999999999</v>
      </c>
      <c r="F847" s="81">
        <f>16.1894 * CHOOSE(CONTROL!$C$32, $C$9, 100%, $E$9)</f>
        <v>16.189399999999999</v>
      </c>
      <c r="G847" s="81">
        <f>16.0568 * CHOOSE(CONTROL!$C$32, $C$9, 100%, $E$9)</f>
        <v>16.056799999999999</v>
      </c>
      <c r="H847" s="81">
        <f>29.5867 * CHOOSE(CONTROL!$C$32, $C$9, 100%, $E$9)</f>
        <v>29.5867</v>
      </c>
      <c r="I847" s="81">
        <f>29.4541 * CHOOSE(CONTROL!$C$32, $C$9, 100%, $E$9)</f>
        <v>29.4541</v>
      </c>
      <c r="J847" s="81">
        <f>29.5867 * CHOOSE(CONTROL!$C$32, $C$9, 100%, $E$9)</f>
        <v>29.5867</v>
      </c>
      <c r="K847" s="81">
        <f>29.4541 * CHOOSE(CONTROL!$C$32, $C$9, 100%, $E$9)</f>
        <v>29.4541</v>
      </c>
      <c r="L847" s="81">
        <f>16.1894 * CHOOSE(CONTROL!$C$32, $C$9, 100%, $E$9)</f>
        <v>16.189399999999999</v>
      </c>
      <c r="M847" s="81">
        <f>16.0568 * CHOOSE(CONTROL!$C$32, $C$9, 100%, $E$9)</f>
        <v>16.056799999999999</v>
      </c>
      <c r="N847" s="81">
        <f>16.1894 * CHOOSE(CONTROL!$C$32, $C$9, 100%, $E$9)</f>
        <v>16.189399999999999</v>
      </c>
      <c r="O847" s="81">
        <f>16.0568 * CHOOSE(CONTROL!$C$32, $C$9, 100%, $E$9)</f>
        <v>16.056799999999999</v>
      </c>
    </row>
    <row r="848" spans="1:15" ht="15">
      <c r="A848" s="16">
        <v>67023</v>
      </c>
      <c r="B848" s="80">
        <f>14.2984 * CHOOSE(CONTROL!$C$32, $C$9, 100%, $E$9)</f>
        <v>14.298400000000001</v>
      </c>
      <c r="C848" s="80">
        <f>14.2984 * CHOOSE(CONTROL!$C$32, $C$9, 100%, $E$9)</f>
        <v>14.298400000000001</v>
      </c>
      <c r="D848" s="80">
        <f>14.19 * CHOOSE(CONTROL!$C$32, $C$9, 100%, $E$9)</f>
        <v>14.19</v>
      </c>
      <c r="E848" s="81">
        <f>16.4469 * CHOOSE(CONTROL!$C$32, $C$9, 100%, $E$9)</f>
        <v>16.446899999999999</v>
      </c>
      <c r="F848" s="81">
        <f>16.4469 * CHOOSE(CONTROL!$C$32, $C$9, 100%, $E$9)</f>
        <v>16.446899999999999</v>
      </c>
      <c r="G848" s="81">
        <f>16.3143 * CHOOSE(CONTROL!$C$32, $C$9, 100%, $E$9)</f>
        <v>16.314299999999999</v>
      </c>
      <c r="H848" s="81">
        <f>29.6483 * CHOOSE(CONTROL!$C$32, $C$9, 100%, $E$9)</f>
        <v>29.648299999999999</v>
      </c>
      <c r="I848" s="81">
        <f>29.5157 * CHOOSE(CONTROL!$C$32, $C$9, 100%, $E$9)</f>
        <v>29.515699999999999</v>
      </c>
      <c r="J848" s="81">
        <f>29.6483 * CHOOSE(CONTROL!$C$32, $C$9, 100%, $E$9)</f>
        <v>29.648299999999999</v>
      </c>
      <c r="K848" s="81">
        <f>29.5157 * CHOOSE(CONTROL!$C$32, $C$9, 100%, $E$9)</f>
        <v>29.515699999999999</v>
      </c>
      <c r="L848" s="81">
        <f>16.4469 * CHOOSE(CONTROL!$C$32, $C$9, 100%, $E$9)</f>
        <v>16.446899999999999</v>
      </c>
      <c r="M848" s="81">
        <f>16.3143 * CHOOSE(CONTROL!$C$32, $C$9, 100%, $E$9)</f>
        <v>16.314299999999999</v>
      </c>
      <c r="N848" s="81">
        <f>16.4469 * CHOOSE(CONTROL!$C$32, $C$9, 100%, $E$9)</f>
        <v>16.446899999999999</v>
      </c>
      <c r="O848" s="81">
        <f>16.3143 * CHOOSE(CONTROL!$C$32, $C$9, 100%, $E$9)</f>
        <v>16.314299999999999</v>
      </c>
    </row>
    <row r="849" spans="1:15" ht="15">
      <c r="A849" s="16">
        <v>67054</v>
      </c>
      <c r="B849" s="80">
        <f>14.3051 * CHOOSE(CONTROL!$C$32, $C$9, 100%, $E$9)</f>
        <v>14.305099999999999</v>
      </c>
      <c r="C849" s="80">
        <f>14.3051 * CHOOSE(CONTROL!$C$32, $C$9, 100%, $E$9)</f>
        <v>14.305099999999999</v>
      </c>
      <c r="D849" s="80">
        <f>14.1967 * CHOOSE(CONTROL!$C$32, $C$9, 100%, $E$9)</f>
        <v>14.1967</v>
      </c>
      <c r="E849" s="81">
        <f>16.1805 * CHOOSE(CONTROL!$C$32, $C$9, 100%, $E$9)</f>
        <v>16.180499999999999</v>
      </c>
      <c r="F849" s="81">
        <f>16.1805 * CHOOSE(CONTROL!$C$32, $C$9, 100%, $E$9)</f>
        <v>16.180499999999999</v>
      </c>
      <c r="G849" s="81">
        <f>16.0479 * CHOOSE(CONTROL!$C$32, $C$9, 100%, $E$9)</f>
        <v>16.047899999999998</v>
      </c>
      <c r="H849" s="81">
        <f>29.7101 * CHOOSE(CONTROL!$C$32, $C$9, 100%, $E$9)</f>
        <v>29.710100000000001</v>
      </c>
      <c r="I849" s="81">
        <f>29.5775 * CHOOSE(CONTROL!$C$32, $C$9, 100%, $E$9)</f>
        <v>29.577500000000001</v>
      </c>
      <c r="J849" s="81">
        <f>29.7101 * CHOOSE(CONTROL!$C$32, $C$9, 100%, $E$9)</f>
        <v>29.710100000000001</v>
      </c>
      <c r="K849" s="81">
        <f>29.5775 * CHOOSE(CONTROL!$C$32, $C$9, 100%, $E$9)</f>
        <v>29.577500000000001</v>
      </c>
      <c r="L849" s="81">
        <f>16.1805 * CHOOSE(CONTROL!$C$32, $C$9, 100%, $E$9)</f>
        <v>16.180499999999999</v>
      </c>
      <c r="M849" s="81">
        <f>16.0479 * CHOOSE(CONTROL!$C$32, $C$9, 100%, $E$9)</f>
        <v>16.047899999999998</v>
      </c>
      <c r="N849" s="81">
        <f>16.1805 * CHOOSE(CONTROL!$C$32, $C$9, 100%, $E$9)</f>
        <v>16.180499999999999</v>
      </c>
      <c r="O849" s="81">
        <f>16.0479 * CHOOSE(CONTROL!$C$32, $C$9, 100%, $E$9)</f>
        <v>16.047899999999998</v>
      </c>
    </row>
    <row r="850" spans="1:15" ht="15">
      <c r="A850" s="16">
        <v>67085</v>
      </c>
      <c r="B850" s="80">
        <f>14.3021 * CHOOSE(CONTROL!$C$32, $C$9, 100%, $E$9)</f>
        <v>14.302099999999999</v>
      </c>
      <c r="C850" s="80">
        <f>14.3021 * CHOOSE(CONTROL!$C$32, $C$9, 100%, $E$9)</f>
        <v>14.302099999999999</v>
      </c>
      <c r="D850" s="80">
        <f>14.1936 * CHOOSE(CONTROL!$C$32, $C$9, 100%, $E$9)</f>
        <v>14.1936</v>
      </c>
      <c r="E850" s="81">
        <f>16.1482 * CHOOSE(CONTROL!$C$32, $C$9, 100%, $E$9)</f>
        <v>16.148199999999999</v>
      </c>
      <c r="F850" s="81">
        <f>16.1482 * CHOOSE(CONTROL!$C$32, $C$9, 100%, $E$9)</f>
        <v>16.148199999999999</v>
      </c>
      <c r="G850" s="81">
        <f>16.0156 * CHOOSE(CONTROL!$C$32, $C$9, 100%, $E$9)</f>
        <v>16.015599999999999</v>
      </c>
      <c r="H850" s="81">
        <f>29.772 * CHOOSE(CONTROL!$C$32, $C$9, 100%, $E$9)</f>
        <v>29.771999999999998</v>
      </c>
      <c r="I850" s="81">
        <f>29.6394 * CHOOSE(CONTROL!$C$32, $C$9, 100%, $E$9)</f>
        <v>29.639399999999998</v>
      </c>
      <c r="J850" s="81">
        <f>29.772 * CHOOSE(CONTROL!$C$32, $C$9, 100%, $E$9)</f>
        <v>29.771999999999998</v>
      </c>
      <c r="K850" s="81">
        <f>29.6394 * CHOOSE(CONTROL!$C$32, $C$9, 100%, $E$9)</f>
        <v>29.639399999999998</v>
      </c>
      <c r="L850" s="81">
        <f>16.1482 * CHOOSE(CONTROL!$C$32, $C$9, 100%, $E$9)</f>
        <v>16.148199999999999</v>
      </c>
      <c r="M850" s="81">
        <f>16.0156 * CHOOSE(CONTROL!$C$32, $C$9, 100%, $E$9)</f>
        <v>16.015599999999999</v>
      </c>
      <c r="N850" s="81">
        <f>16.1482 * CHOOSE(CONTROL!$C$32, $C$9, 100%, $E$9)</f>
        <v>16.148199999999999</v>
      </c>
      <c r="O850" s="81">
        <f>16.0156 * CHOOSE(CONTROL!$C$32, $C$9, 100%, $E$9)</f>
        <v>16.015599999999999</v>
      </c>
    </row>
    <row r="851" spans="1:15" ht="15">
      <c r="A851" s="16">
        <v>67115</v>
      </c>
      <c r="B851" s="80">
        <f>14.3303 * CHOOSE(CONTROL!$C$32, $C$9, 100%, $E$9)</f>
        <v>14.330299999999999</v>
      </c>
      <c r="C851" s="80">
        <f>14.3303 * CHOOSE(CONTROL!$C$32, $C$9, 100%, $E$9)</f>
        <v>14.330299999999999</v>
      </c>
      <c r="D851" s="80">
        <f>14.2559 * CHOOSE(CONTROL!$C$32, $C$9, 100%, $E$9)</f>
        <v>14.2559</v>
      </c>
      <c r="E851" s="81">
        <f>16.2553 * CHOOSE(CONTROL!$C$32, $C$9, 100%, $E$9)</f>
        <v>16.255299999999998</v>
      </c>
      <c r="F851" s="81">
        <f>16.2553 * CHOOSE(CONTROL!$C$32, $C$9, 100%, $E$9)</f>
        <v>16.255299999999998</v>
      </c>
      <c r="G851" s="81">
        <f>16.1636 * CHOOSE(CONTROL!$C$32, $C$9, 100%, $E$9)</f>
        <v>16.163599999999999</v>
      </c>
      <c r="H851" s="81">
        <f>29.834 * CHOOSE(CONTROL!$C$32, $C$9, 100%, $E$9)</f>
        <v>29.834</v>
      </c>
      <c r="I851" s="81">
        <f>29.7424 * CHOOSE(CONTROL!$C$32, $C$9, 100%, $E$9)</f>
        <v>29.7424</v>
      </c>
      <c r="J851" s="81">
        <f>29.834 * CHOOSE(CONTROL!$C$32, $C$9, 100%, $E$9)</f>
        <v>29.834</v>
      </c>
      <c r="K851" s="81">
        <f>29.7424 * CHOOSE(CONTROL!$C$32, $C$9, 100%, $E$9)</f>
        <v>29.7424</v>
      </c>
      <c r="L851" s="81">
        <f>16.2553 * CHOOSE(CONTROL!$C$32, $C$9, 100%, $E$9)</f>
        <v>16.255299999999998</v>
      </c>
      <c r="M851" s="81">
        <f>16.1636 * CHOOSE(CONTROL!$C$32, $C$9, 100%, $E$9)</f>
        <v>16.163599999999999</v>
      </c>
      <c r="N851" s="81">
        <f>16.2553 * CHOOSE(CONTROL!$C$32, $C$9, 100%, $E$9)</f>
        <v>16.255299999999998</v>
      </c>
      <c r="O851" s="81">
        <f>16.1636 * CHOOSE(CONTROL!$C$32, $C$9, 100%, $E$9)</f>
        <v>16.163599999999999</v>
      </c>
    </row>
    <row r="852" spans="1:15" ht="15">
      <c r="A852" s="16">
        <v>67146</v>
      </c>
      <c r="B852" s="80">
        <f>14.3333 * CHOOSE(CONTROL!$C$32, $C$9, 100%, $E$9)</f>
        <v>14.333299999999999</v>
      </c>
      <c r="C852" s="80">
        <f>14.3333 * CHOOSE(CONTROL!$C$32, $C$9, 100%, $E$9)</f>
        <v>14.333299999999999</v>
      </c>
      <c r="D852" s="80">
        <f>14.259 * CHOOSE(CONTROL!$C$32, $C$9, 100%, $E$9)</f>
        <v>14.259</v>
      </c>
      <c r="E852" s="81">
        <f>16.3177 * CHOOSE(CONTROL!$C$32, $C$9, 100%, $E$9)</f>
        <v>16.317699999999999</v>
      </c>
      <c r="F852" s="81">
        <f>16.3177 * CHOOSE(CONTROL!$C$32, $C$9, 100%, $E$9)</f>
        <v>16.317699999999999</v>
      </c>
      <c r="G852" s="81">
        <f>16.226 * CHOOSE(CONTROL!$C$32, $C$9, 100%, $E$9)</f>
        <v>16.225999999999999</v>
      </c>
      <c r="H852" s="81">
        <f>29.8962 * CHOOSE(CONTROL!$C$32, $C$9, 100%, $E$9)</f>
        <v>29.8962</v>
      </c>
      <c r="I852" s="81">
        <f>29.8045 * CHOOSE(CONTROL!$C$32, $C$9, 100%, $E$9)</f>
        <v>29.804500000000001</v>
      </c>
      <c r="J852" s="81">
        <f>29.8962 * CHOOSE(CONTROL!$C$32, $C$9, 100%, $E$9)</f>
        <v>29.8962</v>
      </c>
      <c r="K852" s="81">
        <f>29.8045 * CHOOSE(CONTROL!$C$32, $C$9, 100%, $E$9)</f>
        <v>29.804500000000001</v>
      </c>
      <c r="L852" s="81">
        <f>16.3177 * CHOOSE(CONTROL!$C$32, $C$9, 100%, $E$9)</f>
        <v>16.317699999999999</v>
      </c>
      <c r="M852" s="81">
        <f>16.226 * CHOOSE(CONTROL!$C$32, $C$9, 100%, $E$9)</f>
        <v>16.225999999999999</v>
      </c>
      <c r="N852" s="81">
        <f>16.3177 * CHOOSE(CONTROL!$C$32, $C$9, 100%, $E$9)</f>
        <v>16.317699999999999</v>
      </c>
      <c r="O852" s="81">
        <f>16.226 * CHOOSE(CONTROL!$C$32, $C$9, 100%, $E$9)</f>
        <v>16.225999999999999</v>
      </c>
    </row>
    <row r="853" spans="1:15" ht="15">
      <c r="A853" s="16">
        <v>67176</v>
      </c>
      <c r="B853" s="80">
        <f>14.3333 * CHOOSE(CONTROL!$C$32, $C$9, 100%, $E$9)</f>
        <v>14.333299999999999</v>
      </c>
      <c r="C853" s="80">
        <f>14.3333 * CHOOSE(CONTROL!$C$32, $C$9, 100%, $E$9)</f>
        <v>14.333299999999999</v>
      </c>
      <c r="D853" s="80">
        <f>14.259 * CHOOSE(CONTROL!$C$32, $C$9, 100%, $E$9)</f>
        <v>14.259</v>
      </c>
      <c r="E853" s="81">
        <f>16.1671 * CHOOSE(CONTROL!$C$32, $C$9, 100%, $E$9)</f>
        <v>16.167100000000001</v>
      </c>
      <c r="F853" s="81">
        <f>16.1671 * CHOOSE(CONTROL!$C$32, $C$9, 100%, $E$9)</f>
        <v>16.167100000000001</v>
      </c>
      <c r="G853" s="81">
        <f>16.0754 * CHOOSE(CONTROL!$C$32, $C$9, 100%, $E$9)</f>
        <v>16.075399999999998</v>
      </c>
      <c r="H853" s="81">
        <f>29.9585 * CHOOSE(CONTROL!$C$32, $C$9, 100%, $E$9)</f>
        <v>29.958500000000001</v>
      </c>
      <c r="I853" s="81">
        <f>29.8668 * CHOOSE(CONTROL!$C$32, $C$9, 100%, $E$9)</f>
        <v>29.866800000000001</v>
      </c>
      <c r="J853" s="81">
        <f>29.9585 * CHOOSE(CONTROL!$C$32, $C$9, 100%, $E$9)</f>
        <v>29.958500000000001</v>
      </c>
      <c r="K853" s="81">
        <f>29.8668 * CHOOSE(CONTROL!$C$32, $C$9, 100%, $E$9)</f>
        <v>29.866800000000001</v>
      </c>
      <c r="L853" s="81">
        <f>16.1671 * CHOOSE(CONTROL!$C$32, $C$9, 100%, $E$9)</f>
        <v>16.167100000000001</v>
      </c>
      <c r="M853" s="81">
        <f>16.0754 * CHOOSE(CONTROL!$C$32, $C$9, 100%, $E$9)</f>
        <v>16.075399999999998</v>
      </c>
      <c r="N853" s="81">
        <f>16.1671 * CHOOSE(CONTROL!$C$32, $C$9, 100%, $E$9)</f>
        <v>16.167100000000001</v>
      </c>
      <c r="O853" s="81">
        <f>16.0754 * CHOOSE(CONTROL!$C$32, $C$9, 100%, $E$9)</f>
        <v>16.075399999999998</v>
      </c>
    </row>
    <row r="854" spans="1:15" ht="15">
      <c r="A854" s="16">
        <v>67207</v>
      </c>
      <c r="B854" s="80">
        <f>14.3143 * CHOOSE(CONTROL!$C$32, $C$9, 100%, $E$9)</f>
        <v>14.314299999999999</v>
      </c>
      <c r="C854" s="80">
        <f>14.3143 * CHOOSE(CONTROL!$C$32, $C$9, 100%, $E$9)</f>
        <v>14.314299999999999</v>
      </c>
      <c r="D854" s="80">
        <f>14.2364 * CHOOSE(CONTROL!$C$32, $C$9, 100%, $E$9)</f>
        <v>14.2364</v>
      </c>
      <c r="E854" s="81">
        <f>16.2677 * CHOOSE(CONTROL!$C$32, $C$9, 100%, $E$9)</f>
        <v>16.267700000000001</v>
      </c>
      <c r="F854" s="81">
        <f>16.2677 * CHOOSE(CONTROL!$C$32, $C$9, 100%, $E$9)</f>
        <v>16.267700000000001</v>
      </c>
      <c r="G854" s="81">
        <f>16.1717 * CHOOSE(CONTROL!$C$32, $C$9, 100%, $E$9)</f>
        <v>16.171700000000001</v>
      </c>
      <c r="H854" s="81">
        <f>29.7562 * CHOOSE(CONTROL!$C$32, $C$9, 100%, $E$9)</f>
        <v>29.7562</v>
      </c>
      <c r="I854" s="81">
        <f>29.6602 * CHOOSE(CONTROL!$C$32, $C$9, 100%, $E$9)</f>
        <v>29.6602</v>
      </c>
      <c r="J854" s="81">
        <f>29.7562 * CHOOSE(CONTROL!$C$32, $C$9, 100%, $E$9)</f>
        <v>29.7562</v>
      </c>
      <c r="K854" s="81">
        <f>29.6602 * CHOOSE(CONTROL!$C$32, $C$9, 100%, $E$9)</f>
        <v>29.6602</v>
      </c>
      <c r="L854" s="81">
        <f>16.2677 * CHOOSE(CONTROL!$C$32, $C$9, 100%, $E$9)</f>
        <v>16.267700000000001</v>
      </c>
      <c r="M854" s="81">
        <f>16.1717 * CHOOSE(CONTROL!$C$32, $C$9, 100%, $E$9)</f>
        <v>16.171700000000001</v>
      </c>
      <c r="N854" s="81">
        <f>16.2677 * CHOOSE(CONTROL!$C$32, $C$9, 100%, $E$9)</f>
        <v>16.267700000000001</v>
      </c>
      <c r="O854" s="81">
        <f>16.1717 * CHOOSE(CONTROL!$C$32, $C$9, 100%, $E$9)</f>
        <v>16.171700000000001</v>
      </c>
    </row>
    <row r="855" spans="1:15" ht="15">
      <c r="A855" s="16">
        <v>67238</v>
      </c>
      <c r="B855" s="80">
        <f>14.3113 * CHOOSE(CONTROL!$C$32, $C$9, 100%, $E$9)</f>
        <v>14.311299999999999</v>
      </c>
      <c r="C855" s="80">
        <f>14.3113 * CHOOSE(CONTROL!$C$32, $C$9, 100%, $E$9)</f>
        <v>14.311299999999999</v>
      </c>
      <c r="D855" s="80">
        <f>14.2333 * CHOOSE(CONTROL!$C$32, $C$9, 100%, $E$9)</f>
        <v>14.2333</v>
      </c>
      <c r="E855" s="81">
        <f>15.976 * CHOOSE(CONTROL!$C$32, $C$9, 100%, $E$9)</f>
        <v>15.976000000000001</v>
      </c>
      <c r="F855" s="81">
        <f>15.976 * CHOOSE(CONTROL!$C$32, $C$9, 100%, $E$9)</f>
        <v>15.976000000000001</v>
      </c>
      <c r="G855" s="81">
        <f>15.88 * CHOOSE(CONTROL!$C$32, $C$9, 100%, $E$9)</f>
        <v>15.88</v>
      </c>
      <c r="H855" s="81">
        <f>29.8182 * CHOOSE(CONTROL!$C$32, $C$9, 100%, $E$9)</f>
        <v>29.818200000000001</v>
      </c>
      <c r="I855" s="81">
        <f>29.7222 * CHOOSE(CONTROL!$C$32, $C$9, 100%, $E$9)</f>
        <v>29.722200000000001</v>
      </c>
      <c r="J855" s="81">
        <f>29.8182 * CHOOSE(CONTROL!$C$32, $C$9, 100%, $E$9)</f>
        <v>29.818200000000001</v>
      </c>
      <c r="K855" s="81">
        <f>29.7222 * CHOOSE(CONTROL!$C$32, $C$9, 100%, $E$9)</f>
        <v>29.722200000000001</v>
      </c>
      <c r="L855" s="81">
        <f>15.976 * CHOOSE(CONTROL!$C$32, $C$9, 100%, $E$9)</f>
        <v>15.976000000000001</v>
      </c>
      <c r="M855" s="81">
        <f>15.88 * CHOOSE(CONTROL!$C$32, $C$9, 100%, $E$9)</f>
        <v>15.88</v>
      </c>
      <c r="N855" s="81">
        <f>15.976 * CHOOSE(CONTROL!$C$32, $C$9, 100%, $E$9)</f>
        <v>15.976000000000001</v>
      </c>
      <c r="O855" s="81">
        <f>15.88 * CHOOSE(CONTROL!$C$32, $C$9, 100%, $E$9)</f>
        <v>15.88</v>
      </c>
    </row>
    <row r="856" spans="1:15" ht="15">
      <c r="A856" s="16">
        <v>67267</v>
      </c>
      <c r="B856" s="80">
        <f>14.3082 * CHOOSE(CONTROL!$C$32, $C$9, 100%, $E$9)</f>
        <v>14.308199999999999</v>
      </c>
      <c r="C856" s="80">
        <f>14.3082 * CHOOSE(CONTROL!$C$32, $C$9, 100%, $E$9)</f>
        <v>14.308199999999999</v>
      </c>
      <c r="D856" s="80">
        <f>14.2303 * CHOOSE(CONTROL!$C$32, $C$9, 100%, $E$9)</f>
        <v>14.2303</v>
      </c>
      <c r="E856" s="81">
        <f>16.2022 * CHOOSE(CONTROL!$C$32, $C$9, 100%, $E$9)</f>
        <v>16.202200000000001</v>
      </c>
      <c r="F856" s="81">
        <f>16.2022 * CHOOSE(CONTROL!$C$32, $C$9, 100%, $E$9)</f>
        <v>16.202200000000001</v>
      </c>
      <c r="G856" s="81">
        <f>16.1061 * CHOOSE(CONTROL!$C$32, $C$9, 100%, $E$9)</f>
        <v>16.106100000000001</v>
      </c>
      <c r="H856" s="81">
        <f>29.8803 * CHOOSE(CONTROL!$C$32, $C$9, 100%, $E$9)</f>
        <v>29.880299999999998</v>
      </c>
      <c r="I856" s="81">
        <f>29.7843 * CHOOSE(CONTROL!$C$32, $C$9, 100%, $E$9)</f>
        <v>29.784300000000002</v>
      </c>
      <c r="J856" s="81">
        <f>29.8803 * CHOOSE(CONTROL!$C$32, $C$9, 100%, $E$9)</f>
        <v>29.880299999999998</v>
      </c>
      <c r="K856" s="81">
        <f>29.7843 * CHOOSE(CONTROL!$C$32, $C$9, 100%, $E$9)</f>
        <v>29.784300000000002</v>
      </c>
      <c r="L856" s="81">
        <f>16.2022 * CHOOSE(CONTROL!$C$32, $C$9, 100%, $E$9)</f>
        <v>16.202200000000001</v>
      </c>
      <c r="M856" s="81">
        <f>16.1061 * CHOOSE(CONTROL!$C$32, $C$9, 100%, $E$9)</f>
        <v>16.106100000000001</v>
      </c>
      <c r="N856" s="81">
        <f>16.2022 * CHOOSE(CONTROL!$C$32, $C$9, 100%, $E$9)</f>
        <v>16.202200000000001</v>
      </c>
      <c r="O856" s="81">
        <f>16.1061 * CHOOSE(CONTROL!$C$32, $C$9, 100%, $E$9)</f>
        <v>16.106100000000001</v>
      </c>
    </row>
    <row r="857" spans="1:15" ht="15">
      <c r="A857" s="16">
        <v>67298</v>
      </c>
      <c r="B857" s="80">
        <f>14.3145 * CHOOSE(CONTROL!$C$32, $C$9, 100%, $E$9)</f>
        <v>14.314500000000001</v>
      </c>
      <c r="C857" s="80">
        <f>14.3145 * CHOOSE(CONTROL!$C$32, $C$9, 100%, $E$9)</f>
        <v>14.314500000000001</v>
      </c>
      <c r="D857" s="80">
        <f>14.2366 * CHOOSE(CONTROL!$C$32, $C$9, 100%, $E$9)</f>
        <v>14.236599999999999</v>
      </c>
      <c r="E857" s="81">
        <f>16.4431 * CHOOSE(CONTROL!$C$32, $C$9, 100%, $E$9)</f>
        <v>16.443100000000001</v>
      </c>
      <c r="F857" s="81">
        <f>16.4431 * CHOOSE(CONTROL!$C$32, $C$9, 100%, $E$9)</f>
        <v>16.443100000000001</v>
      </c>
      <c r="G857" s="81">
        <f>16.347 * CHOOSE(CONTROL!$C$32, $C$9, 100%, $E$9)</f>
        <v>16.347000000000001</v>
      </c>
      <c r="H857" s="81">
        <f>29.9426 * CHOOSE(CONTROL!$C$32, $C$9, 100%, $E$9)</f>
        <v>29.942599999999999</v>
      </c>
      <c r="I857" s="81">
        <f>29.8465 * CHOOSE(CONTROL!$C$32, $C$9, 100%, $E$9)</f>
        <v>29.846499999999999</v>
      </c>
      <c r="J857" s="81">
        <f>29.9426 * CHOOSE(CONTROL!$C$32, $C$9, 100%, $E$9)</f>
        <v>29.942599999999999</v>
      </c>
      <c r="K857" s="81">
        <f>29.8465 * CHOOSE(CONTROL!$C$32, $C$9, 100%, $E$9)</f>
        <v>29.846499999999999</v>
      </c>
      <c r="L857" s="81">
        <f>16.4431 * CHOOSE(CONTROL!$C$32, $C$9, 100%, $E$9)</f>
        <v>16.443100000000001</v>
      </c>
      <c r="M857" s="81">
        <f>16.347 * CHOOSE(CONTROL!$C$32, $C$9, 100%, $E$9)</f>
        <v>16.347000000000001</v>
      </c>
      <c r="N857" s="81">
        <f>16.4431 * CHOOSE(CONTROL!$C$32, $C$9, 100%, $E$9)</f>
        <v>16.443100000000001</v>
      </c>
      <c r="O857" s="81">
        <f>16.347 * CHOOSE(CONTROL!$C$32, $C$9, 100%, $E$9)</f>
        <v>16.347000000000001</v>
      </c>
    </row>
    <row r="858" spans="1:15" ht="15">
      <c r="A858" s="16">
        <v>67328</v>
      </c>
      <c r="B858" s="80">
        <f>14.3145 * CHOOSE(CONTROL!$C$32, $C$9, 100%, $E$9)</f>
        <v>14.314500000000001</v>
      </c>
      <c r="C858" s="80">
        <f>14.3145 * CHOOSE(CONTROL!$C$32, $C$9, 100%, $E$9)</f>
        <v>14.314500000000001</v>
      </c>
      <c r="D858" s="80">
        <f>14.2009 * CHOOSE(CONTROL!$C$32, $C$9, 100%, $E$9)</f>
        <v>14.200900000000001</v>
      </c>
      <c r="E858" s="81">
        <f>16.535 * CHOOSE(CONTROL!$C$32, $C$9, 100%, $E$9)</f>
        <v>16.535</v>
      </c>
      <c r="F858" s="81">
        <f>16.535 * CHOOSE(CONTROL!$C$32, $C$9, 100%, $E$9)</f>
        <v>16.535</v>
      </c>
      <c r="G858" s="81">
        <f>16.3961 * CHOOSE(CONTROL!$C$32, $C$9, 100%, $E$9)</f>
        <v>16.396100000000001</v>
      </c>
      <c r="H858" s="81">
        <f>30.0049 * CHOOSE(CONTROL!$C$32, $C$9, 100%, $E$9)</f>
        <v>30.004899999999999</v>
      </c>
      <c r="I858" s="81">
        <f>29.866 * CHOOSE(CONTROL!$C$32, $C$9, 100%, $E$9)</f>
        <v>29.866</v>
      </c>
      <c r="J858" s="81">
        <f>30.0049 * CHOOSE(CONTROL!$C$32, $C$9, 100%, $E$9)</f>
        <v>30.004899999999999</v>
      </c>
      <c r="K858" s="81">
        <f>29.866 * CHOOSE(CONTROL!$C$32, $C$9, 100%, $E$9)</f>
        <v>29.866</v>
      </c>
      <c r="L858" s="81">
        <f>16.535 * CHOOSE(CONTROL!$C$32, $C$9, 100%, $E$9)</f>
        <v>16.535</v>
      </c>
      <c r="M858" s="81">
        <f>16.3961 * CHOOSE(CONTROL!$C$32, $C$9, 100%, $E$9)</f>
        <v>16.396100000000001</v>
      </c>
      <c r="N858" s="81">
        <f>16.535 * CHOOSE(CONTROL!$C$32, $C$9, 100%, $E$9)</f>
        <v>16.535</v>
      </c>
      <c r="O858" s="81">
        <f>16.3961 * CHOOSE(CONTROL!$C$32, $C$9, 100%, $E$9)</f>
        <v>16.396100000000001</v>
      </c>
    </row>
    <row r="859" spans="1:15" ht="15">
      <c r="A859" s="16">
        <v>67359</v>
      </c>
      <c r="B859" s="80">
        <f>14.3206 * CHOOSE(CONTROL!$C$32, $C$9, 100%, $E$9)</f>
        <v>14.320600000000001</v>
      </c>
      <c r="C859" s="80">
        <f>14.3206 * CHOOSE(CONTROL!$C$32, $C$9, 100%, $E$9)</f>
        <v>14.320600000000001</v>
      </c>
      <c r="D859" s="80">
        <f>14.207 * CHOOSE(CONTROL!$C$32, $C$9, 100%, $E$9)</f>
        <v>14.207000000000001</v>
      </c>
      <c r="E859" s="81">
        <f>16.4473 * CHOOSE(CONTROL!$C$32, $C$9, 100%, $E$9)</f>
        <v>16.447299999999998</v>
      </c>
      <c r="F859" s="81">
        <f>16.4473 * CHOOSE(CONTROL!$C$32, $C$9, 100%, $E$9)</f>
        <v>16.447299999999998</v>
      </c>
      <c r="G859" s="81">
        <f>16.3084 * CHOOSE(CONTROL!$C$32, $C$9, 100%, $E$9)</f>
        <v>16.308399999999999</v>
      </c>
      <c r="H859" s="81">
        <f>30.0674 * CHOOSE(CONTROL!$C$32, $C$9, 100%, $E$9)</f>
        <v>30.067399999999999</v>
      </c>
      <c r="I859" s="81">
        <f>29.9285 * CHOOSE(CONTROL!$C$32, $C$9, 100%, $E$9)</f>
        <v>29.9285</v>
      </c>
      <c r="J859" s="81">
        <f>30.0674 * CHOOSE(CONTROL!$C$32, $C$9, 100%, $E$9)</f>
        <v>30.067399999999999</v>
      </c>
      <c r="K859" s="81">
        <f>29.9285 * CHOOSE(CONTROL!$C$32, $C$9, 100%, $E$9)</f>
        <v>29.9285</v>
      </c>
      <c r="L859" s="81">
        <f>16.4473 * CHOOSE(CONTROL!$C$32, $C$9, 100%, $E$9)</f>
        <v>16.447299999999998</v>
      </c>
      <c r="M859" s="81">
        <f>16.3084 * CHOOSE(CONTROL!$C$32, $C$9, 100%, $E$9)</f>
        <v>16.308399999999999</v>
      </c>
      <c r="N859" s="81">
        <f>16.4473 * CHOOSE(CONTROL!$C$32, $C$9, 100%, $E$9)</f>
        <v>16.447299999999998</v>
      </c>
      <c r="O859" s="81">
        <f>16.3084 * CHOOSE(CONTROL!$C$32, $C$9, 100%, $E$9)</f>
        <v>16.308399999999999</v>
      </c>
    </row>
    <row r="860" spans="1:15" ht="15">
      <c r="A860" s="16">
        <v>67389</v>
      </c>
      <c r="B860" s="80">
        <f>14.5376 * CHOOSE(CONTROL!$C$32, $C$9, 100%, $E$9)</f>
        <v>14.537599999999999</v>
      </c>
      <c r="C860" s="80">
        <f>14.5376 * CHOOSE(CONTROL!$C$32, $C$9, 100%, $E$9)</f>
        <v>14.537599999999999</v>
      </c>
      <c r="D860" s="80">
        <f>14.424 * CHOOSE(CONTROL!$C$32, $C$9, 100%, $E$9)</f>
        <v>14.423999999999999</v>
      </c>
      <c r="E860" s="81">
        <f>16.7087 * CHOOSE(CONTROL!$C$32, $C$9, 100%, $E$9)</f>
        <v>16.7087</v>
      </c>
      <c r="F860" s="81">
        <f>16.7087 * CHOOSE(CONTROL!$C$32, $C$9, 100%, $E$9)</f>
        <v>16.7087</v>
      </c>
      <c r="G860" s="81">
        <f>16.5697 * CHOOSE(CONTROL!$C$32, $C$9, 100%, $E$9)</f>
        <v>16.569700000000001</v>
      </c>
      <c r="H860" s="81">
        <f>30.1301 * CHOOSE(CONTROL!$C$32, $C$9, 100%, $E$9)</f>
        <v>30.130099999999999</v>
      </c>
      <c r="I860" s="81">
        <f>29.9912 * CHOOSE(CONTROL!$C$32, $C$9, 100%, $E$9)</f>
        <v>29.991199999999999</v>
      </c>
      <c r="J860" s="81">
        <f>30.1301 * CHOOSE(CONTROL!$C$32, $C$9, 100%, $E$9)</f>
        <v>30.130099999999999</v>
      </c>
      <c r="K860" s="81">
        <f>29.9912 * CHOOSE(CONTROL!$C$32, $C$9, 100%, $E$9)</f>
        <v>29.991199999999999</v>
      </c>
      <c r="L860" s="81">
        <f>16.7087 * CHOOSE(CONTROL!$C$32, $C$9, 100%, $E$9)</f>
        <v>16.7087</v>
      </c>
      <c r="M860" s="81">
        <f>16.5697 * CHOOSE(CONTROL!$C$32, $C$9, 100%, $E$9)</f>
        <v>16.569700000000001</v>
      </c>
      <c r="N860" s="81">
        <f>16.7087 * CHOOSE(CONTROL!$C$32, $C$9, 100%, $E$9)</f>
        <v>16.7087</v>
      </c>
      <c r="O860" s="81">
        <f>16.5697 * CHOOSE(CONTROL!$C$32, $C$9, 100%, $E$9)</f>
        <v>16.569700000000001</v>
      </c>
    </row>
    <row r="861" spans="1:15" ht="15">
      <c r="A861" s="16">
        <v>67420</v>
      </c>
      <c r="B861" s="80">
        <f>14.5443 * CHOOSE(CONTROL!$C$32, $C$9, 100%, $E$9)</f>
        <v>14.5443</v>
      </c>
      <c r="C861" s="80">
        <f>14.5443 * CHOOSE(CONTROL!$C$32, $C$9, 100%, $E$9)</f>
        <v>14.5443</v>
      </c>
      <c r="D861" s="80">
        <f>14.4307 * CHOOSE(CONTROL!$C$32, $C$9, 100%, $E$9)</f>
        <v>14.4307</v>
      </c>
      <c r="E861" s="81">
        <f>16.4375 * CHOOSE(CONTROL!$C$32, $C$9, 100%, $E$9)</f>
        <v>16.4375</v>
      </c>
      <c r="F861" s="81">
        <f>16.4375 * CHOOSE(CONTROL!$C$32, $C$9, 100%, $E$9)</f>
        <v>16.4375</v>
      </c>
      <c r="G861" s="81">
        <f>16.2986 * CHOOSE(CONTROL!$C$32, $C$9, 100%, $E$9)</f>
        <v>16.2986</v>
      </c>
      <c r="H861" s="81">
        <f>30.1929 * CHOOSE(CONTROL!$C$32, $C$9, 100%, $E$9)</f>
        <v>30.192900000000002</v>
      </c>
      <c r="I861" s="81">
        <f>30.0539 * CHOOSE(CONTROL!$C$32, $C$9, 100%, $E$9)</f>
        <v>30.053899999999999</v>
      </c>
      <c r="J861" s="81">
        <f>30.1929 * CHOOSE(CONTROL!$C$32, $C$9, 100%, $E$9)</f>
        <v>30.192900000000002</v>
      </c>
      <c r="K861" s="81">
        <f>30.0539 * CHOOSE(CONTROL!$C$32, $C$9, 100%, $E$9)</f>
        <v>30.053899999999999</v>
      </c>
      <c r="L861" s="81">
        <f>16.4375 * CHOOSE(CONTROL!$C$32, $C$9, 100%, $E$9)</f>
        <v>16.4375</v>
      </c>
      <c r="M861" s="81">
        <f>16.2986 * CHOOSE(CONTROL!$C$32, $C$9, 100%, $E$9)</f>
        <v>16.2986</v>
      </c>
      <c r="N861" s="81">
        <f>16.4375 * CHOOSE(CONTROL!$C$32, $C$9, 100%, $E$9)</f>
        <v>16.4375</v>
      </c>
      <c r="O861" s="81">
        <f>16.2986 * CHOOSE(CONTROL!$C$32, $C$9, 100%, $E$9)</f>
        <v>16.2986</v>
      </c>
    </row>
    <row r="862" spans="1:15" ht="15">
      <c r="A862" s="16">
        <v>67451</v>
      </c>
      <c r="B862" s="80">
        <f>14.5412 * CHOOSE(CONTROL!$C$32, $C$9, 100%, $E$9)</f>
        <v>14.5412</v>
      </c>
      <c r="C862" s="80">
        <f>14.5412 * CHOOSE(CONTROL!$C$32, $C$9, 100%, $E$9)</f>
        <v>14.5412</v>
      </c>
      <c r="D862" s="80">
        <f>14.4277 * CHOOSE(CONTROL!$C$32, $C$9, 100%, $E$9)</f>
        <v>14.4277</v>
      </c>
      <c r="E862" s="81">
        <f>16.4048 * CHOOSE(CONTROL!$C$32, $C$9, 100%, $E$9)</f>
        <v>16.404800000000002</v>
      </c>
      <c r="F862" s="81">
        <f>16.4048 * CHOOSE(CONTROL!$C$32, $C$9, 100%, $E$9)</f>
        <v>16.404800000000002</v>
      </c>
      <c r="G862" s="81">
        <f>16.2659 * CHOOSE(CONTROL!$C$32, $C$9, 100%, $E$9)</f>
        <v>16.265899999999998</v>
      </c>
      <c r="H862" s="81">
        <f>30.2558 * CHOOSE(CONTROL!$C$32, $C$9, 100%, $E$9)</f>
        <v>30.255800000000001</v>
      </c>
      <c r="I862" s="81">
        <f>30.1168 * CHOOSE(CONTROL!$C$32, $C$9, 100%, $E$9)</f>
        <v>30.116800000000001</v>
      </c>
      <c r="J862" s="81">
        <f>30.2558 * CHOOSE(CONTROL!$C$32, $C$9, 100%, $E$9)</f>
        <v>30.255800000000001</v>
      </c>
      <c r="K862" s="81">
        <f>30.1168 * CHOOSE(CONTROL!$C$32, $C$9, 100%, $E$9)</f>
        <v>30.116800000000001</v>
      </c>
      <c r="L862" s="81">
        <f>16.4048 * CHOOSE(CONTROL!$C$32, $C$9, 100%, $E$9)</f>
        <v>16.404800000000002</v>
      </c>
      <c r="M862" s="81">
        <f>16.2659 * CHOOSE(CONTROL!$C$32, $C$9, 100%, $E$9)</f>
        <v>16.265899999999998</v>
      </c>
      <c r="N862" s="81">
        <f>16.4048 * CHOOSE(CONTROL!$C$32, $C$9, 100%, $E$9)</f>
        <v>16.404800000000002</v>
      </c>
      <c r="O862" s="81">
        <f>16.2659 * CHOOSE(CONTROL!$C$32, $C$9, 100%, $E$9)</f>
        <v>16.265899999999998</v>
      </c>
    </row>
    <row r="863" spans="1:15" ht="15">
      <c r="A863" s="16">
        <v>67481</v>
      </c>
      <c r="B863" s="80">
        <f>14.5702 * CHOOSE(CONTROL!$C$32, $C$9, 100%, $E$9)</f>
        <v>14.5702</v>
      </c>
      <c r="C863" s="80">
        <f>14.5702 * CHOOSE(CONTROL!$C$32, $C$9, 100%, $E$9)</f>
        <v>14.5702</v>
      </c>
      <c r="D863" s="80">
        <f>14.4923 * CHOOSE(CONTROL!$C$32, $C$9, 100%, $E$9)</f>
        <v>14.4923</v>
      </c>
      <c r="E863" s="81">
        <f>16.5139 * CHOOSE(CONTROL!$C$32, $C$9, 100%, $E$9)</f>
        <v>16.5139</v>
      </c>
      <c r="F863" s="81">
        <f>16.5139 * CHOOSE(CONTROL!$C$32, $C$9, 100%, $E$9)</f>
        <v>16.5139</v>
      </c>
      <c r="G863" s="81">
        <f>16.4179 * CHOOSE(CONTROL!$C$32, $C$9, 100%, $E$9)</f>
        <v>16.417899999999999</v>
      </c>
      <c r="H863" s="81">
        <f>30.3188 * CHOOSE(CONTROL!$C$32, $C$9, 100%, $E$9)</f>
        <v>30.3188</v>
      </c>
      <c r="I863" s="81">
        <f>30.2228 * CHOOSE(CONTROL!$C$32, $C$9, 100%, $E$9)</f>
        <v>30.222799999999999</v>
      </c>
      <c r="J863" s="81">
        <f>30.3188 * CHOOSE(CONTROL!$C$32, $C$9, 100%, $E$9)</f>
        <v>30.3188</v>
      </c>
      <c r="K863" s="81">
        <f>30.2228 * CHOOSE(CONTROL!$C$32, $C$9, 100%, $E$9)</f>
        <v>30.222799999999999</v>
      </c>
      <c r="L863" s="81">
        <f>16.5139 * CHOOSE(CONTROL!$C$32, $C$9, 100%, $E$9)</f>
        <v>16.5139</v>
      </c>
      <c r="M863" s="81">
        <f>16.4179 * CHOOSE(CONTROL!$C$32, $C$9, 100%, $E$9)</f>
        <v>16.417899999999999</v>
      </c>
      <c r="N863" s="81">
        <f>16.5139 * CHOOSE(CONTROL!$C$32, $C$9, 100%, $E$9)</f>
        <v>16.5139</v>
      </c>
      <c r="O863" s="81">
        <f>16.4179 * CHOOSE(CONTROL!$C$32, $C$9, 100%, $E$9)</f>
        <v>16.417899999999999</v>
      </c>
    </row>
    <row r="864" spans="1:15" ht="15">
      <c r="A864" s="16">
        <v>67512</v>
      </c>
      <c r="B864" s="80">
        <f>14.5733 * CHOOSE(CONTROL!$C$32, $C$9, 100%, $E$9)</f>
        <v>14.5733</v>
      </c>
      <c r="C864" s="80">
        <f>14.5733 * CHOOSE(CONTROL!$C$32, $C$9, 100%, $E$9)</f>
        <v>14.5733</v>
      </c>
      <c r="D864" s="80">
        <f>14.4953 * CHOOSE(CONTROL!$C$32, $C$9, 100%, $E$9)</f>
        <v>14.4953</v>
      </c>
      <c r="E864" s="81">
        <f>16.5773 * CHOOSE(CONTROL!$C$32, $C$9, 100%, $E$9)</f>
        <v>16.577300000000001</v>
      </c>
      <c r="F864" s="81">
        <f>16.5773 * CHOOSE(CONTROL!$C$32, $C$9, 100%, $E$9)</f>
        <v>16.577300000000001</v>
      </c>
      <c r="G864" s="81">
        <f>16.4813 * CHOOSE(CONTROL!$C$32, $C$9, 100%, $E$9)</f>
        <v>16.481300000000001</v>
      </c>
      <c r="H864" s="81">
        <f>30.382 * CHOOSE(CONTROL!$C$32, $C$9, 100%, $E$9)</f>
        <v>30.382000000000001</v>
      </c>
      <c r="I864" s="81">
        <f>30.2859 * CHOOSE(CONTROL!$C$32, $C$9, 100%, $E$9)</f>
        <v>30.285900000000002</v>
      </c>
      <c r="J864" s="81">
        <f>30.382 * CHOOSE(CONTROL!$C$32, $C$9, 100%, $E$9)</f>
        <v>30.382000000000001</v>
      </c>
      <c r="K864" s="81">
        <f>30.2859 * CHOOSE(CONTROL!$C$32, $C$9, 100%, $E$9)</f>
        <v>30.285900000000002</v>
      </c>
      <c r="L864" s="81">
        <f>16.5773 * CHOOSE(CONTROL!$C$32, $C$9, 100%, $E$9)</f>
        <v>16.577300000000001</v>
      </c>
      <c r="M864" s="81">
        <f>16.4813 * CHOOSE(CONTROL!$C$32, $C$9, 100%, $E$9)</f>
        <v>16.481300000000001</v>
      </c>
      <c r="N864" s="81">
        <f>16.5773 * CHOOSE(CONTROL!$C$32, $C$9, 100%, $E$9)</f>
        <v>16.577300000000001</v>
      </c>
      <c r="O864" s="81">
        <f>16.4813 * CHOOSE(CONTROL!$C$32, $C$9, 100%, $E$9)</f>
        <v>16.481300000000001</v>
      </c>
    </row>
    <row r="865" spans="1:15" ht="15">
      <c r="A865" s="16">
        <v>67542</v>
      </c>
      <c r="B865" s="80">
        <f>14.5733 * CHOOSE(CONTROL!$C$32, $C$9, 100%, $E$9)</f>
        <v>14.5733</v>
      </c>
      <c r="C865" s="80">
        <f>14.5733 * CHOOSE(CONTROL!$C$32, $C$9, 100%, $E$9)</f>
        <v>14.5733</v>
      </c>
      <c r="D865" s="80">
        <f>14.4953 * CHOOSE(CONTROL!$C$32, $C$9, 100%, $E$9)</f>
        <v>14.4953</v>
      </c>
      <c r="E865" s="81">
        <f>16.4241 * CHOOSE(CONTROL!$C$32, $C$9, 100%, $E$9)</f>
        <v>16.424099999999999</v>
      </c>
      <c r="F865" s="81">
        <f>16.4241 * CHOOSE(CONTROL!$C$32, $C$9, 100%, $E$9)</f>
        <v>16.424099999999999</v>
      </c>
      <c r="G865" s="81">
        <f>16.3281 * CHOOSE(CONTROL!$C$32, $C$9, 100%, $E$9)</f>
        <v>16.328099999999999</v>
      </c>
      <c r="H865" s="81">
        <f>30.4453 * CHOOSE(CONTROL!$C$32, $C$9, 100%, $E$9)</f>
        <v>30.4453</v>
      </c>
      <c r="I865" s="81">
        <f>30.3492 * CHOOSE(CONTROL!$C$32, $C$9, 100%, $E$9)</f>
        <v>30.3492</v>
      </c>
      <c r="J865" s="81">
        <f>30.4453 * CHOOSE(CONTROL!$C$32, $C$9, 100%, $E$9)</f>
        <v>30.4453</v>
      </c>
      <c r="K865" s="81">
        <f>30.3492 * CHOOSE(CONTROL!$C$32, $C$9, 100%, $E$9)</f>
        <v>30.3492</v>
      </c>
      <c r="L865" s="81">
        <f>16.4241 * CHOOSE(CONTROL!$C$32, $C$9, 100%, $E$9)</f>
        <v>16.424099999999999</v>
      </c>
      <c r="M865" s="81">
        <f>16.3281 * CHOOSE(CONTROL!$C$32, $C$9, 100%, $E$9)</f>
        <v>16.328099999999999</v>
      </c>
      <c r="N865" s="81">
        <f>16.4241 * CHOOSE(CONTROL!$C$32, $C$9, 100%, $E$9)</f>
        <v>16.424099999999999</v>
      </c>
      <c r="O865" s="81">
        <f>16.3281 * CHOOSE(CONTROL!$C$32, $C$9, 100%, $E$9)</f>
        <v>16.328099999999999</v>
      </c>
    </row>
    <row r="866" spans="1:15" ht="15">
      <c r="A866" s="16">
        <v>67573</v>
      </c>
      <c r="B866" s="80">
        <f>14.5499 * CHOOSE(CONTROL!$C$32, $C$9, 100%, $E$9)</f>
        <v>14.549899999999999</v>
      </c>
      <c r="C866" s="80">
        <f>14.5499 * CHOOSE(CONTROL!$C$32, $C$9, 100%, $E$9)</f>
        <v>14.549899999999999</v>
      </c>
      <c r="D866" s="80">
        <f>14.4684 * CHOOSE(CONTROL!$C$32, $C$9, 100%, $E$9)</f>
        <v>14.468400000000001</v>
      </c>
      <c r="E866" s="81">
        <f>16.5224 * CHOOSE(CONTROL!$C$32, $C$9, 100%, $E$9)</f>
        <v>16.522400000000001</v>
      </c>
      <c r="F866" s="81">
        <f>16.5224 * CHOOSE(CONTROL!$C$32, $C$9, 100%, $E$9)</f>
        <v>16.522400000000001</v>
      </c>
      <c r="G866" s="81">
        <f>16.422 * CHOOSE(CONTROL!$C$32, $C$9, 100%, $E$9)</f>
        <v>16.422000000000001</v>
      </c>
      <c r="H866" s="81">
        <f>30.232 * CHOOSE(CONTROL!$C$32, $C$9, 100%, $E$9)</f>
        <v>30.231999999999999</v>
      </c>
      <c r="I866" s="81">
        <f>30.1316 * CHOOSE(CONTROL!$C$32, $C$9, 100%, $E$9)</f>
        <v>30.131599999999999</v>
      </c>
      <c r="J866" s="81">
        <f>30.232 * CHOOSE(CONTROL!$C$32, $C$9, 100%, $E$9)</f>
        <v>30.231999999999999</v>
      </c>
      <c r="K866" s="81">
        <f>30.1316 * CHOOSE(CONTROL!$C$32, $C$9, 100%, $E$9)</f>
        <v>30.131599999999999</v>
      </c>
      <c r="L866" s="81">
        <f>16.5224 * CHOOSE(CONTROL!$C$32, $C$9, 100%, $E$9)</f>
        <v>16.522400000000001</v>
      </c>
      <c r="M866" s="81">
        <f>16.422 * CHOOSE(CONTROL!$C$32, $C$9, 100%, $E$9)</f>
        <v>16.422000000000001</v>
      </c>
      <c r="N866" s="81">
        <f>16.5224 * CHOOSE(CONTROL!$C$32, $C$9, 100%, $E$9)</f>
        <v>16.522400000000001</v>
      </c>
      <c r="O866" s="81">
        <f>16.422 * CHOOSE(CONTROL!$C$32, $C$9, 100%, $E$9)</f>
        <v>16.422000000000001</v>
      </c>
    </row>
    <row r="867" spans="1:15" ht="15">
      <c r="A867" s="16">
        <v>67604</v>
      </c>
      <c r="B867" s="80">
        <f>14.5468 * CHOOSE(CONTROL!$C$32, $C$9, 100%, $E$9)</f>
        <v>14.546799999999999</v>
      </c>
      <c r="C867" s="80">
        <f>14.5468 * CHOOSE(CONTROL!$C$32, $C$9, 100%, $E$9)</f>
        <v>14.546799999999999</v>
      </c>
      <c r="D867" s="80">
        <f>14.4654 * CHOOSE(CONTROL!$C$32, $C$9, 100%, $E$9)</f>
        <v>14.465400000000001</v>
      </c>
      <c r="E867" s="81">
        <f>16.2258 * CHOOSE(CONTROL!$C$32, $C$9, 100%, $E$9)</f>
        <v>16.2258</v>
      </c>
      <c r="F867" s="81">
        <f>16.2258 * CHOOSE(CONTROL!$C$32, $C$9, 100%, $E$9)</f>
        <v>16.2258</v>
      </c>
      <c r="G867" s="81">
        <f>16.1254 * CHOOSE(CONTROL!$C$32, $C$9, 100%, $E$9)</f>
        <v>16.125399999999999</v>
      </c>
      <c r="H867" s="81">
        <f>30.2949 * CHOOSE(CONTROL!$C$32, $C$9, 100%, $E$9)</f>
        <v>30.294899999999998</v>
      </c>
      <c r="I867" s="81">
        <f>30.1945 * CHOOSE(CONTROL!$C$32, $C$9, 100%, $E$9)</f>
        <v>30.194500000000001</v>
      </c>
      <c r="J867" s="81">
        <f>30.2949 * CHOOSE(CONTROL!$C$32, $C$9, 100%, $E$9)</f>
        <v>30.294899999999998</v>
      </c>
      <c r="K867" s="81">
        <f>30.1945 * CHOOSE(CONTROL!$C$32, $C$9, 100%, $E$9)</f>
        <v>30.194500000000001</v>
      </c>
      <c r="L867" s="81">
        <f>16.2258 * CHOOSE(CONTROL!$C$32, $C$9, 100%, $E$9)</f>
        <v>16.2258</v>
      </c>
      <c r="M867" s="81">
        <f>16.1254 * CHOOSE(CONTROL!$C$32, $C$9, 100%, $E$9)</f>
        <v>16.125399999999999</v>
      </c>
      <c r="N867" s="81">
        <f>16.2258 * CHOOSE(CONTROL!$C$32, $C$9, 100%, $E$9)</f>
        <v>16.2258</v>
      </c>
      <c r="O867" s="81">
        <f>16.1254 * CHOOSE(CONTROL!$C$32, $C$9, 100%, $E$9)</f>
        <v>16.125399999999999</v>
      </c>
    </row>
    <row r="868" spans="1:15" ht="15">
      <c r="A868" s="16">
        <v>67632</v>
      </c>
      <c r="B868" s="80">
        <f>14.5438 * CHOOSE(CONTROL!$C$32, $C$9, 100%, $E$9)</f>
        <v>14.543799999999999</v>
      </c>
      <c r="C868" s="80">
        <f>14.5438 * CHOOSE(CONTROL!$C$32, $C$9, 100%, $E$9)</f>
        <v>14.543799999999999</v>
      </c>
      <c r="D868" s="80">
        <f>14.4623 * CHOOSE(CONTROL!$C$32, $C$9, 100%, $E$9)</f>
        <v>14.462300000000001</v>
      </c>
      <c r="E868" s="81">
        <f>16.4558 * CHOOSE(CONTROL!$C$32, $C$9, 100%, $E$9)</f>
        <v>16.4558</v>
      </c>
      <c r="F868" s="81">
        <f>16.4558 * CHOOSE(CONTROL!$C$32, $C$9, 100%, $E$9)</f>
        <v>16.4558</v>
      </c>
      <c r="G868" s="81">
        <f>16.3554 * CHOOSE(CONTROL!$C$32, $C$9, 100%, $E$9)</f>
        <v>16.355399999999999</v>
      </c>
      <c r="H868" s="81">
        <f>30.3581 * CHOOSE(CONTROL!$C$32, $C$9, 100%, $E$9)</f>
        <v>30.3581</v>
      </c>
      <c r="I868" s="81">
        <f>30.2577 * CHOOSE(CONTROL!$C$32, $C$9, 100%, $E$9)</f>
        <v>30.2577</v>
      </c>
      <c r="J868" s="81">
        <f>30.3581 * CHOOSE(CONTROL!$C$32, $C$9, 100%, $E$9)</f>
        <v>30.3581</v>
      </c>
      <c r="K868" s="81">
        <f>30.2577 * CHOOSE(CONTROL!$C$32, $C$9, 100%, $E$9)</f>
        <v>30.2577</v>
      </c>
      <c r="L868" s="81">
        <f>16.4558 * CHOOSE(CONTROL!$C$32, $C$9, 100%, $E$9)</f>
        <v>16.4558</v>
      </c>
      <c r="M868" s="81">
        <f>16.3554 * CHOOSE(CONTROL!$C$32, $C$9, 100%, $E$9)</f>
        <v>16.355399999999999</v>
      </c>
      <c r="N868" s="81">
        <f>16.4558 * CHOOSE(CONTROL!$C$32, $C$9, 100%, $E$9)</f>
        <v>16.4558</v>
      </c>
      <c r="O868" s="81">
        <f>16.3554 * CHOOSE(CONTROL!$C$32, $C$9, 100%, $E$9)</f>
        <v>16.355399999999999</v>
      </c>
    </row>
    <row r="869" spans="1:15" ht="15">
      <c r="A869" s="16">
        <v>67663</v>
      </c>
      <c r="B869" s="80">
        <f>14.5503 * CHOOSE(CONTROL!$C$32, $C$9, 100%, $E$9)</f>
        <v>14.5503</v>
      </c>
      <c r="C869" s="80">
        <f>14.5503 * CHOOSE(CONTROL!$C$32, $C$9, 100%, $E$9)</f>
        <v>14.5503</v>
      </c>
      <c r="D869" s="80">
        <f>14.4688 * CHOOSE(CONTROL!$C$32, $C$9, 100%, $E$9)</f>
        <v>14.4688</v>
      </c>
      <c r="E869" s="81">
        <f>16.7009 * CHOOSE(CONTROL!$C$32, $C$9, 100%, $E$9)</f>
        <v>16.700900000000001</v>
      </c>
      <c r="F869" s="81">
        <f>16.7009 * CHOOSE(CONTROL!$C$32, $C$9, 100%, $E$9)</f>
        <v>16.700900000000001</v>
      </c>
      <c r="G869" s="81">
        <f>16.6005 * CHOOSE(CONTROL!$C$32, $C$9, 100%, $E$9)</f>
        <v>16.6005</v>
      </c>
      <c r="H869" s="81">
        <f>30.4213 * CHOOSE(CONTROL!$C$32, $C$9, 100%, $E$9)</f>
        <v>30.421299999999999</v>
      </c>
      <c r="I869" s="81">
        <f>30.3209 * CHOOSE(CONTROL!$C$32, $C$9, 100%, $E$9)</f>
        <v>30.320900000000002</v>
      </c>
      <c r="J869" s="81">
        <f>30.4213 * CHOOSE(CONTROL!$C$32, $C$9, 100%, $E$9)</f>
        <v>30.421299999999999</v>
      </c>
      <c r="K869" s="81">
        <f>30.3209 * CHOOSE(CONTROL!$C$32, $C$9, 100%, $E$9)</f>
        <v>30.320900000000002</v>
      </c>
      <c r="L869" s="81">
        <f>16.7009 * CHOOSE(CONTROL!$C$32, $C$9, 100%, $E$9)</f>
        <v>16.700900000000001</v>
      </c>
      <c r="M869" s="81">
        <f>16.6005 * CHOOSE(CONTROL!$C$32, $C$9, 100%, $E$9)</f>
        <v>16.6005</v>
      </c>
      <c r="N869" s="81">
        <f>16.7009 * CHOOSE(CONTROL!$C$32, $C$9, 100%, $E$9)</f>
        <v>16.700900000000001</v>
      </c>
      <c r="O869" s="81">
        <f>16.6005 * CHOOSE(CONTROL!$C$32, $C$9, 100%, $E$9)</f>
        <v>16.6005</v>
      </c>
    </row>
    <row r="870" spans="1:15" ht="15">
      <c r="A870" s="16">
        <v>67693</v>
      </c>
      <c r="B870" s="80">
        <f>14.5503 * CHOOSE(CONTROL!$C$32, $C$9, 100%, $E$9)</f>
        <v>14.5503</v>
      </c>
      <c r="C870" s="80">
        <f>14.5503 * CHOOSE(CONTROL!$C$32, $C$9, 100%, $E$9)</f>
        <v>14.5503</v>
      </c>
      <c r="D870" s="80">
        <f>14.4315 * CHOOSE(CONTROL!$C$32, $C$9, 100%, $E$9)</f>
        <v>14.4315</v>
      </c>
      <c r="E870" s="81">
        <f>16.7944 * CHOOSE(CONTROL!$C$32, $C$9, 100%, $E$9)</f>
        <v>16.7944</v>
      </c>
      <c r="F870" s="81">
        <f>16.7944 * CHOOSE(CONTROL!$C$32, $C$9, 100%, $E$9)</f>
        <v>16.7944</v>
      </c>
      <c r="G870" s="81">
        <f>16.6492 * CHOOSE(CONTROL!$C$32, $C$9, 100%, $E$9)</f>
        <v>16.6492</v>
      </c>
      <c r="H870" s="81">
        <f>30.4847 * CHOOSE(CONTROL!$C$32, $C$9, 100%, $E$9)</f>
        <v>30.4847</v>
      </c>
      <c r="I870" s="81">
        <f>30.3394 * CHOOSE(CONTROL!$C$32, $C$9, 100%, $E$9)</f>
        <v>30.339400000000001</v>
      </c>
      <c r="J870" s="81">
        <f>30.4847 * CHOOSE(CONTROL!$C$32, $C$9, 100%, $E$9)</f>
        <v>30.4847</v>
      </c>
      <c r="K870" s="81">
        <f>30.3394 * CHOOSE(CONTROL!$C$32, $C$9, 100%, $E$9)</f>
        <v>30.339400000000001</v>
      </c>
      <c r="L870" s="81">
        <f>16.7944 * CHOOSE(CONTROL!$C$32, $C$9, 100%, $E$9)</f>
        <v>16.7944</v>
      </c>
      <c r="M870" s="81">
        <f>16.6492 * CHOOSE(CONTROL!$C$32, $C$9, 100%, $E$9)</f>
        <v>16.6492</v>
      </c>
      <c r="N870" s="81">
        <f>16.7944 * CHOOSE(CONTROL!$C$32, $C$9, 100%, $E$9)</f>
        <v>16.7944</v>
      </c>
      <c r="O870" s="81">
        <f>16.6492 * CHOOSE(CONTROL!$C$32, $C$9, 100%, $E$9)</f>
        <v>16.6492</v>
      </c>
    </row>
    <row r="871" spans="1:15" ht="15">
      <c r="A871" s="16">
        <v>67724</v>
      </c>
      <c r="B871" s="80">
        <f>14.5564 * CHOOSE(CONTROL!$C$32, $C$9, 100%, $E$9)</f>
        <v>14.5564</v>
      </c>
      <c r="C871" s="80">
        <f>14.5564 * CHOOSE(CONTROL!$C$32, $C$9, 100%, $E$9)</f>
        <v>14.5564</v>
      </c>
      <c r="D871" s="80">
        <f>14.4376 * CHOOSE(CONTROL!$C$32, $C$9, 100%, $E$9)</f>
        <v>14.4376</v>
      </c>
      <c r="E871" s="81">
        <f>16.7052 * CHOOSE(CONTROL!$C$32, $C$9, 100%, $E$9)</f>
        <v>16.705200000000001</v>
      </c>
      <c r="F871" s="81">
        <f>16.7052 * CHOOSE(CONTROL!$C$32, $C$9, 100%, $E$9)</f>
        <v>16.705200000000001</v>
      </c>
      <c r="G871" s="81">
        <f>16.5599 * CHOOSE(CONTROL!$C$32, $C$9, 100%, $E$9)</f>
        <v>16.559899999999999</v>
      </c>
      <c r="H871" s="81">
        <f>30.5482 * CHOOSE(CONTROL!$C$32, $C$9, 100%, $E$9)</f>
        <v>30.548200000000001</v>
      </c>
      <c r="I871" s="81">
        <f>30.4029 * CHOOSE(CONTROL!$C$32, $C$9, 100%, $E$9)</f>
        <v>30.402899999999999</v>
      </c>
      <c r="J871" s="81">
        <f>30.5482 * CHOOSE(CONTROL!$C$32, $C$9, 100%, $E$9)</f>
        <v>30.548200000000001</v>
      </c>
      <c r="K871" s="81">
        <f>30.4029 * CHOOSE(CONTROL!$C$32, $C$9, 100%, $E$9)</f>
        <v>30.402899999999999</v>
      </c>
      <c r="L871" s="81">
        <f>16.7052 * CHOOSE(CONTROL!$C$32, $C$9, 100%, $E$9)</f>
        <v>16.705200000000001</v>
      </c>
      <c r="M871" s="81">
        <f>16.5599 * CHOOSE(CONTROL!$C$32, $C$9, 100%, $E$9)</f>
        <v>16.559899999999999</v>
      </c>
      <c r="N871" s="81">
        <f>16.7052 * CHOOSE(CONTROL!$C$32, $C$9, 100%, $E$9)</f>
        <v>16.705200000000001</v>
      </c>
      <c r="O871" s="81">
        <f>16.5599 * CHOOSE(CONTROL!$C$32, $C$9, 100%, $E$9)</f>
        <v>16.559899999999999</v>
      </c>
    </row>
    <row r="872" spans="1:15" ht="15">
      <c r="A872" s="16">
        <v>67754</v>
      </c>
      <c r="B872" s="80">
        <f>14.7768 * CHOOSE(CONTROL!$C$32, $C$9, 100%, $E$9)</f>
        <v>14.7768</v>
      </c>
      <c r="C872" s="80">
        <f>14.7768 * CHOOSE(CONTROL!$C$32, $C$9, 100%, $E$9)</f>
        <v>14.7768</v>
      </c>
      <c r="D872" s="80">
        <f>14.658 * CHOOSE(CONTROL!$C$32, $C$9, 100%, $E$9)</f>
        <v>14.657999999999999</v>
      </c>
      <c r="E872" s="81">
        <f>16.9704 * CHOOSE(CONTROL!$C$32, $C$9, 100%, $E$9)</f>
        <v>16.970400000000001</v>
      </c>
      <c r="F872" s="81">
        <f>16.9704 * CHOOSE(CONTROL!$C$32, $C$9, 100%, $E$9)</f>
        <v>16.970400000000001</v>
      </c>
      <c r="G872" s="81">
        <f>16.8252 * CHOOSE(CONTROL!$C$32, $C$9, 100%, $E$9)</f>
        <v>16.825199999999999</v>
      </c>
      <c r="H872" s="81">
        <f>30.6118 * CHOOSE(CONTROL!$C$32, $C$9, 100%, $E$9)</f>
        <v>30.611799999999999</v>
      </c>
      <c r="I872" s="81">
        <f>30.4666 * CHOOSE(CONTROL!$C$32, $C$9, 100%, $E$9)</f>
        <v>30.4666</v>
      </c>
      <c r="J872" s="81">
        <f>30.6118 * CHOOSE(CONTROL!$C$32, $C$9, 100%, $E$9)</f>
        <v>30.611799999999999</v>
      </c>
      <c r="K872" s="81">
        <f>30.4666 * CHOOSE(CONTROL!$C$32, $C$9, 100%, $E$9)</f>
        <v>30.4666</v>
      </c>
      <c r="L872" s="81">
        <f>16.9704 * CHOOSE(CONTROL!$C$32, $C$9, 100%, $E$9)</f>
        <v>16.970400000000001</v>
      </c>
      <c r="M872" s="81">
        <f>16.8252 * CHOOSE(CONTROL!$C$32, $C$9, 100%, $E$9)</f>
        <v>16.825199999999999</v>
      </c>
      <c r="N872" s="81">
        <f>16.9704 * CHOOSE(CONTROL!$C$32, $C$9, 100%, $E$9)</f>
        <v>16.970400000000001</v>
      </c>
      <c r="O872" s="81">
        <f>16.8252 * CHOOSE(CONTROL!$C$32, $C$9, 100%, $E$9)</f>
        <v>16.825199999999999</v>
      </c>
    </row>
    <row r="873" spans="1:15" ht="15">
      <c r="A873" s="16">
        <v>67785</v>
      </c>
      <c r="B873" s="80">
        <f>14.7835 * CHOOSE(CONTROL!$C$32, $C$9, 100%, $E$9)</f>
        <v>14.7835</v>
      </c>
      <c r="C873" s="80">
        <f>14.7835 * CHOOSE(CONTROL!$C$32, $C$9, 100%, $E$9)</f>
        <v>14.7835</v>
      </c>
      <c r="D873" s="80">
        <f>14.6647 * CHOOSE(CONTROL!$C$32, $C$9, 100%, $E$9)</f>
        <v>14.6647</v>
      </c>
      <c r="E873" s="81">
        <f>16.6946 * CHOOSE(CONTROL!$C$32, $C$9, 100%, $E$9)</f>
        <v>16.694600000000001</v>
      </c>
      <c r="F873" s="81">
        <f>16.6946 * CHOOSE(CONTROL!$C$32, $C$9, 100%, $E$9)</f>
        <v>16.694600000000001</v>
      </c>
      <c r="G873" s="81">
        <f>16.5494 * CHOOSE(CONTROL!$C$32, $C$9, 100%, $E$9)</f>
        <v>16.549399999999999</v>
      </c>
      <c r="H873" s="81">
        <f>30.6756 * CHOOSE(CONTROL!$C$32, $C$9, 100%, $E$9)</f>
        <v>30.675599999999999</v>
      </c>
      <c r="I873" s="81">
        <f>30.5304 * CHOOSE(CONTROL!$C$32, $C$9, 100%, $E$9)</f>
        <v>30.5304</v>
      </c>
      <c r="J873" s="81">
        <f>30.6756 * CHOOSE(CONTROL!$C$32, $C$9, 100%, $E$9)</f>
        <v>30.675599999999999</v>
      </c>
      <c r="K873" s="81">
        <f>30.5304 * CHOOSE(CONTROL!$C$32, $C$9, 100%, $E$9)</f>
        <v>30.5304</v>
      </c>
      <c r="L873" s="81">
        <f>16.6946 * CHOOSE(CONTROL!$C$32, $C$9, 100%, $E$9)</f>
        <v>16.694600000000001</v>
      </c>
      <c r="M873" s="81">
        <f>16.5494 * CHOOSE(CONTROL!$C$32, $C$9, 100%, $E$9)</f>
        <v>16.549399999999999</v>
      </c>
      <c r="N873" s="81">
        <f>16.6946 * CHOOSE(CONTROL!$C$32, $C$9, 100%, $E$9)</f>
        <v>16.694600000000001</v>
      </c>
      <c r="O873" s="81">
        <f>16.5494 * CHOOSE(CONTROL!$C$32, $C$9, 100%, $E$9)</f>
        <v>16.549399999999999</v>
      </c>
    </row>
    <row r="874" spans="1:15" ht="15">
      <c r="A874" s="16">
        <v>67816</v>
      </c>
      <c r="B874" s="80">
        <f>14.7804 * CHOOSE(CONTROL!$C$32, $C$9, 100%, $E$9)</f>
        <v>14.7804</v>
      </c>
      <c r="C874" s="80">
        <f>14.7804 * CHOOSE(CONTROL!$C$32, $C$9, 100%, $E$9)</f>
        <v>14.7804</v>
      </c>
      <c r="D874" s="80">
        <f>14.6617 * CHOOSE(CONTROL!$C$32, $C$9, 100%, $E$9)</f>
        <v>14.6617</v>
      </c>
      <c r="E874" s="81">
        <f>16.6613 * CHOOSE(CONTROL!$C$32, $C$9, 100%, $E$9)</f>
        <v>16.661300000000001</v>
      </c>
      <c r="F874" s="81">
        <f>16.6613 * CHOOSE(CONTROL!$C$32, $C$9, 100%, $E$9)</f>
        <v>16.661300000000001</v>
      </c>
      <c r="G874" s="81">
        <f>16.5161 * CHOOSE(CONTROL!$C$32, $C$9, 100%, $E$9)</f>
        <v>16.516100000000002</v>
      </c>
      <c r="H874" s="81">
        <f>30.7395 * CHOOSE(CONTROL!$C$32, $C$9, 100%, $E$9)</f>
        <v>30.7395</v>
      </c>
      <c r="I874" s="81">
        <f>30.5943 * CHOOSE(CONTROL!$C$32, $C$9, 100%, $E$9)</f>
        <v>30.5943</v>
      </c>
      <c r="J874" s="81">
        <f>30.7395 * CHOOSE(CONTROL!$C$32, $C$9, 100%, $E$9)</f>
        <v>30.7395</v>
      </c>
      <c r="K874" s="81">
        <f>30.5943 * CHOOSE(CONTROL!$C$32, $C$9, 100%, $E$9)</f>
        <v>30.5943</v>
      </c>
      <c r="L874" s="81">
        <f>16.6613 * CHOOSE(CONTROL!$C$32, $C$9, 100%, $E$9)</f>
        <v>16.661300000000001</v>
      </c>
      <c r="M874" s="81">
        <f>16.5161 * CHOOSE(CONTROL!$C$32, $C$9, 100%, $E$9)</f>
        <v>16.516100000000002</v>
      </c>
      <c r="N874" s="81">
        <f>16.6613 * CHOOSE(CONTROL!$C$32, $C$9, 100%, $E$9)</f>
        <v>16.661300000000001</v>
      </c>
      <c r="O874" s="81">
        <f>16.5161 * CHOOSE(CONTROL!$C$32, $C$9, 100%, $E$9)</f>
        <v>16.516100000000002</v>
      </c>
    </row>
    <row r="875" spans="1:15" ht="15">
      <c r="A875" s="16">
        <v>67846</v>
      </c>
      <c r="B875" s="80">
        <f>14.8102 * CHOOSE(CONTROL!$C$32, $C$9, 100%, $E$9)</f>
        <v>14.8102</v>
      </c>
      <c r="C875" s="80">
        <f>14.8102 * CHOOSE(CONTROL!$C$32, $C$9, 100%, $E$9)</f>
        <v>14.8102</v>
      </c>
      <c r="D875" s="80">
        <f>14.7287 * CHOOSE(CONTROL!$C$32, $C$9, 100%, $E$9)</f>
        <v>14.7287</v>
      </c>
      <c r="E875" s="81">
        <f>16.7726 * CHOOSE(CONTROL!$C$32, $C$9, 100%, $E$9)</f>
        <v>16.772600000000001</v>
      </c>
      <c r="F875" s="81">
        <f>16.7726 * CHOOSE(CONTROL!$C$32, $C$9, 100%, $E$9)</f>
        <v>16.772600000000001</v>
      </c>
      <c r="G875" s="81">
        <f>16.6722 * CHOOSE(CONTROL!$C$32, $C$9, 100%, $E$9)</f>
        <v>16.6722</v>
      </c>
      <c r="H875" s="81">
        <f>30.8036 * CHOOSE(CONTROL!$C$32, $C$9, 100%, $E$9)</f>
        <v>30.803599999999999</v>
      </c>
      <c r="I875" s="81">
        <f>30.7032 * CHOOSE(CONTROL!$C$32, $C$9, 100%, $E$9)</f>
        <v>30.703199999999999</v>
      </c>
      <c r="J875" s="81">
        <f>30.8036 * CHOOSE(CONTROL!$C$32, $C$9, 100%, $E$9)</f>
        <v>30.803599999999999</v>
      </c>
      <c r="K875" s="81">
        <f>30.7032 * CHOOSE(CONTROL!$C$32, $C$9, 100%, $E$9)</f>
        <v>30.703199999999999</v>
      </c>
      <c r="L875" s="81">
        <f>16.7726 * CHOOSE(CONTROL!$C$32, $C$9, 100%, $E$9)</f>
        <v>16.772600000000001</v>
      </c>
      <c r="M875" s="81">
        <f>16.6722 * CHOOSE(CONTROL!$C$32, $C$9, 100%, $E$9)</f>
        <v>16.6722</v>
      </c>
      <c r="N875" s="81">
        <f>16.7726 * CHOOSE(CONTROL!$C$32, $C$9, 100%, $E$9)</f>
        <v>16.772600000000001</v>
      </c>
      <c r="O875" s="81">
        <f>16.6722 * CHOOSE(CONTROL!$C$32, $C$9, 100%, $E$9)</f>
        <v>16.6722</v>
      </c>
    </row>
    <row r="876" spans="1:15" ht="15">
      <c r="A876" s="16">
        <v>67877</v>
      </c>
      <c r="B876" s="80">
        <f>14.8132 * CHOOSE(CONTROL!$C$32, $C$9, 100%, $E$9)</f>
        <v>14.8132</v>
      </c>
      <c r="C876" s="80">
        <f>14.8132 * CHOOSE(CONTROL!$C$32, $C$9, 100%, $E$9)</f>
        <v>14.8132</v>
      </c>
      <c r="D876" s="80">
        <f>14.7317 * CHOOSE(CONTROL!$C$32, $C$9, 100%, $E$9)</f>
        <v>14.7317</v>
      </c>
      <c r="E876" s="81">
        <f>16.837 * CHOOSE(CONTROL!$C$32, $C$9, 100%, $E$9)</f>
        <v>16.837</v>
      </c>
      <c r="F876" s="81">
        <f>16.837 * CHOOSE(CONTROL!$C$32, $C$9, 100%, $E$9)</f>
        <v>16.837</v>
      </c>
      <c r="G876" s="81">
        <f>16.7366 * CHOOSE(CONTROL!$C$32, $C$9, 100%, $E$9)</f>
        <v>16.736599999999999</v>
      </c>
      <c r="H876" s="81">
        <f>30.8677 * CHOOSE(CONTROL!$C$32, $C$9, 100%, $E$9)</f>
        <v>30.867699999999999</v>
      </c>
      <c r="I876" s="81">
        <f>30.7673 * CHOOSE(CONTROL!$C$32, $C$9, 100%, $E$9)</f>
        <v>30.767299999999999</v>
      </c>
      <c r="J876" s="81">
        <f>30.8677 * CHOOSE(CONTROL!$C$32, $C$9, 100%, $E$9)</f>
        <v>30.867699999999999</v>
      </c>
      <c r="K876" s="81">
        <f>30.7673 * CHOOSE(CONTROL!$C$32, $C$9, 100%, $E$9)</f>
        <v>30.767299999999999</v>
      </c>
      <c r="L876" s="81">
        <f>16.837 * CHOOSE(CONTROL!$C$32, $C$9, 100%, $E$9)</f>
        <v>16.837</v>
      </c>
      <c r="M876" s="81">
        <f>16.7366 * CHOOSE(CONTROL!$C$32, $C$9, 100%, $E$9)</f>
        <v>16.736599999999999</v>
      </c>
      <c r="N876" s="81">
        <f>16.837 * CHOOSE(CONTROL!$C$32, $C$9, 100%, $E$9)</f>
        <v>16.837</v>
      </c>
      <c r="O876" s="81">
        <f>16.7366 * CHOOSE(CONTROL!$C$32, $C$9, 100%, $E$9)</f>
        <v>16.736599999999999</v>
      </c>
    </row>
    <row r="877" spans="1:15" ht="15">
      <c r="A877" s="16">
        <v>67907</v>
      </c>
      <c r="B877" s="80">
        <f>14.8132 * CHOOSE(CONTROL!$C$32, $C$9, 100%, $E$9)</f>
        <v>14.8132</v>
      </c>
      <c r="C877" s="80">
        <f>14.8132 * CHOOSE(CONTROL!$C$32, $C$9, 100%, $E$9)</f>
        <v>14.8132</v>
      </c>
      <c r="D877" s="80">
        <f>14.7317 * CHOOSE(CONTROL!$C$32, $C$9, 100%, $E$9)</f>
        <v>14.7317</v>
      </c>
      <c r="E877" s="81">
        <f>16.6812 * CHOOSE(CONTROL!$C$32, $C$9, 100%, $E$9)</f>
        <v>16.6812</v>
      </c>
      <c r="F877" s="81">
        <f>16.6812 * CHOOSE(CONTROL!$C$32, $C$9, 100%, $E$9)</f>
        <v>16.6812</v>
      </c>
      <c r="G877" s="81">
        <f>16.5808 * CHOOSE(CONTROL!$C$32, $C$9, 100%, $E$9)</f>
        <v>16.5808</v>
      </c>
      <c r="H877" s="81">
        <f>30.932 * CHOOSE(CONTROL!$C$32, $C$9, 100%, $E$9)</f>
        <v>30.931999999999999</v>
      </c>
      <c r="I877" s="81">
        <f>30.8316 * CHOOSE(CONTROL!$C$32, $C$9, 100%, $E$9)</f>
        <v>30.831600000000002</v>
      </c>
      <c r="J877" s="81">
        <f>30.932 * CHOOSE(CONTROL!$C$32, $C$9, 100%, $E$9)</f>
        <v>30.931999999999999</v>
      </c>
      <c r="K877" s="81">
        <f>30.8316 * CHOOSE(CONTROL!$C$32, $C$9, 100%, $E$9)</f>
        <v>30.831600000000002</v>
      </c>
      <c r="L877" s="81">
        <f>16.6812 * CHOOSE(CONTROL!$C$32, $C$9, 100%, $E$9)</f>
        <v>16.6812</v>
      </c>
      <c r="M877" s="81">
        <f>16.5808 * CHOOSE(CONTROL!$C$32, $C$9, 100%, $E$9)</f>
        <v>16.5808</v>
      </c>
      <c r="N877" s="81">
        <f>16.6812 * CHOOSE(CONTROL!$C$32, $C$9, 100%, $E$9)</f>
        <v>16.6812</v>
      </c>
      <c r="O877" s="81">
        <f>16.5808 * CHOOSE(CONTROL!$C$32, $C$9, 100%, $E$9)</f>
        <v>16.5808</v>
      </c>
    </row>
    <row r="878" spans="1:15" ht="15">
      <c r="A878" s="16">
        <v>67938</v>
      </c>
      <c r="B878" s="80">
        <f>14.7854 * CHOOSE(CONTROL!$C$32, $C$9, 100%, $E$9)</f>
        <v>14.785399999999999</v>
      </c>
      <c r="C878" s="80">
        <f>14.7854 * CHOOSE(CONTROL!$C$32, $C$9, 100%, $E$9)</f>
        <v>14.785399999999999</v>
      </c>
      <c r="D878" s="80">
        <f>14.7004 * CHOOSE(CONTROL!$C$32, $C$9, 100%, $E$9)</f>
        <v>14.7004</v>
      </c>
      <c r="E878" s="81">
        <f>16.7771 * CHOOSE(CONTROL!$C$32, $C$9, 100%, $E$9)</f>
        <v>16.777100000000001</v>
      </c>
      <c r="F878" s="81">
        <f>16.7771 * CHOOSE(CONTROL!$C$32, $C$9, 100%, $E$9)</f>
        <v>16.777100000000001</v>
      </c>
      <c r="G878" s="81">
        <f>16.6724 * CHOOSE(CONTROL!$C$32, $C$9, 100%, $E$9)</f>
        <v>16.6724</v>
      </c>
      <c r="H878" s="81">
        <f>30.7077 * CHOOSE(CONTROL!$C$32, $C$9, 100%, $E$9)</f>
        <v>30.707699999999999</v>
      </c>
      <c r="I878" s="81">
        <f>30.603 * CHOOSE(CONTROL!$C$32, $C$9, 100%, $E$9)</f>
        <v>30.603000000000002</v>
      </c>
      <c r="J878" s="81">
        <f>30.7077 * CHOOSE(CONTROL!$C$32, $C$9, 100%, $E$9)</f>
        <v>30.707699999999999</v>
      </c>
      <c r="K878" s="81">
        <f>30.603 * CHOOSE(CONTROL!$C$32, $C$9, 100%, $E$9)</f>
        <v>30.603000000000002</v>
      </c>
      <c r="L878" s="81">
        <f>16.7771 * CHOOSE(CONTROL!$C$32, $C$9, 100%, $E$9)</f>
        <v>16.777100000000001</v>
      </c>
      <c r="M878" s="81">
        <f>16.6724 * CHOOSE(CONTROL!$C$32, $C$9, 100%, $E$9)</f>
        <v>16.6724</v>
      </c>
      <c r="N878" s="81">
        <f>16.7771 * CHOOSE(CONTROL!$C$32, $C$9, 100%, $E$9)</f>
        <v>16.777100000000001</v>
      </c>
      <c r="O878" s="81">
        <f>16.6724 * CHOOSE(CONTROL!$C$32, $C$9, 100%, $E$9)</f>
        <v>16.6724</v>
      </c>
    </row>
    <row r="879" spans="1:15" ht="15">
      <c r="A879" s="16">
        <v>67969</v>
      </c>
      <c r="B879" s="80">
        <f>14.7824 * CHOOSE(CONTROL!$C$32, $C$9, 100%, $E$9)</f>
        <v>14.782400000000001</v>
      </c>
      <c r="C879" s="80">
        <f>14.7824 * CHOOSE(CONTROL!$C$32, $C$9, 100%, $E$9)</f>
        <v>14.782400000000001</v>
      </c>
      <c r="D879" s="80">
        <f>14.6974 * CHOOSE(CONTROL!$C$32, $C$9, 100%, $E$9)</f>
        <v>14.6974</v>
      </c>
      <c r="E879" s="81">
        <f>16.4756 * CHOOSE(CONTROL!$C$32, $C$9, 100%, $E$9)</f>
        <v>16.4756</v>
      </c>
      <c r="F879" s="81">
        <f>16.4756 * CHOOSE(CONTROL!$C$32, $C$9, 100%, $E$9)</f>
        <v>16.4756</v>
      </c>
      <c r="G879" s="81">
        <f>16.3708 * CHOOSE(CONTROL!$C$32, $C$9, 100%, $E$9)</f>
        <v>16.370799999999999</v>
      </c>
      <c r="H879" s="81">
        <f>30.7717 * CHOOSE(CONTROL!$C$32, $C$9, 100%, $E$9)</f>
        <v>30.771699999999999</v>
      </c>
      <c r="I879" s="81">
        <f>30.6669 * CHOOSE(CONTROL!$C$32, $C$9, 100%, $E$9)</f>
        <v>30.666899999999998</v>
      </c>
      <c r="J879" s="81">
        <f>30.7717 * CHOOSE(CONTROL!$C$32, $C$9, 100%, $E$9)</f>
        <v>30.771699999999999</v>
      </c>
      <c r="K879" s="81">
        <f>30.6669 * CHOOSE(CONTROL!$C$32, $C$9, 100%, $E$9)</f>
        <v>30.666899999999998</v>
      </c>
      <c r="L879" s="81">
        <f>16.4756 * CHOOSE(CONTROL!$C$32, $C$9, 100%, $E$9)</f>
        <v>16.4756</v>
      </c>
      <c r="M879" s="81">
        <f>16.3708 * CHOOSE(CONTROL!$C$32, $C$9, 100%, $E$9)</f>
        <v>16.370799999999999</v>
      </c>
      <c r="N879" s="81">
        <f>16.4756 * CHOOSE(CONTROL!$C$32, $C$9, 100%, $E$9)</f>
        <v>16.4756</v>
      </c>
      <c r="O879" s="81">
        <f>16.3708 * CHOOSE(CONTROL!$C$32, $C$9, 100%, $E$9)</f>
        <v>16.370799999999999</v>
      </c>
    </row>
    <row r="880" spans="1:15" ht="15">
      <c r="A880" s="16">
        <v>67997</v>
      </c>
      <c r="B880" s="80">
        <f>14.7794 * CHOOSE(CONTROL!$C$32, $C$9, 100%, $E$9)</f>
        <v>14.779400000000001</v>
      </c>
      <c r="C880" s="80">
        <f>14.7794 * CHOOSE(CONTROL!$C$32, $C$9, 100%, $E$9)</f>
        <v>14.779400000000001</v>
      </c>
      <c r="D880" s="80">
        <f>14.6944 * CHOOSE(CONTROL!$C$32, $C$9, 100%, $E$9)</f>
        <v>14.6944</v>
      </c>
      <c r="E880" s="81">
        <f>16.7095 * CHOOSE(CONTROL!$C$32, $C$9, 100%, $E$9)</f>
        <v>16.709499999999998</v>
      </c>
      <c r="F880" s="81">
        <f>16.7095 * CHOOSE(CONTROL!$C$32, $C$9, 100%, $E$9)</f>
        <v>16.709499999999998</v>
      </c>
      <c r="G880" s="81">
        <f>16.6048 * CHOOSE(CONTROL!$C$32, $C$9, 100%, $E$9)</f>
        <v>16.604800000000001</v>
      </c>
      <c r="H880" s="81">
        <f>30.8358 * CHOOSE(CONTROL!$C$32, $C$9, 100%, $E$9)</f>
        <v>30.835799999999999</v>
      </c>
      <c r="I880" s="81">
        <f>30.731 * CHOOSE(CONTROL!$C$32, $C$9, 100%, $E$9)</f>
        <v>30.731000000000002</v>
      </c>
      <c r="J880" s="81">
        <f>30.8358 * CHOOSE(CONTROL!$C$32, $C$9, 100%, $E$9)</f>
        <v>30.835799999999999</v>
      </c>
      <c r="K880" s="81">
        <f>30.731 * CHOOSE(CONTROL!$C$32, $C$9, 100%, $E$9)</f>
        <v>30.731000000000002</v>
      </c>
      <c r="L880" s="81">
        <f>16.7095 * CHOOSE(CONTROL!$C$32, $C$9, 100%, $E$9)</f>
        <v>16.709499999999998</v>
      </c>
      <c r="M880" s="81">
        <f>16.6048 * CHOOSE(CONTROL!$C$32, $C$9, 100%, $E$9)</f>
        <v>16.604800000000001</v>
      </c>
      <c r="N880" s="81">
        <f>16.7095 * CHOOSE(CONTROL!$C$32, $C$9, 100%, $E$9)</f>
        <v>16.709499999999998</v>
      </c>
      <c r="O880" s="81">
        <f>16.6048 * CHOOSE(CONTROL!$C$32, $C$9, 100%, $E$9)</f>
        <v>16.604800000000001</v>
      </c>
    </row>
    <row r="881" spans="1:15" ht="15">
      <c r="A881" s="16">
        <v>68028</v>
      </c>
      <c r="B881" s="80">
        <f>14.786 * CHOOSE(CONTROL!$C$32, $C$9, 100%, $E$9)</f>
        <v>14.786</v>
      </c>
      <c r="C881" s="80">
        <f>14.786 * CHOOSE(CONTROL!$C$32, $C$9, 100%, $E$9)</f>
        <v>14.786</v>
      </c>
      <c r="D881" s="80">
        <f>14.701 * CHOOSE(CONTROL!$C$32, $C$9, 100%, $E$9)</f>
        <v>14.701000000000001</v>
      </c>
      <c r="E881" s="81">
        <f>16.9588 * CHOOSE(CONTROL!$C$32, $C$9, 100%, $E$9)</f>
        <v>16.9588</v>
      </c>
      <c r="F881" s="81">
        <f>16.9588 * CHOOSE(CONTROL!$C$32, $C$9, 100%, $E$9)</f>
        <v>16.9588</v>
      </c>
      <c r="G881" s="81">
        <f>16.854 * CHOOSE(CONTROL!$C$32, $C$9, 100%, $E$9)</f>
        <v>16.853999999999999</v>
      </c>
      <c r="H881" s="81">
        <f>30.9001 * CHOOSE(CONTROL!$C$32, $C$9, 100%, $E$9)</f>
        <v>30.900099999999998</v>
      </c>
      <c r="I881" s="81">
        <f>30.7953 * CHOOSE(CONTROL!$C$32, $C$9, 100%, $E$9)</f>
        <v>30.795300000000001</v>
      </c>
      <c r="J881" s="81">
        <f>30.9001 * CHOOSE(CONTROL!$C$32, $C$9, 100%, $E$9)</f>
        <v>30.900099999999998</v>
      </c>
      <c r="K881" s="81">
        <f>30.7953 * CHOOSE(CONTROL!$C$32, $C$9, 100%, $E$9)</f>
        <v>30.795300000000001</v>
      </c>
      <c r="L881" s="81">
        <f>16.9588 * CHOOSE(CONTROL!$C$32, $C$9, 100%, $E$9)</f>
        <v>16.9588</v>
      </c>
      <c r="M881" s="81">
        <f>16.854 * CHOOSE(CONTROL!$C$32, $C$9, 100%, $E$9)</f>
        <v>16.853999999999999</v>
      </c>
      <c r="N881" s="81">
        <f>16.9588 * CHOOSE(CONTROL!$C$32, $C$9, 100%, $E$9)</f>
        <v>16.9588</v>
      </c>
      <c r="O881" s="81">
        <f>16.854 * CHOOSE(CONTROL!$C$32, $C$9, 100%, $E$9)</f>
        <v>16.853999999999999</v>
      </c>
    </row>
    <row r="882" spans="1:15" ht="15">
      <c r="A882" s="16">
        <v>68058</v>
      </c>
      <c r="B882" s="80">
        <f>14.786 * CHOOSE(CONTROL!$C$32, $C$9, 100%, $E$9)</f>
        <v>14.786</v>
      </c>
      <c r="C882" s="80">
        <f>14.786 * CHOOSE(CONTROL!$C$32, $C$9, 100%, $E$9)</f>
        <v>14.786</v>
      </c>
      <c r="D882" s="80">
        <f>14.6621 * CHOOSE(CONTROL!$C$32, $C$9, 100%, $E$9)</f>
        <v>14.662100000000001</v>
      </c>
      <c r="E882" s="81">
        <f>17.0538 * CHOOSE(CONTROL!$C$32, $C$9, 100%, $E$9)</f>
        <v>17.053799999999999</v>
      </c>
      <c r="F882" s="81">
        <f>17.0538 * CHOOSE(CONTROL!$C$32, $C$9, 100%, $E$9)</f>
        <v>17.053799999999999</v>
      </c>
      <c r="G882" s="81">
        <f>16.9023 * CHOOSE(CONTROL!$C$32, $C$9, 100%, $E$9)</f>
        <v>16.9023</v>
      </c>
      <c r="H882" s="81">
        <f>30.9644 * CHOOSE(CONTROL!$C$32, $C$9, 100%, $E$9)</f>
        <v>30.964400000000001</v>
      </c>
      <c r="I882" s="81">
        <f>30.8129 * CHOOSE(CONTROL!$C$32, $C$9, 100%, $E$9)</f>
        <v>30.812899999999999</v>
      </c>
      <c r="J882" s="81">
        <f>30.9644 * CHOOSE(CONTROL!$C$32, $C$9, 100%, $E$9)</f>
        <v>30.964400000000001</v>
      </c>
      <c r="K882" s="81">
        <f>30.8129 * CHOOSE(CONTROL!$C$32, $C$9, 100%, $E$9)</f>
        <v>30.812899999999999</v>
      </c>
      <c r="L882" s="81">
        <f>17.0538 * CHOOSE(CONTROL!$C$32, $C$9, 100%, $E$9)</f>
        <v>17.053799999999999</v>
      </c>
      <c r="M882" s="81">
        <f>16.9023 * CHOOSE(CONTROL!$C$32, $C$9, 100%, $E$9)</f>
        <v>16.9023</v>
      </c>
      <c r="N882" s="81">
        <f>17.0538 * CHOOSE(CONTROL!$C$32, $C$9, 100%, $E$9)</f>
        <v>17.053799999999999</v>
      </c>
      <c r="O882" s="81">
        <f>16.9023 * CHOOSE(CONTROL!$C$32, $C$9, 100%, $E$9)</f>
        <v>16.9023</v>
      </c>
    </row>
    <row r="883" spans="1:15" ht="15">
      <c r="A883" s="16">
        <v>68089</v>
      </c>
      <c r="B883" s="80">
        <f>14.7921 * CHOOSE(CONTROL!$C$32, $C$9, 100%, $E$9)</f>
        <v>14.7921</v>
      </c>
      <c r="C883" s="80">
        <f>14.7921 * CHOOSE(CONTROL!$C$32, $C$9, 100%, $E$9)</f>
        <v>14.7921</v>
      </c>
      <c r="D883" s="80">
        <f>14.6682 * CHOOSE(CONTROL!$C$32, $C$9, 100%, $E$9)</f>
        <v>14.668200000000001</v>
      </c>
      <c r="E883" s="81">
        <f>16.963 * CHOOSE(CONTROL!$C$32, $C$9, 100%, $E$9)</f>
        <v>16.963000000000001</v>
      </c>
      <c r="F883" s="81">
        <f>16.963 * CHOOSE(CONTROL!$C$32, $C$9, 100%, $E$9)</f>
        <v>16.963000000000001</v>
      </c>
      <c r="G883" s="81">
        <f>16.8115 * CHOOSE(CONTROL!$C$32, $C$9, 100%, $E$9)</f>
        <v>16.811499999999999</v>
      </c>
      <c r="H883" s="81">
        <f>31.0289 * CHOOSE(CONTROL!$C$32, $C$9, 100%, $E$9)</f>
        <v>31.0289</v>
      </c>
      <c r="I883" s="81">
        <f>30.8774 * CHOOSE(CONTROL!$C$32, $C$9, 100%, $E$9)</f>
        <v>30.877400000000002</v>
      </c>
      <c r="J883" s="81">
        <f>31.0289 * CHOOSE(CONTROL!$C$32, $C$9, 100%, $E$9)</f>
        <v>31.0289</v>
      </c>
      <c r="K883" s="81">
        <f>30.8774 * CHOOSE(CONTROL!$C$32, $C$9, 100%, $E$9)</f>
        <v>30.877400000000002</v>
      </c>
      <c r="L883" s="81">
        <f>16.963 * CHOOSE(CONTROL!$C$32, $C$9, 100%, $E$9)</f>
        <v>16.963000000000001</v>
      </c>
      <c r="M883" s="81">
        <f>16.8115 * CHOOSE(CONTROL!$C$32, $C$9, 100%, $E$9)</f>
        <v>16.811499999999999</v>
      </c>
      <c r="N883" s="81">
        <f>16.963 * CHOOSE(CONTROL!$C$32, $C$9, 100%, $E$9)</f>
        <v>16.963000000000001</v>
      </c>
      <c r="O883" s="81">
        <f>16.8115 * CHOOSE(CONTROL!$C$32, $C$9, 100%, $E$9)</f>
        <v>16.811499999999999</v>
      </c>
    </row>
    <row r="884" spans="1:15" ht="15">
      <c r="A884" s="16">
        <v>68119</v>
      </c>
      <c r="B884" s="80">
        <f>15.016 * CHOOSE(CONTROL!$C$32, $C$9, 100%, $E$9)</f>
        <v>15.016</v>
      </c>
      <c r="C884" s="80">
        <f>15.016 * CHOOSE(CONTROL!$C$32, $C$9, 100%, $E$9)</f>
        <v>15.016</v>
      </c>
      <c r="D884" s="80">
        <f>14.892 * CHOOSE(CONTROL!$C$32, $C$9, 100%, $E$9)</f>
        <v>14.891999999999999</v>
      </c>
      <c r="E884" s="81">
        <f>17.2322 * CHOOSE(CONTROL!$C$32, $C$9, 100%, $E$9)</f>
        <v>17.232199999999999</v>
      </c>
      <c r="F884" s="81">
        <f>17.2322 * CHOOSE(CONTROL!$C$32, $C$9, 100%, $E$9)</f>
        <v>17.232199999999999</v>
      </c>
      <c r="G884" s="81">
        <f>17.0807 * CHOOSE(CONTROL!$C$32, $C$9, 100%, $E$9)</f>
        <v>17.0807</v>
      </c>
      <c r="H884" s="81">
        <f>31.0936 * CHOOSE(CONTROL!$C$32, $C$9, 100%, $E$9)</f>
        <v>31.093599999999999</v>
      </c>
      <c r="I884" s="81">
        <f>30.942 * CHOOSE(CONTROL!$C$32, $C$9, 100%, $E$9)</f>
        <v>30.942</v>
      </c>
      <c r="J884" s="81">
        <f>31.0936 * CHOOSE(CONTROL!$C$32, $C$9, 100%, $E$9)</f>
        <v>31.093599999999999</v>
      </c>
      <c r="K884" s="81">
        <f>30.942 * CHOOSE(CONTROL!$C$32, $C$9, 100%, $E$9)</f>
        <v>30.942</v>
      </c>
      <c r="L884" s="81">
        <f>17.2322 * CHOOSE(CONTROL!$C$32, $C$9, 100%, $E$9)</f>
        <v>17.232199999999999</v>
      </c>
      <c r="M884" s="81">
        <f>17.0807 * CHOOSE(CONTROL!$C$32, $C$9, 100%, $E$9)</f>
        <v>17.0807</v>
      </c>
      <c r="N884" s="81">
        <f>17.2322 * CHOOSE(CONTROL!$C$32, $C$9, 100%, $E$9)</f>
        <v>17.232199999999999</v>
      </c>
      <c r="O884" s="81">
        <f>17.0807 * CHOOSE(CONTROL!$C$32, $C$9, 100%, $E$9)</f>
        <v>17.0807</v>
      </c>
    </row>
    <row r="885" spans="1:15" ht="15">
      <c r="A885" s="16">
        <v>68150</v>
      </c>
      <c r="B885" s="80">
        <f>15.0226 * CHOOSE(CONTROL!$C$32, $C$9, 100%, $E$9)</f>
        <v>15.022600000000001</v>
      </c>
      <c r="C885" s="80">
        <f>15.0226 * CHOOSE(CONTROL!$C$32, $C$9, 100%, $E$9)</f>
        <v>15.022600000000001</v>
      </c>
      <c r="D885" s="80">
        <f>14.8987 * CHOOSE(CONTROL!$C$32, $C$9, 100%, $E$9)</f>
        <v>14.8987</v>
      </c>
      <c r="E885" s="81">
        <f>16.9517 * CHOOSE(CONTROL!$C$32, $C$9, 100%, $E$9)</f>
        <v>16.951699999999999</v>
      </c>
      <c r="F885" s="81">
        <f>16.9517 * CHOOSE(CONTROL!$C$32, $C$9, 100%, $E$9)</f>
        <v>16.951699999999999</v>
      </c>
      <c r="G885" s="81">
        <f>16.8001 * CHOOSE(CONTROL!$C$32, $C$9, 100%, $E$9)</f>
        <v>16.8001</v>
      </c>
      <c r="H885" s="81">
        <f>31.1584 * CHOOSE(CONTROL!$C$32, $C$9, 100%, $E$9)</f>
        <v>31.1584</v>
      </c>
      <c r="I885" s="81">
        <f>31.0068 * CHOOSE(CONTROL!$C$32, $C$9, 100%, $E$9)</f>
        <v>31.006799999999998</v>
      </c>
      <c r="J885" s="81">
        <f>31.1584 * CHOOSE(CONTROL!$C$32, $C$9, 100%, $E$9)</f>
        <v>31.1584</v>
      </c>
      <c r="K885" s="81">
        <f>31.0068 * CHOOSE(CONTROL!$C$32, $C$9, 100%, $E$9)</f>
        <v>31.006799999999998</v>
      </c>
      <c r="L885" s="81">
        <f>16.9517 * CHOOSE(CONTROL!$C$32, $C$9, 100%, $E$9)</f>
        <v>16.951699999999999</v>
      </c>
      <c r="M885" s="81">
        <f>16.8001 * CHOOSE(CONTROL!$C$32, $C$9, 100%, $E$9)</f>
        <v>16.8001</v>
      </c>
      <c r="N885" s="81">
        <f>16.9517 * CHOOSE(CONTROL!$C$32, $C$9, 100%, $E$9)</f>
        <v>16.951699999999999</v>
      </c>
      <c r="O885" s="81">
        <f>16.8001 * CHOOSE(CONTROL!$C$32, $C$9, 100%, $E$9)</f>
        <v>16.8001</v>
      </c>
    </row>
    <row r="886" spans="1:15" ht="15">
      <c r="A886" s="16">
        <v>68181</v>
      </c>
      <c r="B886" s="80">
        <f>15.0196 * CHOOSE(CONTROL!$C$32, $C$9, 100%, $E$9)</f>
        <v>15.019600000000001</v>
      </c>
      <c r="C886" s="80">
        <f>15.0196 * CHOOSE(CONTROL!$C$32, $C$9, 100%, $E$9)</f>
        <v>15.019600000000001</v>
      </c>
      <c r="D886" s="80">
        <f>14.8957 * CHOOSE(CONTROL!$C$32, $C$9, 100%, $E$9)</f>
        <v>14.8957</v>
      </c>
      <c r="E886" s="81">
        <f>16.9179 * CHOOSE(CONTROL!$C$32, $C$9, 100%, $E$9)</f>
        <v>16.917899999999999</v>
      </c>
      <c r="F886" s="81">
        <f>16.9179 * CHOOSE(CONTROL!$C$32, $C$9, 100%, $E$9)</f>
        <v>16.917899999999999</v>
      </c>
      <c r="G886" s="81">
        <f>16.7663 * CHOOSE(CONTROL!$C$32, $C$9, 100%, $E$9)</f>
        <v>16.766300000000001</v>
      </c>
      <c r="H886" s="81">
        <f>31.2233 * CHOOSE(CONTROL!$C$32, $C$9, 100%, $E$9)</f>
        <v>31.223299999999998</v>
      </c>
      <c r="I886" s="81">
        <f>31.0717 * CHOOSE(CONTROL!$C$32, $C$9, 100%, $E$9)</f>
        <v>31.0717</v>
      </c>
      <c r="J886" s="81">
        <f>31.2233 * CHOOSE(CONTROL!$C$32, $C$9, 100%, $E$9)</f>
        <v>31.223299999999998</v>
      </c>
      <c r="K886" s="81">
        <f>31.0717 * CHOOSE(CONTROL!$C$32, $C$9, 100%, $E$9)</f>
        <v>31.0717</v>
      </c>
      <c r="L886" s="81">
        <f>16.9179 * CHOOSE(CONTROL!$C$32, $C$9, 100%, $E$9)</f>
        <v>16.917899999999999</v>
      </c>
      <c r="M886" s="81">
        <f>16.7663 * CHOOSE(CONTROL!$C$32, $C$9, 100%, $E$9)</f>
        <v>16.766300000000001</v>
      </c>
      <c r="N886" s="81">
        <f>16.9179 * CHOOSE(CONTROL!$C$32, $C$9, 100%, $E$9)</f>
        <v>16.917899999999999</v>
      </c>
      <c r="O886" s="81">
        <f>16.7663 * CHOOSE(CONTROL!$C$32, $C$9, 100%, $E$9)</f>
        <v>16.766300000000001</v>
      </c>
    </row>
    <row r="887" spans="1:15" ht="15">
      <c r="A887" s="16">
        <v>68211</v>
      </c>
      <c r="B887" s="80">
        <f>15.0501 * CHOOSE(CONTROL!$C$32, $C$9, 100%, $E$9)</f>
        <v>15.0501</v>
      </c>
      <c r="C887" s="80">
        <f>15.0501 * CHOOSE(CONTROL!$C$32, $C$9, 100%, $E$9)</f>
        <v>15.0501</v>
      </c>
      <c r="D887" s="80">
        <f>14.9651 * CHOOSE(CONTROL!$C$32, $C$9, 100%, $E$9)</f>
        <v>14.9651</v>
      </c>
      <c r="E887" s="81">
        <f>17.0312 * CHOOSE(CONTROL!$C$32, $C$9, 100%, $E$9)</f>
        <v>17.031199999999998</v>
      </c>
      <c r="F887" s="81">
        <f>17.0312 * CHOOSE(CONTROL!$C$32, $C$9, 100%, $E$9)</f>
        <v>17.031199999999998</v>
      </c>
      <c r="G887" s="81">
        <f>16.9265 * CHOOSE(CONTROL!$C$32, $C$9, 100%, $E$9)</f>
        <v>16.926500000000001</v>
      </c>
      <c r="H887" s="81">
        <f>31.2883 * CHOOSE(CONTROL!$C$32, $C$9, 100%, $E$9)</f>
        <v>31.2883</v>
      </c>
      <c r="I887" s="81">
        <f>31.1836 * CHOOSE(CONTROL!$C$32, $C$9, 100%, $E$9)</f>
        <v>31.183599999999998</v>
      </c>
      <c r="J887" s="81">
        <f>31.2883 * CHOOSE(CONTROL!$C$32, $C$9, 100%, $E$9)</f>
        <v>31.2883</v>
      </c>
      <c r="K887" s="81">
        <f>31.1836 * CHOOSE(CONTROL!$C$32, $C$9, 100%, $E$9)</f>
        <v>31.183599999999998</v>
      </c>
      <c r="L887" s="81">
        <f>17.0312 * CHOOSE(CONTROL!$C$32, $C$9, 100%, $E$9)</f>
        <v>17.031199999999998</v>
      </c>
      <c r="M887" s="81">
        <f>16.9265 * CHOOSE(CONTROL!$C$32, $C$9, 100%, $E$9)</f>
        <v>16.926500000000001</v>
      </c>
      <c r="N887" s="81">
        <f>17.0312 * CHOOSE(CONTROL!$C$32, $C$9, 100%, $E$9)</f>
        <v>17.031199999999998</v>
      </c>
      <c r="O887" s="81">
        <f>16.9265 * CHOOSE(CONTROL!$C$32, $C$9, 100%, $E$9)</f>
        <v>16.926500000000001</v>
      </c>
    </row>
    <row r="888" spans="1:15" ht="15">
      <c r="A888" s="16">
        <v>68242</v>
      </c>
      <c r="B888" s="80">
        <f>15.0532 * CHOOSE(CONTROL!$C$32, $C$9, 100%, $E$9)</f>
        <v>15.0532</v>
      </c>
      <c r="C888" s="80">
        <f>15.0532 * CHOOSE(CONTROL!$C$32, $C$9, 100%, $E$9)</f>
        <v>15.0532</v>
      </c>
      <c r="D888" s="80">
        <f>14.9681 * CHOOSE(CONTROL!$C$32, $C$9, 100%, $E$9)</f>
        <v>14.9681</v>
      </c>
      <c r="E888" s="81">
        <f>17.0967 * CHOOSE(CONTROL!$C$32, $C$9, 100%, $E$9)</f>
        <v>17.096699999999998</v>
      </c>
      <c r="F888" s="81">
        <f>17.0967 * CHOOSE(CONTROL!$C$32, $C$9, 100%, $E$9)</f>
        <v>17.096699999999998</v>
      </c>
      <c r="G888" s="81">
        <f>16.9919 * CHOOSE(CONTROL!$C$32, $C$9, 100%, $E$9)</f>
        <v>16.991900000000001</v>
      </c>
      <c r="H888" s="81">
        <f>31.3535 * CHOOSE(CONTROL!$C$32, $C$9, 100%, $E$9)</f>
        <v>31.3535</v>
      </c>
      <c r="I888" s="81">
        <f>31.2487 * CHOOSE(CONTROL!$C$32, $C$9, 100%, $E$9)</f>
        <v>31.248699999999999</v>
      </c>
      <c r="J888" s="81">
        <f>31.3535 * CHOOSE(CONTROL!$C$32, $C$9, 100%, $E$9)</f>
        <v>31.3535</v>
      </c>
      <c r="K888" s="81">
        <f>31.2487 * CHOOSE(CONTROL!$C$32, $C$9, 100%, $E$9)</f>
        <v>31.248699999999999</v>
      </c>
      <c r="L888" s="81">
        <f>17.0967 * CHOOSE(CONTROL!$C$32, $C$9, 100%, $E$9)</f>
        <v>17.096699999999998</v>
      </c>
      <c r="M888" s="81">
        <f>16.9919 * CHOOSE(CONTROL!$C$32, $C$9, 100%, $E$9)</f>
        <v>16.991900000000001</v>
      </c>
      <c r="N888" s="81">
        <f>17.0967 * CHOOSE(CONTROL!$C$32, $C$9, 100%, $E$9)</f>
        <v>17.096699999999998</v>
      </c>
      <c r="O888" s="81">
        <f>16.9919 * CHOOSE(CONTROL!$C$32, $C$9, 100%, $E$9)</f>
        <v>16.991900000000001</v>
      </c>
    </row>
    <row r="889" spans="1:15" ht="15">
      <c r="A889" s="16">
        <v>68272</v>
      </c>
      <c r="B889" s="80">
        <f>15.0532 * CHOOSE(CONTROL!$C$32, $C$9, 100%, $E$9)</f>
        <v>15.0532</v>
      </c>
      <c r="C889" s="80">
        <f>15.0532 * CHOOSE(CONTROL!$C$32, $C$9, 100%, $E$9)</f>
        <v>15.0532</v>
      </c>
      <c r="D889" s="80">
        <f>14.9681 * CHOOSE(CONTROL!$C$32, $C$9, 100%, $E$9)</f>
        <v>14.9681</v>
      </c>
      <c r="E889" s="81">
        <f>16.9383 * CHOOSE(CONTROL!$C$32, $C$9, 100%, $E$9)</f>
        <v>16.938300000000002</v>
      </c>
      <c r="F889" s="81">
        <f>16.9383 * CHOOSE(CONTROL!$C$32, $C$9, 100%, $E$9)</f>
        <v>16.938300000000002</v>
      </c>
      <c r="G889" s="81">
        <f>16.8335 * CHOOSE(CONTROL!$C$32, $C$9, 100%, $E$9)</f>
        <v>16.833500000000001</v>
      </c>
      <c r="H889" s="81">
        <f>31.4188 * CHOOSE(CONTROL!$C$32, $C$9, 100%, $E$9)</f>
        <v>31.418800000000001</v>
      </c>
      <c r="I889" s="81">
        <f>31.3141 * CHOOSE(CONTROL!$C$32, $C$9, 100%, $E$9)</f>
        <v>31.3141</v>
      </c>
      <c r="J889" s="81">
        <f>31.4188 * CHOOSE(CONTROL!$C$32, $C$9, 100%, $E$9)</f>
        <v>31.418800000000001</v>
      </c>
      <c r="K889" s="81">
        <f>31.3141 * CHOOSE(CONTROL!$C$32, $C$9, 100%, $E$9)</f>
        <v>31.3141</v>
      </c>
      <c r="L889" s="81">
        <f>16.9383 * CHOOSE(CONTROL!$C$32, $C$9, 100%, $E$9)</f>
        <v>16.938300000000002</v>
      </c>
      <c r="M889" s="81">
        <f>16.8335 * CHOOSE(CONTROL!$C$32, $C$9, 100%, $E$9)</f>
        <v>16.833500000000001</v>
      </c>
      <c r="N889" s="81">
        <f>16.9383 * CHOOSE(CONTROL!$C$32, $C$9, 100%, $E$9)</f>
        <v>16.938300000000002</v>
      </c>
      <c r="O889" s="81">
        <f>16.8335 * CHOOSE(CONTROL!$C$32, $C$9, 100%, $E$9)</f>
        <v>16.833500000000001</v>
      </c>
    </row>
    <row r="890" spans="1:15" ht="15">
      <c r="A890" s="16">
        <v>68303</v>
      </c>
      <c r="B890" s="80">
        <f>15.021 * CHOOSE(CONTROL!$C$32, $C$9, 100%, $E$9)</f>
        <v>15.021000000000001</v>
      </c>
      <c r="C890" s="80">
        <f>15.021 * CHOOSE(CONTROL!$C$32, $C$9, 100%, $E$9)</f>
        <v>15.021000000000001</v>
      </c>
      <c r="D890" s="80">
        <f>14.9325 * CHOOSE(CONTROL!$C$32, $C$9, 100%, $E$9)</f>
        <v>14.932499999999999</v>
      </c>
      <c r="E890" s="81">
        <f>17.0319 * CHOOSE(CONTROL!$C$32, $C$9, 100%, $E$9)</f>
        <v>17.0319</v>
      </c>
      <c r="F890" s="81">
        <f>17.0319 * CHOOSE(CONTROL!$C$32, $C$9, 100%, $E$9)</f>
        <v>17.0319</v>
      </c>
      <c r="G890" s="81">
        <f>16.9227 * CHOOSE(CONTROL!$C$32, $C$9, 100%, $E$9)</f>
        <v>16.922699999999999</v>
      </c>
      <c r="H890" s="81">
        <f>31.1835 * CHOOSE(CONTROL!$C$32, $C$9, 100%, $E$9)</f>
        <v>31.183499999999999</v>
      </c>
      <c r="I890" s="81">
        <f>31.0744 * CHOOSE(CONTROL!$C$32, $C$9, 100%, $E$9)</f>
        <v>31.074400000000001</v>
      </c>
      <c r="J890" s="81">
        <f>31.1835 * CHOOSE(CONTROL!$C$32, $C$9, 100%, $E$9)</f>
        <v>31.183499999999999</v>
      </c>
      <c r="K890" s="81">
        <f>31.0744 * CHOOSE(CONTROL!$C$32, $C$9, 100%, $E$9)</f>
        <v>31.074400000000001</v>
      </c>
      <c r="L890" s="81">
        <f>17.0319 * CHOOSE(CONTROL!$C$32, $C$9, 100%, $E$9)</f>
        <v>17.0319</v>
      </c>
      <c r="M890" s="81">
        <f>16.9227 * CHOOSE(CONTROL!$C$32, $C$9, 100%, $E$9)</f>
        <v>16.922699999999999</v>
      </c>
      <c r="N890" s="81">
        <f>17.0319 * CHOOSE(CONTROL!$C$32, $C$9, 100%, $E$9)</f>
        <v>17.0319</v>
      </c>
      <c r="O890" s="81">
        <f>16.9227 * CHOOSE(CONTROL!$C$32, $C$9, 100%, $E$9)</f>
        <v>16.922699999999999</v>
      </c>
    </row>
    <row r="891" spans="1:15" ht="15">
      <c r="A891" s="16">
        <v>68334</v>
      </c>
      <c r="B891" s="80">
        <f>15.018 * CHOOSE(CONTROL!$C$32, $C$9, 100%, $E$9)</f>
        <v>15.018000000000001</v>
      </c>
      <c r="C891" s="80">
        <f>15.018 * CHOOSE(CONTROL!$C$32, $C$9, 100%, $E$9)</f>
        <v>15.018000000000001</v>
      </c>
      <c r="D891" s="80">
        <f>14.9294 * CHOOSE(CONTROL!$C$32, $C$9, 100%, $E$9)</f>
        <v>14.929399999999999</v>
      </c>
      <c r="E891" s="81">
        <f>16.7254 * CHOOSE(CONTROL!$C$32, $C$9, 100%, $E$9)</f>
        <v>16.7254</v>
      </c>
      <c r="F891" s="81">
        <f>16.7254 * CHOOSE(CONTROL!$C$32, $C$9, 100%, $E$9)</f>
        <v>16.7254</v>
      </c>
      <c r="G891" s="81">
        <f>16.6163 * CHOOSE(CONTROL!$C$32, $C$9, 100%, $E$9)</f>
        <v>16.616299999999999</v>
      </c>
      <c r="H891" s="81">
        <f>31.2485 * CHOOSE(CONTROL!$C$32, $C$9, 100%, $E$9)</f>
        <v>31.2485</v>
      </c>
      <c r="I891" s="81">
        <f>31.1393 * CHOOSE(CONTROL!$C$32, $C$9, 100%, $E$9)</f>
        <v>31.139299999999999</v>
      </c>
      <c r="J891" s="81">
        <f>31.2485 * CHOOSE(CONTROL!$C$32, $C$9, 100%, $E$9)</f>
        <v>31.2485</v>
      </c>
      <c r="K891" s="81">
        <f>31.1393 * CHOOSE(CONTROL!$C$32, $C$9, 100%, $E$9)</f>
        <v>31.139299999999999</v>
      </c>
      <c r="L891" s="81">
        <f>16.7254 * CHOOSE(CONTROL!$C$32, $C$9, 100%, $E$9)</f>
        <v>16.7254</v>
      </c>
      <c r="M891" s="81">
        <f>16.6163 * CHOOSE(CONTROL!$C$32, $C$9, 100%, $E$9)</f>
        <v>16.616299999999999</v>
      </c>
      <c r="N891" s="81">
        <f>16.7254 * CHOOSE(CONTROL!$C$32, $C$9, 100%, $E$9)</f>
        <v>16.7254</v>
      </c>
      <c r="O891" s="81">
        <f>16.6163 * CHOOSE(CONTROL!$C$32, $C$9, 100%, $E$9)</f>
        <v>16.616299999999999</v>
      </c>
    </row>
    <row r="892" spans="1:15" ht="15">
      <c r="A892" s="16">
        <v>68362</v>
      </c>
      <c r="B892" s="80">
        <f>15.0149 * CHOOSE(CONTROL!$C$32, $C$9, 100%, $E$9)</f>
        <v>15.014900000000001</v>
      </c>
      <c r="C892" s="80">
        <f>15.0149 * CHOOSE(CONTROL!$C$32, $C$9, 100%, $E$9)</f>
        <v>15.014900000000001</v>
      </c>
      <c r="D892" s="80">
        <f>14.9264 * CHOOSE(CONTROL!$C$32, $C$9, 100%, $E$9)</f>
        <v>14.926399999999999</v>
      </c>
      <c r="E892" s="81">
        <f>16.9632 * CHOOSE(CONTROL!$C$32, $C$9, 100%, $E$9)</f>
        <v>16.963200000000001</v>
      </c>
      <c r="F892" s="81">
        <f>16.9632 * CHOOSE(CONTROL!$C$32, $C$9, 100%, $E$9)</f>
        <v>16.963200000000001</v>
      </c>
      <c r="G892" s="81">
        <f>16.8541 * CHOOSE(CONTROL!$C$32, $C$9, 100%, $E$9)</f>
        <v>16.854099999999999</v>
      </c>
      <c r="H892" s="81">
        <f>31.3136 * CHOOSE(CONTROL!$C$32, $C$9, 100%, $E$9)</f>
        <v>31.313600000000001</v>
      </c>
      <c r="I892" s="81">
        <f>31.2044 * CHOOSE(CONTROL!$C$32, $C$9, 100%, $E$9)</f>
        <v>31.2044</v>
      </c>
      <c r="J892" s="81">
        <f>31.3136 * CHOOSE(CONTROL!$C$32, $C$9, 100%, $E$9)</f>
        <v>31.313600000000001</v>
      </c>
      <c r="K892" s="81">
        <f>31.2044 * CHOOSE(CONTROL!$C$32, $C$9, 100%, $E$9)</f>
        <v>31.2044</v>
      </c>
      <c r="L892" s="81">
        <f>16.9632 * CHOOSE(CONTROL!$C$32, $C$9, 100%, $E$9)</f>
        <v>16.963200000000001</v>
      </c>
      <c r="M892" s="81">
        <f>16.8541 * CHOOSE(CONTROL!$C$32, $C$9, 100%, $E$9)</f>
        <v>16.854099999999999</v>
      </c>
      <c r="N892" s="81">
        <f>16.9632 * CHOOSE(CONTROL!$C$32, $C$9, 100%, $E$9)</f>
        <v>16.963200000000001</v>
      </c>
      <c r="O892" s="81">
        <f>16.8541 * CHOOSE(CONTROL!$C$32, $C$9, 100%, $E$9)</f>
        <v>16.854099999999999</v>
      </c>
    </row>
    <row r="893" spans="1:15" ht="15">
      <c r="A893" s="16">
        <v>68393</v>
      </c>
      <c r="B893" s="80">
        <f>15.0218 * CHOOSE(CONTROL!$C$32, $C$9, 100%, $E$9)</f>
        <v>15.021800000000001</v>
      </c>
      <c r="C893" s="80">
        <f>15.0218 * CHOOSE(CONTROL!$C$32, $C$9, 100%, $E$9)</f>
        <v>15.021800000000001</v>
      </c>
      <c r="D893" s="80">
        <f>14.9333 * CHOOSE(CONTROL!$C$32, $C$9, 100%, $E$9)</f>
        <v>14.933299999999999</v>
      </c>
      <c r="E893" s="81">
        <f>17.2166 * CHOOSE(CONTROL!$C$32, $C$9, 100%, $E$9)</f>
        <v>17.2166</v>
      </c>
      <c r="F893" s="81">
        <f>17.2166 * CHOOSE(CONTROL!$C$32, $C$9, 100%, $E$9)</f>
        <v>17.2166</v>
      </c>
      <c r="G893" s="81">
        <f>17.1075 * CHOOSE(CONTROL!$C$32, $C$9, 100%, $E$9)</f>
        <v>17.107500000000002</v>
      </c>
      <c r="H893" s="81">
        <f>31.3788 * CHOOSE(CONTROL!$C$32, $C$9, 100%, $E$9)</f>
        <v>31.378799999999998</v>
      </c>
      <c r="I893" s="81">
        <f>31.2697 * CHOOSE(CONTROL!$C$32, $C$9, 100%, $E$9)</f>
        <v>31.2697</v>
      </c>
      <c r="J893" s="81">
        <f>31.3788 * CHOOSE(CONTROL!$C$32, $C$9, 100%, $E$9)</f>
        <v>31.378799999999998</v>
      </c>
      <c r="K893" s="81">
        <f>31.2697 * CHOOSE(CONTROL!$C$32, $C$9, 100%, $E$9)</f>
        <v>31.2697</v>
      </c>
      <c r="L893" s="81">
        <f>17.2166 * CHOOSE(CONTROL!$C$32, $C$9, 100%, $E$9)</f>
        <v>17.2166</v>
      </c>
      <c r="M893" s="81">
        <f>17.1075 * CHOOSE(CONTROL!$C$32, $C$9, 100%, $E$9)</f>
        <v>17.107500000000002</v>
      </c>
      <c r="N893" s="81">
        <f>17.2166 * CHOOSE(CONTROL!$C$32, $C$9, 100%, $E$9)</f>
        <v>17.2166</v>
      </c>
      <c r="O893" s="81">
        <f>17.1075 * CHOOSE(CONTROL!$C$32, $C$9, 100%, $E$9)</f>
        <v>17.107500000000002</v>
      </c>
    </row>
    <row r="894" spans="1:15" ht="15">
      <c r="A894" s="16">
        <v>68423</v>
      </c>
      <c r="B894" s="80">
        <f>15.0218 * CHOOSE(CONTROL!$C$32, $C$9, 100%, $E$9)</f>
        <v>15.021800000000001</v>
      </c>
      <c r="C894" s="80">
        <f>15.0218 * CHOOSE(CONTROL!$C$32, $C$9, 100%, $E$9)</f>
        <v>15.021800000000001</v>
      </c>
      <c r="D894" s="80">
        <f>14.8927 * CHOOSE(CONTROL!$C$32, $C$9, 100%, $E$9)</f>
        <v>14.8927</v>
      </c>
      <c r="E894" s="81">
        <f>17.3133 * CHOOSE(CONTROL!$C$32, $C$9, 100%, $E$9)</f>
        <v>17.313300000000002</v>
      </c>
      <c r="F894" s="81">
        <f>17.3133 * CHOOSE(CONTROL!$C$32, $C$9, 100%, $E$9)</f>
        <v>17.313300000000002</v>
      </c>
      <c r="G894" s="81">
        <f>17.1554 * CHOOSE(CONTROL!$C$32, $C$9, 100%, $E$9)</f>
        <v>17.1554</v>
      </c>
      <c r="H894" s="81">
        <f>31.4442 * CHOOSE(CONTROL!$C$32, $C$9, 100%, $E$9)</f>
        <v>31.444199999999999</v>
      </c>
      <c r="I894" s="81">
        <f>31.2863 * CHOOSE(CONTROL!$C$32, $C$9, 100%, $E$9)</f>
        <v>31.286300000000001</v>
      </c>
      <c r="J894" s="81">
        <f>31.4442 * CHOOSE(CONTROL!$C$32, $C$9, 100%, $E$9)</f>
        <v>31.444199999999999</v>
      </c>
      <c r="K894" s="81">
        <f>31.2863 * CHOOSE(CONTROL!$C$32, $C$9, 100%, $E$9)</f>
        <v>31.286300000000001</v>
      </c>
      <c r="L894" s="81">
        <f>17.3133 * CHOOSE(CONTROL!$C$32, $C$9, 100%, $E$9)</f>
        <v>17.313300000000002</v>
      </c>
      <c r="M894" s="81">
        <f>17.1554 * CHOOSE(CONTROL!$C$32, $C$9, 100%, $E$9)</f>
        <v>17.1554</v>
      </c>
      <c r="N894" s="81">
        <f>17.3133 * CHOOSE(CONTROL!$C$32, $C$9, 100%, $E$9)</f>
        <v>17.313300000000002</v>
      </c>
      <c r="O894" s="81">
        <f>17.1554 * CHOOSE(CONTROL!$C$32, $C$9, 100%, $E$9)</f>
        <v>17.1554</v>
      </c>
    </row>
    <row r="895" spans="1:15" ht="15">
      <c r="A895" s="16">
        <v>68454</v>
      </c>
      <c r="B895" s="80">
        <f>15.0279 * CHOOSE(CONTROL!$C$32, $C$9, 100%, $E$9)</f>
        <v>15.027900000000001</v>
      </c>
      <c r="C895" s="80">
        <f>15.0279 * CHOOSE(CONTROL!$C$32, $C$9, 100%, $E$9)</f>
        <v>15.027900000000001</v>
      </c>
      <c r="D895" s="80">
        <f>14.8988 * CHOOSE(CONTROL!$C$32, $C$9, 100%, $E$9)</f>
        <v>14.8988</v>
      </c>
      <c r="E895" s="81">
        <f>17.2209 * CHOOSE(CONTROL!$C$32, $C$9, 100%, $E$9)</f>
        <v>17.2209</v>
      </c>
      <c r="F895" s="81">
        <f>17.2209 * CHOOSE(CONTROL!$C$32, $C$9, 100%, $E$9)</f>
        <v>17.2209</v>
      </c>
      <c r="G895" s="81">
        <f>17.063 * CHOOSE(CONTROL!$C$32, $C$9, 100%, $E$9)</f>
        <v>17.062999999999999</v>
      </c>
      <c r="H895" s="81">
        <f>31.5097 * CHOOSE(CONTROL!$C$32, $C$9, 100%, $E$9)</f>
        <v>31.509699999999999</v>
      </c>
      <c r="I895" s="81">
        <f>31.3518 * CHOOSE(CONTROL!$C$32, $C$9, 100%, $E$9)</f>
        <v>31.351800000000001</v>
      </c>
      <c r="J895" s="81">
        <f>31.5097 * CHOOSE(CONTROL!$C$32, $C$9, 100%, $E$9)</f>
        <v>31.509699999999999</v>
      </c>
      <c r="K895" s="81">
        <f>31.3518 * CHOOSE(CONTROL!$C$32, $C$9, 100%, $E$9)</f>
        <v>31.351800000000001</v>
      </c>
      <c r="L895" s="81">
        <f>17.2209 * CHOOSE(CONTROL!$C$32, $C$9, 100%, $E$9)</f>
        <v>17.2209</v>
      </c>
      <c r="M895" s="81">
        <f>17.063 * CHOOSE(CONTROL!$C$32, $C$9, 100%, $E$9)</f>
        <v>17.062999999999999</v>
      </c>
      <c r="N895" s="81">
        <f>17.2209 * CHOOSE(CONTROL!$C$32, $C$9, 100%, $E$9)</f>
        <v>17.2209</v>
      </c>
      <c r="O895" s="81">
        <f>17.063 * CHOOSE(CONTROL!$C$32, $C$9, 100%, $E$9)</f>
        <v>17.062999999999999</v>
      </c>
    </row>
    <row r="896" spans="1:15" ht="15">
      <c r="A896" s="16">
        <v>68484</v>
      </c>
      <c r="B896" s="80">
        <f>15.2551 * CHOOSE(CONTROL!$C$32, $C$9, 100%, $E$9)</f>
        <v>15.255100000000001</v>
      </c>
      <c r="C896" s="80">
        <f>15.2551 * CHOOSE(CONTROL!$C$32, $C$9, 100%, $E$9)</f>
        <v>15.255100000000001</v>
      </c>
      <c r="D896" s="80">
        <f>15.1261 * CHOOSE(CONTROL!$C$32, $C$9, 100%, $E$9)</f>
        <v>15.126099999999999</v>
      </c>
      <c r="E896" s="81">
        <f>17.494 * CHOOSE(CONTROL!$C$32, $C$9, 100%, $E$9)</f>
        <v>17.494</v>
      </c>
      <c r="F896" s="81">
        <f>17.494 * CHOOSE(CONTROL!$C$32, $C$9, 100%, $E$9)</f>
        <v>17.494</v>
      </c>
      <c r="G896" s="81">
        <f>17.3361 * CHOOSE(CONTROL!$C$32, $C$9, 100%, $E$9)</f>
        <v>17.336099999999998</v>
      </c>
      <c r="H896" s="81">
        <f>31.5753 * CHOOSE(CONTROL!$C$32, $C$9, 100%, $E$9)</f>
        <v>31.575299999999999</v>
      </c>
      <c r="I896" s="81">
        <f>31.4174 * CHOOSE(CONTROL!$C$32, $C$9, 100%, $E$9)</f>
        <v>31.417400000000001</v>
      </c>
      <c r="J896" s="81">
        <f>31.5753 * CHOOSE(CONTROL!$C$32, $C$9, 100%, $E$9)</f>
        <v>31.575299999999999</v>
      </c>
      <c r="K896" s="81">
        <f>31.4174 * CHOOSE(CONTROL!$C$32, $C$9, 100%, $E$9)</f>
        <v>31.417400000000001</v>
      </c>
      <c r="L896" s="81">
        <f>17.494 * CHOOSE(CONTROL!$C$32, $C$9, 100%, $E$9)</f>
        <v>17.494</v>
      </c>
      <c r="M896" s="81">
        <f>17.3361 * CHOOSE(CONTROL!$C$32, $C$9, 100%, $E$9)</f>
        <v>17.336099999999998</v>
      </c>
      <c r="N896" s="81">
        <f>17.494 * CHOOSE(CONTROL!$C$32, $C$9, 100%, $E$9)</f>
        <v>17.494</v>
      </c>
      <c r="O896" s="81">
        <f>17.3361 * CHOOSE(CONTROL!$C$32, $C$9, 100%, $E$9)</f>
        <v>17.336099999999998</v>
      </c>
    </row>
    <row r="897" spans="1:15" ht="15">
      <c r="A897" s="16">
        <v>68515</v>
      </c>
      <c r="B897" s="80">
        <f>15.2618 * CHOOSE(CONTROL!$C$32, $C$9, 100%, $E$9)</f>
        <v>15.261799999999999</v>
      </c>
      <c r="C897" s="80">
        <f>15.2618 * CHOOSE(CONTROL!$C$32, $C$9, 100%, $E$9)</f>
        <v>15.261799999999999</v>
      </c>
      <c r="D897" s="80">
        <f>15.1327 * CHOOSE(CONTROL!$C$32, $C$9, 100%, $E$9)</f>
        <v>15.1327</v>
      </c>
      <c r="E897" s="81">
        <f>17.2088 * CHOOSE(CONTROL!$C$32, $C$9, 100%, $E$9)</f>
        <v>17.2088</v>
      </c>
      <c r="F897" s="81">
        <f>17.2088 * CHOOSE(CONTROL!$C$32, $C$9, 100%, $E$9)</f>
        <v>17.2088</v>
      </c>
      <c r="G897" s="81">
        <f>17.0509 * CHOOSE(CONTROL!$C$32, $C$9, 100%, $E$9)</f>
        <v>17.050899999999999</v>
      </c>
      <c r="H897" s="81">
        <f>31.6411 * CHOOSE(CONTROL!$C$32, $C$9, 100%, $E$9)</f>
        <v>31.641100000000002</v>
      </c>
      <c r="I897" s="81">
        <f>31.4832 * CHOOSE(CONTROL!$C$32, $C$9, 100%, $E$9)</f>
        <v>31.4832</v>
      </c>
      <c r="J897" s="81">
        <f>31.6411 * CHOOSE(CONTROL!$C$32, $C$9, 100%, $E$9)</f>
        <v>31.641100000000002</v>
      </c>
      <c r="K897" s="81">
        <f>31.4832 * CHOOSE(CONTROL!$C$32, $C$9, 100%, $E$9)</f>
        <v>31.4832</v>
      </c>
      <c r="L897" s="81">
        <f>17.2088 * CHOOSE(CONTROL!$C$32, $C$9, 100%, $E$9)</f>
        <v>17.2088</v>
      </c>
      <c r="M897" s="81">
        <f>17.0509 * CHOOSE(CONTROL!$C$32, $C$9, 100%, $E$9)</f>
        <v>17.050899999999999</v>
      </c>
      <c r="N897" s="81">
        <f>17.2088 * CHOOSE(CONTROL!$C$32, $C$9, 100%, $E$9)</f>
        <v>17.2088</v>
      </c>
      <c r="O897" s="81">
        <f>17.0509 * CHOOSE(CONTROL!$C$32, $C$9, 100%, $E$9)</f>
        <v>17.050899999999999</v>
      </c>
    </row>
    <row r="898" spans="1:15" ht="15">
      <c r="A898" s="16">
        <v>68546</v>
      </c>
      <c r="B898" s="80">
        <f>15.2588 * CHOOSE(CONTROL!$C$32, $C$9, 100%, $E$9)</f>
        <v>15.258800000000001</v>
      </c>
      <c r="C898" s="80">
        <f>15.2588 * CHOOSE(CONTROL!$C$32, $C$9, 100%, $E$9)</f>
        <v>15.258800000000001</v>
      </c>
      <c r="D898" s="80">
        <f>15.1297 * CHOOSE(CONTROL!$C$32, $C$9, 100%, $E$9)</f>
        <v>15.1297</v>
      </c>
      <c r="E898" s="81">
        <f>17.1744 * CHOOSE(CONTROL!$C$32, $C$9, 100%, $E$9)</f>
        <v>17.174399999999999</v>
      </c>
      <c r="F898" s="81">
        <f>17.1744 * CHOOSE(CONTROL!$C$32, $C$9, 100%, $E$9)</f>
        <v>17.174399999999999</v>
      </c>
      <c r="G898" s="81">
        <f>17.0166 * CHOOSE(CONTROL!$C$32, $C$9, 100%, $E$9)</f>
        <v>17.0166</v>
      </c>
      <c r="H898" s="81">
        <f>31.707 * CHOOSE(CONTROL!$C$32, $C$9, 100%, $E$9)</f>
        <v>31.707000000000001</v>
      </c>
      <c r="I898" s="81">
        <f>31.5491 * CHOOSE(CONTROL!$C$32, $C$9, 100%, $E$9)</f>
        <v>31.549099999999999</v>
      </c>
      <c r="J898" s="81">
        <f>31.707 * CHOOSE(CONTROL!$C$32, $C$9, 100%, $E$9)</f>
        <v>31.707000000000001</v>
      </c>
      <c r="K898" s="81">
        <f>31.5491 * CHOOSE(CONTROL!$C$32, $C$9, 100%, $E$9)</f>
        <v>31.549099999999999</v>
      </c>
      <c r="L898" s="81">
        <f>17.1744 * CHOOSE(CONTROL!$C$32, $C$9, 100%, $E$9)</f>
        <v>17.174399999999999</v>
      </c>
      <c r="M898" s="81">
        <f>17.0166 * CHOOSE(CONTROL!$C$32, $C$9, 100%, $E$9)</f>
        <v>17.0166</v>
      </c>
      <c r="N898" s="81">
        <f>17.1744 * CHOOSE(CONTROL!$C$32, $C$9, 100%, $E$9)</f>
        <v>17.174399999999999</v>
      </c>
      <c r="O898" s="81">
        <f>17.0166 * CHOOSE(CONTROL!$C$32, $C$9, 100%, $E$9)</f>
        <v>17.0166</v>
      </c>
    </row>
    <row r="899" spans="1:15" ht="15">
      <c r="A899" s="16">
        <v>68576</v>
      </c>
      <c r="B899" s="80">
        <f>15.2901 * CHOOSE(CONTROL!$C$32, $C$9, 100%, $E$9)</f>
        <v>15.290100000000001</v>
      </c>
      <c r="C899" s="80">
        <f>15.2901 * CHOOSE(CONTROL!$C$32, $C$9, 100%, $E$9)</f>
        <v>15.290100000000001</v>
      </c>
      <c r="D899" s="80">
        <f>15.2015 * CHOOSE(CONTROL!$C$32, $C$9, 100%, $E$9)</f>
        <v>15.201499999999999</v>
      </c>
      <c r="E899" s="81">
        <f>17.2899 * CHOOSE(CONTROL!$C$32, $C$9, 100%, $E$9)</f>
        <v>17.289899999999999</v>
      </c>
      <c r="F899" s="81">
        <f>17.2899 * CHOOSE(CONTROL!$C$32, $C$9, 100%, $E$9)</f>
        <v>17.289899999999999</v>
      </c>
      <c r="G899" s="81">
        <f>17.1807 * CHOOSE(CONTROL!$C$32, $C$9, 100%, $E$9)</f>
        <v>17.180700000000002</v>
      </c>
      <c r="H899" s="81">
        <f>31.7731 * CHOOSE(CONTROL!$C$32, $C$9, 100%, $E$9)</f>
        <v>31.773099999999999</v>
      </c>
      <c r="I899" s="81">
        <f>31.664 * CHOOSE(CONTROL!$C$32, $C$9, 100%, $E$9)</f>
        <v>31.664000000000001</v>
      </c>
      <c r="J899" s="81">
        <f>31.7731 * CHOOSE(CONTROL!$C$32, $C$9, 100%, $E$9)</f>
        <v>31.773099999999999</v>
      </c>
      <c r="K899" s="81">
        <f>31.664 * CHOOSE(CONTROL!$C$32, $C$9, 100%, $E$9)</f>
        <v>31.664000000000001</v>
      </c>
      <c r="L899" s="81">
        <f>17.2899 * CHOOSE(CONTROL!$C$32, $C$9, 100%, $E$9)</f>
        <v>17.289899999999999</v>
      </c>
      <c r="M899" s="81">
        <f>17.1807 * CHOOSE(CONTROL!$C$32, $C$9, 100%, $E$9)</f>
        <v>17.180700000000002</v>
      </c>
      <c r="N899" s="81">
        <f>17.2899 * CHOOSE(CONTROL!$C$32, $C$9, 100%, $E$9)</f>
        <v>17.289899999999999</v>
      </c>
      <c r="O899" s="81">
        <f>17.1807 * CHOOSE(CONTROL!$C$32, $C$9, 100%, $E$9)</f>
        <v>17.180700000000002</v>
      </c>
    </row>
    <row r="900" spans="1:15" ht="15">
      <c r="A900" s="16">
        <v>68607</v>
      </c>
      <c r="B900" s="80">
        <f>15.2931 * CHOOSE(CONTROL!$C$32, $C$9, 100%, $E$9)</f>
        <v>15.293100000000001</v>
      </c>
      <c r="C900" s="80">
        <f>15.2931 * CHOOSE(CONTROL!$C$32, $C$9, 100%, $E$9)</f>
        <v>15.293100000000001</v>
      </c>
      <c r="D900" s="80">
        <f>15.2045 * CHOOSE(CONTROL!$C$32, $C$9, 100%, $E$9)</f>
        <v>15.204499999999999</v>
      </c>
      <c r="E900" s="81">
        <f>17.3564 * CHOOSE(CONTROL!$C$32, $C$9, 100%, $E$9)</f>
        <v>17.356400000000001</v>
      </c>
      <c r="F900" s="81">
        <f>17.3564 * CHOOSE(CONTROL!$C$32, $C$9, 100%, $E$9)</f>
        <v>17.356400000000001</v>
      </c>
      <c r="G900" s="81">
        <f>17.2473 * CHOOSE(CONTROL!$C$32, $C$9, 100%, $E$9)</f>
        <v>17.247299999999999</v>
      </c>
      <c r="H900" s="81">
        <f>31.8393 * CHOOSE(CONTROL!$C$32, $C$9, 100%, $E$9)</f>
        <v>31.839300000000001</v>
      </c>
      <c r="I900" s="81">
        <f>31.7301 * CHOOSE(CONTROL!$C$32, $C$9, 100%, $E$9)</f>
        <v>31.7301</v>
      </c>
      <c r="J900" s="81">
        <f>31.8393 * CHOOSE(CONTROL!$C$32, $C$9, 100%, $E$9)</f>
        <v>31.839300000000001</v>
      </c>
      <c r="K900" s="81">
        <f>31.7301 * CHOOSE(CONTROL!$C$32, $C$9, 100%, $E$9)</f>
        <v>31.7301</v>
      </c>
      <c r="L900" s="81">
        <f>17.3564 * CHOOSE(CONTROL!$C$32, $C$9, 100%, $E$9)</f>
        <v>17.356400000000001</v>
      </c>
      <c r="M900" s="81">
        <f>17.2473 * CHOOSE(CONTROL!$C$32, $C$9, 100%, $E$9)</f>
        <v>17.247299999999999</v>
      </c>
      <c r="N900" s="81">
        <f>17.3564 * CHOOSE(CONTROL!$C$32, $C$9, 100%, $E$9)</f>
        <v>17.356400000000001</v>
      </c>
      <c r="O900" s="81">
        <f>17.2473 * CHOOSE(CONTROL!$C$32, $C$9, 100%, $E$9)</f>
        <v>17.247299999999999</v>
      </c>
    </row>
    <row r="901" spans="1:15" ht="15">
      <c r="A901" s="16">
        <v>68637</v>
      </c>
      <c r="B901" s="80">
        <f>15.2931 * CHOOSE(CONTROL!$C$32, $C$9, 100%, $E$9)</f>
        <v>15.293100000000001</v>
      </c>
      <c r="C901" s="80">
        <f>15.2931 * CHOOSE(CONTROL!$C$32, $C$9, 100%, $E$9)</f>
        <v>15.293100000000001</v>
      </c>
      <c r="D901" s="80">
        <f>15.2045 * CHOOSE(CONTROL!$C$32, $C$9, 100%, $E$9)</f>
        <v>15.204499999999999</v>
      </c>
      <c r="E901" s="81">
        <f>17.1953 * CHOOSE(CONTROL!$C$32, $C$9, 100%, $E$9)</f>
        <v>17.1953</v>
      </c>
      <c r="F901" s="81">
        <f>17.1953 * CHOOSE(CONTROL!$C$32, $C$9, 100%, $E$9)</f>
        <v>17.1953</v>
      </c>
      <c r="G901" s="81">
        <f>17.0862 * CHOOSE(CONTROL!$C$32, $C$9, 100%, $E$9)</f>
        <v>17.086200000000002</v>
      </c>
      <c r="H901" s="81">
        <f>31.9056 * CHOOSE(CONTROL!$C$32, $C$9, 100%, $E$9)</f>
        <v>31.9056</v>
      </c>
      <c r="I901" s="81">
        <f>31.7965 * CHOOSE(CONTROL!$C$32, $C$9, 100%, $E$9)</f>
        <v>31.796500000000002</v>
      </c>
      <c r="J901" s="81">
        <f>31.9056 * CHOOSE(CONTROL!$C$32, $C$9, 100%, $E$9)</f>
        <v>31.9056</v>
      </c>
      <c r="K901" s="81">
        <f>31.7965 * CHOOSE(CONTROL!$C$32, $C$9, 100%, $E$9)</f>
        <v>31.796500000000002</v>
      </c>
      <c r="L901" s="81">
        <f>17.1953 * CHOOSE(CONTROL!$C$32, $C$9, 100%, $E$9)</f>
        <v>17.1953</v>
      </c>
      <c r="M901" s="81">
        <f>17.0862 * CHOOSE(CONTROL!$C$32, $C$9, 100%, $E$9)</f>
        <v>17.086200000000002</v>
      </c>
      <c r="N901" s="81">
        <f>17.1953 * CHOOSE(CONTROL!$C$32, $C$9, 100%, $E$9)</f>
        <v>17.1953</v>
      </c>
      <c r="O901" s="81">
        <f>17.0862 * CHOOSE(CONTROL!$C$32, $C$9, 100%, $E$9)</f>
        <v>17.086200000000002</v>
      </c>
    </row>
    <row r="902" spans="1:15" ht="15">
      <c r="A902" s="16">
        <v>68668</v>
      </c>
      <c r="B902" s="80">
        <f>15.2566 * CHOOSE(CONTROL!$C$32, $C$9, 100%, $E$9)</f>
        <v>15.256600000000001</v>
      </c>
      <c r="C902" s="80">
        <f>15.2566 * CHOOSE(CONTROL!$C$32, $C$9, 100%, $E$9)</f>
        <v>15.256600000000001</v>
      </c>
      <c r="D902" s="80">
        <f>15.1645 * CHOOSE(CONTROL!$C$32, $C$9, 100%, $E$9)</f>
        <v>15.1645</v>
      </c>
      <c r="E902" s="81">
        <f>17.2866 * CHOOSE(CONTROL!$C$32, $C$9, 100%, $E$9)</f>
        <v>17.2866</v>
      </c>
      <c r="F902" s="81">
        <f>17.2866 * CHOOSE(CONTROL!$C$32, $C$9, 100%, $E$9)</f>
        <v>17.2866</v>
      </c>
      <c r="G902" s="81">
        <f>17.1731 * CHOOSE(CONTROL!$C$32, $C$9, 100%, $E$9)</f>
        <v>17.173100000000002</v>
      </c>
      <c r="H902" s="81">
        <f>31.6593 * CHOOSE(CONTROL!$C$32, $C$9, 100%, $E$9)</f>
        <v>31.659300000000002</v>
      </c>
      <c r="I902" s="81">
        <f>31.5458 * CHOOSE(CONTROL!$C$32, $C$9, 100%, $E$9)</f>
        <v>31.5458</v>
      </c>
      <c r="J902" s="81">
        <f>31.6593 * CHOOSE(CONTROL!$C$32, $C$9, 100%, $E$9)</f>
        <v>31.659300000000002</v>
      </c>
      <c r="K902" s="81">
        <f>31.5458 * CHOOSE(CONTROL!$C$32, $C$9, 100%, $E$9)</f>
        <v>31.5458</v>
      </c>
      <c r="L902" s="81">
        <f>17.2866 * CHOOSE(CONTROL!$C$32, $C$9, 100%, $E$9)</f>
        <v>17.2866</v>
      </c>
      <c r="M902" s="81">
        <f>17.1731 * CHOOSE(CONTROL!$C$32, $C$9, 100%, $E$9)</f>
        <v>17.173100000000002</v>
      </c>
      <c r="N902" s="81">
        <f>17.2866 * CHOOSE(CONTROL!$C$32, $C$9, 100%, $E$9)</f>
        <v>17.2866</v>
      </c>
      <c r="O902" s="81">
        <f>17.1731 * CHOOSE(CONTROL!$C$32, $C$9, 100%, $E$9)</f>
        <v>17.173100000000002</v>
      </c>
    </row>
    <row r="903" spans="1:15" ht="15">
      <c r="A903" s="16">
        <v>68699</v>
      </c>
      <c r="B903" s="80">
        <f>15.2536 * CHOOSE(CONTROL!$C$32, $C$9, 100%, $E$9)</f>
        <v>15.2536</v>
      </c>
      <c r="C903" s="80">
        <f>15.2536 * CHOOSE(CONTROL!$C$32, $C$9, 100%, $E$9)</f>
        <v>15.2536</v>
      </c>
      <c r="D903" s="80">
        <f>15.1614 * CHOOSE(CONTROL!$C$32, $C$9, 100%, $E$9)</f>
        <v>15.1614</v>
      </c>
      <c r="E903" s="81">
        <f>16.9752 * CHOOSE(CONTROL!$C$32, $C$9, 100%, $E$9)</f>
        <v>16.975200000000001</v>
      </c>
      <c r="F903" s="81">
        <f>16.9752 * CHOOSE(CONTROL!$C$32, $C$9, 100%, $E$9)</f>
        <v>16.975200000000001</v>
      </c>
      <c r="G903" s="81">
        <f>16.8617 * CHOOSE(CONTROL!$C$32, $C$9, 100%, $E$9)</f>
        <v>16.861699999999999</v>
      </c>
      <c r="H903" s="81">
        <f>31.7252 * CHOOSE(CONTROL!$C$32, $C$9, 100%, $E$9)</f>
        <v>31.725200000000001</v>
      </c>
      <c r="I903" s="81">
        <f>31.6117 * CHOOSE(CONTROL!$C$32, $C$9, 100%, $E$9)</f>
        <v>31.611699999999999</v>
      </c>
      <c r="J903" s="81">
        <f>31.7252 * CHOOSE(CONTROL!$C$32, $C$9, 100%, $E$9)</f>
        <v>31.725200000000001</v>
      </c>
      <c r="K903" s="81">
        <f>31.6117 * CHOOSE(CONTROL!$C$32, $C$9, 100%, $E$9)</f>
        <v>31.611699999999999</v>
      </c>
      <c r="L903" s="81">
        <f>16.9752 * CHOOSE(CONTROL!$C$32, $C$9, 100%, $E$9)</f>
        <v>16.975200000000001</v>
      </c>
      <c r="M903" s="81">
        <f>16.8617 * CHOOSE(CONTROL!$C$32, $C$9, 100%, $E$9)</f>
        <v>16.861699999999999</v>
      </c>
      <c r="N903" s="81">
        <f>16.9752 * CHOOSE(CONTROL!$C$32, $C$9, 100%, $E$9)</f>
        <v>16.975200000000001</v>
      </c>
      <c r="O903" s="81">
        <f>16.8617 * CHOOSE(CONTROL!$C$32, $C$9, 100%, $E$9)</f>
        <v>16.861699999999999</v>
      </c>
    </row>
    <row r="904" spans="1:15" ht="15">
      <c r="A904" s="16">
        <v>68728</v>
      </c>
      <c r="B904" s="80">
        <f>15.2505 * CHOOSE(CONTROL!$C$32, $C$9, 100%, $E$9)</f>
        <v>15.250500000000001</v>
      </c>
      <c r="C904" s="80">
        <f>15.2505 * CHOOSE(CONTROL!$C$32, $C$9, 100%, $E$9)</f>
        <v>15.250500000000001</v>
      </c>
      <c r="D904" s="80">
        <f>15.1584 * CHOOSE(CONTROL!$C$32, $C$9, 100%, $E$9)</f>
        <v>15.1584</v>
      </c>
      <c r="E904" s="81">
        <f>17.2169 * CHOOSE(CONTROL!$C$32, $C$9, 100%, $E$9)</f>
        <v>17.216899999999999</v>
      </c>
      <c r="F904" s="81">
        <f>17.2169 * CHOOSE(CONTROL!$C$32, $C$9, 100%, $E$9)</f>
        <v>17.216899999999999</v>
      </c>
      <c r="G904" s="81">
        <f>17.1034 * CHOOSE(CONTROL!$C$32, $C$9, 100%, $E$9)</f>
        <v>17.103400000000001</v>
      </c>
      <c r="H904" s="81">
        <f>31.7913 * CHOOSE(CONTROL!$C$32, $C$9, 100%, $E$9)</f>
        <v>31.7913</v>
      </c>
      <c r="I904" s="81">
        <f>31.6778 * CHOOSE(CONTROL!$C$32, $C$9, 100%, $E$9)</f>
        <v>31.677800000000001</v>
      </c>
      <c r="J904" s="81">
        <f>31.7913 * CHOOSE(CONTROL!$C$32, $C$9, 100%, $E$9)</f>
        <v>31.7913</v>
      </c>
      <c r="K904" s="81">
        <f>31.6778 * CHOOSE(CONTROL!$C$32, $C$9, 100%, $E$9)</f>
        <v>31.677800000000001</v>
      </c>
      <c r="L904" s="81">
        <f>17.2169 * CHOOSE(CONTROL!$C$32, $C$9, 100%, $E$9)</f>
        <v>17.216899999999999</v>
      </c>
      <c r="M904" s="81">
        <f>17.1034 * CHOOSE(CONTROL!$C$32, $C$9, 100%, $E$9)</f>
        <v>17.103400000000001</v>
      </c>
      <c r="N904" s="81">
        <f>17.2169 * CHOOSE(CONTROL!$C$32, $C$9, 100%, $E$9)</f>
        <v>17.216899999999999</v>
      </c>
      <c r="O904" s="81">
        <f>17.1034 * CHOOSE(CONTROL!$C$32, $C$9, 100%, $E$9)</f>
        <v>17.103400000000001</v>
      </c>
    </row>
    <row r="905" spans="1:15" ht="15">
      <c r="A905" s="16">
        <v>68759</v>
      </c>
      <c r="B905" s="80">
        <f>15.2576 * CHOOSE(CONTROL!$C$32, $C$9, 100%, $E$9)</f>
        <v>15.2576</v>
      </c>
      <c r="C905" s="80">
        <f>15.2576 * CHOOSE(CONTROL!$C$32, $C$9, 100%, $E$9)</f>
        <v>15.2576</v>
      </c>
      <c r="D905" s="80">
        <f>15.1655 * CHOOSE(CONTROL!$C$32, $C$9, 100%, $E$9)</f>
        <v>15.1655</v>
      </c>
      <c r="E905" s="81">
        <f>17.4745 * CHOOSE(CONTROL!$C$32, $C$9, 100%, $E$9)</f>
        <v>17.474499999999999</v>
      </c>
      <c r="F905" s="81">
        <f>17.4745 * CHOOSE(CONTROL!$C$32, $C$9, 100%, $E$9)</f>
        <v>17.474499999999999</v>
      </c>
      <c r="G905" s="81">
        <f>17.361 * CHOOSE(CONTROL!$C$32, $C$9, 100%, $E$9)</f>
        <v>17.361000000000001</v>
      </c>
      <c r="H905" s="81">
        <f>31.8575 * CHOOSE(CONTROL!$C$32, $C$9, 100%, $E$9)</f>
        <v>31.857500000000002</v>
      </c>
      <c r="I905" s="81">
        <f>31.7441 * CHOOSE(CONTROL!$C$32, $C$9, 100%, $E$9)</f>
        <v>31.7441</v>
      </c>
      <c r="J905" s="81">
        <f>31.8575 * CHOOSE(CONTROL!$C$32, $C$9, 100%, $E$9)</f>
        <v>31.857500000000002</v>
      </c>
      <c r="K905" s="81">
        <f>31.7441 * CHOOSE(CONTROL!$C$32, $C$9, 100%, $E$9)</f>
        <v>31.7441</v>
      </c>
      <c r="L905" s="81">
        <f>17.4745 * CHOOSE(CONTROL!$C$32, $C$9, 100%, $E$9)</f>
        <v>17.474499999999999</v>
      </c>
      <c r="M905" s="81">
        <f>17.361 * CHOOSE(CONTROL!$C$32, $C$9, 100%, $E$9)</f>
        <v>17.361000000000001</v>
      </c>
      <c r="N905" s="81">
        <f>17.4745 * CHOOSE(CONTROL!$C$32, $C$9, 100%, $E$9)</f>
        <v>17.474499999999999</v>
      </c>
      <c r="O905" s="81">
        <f>17.361 * CHOOSE(CONTROL!$C$32, $C$9, 100%, $E$9)</f>
        <v>17.361000000000001</v>
      </c>
    </row>
    <row r="906" spans="1:15" ht="15">
      <c r="A906" s="16">
        <v>68789</v>
      </c>
      <c r="B906" s="80">
        <f>15.2576 * CHOOSE(CONTROL!$C$32, $C$9, 100%, $E$9)</f>
        <v>15.2576</v>
      </c>
      <c r="C906" s="80">
        <f>15.2576 * CHOOSE(CONTROL!$C$32, $C$9, 100%, $E$9)</f>
        <v>15.2576</v>
      </c>
      <c r="D906" s="80">
        <f>15.1233 * CHOOSE(CONTROL!$C$32, $C$9, 100%, $E$9)</f>
        <v>15.1233</v>
      </c>
      <c r="E906" s="81">
        <f>17.5727 * CHOOSE(CONTROL!$C$32, $C$9, 100%, $E$9)</f>
        <v>17.572700000000001</v>
      </c>
      <c r="F906" s="81">
        <f>17.5727 * CHOOSE(CONTROL!$C$32, $C$9, 100%, $E$9)</f>
        <v>17.572700000000001</v>
      </c>
      <c r="G906" s="81">
        <f>17.4085 * CHOOSE(CONTROL!$C$32, $C$9, 100%, $E$9)</f>
        <v>17.4085</v>
      </c>
      <c r="H906" s="81">
        <f>31.9239 * CHOOSE(CONTROL!$C$32, $C$9, 100%, $E$9)</f>
        <v>31.9239</v>
      </c>
      <c r="I906" s="81">
        <f>31.7597 * CHOOSE(CONTROL!$C$32, $C$9, 100%, $E$9)</f>
        <v>31.759699999999999</v>
      </c>
      <c r="J906" s="81">
        <f>31.9239 * CHOOSE(CONTROL!$C$32, $C$9, 100%, $E$9)</f>
        <v>31.9239</v>
      </c>
      <c r="K906" s="81">
        <f>31.7597 * CHOOSE(CONTROL!$C$32, $C$9, 100%, $E$9)</f>
        <v>31.759699999999999</v>
      </c>
      <c r="L906" s="81">
        <f>17.5727 * CHOOSE(CONTROL!$C$32, $C$9, 100%, $E$9)</f>
        <v>17.572700000000001</v>
      </c>
      <c r="M906" s="81">
        <f>17.4085 * CHOOSE(CONTROL!$C$32, $C$9, 100%, $E$9)</f>
        <v>17.4085</v>
      </c>
      <c r="N906" s="81">
        <f>17.5727 * CHOOSE(CONTROL!$C$32, $C$9, 100%, $E$9)</f>
        <v>17.572700000000001</v>
      </c>
      <c r="O906" s="81">
        <f>17.4085 * CHOOSE(CONTROL!$C$32, $C$9, 100%, $E$9)</f>
        <v>17.4085</v>
      </c>
    </row>
    <row r="907" spans="1:15" ht="15">
      <c r="A907" s="16">
        <v>68820</v>
      </c>
      <c r="B907" s="80">
        <f>15.2637 * CHOOSE(CONTROL!$C$32, $C$9, 100%, $E$9)</f>
        <v>15.2637</v>
      </c>
      <c r="C907" s="80">
        <f>15.2637 * CHOOSE(CONTROL!$C$32, $C$9, 100%, $E$9)</f>
        <v>15.2637</v>
      </c>
      <c r="D907" s="80">
        <f>15.1294 * CHOOSE(CONTROL!$C$32, $C$9, 100%, $E$9)</f>
        <v>15.1294</v>
      </c>
      <c r="E907" s="81">
        <f>17.4787 * CHOOSE(CONTROL!$C$32, $C$9, 100%, $E$9)</f>
        <v>17.4787</v>
      </c>
      <c r="F907" s="81">
        <f>17.4787 * CHOOSE(CONTROL!$C$32, $C$9, 100%, $E$9)</f>
        <v>17.4787</v>
      </c>
      <c r="G907" s="81">
        <f>17.3145 * CHOOSE(CONTROL!$C$32, $C$9, 100%, $E$9)</f>
        <v>17.314499999999999</v>
      </c>
      <c r="H907" s="81">
        <f>31.9904 * CHOOSE(CONTROL!$C$32, $C$9, 100%, $E$9)</f>
        <v>31.990400000000001</v>
      </c>
      <c r="I907" s="81">
        <f>31.8262 * CHOOSE(CONTROL!$C$32, $C$9, 100%, $E$9)</f>
        <v>31.8262</v>
      </c>
      <c r="J907" s="81">
        <f>31.9904 * CHOOSE(CONTROL!$C$32, $C$9, 100%, $E$9)</f>
        <v>31.990400000000001</v>
      </c>
      <c r="K907" s="81">
        <f>31.8262 * CHOOSE(CONTROL!$C$32, $C$9, 100%, $E$9)</f>
        <v>31.8262</v>
      </c>
      <c r="L907" s="81">
        <f>17.4787 * CHOOSE(CONTROL!$C$32, $C$9, 100%, $E$9)</f>
        <v>17.4787</v>
      </c>
      <c r="M907" s="81">
        <f>17.3145 * CHOOSE(CONTROL!$C$32, $C$9, 100%, $E$9)</f>
        <v>17.314499999999999</v>
      </c>
      <c r="N907" s="81">
        <f>17.4787 * CHOOSE(CONTROL!$C$32, $C$9, 100%, $E$9)</f>
        <v>17.4787</v>
      </c>
      <c r="O907" s="81">
        <f>17.3145 * CHOOSE(CONTROL!$C$32, $C$9, 100%, $E$9)</f>
        <v>17.314499999999999</v>
      </c>
    </row>
    <row r="908" spans="1:15" ht="15">
      <c r="A908" s="16">
        <v>68850</v>
      </c>
      <c r="B908" s="80">
        <f>15.4943 * CHOOSE(CONTROL!$C$32, $C$9, 100%, $E$9)</f>
        <v>15.494300000000001</v>
      </c>
      <c r="C908" s="80">
        <f>15.4943 * CHOOSE(CONTROL!$C$32, $C$9, 100%, $E$9)</f>
        <v>15.494300000000001</v>
      </c>
      <c r="D908" s="80">
        <f>15.3601 * CHOOSE(CONTROL!$C$32, $C$9, 100%, $E$9)</f>
        <v>15.360099999999999</v>
      </c>
      <c r="E908" s="81">
        <f>17.7558 * CHOOSE(CONTROL!$C$32, $C$9, 100%, $E$9)</f>
        <v>17.755800000000001</v>
      </c>
      <c r="F908" s="81">
        <f>17.7558 * CHOOSE(CONTROL!$C$32, $C$9, 100%, $E$9)</f>
        <v>17.755800000000001</v>
      </c>
      <c r="G908" s="81">
        <f>17.5916 * CHOOSE(CONTROL!$C$32, $C$9, 100%, $E$9)</f>
        <v>17.5916</v>
      </c>
      <c r="H908" s="81">
        <f>32.0571 * CHOOSE(CONTROL!$C$32, $C$9, 100%, $E$9)</f>
        <v>32.057099999999998</v>
      </c>
      <c r="I908" s="81">
        <f>31.8929 * CHOOSE(CONTROL!$C$32, $C$9, 100%, $E$9)</f>
        <v>31.892900000000001</v>
      </c>
      <c r="J908" s="81">
        <f>32.0571 * CHOOSE(CONTROL!$C$32, $C$9, 100%, $E$9)</f>
        <v>32.057099999999998</v>
      </c>
      <c r="K908" s="81">
        <f>31.8929 * CHOOSE(CONTROL!$C$32, $C$9, 100%, $E$9)</f>
        <v>31.892900000000001</v>
      </c>
      <c r="L908" s="81">
        <f>17.7558 * CHOOSE(CONTROL!$C$32, $C$9, 100%, $E$9)</f>
        <v>17.755800000000001</v>
      </c>
      <c r="M908" s="81">
        <f>17.5916 * CHOOSE(CONTROL!$C$32, $C$9, 100%, $E$9)</f>
        <v>17.5916</v>
      </c>
      <c r="N908" s="81">
        <f>17.7558 * CHOOSE(CONTROL!$C$32, $C$9, 100%, $E$9)</f>
        <v>17.755800000000001</v>
      </c>
      <c r="O908" s="81">
        <f>17.5916 * CHOOSE(CONTROL!$C$32, $C$9, 100%, $E$9)</f>
        <v>17.5916</v>
      </c>
    </row>
    <row r="909" spans="1:15" ht="15">
      <c r="A909" s="16">
        <v>68881</v>
      </c>
      <c r="B909" s="80">
        <f>15.501 * CHOOSE(CONTROL!$C$32, $C$9, 100%, $E$9)</f>
        <v>15.500999999999999</v>
      </c>
      <c r="C909" s="80">
        <f>15.501 * CHOOSE(CONTROL!$C$32, $C$9, 100%, $E$9)</f>
        <v>15.500999999999999</v>
      </c>
      <c r="D909" s="80">
        <f>15.3668 * CHOOSE(CONTROL!$C$32, $C$9, 100%, $E$9)</f>
        <v>15.3668</v>
      </c>
      <c r="E909" s="81">
        <f>17.4658 * CHOOSE(CONTROL!$C$32, $C$9, 100%, $E$9)</f>
        <v>17.465800000000002</v>
      </c>
      <c r="F909" s="81">
        <f>17.4658 * CHOOSE(CONTROL!$C$32, $C$9, 100%, $E$9)</f>
        <v>17.465800000000002</v>
      </c>
      <c r="G909" s="81">
        <f>17.3016 * CHOOSE(CONTROL!$C$32, $C$9, 100%, $E$9)</f>
        <v>17.301600000000001</v>
      </c>
      <c r="H909" s="81">
        <f>32.1239 * CHOOSE(CONTROL!$C$32, $C$9, 100%, $E$9)</f>
        <v>32.123899999999999</v>
      </c>
      <c r="I909" s="81">
        <f>31.9597 * CHOOSE(CONTROL!$C$32, $C$9, 100%, $E$9)</f>
        <v>31.959700000000002</v>
      </c>
      <c r="J909" s="81">
        <f>32.1239 * CHOOSE(CONTROL!$C$32, $C$9, 100%, $E$9)</f>
        <v>32.123899999999999</v>
      </c>
      <c r="K909" s="81">
        <f>31.9597 * CHOOSE(CONTROL!$C$32, $C$9, 100%, $E$9)</f>
        <v>31.959700000000002</v>
      </c>
      <c r="L909" s="81">
        <f>17.4658 * CHOOSE(CONTROL!$C$32, $C$9, 100%, $E$9)</f>
        <v>17.465800000000002</v>
      </c>
      <c r="M909" s="81">
        <f>17.3016 * CHOOSE(CONTROL!$C$32, $C$9, 100%, $E$9)</f>
        <v>17.301600000000001</v>
      </c>
      <c r="N909" s="81">
        <f>17.4658 * CHOOSE(CONTROL!$C$32, $C$9, 100%, $E$9)</f>
        <v>17.465800000000002</v>
      </c>
      <c r="O909" s="81">
        <f>17.3016 * CHOOSE(CONTROL!$C$32, $C$9, 100%, $E$9)</f>
        <v>17.301600000000001</v>
      </c>
    </row>
    <row r="910" spans="1:15" ht="15">
      <c r="A910" s="16">
        <v>68912</v>
      </c>
      <c r="B910" s="80">
        <f>15.498 * CHOOSE(CONTROL!$C$32, $C$9, 100%, $E$9)</f>
        <v>15.497999999999999</v>
      </c>
      <c r="C910" s="80">
        <f>15.498 * CHOOSE(CONTROL!$C$32, $C$9, 100%, $E$9)</f>
        <v>15.497999999999999</v>
      </c>
      <c r="D910" s="80">
        <f>15.3637 * CHOOSE(CONTROL!$C$32, $C$9, 100%, $E$9)</f>
        <v>15.3637</v>
      </c>
      <c r="E910" s="81">
        <f>17.431 * CHOOSE(CONTROL!$C$32, $C$9, 100%, $E$9)</f>
        <v>17.431000000000001</v>
      </c>
      <c r="F910" s="81">
        <f>17.431 * CHOOSE(CONTROL!$C$32, $C$9, 100%, $E$9)</f>
        <v>17.431000000000001</v>
      </c>
      <c r="G910" s="81">
        <f>17.2668 * CHOOSE(CONTROL!$C$32, $C$9, 100%, $E$9)</f>
        <v>17.2668</v>
      </c>
      <c r="H910" s="81">
        <f>32.1908 * CHOOSE(CONTROL!$C$32, $C$9, 100%, $E$9)</f>
        <v>32.190800000000003</v>
      </c>
      <c r="I910" s="81">
        <f>32.0266 * CHOOSE(CONTROL!$C$32, $C$9, 100%, $E$9)</f>
        <v>32.026600000000002</v>
      </c>
      <c r="J910" s="81">
        <f>32.1908 * CHOOSE(CONTROL!$C$32, $C$9, 100%, $E$9)</f>
        <v>32.190800000000003</v>
      </c>
      <c r="K910" s="81">
        <f>32.0266 * CHOOSE(CONTROL!$C$32, $C$9, 100%, $E$9)</f>
        <v>32.026600000000002</v>
      </c>
      <c r="L910" s="81">
        <f>17.431 * CHOOSE(CONTROL!$C$32, $C$9, 100%, $E$9)</f>
        <v>17.431000000000001</v>
      </c>
      <c r="M910" s="81">
        <f>17.2668 * CHOOSE(CONTROL!$C$32, $C$9, 100%, $E$9)</f>
        <v>17.2668</v>
      </c>
      <c r="N910" s="81">
        <f>17.431 * CHOOSE(CONTROL!$C$32, $C$9, 100%, $E$9)</f>
        <v>17.431000000000001</v>
      </c>
      <c r="O910" s="81">
        <f>17.2668 * CHOOSE(CONTROL!$C$32, $C$9, 100%, $E$9)</f>
        <v>17.2668</v>
      </c>
    </row>
    <row r="911" spans="1:15" ht="15">
      <c r="A911" s="16">
        <v>68942</v>
      </c>
      <c r="B911" s="80">
        <f>15.53 * CHOOSE(CONTROL!$C$32, $C$9, 100%, $E$9)</f>
        <v>15.53</v>
      </c>
      <c r="C911" s="80">
        <f>15.53 * CHOOSE(CONTROL!$C$32, $C$9, 100%, $E$9)</f>
        <v>15.53</v>
      </c>
      <c r="D911" s="80">
        <f>15.4379 * CHOOSE(CONTROL!$C$32, $C$9, 100%, $E$9)</f>
        <v>15.437900000000001</v>
      </c>
      <c r="E911" s="81">
        <f>17.5485 * CHOOSE(CONTROL!$C$32, $C$9, 100%, $E$9)</f>
        <v>17.548500000000001</v>
      </c>
      <c r="F911" s="81">
        <f>17.5485 * CHOOSE(CONTROL!$C$32, $C$9, 100%, $E$9)</f>
        <v>17.548500000000001</v>
      </c>
      <c r="G911" s="81">
        <f>17.435 * CHOOSE(CONTROL!$C$32, $C$9, 100%, $E$9)</f>
        <v>17.434999999999999</v>
      </c>
      <c r="H911" s="81">
        <f>32.2578 * CHOOSE(CONTROL!$C$32, $C$9, 100%, $E$9)</f>
        <v>32.257800000000003</v>
      </c>
      <c r="I911" s="81">
        <f>32.1444 * CHOOSE(CONTROL!$C$32, $C$9, 100%, $E$9)</f>
        <v>32.144399999999997</v>
      </c>
      <c r="J911" s="81">
        <f>32.2578 * CHOOSE(CONTROL!$C$32, $C$9, 100%, $E$9)</f>
        <v>32.257800000000003</v>
      </c>
      <c r="K911" s="81">
        <f>32.1444 * CHOOSE(CONTROL!$C$32, $C$9, 100%, $E$9)</f>
        <v>32.144399999999997</v>
      </c>
      <c r="L911" s="81">
        <f>17.5485 * CHOOSE(CONTROL!$C$32, $C$9, 100%, $E$9)</f>
        <v>17.548500000000001</v>
      </c>
      <c r="M911" s="81">
        <f>17.435 * CHOOSE(CONTROL!$C$32, $C$9, 100%, $E$9)</f>
        <v>17.434999999999999</v>
      </c>
      <c r="N911" s="81">
        <f>17.5485 * CHOOSE(CONTROL!$C$32, $C$9, 100%, $E$9)</f>
        <v>17.548500000000001</v>
      </c>
      <c r="O911" s="81">
        <f>17.435 * CHOOSE(CONTROL!$C$32, $C$9, 100%, $E$9)</f>
        <v>17.434999999999999</v>
      </c>
    </row>
    <row r="912" spans="1:15" ht="15">
      <c r="A912" s="16">
        <v>68973</v>
      </c>
      <c r="B912" s="80">
        <f>15.533 * CHOOSE(CONTROL!$C$32, $C$9, 100%, $E$9)</f>
        <v>15.532999999999999</v>
      </c>
      <c r="C912" s="80">
        <f>15.533 * CHOOSE(CONTROL!$C$32, $C$9, 100%, $E$9)</f>
        <v>15.532999999999999</v>
      </c>
      <c r="D912" s="80">
        <f>15.4409 * CHOOSE(CONTROL!$C$32, $C$9, 100%, $E$9)</f>
        <v>15.440899999999999</v>
      </c>
      <c r="E912" s="81">
        <f>17.6161 * CHOOSE(CONTROL!$C$32, $C$9, 100%, $E$9)</f>
        <v>17.616099999999999</v>
      </c>
      <c r="F912" s="81">
        <f>17.6161 * CHOOSE(CONTROL!$C$32, $C$9, 100%, $E$9)</f>
        <v>17.616099999999999</v>
      </c>
      <c r="G912" s="81">
        <f>17.5026 * CHOOSE(CONTROL!$C$32, $C$9, 100%, $E$9)</f>
        <v>17.502600000000001</v>
      </c>
      <c r="H912" s="81">
        <f>32.325 * CHOOSE(CONTROL!$C$32, $C$9, 100%, $E$9)</f>
        <v>32.325000000000003</v>
      </c>
      <c r="I912" s="81">
        <f>32.2116 * CHOOSE(CONTROL!$C$32, $C$9, 100%, $E$9)</f>
        <v>32.211599999999997</v>
      </c>
      <c r="J912" s="81">
        <f>32.325 * CHOOSE(CONTROL!$C$32, $C$9, 100%, $E$9)</f>
        <v>32.325000000000003</v>
      </c>
      <c r="K912" s="81">
        <f>32.2116 * CHOOSE(CONTROL!$C$32, $C$9, 100%, $E$9)</f>
        <v>32.211599999999997</v>
      </c>
      <c r="L912" s="81">
        <f>17.6161 * CHOOSE(CONTROL!$C$32, $C$9, 100%, $E$9)</f>
        <v>17.616099999999999</v>
      </c>
      <c r="M912" s="81">
        <f>17.5026 * CHOOSE(CONTROL!$C$32, $C$9, 100%, $E$9)</f>
        <v>17.502600000000001</v>
      </c>
      <c r="N912" s="81">
        <f>17.6161 * CHOOSE(CONTROL!$C$32, $C$9, 100%, $E$9)</f>
        <v>17.616099999999999</v>
      </c>
      <c r="O912" s="81">
        <f>17.5026 * CHOOSE(CONTROL!$C$32, $C$9, 100%, $E$9)</f>
        <v>17.502600000000001</v>
      </c>
    </row>
    <row r="913" spans="1:15" ht="15">
      <c r="A913" s="16">
        <v>69003</v>
      </c>
      <c r="B913" s="80">
        <f>15.533 * CHOOSE(CONTROL!$C$32, $C$9, 100%, $E$9)</f>
        <v>15.532999999999999</v>
      </c>
      <c r="C913" s="80">
        <f>15.533 * CHOOSE(CONTROL!$C$32, $C$9, 100%, $E$9)</f>
        <v>15.532999999999999</v>
      </c>
      <c r="D913" s="80">
        <f>15.4409 * CHOOSE(CONTROL!$C$32, $C$9, 100%, $E$9)</f>
        <v>15.440899999999999</v>
      </c>
      <c r="E913" s="81">
        <f>17.4524 * CHOOSE(CONTROL!$C$32, $C$9, 100%, $E$9)</f>
        <v>17.452400000000001</v>
      </c>
      <c r="F913" s="81">
        <f>17.4524 * CHOOSE(CONTROL!$C$32, $C$9, 100%, $E$9)</f>
        <v>17.452400000000001</v>
      </c>
      <c r="G913" s="81">
        <f>17.3389 * CHOOSE(CONTROL!$C$32, $C$9, 100%, $E$9)</f>
        <v>17.338899999999999</v>
      </c>
      <c r="H913" s="81">
        <f>32.3924 * CHOOSE(CONTROL!$C$32, $C$9, 100%, $E$9)</f>
        <v>32.392400000000002</v>
      </c>
      <c r="I913" s="81">
        <f>32.2789 * CHOOSE(CONTROL!$C$32, $C$9, 100%, $E$9)</f>
        <v>32.2789</v>
      </c>
      <c r="J913" s="81">
        <f>32.3924 * CHOOSE(CONTROL!$C$32, $C$9, 100%, $E$9)</f>
        <v>32.392400000000002</v>
      </c>
      <c r="K913" s="81">
        <f>32.2789 * CHOOSE(CONTROL!$C$32, $C$9, 100%, $E$9)</f>
        <v>32.2789</v>
      </c>
      <c r="L913" s="81">
        <f>17.4524 * CHOOSE(CONTROL!$C$32, $C$9, 100%, $E$9)</f>
        <v>17.452400000000001</v>
      </c>
      <c r="M913" s="81">
        <f>17.3389 * CHOOSE(CONTROL!$C$32, $C$9, 100%, $E$9)</f>
        <v>17.338899999999999</v>
      </c>
      <c r="N913" s="81">
        <f>17.4524 * CHOOSE(CONTROL!$C$32, $C$9, 100%, $E$9)</f>
        <v>17.452400000000001</v>
      </c>
      <c r="O913" s="81">
        <f>17.3389 * CHOOSE(CONTROL!$C$32, $C$9, 100%, $E$9)</f>
        <v>17.338899999999999</v>
      </c>
    </row>
    <row r="914" spans="1:15" ht="15">
      <c r="A914" s="16">
        <v>69034</v>
      </c>
      <c r="B914" s="80">
        <f>15.4922 * CHOOSE(CONTROL!$C$32, $C$9, 100%, $E$9)</f>
        <v>15.4922</v>
      </c>
      <c r="C914" s="80">
        <f>15.4922 * CHOOSE(CONTROL!$C$32, $C$9, 100%, $E$9)</f>
        <v>15.4922</v>
      </c>
      <c r="D914" s="80">
        <f>15.3965 * CHOOSE(CONTROL!$C$32, $C$9, 100%, $E$9)</f>
        <v>15.3965</v>
      </c>
      <c r="E914" s="81">
        <f>17.5413 * CHOOSE(CONTROL!$C$32, $C$9, 100%, $E$9)</f>
        <v>17.5413</v>
      </c>
      <c r="F914" s="81">
        <f>17.5413 * CHOOSE(CONTROL!$C$32, $C$9, 100%, $E$9)</f>
        <v>17.5413</v>
      </c>
      <c r="G914" s="81">
        <f>17.4235 * CHOOSE(CONTROL!$C$32, $C$9, 100%, $E$9)</f>
        <v>17.423500000000001</v>
      </c>
      <c r="H914" s="81">
        <f>32.135 * CHOOSE(CONTROL!$C$32, $C$9, 100%, $E$9)</f>
        <v>32.134999999999998</v>
      </c>
      <c r="I914" s="81">
        <f>32.0172 * CHOOSE(CONTROL!$C$32, $C$9, 100%, $E$9)</f>
        <v>32.017200000000003</v>
      </c>
      <c r="J914" s="81">
        <f>32.135 * CHOOSE(CONTROL!$C$32, $C$9, 100%, $E$9)</f>
        <v>32.134999999999998</v>
      </c>
      <c r="K914" s="81">
        <f>32.0172 * CHOOSE(CONTROL!$C$32, $C$9, 100%, $E$9)</f>
        <v>32.017200000000003</v>
      </c>
      <c r="L914" s="81">
        <f>17.5413 * CHOOSE(CONTROL!$C$32, $C$9, 100%, $E$9)</f>
        <v>17.5413</v>
      </c>
      <c r="M914" s="81">
        <f>17.4235 * CHOOSE(CONTROL!$C$32, $C$9, 100%, $E$9)</f>
        <v>17.423500000000001</v>
      </c>
      <c r="N914" s="81">
        <f>17.5413 * CHOOSE(CONTROL!$C$32, $C$9, 100%, $E$9)</f>
        <v>17.5413</v>
      </c>
      <c r="O914" s="81">
        <f>17.4235 * CHOOSE(CONTROL!$C$32, $C$9, 100%, $E$9)</f>
        <v>17.423500000000001</v>
      </c>
    </row>
    <row r="915" spans="1:15" ht="15">
      <c r="A915" s="16">
        <v>69065</v>
      </c>
      <c r="B915" s="80">
        <f>15.4891 * CHOOSE(CONTROL!$C$32, $C$9, 100%, $E$9)</f>
        <v>15.489100000000001</v>
      </c>
      <c r="C915" s="80">
        <f>15.4891 * CHOOSE(CONTROL!$C$32, $C$9, 100%, $E$9)</f>
        <v>15.489100000000001</v>
      </c>
      <c r="D915" s="80">
        <f>15.3935 * CHOOSE(CONTROL!$C$32, $C$9, 100%, $E$9)</f>
        <v>15.3935</v>
      </c>
      <c r="E915" s="81">
        <f>17.225 * CHOOSE(CONTROL!$C$32, $C$9, 100%, $E$9)</f>
        <v>17.225000000000001</v>
      </c>
      <c r="F915" s="81">
        <f>17.225 * CHOOSE(CONTROL!$C$32, $C$9, 100%, $E$9)</f>
        <v>17.225000000000001</v>
      </c>
      <c r="G915" s="81">
        <f>17.1071 * CHOOSE(CONTROL!$C$32, $C$9, 100%, $E$9)</f>
        <v>17.107099999999999</v>
      </c>
      <c r="H915" s="81">
        <f>32.202 * CHOOSE(CONTROL!$C$32, $C$9, 100%, $E$9)</f>
        <v>32.201999999999998</v>
      </c>
      <c r="I915" s="81">
        <f>32.0841 * CHOOSE(CONTROL!$C$32, $C$9, 100%, $E$9)</f>
        <v>32.084099999999999</v>
      </c>
      <c r="J915" s="81">
        <f>32.202 * CHOOSE(CONTROL!$C$32, $C$9, 100%, $E$9)</f>
        <v>32.201999999999998</v>
      </c>
      <c r="K915" s="81">
        <f>32.0841 * CHOOSE(CONTROL!$C$32, $C$9, 100%, $E$9)</f>
        <v>32.084099999999999</v>
      </c>
      <c r="L915" s="81">
        <f>17.225 * CHOOSE(CONTROL!$C$32, $C$9, 100%, $E$9)</f>
        <v>17.225000000000001</v>
      </c>
      <c r="M915" s="81">
        <f>17.1071 * CHOOSE(CONTROL!$C$32, $C$9, 100%, $E$9)</f>
        <v>17.107099999999999</v>
      </c>
      <c r="N915" s="81">
        <f>17.225 * CHOOSE(CONTROL!$C$32, $C$9, 100%, $E$9)</f>
        <v>17.225000000000001</v>
      </c>
      <c r="O915" s="81">
        <f>17.1071 * CHOOSE(CONTROL!$C$32, $C$9, 100%, $E$9)</f>
        <v>17.107099999999999</v>
      </c>
    </row>
    <row r="916" spans="1:15" ht="15">
      <c r="A916" s="16">
        <v>69093</v>
      </c>
      <c r="B916" s="80">
        <f>15.4861 * CHOOSE(CONTROL!$C$32, $C$9, 100%, $E$9)</f>
        <v>15.4861</v>
      </c>
      <c r="C916" s="80">
        <f>15.4861 * CHOOSE(CONTROL!$C$32, $C$9, 100%, $E$9)</f>
        <v>15.4861</v>
      </c>
      <c r="D916" s="80">
        <f>15.3904 * CHOOSE(CONTROL!$C$32, $C$9, 100%, $E$9)</f>
        <v>15.3904</v>
      </c>
      <c r="E916" s="81">
        <f>17.4706 * CHOOSE(CONTROL!$C$32, $C$9, 100%, $E$9)</f>
        <v>17.470600000000001</v>
      </c>
      <c r="F916" s="81">
        <f>17.4706 * CHOOSE(CONTROL!$C$32, $C$9, 100%, $E$9)</f>
        <v>17.470600000000001</v>
      </c>
      <c r="G916" s="81">
        <f>17.3527 * CHOOSE(CONTROL!$C$32, $C$9, 100%, $E$9)</f>
        <v>17.352699999999999</v>
      </c>
      <c r="H916" s="81">
        <f>32.2691 * CHOOSE(CONTROL!$C$32, $C$9, 100%, $E$9)</f>
        <v>32.269100000000002</v>
      </c>
      <c r="I916" s="81">
        <f>32.1512 * CHOOSE(CONTROL!$C$32, $C$9, 100%, $E$9)</f>
        <v>32.151200000000003</v>
      </c>
      <c r="J916" s="81">
        <f>32.2691 * CHOOSE(CONTROL!$C$32, $C$9, 100%, $E$9)</f>
        <v>32.269100000000002</v>
      </c>
      <c r="K916" s="81">
        <f>32.1512 * CHOOSE(CONTROL!$C$32, $C$9, 100%, $E$9)</f>
        <v>32.151200000000003</v>
      </c>
      <c r="L916" s="81">
        <f>17.4706 * CHOOSE(CONTROL!$C$32, $C$9, 100%, $E$9)</f>
        <v>17.470600000000001</v>
      </c>
      <c r="M916" s="81">
        <f>17.3527 * CHOOSE(CONTROL!$C$32, $C$9, 100%, $E$9)</f>
        <v>17.352699999999999</v>
      </c>
      <c r="N916" s="81">
        <f>17.4706 * CHOOSE(CONTROL!$C$32, $C$9, 100%, $E$9)</f>
        <v>17.470600000000001</v>
      </c>
      <c r="O916" s="81">
        <f>17.3527 * CHOOSE(CONTROL!$C$32, $C$9, 100%, $E$9)</f>
        <v>17.352699999999999</v>
      </c>
    </row>
    <row r="917" spans="1:15" ht="15">
      <c r="A917" s="16">
        <v>69124</v>
      </c>
      <c r="B917" s="80">
        <f>15.4933 * CHOOSE(CONTROL!$C$32, $C$9, 100%, $E$9)</f>
        <v>15.4933</v>
      </c>
      <c r="C917" s="80">
        <f>15.4933 * CHOOSE(CONTROL!$C$32, $C$9, 100%, $E$9)</f>
        <v>15.4933</v>
      </c>
      <c r="D917" s="80">
        <f>15.3977 * CHOOSE(CONTROL!$C$32, $C$9, 100%, $E$9)</f>
        <v>15.3977</v>
      </c>
      <c r="E917" s="81">
        <f>17.7324 * CHOOSE(CONTROL!$C$32, $C$9, 100%, $E$9)</f>
        <v>17.732399999999998</v>
      </c>
      <c r="F917" s="81">
        <f>17.7324 * CHOOSE(CONTROL!$C$32, $C$9, 100%, $E$9)</f>
        <v>17.732399999999998</v>
      </c>
      <c r="G917" s="81">
        <f>17.6145 * CHOOSE(CONTROL!$C$32, $C$9, 100%, $E$9)</f>
        <v>17.6145</v>
      </c>
      <c r="H917" s="81">
        <f>32.3363 * CHOOSE(CONTROL!$C$32, $C$9, 100%, $E$9)</f>
        <v>32.336300000000001</v>
      </c>
      <c r="I917" s="81">
        <f>32.2184 * CHOOSE(CONTROL!$C$32, $C$9, 100%, $E$9)</f>
        <v>32.218400000000003</v>
      </c>
      <c r="J917" s="81">
        <f>32.3363 * CHOOSE(CONTROL!$C$32, $C$9, 100%, $E$9)</f>
        <v>32.336300000000001</v>
      </c>
      <c r="K917" s="81">
        <f>32.2184 * CHOOSE(CONTROL!$C$32, $C$9, 100%, $E$9)</f>
        <v>32.218400000000003</v>
      </c>
      <c r="L917" s="81">
        <f>17.7324 * CHOOSE(CONTROL!$C$32, $C$9, 100%, $E$9)</f>
        <v>17.732399999999998</v>
      </c>
      <c r="M917" s="81">
        <f>17.6145 * CHOOSE(CONTROL!$C$32, $C$9, 100%, $E$9)</f>
        <v>17.6145</v>
      </c>
      <c r="N917" s="81">
        <f>17.7324 * CHOOSE(CONTROL!$C$32, $C$9, 100%, $E$9)</f>
        <v>17.732399999999998</v>
      </c>
      <c r="O917" s="81">
        <f>17.6145 * CHOOSE(CONTROL!$C$32, $C$9, 100%, $E$9)</f>
        <v>17.6145</v>
      </c>
    </row>
    <row r="918" spans="1:15" ht="15">
      <c r="A918" s="16">
        <v>69154</v>
      </c>
      <c r="B918" s="80">
        <f>15.4933 * CHOOSE(CONTROL!$C$32, $C$9, 100%, $E$9)</f>
        <v>15.4933</v>
      </c>
      <c r="C918" s="80">
        <f>15.4933 * CHOOSE(CONTROL!$C$32, $C$9, 100%, $E$9)</f>
        <v>15.4933</v>
      </c>
      <c r="D918" s="80">
        <f>15.3539 * CHOOSE(CONTROL!$C$32, $C$9, 100%, $E$9)</f>
        <v>15.353899999999999</v>
      </c>
      <c r="E918" s="81">
        <f>17.8321 * CHOOSE(CONTROL!$C$32, $C$9, 100%, $E$9)</f>
        <v>17.832100000000001</v>
      </c>
      <c r="F918" s="81">
        <f>17.8321 * CHOOSE(CONTROL!$C$32, $C$9, 100%, $E$9)</f>
        <v>17.832100000000001</v>
      </c>
      <c r="G918" s="81">
        <f>17.6616 * CHOOSE(CONTROL!$C$32, $C$9, 100%, $E$9)</f>
        <v>17.6616</v>
      </c>
      <c r="H918" s="81">
        <f>32.4037 * CHOOSE(CONTROL!$C$32, $C$9, 100%, $E$9)</f>
        <v>32.403700000000001</v>
      </c>
      <c r="I918" s="81">
        <f>32.2332 * CHOOSE(CONTROL!$C$32, $C$9, 100%, $E$9)</f>
        <v>32.233199999999997</v>
      </c>
      <c r="J918" s="81">
        <f>32.4037 * CHOOSE(CONTROL!$C$32, $C$9, 100%, $E$9)</f>
        <v>32.403700000000001</v>
      </c>
      <c r="K918" s="81">
        <f>32.2332 * CHOOSE(CONTROL!$C$32, $C$9, 100%, $E$9)</f>
        <v>32.233199999999997</v>
      </c>
      <c r="L918" s="81">
        <f>17.8321 * CHOOSE(CONTROL!$C$32, $C$9, 100%, $E$9)</f>
        <v>17.832100000000001</v>
      </c>
      <c r="M918" s="81">
        <f>17.6616 * CHOOSE(CONTROL!$C$32, $C$9, 100%, $E$9)</f>
        <v>17.6616</v>
      </c>
      <c r="N918" s="81">
        <f>17.8321 * CHOOSE(CONTROL!$C$32, $C$9, 100%, $E$9)</f>
        <v>17.832100000000001</v>
      </c>
      <c r="O918" s="81">
        <f>17.6616 * CHOOSE(CONTROL!$C$32, $C$9, 100%, $E$9)</f>
        <v>17.6616</v>
      </c>
    </row>
    <row r="919" spans="1:15" ht="15">
      <c r="A919" s="16">
        <v>69185</v>
      </c>
      <c r="B919" s="80">
        <f>15.4994 * CHOOSE(CONTROL!$C$32, $C$9, 100%, $E$9)</f>
        <v>15.4994</v>
      </c>
      <c r="C919" s="80">
        <f>15.4994 * CHOOSE(CONTROL!$C$32, $C$9, 100%, $E$9)</f>
        <v>15.4994</v>
      </c>
      <c r="D919" s="80">
        <f>15.36 * CHOOSE(CONTROL!$C$32, $C$9, 100%, $E$9)</f>
        <v>15.36</v>
      </c>
      <c r="E919" s="81">
        <f>17.7366 * CHOOSE(CONTROL!$C$32, $C$9, 100%, $E$9)</f>
        <v>17.736599999999999</v>
      </c>
      <c r="F919" s="81">
        <f>17.7366 * CHOOSE(CONTROL!$C$32, $C$9, 100%, $E$9)</f>
        <v>17.736599999999999</v>
      </c>
      <c r="G919" s="81">
        <f>17.5661 * CHOOSE(CONTROL!$C$32, $C$9, 100%, $E$9)</f>
        <v>17.566099999999999</v>
      </c>
      <c r="H919" s="81">
        <f>32.4712 * CHOOSE(CONTROL!$C$32, $C$9, 100%, $E$9)</f>
        <v>32.471200000000003</v>
      </c>
      <c r="I919" s="81">
        <f>32.3007 * CHOOSE(CONTROL!$C$32, $C$9, 100%, $E$9)</f>
        <v>32.300699999999999</v>
      </c>
      <c r="J919" s="81">
        <f>32.4712 * CHOOSE(CONTROL!$C$32, $C$9, 100%, $E$9)</f>
        <v>32.471200000000003</v>
      </c>
      <c r="K919" s="81">
        <f>32.3007 * CHOOSE(CONTROL!$C$32, $C$9, 100%, $E$9)</f>
        <v>32.300699999999999</v>
      </c>
      <c r="L919" s="81">
        <f>17.7366 * CHOOSE(CONTROL!$C$32, $C$9, 100%, $E$9)</f>
        <v>17.736599999999999</v>
      </c>
      <c r="M919" s="81">
        <f>17.5661 * CHOOSE(CONTROL!$C$32, $C$9, 100%, $E$9)</f>
        <v>17.566099999999999</v>
      </c>
      <c r="N919" s="81">
        <f>17.7366 * CHOOSE(CONTROL!$C$32, $C$9, 100%, $E$9)</f>
        <v>17.736599999999999</v>
      </c>
      <c r="O919" s="81">
        <f>17.5661 * CHOOSE(CONTROL!$C$32, $C$9, 100%, $E$9)</f>
        <v>17.566099999999999</v>
      </c>
    </row>
    <row r="920" spans="1:15" ht="15">
      <c r="A920" s="16">
        <v>69215</v>
      </c>
      <c r="B920" s="80">
        <f>15.7335 * CHOOSE(CONTROL!$C$32, $C$9, 100%, $E$9)</f>
        <v>15.733499999999999</v>
      </c>
      <c r="C920" s="80">
        <f>15.7335 * CHOOSE(CONTROL!$C$32, $C$9, 100%, $E$9)</f>
        <v>15.733499999999999</v>
      </c>
      <c r="D920" s="80">
        <f>15.5941 * CHOOSE(CONTROL!$C$32, $C$9, 100%, $E$9)</f>
        <v>15.594099999999999</v>
      </c>
      <c r="E920" s="81">
        <f>18.0175 * CHOOSE(CONTROL!$C$32, $C$9, 100%, $E$9)</f>
        <v>18.017499999999998</v>
      </c>
      <c r="F920" s="81">
        <f>18.0175 * CHOOSE(CONTROL!$C$32, $C$9, 100%, $E$9)</f>
        <v>18.017499999999998</v>
      </c>
      <c r="G920" s="81">
        <f>17.847 * CHOOSE(CONTROL!$C$32, $C$9, 100%, $E$9)</f>
        <v>17.847000000000001</v>
      </c>
      <c r="H920" s="81">
        <f>32.5388 * CHOOSE(CONTROL!$C$32, $C$9, 100%, $E$9)</f>
        <v>32.538800000000002</v>
      </c>
      <c r="I920" s="81">
        <f>32.3683 * CHOOSE(CONTROL!$C$32, $C$9, 100%, $E$9)</f>
        <v>32.368299999999998</v>
      </c>
      <c r="J920" s="81">
        <f>32.5388 * CHOOSE(CONTROL!$C$32, $C$9, 100%, $E$9)</f>
        <v>32.538800000000002</v>
      </c>
      <c r="K920" s="81">
        <f>32.3683 * CHOOSE(CONTROL!$C$32, $C$9, 100%, $E$9)</f>
        <v>32.368299999999998</v>
      </c>
      <c r="L920" s="81">
        <f>18.0175 * CHOOSE(CONTROL!$C$32, $C$9, 100%, $E$9)</f>
        <v>18.017499999999998</v>
      </c>
      <c r="M920" s="81">
        <f>17.847 * CHOOSE(CONTROL!$C$32, $C$9, 100%, $E$9)</f>
        <v>17.847000000000001</v>
      </c>
      <c r="N920" s="81">
        <f>18.0175 * CHOOSE(CONTROL!$C$32, $C$9, 100%, $E$9)</f>
        <v>18.017499999999998</v>
      </c>
      <c r="O920" s="81">
        <f>17.847 * CHOOSE(CONTROL!$C$32, $C$9, 100%, $E$9)</f>
        <v>17.847000000000001</v>
      </c>
    </row>
    <row r="921" spans="1:15" ht="15">
      <c r="A921" s="16">
        <v>69246</v>
      </c>
      <c r="B921" s="80">
        <f>15.7402 * CHOOSE(CONTROL!$C$32, $C$9, 100%, $E$9)</f>
        <v>15.7402</v>
      </c>
      <c r="C921" s="80">
        <f>15.7402 * CHOOSE(CONTROL!$C$32, $C$9, 100%, $E$9)</f>
        <v>15.7402</v>
      </c>
      <c r="D921" s="80">
        <f>15.6008 * CHOOSE(CONTROL!$C$32, $C$9, 100%, $E$9)</f>
        <v>15.6008</v>
      </c>
      <c r="E921" s="81">
        <f>17.7229 * CHOOSE(CONTROL!$C$32, $C$9, 100%, $E$9)</f>
        <v>17.722899999999999</v>
      </c>
      <c r="F921" s="81">
        <f>17.7229 * CHOOSE(CONTROL!$C$32, $C$9, 100%, $E$9)</f>
        <v>17.722899999999999</v>
      </c>
      <c r="G921" s="81">
        <f>17.5524 * CHOOSE(CONTROL!$C$32, $C$9, 100%, $E$9)</f>
        <v>17.552399999999999</v>
      </c>
      <c r="H921" s="81">
        <f>32.6066 * CHOOSE(CONTROL!$C$32, $C$9, 100%, $E$9)</f>
        <v>32.6066</v>
      </c>
      <c r="I921" s="81">
        <f>32.4361 * CHOOSE(CONTROL!$C$32, $C$9, 100%, $E$9)</f>
        <v>32.436100000000003</v>
      </c>
      <c r="J921" s="81">
        <f>32.6066 * CHOOSE(CONTROL!$C$32, $C$9, 100%, $E$9)</f>
        <v>32.6066</v>
      </c>
      <c r="K921" s="81">
        <f>32.4361 * CHOOSE(CONTROL!$C$32, $C$9, 100%, $E$9)</f>
        <v>32.436100000000003</v>
      </c>
      <c r="L921" s="81">
        <f>17.7229 * CHOOSE(CONTROL!$C$32, $C$9, 100%, $E$9)</f>
        <v>17.722899999999999</v>
      </c>
      <c r="M921" s="81">
        <f>17.5524 * CHOOSE(CONTROL!$C$32, $C$9, 100%, $E$9)</f>
        <v>17.552399999999999</v>
      </c>
      <c r="N921" s="81">
        <f>17.7229 * CHOOSE(CONTROL!$C$32, $C$9, 100%, $E$9)</f>
        <v>17.722899999999999</v>
      </c>
      <c r="O921" s="81">
        <f>17.5524 * CHOOSE(CONTROL!$C$32, $C$9, 100%, $E$9)</f>
        <v>17.552399999999999</v>
      </c>
    </row>
    <row r="922" spans="1:15" ht="15">
      <c r="A922" s="16">
        <v>69277</v>
      </c>
      <c r="B922" s="80">
        <f>15.7371 * CHOOSE(CONTROL!$C$32, $C$9, 100%, $E$9)</f>
        <v>15.7371</v>
      </c>
      <c r="C922" s="80">
        <f>15.7371 * CHOOSE(CONTROL!$C$32, $C$9, 100%, $E$9)</f>
        <v>15.7371</v>
      </c>
      <c r="D922" s="80">
        <f>15.5977 * CHOOSE(CONTROL!$C$32, $C$9, 100%, $E$9)</f>
        <v>15.5977</v>
      </c>
      <c r="E922" s="81">
        <f>17.6875 * CHOOSE(CONTROL!$C$32, $C$9, 100%, $E$9)</f>
        <v>17.6875</v>
      </c>
      <c r="F922" s="81">
        <f>17.6875 * CHOOSE(CONTROL!$C$32, $C$9, 100%, $E$9)</f>
        <v>17.6875</v>
      </c>
      <c r="G922" s="81">
        <f>17.517 * CHOOSE(CONTROL!$C$32, $C$9, 100%, $E$9)</f>
        <v>17.516999999999999</v>
      </c>
      <c r="H922" s="81">
        <f>32.6745 * CHOOSE(CONTROL!$C$32, $C$9, 100%, $E$9)</f>
        <v>32.674500000000002</v>
      </c>
      <c r="I922" s="81">
        <f>32.504 * CHOOSE(CONTROL!$C$32, $C$9, 100%, $E$9)</f>
        <v>32.503999999999998</v>
      </c>
      <c r="J922" s="81">
        <f>32.6745 * CHOOSE(CONTROL!$C$32, $C$9, 100%, $E$9)</f>
        <v>32.674500000000002</v>
      </c>
      <c r="K922" s="81">
        <f>32.504 * CHOOSE(CONTROL!$C$32, $C$9, 100%, $E$9)</f>
        <v>32.503999999999998</v>
      </c>
      <c r="L922" s="81">
        <f>17.6875 * CHOOSE(CONTROL!$C$32, $C$9, 100%, $E$9)</f>
        <v>17.6875</v>
      </c>
      <c r="M922" s="81">
        <f>17.517 * CHOOSE(CONTROL!$C$32, $C$9, 100%, $E$9)</f>
        <v>17.516999999999999</v>
      </c>
      <c r="N922" s="81">
        <f>17.6875 * CHOOSE(CONTROL!$C$32, $C$9, 100%, $E$9)</f>
        <v>17.6875</v>
      </c>
      <c r="O922" s="81">
        <f>17.517 * CHOOSE(CONTROL!$C$32, $C$9, 100%, $E$9)</f>
        <v>17.516999999999999</v>
      </c>
    </row>
    <row r="923" spans="1:15" ht="15">
      <c r="A923" s="16">
        <v>69307</v>
      </c>
      <c r="B923" s="80">
        <f>15.7699 * CHOOSE(CONTROL!$C$32, $C$9, 100%, $E$9)</f>
        <v>15.7699</v>
      </c>
      <c r="C923" s="80">
        <f>15.7699 * CHOOSE(CONTROL!$C$32, $C$9, 100%, $E$9)</f>
        <v>15.7699</v>
      </c>
      <c r="D923" s="80">
        <f>15.6743 * CHOOSE(CONTROL!$C$32, $C$9, 100%, $E$9)</f>
        <v>15.674300000000001</v>
      </c>
      <c r="E923" s="81">
        <f>17.8071 * CHOOSE(CONTROL!$C$32, $C$9, 100%, $E$9)</f>
        <v>17.807099999999998</v>
      </c>
      <c r="F923" s="81">
        <f>17.8071 * CHOOSE(CONTROL!$C$32, $C$9, 100%, $E$9)</f>
        <v>17.807099999999998</v>
      </c>
      <c r="G923" s="81">
        <f>17.6893 * CHOOSE(CONTROL!$C$32, $C$9, 100%, $E$9)</f>
        <v>17.689299999999999</v>
      </c>
      <c r="H923" s="81">
        <f>32.7426 * CHOOSE(CONTROL!$C$32, $C$9, 100%, $E$9)</f>
        <v>32.742600000000003</v>
      </c>
      <c r="I923" s="81">
        <f>32.6247 * CHOOSE(CONTROL!$C$32, $C$9, 100%, $E$9)</f>
        <v>32.624699999999997</v>
      </c>
      <c r="J923" s="81">
        <f>32.7426 * CHOOSE(CONTROL!$C$32, $C$9, 100%, $E$9)</f>
        <v>32.742600000000003</v>
      </c>
      <c r="K923" s="81">
        <f>32.6247 * CHOOSE(CONTROL!$C$32, $C$9, 100%, $E$9)</f>
        <v>32.624699999999997</v>
      </c>
      <c r="L923" s="81">
        <f>17.8071 * CHOOSE(CONTROL!$C$32, $C$9, 100%, $E$9)</f>
        <v>17.807099999999998</v>
      </c>
      <c r="M923" s="81">
        <f>17.6893 * CHOOSE(CONTROL!$C$32, $C$9, 100%, $E$9)</f>
        <v>17.689299999999999</v>
      </c>
      <c r="N923" s="81">
        <f>17.8071 * CHOOSE(CONTROL!$C$32, $C$9, 100%, $E$9)</f>
        <v>17.807099999999998</v>
      </c>
      <c r="O923" s="81">
        <f>17.6893 * CHOOSE(CONTROL!$C$32, $C$9, 100%, $E$9)</f>
        <v>17.689299999999999</v>
      </c>
    </row>
    <row r="924" spans="1:15" ht="15">
      <c r="A924" s="16">
        <v>69338</v>
      </c>
      <c r="B924" s="80">
        <f>15.773 * CHOOSE(CONTROL!$C$32, $C$9, 100%, $E$9)</f>
        <v>15.773</v>
      </c>
      <c r="C924" s="80">
        <f>15.773 * CHOOSE(CONTROL!$C$32, $C$9, 100%, $E$9)</f>
        <v>15.773</v>
      </c>
      <c r="D924" s="80">
        <f>15.6773 * CHOOSE(CONTROL!$C$32, $C$9, 100%, $E$9)</f>
        <v>15.677300000000001</v>
      </c>
      <c r="E924" s="81">
        <f>17.8758 * CHOOSE(CONTROL!$C$32, $C$9, 100%, $E$9)</f>
        <v>17.875800000000002</v>
      </c>
      <c r="F924" s="81">
        <f>17.8758 * CHOOSE(CONTROL!$C$32, $C$9, 100%, $E$9)</f>
        <v>17.875800000000002</v>
      </c>
      <c r="G924" s="81">
        <f>17.7579 * CHOOSE(CONTROL!$C$32, $C$9, 100%, $E$9)</f>
        <v>17.757899999999999</v>
      </c>
      <c r="H924" s="81">
        <f>32.8108 * CHOOSE(CONTROL!$C$32, $C$9, 100%, $E$9)</f>
        <v>32.8108</v>
      </c>
      <c r="I924" s="81">
        <f>32.693 * CHOOSE(CONTROL!$C$32, $C$9, 100%, $E$9)</f>
        <v>32.692999999999998</v>
      </c>
      <c r="J924" s="81">
        <f>32.8108 * CHOOSE(CONTROL!$C$32, $C$9, 100%, $E$9)</f>
        <v>32.8108</v>
      </c>
      <c r="K924" s="81">
        <f>32.693 * CHOOSE(CONTROL!$C$32, $C$9, 100%, $E$9)</f>
        <v>32.692999999999998</v>
      </c>
      <c r="L924" s="81">
        <f>17.8758 * CHOOSE(CONTROL!$C$32, $C$9, 100%, $E$9)</f>
        <v>17.875800000000002</v>
      </c>
      <c r="M924" s="81">
        <f>17.7579 * CHOOSE(CONTROL!$C$32, $C$9, 100%, $E$9)</f>
        <v>17.757899999999999</v>
      </c>
      <c r="N924" s="81">
        <f>17.8758 * CHOOSE(CONTROL!$C$32, $C$9, 100%, $E$9)</f>
        <v>17.875800000000002</v>
      </c>
      <c r="O924" s="81">
        <f>17.7579 * CHOOSE(CONTROL!$C$32, $C$9, 100%, $E$9)</f>
        <v>17.757899999999999</v>
      </c>
    </row>
    <row r="925" spans="1:15" ht="15">
      <c r="A925" s="16">
        <v>69368</v>
      </c>
      <c r="B925" s="80">
        <f>15.773 * CHOOSE(CONTROL!$C$32, $C$9, 100%, $E$9)</f>
        <v>15.773</v>
      </c>
      <c r="C925" s="80">
        <f>15.773 * CHOOSE(CONTROL!$C$32, $C$9, 100%, $E$9)</f>
        <v>15.773</v>
      </c>
      <c r="D925" s="80">
        <f>15.6773 * CHOOSE(CONTROL!$C$32, $C$9, 100%, $E$9)</f>
        <v>15.677300000000001</v>
      </c>
      <c r="E925" s="81">
        <f>17.7095 * CHOOSE(CONTROL!$C$32, $C$9, 100%, $E$9)</f>
        <v>17.709499999999998</v>
      </c>
      <c r="F925" s="81">
        <f>17.7095 * CHOOSE(CONTROL!$C$32, $C$9, 100%, $E$9)</f>
        <v>17.709499999999998</v>
      </c>
      <c r="G925" s="81">
        <f>17.5916 * CHOOSE(CONTROL!$C$32, $C$9, 100%, $E$9)</f>
        <v>17.5916</v>
      </c>
      <c r="H925" s="81">
        <f>32.8792 * CHOOSE(CONTROL!$C$32, $C$9, 100%, $E$9)</f>
        <v>32.879199999999997</v>
      </c>
      <c r="I925" s="81">
        <f>32.7613 * CHOOSE(CONTROL!$C$32, $C$9, 100%, $E$9)</f>
        <v>32.761299999999999</v>
      </c>
      <c r="J925" s="81">
        <f>32.8792 * CHOOSE(CONTROL!$C$32, $C$9, 100%, $E$9)</f>
        <v>32.879199999999997</v>
      </c>
      <c r="K925" s="81">
        <f>32.7613 * CHOOSE(CONTROL!$C$32, $C$9, 100%, $E$9)</f>
        <v>32.761299999999999</v>
      </c>
      <c r="L925" s="81">
        <f>17.7095 * CHOOSE(CONTROL!$C$32, $C$9, 100%, $E$9)</f>
        <v>17.709499999999998</v>
      </c>
      <c r="M925" s="81">
        <f>17.5916 * CHOOSE(CONTROL!$C$32, $C$9, 100%, $E$9)</f>
        <v>17.5916</v>
      </c>
      <c r="N925" s="81">
        <f>17.7095 * CHOOSE(CONTROL!$C$32, $C$9, 100%, $E$9)</f>
        <v>17.709499999999998</v>
      </c>
      <c r="O925" s="81">
        <f>17.5916 * CHOOSE(CONTROL!$C$32, $C$9, 100%, $E$9)</f>
        <v>17.5916</v>
      </c>
    </row>
    <row r="926" spans="1:15" ht="15">
      <c r="A926" s="16">
        <v>69399</v>
      </c>
      <c r="B926" s="80">
        <f>15.7277 * CHOOSE(CONTROL!$C$32, $C$9, 100%, $E$9)</f>
        <v>15.7277</v>
      </c>
      <c r="C926" s="80">
        <f>15.7277 * CHOOSE(CONTROL!$C$32, $C$9, 100%, $E$9)</f>
        <v>15.7277</v>
      </c>
      <c r="D926" s="80">
        <f>15.6285 * CHOOSE(CONTROL!$C$32, $C$9, 100%, $E$9)</f>
        <v>15.628500000000001</v>
      </c>
      <c r="E926" s="81">
        <f>17.796 * CHOOSE(CONTROL!$C$32, $C$9, 100%, $E$9)</f>
        <v>17.795999999999999</v>
      </c>
      <c r="F926" s="81">
        <f>17.796 * CHOOSE(CONTROL!$C$32, $C$9, 100%, $E$9)</f>
        <v>17.795999999999999</v>
      </c>
      <c r="G926" s="81">
        <f>17.6738 * CHOOSE(CONTROL!$C$32, $C$9, 100%, $E$9)</f>
        <v>17.6738</v>
      </c>
      <c r="H926" s="81">
        <f>32.6108 * CHOOSE(CONTROL!$C$32, $C$9, 100%, $E$9)</f>
        <v>32.610799999999998</v>
      </c>
      <c r="I926" s="81">
        <f>32.4886 * CHOOSE(CONTROL!$C$32, $C$9, 100%, $E$9)</f>
        <v>32.488599999999998</v>
      </c>
      <c r="J926" s="81">
        <f>32.6108 * CHOOSE(CONTROL!$C$32, $C$9, 100%, $E$9)</f>
        <v>32.610799999999998</v>
      </c>
      <c r="K926" s="81">
        <f>32.4886 * CHOOSE(CONTROL!$C$32, $C$9, 100%, $E$9)</f>
        <v>32.488599999999998</v>
      </c>
      <c r="L926" s="81">
        <f>17.796 * CHOOSE(CONTROL!$C$32, $C$9, 100%, $E$9)</f>
        <v>17.795999999999999</v>
      </c>
      <c r="M926" s="81">
        <f>17.6738 * CHOOSE(CONTROL!$C$32, $C$9, 100%, $E$9)</f>
        <v>17.6738</v>
      </c>
      <c r="N926" s="81">
        <f>17.796 * CHOOSE(CONTROL!$C$32, $C$9, 100%, $E$9)</f>
        <v>17.795999999999999</v>
      </c>
      <c r="O926" s="81">
        <f>17.6738 * CHOOSE(CONTROL!$C$32, $C$9, 100%, $E$9)</f>
        <v>17.6738</v>
      </c>
    </row>
    <row r="927" spans="1:15" ht="15">
      <c r="A927" s="16">
        <v>69430</v>
      </c>
      <c r="B927" s="80">
        <f>15.7247 * CHOOSE(CONTROL!$C$32, $C$9, 100%, $E$9)</f>
        <v>15.7247</v>
      </c>
      <c r="C927" s="80">
        <f>15.7247 * CHOOSE(CONTROL!$C$32, $C$9, 100%, $E$9)</f>
        <v>15.7247</v>
      </c>
      <c r="D927" s="80">
        <f>15.6255 * CHOOSE(CONTROL!$C$32, $C$9, 100%, $E$9)</f>
        <v>15.625500000000001</v>
      </c>
      <c r="E927" s="81">
        <f>17.4747 * CHOOSE(CONTROL!$C$32, $C$9, 100%, $E$9)</f>
        <v>17.474699999999999</v>
      </c>
      <c r="F927" s="81">
        <f>17.4747 * CHOOSE(CONTROL!$C$32, $C$9, 100%, $E$9)</f>
        <v>17.474699999999999</v>
      </c>
      <c r="G927" s="81">
        <f>17.3525 * CHOOSE(CONTROL!$C$32, $C$9, 100%, $E$9)</f>
        <v>17.352499999999999</v>
      </c>
      <c r="H927" s="81">
        <f>32.6787 * CHOOSE(CONTROL!$C$32, $C$9, 100%, $E$9)</f>
        <v>32.678699999999999</v>
      </c>
      <c r="I927" s="81">
        <f>32.5565 * CHOOSE(CONTROL!$C$32, $C$9, 100%, $E$9)</f>
        <v>32.5565</v>
      </c>
      <c r="J927" s="81">
        <f>32.6787 * CHOOSE(CONTROL!$C$32, $C$9, 100%, $E$9)</f>
        <v>32.678699999999999</v>
      </c>
      <c r="K927" s="81">
        <f>32.5565 * CHOOSE(CONTROL!$C$32, $C$9, 100%, $E$9)</f>
        <v>32.5565</v>
      </c>
      <c r="L927" s="81">
        <f>17.4747 * CHOOSE(CONTROL!$C$32, $C$9, 100%, $E$9)</f>
        <v>17.474699999999999</v>
      </c>
      <c r="M927" s="81">
        <f>17.3525 * CHOOSE(CONTROL!$C$32, $C$9, 100%, $E$9)</f>
        <v>17.352499999999999</v>
      </c>
      <c r="N927" s="81">
        <f>17.4747 * CHOOSE(CONTROL!$C$32, $C$9, 100%, $E$9)</f>
        <v>17.474699999999999</v>
      </c>
      <c r="O927" s="81">
        <f>17.3525 * CHOOSE(CONTROL!$C$32, $C$9, 100%, $E$9)</f>
        <v>17.352499999999999</v>
      </c>
    </row>
    <row r="928" spans="1:15" ht="15">
      <c r="A928" s="16">
        <v>69458</v>
      </c>
      <c r="B928" s="80">
        <f>15.7217 * CHOOSE(CONTROL!$C$32, $C$9, 100%, $E$9)</f>
        <v>15.7217</v>
      </c>
      <c r="C928" s="80">
        <f>15.7217 * CHOOSE(CONTROL!$C$32, $C$9, 100%, $E$9)</f>
        <v>15.7217</v>
      </c>
      <c r="D928" s="80">
        <f>15.6225 * CHOOSE(CONTROL!$C$32, $C$9, 100%, $E$9)</f>
        <v>15.6225</v>
      </c>
      <c r="E928" s="81">
        <f>17.7242 * CHOOSE(CONTROL!$C$32, $C$9, 100%, $E$9)</f>
        <v>17.7242</v>
      </c>
      <c r="F928" s="81">
        <f>17.7242 * CHOOSE(CONTROL!$C$32, $C$9, 100%, $E$9)</f>
        <v>17.7242</v>
      </c>
      <c r="G928" s="81">
        <f>17.602 * CHOOSE(CONTROL!$C$32, $C$9, 100%, $E$9)</f>
        <v>17.602</v>
      </c>
      <c r="H928" s="81">
        <f>32.7468 * CHOOSE(CONTROL!$C$32, $C$9, 100%, $E$9)</f>
        <v>32.7468</v>
      </c>
      <c r="I928" s="81">
        <f>32.6246 * CHOOSE(CONTROL!$C$32, $C$9, 100%, $E$9)</f>
        <v>32.624600000000001</v>
      </c>
      <c r="J928" s="81">
        <f>32.7468 * CHOOSE(CONTROL!$C$32, $C$9, 100%, $E$9)</f>
        <v>32.7468</v>
      </c>
      <c r="K928" s="81">
        <f>32.6246 * CHOOSE(CONTROL!$C$32, $C$9, 100%, $E$9)</f>
        <v>32.624600000000001</v>
      </c>
      <c r="L928" s="81">
        <f>17.7242 * CHOOSE(CONTROL!$C$32, $C$9, 100%, $E$9)</f>
        <v>17.7242</v>
      </c>
      <c r="M928" s="81">
        <f>17.602 * CHOOSE(CONTROL!$C$32, $C$9, 100%, $E$9)</f>
        <v>17.602</v>
      </c>
      <c r="N928" s="81">
        <f>17.7242 * CHOOSE(CONTROL!$C$32, $C$9, 100%, $E$9)</f>
        <v>17.7242</v>
      </c>
      <c r="O928" s="81">
        <f>17.602 * CHOOSE(CONTROL!$C$32, $C$9, 100%, $E$9)</f>
        <v>17.602</v>
      </c>
    </row>
    <row r="929" spans="1:15" ht="15">
      <c r="A929" s="16">
        <v>69489</v>
      </c>
      <c r="B929" s="80">
        <f>15.7291 * CHOOSE(CONTROL!$C$32, $C$9, 100%, $E$9)</f>
        <v>15.729100000000001</v>
      </c>
      <c r="C929" s="80">
        <f>15.7291 * CHOOSE(CONTROL!$C$32, $C$9, 100%, $E$9)</f>
        <v>15.729100000000001</v>
      </c>
      <c r="D929" s="80">
        <f>15.6299 * CHOOSE(CONTROL!$C$32, $C$9, 100%, $E$9)</f>
        <v>15.629899999999999</v>
      </c>
      <c r="E929" s="81">
        <f>17.9902 * CHOOSE(CONTROL!$C$32, $C$9, 100%, $E$9)</f>
        <v>17.990200000000002</v>
      </c>
      <c r="F929" s="81">
        <f>17.9902 * CHOOSE(CONTROL!$C$32, $C$9, 100%, $E$9)</f>
        <v>17.990200000000002</v>
      </c>
      <c r="G929" s="81">
        <f>17.868 * CHOOSE(CONTROL!$C$32, $C$9, 100%, $E$9)</f>
        <v>17.867999999999999</v>
      </c>
      <c r="H929" s="81">
        <f>32.815 * CHOOSE(CONTROL!$C$32, $C$9, 100%, $E$9)</f>
        <v>32.814999999999998</v>
      </c>
      <c r="I929" s="81">
        <f>32.6928 * CHOOSE(CONTROL!$C$32, $C$9, 100%, $E$9)</f>
        <v>32.692799999999998</v>
      </c>
      <c r="J929" s="81">
        <f>32.815 * CHOOSE(CONTROL!$C$32, $C$9, 100%, $E$9)</f>
        <v>32.814999999999998</v>
      </c>
      <c r="K929" s="81">
        <f>32.6928 * CHOOSE(CONTROL!$C$32, $C$9, 100%, $E$9)</f>
        <v>32.692799999999998</v>
      </c>
      <c r="L929" s="81">
        <f>17.9902 * CHOOSE(CONTROL!$C$32, $C$9, 100%, $E$9)</f>
        <v>17.990200000000002</v>
      </c>
      <c r="M929" s="81">
        <f>17.868 * CHOOSE(CONTROL!$C$32, $C$9, 100%, $E$9)</f>
        <v>17.867999999999999</v>
      </c>
      <c r="N929" s="81">
        <f>17.9902 * CHOOSE(CONTROL!$C$32, $C$9, 100%, $E$9)</f>
        <v>17.990200000000002</v>
      </c>
      <c r="O929" s="81">
        <f>17.868 * CHOOSE(CONTROL!$C$32, $C$9, 100%, $E$9)</f>
        <v>17.867999999999999</v>
      </c>
    </row>
    <row r="930" spans="1:15" ht="15">
      <c r="A930" s="16">
        <v>69519</v>
      </c>
      <c r="B930" s="80">
        <f>15.7291 * CHOOSE(CONTROL!$C$32, $C$9, 100%, $E$9)</f>
        <v>15.729100000000001</v>
      </c>
      <c r="C930" s="80">
        <f>15.7291 * CHOOSE(CONTROL!$C$32, $C$9, 100%, $E$9)</f>
        <v>15.729100000000001</v>
      </c>
      <c r="D930" s="80">
        <f>15.5845 * CHOOSE(CONTROL!$C$32, $C$9, 100%, $E$9)</f>
        <v>15.5845</v>
      </c>
      <c r="E930" s="81">
        <f>18.0916 * CHOOSE(CONTROL!$C$32, $C$9, 100%, $E$9)</f>
        <v>18.0916</v>
      </c>
      <c r="F930" s="81">
        <f>18.0916 * CHOOSE(CONTROL!$C$32, $C$9, 100%, $E$9)</f>
        <v>18.0916</v>
      </c>
      <c r="G930" s="81">
        <f>17.9147 * CHOOSE(CONTROL!$C$32, $C$9, 100%, $E$9)</f>
        <v>17.9147</v>
      </c>
      <c r="H930" s="81">
        <f>32.8834 * CHOOSE(CONTROL!$C$32, $C$9, 100%, $E$9)</f>
        <v>32.883400000000002</v>
      </c>
      <c r="I930" s="81">
        <f>32.7066 * CHOOSE(CONTROL!$C$32, $C$9, 100%, $E$9)</f>
        <v>32.706600000000002</v>
      </c>
      <c r="J930" s="81">
        <f>32.8834 * CHOOSE(CONTROL!$C$32, $C$9, 100%, $E$9)</f>
        <v>32.883400000000002</v>
      </c>
      <c r="K930" s="81">
        <f>32.7066 * CHOOSE(CONTROL!$C$32, $C$9, 100%, $E$9)</f>
        <v>32.706600000000002</v>
      </c>
      <c r="L930" s="81">
        <f>18.0916 * CHOOSE(CONTROL!$C$32, $C$9, 100%, $E$9)</f>
        <v>18.0916</v>
      </c>
      <c r="M930" s="81">
        <f>17.9147 * CHOOSE(CONTROL!$C$32, $C$9, 100%, $E$9)</f>
        <v>17.9147</v>
      </c>
      <c r="N930" s="81">
        <f>18.0916 * CHOOSE(CONTROL!$C$32, $C$9, 100%, $E$9)</f>
        <v>18.0916</v>
      </c>
      <c r="O930" s="81">
        <f>17.9147 * CHOOSE(CONTROL!$C$32, $C$9, 100%, $E$9)</f>
        <v>17.9147</v>
      </c>
    </row>
    <row r="931" spans="1:15" ht="15">
      <c r="A931" s="16">
        <v>69550</v>
      </c>
      <c r="B931" s="80">
        <f>15.7352 * CHOOSE(CONTROL!$C$32, $C$9, 100%, $E$9)</f>
        <v>15.735200000000001</v>
      </c>
      <c r="C931" s="80">
        <f>15.7352 * CHOOSE(CONTROL!$C$32, $C$9, 100%, $E$9)</f>
        <v>15.735200000000001</v>
      </c>
      <c r="D931" s="80">
        <f>15.5906 * CHOOSE(CONTROL!$C$32, $C$9, 100%, $E$9)</f>
        <v>15.5906</v>
      </c>
      <c r="E931" s="81">
        <f>17.9945 * CHOOSE(CONTROL!$C$32, $C$9, 100%, $E$9)</f>
        <v>17.994499999999999</v>
      </c>
      <c r="F931" s="81">
        <f>17.9945 * CHOOSE(CONTROL!$C$32, $C$9, 100%, $E$9)</f>
        <v>17.994499999999999</v>
      </c>
      <c r="G931" s="81">
        <f>17.8176 * CHOOSE(CONTROL!$C$32, $C$9, 100%, $E$9)</f>
        <v>17.817599999999999</v>
      </c>
      <c r="H931" s="81">
        <f>32.9519 * CHOOSE(CONTROL!$C$32, $C$9, 100%, $E$9)</f>
        <v>32.951900000000002</v>
      </c>
      <c r="I931" s="81">
        <f>32.7751 * CHOOSE(CONTROL!$C$32, $C$9, 100%, $E$9)</f>
        <v>32.775100000000002</v>
      </c>
      <c r="J931" s="81">
        <f>32.9519 * CHOOSE(CONTROL!$C$32, $C$9, 100%, $E$9)</f>
        <v>32.951900000000002</v>
      </c>
      <c r="K931" s="81">
        <f>32.7751 * CHOOSE(CONTROL!$C$32, $C$9, 100%, $E$9)</f>
        <v>32.775100000000002</v>
      </c>
      <c r="L931" s="81">
        <f>17.9945 * CHOOSE(CONTROL!$C$32, $C$9, 100%, $E$9)</f>
        <v>17.994499999999999</v>
      </c>
      <c r="M931" s="81">
        <f>17.8176 * CHOOSE(CONTROL!$C$32, $C$9, 100%, $E$9)</f>
        <v>17.817599999999999</v>
      </c>
      <c r="N931" s="81">
        <f>17.9945 * CHOOSE(CONTROL!$C$32, $C$9, 100%, $E$9)</f>
        <v>17.994499999999999</v>
      </c>
      <c r="O931" s="81">
        <f>17.8176 * CHOOSE(CONTROL!$C$32, $C$9, 100%, $E$9)</f>
        <v>17.817599999999999</v>
      </c>
    </row>
    <row r="932" spans="1:15" ht="15">
      <c r="A932" s="16">
        <v>69580</v>
      </c>
      <c r="B932" s="80">
        <f>15.9727 * CHOOSE(CONTROL!$C$32, $C$9, 100%, $E$9)</f>
        <v>15.9727</v>
      </c>
      <c r="C932" s="80">
        <f>15.9727 * CHOOSE(CONTROL!$C$32, $C$9, 100%, $E$9)</f>
        <v>15.9727</v>
      </c>
      <c r="D932" s="80">
        <f>15.8281 * CHOOSE(CONTROL!$C$32, $C$9, 100%, $E$9)</f>
        <v>15.828099999999999</v>
      </c>
      <c r="E932" s="81">
        <f>18.2793 * CHOOSE(CONTROL!$C$32, $C$9, 100%, $E$9)</f>
        <v>18.279299999999999</v>
      </c>
      <c r="F932" s="81">
        <f>18.2793 * CHOOSE(CONTROL!$C$32, $C$9, 100%, $E$9)</f>
        <v>18.279299999999999</v>
      </c>
      <c r="G932" s="81">
        <f>18.1025 * CHOOSE(CONTROL!$C$32, $C$9, 100%, $E$9)</f>
        <v>18.102499999999999</v>
      </c>
      <c r="H932" s="81">
        <f>33.0206 * CHOOSE(CONTROL!$C$32, $C$9, 100%, $E$9)</f>
        <v>33.020600000000002</v>
      </c>
      <c r="I932" s="81">
        <f>32.8437 * CHOOSE(CONTROL!$C$32, $C$9, 100%, $E$9)</f>
        <v>32.843699999999998</v>
      </c>
      <c r="J932" s="81">
        <f>33.0206 * CHOOSE(CONTROL!$C$32, $C$9, 100%, $E$9)</f>
        <v>33.020600000000002</v>
      </c>
      <c r="K932" s="81">
        <f>32.8437 * CHOOSE(CONTROL!$C$32, $C$9, 100%, $E$9)</f>
        <v>32.843699999999998</v>
      </c>
      <c r="L932" s="81">
        <f>18.2793 * CHOOSE(CONTROL!$C$32, $C$9, 100%, $E$9)</f>
        <v>18.279299999999999</v>
      </c>
      <c r="M932" s="81">
        <f>18.1025 * CHOOSE(CONTROL!$C$32, $C$9, 100%, $E$9)</f>
        <v>18.102499999999999</v>
      </c>
      <c r="N932" s="81">
        <f>18.2793 * CHOOSE(CONTROL!$C$32, $C$9, 100%, $E$9)</f>
        <v>18.279299999999999</v>
      </c>
      <c r="O932" s="81">
        <f>18.1025 * CHOOSE(CONTROL!$C$32, $C$9, 100%, $E$9)</f>
        <v>18.102499999999999</v>
      </c>
    </row>
    <row r="933" spans="1:15" ht="15">
      <c r="A933" s="16">
        <v>69611</v>
      </c>
      <c r="B933" s="80">
        <f>15.9794 * CHOOSE(CONTROL!$C$32, $C$9, 100%, $E$9)</f>
        <v>15.9794</v>
      </c>
      <c r="C933" s="80">
        <f>15.9794 * CHOOSE(CONTROL!$C$32, $C$9, 100%, $E$9)</f>
        <v>15.9794</v>
      </c>
      <c r="D933" s="80">
        <f>15.8348 * CHOOSE(CONTROL!$C$32, $C$9, 100%, $E$9)</f>
        <v>15.8348</v>
      </c>
      <c r="E933" s="81">
        <f>17.98 * CHOOSE(CONTROL!$C$32, $C$9, 100%, $E$9)</f>
        <v>17.98</v>
      </c>
      <c r="F933" s="81">
        <f>17.98 * CHOOSE(CONTROL!$C$32, $C$9, 100%, $E$9)</f>
        <v>17.98</v>
      </c>
      <c r="G933" s="81">
        <f>17.8031 * CHOOSE(CONTROL!$C$32, $C$9, 100%, $E$9)</f>
        <v>17.803100000000001</v>
      </c>
      <c r="H933" s="81">
        <f>33.0893 * CHOOSE(CONTROL!$C$32, $C$9, 100%, $E$9)</f>
        <v>33.089300000000001</v>
      </c>
      <c r="I933" s="81">
        <f>32.9125 * CHOOSE(CONTROL!$C$32, $C$9, 100%, $E$9)</f>
        <v>32.912500000000001</v>
      </c>
      <c r="J933" s="81">
        <f>33.0893 * CHOOSE(CONTROL!$C$32, $C$9, 100%, $E$9)</f>
        <v>33.089300000000001</v>
      </c>
      <c r="K933" s="81">
        <f>32.9125 * CHOOSE(CONTROL!$C$32, $C$9, 100%, $E$9)</f>
        <v>32.912500000000001</v>
      </c>
      <c r="L933" s="81">
        <f>17.98 * CHOOSE(CONTROL!$C$32, $C$9, 100%, $E$9)</f>
        <v>17.98</v>
      </c>
      <c r="M933" s="81">
        <f>17.8031 * CHOOSE(CONTROL!$C$32, $C$9, 100%, $E$9)</f>
        <v>17.803100000000001</v>
      </c>
      <c r="N933" s="81">
        <f>17.98 * CHOOSE(CONTROL!$C$32, $C$9, 100%, $E$9)</f>
        <v>17.98</v>
      </c>
      <c r="O933" s="81">
        <f>17.8031 * CHOOSE(CONTROL!$C$32, $C$9, 100%, $E$9)</f>
        <v>17.803100000000001</v>
      </c>
    </row>
    <row r="934" spans="1:15" ht="15">
      <c r="A934" s="16">
        <v>69642</v>
      </c>
      <c r="B934" s="80">
        <f>15.9763 * CHOOSE(CONTROL!$C$32, $C$9, 100%, $E$9)</f>
        <v>15.9763</v>
      </c>
      <c r="C934" s="80">
        <f>15.9763 * CHOOSE(CONTROL!$C$32, $C$9, 100%, $E$9)</f>
        <v>15.9763</v>
      </c>
      <c r="D934" s="80">
        <f>15.8318 * CHOOSE(CONTROL!$C$32, $C$9, 100%, $E$9)</f>
        <v>15.831799999999999</v>
      </c>
      <c r="E934" s="81">
        <f>17.9441 * CHOOSE(CONTROL!$C$32, $C$9, 100%, $E$9)</f>
        <v>17.944099999999999</v>
      </c>
      <c r="F934" s="81">
        <f>17.9441 * CHOOSE(CONTROL!$C$32, $C$9, 100%, $E$9)</f>
        <v>17.944099999999999</v>
      </c>
      <c r="G934" s="81">
        <f>17.7673 * CHOOSE(CONTROL!$C$32, $C$9, 100%, $E$9)</f>
        <v>17.767299999999999</v>
      </c>
      <c r="H934" s="81">
        <f>33.1583 * CHOOSE(CONTROL!$C$32, $C$9, 100%, $E$9)</f>
        <v>33.158299999999997</v>
      </c>
      <c r="I934" s="81">
        <f>32.9815 * CHOOSE(CONTROL!$C$32, $C$9, 100%, $E$9)</f>
        <v>32.981499999999997</v>
      </c>
      <c r="J934" s="81">
        <f>33.1583 * CHOOSE(CONTROL!$C$32, $C$9, 100%, $E$9)</f>
        <v>33.158299999999997</v>
      </c>
      <c r="K934" s="81">
        <f>32.9815 * CHOOSE(CONTROL!$C$32, $C$9, 100%, $E$9)</f>
        <v>32.981499999999997</v>
      </c>
      <c r="L934" s="81">
        <f>17.9441 * CHOOSE(CONTROL!$C$32, $C$9, 100%, $E$9)</f>
        <v>17.944099999999999</v>
      </c>
      <c r="M934" s="81">
        <f>17.7673 * CHOOSE(CONTROL!$C$32, $C$9, 100%, $E$9)</f>
        <v>17.767299999999999</v>
      </c>
      <c r="N934" s="81">
        <f>17.9441 * CHOOSE(CONTROL!$C$32, $C$9, 100%, $E$9)</f>
        <v>17.944099999999999</v>
      </c>
      <c r="O934" s="81">
        <f>17.7673 * CHOOSE(CONTROL!$C$32, $C$9, 100%, $E$9)</f>
        <v>17.767299999999999</v>
      </c>
    </row>
    <row r="935" spans="1:15" ht="15">
      <c r="A935" s="16">
        <v>69672</v>
      </c>
      <c r="B935" s="80">
        <f>16.0099 * CHOOSE(CONTROL!$C$32, $C$9, 100%, $E$9)</f>
        <v>16.009899999999998</v>
      </c>
      <c r="C935" s="80">
        <f>16.0099 * CHOOSE(CONTROL!$C$32, $C$9, 100%, $E$9)</f>
        <v>16.009899999999998</v>
      </c>
      <c r="D935" s="80">
        <f>15.9107 * CHOOSE(CONTROL!$C$32, $C$9, 100%, $E$9)</f>
        <v>15.9107</v>
      </c>
      <c r="E935" s="81">
        <f>18.0658 * CHOOSE(CONTROL!$C$32, $C$9, 100%, $E$9)</f>
        <v>18.065799999999999</v>
      </c>
      <c r="F935" s="81">
        <f>18.0658 * CHOOSE(CONTROL!$C$32, $C$9, 100%, $E$9)</f>
        <v>18.065799999999999</v>
      </c>
      <c r="G935" s="81">
        <f>17.9435 * CHOOSE(CONTROL!$C$32, $C$9, 100%, $E$9)</f>
        <v>17.9435</v>
      </c>
      <c r="H935" s="81">
        <f>33.2274 * CHOOSE(CONTROL!$C$32, $C$9, 100%, $E$9)</f>
        <v>33.227400000000003</v>
      </c>
      <c r="I935" s="81">
        <f>33.1051 * CHOOSE(CONTROL!$C$32, $C$9, 100%, $E$9)</f>
        <v>33.1051</v>
      </c>
      <c r="J935" s="81">
        <f>33.2274 * CHOOSE(CONTROL!$C$32, $C$9, 100%, $E$9)</f>
        <v>33.227400000000003</v>
      </c>
      <c r="K935" s="81">
        <f>33.1051 * CHOOSE(CONTROL!$C$32, $C$9, 100%, $E$9)</f>
        <v>33.1051</v>
      </c>
      <c r="L935" s="81">
        <f>18.0658 * CHOOSE(CONTROL!$C$32, $C$9, 100%, $E$9)</f>
        <v>18.065799999999999</v>
      </c>
      <c r="M935" s="81">
        <f>17.9435 * CHOOSE(CONTROL!$C$32, $C$9, 100%, $E$9)</f>
        <v>17.9435</v>
      </c>
      <c r="N935" s="81">
        <f>18.0658 * CHOOSE(CONTROL!$C$32, $C$9, 100%, $E$9)</f>
        <v>18.065799999999999</v>
      </c>
      <c r="O935" s="81">
        <f>17.9435 * CHOOSE(CONTROL!$C$32, $C$9, 100%, $E$9)</f>
        <v>17.9435</v>
      </c>
    </row>
    <row r="936" spans="1:15" ht="15">
      <c r="A936" s="16">
        <v>69703</v>
      </c>
      <c r="B936" s="80">
        <f>16.0129 * CHOOSE(CONTROL!$C$32, $C$9, 100%, $E$9)</f>
        <v>16.012899999999998</v>
      </c>
      <c r="C936" s="80">
        <f>16.0129 * CHOOSE(CONTROL!$C$32, $C$9, 100%, $E$9)</f>
        <v>16.012899999999998</v>
      </c>
      <c r="D936" s="80">
        <f>15.9137 * CHOOSE(CONTROL!$C$32, $C$9, 100%, $E$9)</f>
        <v>15.9137</v>
      </c>
      <c r="E936" s="81">
        <f>18.1354 * CHOOSE(CONTROL!$C$32, $C$9, 100%, $E$9)</f>
        <v>18.135400000000001</v>
      </c>
      <c r="F936" s="81">
        <f>18.1354 * CHOOSE(CONTROL!$C$32, $C$9, 100%, $E$9)</f>
        <v>18.135400000000001</v>
      </c>
      <c r="G936" s="81">
        <f>18.0132 * CHOOSE(CONTROL!$C$32, $C$9, 100%, $E$9)</f>
        <v>18.013200000000001</v>
      </c>
      <c r="H936" s="81">
        <f>33.2966 * CHOOSE(CONTROL!$C$32, $C$9, 100%, $E$9)</f>
        <v>33.296599999999998</v>
      </c>
      <c r="I936" s="81">
        <f>33.1744 * CHOOSE(CONTROL!$C$32, $C$9, 100%, $E$9)</f>
        <v>33.174399999999999</v>
      </c>
      <c r="J936" s="81">
        <f>33.2966 * CHOOSE(CONTROL!$C$32, $C$9, 100%, $E$9)</f>
        <v>33.296599999999998</v>
      </c>
      <c r="K936" s="81">
        <f>33.1744 * CHOOSE(CONTROL!$C$32, $C$9, 100%, $E$9)</f>
        <v>33.174399999999999</v>
      </c>
      <c r="L936" s="81">
        <f>18.1354 * CHOOSE(CONTROL!$C$32, $C$9, 100%, $E$9)</f>
        <v>18.135400000000001</v>
      </c>
      <c r="M936" s="81">
        <f>18.0132 * CHOOSE(CONTROL!$C$32, $C$9, 100%, $E$9)</f>
        <v>18.013200000000001</v>
      </c>
      <c r="N936" s="81">
        <f>18.1354 * CHOOSE(CONTROL!$C$32, $C$9, 100%, $E$9)</f>
        <v>18.135400000000001</v>
      </c>
      <c r="O936" s="81">
        <f>18.0132 * CHOOSE(CONTROL!$C$32, $C$9, 100%, $E$9)</f>
        <v>18.013200000000001</v>
      </c>
    </row>
    <row r="937" spans="1:15" ht="15">
      <c r="A937" s="16">
        <v>69733</v>
      </c>
      <c r="B937" s="80">
        <f>16.0129 * CHOOSE(CONTROL!$C$32, $C$9, 100%, $E$9)</f>
        <v>16.012899999999998</v>
      </c>
      <c r="C937" s="80">
        <f>16.0129 * CHOOSE(CONTROL!$C$32, $C$9, 100%, $E$9)</f>
        <v>16.012899999999998</v>
      </c>
      <c r="D937" s="80">
        <f>15.9137 * CHOOSE(CONTROL!$C$32, $C$9, 100%, $E$9)</f>
        <v>15.9137</v>
      </c>
      <c r="E937" s="81">
        <f>17.9666 * CHOOSE(CONTROL!$C$32, $C$9, 100%, $E$9)</f>
        <v>17.9666</v>
      </c>
      <c r="F937" s="81">
        <f>17.9666 * CHOOSE(CONTROL!$C$32, $C$9, 100%, $E$9)</f>
        <v>17.9666</v>
      </c>
      <c r="G937" s="81">
        <f>17.8443 * CHOOSE(CONTROL!$C$32, $C$9, 100%, $E$9)</f>
        <v>17.8443</v>
      </c>
      <c r="H937" s="81">
        <f>33.366 * CHOOSE(CONTROL!$C$32, $C$9, 100%, $E$9)</f>
        <v>33.366</v>
      </c>
      <c r="I937" s="81">
        <f>33.2437 * CHOOSE(CONTROL!$C$32, $C$9, 100%, $E$9)</f>
        <v>33.243699999999997</v>
      </c>
      <c r="J937" s="81">
        <f>33.366 * CHOOSE(CONTROL!$C$32, $C$9, 100%, $E$9)</f>
        <v>33.366</v>
      </c>
      <c r="K937" s="81">
        <f>33.2437 * CHOOSE(CONTROL!$C$32, $C$9, 100%, $E$9)</f>
        <v>33.243699999999997</v>
      </c>
      <c r="L937" s="81">
        <f>17.9666 * CHOOSE(CONTROL!$C$32, $C$9, 100%, $E$9)</f>
        <v>17.9666</v>
      </c>
      <c r="M937" s="81">
        <f>17.8443 * CHOOSE(CONTROL!$C$32, $C$9, 100%, $E$9)</f>
        <v>17.8443</v>
      </c>
      <c r="N937" s="81">
        <f>17.9666 * CHOOSE(CONTROL!$C$32, $C$9, 100%, $E$9)</f>
        <v>17.9666</v>
      </c>
      <c r="O937" s="81">
        <f>17.8443 * CHOOSE(CONTROL!$C$32, $C$9, 100%, $E$9)</f>
        <v>17.8443</v>
      </c>
    </row>
    <row r="938" spans="1:15" ht="15">
      <c r="A938" s="16">
        <v>69764</v>
      </c>
      <c r="B938" s="80">
        <f>15.9633 * CHOOSE(CONTROL!$C$32, $C$9, 100%, $E$9)</f>
        <v>15.9633</v>
      </c>
      <c r="C938" s="80">
        <f>15.9633 * CHOOSE(CONTROL!$C$32, $C$9, 100%, $E$9)</f>
        <v>15.9633</v>
      </c>
      <c r="D938" s="80">
        <f>15.8606 * CHOOSE(CONTROL!$C$32, $C$9, 100%, $E$9)</f>
        <v>15.8606</v>
      </c>
      <c r="E938" s="81">
        <f>18.0508 * CHOOSE(CONTROL!$C$32, $C$9, 100%, $E$9)</f>
        <v>18.050799999999999</v>
      </c>
      <c r="F938" s="81">
        <f>18.0508 * CHOOSE(CONTROL!$C$32, $C$9, 100%, $E$9)</f>
        <v>18.050799999999999</v>
      </c>
      <c r="G938" s="81">
        <f>17.9242 * CHOOSE(CONTROL!$C$32, $C$9, 100%, $E$9)</f>
        <v>17.924199999999999</v>
      </c>
      <c r="H938" s="81">
        <f>33.0866 * CHOOSE(CONTROL!$C$32, $C$9, 100%, $E$9)</f>
        <v>33.086599999999997</v>
      </c>
      <c r="I938" s="81">
        <f>32.96 * CHOOSE(CONTROL!$C$32, $C$9, 100%, $E$9)</f>
        <v>32.96</v>
      </c>
      <c r="J938" s="81">
        <f>33.0866 * CHOOSE(CONTROL!$C$32, $C$9, 100%, $E$9)</f>
        <v>33.086599999999997</v>
      </c>
      <c r="K938" s="81">
        <f>32.96 * CHOOSE(CONTROL!$C$32, $C$9, 100%, $E$9)</f>
        <v>32.96</v>
      </c>
      <c r="L938" s="81">
        <f>18.0508 * CHOOSE(CONTROL!$C$32, $C$9, 100%, $E$9)</f>
        <v>18.050799999999999</v>
      </c>
      <c r="M938" s="81">
        <f>17.9242 * CHOOSE(CONTROL!$C$32, $C$9, 100%, $E$9)</f>
        <v>17.924199999999999</v>
      </c>
      <c r="N938" s="81">
        <f>18.0508 * CHOOSE(CONTROL!$C$32, $C$9, 100%, $E$9)</f>
        <v>18.050799999999999</v>
      </c>
      <c r="O938" s="81">
        <f>17.9242 * CHOOSE(CONTROL!$C$32, $C$9, 100%, $E$9)</f>
        <v>17.924199999999999</v>
      </c>
    </row>
    <row r="939" spans="1:15" ht="15">
      <c r="A939" s="16">
        <v>69795</v>
      </c>
      <c r="B939" s="80">
        <f>15.9603 * CHOOSE(CONTROL!$C$32, $C$9, 100%, $E$9)</f>
        <v>15.9603</v>
      </c>
      <c r="C939" s="80">
        <f>15.9603 * CHOOSE(CONTROL!$C$32, $C$9, 100%, $E$9)</f>
        <v>15.9603</v>
      </c>
      <c r="D939" s="80">
        <f>15.8575 * CHOOSE(CONTROL!$C$32, $C$9, 100%, $E$9)</f>
        <v>15.8575</v>
      </c>
      <c r="E939" s="81">
        <f>17.7245 * CHOOSE(CONTROL!$C$32, $C$9, 100%, $E$9)</f>
        <v>17.724499999999999</v>
      </c>
      <c r="F939" s="81">
        <f>17.7245 * CHOOSE(CONTROL!$C$32, $C$9, 100%, $E$9)</f>
        <v>17.724499999999999</v>
      </c>
      <c r="G939" s="81">
        <f>17.5979 * CHOOSE(CONTROL!$C$32, $C$9, 100%, $E$9)</f>
        <v>17.597899999999999</v>
      </c>
      <c r="H939" s="81">
        <f>33.1555 * CHOOSE(CONTROL!$C$32, $C$9, 100%, $E$9)</f>
        <v>33.155500000000004</v>
      </c>
      <c r="I939" s="81">
        <f>33.0289 * CHOOSE(CONTROL!$C$32, $C$9, 100%, $E$9)</f>
        <v>33.0289</v>
      </c>
      <c r="J939" s="81">
        <f>33.1555 * CHOOSE(CONTROL!$C$32, $C$9, 100%, $E$9)</f>
        <v>33.155500000000004</v>
      </c>
      <c r="K939" s="81">
        <f>33.0289 * CHOOSE(CONTROL!$C$32, $C$9, 100%, $E$9)</f>
        <v>33.0289</v>
      </c>
      <c r="L939" s="81">
        <f>17.7245 * CHOOSE(CONTROL!$C$32, $C$9, 100%, $E$9)</f>
        <v>17.724499999999999</v>
      </c>
      <c r="M939" s="81">
        <f>17.5979 * CHOOSE(CONTROL!$C$32, $C$9, 100%, $E$9)</f>
        <v>17.597899999999999</v>
      </c>
      <c r="N939" s="81">
        <f>17.7245 * CHOOSE(CONTROL!$C$32, $C$9, 100%, $E$9)</f>
        <v>17.724499999999999</v>
      </c>
      <c r="O939" s="81">
        <f>17.5979 * CHOOSE(CONTROL!$C$32, $C$9, 100%, $E$9)</f>
        <v>17.597899999999999</v>
      </c>
    </row>
    <row r="940" spans="1:15" ht="15">
      <c r="A940" s="16">
        <v>69823</v>
      </c>
      <c r="B940" s="80">
        <f>15.9572 * CHOOSE(CONTROL!$C$32, $C$9, 100%, $E$9)</f>
        <v>15.9572</v>
      </c>
      <c r="C940" s="80">
        <f>15.9572 * CHOOSE(CONTROL!$C$32, $C$9, 100%, $E$9)</f>
        <v>15.9572</v>
      </c>
      <c r="D940" s="80">
        <f>15.8545 * CHOOSE(CONTROL!$C$32, $C$9, 100%, $E$9)</f>
        <v>15.8545</v>
      </c>
      <c r="E940" s="81">
        <f>17.9779 * CHOOSE(CONTROL!$C$32, $C$9, 100%, $E$9)</f>
        <v>17.977900000000002</v>
      </c>
      <c r="F940" s="81">
        <f>17.9779 * CHOOSE(CONTROL!$C$32, $C$9, 100%, $E$9)</f>
        <v>17.977900000000002</v>
      </c>
      <c r="G940" s="81">
        <f>17.8513 * CHOOSE(CONTROL!$C$32, $C$9, 100%, $E$9)</f>
        <v>17.851299999999998</v>
      </c>
      <c r="H940" s="81">
        <f>33.2246 * CHOOSE(CONTROL!$C$32, $C$9, 100%, $E$9)</f>
        <v>33.224600000000002</v>
      </c>
      <c r="I940" s="81">
        <f>33.098 * CHOOSE(CONTROL!$C$32, $C$9, 100%, $E$9)</f>
        <v>33.097999999999999</v>
      </c>
      <c r="J940" s="81">
        <f>33.2246 * CHOOSE(CONTROL!$C$32, $C$9, 100%, $E$9)</f>
        <v>33.224600000000002</v>
      </c>
      <c r="K940" s="81">
        <f>33.098 * CHOOSE(CONTROL!$C$32, $C$9, 100%, $E$9)</f>
        <v>33.097999999999999</v>
      </c>
      <c r="L940" s="81">
        <f>17.9779 * CHOOSE(CONTROL!$C$32, $C$9, 100%, $E$9)</f>
        <v>17.977900000000002</v>
      </c>
      <c r="M940" s="81">
        <f>17.8513 * CHOOSE(CONTROL!$C$32, $C$9, 100%, $E$9)</f>
        <v>17.851299999999998</v>
      </c>
      <c r="N940" s="81">
        <f>17.9779 * CHOOSE(CONTROL!$C$32, $C$9, 100%, $E$9)</f>
        <v>17.977900000000002</v>
      </c>
      <c r="O940" s="81">
        <f>17.8513 * CHOOSE(CONTROL!$C$32, $C$9, 100%, $E$9)</f>
        <v>17.851299999999998</v>
      </c>
    </row>
    <row r="941" spans="1:15" ht="15">
      <c r="A941" s="16">
        <v>69854</v>
      </c>
      <c r="B941" s="80">
        <f>15.9649 * CHOOSE(CONTROL!$C$32, $C$9, 100%, $E$9)</f>
        <v>15.9649</v>
      </c>
      <c r="C941" s="80">
        <f>15.9649 * CHOOSE(CONTROL!$C$32, $C$9, 100%, $E$9)</f>
        <v>15.9649</v>
      </c>
      <c r="D941" s="80">
        <f>15.8621 * CHOOSE(CONTROL!$C$32, $C$9, 100%, $E$9)</f>
        <v>15.8621</v>
      </c>
      <c r="E941" s="81">
        <f>18.2481 * CHOOSE(CONTROL!$C$32, $C$9, 100%, $E$9)</f>
        <v>18.248100000000001</v>
      </c>
      <c r="F941" s="81">
        <f>18.2481 * CHOOSE(CONTROL!$C$32, $C$9, 100%, $E$9)</f>
        <v>18.248100000000001</v>
      </c>
      <c r="G941" s="81">
        <f>18.1215 * CHOOSE(CONTROL!$C$32, $C$9, 100%, $E$9)</f>
        <v>18.121500000000001</v>
      </c>
      <c r="H941" s="81">
        <f>33.2938 * CHOOSE(CONTROL!$C$32, $C$9, 100%, $E$9)</f>
        <v>33.293799999999997</v>
      </c>
      <c r="I941" s="81">
        <f>33.1672 * CHOOSE(CONTROL!$C$32, $C$9, 100%, $E$9)</f>
        <v>33.167200000000001</v>
      </c>
      <c r="J941" s="81">
        <f>33.2938 * CHOOSE(CONTROL!$C$32, $C$9, 100%, $E$9)</f>
        <v>33.293799999999997</v>
      </c>
      <c r="K941" s="81">
        <f>33.1672 * CHOOSE(CONTROL!$C$32, $C$9, 100%, $E$9)</f>
        <v>33.167200000000001</v>
      </c>
      <c r="L941" s="81">
        <f>18.2481 * CHOOSE(CONTROL!$C$32, $C$9, 100%, $E$9)</f>
        <v>18.248100000000001</v>
      </c>
      <c r="M941" s="81">
        <f>18.1215 * CHOOSE(CONTROL!$C$32, $C$9, 100%, $E$9)</f>
        <v>18.121500000000001</v>
      </c>
      <c r="N941" s="81">
        <f>18.2481 * CHOOSE(CONTROL!$C$32, $C$9, 100%, $E$9)</f>
        <v>18.248100000000001</v>
      </c>
      <c r="O941" s="81">
        <f>18.1215 * CHOOSE(CONTROL!$C$32, $C$9, 100%, $E$9)</f>
        <v>18.121500000000001</v>
      </c>
    </row>
    <row r="942" spans="1:15" ht="15">
      <c r="A942" s="16">
        <v>69884</v>
      </c>
      <c r="B942" s="80">
        <f>15.9649 * CHOOSE(CONTROL!$C$32, $C$9, 100%, $E$9)</f>
        <v>15.9649</v>
      </c>
      <c r="C942" s="80">
        <f>15.9649 * CHOOSE(CONTROL!$C$32, $C$9, 100%, $E$9)</f>
        <v>15.9649</v>
      </c>
      <c r="D942" s="80">
        <f>15.8151 * CHOOSE(CONTROL!$C$32, $C$9, 100%, $E$9)</f>
        <v>15.815099999999999</v>
      </c>
      <c r="E942" s="81">
        <f>18.351 * CHOOSE(CONTROL!$C$32, $C$9, 100%, $E$9)</f>
        <v>18.350999999999999</v>
      </c>
      <c r="F942" s="81">
        <f>18.351 * CHOOSE(CONTROL!$C$32, $C$9, 100%, $E$9)</f>
        <v>18.350999999999999</v>
      </c>
      <c r="G942" s="81">
        <f>18.1678 * CHOOSE(CONTROL!$C$32, $C$9, 100%, $E$9)</f>
        <v>18.1678</v>
      </c>
      <c r="H942" s="81">
        <f>33.3631 * CHOOSE(CONTROL!$C$32, $C$9, 100%, $E$9)</f>
        <v>33.363100000000003</v>
      </c>
      <c r="I942" s="81">
        <f>33.18 * CHOOSE(CONTROL!$C$32, $C$9, 100%, $E$9)</f>
        <v>33.18</v>
      </c>
      <c r="J942" s="81">
        <f>33.3631 * CHOOSE(CONTROL!$C$32, $C$9, 100%, $E$9)</f>
        <v>33.363100000000003</v>
      </c>
      <c r="K942" s="81">
        <f>33.18 * CHOOSE(CONTROL!$C$32, $C$9, 100%, $E$9)</f>
        <v>33.18</v>
      </c>
      <c r="L942" s="81">
        <f>18.351 * CHOOSE(CONTROL!$C$32, $C$9, 100%, $E$9)</f>
        <v>18.350999999999999</v>
      </c>
      <c r="M942" s="81">
        <f>18.1678 * CHOOSE(CONTROL!$C$32, $C$9, 100%, $E$9)</f>
        <v>18.1678</v>
      </c>
      <c r="N942" s="81">
        <f>18.351 * CHOOSE(CONTROL!$C$32, $C$9, 100%, $E$9)</f>
        <v>18.350999999999999</v>
      </c>
      <c r="O942" s="81">
        <f>18.1678 * CHOOSE(CONTROL!$C$32, $C$9, 100%, $E$9)</f>
        <v>18.1678</v>
      </c>
    </row>
    <row r="943" spans="1:15" ht="15">
      <c r="A943" s="16">
        <v>69915</v>
      </c>
      <c r="B943" s="80">
        <f>15.971 * CHOOSE(CONTROL!$C$32, $C$9, 100%, $E$9)</f>
        <v>15.971</v>
      </c>
      <c r="C943" s="80">
        <f>15.971 * CHOOSE(CONTROL!$C$32, $C$9, 100%, $E$9)</f>
        <v>15.971</v>
      </c>
      <c r="D943" s="80">
        <f>15.8212 * CHOOSE(CONTROL!$C$32, $C$9, 100%, $E$9)</f>
        <v>15.821199999999999</v>
      </c>
      <c r="E943" s="81">
        <f>18.2523 * CHOOSE(CONTROL!$C$32, $C$9, 100%, $E$9)</f>
        <v>18.252300000000002</v>
      </c>
      <c r="F943" s="81">
        <f>18.2523 * CHOOSE(CONTROL!$C$32, $C$9, 100%, $E$9)</f>
        <v>18.252300000000002</v>
      </c>
      <c r="G943" s="81">
        <f>18.0692 * CHOOSE(CONTROL!$C$32, $C$9, 100%, $E$9)</f>
        <v>18.069199999999999</v>
      </c>
      <c r="H943" s="81">
        <f>33.4326 * CHOOSE(CONTROL!$C$32, $C$9, 100%, $E$9)</f>
        <v>33.432600000000001</v>
      </c>
      <c r="I943" s="81">
        <f>33.2495 * CHOOSE(CONTROL!$C$32, $C$9, 100%, $E$9)</f>
        <v>33.249499999999998</v>
      </c>
      <c r="J943" s="81">
        <f>33.4326 * CHOOSE(CONTROL!$C$32, $C$9, 100%, $E$9)</f>
        <v>33.432600000000001</v>
      </c>
      <c r="K943" s="81">
        <f>33.2495 * CHOOSE(CONTROL!$C$32, $C$9, 100%, $E$9)</f>
        <v>33.249499999999998</v>
      </c>
      <c r="L943" s="81">
        <f>18.2523 * CHOOSE(CONTROL!$C$32, $C$9, 100%, $E$9)</f>
        <v>18.252300000000002</v>
      </c>
      <c r="M943" s="81">
        <f>18.0692 * CHOOSE(CONTROL!$C$32, $C$9, 100%, $E$9)</f>
        <v>18.069199999999999</v>
      </c>
      <c r="N943" s="81">
        <f>18.2523 * CHOOSE(CONTROL!$C$32, $C$9, 100%, $E$9)</f>
        <v>18.252300000000002</v>
      </c>
      <c r="O943" s="81">
        <f>18.0692 * CHOOSE(CONTROL!$C$32, $C$9, 100%, $E$9)</f>
        <v>18.069199999999999</v>
      </c>
    </row>
    <row r="944" spans="1:15" ht="15">
      <c r="A944" s="16">
        <v>69945</v>
      </c>
      <c r="B944" s="80">
        <f>16.2119 * CHOOSE(CONTROL!$C$32, $C$9, 100%, $E$9)</f>
        <v>16.2119</v>
      </c>
      <c r="C944" s="80">
        <f>16.2119 * CHOOSE(CONTROL!$C$32, $C$9, 100%, $E$9)</f>
        <v>16.2119</v>
      </c>
      <c r="D944" s="80">
        <f>16.0621 * CHOOSE(CONTROL!$C$32, $C$9, 100%, $E$9)</f>
        <v>16.062100000000001</v>
      </c>
      <c r="E944" s="81">
        <f>18.5411 * CHOOSE(CONTROL!$C$32, $C$9, 100%, $E$9)</f>
        <v>18.5411</v>
      </c>
      <c r="F944" s="81">
        <f>18.5411 * CHOOSE(CONTROL!$C$32, $C$9, 100%, $E$9)</f>
        <v>18.5411</v>
      </c>
      <c r="G944" s="81">
        <f>18.3579 * CHOOSE(CONTROL!$C$32, $C$9, 100%, $E$9)</f>
        <v>18.357900000000001</v>
      </c>
      <c r="H944" s="81">
        <f>33.5023 * CHOOSE(CONTROL!$C$32, $C$9, 100%, $E$9)</f>
        <v>33.502299999999998</v>
      </c>
      <c r="I944" s="81">
        <f>33.3192 * CHOOSE(CONTROL!$C$32, $C$9, 100%, $E$9)</f>
        <v>33.319200000000002</v>
      </c>
      <c r="J944" s="81">
        <f>33.5023 * CHOOSE(CONTROL!$C$32, $C$9, 100%, $E$9)</f>
        <v>33.502299999999998</v>
      </c>
      <c r="K944" s="81">
        <f>33.3192 * CHOOSE(CONTROL!$C$32, $C$9, 100%, $E$9)</f>
        <v>33.319200000000002</v>
      </c>
      <c r="L944" s="81">
        <f>18.5411 * CHOOSE(CONTROL!$C$32, $C$9, 100%, $E$9)</f>
        <v>18.5411</v>
      </c>
      <c r="M944" s="81">
        <f>18.3579 * CHOOSE(CONTROL!$C$32, $C$9, 100%, $E$9)</f>
        <v>18.357900000000001</v>
      </c>
      <c r="N944" s="81">
        <f>18.5411 * CHOOSE(CONTROL!$C$32, $C$9, 100%, $E$9)</f>
        <v>18.5411</v>
      </c>
      <c r="O944" s="81">
        <f>18.3579 * CHOOSE(CONTROL!$C$32, $C$9, 100%, $E$9)</f>
        <v>18.357900000000001</v>
      </c>
    </row>
    <row r="945" spans="1:15" ht="15">
      <c r="A945" s="16">
        <v>69976</v>
      </c>
      <c r="B945" s="80">
        <f>16.2185 * CHOOSE(CONTROL!$C$32, $C$9, 100%, $E$9)</f>
        <v>16.218499999999999</v>
      </c>
      <c r="C945" s="80">
        <f>16.2185 * CHOOSE(CONTROL!$C$32, $C$9, 100%, $E$9)</f>
        <v>16.218499999999999</v>
      </c>
      <c r="D945" s="80">
        <f>16.0688 * CHOOSE(CONTROL!$C$32, $C$9, 100%, $E$9)</f>
        <v>16.0688</v>
      </c>
      <c r="E945" s="81">
        <f>18.237 * CHOOSE(CONTROL!$C$32, $C$9, 100%, $E$9)</f>
        <v>18.236999999999998</v>
      </c>
      <c r="F945" s="81">
        <f>18.237 * CHOOSE(CONTROL!$C$32, $C$9, 100%, $E$9)</f>
        <v>18.236999999999998</v>
      </c>
      <c r="G945" s="81">
        <f>18.0539 * CHOOSE(CONTROL!$C$32, $C$9, 100%, $E$9)</f>
        <v>18.053899999999999</v>
      </c>
      <c r="H945" s="81">
        <f>33.5721 * CHOOSE(CONTROL!$C$32, $C$9, 100%, $E$9)</f>
        <v>33.572099999999999</v>
      </c>
      <c r="I945" s="81">
        <f>33.389 * CHOOSE(CONTROL!$C$32, $C$9, 100%, $E$9)</f>
        <v>33.389000000000003</v>
      </c>
      <c r="J945" s="81">
        <f>33.5721 * CHOOSE(CONTROL!$C$32, $C$9, 100%, $E$9)</f>
        <v>33.572099999999999</v>
      </c>
      <c r="K945" s="81">
        <f>33.389 * CHOOSE(CONTROL!$C$32, $C$9, 100%, $E$9)</f>
        <v>33.389000000000003</v>
      </c>
      <c r="L945" s="81">
        <f>18.237 * CHOOSE(CONTROL!$C$32, $C$9, 100%, $E$9)</f>
        <v>18.236999999999998</v>
      </c>
      <c r="M945" s="81">
        <f>18.0539 * CHOOSE(CONTROL!$C$32, $C$9, 100%, $E$9)</f>
        <v>18.053899999999999</v>
      </c>
      <c r="N945" s="81">
        <f>18.237 * CHOOSE(CONTROL!$C$32, $C$9, 100%, $E$9)</f>
        <v>18.236999999999998</v>
      </c>
      <c r="O945" s="81">
        <f>18.0539 * CHOOSE(CONTROL!$C$32, $C$9, 100%, $E$9)</f>
        <v>18.053899999999999</v>
      </c>
    </row>
    <row r="946" spans="1:15" ht="15">
      <c r="A946" s="16">
        <v>70007</v>
      </c>
      <c r="B946" s="80">
        <f>16.2155 * CHOOSE(CONTROL!$C$32, $C$9, 100%, $E$9)</f>
        <v>16.215499999999999</v>
      </c>
      <c r="C946" s="80">
        <f>16.2155 * CHOOSE(CONTROL!$C$32, $C$9, 100%, $E$9)</f>
        <v>16.215499999999999</v>
      </c>
      <c r="D946" s="80">
        <f>16.0658 * CHOOSE(CONTROL!$C$32, $C$9, 100%, $E$9)</f>
        <v>16.065799999999999</v>
      </c>
      <c r="E946" s="81">
        <f>18.2006 * CHOOSE(CONTROL!$C$32, $C$9, 100%, $E$9)</f>
        <v>18.200600000000001</v>
      </c>
      <c r="F946" s="81">
        <f>18.2006 * CHOOSE(CONTROL!$C$32, $C$9, 100%, $E$9)</f>
        <v>18.200600000000001</v>
      </c>
      <c r="G946" s="81">
        <f>18.0175 * CHOOSE(CONTROL!$C$32, $C$9, 100%, $E$9)</f>
        <v>18.017499999999998</v>
      </c>
      <c r="H946" s="81">
        <f>33.642 * CHOOSE(CONTROL!$C$32, $C$9, 100%, $E$9)</f>
        <v>33.642000000000003</v>
      </c>
      <c r="I946" s="81">
        <f>33.4589 * CHOOSE(CONTROL!$C$32, $C$9, 100%, $E$9)</f>
        <v>33.4589</v>
      </c>
      <c r="J946" s="81">
        <f>33.642 * CHOOSE(CONTROL!$C$32, $C$9, 100%, $E$9)</f>
        <v>33.642000000000003</v>
      </c>
      <c r="K946" s="81">
        <f>33.4589 * CHOOSE(CONTROL!$C$32, $C$9, 100%, $E$9)</f>
        <v>33.4589</v>
      </c>
      <c r="L946" s="81">
        <f>18.2006 * CHOOSE(CONTROL!$C$32, $C$9, 100%, $E$9)</f>
        <v>18.200600000000001</v>
      </c>
      <c r="M946" s="81">
        <f>18.0175 * CHOOSE(CONTROL!$C$32, $C$9, 100%, $E$9)</f>
        <v>18.017499999999998</v>
      </c>
      <c r="N946" s="81">
        <f>18.2006 * CHOOSE(CONTROL!$C$32, $C$9, 100%, $E$9)</f>
        <v>18.200600000000001</v>
      </c>
      <c r="O946" s="81">
        <f>18.0175 * CHOOSE(CONTROL!$C$32, $C$9, 100%, $E$9)</f>
        <v>18.017499999999998</v>
      </c>
    </row>
    <row r="947" spans="1:15" ht="15">
      <c r="A947" s="16">
        <v>70037</v>
      </c>
      <c r="B947" s="80">
        <f>16.2498 * CHOOSE(CONTROL!$C$32, $C$9, 100%, $E$9)</f>
        <v>16.2498</v>
      </c>
      <c r="C947" s="80">
        <f>16.2498 * CHOOSE(CONTROL!$C$32, $C$9, 100%, $E$9)</f>
        <v>16.2498</v>
      </c>
      <c r="D947" s="80">
        <f>16.1471 * CHOOSE(CONTROL!$C$32, $C$9, 100%, $E$9)</f>
        <v>16.147099999999998</v>
      </c>
      <c r="E947" s="81">
        <f>18.3244 * CHOOSE(CONTROL!$C$32, $C$9, 100%, $E$9)</f>
        <v>18.324400000000001</v>
      </c>
      <c r="F947" s="81">
        <f>18.3244 * CHOOSE(CONTROL!$C$32, $C$9, 100%, $E$9)</f>
        <v>18.324400000000001</v>
      </c>
      <c r="G947" s="81">
        <f>18.1978 * CHOOSE(CONTROL!$C$32, $C$9, 100%, $E$9)</f>
        <v>18.197800000000001</v>
      </c>
      <c r="H947" s="81">
        <f>33.7121 * CHOOSE(CONTROL!$C$32, $C$9, 100%, $E$9)</f>
        <v>33.7121</v>
      </c>
      <c r="I947" s="81">
        <f>33.5855 * CHOOSE(CONTROL!$C$32, $C$9, 100%, $E$9)</f>
        <v>33.585500000000003</v>
      </c>
      <c r="J947" s="81">
        <f>33.7121 * CHOOSE(CONTROL!$C$32, $C$9, 100%, $E$9)</f>
        <v>33.7121</v>
      </c>
      <c r="K947" s="81">
        <f>33.5855 * CHOOSE(CONTROL!$C$32, $C$9, 100%, $E$9)</f>
        <v>33.585500000000003</v>
      </c>
      <c r="L947" s="81">
        <f>18.3244 * CHOOSE(CONTROL!$C$32, $C$9, 100%, $E$9)</f>
        <v>18.324400000000001</v>
      </c>
      <c r="M947" s="81">
        <f>18.1978 * CHOOSE(CONTROL!$C$32, $C$9, 100%, $E$9)</f>
        <v>18.197800000000001</v>
      </c>
      <c r="N947" s="81">
        <f>18.3244 * CHOOSE(CONTROL!$C$32, $C$9, 100%, $E$9)</f>
        <v>18.324400000000001</v>
      </c>
      <c r="O947" s="81">
        <f>18.1978 * CHOOSE(CONTROL!$C$32, $C$9, 100%, $E$9)</f>
        <v>18.197800000000001</v>
      </c>
    </row>
    <row r="948" spans="1:15" ht="15">
      <c r="A948" s="16">
        <v>70068</v>
      </c>
      <c r="B948" s="80">
        <f>16.2529 * CHOOSE(CONTROL!$C$32, $C$9, 100%, $E$9)</f>
        <v>16.2529</v>
      </c>
      <c r="C948" s="80">
        <f>16.2529 * CHOOSE(CONTROL!$C$32, $C$9, 100%, $E$9)</f>
        <v>16.2529</v>
      </c>
      <c r="D948" s="80">
        <f>16.1501 * CHOOSE(CONTROL!$C$32, $C$9, 100%, $E$9)</f>
        <v>16.150099999999998</v>
      </c>
      <c r="E948" s="81">
        <f>18.3951 * CHOOSE(CONTROL!$C$32, $C$9, 100%, $E$9)</f>
        <v>18.395099999999999</v>
      </c>
      <c r="F948" s="81">
        <f>18.3951 * CHOOSE(CONTROL!$C$32, $C$9, 100%, $E$9)</f>
        <v>18.395099999999999</v>
      </c>
      <c r="G948" s="81">
        <f>18.2685 * CHOOSE(CONTROL!$C$32, $C$9, 100%, $E$9)</f>
        <v>18.2685</v>
      </c>
      <c r="H948" s="81">
        <f>33.7824 * CHOOSE(CONTROL!$C$32, $C$9, 100%, $E$9)</f>
        <v>33.782400000000003</v>
      </c>
      <c r="I948" s="81">
        <f>33.6558 * CHOOSE(CONTROL!$C$32, $C$9, 100%, $E$9)</f>
        <v>33.655799999999999</v>
      </c>
      <c r="J948" s="81">
        <f>33.7824 * CHOOSE(CONTROL!$C$32, $C$9, 100%, $E$9)</f>
        <v>33.782400000000003</v>
      </c>
      <c r="K948" s="81">
        <f>33.6558 * CHOOSE(CONTROL!$C$32, $C$9, 100%, $E$9)</f>
        <v>33.655799999999999</v>
      </c>
      <c r="L948" s="81">
        <f>18.3951 * CHOOSE(CONTROL!$C$32, $C$9, 100%, $E$9)</f>
        <v>18.395099999999999</v>
      </c>
      <c r="M948" s="81">
        <f>18.2685 * CHOOSE(CONTROL!$C$32, $C$9, 100%, $E$9)</f>
        <v>18.2685</v>
      </c>
      <c r="N948" s="81">
        <f>18.3951 * CHOOSE(CONTROL!$C$32, $C$9, 100%, $E$9)</f>
        <v>18.395099999999999</v>
      </c>
      <c r="O948" s="81">
        <f>18.2685 * CHOOSE(CONTROL!$C$32, $C$9, 100%, $E$9)</f>
        <v>18.2685</v>
      </c>
    </row>
    <row r="949" spans="1:15" ht="15">
      <c r="A949" s="16">
        <v>70098</v>
      </c>
      <c r="B949" s="80">
        <f>16.2529 * CHOOSE(CONTROL!$C$32, $C$9, 100%, $E$9)</f>
        <v>16.2529</v>
      </c>
      <c r="C949" s="80">
        <f>16.2529 * CHOOSE(CONTROL!$C$32, $C$9, 100%, $E$9)</f>
        <v>16.2529</v>
      </c>
      <c r="D949" s="80">
        <f>16.1501 * CHOOSE(CONTROL!$C$32, $C$9, 100%, $E$9)</f>
        <v>16.150099999999998</v>
      </c>
      <c r="E949" s="81">
        <f>18.2236 * CHOOSE(CONTROL!$C$32, $C$9, 100%, $E$9)</f>
        <v>18.223600000000001</v>
      </c>
      <c r="F949" s="81">
        <f>18.2236 * CHOOSE(CONTROL!$C$32, $C$9, 100%, $E$9)</f>
        <v>18.223600000000001</v>
      </c>
      <c r="G949" s="81">
        <f>18.097 * CHOOSE(CONTROL!$C$32, $C$9, 100%, $E$9)</f>
        <v>18.097000000000001</v>
      </c>
      <c r="H949" s="81">
        <f>33.8527 * CHOOSE(CONTROL!$C$32, $C$9, 100%, $E$9)</f>
        <v>33.852699999999999</v>
      </c>
      <c r="I949" s="81">
        <f>33.7262 * CHOOSE(CONTROL!$C$32, $C$9, 100%, $E$9)</f>
        <v>33.726199999999999</v>
      </c>
      <c r="J949" s="81">
        <f>33.8527 * CHOOSE(CONTROL!$C$32, $C$9, 100%, $E$9)</f>
        <v>33.852699999999999</v>
      </c>
      <c r="K949" s="81">
        <f>33.7262 * CHOOSE(CONTROL!$C$32, $C$9, 100%, $E$9)</f>
        <v>33.726199999999999</v>
      </c>
      <c r="L949" s="81">
        <f>18.2236 * CHOOSE(CONTROL!$C$32, $C$9, 100%, $E$9)</f>
        <v>18.223600000000001</v>
      </c>
      <c r="M949" s="81">
        <f>18.097 * CHOOSE(CONTROL!$C$32, $C$9, 100%, $E$9)</f>
        <v>18.097000000000001</v>
      </c>
      <c r="N949" s="81">
        <f>18.2236 * CHOOSE(CONTROL!$C$32, $C$9, 100%, $E$9)</f>
        <v>18.223600000000001</v>
      </c>
      <c r="O949" s="81">
        <f>18.097 * CHOOSE(CONTROL!$C$32, $C$9, 100%, $E$9)</f>
        <v>18.097000000000001</v>
      </c>
    </row>
    <row r="950" spans="1:15" ht="15">
      <c r="A950" s="16">
        <v>70129</v>
      </c>
      <c r="B950" s="80">
        <f>16.1989 * CHOOSE(CONTROL!$C$32, $C$9, 100%, $E$9)</f>
        <v>16.198899999999998</v>
      </c>
      <c r="C950" s="80">
        <f>16.1989 * CHOOSE(CONTROL!$C$32, $C$9, 100%, $E$9)</f>
        <v>16.198899999999998</v>
      </c>
      <c r="D950" s="80">
        <f>16.0926 * CHOOSE(CONTROL!$C$32, $C$9, 100%, $E$9)</f>
        <v>16.092600000000001</v>
      </c>
      <c r="E950" s="81">
        <f>18.3055 * CHOOSE(CONTROL!$C$32, $C$9, 100%, $E$9)</f>
        <v>18.305499999999999</v>
      </c>
      <c r="F950" s="81">
        <f>18.3055 * CHOOSE(CONTROL!$C$32, $C$9, 100%, $E$9)</f>
        <v>18.305499999999999</v>
      </c>
      <c r="G950" s="81">
        <f>18.1745 * CHOOSE(CONTROL!$C$32, $C$9, 100%, $E$9)</f>
        <v>18.174499999999998</v>
      </c>
      <c r="H950" s="81">
        <f>33.5623 * CHOOSE(CONTROL!$C$32, $C$9, 100%, $E$9)</f>
        <v>33.5623</v>
      </c>
      <c r="I950" s="81">
        <f>33.4314 * CHOOSE(CONTROL!$C$32, $C$9, 100%, $E$9)</f>
        <v>33.431399999999996</v>
      </c>
      <c r="J950" s="81">
        <f>33.5623 * CHOOSE(CONTROL!$C$32, $C$9, 100%, $E$9)</f>
        <v>33.5623</v>
      </c>
      <c r="K950" s="81">
        <f>33.4314 * CHOOSE(CONTROL!$C$32, $C$9, 100%, $E$9)</f>
        <v>33.431399999999996</v>
      </c>
      <c r="L950" s="81">
        <f>18.3055 * CHOOSE(CONTROL!$C$32, $C$9, 100%, $E$9)</f>
        <v>18.305499999999999</v>
      </c>
      <c r="M950" s="81">
        <f>18.1745 * CHOOSE(CONTROL!$C$32, $C$9, 100%, $E$9)</f>
        <v>18.174499999999998</v>
      </c>
      <c r="N950" s="81">
        <f>18.3055 * CHOOSE(CONTROL!$C$32, $C$9, 100%, $E$9)</f>
        <v>18.305499999999999</v>
      </c>
      <c r="O950" s="81">
        <f>18.1745 * CHOOSE(CONTROL!$C$32, $C$9, 100%, $E$9)</f>
        <v>18.174499999999998</v>
      </c>
    </row>
    <row r="951" spans="1:15" ht="15">
      <c r="A951" s="16">
        <v>70160</v>
      </c>
      <c r="B951" s="80">
        <f>16.1958 * CHOOSE(CONTROL!$C$32, $C$9, 100%, $E$9)</f>
        <v>16.195799999999998</v>
      </c>
      <c r="C951" s="80">
        <f>16.1958 * CHOOSE(CONTROL!$C$32, $C$9, 100%, $E$9)</f>
        <v>16.195799999999998</v>
      </c>
      <c r="D951" s="80">
        <f>16.0896 * CHOOSE(CONTROL!$C$32, $C$9, 100%, $E$9)</f>
        <v>16.089600000000001</v>
      </c>
      <c r="E951" s="81">
        <f>17.9743 * CHOOSE(CONTROL!$C$32, $C$9, 100%, $E$9)</f>
        <v>17.974299999999999</v>
      </c>
      <c r="F951" s="81">
        <f>17.9743 * CHOOSE(CONTROL!$C$32, $C$9, 100%, $E$9)</f>
        <v>17.974299999999999</v>
      </c>
      <c r="G951" s="81">
        <f>17.8434 * CHOOSE(CONTROL!$C$32, $C$9, 100%, $E$9)</f>
        <v>17.843399999999999</v>
      </c>
      <c r="H951" s="81">
        <f>33.6322 * CHOOSE(CONTROL!$C$32, $C$9, 100%, $E$9)</f>
        <v>33.632199999999997</v>
      </c>
      <c r="I951" s="81">
        <f>33.5013 * CHOOSE(CONTROL!$C$32, $C$9, 100%, $E$9)</f>
        <v>33.501300000000001</v>
      </c>
      <c r="J951" s="81">
        <f>33.6322 * CHOOSE(CONTROL!$C$32, $C$9, 100%, $E$9)</f>
        <v>33.632199999999997</v>
      </c>
      <c r="K951" s="81">
        <f>33.5013 * CHOOSE(CONTROL!$C$32, $C$9, 100%, $E$9)</f>
        <v>33.501300000000001</v>
      </c>
      <c r="L951" s="81">
        <f>17.9743 * CHOOSE(CONTROL!$C$32, $C$9, 100%, $E$9)</f>
        <v>17.974299999999999</v>
      </c>
      <c r="M951" s="81">
        <f>17.8434 * CHOOSE(CONTROL!$C$32, $C$9, 100%, $E$9)</f>
        <v>17.843399999999999</v>
      </c>
      <c r="N951" s="81">
        <f>17.9743 * CHOOSE(CONTROL!$C$32, $C$9, 100%, $E$9)</f>
        <v>17.974299999999999</v>
      </c>
      <c r="O951" s="81">
        <f>17.8434 * CHOOSE(CONTROL!$C$32, $C$9, 100%, $E$9)</f>
        <v>17.843399999999999</v>
      </c>
    </row>
    <row r="952" spans="1:15" ht="15">
      <c r="A952" s="16">
        <v>70189</v>
      </c>
      <c r="B952" s="80">
        <f>16.1928 * CHOOSE(CONTROL!$C$32, $C$9, 100%, $E$9)</f>
        <v>16.192799999999998</v>
      </c>
      <c r="C952" s="80">
        <f>16.1928 * CHOOSE(CONTROL!$C$32, $C$9, 100%, $E$9)</f>
        <v>16.192799999999998</v>
      </c>
      <c r="D952" s="80">
        <f>16.0865 * CHOOSE(CONTROL!$C$32, $C$9, 100%, $E$9)</f>
        <v>16.086500000000001</v>
      </c>
      <c r="E952" s="81">
        <f>18.2316 * CHOOSE(CONTROL!$C$32, $C$9, 100%, $E$9)</f>
        <v>18.2316</v>
      </c>
      <c r="F952" s="81">
        <f>18.2316 * CHOOSE(CONTROL!$C$32, $C$9, 100%, $E$9)</f>
        <v>18.2316</v>
      </c>
      <c r="G952" s="81">
        <f>18.1006 * CHOOSE(CONTROL!$C$32, $C$9, 100%, $E$9)</f>
        <v>18.1006</v>
      </c>
      <c r="H952" s="81">
        <f>33.7023 * CHOOSE(CONTROL!$C$32, $C$9, 100%, $E$9)</f>
        <v>33.702300000000001</v>
      </c>
      <c r="I952" s="81">
        <f>33.5714 * CHOOSE(CONTROL!$C$32, $C$9, 100%, $E$9)</f>
        <v>33.571399999999997</v>
      </c>
      <c r="J952" s="81">
        <f>33.7023 * CHOOSE(CONTROL!$C$32, $C$9, 100%, $E$9)</f>
        <v>33.702300000000001</v>
      </c>
      <c r="K952" s="81">
        <f>33.5714 * CHOOSE(CONTROL!$C$32, $C$9, 100%, $E$9)</f>
        <v>33.571399999999997</v>
      </c>
      <c r="L952" s="81">
        <f>18.2316 * CHOOSE(CONTROL!$C$32, $C$9, 100%, $E$9)</f>
        <v>18.2316</v>
      </c>
      <c r="M952" s="81">
        <f>18.1006 * CHOOSE(CONTROL!$C$32, $C$9, 100%, $E$9)</f>
        <v>18.1006</v>
      </c>
      <c r="N952" s="81">
        <f>18.2316 * CHOOSE(CONTROL!$C$32, $C$9, 100%, $E$9)</f>
        <v>18.2316</v>
      </c>
      <c r="O952" s="81">
        <f>18.1006 * CHOOSE(CONTROL!$C$32, $C$9, 100%, $E$9)</f>
        <v>18.1006</v>
      </c>
    </row>
    <row r="953" spans="1:15" ht="15">
      <c r="A953" s="16">
        <v>70220</v>
      </c>
      <c r="B953" s="80">
        <f>16.2006 * CHOOSE(CONTROL!$C$32, $C$9, 100%, $E$9)</f>
        <v>16.200600000000001</v>
      </c>
      <c r="C953" s="80">
        <f>16.2006 * CHOOSE(CONTROL!$C$32, $C$9, 100%, $E$9)</f>
        <v>16.200600000000001</v>
      </c>
      <c r="D953" s="80">
        <f>16.0944 * CHOOSE(CONTROL!$C$32, $C$9, 100%, $E$9)</f>
        <v>16.0944</v>
      </c>
      <c r="E953" s="81">
        <f>18.5059 * CHOOSE(CONTROL!$C$32, $C$9, 100%, $E$9)</f>
        <v>18.5059</v>
      </c>
      <c r="F953" s="81">
        <f>18.5059 * CHOOSE(CONTROL!$C$32, $C$9, 100%, $E$9)</f>
        <v>18.5059</v>
      </c>
      <c r="G953" s="81">
        <f>18.375 * CHOOSE(CONTROL!$C$32, $C$9, 100%, $E$9)</f>
        <v>18.375</v>
      </c>
      <c r="H953" s="81">
        <f>33.7725 * CHOOSE(CONTROL!$C$32, $C$9, 100%, $E$9)</f>
        <v>33.772500000000001</v>
      </c>
      <c r="I953" s="81">
        <f>33.6416 * CHOOSE(CONTROL!$C$32, $C$9, 100%, $E$9)</f>
        <v>33.641599999999997</v>
      </c>
      <c r="J953" s="81">
        <f>33.7725 * CHOOSE(CONTROL!$C$32, $C$9, 100%, $E$9)</f>
        <v>33.772500000000001</v>
      </c>
      <c r="K953" s="81">
        <f>33.6416 * CHOOSE(CONTROL!$C$32, $C$9, 100%, $E$9)</f>
        <v>33.641599999999997</v>
      </c>
      <c r="L953" s="81">
        <f>18.5059 * CHOOSE(CONTROL!$C$32, $C$9, 100%, $E$9)</f>
        <v>18.5059</v>
      </c>
      <c r="M953" s="81">
        <f>18.375 * CHOOSE(CONTROL!$C$32, $C$9, 100%, $E$9)</f>
        <v>18.375</v>
      </c>
      <c r="N953" s="81">
        <f>18.5059 * CHOOSE(CONTROL!$C$32, $C$9, 100%, $E$9)</f>
        <v>18.5059</v>
      </c>
      <c r="O953" s="81">
        <f>18.375 * CHOOSE(CONTROL!$C$32, $C$9, 100%, $E$9)</f>
        <v>18.375</v>
      </c>
    </row>
    <row r="954" spans="1:15" ht="15">
      <c r="A954" s="16">
        <v>70250</v>
      </c>
      <c r="B954" s="80">
        <f>16.2006 * CHOOSE(CONTROL!$C$32, $C$9, 100%, $E$9)</f>
        <v>16.200600000000001</v>
      </c>
      <c r="C954" s="80">
        <f>16.2006 * CHOOSE(CONTROL!$C$32, $C$9, 100%, $E$9)</f>
        <v>16.200600000000001</v>
      </c>
      <c r="D954" s="80">
        <f>16.0457 * CHOOSE(CONTROL!$C$32, $C$9, 100%, $E$9)</f>
        <v>16.0457</v>
      </c>
      <c r="E954" s="81">
        <f>18.6104 * CHOOSE(CONTROL!$C$32, $C$9, 100%, $E$9)</f>
        <v>18.610399999999998</v>
      </c>
      <c r="F954" s="81">
        <f>18.6104 * CHOOSE(CONTROL!$C$32, $C$9, 100%, $E$9)</f>
        <v>18.610399999999998</v>
      </c>
      <c r="G954" s="81">
        <f>18.421 * CHOOSE(CONTROL!$C$32, $C$9, 100%, $E$9)</f>
        <v>18.420999999999999</v>
      </c>
      <c r="H954" s="81">
        <f>33.8429 * CHOOSE(CONTROL!$C$32, $C$9, 100%, $E$9)</f>
        <v>33.8429</v>
      </c>
      <c r="I954" s="81">
        <f>33.6534 * CHOOSE(CONTROL!$C$32, $C$9, 100%, $E$9)</f>
        <v>33.653399999999998</v>
      </c>
      <c r="J954" s="81">
        <f>33.8429 * CHOOSE(CONTROL!$C$32, $C$9, 100%, $E$9)</f>
        <v>33.8429</v>
      </c>
      <c r="K954" s="81">
        <f>33.6534 * CHOOSE(CONTROL!$C$32, $C$9, 100%, $E$9)</f>
        <v>33.653399999999998</v>
      </c>
      <c r="L954" s="81">
        <f>18.6104 * CHOOSE(CONTROL!$C$32, $C$9, 100%, $E$9)</f>
        <v>18.610399999999998</v>
      </c>
      <c r="M954" s="81">
        <f>18.421 * CHOOSE(CONTROL!$C$32, $C$9, 100%, $E$9)</f>
        <v>18.420999999999999</v>
      </c>
      <c r="N954" s="81">
        <f>18.6104 * CHOOSE(CONTROL!$C$32, $C$9, 100%, $E$9)</f>
        <v>18.610399999999998</v>
      </c>
      <c r="O954" s="81">
        <f>18.421 * CHOOSE(CONTROL!$C$32, $C$9, 100%, $E$9)</f>
        <v>18.420999999999999</v>
      </c>
    </row>
    <row r="955" spans="1:15" ht="15">
      <c r="A955" s="16">
        <v>70281</v>
      </c>
      <c r="B955" s="80">
        <f>16.2067 * CHOOSE(CONTROL!$C$32, $C$9, 100%, $E$9)</f>
        <v>16.206700000000001</v>
      </c>
      <c r="C955" s="80">
        <f>16.2067 * CHOOSE(CONTROL!$C$32, $C$9, 100%, $E$9)</f>
        <v>16.206700000000001</v>
      </c>
      <c r="D955" s="80">
        <f>16.0518 * CHOOSE(CONTROL!$C$32, $C$9, 100%, $E$9)</f>
        <v>16.0518</v>
      </c>
      <c r="E955" s="81">
        <f>18.5102 * CHOOSE(CONTROL!$C$32, $C$9, 100%, $E$9)</f>
        <v>18.510200000000001</v>
      </c>
      <c r="F955" s="81">
        <f>18.5102 * CHOOSE(CONTROL!$C$32, $C$9, 100%, $E$9)</f>
        <v>18.510200000000001</v>
      </c>
      <c r="G955" s="81">
        <f>18.3207 * CHOOSE(CONTROL!$C$32, $C$9, 100%, $E$9)</f>
        <v>18.320699999999999</v>
      </c>
      <c r="H955" s="81">
        <f>33.9134 * CHOOSE(CONTROL!$C$32, $C$9, 100%, $E$9)</f>
        <v>33.913400000000003</v>
      </c>
      <c r="I955" s="81">
        <f>33.7239 * CHOOSE(CONTROL!$C$32, $C$9, 100%, $E$9)</f>
        <v>33.7239</v>
      </c>
      <c r="J955" s="81">
        <f>33.9134 * CHOOSE(CONTROL!$C$32, $C$9, 100%, $E$9)</f>
        <v>33.913400000000003</v>
      </c>
      <c r="K955" s="81">
        <f>33.7239 * CHOOSE(CONTROL!$C$32, $C$9, 100%, $E$9)</f>
        <v>33.7239</v>
      </c>
      <c r="L955" s="81">
        <f>18.5102 * CHOOSE(CONTROL!$C$32, $C$9, 100%, $E$9)</f>
        <v>18.510200000000001</v>
      </c>
      <c r="M955" s="81">
        <f>18.3207 * CHOOSE(CONTROL!$C$32, $C$9, 100%, $E$9)</f>
        <v>18.320699999999999</v>
      </c>
      <c r="N955" s="81">
        <f>18.5102 * CHOOSE(CONTROL!$C$32, $C$9, 100%, $E$9)</f>
        <v>18.510200000000001</v>
      </c>
      <c r="O955" s="81">
        <f>18.3207 * CHOOSE(CONTROL!$C$32, $C$9, 100%, $E$9)</f>
        <v>18.320699999999999</v>
      </c>
    </row>
    <row r="956" spans="1:15" ht="15">
      <c r="A956" s="16">
        <v>70311</v>
      </c>
      <c r="B956" s="80">
        <f>16.451 * CHOOSE(CONTROL!$C$32, $C$9, 100%, $E$9)</f>
        <v>16.451000000000001</v>
      </c>
      <c r="C956" s="80">
        <f>16.451 * CHOOSE(CONTROL!$C$32, $C$9, 100%, $E$9)</f>
        <v>16.451000000000001</v>
      </c>
      <c r="D956" s="80">
        <f>16.2961 * CHOOSE(CONTROL!$C$32, $C$9, 100%, $E$9)</f>
        <v>16.296099999999999</v>
      </c>
      <c r="E956" s="81">
        <f>18.8029 * CHOOSE(CONTROL!$C$32, $C$9, 100%, $E$9)</f>
        <v>18.802900000000001</v>
      </c>
      <c r="F956" s="81">
        <f>18.8029 * CHOOSE(CONTROL!$C$32, $C$9, 100%, $E$9)</f>
        <v>18.802900000000001</v>
      </c>
      <c r="G956" s="81">
        <f>18.6134 * CHOOSE(CONTROL!$C$32, $C$9, 100%, $E$9)</f>
        <v>18.613399999999999</v>
      </c>
      <c r="H956" s="81">
        <f>33.984 * CHOOSE(CONTROL!$C$32, $C$9, 100%, $E$9)</f>
        <v>33.984000000000002</v>
      </c>
      <c r="I956" s="81">
        <f>33.7946 * CHOOSE(CONTROL!$C$32, $C$9, 100%, $E$9)</f>
        <v>33.794600000000003</v>
      </c>
      <c r="J956" s="81">
        <f>33.984 * CHOOSE(CONTROL!$C$32, $C$9, 100%, $E$9)</f>
        <v>33.984000000000002</v>
      </c>
      <c r="K956" s="81">
        <f>33.7946 * CHOOSE(CONTROL!$C$32, $C$9, 100%, $E$9)</f>
        <v>33.794600000000003</v>
      </c>
      <c r="L956" s="81">
        <f>18.8029 * CHOOSE(CONTROL!$C$32, $C$9, 100%, $E$9)</f>
        <v>18.802900000000001</v>
      </c>
      <c r="M956" s="81">
        <f>18.6134 * CHOOSE(CONTROL!$C$32, $C$9, 100%, $E$9)</f>
        <v>18.613399999999999</v>
      </c>
      <c r="N956" s="81">
        <f>18.8029 * CHOOSE(CONTROL!$C$32, $C$9, 100%, $E$9)</f>
        <v>18.802900000000001</v>
      </c>
      <c r="O956" s="81">
        <f>18.6134 * CHOOSE(CONTROL!$C$32, $C$9, 100%, $E$9)</f>
        <v>18.613399999999999</v>
      </c>
    </row>
    <row r="957" spans="1:15" ht="15">
      <c r="A957" s="16">
        <v>70342</v>
      </c>
      <c r="B957" s="80">
        <f>16.4577 * CHOOSE(CONTROL!$C$32, $C$9, 100%, $E$9)</f>
        <v>16.457699999999999</v>
      </c>
      <c r="C957" s="80">
        <f>16.4577 * CHOOSE(CONTROL!$C$32, $C$9, 100%, $E$9)</f>
        <v>16.457699999999999</v>
      </c>
      <c r="D957" s="80">
        <f>16.3028 * CHOOSE(CONTROL!$C$32, $C$9, 100%, $E$9)</f>
        <v>16.302800000000001</v>
      </c>
      <c r="E957" s="81">
        <f>18.4941 * CHOOSE(CONTROL!$C$32, $C$9, 100%, $E$9)</f>
        <v>18.4941</v>
      </c>
      <c r="F957" s="81">
        <f>18.4941 * CHOOSE(CONTROL!$C$32, $C$9, 100%, $E$9)</f>
        <v>18.4941</v>
      </c>
      <c r="G957" s="81">
        <f>18.3047 * CHOOSE(CONTROL!$C$32, $C$9, 100%, $E$9)</f>
        <v>18.3047</v>
      </c>
      <c r="H957" s="81">
        <f>34.0548 * CHOOSE(CONTROL!$C$32, $C$9, 100%, $E$9)</f>
        <v>34.0548</v>
      </c>
      <c r="I957" s="81">
        <f>33.8654 * CHOOSE(CONTROL!$C$32, $C$9, 100%, $E$9)</f>
        <v>33.865400000000001</v>
      </c>
      <c r="J957" s="81">
        <f>34.0548 * CHOOSE(CONTROL!$C$32, $C$9, 100%, $E$9)</f>
        <v>34.0548</v>
      </c>
      <c r="K957" s="81">
        <f>33.8654 * CHOOSE(CONTROL!$C$32, $C$9, 100%, $E$9)</f>
        <v>33.865400000000001</v>
      </c>
      <c r="L957" s="81">
        <f>18.4941 * CHOOSE(CONTROL!$C$32, $C$9, 100%, $E$9)</f>
        <v>18.4941</v>
      </c>
      <c r="M957" s="81">
        <f>18.3047 * CHOOSE(CONTROL!$C$32, $C$9, 100%, $E$9)</f>
        <v>18.3047</v>
      </c>
      <c r="N957" s="81">
        <f>18.4941 * CHOOSE(CONTROL!$C$32, $C$9, 100%, $E$9)</f>
        <v>18.4941</v>
      </c>
      <c r="O957" s="81">
        <f>18.3047 * CHOOSE(CONTROL!$C$32, $C$9, 100%, $E$9)</f>
        <v>18.3047</v>
      </c>
    </row>
    <row r="958" spans="1:15" ht="15">
      <c r="A958" s="16">
        <v>70373</v>
      </c>
      <c r="B958" s="80">
        <f>16.4547 * CHOOSE(CONTROL!$C$32, $C$9, 100%, $E$9)</f>
        <v>16.454699999999999</v>
      </c>
      <c r="C958" s="80">
        <f>16.4547 * CHOOSE(CONTROL!$C$32, $C$9, 100%, $E$9)</f>
        <v>16.454699999999999</v>
      </c>
      <c r="D958" s="80">
        <f>16.2998 * CHOOSE(CONTROL!$C$32, $C$9, 100%, $E$9)</f>
        <v>16.299800000000001</v>
      </c>
      <c r="E958" s="81">
        <f>18.4572 * CHOOSE(CONTROL!$C$32, $C$9, 100%, $E$9)</f>
        <v>18.4572</v>
      </c>
      <c r="F958" s="81">
        <f>18.4572 * CHOOSE(CONTROL!$C$32, $C$9, 100%, $E$9)</f>
        <v>18.4572</v>
      </c>
      <c r="G958" s="81">
        <f>18.2677 * CHOOSE(CONTROL!$C$32, $C$9, 100%, $E$9)</f>
        <v>18.267700000000001</v>
      </c>
      <c r="H958" s="81">
        <f>34.1258 * CHOOSE(CONTROL!$C$32, $C$9, 100%, $E$9)</f>
        <v>34.125799999999998</v>
      </c>
      <c r="I958" s="81">
        <f>33.9363 * CHOOSE(CONTROL!$C$32, $C$9, 100%, $E$9)</f>
        <v>33.936300000000003</v>
      </c>
      <c r="J958" s="81">
        <f>34.1258 * CHOOSE(CONTROL!$C$32, $C$9, 100%, $E$9)</f>
        <v>34.125799999999998</v>
      </c>
      <c r="K958" s="81">
        <f>33.9363 * CHOOSE(CONTROL!$C$32, $C$9, 100%, $E$9)</f>
        <v>33.936300000000003</v>
      </c>
      <c r="L958" s="81">
        <f>18.4572 * CHOOSE(CONTROL!$C$32, $C$9, 100%, $E$9)</f>
        <v>18.4572</v>
      </c>
      <c r="M958" s="81">
        <f>18.2677 * CHOOSE(CONTROL!$C$32, $C$9, 100%, $E$9)</f>
        <v>18.267700000000001</v>
      </c>
      <c r="N958" s="81">
        <f>18.4572 * CHOOSE(CONTROL!$C$32, $C$9, 100%, $E$9)</f>
        <v>18.4572</v>
      </c>
      <c r="O958" s="81">
        <f>18.2677 * CHOOSE(CONTROL!$C$32, $C$9, 100%, $E$9)</f>
        <v>18.267700000000001</v>
      </c>
    </row>
    <row r="959" spans="1:15" ht="15">
      <c r="A959" s="16">
        <v>70403</v>
      </c>
      <c r="B959" s="80">
        <f>16.4898 * CHOOSE(CONTROL!$C$32, $C$9, 100%, $E$9)</f>
        <v>16.489799999999999</v>
      </c>
      <c r="C959" s="80">
        <f>16.4898 * CHOOSE(CONTROL!$C$32, $C$9, 100%, $E$9)</f>
        <v>16.489799999999999</v>
      </c>
      <c r="D959" s="80">
        <f>16.3835 * CHOOSE(CONTROL!$C$32, $C$9, 100%, $E$9)</f>
        <v>16.383500000000002</v>
      </c>
      <c r="E959" s="81">
        <f>18.583 * CHOOSE(CONTROL!$C$32, $C$9, 100%, $E$9)</f>
        <v>18.582999999999998</v>
      </c>
      <c r="F959" s="81">
        <f>18.583 * CHOOSE(CONTROL!$C$32, $C$9, 100%, $E$9)</f>
        <v>18.582999999999998</v>
      </c>
      <c r="G959" s="81">
        <f>18.4521 * CHOOSE(CONTROL!$C$32, $C$9, 100%, $E$9)</f>
        <v>18.452100000000002</v>
      </c>
      <c r="H959" s="81">
        <f>34.1969 * CHOOSE(CONTROL!$C$32, $C$9, 100%, $E$9)</f>
        <v>34.196899999999999</v>
      </c>
      <c r="I959" s="81">
        <f>34.0659 * CHOOSE(CONTROL!$C$32, $C$9, 100%, $E$9)</f>
        <v>34.065899999999999</v>
      </c>
      <c r="J959" s="81">
        <f>34.1969 * CHOOSE(CONTROL!$C$32, $C$9, 100%, $E$9)</f>
        <v>34.196899999999999</v>
      </c>
      <c r="K959" s="81">
        <f>34.0659 * CHOOSE(CONTROL!$C$32, $C$9, 100%, $E$9)</f>
        <v>34.065899999999999</v>
      </c>
      <c r="L959" s="81">
        <f>18.583 * CHOOSE(CONTROL!$C$32, $C$9, 100%, $E$9)</f>
        <v>18.582999999999998</v>
      </c>
      <c r="M959" s="81">
        <f>18.4521 * CHOOSE(CONTROL!$C$32, $C$9, 100%, $E$9)</f>
        <v>18.452100000000002</v>
      </c>
      <c r="N959" s="81">
        <f>18.583 * CHOOSE(CONTROL!$C$32, $C$9, 100%, $E$9)</f>
        <v>18.582999999999998</v>
      </c>
      <c r="O959" s="81">
        <f>18.4521 * CHOOSE(CONTROL!$C$32, $C$9, 100%, $E$9)</f>
        <v>18.452100000000002</v>
      </c>
    </row>
    <row r="960" spans="1:15" ht="15">
      <c r="A960" s="16">
        <v>70434</v>
      </c>
      <c r="B960" s="80">
        <f>16.4928 * CHOOSE(CONTROL!$C$32, $C$9, 100%, $E$9)</f>
        <v>16.492799999999999</v>
      </c>
      <c r="C960" s="80">
        <f>16.4928 * CHOOSE(CONTROL!$C$32, $C$9, 100%, $E$9)</f>
        <v>16.492799999999999</v>
      </c>
      <c r="D960" s="80">
        <f>16.3865 * CHOOSE(CONTROL!$C$32, $C$9, 100%, $E$9)</f>
        <v>16.386500000000002</v>
      </c>
      <c r="E960" s="81">
        <f>18.6548 * CHOOSE(CONTROL!$C$32, $C$9, 100%, $E$9)</f>
        <v>18.654800000000002</v>
      </c>
      <c r="F960" s="81">
        <f>18.6548 * CHOOSE(CONTROL!$C$32, $C$9, 100%, $E$9)</f>
        <v>18.654800000000002</v>
      </c>
      <c r="G960" s="81">
        <f>18.5239 * CHOOSE(CONTROL!$C$32, $C$9, 100%, $E$9)</f>
        <v>18.523900000000001</v>
      </c>
      <c r="H960" s="81">
        <f>34.2681 * CHOOSE(CONTROL!$C$32, $C$9, 100%, $E$9)</f>
        <v>34.268099999999997</v>
      </c>
      <c r="I960" s="81">
        <f>34.1372 * CHOOSE(CONTROL!$C$32, $C$9, 100%, $E$9)</f>
        <v>34.1372</v>
      </c>
      <c r="J960" s="81">
        <f>34.2681 * CHOOSE(CONTROL!$C$32, $C$9, 100%, $E$9)</f>
        <v>34.268099999999997</v>
      </c>
      <c r="K960" s="81">
        <f>34.1372 * CHOOSE(CONTROL!$C$32, $C$9, 100%, $E$9)</f>
        <v>34.1372</v>
      </c>
      <c r="L960" s="81">
        <f>18.6548 * CHOOSE(CONTROL!$C$32, $C$9, 100%, $E$9)</f>
        <v>18.654800000000002</v>
      </c>
      <c r="M960" s="81">
        <f>18.5239 * CHOOSE(CONTROL!$C$32, $C$9, 100%, $E$9)</f>
        <v>18.523900000000001</v>
      </c>
      <c r="N960" s="81">
        <f>18.6548 * CHOOSE(CONTROL!$C$32, $C$9, 100%, $E$9)</f>
        <v>18.654800000000002</v>
      </c>
      <c r="O960" s="81">
        <f>18.5239 * CHOOSE(CONTROL!$C$32, $C$9, 100%, $E$9)</f>
        <v>18.523900000000001</v>
      </c>
    </row>
    <row r="961" spans="1:15" ht="15">
      <c r="A961" s="16">
        <v>70464</v>
      </c>
      <c r="B961" s="80">
        <f>16.4928 * CHOOSE(CONTROL!$C$32, $C$9, 100%, $E$9)</f>
        <v>16.492799999999999</v>
      </c>
      <c r="C961" s="80">
        <f>16.4928 * CHOOSE(CONTROL!$C$32, $C$9, 100%, $E$9)</f>
        <v>16.492799999999999</v>
      </c>
      <c r="D961" s="80">
        <f>16.3865 * CHOOSE(CONTROL!$C$32, $C$9, 100%, $E$9)</f>
        <v>16.386500000000002</v>
      </c>
      <c r="E961" s="81">
        <f>18.4807 * CHOOSE(CONTROL!$C$32, $C$9, 100%, $E$9)</f>
        <v>18.480699999999999</v>
      </c>
      <c r="F961" s="81">
        <f>18.4807 * CHOOSE(CONTROL!$C$32, $C$9, 100%, $E$9)</f>
        <v>18.480699999999999</v>
      </c>
      <c r="G961" s="81">
        <f>18.3497 * CHOOSE(CONTROL!$C$32, $C$9, 100%, $E$9)</f>
        <v>18.349699999999999</v>
      </c>
      <c r="H961" s="81">
        <f>34.3395 * CHOOSE(CONTROL!$C$32, $C$9, 100%, $E$9)</f>
        <v>34.339500000000001</v>
      </c>
      <c r="I961" s="81">
        <f>34.2086 * CHOOSE(CONTROL!$C$32, $C$9, 100%, $E$9)</f>
        <v>34.208599999999997</v>
      </c>
      <c r="J961" s="81">
        <f>34.3395 * CHOOSE(CONTROL!$C$32, $C$9, 100%, $E$9)</f>
        <v>34.339500000000001</v>
      </c>
      <c r="K961" s="81">
        <f>34.2086 * CHOOSE(CONTROL!$C$32, $C$9, 100%, $E$9)</f>
        <v>34.208599999999997</v>
      </c>
      <c r="L961" s="81">
        <f>18.4807 * CHOOSE(CONTROL!$C$32, $C$9, 100%, $E$9)</f>
        <v>18.480699999999999</v>
      </c>
      <c r="M961" s="81">
        <f>18.3497 * CHOOSE(CONTROL!$C$32, $C$9, 100%, $E$9)</f>
        <v>18.349699999999999</v>
      </c>
      <c r="N961" s="81">
        <f>18.4807 * CHOOSE(CONTROL!$C$32, $C$9, 100%, $E$9)</f>
        <v>18.480699999999999</v>
      </c>
      <c r="O961" s="81">
        <f>18.3497 * CHOOSE(CONTROL!$C$32, $C$9, 100%, $E$9)</f>
        <v>18.349699999999999</v>
      </c>
    </row>
    <row r="962" spans="1:15" ht="15">
      <c r="A962" s="16">
        <v>70495</v>
      </c>
      <c r="B962" s="80">
        <f>16.4344 * CHOOSE(CONTROL!$C$32, $C$9, 100%, $E$9)</f>
        <v>16.4344</v>
      </c>
      <c r="C962" s="80">
        <f>16.4344 * CHOOSE(CONTROL!$C$32, $C$9, 100%, $E$9)</f>
        <v>16.4344</v>
      </c>
      <c r="D962" s="80">
        <f>16.3246 * CHOOSE(CONTROL!$C$32, $C$9, 100%, $E$9)</f>
        <v>16.3246</v>
      </c>
      <c r="E962" s="81">
        <f>18.5602 * CHOOSE(CONTROL!$C$32, $C$9, 100%, $E$9)</f>
        <v>18.560199999999998</v>
      </c>
      <c r="F962" s="81">
        <f>18.5602 * CHOOSE(CONTROL!$C$32, $C$9, 100%, $E$9)</f>
        <v>18.560199999999998</v>
      </c>
      <c r="G962" s="81">
        <f>18.4249 * CHOOSE(CONTROL!$C$32, $C$9, 100%, $E$9)</f>
        <v>18.424900000000001</v>
      </c>
      <c r="H962" s="81">
        <f>34.0381 * CHOOSE(CONTROL!$C$32, $C$9, 100%, $E$9)</f>
        <v>34.0381</v>
      </c>
      <c r="I962" s="81">
        <f>33.9028 * CHOOSE(CONTROL!$C$32, $C$9, 100%, $E$9)</f>
        <v>33.902799999999999</v>
      </c>
      <c r="J962" s="81">
        <f>34.0381 * CHOOSE(CONTROL!$C$32, $C$9, 100%, $E$9)</f>
        <v>34.0381</v>
      </c>
      <c r="K962" s="81">
        <f>33.9028 * CHOOSE(CONTROL!$C$32, $C$9, 100%, $E$9)</f>
        <v>33.902799999999999</v>
      </c>
      <c r="L962" s="81">
        <f>18.5602 * CHOOSE(CONTROL!$C$32, $C$9, 100%, $E$9)</f>
        <v>18.560199999999998</v>
      </c>
      <c r="M962" s="81">
        <f>18.4249 * CHOOSE(CONTROL!$C$32, $C$9, 100%, $E$9)</f>
        <v>18.424900000000001</v>
      </c>
      <c r="N962" s="81">
        <f>18.5602 * CHOOSE(CONTROL!$C$32, $C$9, 100%, $E$9)</f>
        <v>18.560199999999998</v>
      </c>
      <c r="O962" s="81">
        <f>18.4249 * CHOOSE(CONTROL!$C$32, $C$9, 100%, $E$9)</f>
        <v>18.424900000000001</v>
      </c>
    </row>
    <row r="963" spans="1:15" ht="15">
      <c r="A963" s="16">
        <v>70526</v>
      </c>
      <c r="B963" s="80">
        <f>16.4314 * CHOOSE(CONTROL!$C$32, $C$9, 100%, $E$9)</f>
        <v>16.4314</v>
      </c>
      <c r="C963" s="80">
        <f>16.4314 * CHOOSE(CONTROL!$C$32, $C$9, 100%, $E$9)</f>
        <v>16.4314</v>
      </c>
      <c r="D963" s="80">
        <f>16.3216 * CHOOSE(CONTROL!$C$32, $C$9, 100%, $E$9)</f>
        <v>16.3216</v>
      </c>
      <c r="E963" s="81">
        <f>18.2241 * CHOOSE(CONTROL!$C$32, $C$9, 100%, $E$9)</f>
        <v>18.2241</v>
      </c>
      <c r="F963" s="81">
        <f>18.2241 * CHOOSE(CONTROL!$C$32, $C$9, 100%, $E$9)</f>
        <v>18.2241</v>
      </c>
      <c r="G963" s="81">
        <f>18.0888 * CHOOSE(CONTROL!$C$32, $C$9, 100%, $E$9)</f>
        <v>18.088799999999999</v>
      </c>
      <c r="H963" s="81">
        <f>34.109 * CHOOSE(CONTROL!$C$32, $C$9, 100%, $E$9)</f>
        <v>34.109000000000002</v>
      </c>
      <c r="I963" s="81">
        <f>33.9737 * CHOOSE(CONTROL!$C$32, $C$9, 100%, $E$9)</f>
        <v>33.973700000000001</v>
      </c>
      <c r="J963" s="81">
        <f>34.109 * CHOOSE(CONTROL!$C$32, $C$9, 100%, $E$9)</f>
        <v>34.109000000000002</v>
      </c>
      <c r="K963" s="81">
        <f>33.9737 * CHOOSE(CONTROL!$C$32, $C$9, 100%, $E$9)</f>
        <v>33.973700000000001</v>
      </c>
      <c r="L963" s="81">
        <f>18.2241 * CHOOSE(CONTROL!$C$32, $C$9, 100%, $E$9)</f>
        <v>18.2241</v>
      </c>
      <c r="M963" s="81">
        <f>18.0888 * CHOOSE(CONTROL!$C$32, $C$9, 100%, $E$9)</f>
        <v>18.088799999999999</v>
      </c>
      <c r="N963" s="81">
        <f>18.2241 * CHOOSE(CONTROL!$C$32, $C$9, 100%, $E$9)</f>
        <v>18.2241</v>
      </c>
      <c r="O963" s="81">
        <f>18.0888 * CHOOSE(CONTROL!$C$32, $C$9, 100%, $E$9)</f>
        <v>18.088799999999999</v>
      </c>
    </row>
    <row r="964" spans="1:15" ht="15">
      <c r="A964" s="16">
        <v>70554</v>
      </c>
      <c r="B964" s="80">
        <f>16.4284 * CHOOSE(CONTROL!$C$32, $C$9, 100%, $E$9)</f>
        <v>16.4284</v>
      </c>
      <c r="C964" s="80">
        <f>16.4284 * CHOOSE(CONTROL!$C$32, $C$9, 100%, $E$9)</f>
        <v>16.4284</v>
      </c>
      <c r="D964" s="80">
        <f>16.3186 * CHOOSE(CONTROL!$C$32, $C$9, 100%, $E$9)</f>
        <v>16.3186</v>
      </c>
      <c r="E964" s="81">
        <f>18.4853 * CHOOSE(CONTROL!$C$32, $C$9, 100%, $E$9)</f>
        <v>18.485299999999999</v>
      </c>
      <c r="F964" s="81">
        <f>18.4853 * CHOOSE(CONTROL!$C$32, $C$9, 100%, $E$9)</f>
        <v>18.485299999999999</v>
      </c>
      <c r="G964" s="81">
        <f>18.35 * CHOOSE(CONTROL!$C$32, $C$9, 100%, $E$9)</f>
        <v>18.350000000000001</v>
      </c>
      <c r="H964" s="81">
        <f>34.1801 * CHOOSE(CONTROL!$C$32, $C$9, 100%, $E$9)</f>
        <v>34.180100000000003</v>
      </c>
      <c r="I964" s="81">
        <f>34.0447 * CHOOSE(CONTROL!$C$32, $C$9, 100%, $E$9)</f>
        <v>34.044699999999999</v>
      </c>
      <c r="J964" s="81">
        <f>34.1801 * CHOOSE(CONTROL!$C$32, $C$9, 100%, $E$9)</f>
        <v>34.180100000000003</v>
      </c>
      <c r="K964" s="81">
        <f>34.0447 * CHOOSE(CONTROL!$C$32, $C$9, 100%, $E$9)</f>
        <v>34.044699999999999</v>
      </c>
      <c r="L964" s="81">
        <f>18.4853 * CHOOSE(CONTROL!$C$32, $C$9, 100%, $E$9)</f>
        <v>18.485299999999999</v>
      </c>
      <c r="M964" s="81">
        <f>18.35 * CHOOSE(CONTROL!$C$32, $C$9, 100%, $E$9)</f>
        <v>18.350000000000001</v>
      </c>
      <c r="N964" s="81">
        <f>18.4853 * CHOOSE(CONTROL!$C$32, $C$9, 100%, $E$9)</f>
        <v>18.485299999999999</v>
      </c>
      <c r="O964" s="81">
        <f>18.35 * CHOOSE(CONTROL!$C$32, $C$9, 100%, $E$9)</f>
        <v>18.350000000000001</v>
      </c>
    </row>
    <row r="965" spans="1:15" ht="15">
      <c r="A965" s="16">
        <v>70585</v>
      </c>
      <c r="B965" s="80">
        <f>16.4364 * CHOOSE(CONTROL!$C$32, $C$9, 100%, $E$9)</f>
        <v>16.436399999999999</v>
      </c>
      <c r="C965" s="80">
        <f>16.4364 * CHOOSE(CONTROL!$C$32, $C$9, 100%, $E$9)</f>
        <v>16.436399999999999</v>
      </c>
      <c r="D965" s="80">
        <f>16.3266 * CHOOSE(CONTROL!$C$32, $C$9, 100%, $E$9)</f>
        <v>16.326599999999999</v>
      </c>
      <c r="E965" s="81">
        <f>18.7638 * CHOOSE(CONTROL!$C$32, $C$9, 100%, $E$9)</f>
        <v>18.7638</v>
      </c>
      <c r="F965" s="81">
        <f>18.7638 * CHOOSE(CONTROL!$C$32, $C$9, 100%, $E$9)</f>
        <v>18.7638</v>
      </c>
      <c r="G965" s="81">
        <f>18.6285 * CHOOSE(CONTROL!$C$32, $C$9, 100%, $E$9)</f>
        <v>18.628499999999999</v>
      </c>
      <c r="H965" s="81">
        <f>34.2513 * CHOOSE(CONTROL!$C$32, $C$9, 100%, $E$9)</f>
        <v>34.251300000000001</v>
      </c>
      <c r="I965" s="81">
        <f>34.116 * CHOOSE(CONTROL!$C$32, $C$9, 100%, $E$9)</f>
        <v>34.116</v>
      </c>
      <c r="J965" s="81">
        <f>34.2513 * CHOOSE(CONTROL!$C$32, $C$9, 100%, $E$9)</f>
        <v>34.251300000000001</v>
      </c>
      <c r="K965" s="81">
        <f>34.116 * CHOOSE(CONTROL!$C$32, $C$9, 100%, $E$9)</f>
        <v>34.116</v>
      </c>
      <c r="L965" s="81">
        <f>18.7638 * CHOOSE(CONTROL!$C$32, $C$9, 100%, $E$9)</f>
        <v>18.7638</v>
      </c>
      <c r="M965" s="81">
        <f>18.6285 * CHOOSE(CONTROL!$C$32, $C$9, 100%, $E$9)</f>
        <v>18.628499999999999</v>
      </c>
      <c r="N965" s="81">
        <f>18.7638 * CHOOSE(CONTROL!$C$32, $C$9, 100%, $E$9)</f>
        <v>18.7638</v>
      </c>
      <c r="O965" s="81">
        <f>18.6285 * CHOOSE(CONTROL!$C$32, $C$9, 100%, $E$9)</f>
        <v>18.628499999999999</v>
      </c>
    </row>
    <row r="966" spans="1:15" ht="15">
      <c r="A966" s="16">
        <v>70615</v>
      </c>
      <c r="B966" s="80">
        <f>16.4364 * CHOOSE(CONTROL!$C$32, $C$9, 100%, $E$9)</f>
        <v>16.436399999999999</v>
      </c>
      <c r="C966" s="80">
        <f>16.4364 * CHOOSE(CONTROL!$C$32, $C$9, 100%, $E$9)</f>
        <v>16.436399999999999</v>
      </c>
      <c r="D966" s="80">
        <f>16.2763 * CHOOSE(CONTROL!$C$32, $C$9, 100%, $E$9)</f>
        <v>16.276299999999999</v>
      </c>
      <c r="E966" s="81">
        <f>18.8698 * CHOOSE(CONTROL!$C$32, $C$9, 100%, $E$9)</f>
        <v>18.869800000000001</v>
      </c>
      <c r="F966" s="81">
        <f>18.8698 * CHOOSE(CONTROL!$C$32, $C$9, 100%, $E$9)</f>
        <v>18.869800000000001</v>
      </c>
      <c r="G966" s="81">
        <f>18.6741 * CHOOSE(CONTROL!$C$32, $C$9, 100%, $E$9)</f>
        <v>18.674099999999999</v>
      </c>
      <c r="H966" s="81">
        <f>34.3226 * CHOOSE(CONTROL!$C$32, $C$9, 100%, $E$9)</f>
        <v>34.322600000000001</v>
      </c>
      <c r="I966" s="81">
        <f>34.1269 * CHOOSE(CONTROL!$C$32, $C$9, 100%, $E$9)</f>
        <v>34.126899999999999</v>
      </c>
      <c r="J966" s="81">
        <f>34.3226 * CHOOSE(CONTROL!$C$32, $C$9, 100%, $E$9)</f>
        <v>34.322600000000001</v>
      </c>
      <c r="K966" s="81">
        <f>34.1269 * CHOOSE(CONTROL!$C$32, $C$9, 100%, $E$9)</f>
        <v>34.126899999999999</v>
      </c>
      <c r="L966" s="81">
        <f>18.8698 * CHOOSE(CONTROL!$C$32, $C$9, 100%, $E$9)</f>
        <v>18.869800000000001</v>
      </c>
      <c r="M966" s="81">
        <f>18.6741 * CHOOSE(CONTROL!$C$32, $C$9, 100%, $E$9)</f>
        <v>18.674099999999999</v>
      </c>
      <c r="N966" s="81">
        <f>18.8698 * CHOOSE(CONTROL!$C$32, $C$9, 100%, $E$9)</f>
        <v>18.869800000000001</v>
      </c>
      <c r="O966" s="81">
        <f>18.6741 * CHOOSE(CONTROL!$C$32, $C$9, 100%, $E$9)</f>
        <v>18.674099999999999</v>
      </c>
    </row>
    <row r="967" spans="1:15" ht="15">
      <c r="A967" s="16">
        <v>70646</v>
      </c>
      <c r="B967" s="80">
        <f>16.4425 * CHOOSE(CONTROL!$C$32, $C$9, 100%, $E$9)</f>
        <v>16.442499999999999</v>
      </c>
      <c r="C967" s="80">
        <f>16.4425 * CHOOSE(CONTROL!$C$32, $C$9, 100%, $E$9)</f>
        <v>16.442499999999999</v>
      </c>
      <c r="D967" s="80">
        <f>16.2824 * CHOOSE(CONTROL!$C$32, $C$9, 100%, $E$9)</f>
        <v>16.282399999999999</v>
      </c>
      <c r="E967" s="81">
        <f>18.768 * CHOOSE(CONTROL!$C$32, $C$9, 100%, $E$9)</f>
        <v>18.768000000000001</v>
      </c>
      <c r="F967" s="81">
        <f>18.768 * CHOOSE(CONTROL!$C$32, $C$9, 100%, $E$9)</f>
        <v>18.768000000000001</v>
      </c>
      <c r="G967" s="81">
        <f>18.5723 * CHOOSE(CONTROL!$C$32, $C$9, 100%, $E$9)</f>
        <v>18.572299999999998</v>
      </c>
      <c r="H967" s="81">
        <f>34.3941 * CHOOSE(CONTROL!$C$32, $C$9, 100%, $E$9)</f>
        <v>34.394100000000002</v>
      </c>
      <c r="I967" s="81">
        <f>34.1984 * CHOOSE(CONTROL!$C$32, $C$9, 100%, $E$9)</f>
        <v>34.198399999999999</v>
      </c>
      <c r="J967" s="81">
        <f>34.3941 * CHOOSE(CONTROL!$C$32, $C$9, 100%, $E$9)</f>
        <v>34.394100000000002</v>
      </c>
      <c r="K967" s="81">
        <f>34.1984 * CHOOSE(CONTROL!$C$32, $C$9, 100%, $E$9)</f>
        <v>34.198399999999999</v>
      </c>
      <c r="L967" s="81">
        <f>18.768 * CHOOSE(CONTROL!$C$32, $C$9, 100%, $E$9)</f>
        <v>18.768000000000001</v>
      </c>
      <c r="M967" s="81">
        <f>18.5723 * CHOOSE(CONTROL!$C$32, $C$9, 100%, $E$9)</f>
        <v>18.572299999999998</v>
      </c>
      <c r="N967" s="81">
        <f>18.768 * CHOOSE(CONTROL!$C$32, $C$9, 100%, $E$9)</f>
        <v>18.768000000000001</v>
      </c>
      <c r="O967" s="81">
        <f>18.5723 * CHOOSE(CONTROL!$C$32, $C$9, 100%, $E$9)</f>
        <v>18.572299999999998</v>
      </c>
    </row>
    <row r="968" spans="1:15" ht="15">
      <c r="A968" s="16">
        <v>70676</v>
      </c>
      <c r="B968" s="80">
        <f>16.6902 * CHOOSE(CONTROL!$C$32, $C$9, 100%, $E$9)</f>
        <v>16.690200000000001</v>
      </c>
      <c r="C968" s="80">
        <f>16.6902 * CHOOSE(CONTROL!$C$32, $C$9, 100%, $E$9)</f>
        <v>16.690200000000001</v>
      </c>
      <c r="D968" s="80">
        <f>16.5302 * CHOOSE(CONTROL!$C$32, $C$9, 100%, $E$9)</f>
        <v>16.530200000000001</v>
      </c>
      <c r="E968" s="81">
        <f>19.0646 * CHOOSE(CONTROL!$C$32, $C$9, 100%, $E$9)</f>
        <v>19.064599999999999</v>
      </c>
      <c r="F968" s="81">
        <f>19.0646 * CHOOSE(CONTROL!$C$32, $C$9, 100%, $E$9)</f>
        <v>19.064599999999999</v>
      </c>
      <c r="G968" s="81">
        <f>18.8689 * CHOOSE(CONTROL!$C$32, $C$9, 100%, $E$9)</f>
        <v>18.8689</v>
      </c>
      <c r="H968" s="81">
        <f>34.4658 * CHOOSE(CONTROL!$C$32, $C$9, 100%, $E$9)</f>
        <v>34.465800000000002</v>
      </c>
      <c r="I968" s="81">
        <f>34.27 * CHOOSE(CONTROL!$C$32, $C$9, 100%, $E$9)</f>
        <v>34.270000000000003</v>
      </c>
      <c r="J968" s="81">
        <f>34.4658 * CHOOSE(CONTROL!$C$32, $C$9, 100%, $E$9)</f>
        <v>34.465800000000002</v>
      </c>
      <c r="K968" s="81">
        <f>34.27 * CHOOSE(CONTROL!$C$32, $C$9, 100%, $E$9)</f>
        <v>34.270000000000003</v>
      </c>
      <c r="L968" s="81">
        <f>19.0646 * CHOOSE(CONTROL!$C$32, $C$9, 100%, $E$9)</f>
        <v>19.064599999999999</v>
      </c>
      <c r="M968" s="81">
        <f>18.8689 * CHOOSE(CONTROL!$C$32, $C$9, 100%, $E$9)</f>
        <v>18.8689</v>
      </c>
      <c r="N968" s="81">
        <f>19.0646 * CHOOSE(CONTROL!$C$32, $C$9, 100%, $E$9)</f>
        <v>19.064599999999999</v>
      </c>
      <c r="O968" s="81">
        <f>18.8689 * CHOOSE(CONTROL!$C$32, $C$9, 100%, $E$9)</f>
        <v>18.8689</v>
      </c>
    </row>
    <row r="969" spans="1:15" ht="15">
      <c r="A969" s="16">
        <v>70707</v>
      </c>
      <c r="B969" s="80">
        <f>16.6969 * CHOOSE(CONTROL!$C$32, $C$9, 100%, $E$9)</f>
        <v>16.696899999999999</v>
      </c>
      <c r="C969" s="80">
        <f>16.6969 * CHOOSE(CONTROL!$C$32, $C$9, 100%, $E$9)</f>
        <v>16.696899999999999</v>
      </c>
      <c r="D969" s="80">
        <f>16.5368 * CHOOSE(CONTROL!$C$32, $C$9, 100%, $E$9)</f>
        <v>16.536799999999999</v>
      </c>
      <c r="E969" s="81">
        <f>18.7512 * CHOOSE(CONTROL!$C$32, $C$9, 100%, $E$9)</f>
        <v>18.751200000000001</v>
      </c>
      <c r="F969" s="81">
        <f>18.7512 * CHOOSE(CONTROL!$C$32, $C$9, 100%, $E$9)</f>
        <v>18.751200000000001</v>
      </c>
      <c r="G969" s="81">
        <f>18.5554 * CHOOSE(CONTROL!$C$32, $C$9, 100%, $E$9)</f>
        <v>18.555399999999999</v>
      </c>
      <c r="H969" s="81">
        <f>34.5376 * CHOOSE(CONTROL!$C$32, $C$9, 100%, $E$9)</f>
        <v>34.537599999999998</v>
      </c>
      <c r="I969" s="81">
        <f>34.3418 * CHOOSE(CONTROL!$C$32, $C$9, 100%, $E$9)</f>
        <v>34.341799999999999</v>
      </c>
      <c r="J969" s="81">
        <f>34.5376 * CHOOSE(CONTROL!$C$32, $C$9, 100%, $E$9)</f>
        <v>34.537599999999998</v>
      </c>
      <c r="K969" s="81">
        <f>34.3418 * CHOOSE(CONTROL!$C$32, $C$9, 100%, $E$9)</f>
        <v>34.341799999999999</v>
      </c>
      <c r="L969" s="81">
        <f>18.7512 * CHOOSE(CONTROL!$C$32, $C$9, 100%, $E$9)</f>
        <v>18.751200000000001</v>
      </c>
      <c r="M969" s="81">
        <f>18.5554 * CHOOSE(CONTROL!$C$32, $C$9, 100%, $E$9)</f>
        <v>18.555399999999999</v>
      </c>
      <c r="N969" s="81">
        <f>18.7512 * CHOOSE(CONTROL!$C$32, $C$9, 100%, $E$9)</f>
        <v>18.751200000000001</v>
      </c>
      <c r="O969" s="81">
        <f>18.5554 * CHOOSE(CONTROL!$C$32, $C$9, 100%, $E$9)</f>
        <v>18.555399999999999</v>
      </c>
    </row>
    <row r="970" spans="1:15" ht="15">
      <c r="A970" s="16">
        <v>70738</v>
      </c>
      <c r="B970" s="80">
        <f>16.6939 * CHOOSE(CONTROL!$C$32, $C$9, 100%, $E$9)</f>
        <v>16.693899999999999</v>
      </c>
      <c r="C970" s="80">
        <f>16.6939 * CHOOSE(CONTROL!$C$32, $C$9, 100%, $E$9)</f>
        <v>16.693899999999999</v>
      </c>
      <c r="D970" s="80">
        <f>16.5338 * CHOOSE(CONTROL!$C$32, $C$9, 100%, $E$9)</f>
        <v>16.533799999999999</v>
      </c>
      <c r="E970" s="81">
        <f>18.7137 * CHOOSE(CONTROL!$C$32, $C$9, 100%, $E$9)</f>
        <v>18.713699999999999</v>
      </c>
      <c r="F970" s="81">
        <f>18.7137 * CHOOSE(CONTROL!$C$32, $C$9, 100%, $E$9)</f>
        <v>18.713699999999999</v>
      </c>
      <c r="G970" s="81">
        <f>18.518 * CHOOSE(CONTROL!$C$32, $C$9, 100%, $E$9)</f>
        <v>18.518000000000001</v>
      </c>
      <c r="H970" s="81">
        <f>34.6095 * CHOOSE(CONTROL!$C$32, $C$9, 100%, $E$9)</f>
        <v>34.609499999999997</v>
      </c>
      <c r="I970" s="81">
        <f>34.4138 * CHOOSE(CONTROL!$C$32, $C$9, 100%, $E$9)</f>
        <v>34.413800000000002</v>
      </c>
      <c r="J970" s="81">
        <f>34.6095 * CHOOSE(CONTROL!$C$32, $C$9, 100%, $E$9)</f>
        <v>34.609499999999997</v>
      </c>
      <c r="K970" s="81">
        <f>34.4138 * CHOOSE(CONTROL!$C$32, $C$9, 100%, $E$9)</f>
        <v>34.413800000000002</v>
      </c>
      <c r="L970" s="81">
        <f>18.7137 * CHOOSE(CONTROL!$C$32, $C$9, 100%, $E$9)</f>
        <v>18.713699999999999</v>
      </c>
      <c r="M970" s="81">
        <f>18.518 * CHOOSE(CONTROL!$C$32, $C$9, 100%, $E$9)</f>
        <v>18.518000000000001</v>
      </c>
      <c r="N970" s="81">
        <f>18.7137 * CHOOSE(CONTROL!$C$32, $C$9, 100%, $E$9)</f>
        <v>18.713699999999999</v>
      </c>
      <c r="O970" s="81">
        <f>18.518 * CHOOSE(CONTROL!$C$32, $C$9, 100%, $E$9)</f>
        <v>18.518000000000001</v>
      </c>
    </row>
    <row r="971" spans="1:15" ht="15">
      <c r="A971" s="16">
        <v>70768</v>
      </c>
      <c r="B971" s="80">
        <f>16.7297 * CHOOSE(CONTROL!$C$32, $C$9, 100%, $E$9)</f>
        <v>16.729700000000001</v>
      </c>
      <c r="C971" s="80">
        <f>16.7297 * CHOOSE(CONTROL!$C$32, $C$9, 100%, $E$9)</f>
        <v>16.729700000000001</v>
      </c>
      <c r="D971" s="80">
        <f>16.6199 * CHOOSE(CONTROL!$C$32, $C$9, 100%, $E$9)</f>
        <v>16.619900000000001</v>
      </c>
      <c r="E971" s="81">
        <f>18.8417 * CHOOSE(CONTROL!$C$32, $C$9, 100%, $E$9)</f>
        <v>18.841699999999999</v>
      </c>
      <c r="F971" s="81">
        <f>18.8417 * CHOOSE(CONTROL!$C$32, $C$9, 100%, $E$9)</f>
        <v>18.841699999999999</v>
      </c>
      <c r="G971" s="81">
        <f>18.7064 * CHOOSE(CONTROL!$C$32, $C$9, 100%, $E$9)</f>
        <v>18.706399999999999</v>
      </c>
      <c r="H971" s="81">
        <f>34.6816 * CHOOSE(CONTROL!$C$32, $C$9, 100%, $E$9)</f>
        <v>34.681600000000003</v>
      </c>
      <c r="I971" s="81">
        <f>34.5463 * CHOOSE(CONTROL!$C$32, $C$9, 100%, $E$9)</f>
        <v>34.546300000000002</v>
      </c>
      <c r="J971" s="81">
        <f>34.6816 * CHOOSE(CONTROL!$C$32, $C$9, 100%, $E$9)</f>
        <v>34.681600000000003</v>
      </c>
      <c r="K971" s="81">
        <f>34.5463 * CHOOSE(CONTROL!$C$32, $C$9, 100%, $E$9)</f>
        <v>34.546300000000002</v>
      </c>
      <c r="L971" s="81">
        <f>18.8417 * CHOOSE(CONTROL!$C$32, $C$9, 100%, $E$9)</f>
        <v>18.841699999999999</v>
      </c>
      <c r="M971" s="81">
        <f>18.7064 * CHOOSE(CONTROL!$C$32, $C$9, 100%, $E$9)</f>
        <v>18.706399999999999</v>
      </c>
      <c r="N971" s="81">
        <f>18.8417 * CHOOSE(CONTROL!$C$32, $C$9, 100%, $E$9)</f>
        <v>18.841699999999999</v>
      </c>
      <c r="O971" s="81">
        <f>18.7064 * CHOOSE(CONTROL!$C$32, $C$9, 100%, $E$9)</f>
        <v>18.706399999999999</v>
      </c>
    </row>
    <row r="972" spans="1:15" ht="15">
      <c r="A972" s="16">
        <v>70799</v>
      </c>
      <c r="B972" s="80">
        <f>16.7327 * CHOOSE(CONTROL!$C$32, $C$9, 100%, $E$9)</f>
        <v>16.732700000000001</v>
      </c>
      <c r="C972" s="80">
        <f>16.7327 * CHOOSE(CONTROL!$C$32, $C$9, 100%, $E$9)</f>
        <v>16.732700000000001</v>
      </c>
      <c r="D972" s="80">
        <f>16.6229 * CHOOSE(CONTROL!$C$32, $C$9, 100%, $E$9)</f>
        <v>16.622900000000001</v>
      </c>
      <c r="E972" s="81">
        <f>18.9145 * CHOOSE(CONTROL!$C$32, $C$9, 100%, $E$9)</f>
        <v>18.9145</v>
      </c>
      <c r="F972" s="81">
        <f>18.9145 * CHOOSE(CONTROL!$C$32, $C$9, 100%, $E$9)</f>
        <v>18.9145</v>
      </c>
      <c r="G972" s="81">
        <f>18.7792 * CHOOSE(CONTROL!$C$32, $C$9, 100%, $E$9)</f>
        <v>18.779199999999999</v>
      </c>
      <c r="H972" s="81">
        <f>34.7539 * CHOOSE(CONTROL!$C$32, $C$9, 100%, $E$9)</f>
        <v>34.753900000000002</v>
      </c>
      <c r="I972" s="81">
        <f>34.6186 * CHOOSE(CONTROL!$C$32, $C$9, 100%, $E$9)</f>
        <v>34.618600000000001</v>
      </c>
      <c r="J972" s="81">
        <f>34.7539 * CHOOSE(CONTROL!$C$32, $C$9, 100%, $E$9)</f>
        <v>34.753900000000002</v>
      </c>
      <c r="K972" s="81">
        <f>34.6186 * CHOOSE(CONTROL!$C$32, $C$9, 100%, $E$9)</f>
        <v>34.618600000000001</v>
      </c>
      <c r="L972" s="81">
        <f>18.9145 * CHOOSE(CONTROL!$C$32, $C$9, 100%, $E$9)</f>
        <v>18.9145</v>
      </c>
      <c r="M972" s="81">
        <f>18.7792 * CHOOSE(CONTROL!$C$32, $C$9, 100%, $E$9)</f>
        <v>18.779199999999999</v>
      </c>
      <c r="N972" s="81">
        <f>18.9145 * CHOOSE(CONTROL!$C$32, $C$9, 100%, $E$9)</f>
        <v>18.9145</v>
      </c>
      <c r="O972" s="81">
        <f>18.7792 * CHOOSE(CONTROL!$C$32, $C$9, 100%, $E$9)</f>
        <v>18.779199999999999</v>
      </c>
    </row>
    <row r="973" spans="1:15" ht="15">
      <c r="A973" s="16">
        <v>70829</v>
      </c>
      <c r="B973" s="80">
        <f>16.7327 * CHOOSE(CONTROL!$C$32, $C$9, 100%, $E$9)</f>
        <v>16.732700000000001</v>
      </c>
      <c r="C973" s="80">
        <f>16.7327 * CHOOSE(CONTROL!$C$32, $C$9, 100%, $E$9)</f>
        <v>16.732700000000001</v>
      </c>
      <c r="D973" s="80">
        <f>16.6229 * CHOOSE(CONTROL!$C$32, $C$9, 100%, $E$9)</f>
        <v>16.622900000000001</v>
      </c>
      <c r="E973" s="81">
        <f>18.7378 * CHOOSE(CONTROL!$C$32, $C$9, 100%, $E$9)</f>
        <v>18.7378</v>
      </c>
      <c r="F973" s="81">
        <f>18.7378 * CHOOSE(CONTROL!$C$32, $C$9, 100%, $E$9)</f>
        <v>18.7378</v>
      </c>
      <c r="G973" s="81">
        <f>18.6024 * CHOOSE(CONTROL!$C$32, $C$9, 100%, $E$9)</f>
        <v>18.602399999999999</v>
      </c>
      <c r="H973" s="81">
        <f>34.8263 * CHOOSE(CONTROL!$C$32, $C$9, 100%, $E$9)</f>
        <v>34.826300000000003</v>
      </c>
      <c r="I973" s="81">
        <f>34.691 * CHOOSE(CONTROL!$C$32, $C$9, 100%, $E$9)</f>
        <v>34.691000000000003</v>
      </c>
      <c r="J973" s="81">
        <f>34.8263 * CHOOSE(CONTROL!$C$32, $C$9, 100%, $E$9)</f>
        <v>34.826300000000003</v>
      </c>
      <c r="K973" s="81">
        <f>34.691 * CHOOSE(CONTROL!$C$32, $C$9, 100%, $E$9)</f>
        <v>34.691000000000003</v>
      </c>
      <c r="L973" s="81">
        <f>18.7378 * CHOOSE(CONTROL!$C$32, $C$9, 100%, $E$9)</f>
        <v>18.7378</v>
      </c>
      <c r="M973" s="81">
        <f>18.6024 * CHOOSE(CONTROL!$C$32, $C$9, 100%, $E$9)</f>
        <v>18.602399999999999</v>
      </c>
      <c r="N973" s="81">
        <f>18.7378 * CHOOSE(CONTROL!$C$32, $C$9, 100%, $E$9)</f>
        <v>18.7378</v>
      </c>
      <c r="O973" s="81">
        <f>18.6024 * CHOOSE(CONTROL!$C$32, $C$9, 100%, $E$9)</f>
        <v>18.602399999999999</v>
      </c>
    </row>
    <row r="974" spans="1:15" ht="15">
      <c r="A974" s="16">
        <v>70860</v>
      </c>
      <c r="B974" s="80">
        <f>16.67 * CHOOSE(CONTROL!$C$32, $C$9, 100%, $E$9)</f>
        <v>16.670000000000002</v>
      </c>
      <c r="C974" s="80">
        <f>16.67 * CHOOSE(CONTROL!$C$32, $C$9, 100%, $E$9)</f>
        <v>16.670000000000002</v>
      </c>
      <c r="D974" s="80">
        <f>16.5567 * CHOOSE(CONTROL!$C$32, $C$9, 100%, $E$9)</f>
        <v>16.556699999999999</v>
      </c>
      <c r="E974" s="81">
        <f>18.8149 * CHOOSE(CONTROL!$C$32, $C$9, 100%, $E$9)</f>
        <v>18.814900000000002</v>
      </c>
      <c r="F974" s="81">
        <f>18.8149 * CHOOSE(CONTROL!$C$32, $C$9, 100%, $E$9)</f>
        <v>18.814900000000002</v>
      </c>
      <c r="G974" s="81">
        <f>18.6752 * CHOOSE(CONTROL!$C$32, $C$9, 100%, $E$9)</f>
        <v>18.6752</v>
      </c>
      <c r="H974" s="81">
        <f>34.5139 * CHOOSE(CONTROL!$C$32, $C$9, 100%, $E$9)</f>
        <v>34.5139</v>
      </c>
      <c r="I974" s="81">
        <f>34.3742 * CHOOSE(CONTROL!$C$32, $C$9, 100%, $E$9)</f>
        <v>34.374200000000002</v>
      </c>
      <c r="J974" s="81">
        <f>34.5139 * CHOOSE(CONTROL!$C$32, $C$9, 100%, $E$9)</f>
        <v>34.5139</v>
      </c>
      <c r="K974" s="81">
        <f>34.3742 * CHOOSE(CONTROL!$C$32, $C$9, 100%, $E$9)</f>
        <v>34.374200000000002</v>
      </c>
      <c r="L974" s="81">
        <f>18.8149 * CHOOSE(CONTROL!$C$32, $C$9, 100%, $E$9)</f>
        <v>18.814900000000002</v>
      </c>
      <c r="M974" s="81">
        <f>18.6752 * CHOOSE(CONTROL!$C$32, $C$9, 100%, $E$9)</f>
        <v>18.6752</v>
      </c>
      <c r="N974" s="81">
        <f>18.8149 * CHOOSE(CONTROL!$C$32, $C$9, 100%, $E$9)</f>
        <v>18.814900000000002</v>
      </c>
      <c r="O974" s="81">
        <f>18.6752 * CHOOSE(CONTROL!$C$32, $C$9, 100%, $E$9)</f>
        <v>18.6752</v>
      </c>
    </row>
    <row r="975" spans="1:15" ht="15">
      <c r="A975" s="16">
        <v>70891</v>
      </c>
      <c r="B975" s="80">
        <f>16.667 * CHOOSE(CONTROL!$C$32, $C$9, 100%, $E$9)</f>
        <v>16.667000000000002</v>
      </c>
      <c r="C975" s="80">
        <f>16.667 * CHOOSE(CONTROL!$C$32, $C$9, 100%, $E$9)</f>
        <v>16.667000000000002</v>
      </c>
      <c r="D975" s="80">
        <f>16.5536 * CHOOSE(CONTROL!$C$32, $C$9, 100%, $E$9)</f>
        <v>16.553599999999999</v>
      </c>
      <c r="E975" s="81">
        <f>18.4739 * CHOOSE(CONTROL!$C$32, $C$9, 100%, $E$9)</f>
        <v>18.4739</v>
      </c>
      <c r="F975" s="81">
        <f>18.4739 * CHOOSE(CONTROL!$C$32, $C$9, 100%, $E$9)</f>
        <v>18.4739</v>
      </c>
      <c r="G975" s="81">
        <f>18.3342 * CHOOSE(CONTROL!$C$32, $C$9, 100%, $E$9)</f>
        <v>18.334199999999999</v>
      </c>
      <c r="H975" s="81">
        <f>34.5858 * CHOOSE(CONTROL!$C$32, $C$9, 100%, $E$9)</f>
        <v>34.585799999999999</v>
      </c>
      <c r="I975" s="81">
        <f>34.4461 * CHOOSE(CONTROL!$C$32, $C$9, 100%, $E$9)</f>
        <v>34.446100000000001</v>
      </c>
      <c r="J975" s="81">
        <f>34.5858 * CHOOSE(CONTROL!$C$32, $C$9, 100%, $E$9)</f>
        <v>34.585799999999999</v>
      </c>
      <c r="K975" s="81">
        <f>34.4461 * CHOOSE(CONTROL!$C$32, $C$9, 100%, $E$9)</f>
        <v>34.446100000000001</v>
      </c>
      <c r="L975" s="81">
        <f>18.4739 * CHOOSE(CONTROL!$C$32, $C$9, 100%, $E$9)</f>
        <v>18.4739</v>
      </c>
      <c r="M975" s="81">
        <f>18.3342 * CHOOSE(CONTROL!$C$32, $C$9, 100%, $E$9)</f>
        <v>18.334199999999999</v>
      </c>
      <c r="N975" s="81">
        <f>18.4739 * CHOOSE(CONTROL!$C$32, $C$9, 100%, $E$9)</f>
        <v>18.4739</v>
      </c>
      <c r="O975" s="81">
        <f>18.3342 * CHOOSE(CONTROL!$C$32, $C$9, 100%, $E$9)</f>
        <v>18.334199999999999</v>
      </c>
    </row>
    <row r="976" spans="1:15" ht="15">
      <c r="A976" s="16">
        <v>70919</v>
      </c>
      <c r="B976" s="80">
        <f>16.6639 * CHOOSE(CONTROL!$C$32, $C$9, 100%, $E$9)</f>
        <v>16.663900000000002</v>
      </c>
      <c r="C976" s="80">
        <f>16.6639 * CHOOSE(CONTROL!$C$32, $C$9, 100%, $E$9)</f>
        <v>16.663900000000002</v>
      </c>
      <c r="D976" s="80">
        <f>16.5506 * CHOOSE(CONTROL!$C$32, $C$9, 100%, $E$9)</f>
        <v>16.550599999999999</v>
      </c>
      <c r="E976" s="81">
        <f>18.739 * CHOOSE(CONTROL!$C$32, $C$9, 100%, $E$9)</f>
        <v>18.739000000000001</v>
      </c>
      <c r="F976" s="81">
        <f>18.739 * CHOOSE(CONTROL!$C$32, $C$9, 100%, $E$9)</f>
        <v>18.739000000000001</v>
      </c>
      <c r="G976" s="81">
        <f>18.5993 * CHOOSE(CONTROL!$C$32, $C$9, 100%, $E$9)</f>
        <v>18.599299999999999</v>
      </c>
      <c r="H976" s="81">
        <f>34.6578 * CHOOSE(CONTROL!$C$32, $C$9, 100%, $E$9)</f>
        <v>34.657800000000002</v>
      </c>
      <c r="I976" s="81">
        <f>34.5181 * CHOOSE(CONTROL!$C$32, $C$9, 100%, $E$9)</f>
        <v>34.518099999999997</v>
      </c>
      <c r="J976" s="81">
        <f>34.6578 * CHOOSE(CONTROL!$C$32, $C$9, 100%, $E$9)</f>
        <v>34.657800000000002</v>
      </c>
      <c r="K976" s="81">
        <f>34.5181 * CHOOSE(CONTROL!$C$32, $C$9, 100%, $E$9)</f>
        <v>34.518099999999997</v>
      </c>
      <c r="L976" s="81">
        <f>18.739 * CHOOSE(CONTROL!$C$32, $C$9, 100%, $E$9)</f>
        <v>18.739000000000001</v>
      </c>
      <c r="M976" s="81">
        <f>18.5993 * CHOOSE(CONTROL!$C$32, $C$9, 100%, $E$9)</f>
        <v>18.599299999999999</v>
      </c>
      <c r="N976" s="81">
        <f>18.739 * CHOOSE(CONTROL!$C$32, $C$9, 100%, $E$9)</f>
        <v>18.739000000000001</v>
      </c>
      <c r="O976" s="81">
        <f>18.5993 * CHOOSE(CONTROL!$C$32, $C$9, 100%, $E$9)</f>
        <v>18.599299999999999</v>
      </c>
    </row>
    <row r="977" spans="1:15" ht="15">
      <c r="A977" s="16">
        <v>70950</v>
      </c>
      <c r="B977" s="80">
        <f>16.6722 * CHOOSE(CONTROL!$C$32, $C$9, 100%, $E$9)</f>
        <v>16.6722</v>
      </c>
      <c r="C977" s="80">
        <f>16.6722 * CHOOSE(CONTROL!$C$32, $C$9, 100%, $E$9)</f>
        <v>16.6722</v>
      </c>
      <c r="D977" s="80">
        <f>16.5588 * CHOOSE(CONTROL!$C$32, $C$9, 100%, $E$9)</f>
        <v>16.558800000000002</v>
      </c>
      <c r="E977" s="81">
        <f>19.0217 * CHOOSE(CONTROL!$C$32, $C$9, 100%, $E$9)</f>
        <v>19.021699999999999</v>
      </c>
      <c r="F977" s="81">
        <f>19.0217 * CHOOSE(CONTROL!$C$32, $C$9, 100%, $E$9)</f>
        <v>19.021699999999999</v>
      </c>
      <c r="G977" s="81">
        <f>18.882 * CHOOSE(CONTROL!$C$32, $C$9, 100%, $E$9)</f>
        <v>18.882000000000001</v>
      </c>
      <c r="H977" s="81">
        <f>34.73 * CHOOSE(CONTROL!$C$32, $C$9, 100%, $E$9)</f>
        <v>34.729999999999997</v>
      </c>
      <c r="I977" s="81">
        <f>34.5903 * CHOOSE(CONTROL!$C$32, $C$9, 100%, $E$9)</f>
        <v>34.590299999999999</v>
      </c>
      <c r="J977" s="81">
        <f>34.73 * CHOOSE(CONTROL!$C$32, $C$9, 100%, $E$9)</f>
        <v>34.729999999999997</v>
      </c>
      <c r="K977" s="81">
        <f>34.5903 * CHOOSE(CONTROL!$C$32, $C$9, 100%, $E$9)</f>
        <v>34.590299999999999</v>
      </c>
      <c r="L977" s="81">
        <f>19.0217 * CHOOSE(CONTROL!$C$32, $C$9, 100%, $E$9)</f>
        <v>19.021699999999999</v>
      </c>
      <c r="M977" s="81">
        <f>18.882 * CHOOSE(CONTROL!$C$32, $C$9, 100%, $E$9)</f>
        <v>18.882000000000001</v>
      </c>
      <c r="N977" s="81">
        <f>19.0217 * CHOOSE(CONTROL!$C$32, $C$9, 100%, $E$9)</f>
        <v>19.021699999999999</v>
      </c>
      <c r="O977" s="81">
        <f>18.882 * CHOOSE(CONTROL!$C$32, $C$9, 100%, $E$9)</f>
        <v>18.882000000000001</v>
      </c>
    </row>
    <row r="978" spans="1:15" ht="15">
      <c r="A978" s="16">
        <v>70980</v>
      </c>
      <c r="B978" s="80">
        <f>16.6722 * CHOOSE(CONTROL!$C$32, $C$9, 100%, $E$9)</f>
        <v>16.6722</v>
      </c>
      <c r="C978" s="80">
        <f>16.6722 * CHOOSE(CONTROL!$C$32, $C$9, 100%, $E$9)</f>
        <v>16.6722</v>
      </c>
      <c r="D978" s="80">
        <f>16.5069 * CHOOSE(CONTROL!$C$32, $C$9, 100%, $E$9)</f>
        <v>16.506900000000002</v>
      </c>
      <c r="E978" s="81">
        <f>19.1293 * CHOOSE(CONTROL!$C$32, $C$9, 100%, $E$9)</f>
        <v>19.129300000000001</v>
      </c>
      <c r="F978" s="81">
        <f>19.1293 * CHOOSE(CONTROL!$C$32, $C$9, 100%, $E$9)</f>
        <v>19.129300000000001</v>
      </c>
      <c r="G978" s="81">
        <f>18.9272 * CHOOSE(CONTROL!$C$32, $C$9, 100%, $E$9)</f>
        <v>18.927199999999999</v>
      </c>
      <c r="H978" s="81">
        <f>34.8024 * CHOOSE(CONTROL!$C$32, $C$9, 100%, $E$9)</f>
        <v>34.802399999999999</v>
      </c>
      <c r="I978" s="81">
        <f>34.6003 * CHOOSE(CONTROL!$C$32, $C$9, 100%, $E$9)</f>
        <v>34.600299999999997</v>
      </c>
      <c r="J978" s="81">
        <f>34.8024 * CHOOSE(CONTROL!$C$32, $C$9, 100%, $E$9)</f>
        <v>34.802399999999999</v>
      </c>
      <c r="K978" s="81">
        <f>34.6003 * CHOOSE(CONTROL!$C$32, $C$9, 100%, $E$9)</f>
        <v>34.600299999999997</v>
      </c>
      <c r="L978" s="81">
        <f>19.1293 * CHOOSE(CONTROL!$C$32, $C$9, 100%, $E$9)</f>
        <v>19.129300000000001</v>
      </c>
      <c r="M978" s="81">
        <f>18.9272 * CHOOSE(CONTROL!$C$32, $C$9, 100%, $E$9)</f>
        <v>18.927199999999999</v>
      </c>
      <c r="N978" s="81">
        <f>19.1293 * CHOOSE(CONTROL!$C$32, $C$9, 100%, $E$9)</f>
        <v>19.129300000000001</v>
      </c>
      <c r="O978" s="81">
        <f>18.9272 * CHOOSE(CONTROL!$C$32, $C$9, 100%, $E$9)</f>
        <v>18.927199999999999</v>
      </c>
    </row>
    <row r="979" spans="1:15" ht="15">
      <c r="A979" s="16">
        <v>71011</v>
      </c>
      <c r="B979" s="80">
        <f>16.6782 * CHOOSE(CONTROL!$C$32, $C$9, 100%, $E$9)</f>
        <v>16.6782</v>
      </c>
      <c r="C979" s="80">
        <f>16.6782 * CHOOSE(CONTROL!$C$32, $C$9, 100%, $E$9)</f>
        <v>16.6782</v>
      </c>
      <c r="D979" s="80">
        <f>16.513 * CHOOSE(CONTROL!$C$32, $C$9, 100%, $E$9)</f>
        <v>16.513000000000002</v>
      </c>
      <c r="E979" s="81">
        <f>19.0259 * CHOOSE(CONTROL!$C$32, $C$9, 100%, $E$9)</f>
        <v>19.0259</v>
      </c>
      <c r="F979" s="81">
        <f>19.0259 * CHOOSE(CONTROL!$C$32, $C$9, 100%, $E$9)</f>
        <v>19.0259</v>
      </c>
      <c r="G979" s="81">
        <f>18.8238 * CHOOSE(CONTROL!$C$32, $C$9, 100%, $E$9)</f>
        <v>18.823799999999999</v>
      </c>
      <c r="H979" s="81">
        <f>34.8749 * CHOOSE(CONTROL!$C$32, $C$9, 100%, $E$9)</f>
        <v>34.874899999999997</v>
      </c>
      <c r="I979" s="81">
        <f>34.6728 * CHOOSE(CONTROL!$C$32, $C$9, 100%, $E$9)</f>
        <v>34.672800000000002</v>
      </c>
      <c r="J979" s="81">
        <f>34.8749 * CHOOSE(CONTROL!$C$32, $C$9, 100%, $E$9)</f>
        <v>34.874899999999997</v>
      </c>
      <c r="K979" s="81">
        <f>34.6728 * CHOOSE(CONTROL!$C$32, $C$9, 100%, $E$9)</f>
        <v>34.672800000000002</v>
      </c>
      <c r="L979" s="81">
        <f>19.0259 * CHOOSE(CONTROL!$C$32, $C$9, 100%, $E$9)</f>
        <v>19.0259</v>
      </c>
      <c r="M979" s="81">
        <f>18.8238 * CHOOSE(CONTROL!$C$32, $C$9, 100%, $E$9)</f>
        <v>18.823799999999999</v>
      </c>
      <c r="N979" s="81">
        <f>19.0259 * CHOOSE(CONTROL!$C$32, $C$9, 100%, $E$9)</f>
        <v>19.0259</v>
      </c>
      <c r="O979" s="81">
        <f>18.8238 * CHOOSE(CONTROL!$C$32, $C$9, 100%, $E$9)</f>
        <v>18.823799999999999</v>
      </c>
    </row>
    <row r="980" spans="1:15" ht="15">
      <c r="A980" s="16">
        <v>71041</v>
      </c>
      <c r="B980" s="80">
        <f>16.9294 * CHOOSE(CONTROL!$C$32, $C$9, 100%, $E$9)</f>
        <v>16.929400000000001</v>
      </c>
      <c r="C980" s="80">
        <f>16.9294 * CHOOSE(CONTROL!$C$32, $C$9, 100%, $E$9)</f>
        <v>16.929400000000001</v>
      </c>
      <c r="D980" s="80">
        <f>16.7642 * CHOOSE(CONTROL!$C$32, $C$9, 100%, $E$9)</f>
        <v>16.764199999999999</v>
      </c>
      <c r="E980" s="81">
        <f>19.3264 * CHOOSE(CONTROL!$C$32, $C$9, 100%, $E$9)</f>
        <v>19.3264</v>
      </c>
      <c r="F980" s="81">
        <f>19.3264 * CHOOSE(CONTROL!$C$32, $C$9, 100%, $E$9)</f>
        <v>19.3264</v>
      </c>
      <c r="G980" s="81">
        <f>19.1243 * CHOOSE(CONTROL!$C$32, $C$9, 100%, $E$9)</f>
        <v>19.124300000000002</v>
      </c>
      <c r="H980" s="81">
        <f>34.9475 * CHOOSE(CONTROL!$C$32, $C$9, 100%, $E$9)</f>
        <v>34.947499999999998</v>
      </c>
      <c r="I980" s="81">
        <f>34.7455 * CHOOSE(CONTROL!$C$32, $C$9, 100%, $E$9)</f>
        <v>34.7455</v>
      </c>
      <c r="J980" s="81">
        <f>34.9475 * CHOOSE(CONTROL!$C$32, $C$9, 100%, $E$9)</f>
        <v>34.947499999999998</v>
      </c>
      <c r="K980" s="81">
        <f>34.7455 * CHOOSE(CONTROL!$C$32, $C$9, 100%, $E$9)</f>
        <v>34.7455</v>
      </c>
      <c r="L980" s="81">
        <f>19.3264 * CHOOSE(CONTROL!$C$32, $C$9, 100%, $E$9)</f>
        <v>19.3264</v>
      </c>
      <c r="M980" s="81">
        <f>19.1243 * CHOOSE(CONTROL!$C$32, $C$9, 100%, $E$9)</f>
        <v>19.124300000000002</v>
      </c>
      <c r="N980" s="81">
        <f>19.3264 * CHOOSE(CONTROL!$C$32, $C$9, 100%, $E$9)</f>
        <v>19.3264</v>
      </c>
      <c r="O980" s="81">
        <f>19.1243 * CHOOSE(CONTROL!$C$32, $C$9, 100%, $E$9)</f>
        <v>19.124300000000002</v>
      </c>
    </row>
    <row r="981" spans="1:15" ht="15">
      <c r="A981" s="16">
        <v>71072</v>
      </c>
      <c r="B981" s="80">
        <f>16.9361 * CHOOSE(CONTROL!$C$32, $C$9, 100%, $E$9)</f>
        <v>16.9361</v>
      </c>
      <c r="C981" s="80">
        <f>16.9361 * CHOOSE(CONTROL!$C$32, $C$9, 100%, $E$9)</f>
        <v>16.9361</v>
      </c>
      <c r="D981" s="80">
        <f>16.7709 * CHOOSE(CONTROL!$C$32, $C$9, 100%, $E$9)</f>
        <v>16.770900000000001</v>
      </c>
      <c r="E981" s="81">
        <f>19.0083 * CHOOSE(CONTROL!$C$32, $C$9, 100%, $E$9)</f>
        <v>19.008299999999998</v>
      </c>
      <c r="F981" s="81">
        <f>19.0083 * CHOOSE(CONTROL!$C$32, $C$9, 100%, $E$9)</f>
        <v>19.008299999999998</v>
      </c>
      <c r="G981" s="81">
        <f>18.8062 * CHOOSE(CONTROL!$C$32, $C$9, 100%, $E$9)</f>
        <v>18.8062</v>
      </c>
      <c r="H981" s="81">
        <f>35.0203 * CHOOSE(CONTROL!$C$32, $C$9, 100%, $E$9)</f>
        <v>35.020299999999999</v>
      </c>
      <c r="I981" s="81">
        <f>34.8183 * CHOOSE(CONTROL!$C$32, $C$9, 100%, $E$9)</f>
        <v>34.818300000000001</v>
      </c>
      <c r="J981" s="81">
        <f>35.0203 * CHOOSE(CONTROL!$C$32, $C$9, 100%, $E$9)</f>
        <v>35.020299999999999</v>
      </c>
      <c r="K981" s="81">
        <f>34.8183 * CHOOSE(CONTROL!$C$32, $C$9, 100%, $E$9)</f>
        <v>34.818300000000001</v>
      </c>
      <c r="L981" s="81">
        <f>19.0083 * CHOOSE(CONTROL!$C$32, $C$9, 100%, $E$9)</f>
        <v>19.008299999999998</v>
      </c>
      <c r="M981" s="81">
        <f>18.8062 * CHOOSE(CONTROL!$C$32, $C$9, 100%, $E$9)</f>
        <v>18.8062</v>
      </c>
      <c r="N981" s="81">
        <f>19.0083 * CHOOSE(CONTROL!$C$32, $C$9, 100%, $E$9)</f>
        <v>19.008299999999998</v>
      </c>
      <c r="O981" s="81">
        <f>18.8062 * CHOOSE(CONTROL!$C$32, $C$9, 100%, $E$9)</f>
        <v>18.8062</v>
      </c>
    </row>
    <row r="982" spans="1:15" ht="15">
      <c r="A982" s="16">
        <v>71103</v>
      </c>
      <c r="B982" s="80">
        <f>16.933 * CHOOSE(CONTROL!$C$32, $C$9, 100%, $E$9)</f>
        <v>16.933</v>
      </c>
      <c r="C982" s="80">
        <f>16.933 * CHOOSE(CONTROL!$C$32, $C$9, 100%, $E$9)</f>
        <v>16.933</v>
      </c>
      <c r="D982" s="80">
        <f>16.7678 * CHOOSE(CONTROL!$C$32, $C$9, 100%, $E$9)</f>
        <v>16.767800000000001</v>
      </c>
      <c r="E982" s="81">
        <f>18.9703 * CHOOSE(CONTROL!$C$32, $C$9, 100%, $E$9)</f>
        <v>18.970300000000002</v>
      </c>
      <c r="F982" s="81">
        <f>18.9703 * CHOOSE(CONTROL!$C$32, $C$9, 100%, $E$9)</f>
        <v>18.970300000000002</v>
      </c>
      <c r="G982" s="81">
        <f>18.7682 * CHOOSE(CONTROL!$C$32, $C$9, 100%, $E$9)</f>
        <v>18.7682</v>
      </c>
      <c r="H982" s="81">
        <f>35.0933 * CHOOSE(CONTROL!$C$32, $C$9, 100%, $E$9)</f>
        <v>35.093299999999999</v>
      </c>
      <c r="I982" s="81">
        <f>34.8912 * CHOOSE(CONTROL!$C$32, $C$9, 100%, $E$9)</f>
        <v>34.891199999999998</v>
      </c>
      <c r="J982" s="81">
        <f>35.0933 * CHOOSE(CONTROL!$C$32, $C$9, 100%, $E$9)</f>
        <v>35.093299999999999</v>
      </c>
      <c r="K982" s="81">
        <f>34.8912 * CHOOSE(CONTROL!$C$32, $C$9, 100%, $E$9)</f>
        <v>34.891199999999998</v>
      </c>
      <c r="L982" s="81">
        <f>18.9703 * CHOOSE(CONTROL!$C$32, $C$9, 100%, $E$9)</f>
        <v>18.970300000000002</v>
      </c>
      <c r="M982" s="81">
        <f>18.7682 * CHOOSE(CONTROL!$C$32, $C$9, 100%, $E$9)</f>
        <v>18.7682</v>
      </c>
      <c r="N982" s="81">
        <f>18.9703 * CHOOSE(CONTROL!$C$32, $C$9, 100%, $E$9)</f>
        <v>18.970300000000002</v>
      </c>
      <c r="O982" s="81">
        <f>18.7682 * CHOOSE(CONTROL!$C$32, $C$9, 100%, $E$9)</f>
        <v>18.7682</v>
      </c>
    </row>
    <row r="983" spans="1:15" ht="15">
      <c r="A983" s="16">
        <v>71133</v>
      </c>
      <c r="B983" s="80">
        <f>16.9696 * CHOOSE(CONTROL!$C$32, $C$9, 100%, $E$9)</f>
        <v>16.9696</v>
      </c>
      <c r="C983" s="80">
        <f>16.9696 * CHOOSE(CONTROL!$C$32, $C$9, 100%, $E$9)</f>
        <v>16.9696</v>
      </c>
      <c r="D983" s="80">
        <f>16.8563 * CHOOSE(CONTROL!$C$32, $C$9, 100%, $E$9)</f>
        <v>16.856300000000001</v>
      </c>
      <c r="E983" s="81">
        <f>19.1003 * CHOOSE(CONTROL!$C$32, $C$9, 100%, $E$9)</f>
        <v>19.100300000000001</v>
      </c>
      <c r="F983" s="81">
        <f>19.1003 * CHOOSE(CONTROL!$C$32, $C$9, 100%, $E$9)</f>
        <v>19.100300000000001</v>
      </c>
      <c r="G983" s="81">
        <f>18.9606 * CHOOSE(CONTROL!$C$32, $C$9, 100%, $E$9)</f>
        <v>18.960599999999999</v>
      </c>
      <c r="H983" s="81">
        <f>35.1664 * CHOOSE(CONTROL!$C$32, $C$9, 100%, $E$9)</f>
        <v>35.166400000000003</v>
      </c>
      <c r="I983" s="81">
        <f>35.0267 * CHOOSE(CONTROL!$C$32, $C$9, 100%, $E$9)</f>
        <v>35.026699999999998</v>
      </c>
      <c r="J983" s="81">
        <f>35.1664 * CHOOSE(CONTROL!$C$32, $C$9, 100%, $E$9)</f>
        <v>35.166400000000003</v>
      </c>
      <c r="K983" s="81">
        <f>35.0267 * CHOOSE(CONTROL!$C$32, $C$9, 100%, $E$9)</f>
        <v>35.026699999999998</v>
      </c>
      <c r="L983" s="81">
        <f>19.1003 * CHOOSE(CONTROL!$C$32, $C$9, 100%, $E$9)</f>
        <v>19.100300000000001</v>
      </c>
      <c r="M983" s="81">
        <f>18.9606 * CHOOSE(CONTROL!$C$32, $C$9, 100%, $E$9)</f>
        <v>18.960599999999999</v>
      </c>
      <c r="N983" s="81">
        <f>19.1003 * CHOOSE(CONTROL!$C$32, $C$9, 100%, $E$9)</f>
        <v>19.100300000000001</v>
      </c>
      <c r="O983" s="81">
        <f>18.9606 * CHOOSE(CONTROL!$C$32, $C$9, 100%, $E$9)</f>
        <v>18.960599999999999</v>
      </c>
    </row>
    <row r="984" spans="1:15" ht="15">
      <c r="A984" s="16">
        <v>71164</v>
      </c>
      <c r="B984" s="80">
        <f>16.9727 * CHOOSE(CONTROL!$C$32, $C$9, 100%, $E$9)</f>
        <v>16.9727</v>
      </c>
      <c r="C984" s="80">
        <f>16.9727 * CHOOSE(CONTROL!$C$32, $C$9, 100%, $E$9)</f>
        <v>16.9727</v>
      </c>
      <c r="D984" s="80">
        <f>16.8593 * CHOOSE(CONTROL!$C$32, $C$9, 100%, $E$9)</f>
        <v>16.859300000000001</v>
      </c>
      <c r="E984" s="81">
        <f>19.1742 * CHOOSE(CONTROL!$C$32, $C$9, 100%, $E$9)</f>
        <v>19.174199999999999</v>
      </c>
      <c r="F984" s="81">
        <f>19.1742 * CHOOSE(CONTROL!$C$32, $C$9, 100%, $E$9)</f>
        <v>19.174199999999999</v>
      </c>
      <c r="G984" s="81">
        <f>19.0345 * CHOOSE(CONTROL!$C$32, $C$9, 100%, $E$9)</f>
        <v>19.034500000000001</v>
      </c>
      <c r="H984" s="81">
        <f>35.2397 * CHOOSE(CONTROL!$C$32, $C$9, 100%, $E$9)</f>
        <v>35.239699999999999</v>
      </c>
      <c r="I984" s="81">
        <f>35.1 * CHOOSE(CONTROL!$C$32, $C$9, 100%, $E$9)</f>
        <v>35.1</v>
      </c>
      <c r="J984" s="81">
        <f>35.2397 * CHOOSE(CONTROL!$C$32, $C$9, 100%, $E$9)</f>
        <v>35.239699999999999</v>
      </c>
      <c r="K984" s="81">
        <f>35.1 * CHOOSE(CONTROL!$C$32, $C$9, 100%, $E$9)</f>
        <v>35.1</v>
      </c>
      <c r="L984" s="81">
        <f>19.1742 * CHOOSE(CONTROL!$C$32, $C$9, 100%, $E$9)</f>
        <v>19.174199999999999</v>
      </c>
      <c r="M984" s="81">
        <f>19.0345 * CHOOSE(CONTROL!$C$32, $C$9, 100%, $E$9)</f>
        <v>19.034500000000001</v>
      </c>
      <c r="N984" s="81">
        <f>19.1742 * CHOOSE(CONTROL!$C$32, $C$9, 100%, $E$9)</f>
        <v>19.174199999999999</v>
      </c>
      <c r="O984" s="81">
        <f>19.0345 * CHOOSE(CONTROL!$C$32, $C$9, 100%, $E$9)</f>
        <v>19.034500000000001</v>
      </c>
    </row>
    <row r="985" spans="1:15" ht="15">
      <c r="A985" s="16">
        <v>71194</v>
      </c>
      <c r="B985" s="80">
        <f>16.9727 * CHOOSE(CONTROL!$C$32, $C$9, 100%, $E$9)</f>
        <v>16.9727</v>
      </c>
      <c r="C985" s="80">
        <f>16.9727 * CHOOSE(CONTROL!$C$32, $C$9, 100%, $E$9)</f>
        <v>16.9727</v>
      </c>
      <c r="D985" s="80">
        <f>16.8593 * CHOOSE(CONTROL!$C$32, $C$9, 100%, $E$9)</f>
        <v>16.859300000000001</v>
      </c>
      <c r="E985" s="81">
        <f>18.9948 * CHOOSE(CONTROL!$C$32, $C$9, 100%, $E$9)</f>
        <v>18.994800000000001</v>
      </c>
      <c r="F985" s="81">
        <f>18.9948 * CHOOSE(CONTROL!$C$32, $C$9, 100%, $E$9)</f>
        <v>18.994800000000001</v>
      </c>
      <c r="G985" s="81">
        <f>18.8552 * CHOOSE(CONTROL!$C$32, $C$9, 100%, $E$9)</f>
        <v>18.8552</v>
      </c>
      <c r="H985" s="81">
        <f>35.3131 * CHOOSE(CONTROL!$C$32, $C$9, 100%, $E$9)</f>
        <v>35.313099999999999</v>
      </c>
      <c r="I985" s="81">
        <f>35.1734 * CHOOSE(CONTROL!$C$32, $C$9, 100%, $E$9)</f>
        <v>35.173400000000001</v>
      </c>
      <c r="J985" s="81">
        <f>35.3131 * CHOOSE(CONTROL!$C$32, $C$9, 100%, $E$9)</f>
        <v>35.313099999999999</v>
      </c>
      <c r="K985" s="81">
        <f>35.1734 * CHOOSE(CONTROL!$C$32, $C$9, 100%, $E$9)</f>
        <v>35.173400000000001</v>
      </c>
      <c r="L985" s="81">
        <f>18.9948 * CHOOSE(CONTROL!$C$32, $C$9, 100%, $E$9)</f>
        <v>18.994800000000001</v>
      </c>
      <c r="M985" s="81">
        <f>18.8552 * CHOOSE(CONTROL!$C$32, $C$9, 100%, $E$9)</f>
        <v>18.8552</v>
      </c>
      <c r="N985" s="81">
        <f>18.9948 * CHOOSE(CONTROL!$C$32, $C$9, 100%, $E$9)</f>
        <v>18.994800000000001</v>
      </c>
      <c r="O985" s="81">
        <f>18.8552 * CHOOSE(CONTROL!$C$32, $C$9, 100%, $E$9)</f>
        <v>18.8552</v>
      </c>
    </row>
    <row r="986" spans="1:15" ht="15">
      <c r="A986" s="16">
        <v>71225</v>
      </c>
      <c r="B986" s="80">
        <f>16.9056 * CHOOSE(CONTROL!$C$32, $C$9, 100%, $E$9)</f>
        <v>16.9056</v>
      </c>
      <c r="C986" s="80">
        <f>16.9056 * CHOOSE(CONTROL!$C$32, $C$9, 100%, $E$9)</f>
        <v>16.9056</v>
      </c>
      <c r="D986" s="80">
        <f>16.7887 * CHOOSE(CONTROL!$C$32, $C$9, 100%, $E$9)</f>
        <v>16.788699999999999</v>
      </c>
      <c r="E986" s="81">
        <f>19.0697 * CHOOSE(CONTROL!$C$32, $C$9, 100%, $E$9)</f>
        <v>19.069700000000001</v>
      </c>
      <c r="F986" s="81">
        <f>19.0697 * CHOOSE(CONTROL!$C$32, $C$9, 100%, $E$9)</f>
        <v>19.069700000000001</v>
      </c>
      <c r="G986" s="81">
        <f>18.9256 * CHOOSE(CONTROL!$C$32, $C$9, 100%, $E$9)</f>
        <v>18.925599999999999</v>
      </c>
      <c r="H986" s="81">
        <f>34.9896 * CHOOSE(CONTROL!$C$32, $C$9, 100%, $E$9)</f>
        <v>34.989600000000003</v>
      </c>
      <c r="I986" s="81">
        <f>34.8456 * CHOOSE(CONTROL!$C$32, $C$9, 100%, $E$9)</f>
        <v>34.845599999999997</v>
      </c>
      <c r="J986" s="81">
        <f>34.9896 * CHOOSE(CONTROL!$C$32, $C$9, 100%, $E$9)</f>
        <v>34.989600000000003</v>
      </c>
      <c r="K986" s="81">
        <f>34.8456 * CHOOSE(CONTROL!$C$32, $C$9, 100%, $E$9)</f>
        <v>34.845599999999997</v>
      </c>
      <c r="L986" s="81">
        <f>19.0697 * CHOOSE(CONTROL!$C$32, $C$9, 100%, $E$9)</f>
        <v>19.069700000000001</v>
      </c>
      <c r="M986" s="81">
        <f>18.9256 * CHOOSE(CONTROL!$C$32, $C$9, 100%, $E$9)</f>
        <v>18.925599999999999</v>
      </c>
      <c r="N986" s="81">
        <f>19.0697 * CHOOSE(CONTROL!$C$32, $C$9, 100%, $E$9)</f>
        <v>19.069700000000001</v>
      </c>
      <c r="O986" s="81">
        <f>18.9256 * CHOOSE(CONTROL!$C$32, $C$9, 100%, $E$9)</f>
        <v>18.925599999999999</v>
      </c>
    </row>
    <row r="987" spans="1:15" ht="15">
      <c r="A987" s="16">
        <v>71256</v>
      </c>
      <c r="B987" s="80">
        <f>16.9025 * CHOOSE(CONTROL!$C$32, $C$9, 100%, $E$9)</f>
        <v>16.9025</v>
      </c>
      <c r="C987" s="80">
        <f>16.9025 * CHOOSE(CONTROL!$C$32, $C$9, 100%, $E$9)</f>
        <v>16.9025</v>
      </c>
      <c r="D987" s="80">
        <f>16.7856 * CHOOSE(CONTROL!$C$32, $C$9, 100%, $E$9)</f>
        <v>16.785599999999999</v>
      </c>
      <c r="E987" s="81">
        <f>18.7237 * CHOOSE(CONTROL!$C$32, $C$9, 100%, $E$9)</f>
        <v>18.723700000000001</v>
      </c>
      <c r="F987" s="81">
        <f>18.7237 * CHOOSE(CONTROL!$C$32, $C$9, 100%, $E$9)</f>
        <v>18.723700000000001</v>
      </c>
      <c r="G987" s="81">
        <f>18.5796 * CHOOSE(CONTROL!$C$32, $C$9, 100%, $E$9)</f>
        <v>18.579599999999999</v>
      </c>
      <c r="H987" s="81">
        <f>35.0625 * CHOOSE(CONTROL!$C$32, $C$9, 100%, $E$9)</f>
        <v>35.0625</v>
      </c>
      <c r="I987" s="81">
        <f>34.9185 * CHOOSE(CONTROL!$C$32, $C$9, 100%, $E$9)</f>
        <v>34.918500000000002</v>
      </c>
      <c r="J987" s="81">
        <f>35.0625 * CHOOSE(CONTROL!$C$32, $C$9, 100%, $E$9)</f>
        <v>35.0625</v>
      </c>
      <c r="K987" s="81">
        <f>34.9185 * CHOOSE(CONTROL!$C$32, $C$9, 100%, $E$9)</f>
        <v>34.918500000000002</v>
      </c>
      <c r="L987" s="81">
        <f>18.7237 * CHOOSE(CONTROL!$C$32, $C$9, 100%, $E$9)</f>
        <v>18.723700000000001</v>
      </c>
      <c r="M987" s="81">
        <f>18.5796 * CHOOSE(CONTROL!$C$32, $C$9, 100%, $E$9)</f>
        <v>18.579599999999999</v>
      </c>
      <c r="N987" s="81">
        <f>18.7237 * CHOOSE(CONTROL!$C$32, $C$9, 100%, $E$9)</f>
        <v>18.723700000000001</v>
      </c>
      <c r="O987" s="81">
        <f>18.5796 * CHOOSE(CONTROL!$C$32, $C$9, 100%, $E$9)</f>
        <v>18.579599999999999</v>
      </c>
    </row>
    <row r="988" spans="1:15" ht="15">
      <c r="A988" s="16">
        <v>71284</v>
      </c>
      <c r="B988" s="80">
        <f>16.8995 * CHOOSE(CONTROL!$C$32, $C$9, 100%, $E$9)</f>
        <v>16.8995</v>
      </c>
      <c r="C988" s="80">
        <f>16.8995 * CHOOSE(CONTROL!$C$32, $C$9, 100%, $E$9)</f>
        <v>16.8995</v>
      </c>
      <c r="D988" s="80">
        <f>16.7826 * CHOOSE(CONTROL!$C$32, $C$9, 100%, $E$9)</f>
        <v>16.782599999999999</v>
      </c>
      <c r="E988" s="81">
        <f>18.9926 * CHOOSE(CONTROL!$C$32, $C$9, 100%, $E$9)</f>
        <v>18.992599999999999</v>
      </c>
      <c r="F988" s="81">
        <f>18.9926 * CHOOSE(CONTROL!$C$32, $C$9, 100%, $E$9)</f>
        <v>18.992599999999999</v>
      </c>
      <c r="G988" s="81">
        <f>18.8486 * CHOOSE(CONTROL!$C$32, $C$9, 100%, $E$9)</f>
        <v>18.848600000000001</v>
      </c>
      <c r="H988" s="81">
        <f>35.1356 * CHOOSE(CONTROL!$C$32, $C$9, 100%, $E$9)</f>
        <v>35.135599999999997</v>
      </c>
      <c r="I988" s="81">
        <f>34.9915 * CHOOSE(CONTROL!$C$32, $C$9, 100%, $E$9)</f>
        <v>34.991500000000002</v>
      </c>
      <c r="J988" s="81">
        <f>35.1356 * CHOOSE(CONTROL!$C$32, $C$9, 100%, $E$9)</f>
        <v>35.135599999999997</v>
      </c>
      <c r="K988" s="81">
        <f>34.9915 * CHOOSE(CONTROL!$C$32, $C$9, 100%, $E$9)</f>
        <v>34.991500000000002</v>
      </c>
      <c r="L988" s="81">
        <f>18.9926 * CHOOSE(CONTROL!$C$32, $C$9, 100%, $E$9)</f>
        <v>18.992599999999999</v>
      </c>
      <c r="M988" s="81">
        <f>18.8486 * CHOOSE(CONTROL!$C$32, $C$9, 100%, $E$9)</f>
        <v>18.848600000000001</v>
      </c>
      <c r="N988" s="81">
        <f>18.9926 * CHOOSE(CONTROL!$C$32, $C$9, 100%, $E$9)</f>
        <v>18.992599999999999</v>
      </c>
      <c r="O988" s="81">
        <f>18.8486 * CHOOSE(CONTROL!$C$32, $C$9, 100%, $E$9)</f>
        <v>18.848600000000001</v>
      </c>
    </row>
    <row r="989" spans="1:15" ht="15">
      <c r="A989" s="16">
        <v>71315</v>
      </c>
      <c r="B989" s="80">
        <f>16.9079 * CHOOSE(CONTROL!$C$32, $C$9, 100%, $E$9)</f>
        <v>16.907900000000001</v>
      </c>
      <c r="C989" s="80">
        <f>16.9079 * CHOOSE(CONTROL!$C$32, $C$9, 100%, $E$9)</f>
        <v>16.907900000000001</v>
      </c>
      <c r="D989" s="80">
        <f>16.791 * CHOOSE(CONTROL!$C$32, $C$9, 100%, $E$9)</f>
        <v>16.791</v>
      </c>
      <c r="E989" s="81">
        <f>19.2795 * CHOOSE(CONTROL!$C$32, $C$9, 100%, $E$9)</f>
        <v>19.279499999999999</v>
      </c>
      <c r="F989" s="81">
        <f>19.2795 * CHOOSE(CONTROL!$C$32, $C$9, 100%, $E$9)</f>
        <v>19.279499999999999</v>
      </c>
      <c r="G989" s="81">
        <f>19.1355 * CHOOSE(CONTROL!$C$32, $C$9, 100%, $E$9)</f>
        <v>19.1355</v>
      </c>
      <c r="H989" s="81">
        <f>35.2088 * CHOOSE(CONTROL!$C$32, $C$9, 100%, $E$9)</f>
        <v>35.208799999999997</v>
      </c>
      <c r="I989" s="81">
        <f>35.0647 * CHOOSE(CONTROL!$C$32, $C$9, 100%, $E$9)</f>
        <v>35.064700000000002</v>
      </c>
      <c r="J989" s="81">
        <f>35.2088 * CHOOSE(CONTROL!$C$32, $C$9, 100%, $E$9)</f>
        <v>35.208799999999997</v>
      </c>
      <c r="K989" s="81">
        <f>35.0647 * CHOOSE(CONTROL!$C$32, $C$9, 100%, $E$9)</f>
        <v>35.064700000000002</v>
      </c>
      <c r="L989" s="81">
        <f>19.2795 * CHOOSE(CONTROL!$C$32, $C$9, 100%, $E$9)</f>
        <v>19.279499999999999</v>
      </c>
      <c r="M989" s="81">
        <f>19.1355 * CHOOSE(CONTROL!$C$32, $C$9, 100%, $E$9)</f>
        <v>19.1355</v>
      </c>
      <c r="N989" s="81">
        <f>19.2795 * CHOOSE(CONTROL!$C$32, $C$9, 100%, $E$9)</f>
        <v>19.279499999999999</v>
      </c>
      <c r="O989" s="81">
        <f>19.1355 * CHOOSE(CONTROL!$C$32, $C$9, 100%, $E$9)</f>
        <v>19.1355</v>
      </c>
    </row>
    <row r="990" spans="1:15" ht="15">
      <c r="A990" s="16">
        <v>71345</v>
      </c>
      <c r="B990" s="80">
        <f>16.9079 * CHOOSE(CONTROL!$C$32, $C$9, 100%, $E$9)</f>
        <v>16.907900000000001</v>
      </c>
      <c r="C990" s="80">
        <f>16.9079 * CHOOSE(CONTROL!$C$32, $C$9, 100%, $E$9)</f>
        <v>16.907900000000001</v>
      </c>
      <c r="D990" s="80">
        <f>16.7375 * CHOOSE(CONTROL!$C$32, $C$9, 100%, $E$9)</f>
        <v>16.737500000000001</v>
      </c>
      <c r="E990" s="81">
        <f>19.3887 * CHOOSE(CONTROL!$C$32, $C$9, 100%, $E$9)</f>
        <v>19.3887</v>
      </c>
      <c r="F990" s="81">
        <f>19.3887 * CHOOSE(CONTROL!$C$32, $C$9, 100%, $E$9)</f>
        <v>19.3887</v>
      </c>
      <c r="G990" s="81">
        <f>19.1803 * CHOOSE(CONTROL!$C$32, $C$9, 100%, $E$9)</f>
        <v>19.180299999999999</v>
      </c>
      <c r="H990" s="81">
        <f>35.2821 * CHOOSE(CONTROL!$C$32, $C$9, 100%, $E$9)</f>
        <v>35.2821</v>
      </c>
      <c r="I990" s="81">
        <f>35.0737 * CHOOSE(CONTROL!$C$32, $C$9, 100%, $E$9)</f>
        <v>35.073700000000002</v>
      </c>
      <c r="J990" s="81">
        <f>35.2821 * CHOOSE(CONTROL!$C$32, $C$9, 100%, $E$9)</f>
        <v>35.2821</v>
      </c>
      <c r="K990" s="81">
        <f>35.0737 * CHOOSE(CONTROL!$C$32, $C$9, 100%, $E$9)</f>
        <v>35.073700000000002</v>
      </c>
      <c r="L990" s="81">
        <f>19.3887 * CHOOSE(CONTROL!$C$32, $C$9, 100%, $E$9)</f>
        <v>19.3887</v>
      </c>
      <c r="M990" s="81">
        <f>19.1803 * CHOOSE(CONTROL!$C$32, $C$9, 100%, $E$9)</f>
        <v>19.180299999999999</v>
      </c>
      <c r="N990" s="81">
        <f>19.3887 * CHOOSE(CONTROL!$C$32, $C$9, 100%, $E$9)</f>
        <v>19.3887</v>
      </c>
      <c r="O990" s="81">
        <f>19.1803 * CHOOSE(CONTROL!$C$32, $C$9, 100%, $E$9)</f>
        <v>19.180299999999999</v>
      </c>
    </row>
    <row r="991" spans="1:15" ht="15">
      <c r="A991" s="16">
        <v>71376</v>
      </c>
      <c r="B991" s="80">
        <f>16.914 * CHOOSE(CONTROL!$C$32, $C$9, 100%, $E$9)</f>
        <v>16.914000000000001</v>
      </c>
      <c r="C991" s="80">
        <f>16.914 * CHOOSE(CONTROL!$C$32, $C$9, 100%, $E$9)</f>
        <v>16.914000000000001</v>
      </c>
      <c r="D991" s="80">
        <f>16.7436 * CHOOSE(CONTROL!$C$32, $C$9, 100%, $E$9)</f>
        <v>16.743600000000001</v>
      </c>
      <c r="E991" s="81">
        <f>19.2838 * CHOOSE(CONTROL!$C$32, $C$9, 100%, $E$9)</f>
        <v>19.283799999999999</v>
      </c>
      <c r="F991" s="81">
        <f>19.2838 * CHOOSE(CONTROL!$C$32, $C$9, 100%, $E$9)</f>
        <v>19.283799999999999</v>
      </c>
      <c r="G991" s="81">
        <f>19.0754 * CHOOSE(CONTROL!$C$32, $C$9, 100%, $E$9)</f>
        <v>19.075399999999998</v>
      </c>
      <c r="H991" s="81">
        <f>35.3556 * CHOOSE(CONTROL!$C$32, $C$9, 100%, $E$9)</f>
        <v>35.355600000000003</v>
      </c>
      <c r="I991" s="81">
        <f>35.1472 * CHOOSE(CONTROL!$C$32, $C$9, 100%, $E$9)</f>
        <v>35.147199999999998</v>
      </c>
      <c r="J991" s="81">
        <f>35.3556 * CHOOSE(CONTROL!$C$32, $C$9, 100%, $E$9)</f>
        <v>35.355600000000003</v>
      </c>
      <c r="K991" s="81">
        <f>35.1472 * CHOOSE(CONTROL!$C$32, $C$9, 100%, $E$9)</f>
        <v>35.147199999999998</v>
      </c>
      <c r="L991" s="81">
        <f>19.2838 * CHOOSE(CONTROL!$C$32, $C$9, 100%, $E$9)</f>
        <v>19.283799999999999</v>
      </c>
      <c r="M991" s="81">
        <f>19.0754 * CHOOSE(CONTROL!$C$32, $C$9, 100%, $E$9)</f>
        <v>19.075399999999998</v>
      </c>
      <c r="N991" s="81">
        <f>19.2838 * CHOOSE(CONTROL!$C$32, $C$9, 100%, $E$9)</f>
        <v>19.283799999999999</v>
      </c>
      <c r="O991" s="81">
        <f>19.0754 * CHOOSE(CONTROL!$C$32, $C$9, 100%, $E$9)</f>
        <v>19.075399999999998</v>
      </c>
    </row>
    <row r="992" spans="1:15" ht="15">
      <c r="A992" s="16">
        <v>71406</v>
      </c>
      <c r="B992" s="80">
        <f>17.1686 * CHOOSE(CONTROL!$C$32, $C$9, 100%, $E$9)</f>
        <v>17.168600000000001</v>
      </c>
      <c r="C992" s="80">
        <f>17.1686 * CHOOSE(CONTROL!$C$32, $C$9, 100%, $E$9)</f>
        <v>17.168600000000001</v>
      </c>
      <c r="D992" s="80">
        <f>16.9982 * CHOOSE(CONTROL!$C$32, $C$9, 100%, $E$9)</f>
        <v>16.998200000000001</v>
      </c>
      <c r="E992" s="81">
        <f>19.5882 * CHOOSE(CONTROL!$C$32, $C$9, 100%, $E$9)</f>
        <v>19.588200000000001</v>
      </c>
      <c r="F992" s="81">
        <f>19.5882 * CHOOSE(CONTROL!$C$32, $C$9, 100%, $E$9)</f>
        <v>19.588200000000001</v>
      </c>
      <c r="G992" s="81">
        <f>19.3798 * CHOOSE(CONTROL!$C$32, $C$9, 100%, $E$9)</f>
        <v>19.379799999999999</v>
      </c>
      <c r="H992" s="81">
        <f>35.4293 * CHOOSE(CONTROL!$C$32, $C$9, 100%, $E$9)</f>
        <v>35.429299999999998</v>
      </c>
      <c r="I992" s="81">
        <f>35.2209 * CHOOSE(CONTROL!$C$32, $C$9, 100%, $E$9)</f>
        <v>35.2209</v>
      </c>
      <c r="J992" s="81">
        <f>35.4293 * CHOOSE(CONTROL!$C$32, $C$9, 100%, $E$9)</f>
        <v>35.429299999999998</v>
      </c>
      <c r="K992" s="81">
        <f>35.2209 * CHOOSE(CONTROL!$C$32, $C$9, 100%, $E$9)</f>
        <v>35.2209</v>
      </c>
      <c r="L992" s="81">
        <f>19.5882 * CHOOSE(CONTROL!$C$32, $C$9, 100%, $E$9)</f>
        <v>19.588200000000001</v>
      </c>
      <c r="M992" s="81">
        <f>19.3798 * CHOOSE(CONTROL!$C$32, $C$9, 100%, $E$9)</f>
        <v>19.379799999999999</v>
      </c>
      <c r="N992" s="81">
        <f>19.5882 * CHOOSE(CONTROL!$C$32, $C$9, 100%, $E$9)</f>
        <v>19.588200000000001</v>
      </c>
      <c r="O992" s="81">
        <f>19.3798 * CHOOSE(CONTROL!$C$32, $C$9, 100%, $E$9)</f>
        <v>19.379799999999999</v>
      </c>
    </row>
    <row r="993" spans="1:15" ht="15">
      <c r="A993" s="16">
        <v>71437</v>
      </c>
      <c r="B993" s="80">
        <f>17.1753 * CHOOSE(CONTROL!$C$32, $C$9, 100%, $E$9)</f>
        <v>17.1753</v>
      </c>
      <c r="C993" s="80">
        <f>17.1753 * CHOOSE(CONTROL!$C$32, $C$9, 100%, $E$9)</f>
        <v>17.1753</v>
      </c>
      <c r="D993" s="80">
        <f>17.0049 * CHOOSE(CONTROL!$C$32, $C$9, 100%, $E$9)</f>
        <v>17.004899999999999</v>
      </c>
      <c r="E993" s="81">
        <f>19.2653 * CHOOSE(CONTROL!$C$32, $C$9, 100%, $E$9)</f>
        <v>19.2653</v>
      </c>
      <c r="F993" s="81">
        <f>19.2653 * CHOOSE(CONTROL!$C$32, $C$9, 100%, $E$9)</f>
        <v>19.2653</v>
      </c>
      <c r="G993" s="81">
        <f>19.0569 * CHOOSE(CONTROL!$C$32, $C$9, 100%, $E$9)</f>
        <v>19.056899999999999</v>
      </c>
      <c r="H993" s="81">
        <f>35.5031 * CHOOSE(CONTROL!$C$32, $C$9, 100%, $E$9)</f>
        <v>35.503100000000003</v>
      </c>
      <c r="I993" s="81">
        <f>35.2947 * CHOOSE(CONTROL!$C$32, $C$9, 100%, $E$9)</f>
        <v>35.294699999999999</v>
      </c>
      <c r="J993" s="81">
        <f>35.5031 * CHOOSE(CONTROL!$C$32, $C$9, 100%, $E$9)</f>
        <v>35.503100000000003</v>
      </c>
      <c r="K993" s="81">
        <f>35.2947 * CHOOSE(CONTROL!$C$32, $C$9, 100%, $E$9)</f>
        <v>35.294699999999999</v>
      </c>
      <c r="L993" s="81">
        <f>19.2653 * CHOOSE(CONTROL!$C$32, $C$9, 100%, $E$9)</f>
        <v>19.2653</v>
      </c>
      <c r="M993" s="81">
        <f>19.0569 * CHOOSE(CONTROL!$C$32, $C$9, 100%, $E$9)</f>
        <v>19.056899999999999</v>
      </c>
      <c r="N993" s="81">
        <f>19.2653 * CHOOSE(CONTROL!$C$32, $C$9, 100%, $E$9)</f>
        <v>19.2653</v>
      </c>
      <c r="O993" s="81">
        <f>19.0569 * CHOOSE(CONTROL!$C$32, $C$9, 100%, $E$9)</f>
        <v>19.056899999999999</v>
      </c>
    </row>
    <row r="994" spans="1:15" ht="15">
      <c r="A994" s="16">
        <v>71468</v>
      </c>
      <c r="B994" s="80">
        <f>17.1722 * CHOOSE(CONTROL!$C$32, $C$9, 100%, $E$9)</f>
        <v>17.1722</v>
      </c>
      <c r="C994" s="80">
        <f>17.1722 * CHOOSE(CONTROL!$C$32, $C$9, 100%, $E$9)</f>
        <v>17.1722</v>
      </c>
      <c r="D994" s="80">
        <f>17.0018 * CHOOSE(CONTROL!$C$32, $C$9, 100%, $E$9)</f>
        <v>17.001799999999999</v>
      </c>
      <c r="E994" s="81">
        <f>19.2268 * CHOOSE(CONTROL!$C$32, $C$9, 100%, $E$9)</f>
        <v>19.226800000000001</v>
      </c>
      <c r="F994" s="81">
        <f>19.2268 * CHOOSE(CONTROL!$C$32, $C$9, 100%, $E$9)</f>
        <v>19.226800000000001</v>
      </c>
      <c r="G994" s="81">
        <f>19.0184 * CHOOSE(CONTROL!$C$32, $C$9, 100%, $E$9)</f>
        <v>19.0184</v>
      </c>
      <c r="H994" s="81">
        <f>35.5771 * CHOOSE(CONTROL!$C$32, $C$9, 100%, $E$9)</f>
        <v>35.577100000000002</v>
      </c>
      <c r="I994" s="81">
        <f>35.3687 * CHOOSE(CONTROL!$C$32, $C$9, 100%, $E$9)</f>
        <v>35.368699999999997</v>
      </c>
      <c r="J994" s="81">
        <f>35.5771 * CHOOSE(CONTROL!$C$32, $C$9, 100%, $E$9)</f>
        <v>35.577100000000002</v>
      </c>
      <c r="K994" s="81">
        <f>35.3687 * CHOOSE(CONTROL!$C$32, $C$9, 100%, $E$9)</f>
        <v>35.368699999999997</v>
      </c>
      <c r="L994" s="81">
        <f>19.2268 * CHOOSE(CONTROL!$C$32, $C$9, 100%, $E$9)</f>
        <v>19.226800000000001</v>
      </c>
      <c r="M994" s="81">
        <f>19.0184 * CHOOSE(CONTROL!$C$32, $C$9, 100%, $E$9)</f>
        <v>19.0184</v>
      </c>
      <c r="N994" s="81">
        <f>19.2268 * CHOOSE(CONTROL!$C$32, $C$9, 100%, $E$9)</f>
        <v>19.226800000000001</v>
      </c>
      <c r="O994" s="81">
        <f>19.0184 * CHOOSE(CONTROL!$C$32, $C$9, 100%, $E$9)</f>
        <v>19.0184</v>
      </c>
    </row>
    <row r="995" spans="1:15" ht="15">
      <c r="A995" s="16">
        <v>71498</v>
      </c>
      <c r="B995" s="80">
        <f>17.2096 * CHOOSE(CONTROL!$C$32, $C$9, 100%, $E$9)</f>
        <v>17.209599999999998</v>
      </c>
      <c r="C995" s="80">
        <f>17.2096 * CHOOSE(CONTROL!$C$32, $C$9, 100%, $E$9)</f>
        <v>17.209599999999998</v>
      </c>
      <c r="D995" s="80">
        <f>17.0927 * CHOOSE(CONTROL!$C$32, $C$9, 100%, $E$9)</f>
        <v>17.092700000000001</v>
      </c>
      <c r="E995" s="81">
        <f>19.359 * CHOOSE(CONTROL!$C$32, $C$9, 100%, $E$9)</f>
        <v>19.359000000000002</v>
      </c>
      <c r="F995" s="81">
        <f>19.359 * CHOOSE(CONTROL!$C$32, $C$9, 100%, $E$9)</f>
        <v>19.359000000000002</v>
      </c>
      <c r="G995" s="81">
        <f>19.2149 * CHOOSE(CONTROL!$C$32, $C$9, 100%, $E$9)</f>
        <v>19.2149</v>
      </c>
      <c r="H995" s="81">
        <f>35.6512 * CHOOSE(CONTROL!$C$32, $C$9, 100%, $E$9)</f>
        <v>35.651200000000003</v>
      </c>
      <c r="I995" s="81">
        <f>35.5071 * CHOOSE(CONTROL!$C$32, $C$9, 100%, $E$9)</f>
        <v>35.507100000000001</v>
      </c>
      <c r="J995" s="81">
        <f>35.6512 * CHOOSE(CONTROL!$C$32, $C$9, 100%, $E$9)</f>
        <v>35.651200000000003</v>
      </c>
      <c r="K995" s="81">
        <f>35.5071 * CHOOSE(CONTROL!$C$32, $C$9, 100%, $E$9)</f>
        <v>35.507100000000001</v>
      </c>
      <c r="L995" s="81">
        <f>19.359 * CHOOSE(CONTROL!$C$32, $C$9, 100%, $E$9)</f>
        <v>19.359000000000002</v>
      </c>
      <c r="M995" s="81">
        <f>19.2149 * CHOOSE(CONTROL!$C$32, $C$9, 100%, $E$9)</f>
        <v>19.2149</v>
      </c>
      <c r="N995" s="81">
        <f>19.359 * CHOOSE(CONTROL!$C$32, $C$9, 100%, $E$9)</f>
        <v>19.359000000000002</v>
      </c>
      <c r="O995" s="81">
        <f>19.2149 * CHOOSE(CONTROL!$C$32, $C$9, 100%, $E$9)</f>
        <v>19.2149</v>
      </c>
    </row>
    <row r="996" spans="1:15" ht="15">
      <c r="A996" s="16">
        <v>71529</v>
      </c>
      <c r="B996" s="80">
        <f>17.2126 * CHOOSE(CONTROL!$C$32, $C$9, 100%, $E$9)</f>
        <v>17.212599999999998</v>
      </c>
      <c r="C996" s="80">
        <f>17.2126 * CHOOSE(CONTROL!$C$32, $C$9, 100%, $E$9)</f>
        <v>17.212599999999998</v>
      </c>
      <c r="D996" s="80">
        <f>17.0957 * CHOOSE(CONTROL!$C$32, $C$9, 100%, $E$9)</f>
        <v>17.095700000000001</v>
      </c>
      <c r="E996" s="81">
        <f>19.4339 * CHOOSE(CONTROL!$C$32, $C$9, 100%, $E$9)</f>
        <v>19.433900000000001</v>
      </c>
      <c r="F996" s="81">
        <f>19.4339 * CHOOSE(CONTROL!$C$32, $C$9, 100%, $E$9)</f>
        <v>19.433900000000001</v>
      </c>
      <c r="G996" s="81">
        <f>19.2898 * CHOOSE(CONTROL!$C$32, $C$9, 100%, $E$9)</f>
        <v>19.2898</v>
      </c>
      <c r="H996" s="81">
        <f>35.7254 * CHOOSE(CONTROL!$C$32, $C$9, 100%, $E$9)</f>
        <v>35.7254</v>
      </c>
      <c r="I996" s="81">
        <f>35.5814 * CHOOSE(CONTROL!$C$32, $C$9, 100%, $E$9)</f>
        <v>35.581400000000002</v>
      </c>
      <c r="J996" s="81">
        <f>35.7254 * CHOOSE(CONTROL!$C$32, $C$9, 100%, $E$9)</f>
        <v>35.7254</v>
      </c>
      <c r="K996" s="81">
        <f>35.5814 * CHOOSE(CONTROL!$C$32, $C$9, 100%, $E$9)</f>
        <v>35.581400000000002</v>
      </c>
      <c r="L996" s="81">
        <f>19.4339 * CHOOSE(CONTROL!$C$32, $C$9, 100%, $E$9)</f>
        <v>19.433900000000001</v>
      </c>
      <c r="M996" s="81">
        <f>19.2898 * CHOOSE(CONTROL!$C$32, $C$9, 100%, $E$9)</f>
        <v>19.2898</v>
      </c>
      <c r="N996" s="81">
        <f>19.4339 * CHOOSE(CONTROL!$C$32, $C$9, 100%, $E$9)</f>
        <v>19.433900000000001</v>
      </c>
      <c r="O996" s="81">
        <f>19.2898 * CHOOSE(CONTROL!$C$32, $C$9, 100%, $E$9)</f>
        <v>19.2898</v>
      </c>
    </row>
    <row r="997" spans="1:15" ht="15">
      <c r="A997" s="16">
        <v>71559</v>
      </c>
      <c r="B997" s="80">
        <f>17.2126 * CHOOSE(CONTROL!$C$32, $C$9, 100%, $E$9)</f>
        <v>17.212599999999998</v>
      </c>
      <c r="C997" s="80">
        <f>17.2126 * CHOOSE(CONTROL!$C$32, $C$9, 100%, $E$9)</f>
        <v>17.212599999999998</v>
      </c>
      <c r="D997" s="80">
        <f>17.0957 * CHOOSE(CONTROL!$C$32, $C$9, 100%, $E$9)</f>
        <v>17.095700000000001</v>
      </c>
      <c r="E997" s="81">
        <f>19.2519 * CHOOSE(CONTROL!$C$32, $C$9, 100%, $E$9)</f>
        <v>19.251899999999999</v>
      </c>
      <c r="F997" s="81">
        <f>19.2519 * CHOOSE(CONTROL!$C$32, $C$9, 100%, $E$9)</f>
        <v>19.251899999999999</v>
      </c>
      <c r="G997" s="81">
        <f>19.1079 * CHOOSE(CONTROL!$C$32, $C$9, 100%, $E$9)</f>
        <v>19.107900000000001</v>
      </c>
      <c r="H997" s="81">
        <f>35.7999 * CHOOSE(CONTROL!$C$32, $C$9, 100%, $E$9)</f>
        <v>35.799900000000001</v>
      </c>
      <c r="I997" s="81">
        <f>35.6558 * CHOOSE(CONTROL!$C$32, $C$9, 100%, $E$9)</f>
        <v>35.655799999999999</v>
      </c>
      <c r="J997" s="81">
        <f>35.7999 * CHOOSE(CONTROL!$C$32, $C$9, 100%, $E$9)</f>
        <v>35.799900000000001</v>
      </c>
      <c r="K997" s="81">
        <f>35.6558 * CHOOSE(CONTROL!$C$32, $C$9, 100%, $E$9)</f>
        <v>35.655799999999999</v>
      </c>
      <c r="L997" s="81">
        <f>19.2519 * CHOOSE(CONTROL!$C$32, $C$9, 100%, $E$9)</f>
        <v>19.251899999999999</v>
      </c>
      <c r="M997" s="81">
        <f>19.1079 * CHOOSE(CONTROL!$C$32, $C$9, 100%, $E$9)</f>
        <v>19.107900000000001</v>
      </c>
      <c r="N997" s="81">
        <f>19.2519 * CHOOSE(CONTROL!$C$32, $C$9, 100%, $E$9)</f>
        <v>19.251899999999999</v>
      </c>
      <c r="O997" s="81">
        <f>19.1079 * CHOOSE(CONTROL!$C$32, $C$9, 100%, $E$9)</f>
        <v>19.107900000000001</v>
      </c>
    </row>
    <row r="998" spans="1:15" ht="15">
      <c r="A998" s="16">
        <v>71590</v>
      </c>
      <c r="B998" s="80">
        <f>17.1412 * CHOOSE(CONTROL!$C$32, $C$9, 100%, $E$9)</f>
        <v>17.141200000000001</v>
      </c>
      <c r="C998" s="80">
        <f>17.1412 * CHOOSE(CONTROL!$C$32, $C$9, 100%, $E$9)</f>
        <v>17.141200000000001</v>
      </c>
      <c r="D998" s="80">
        <f>17.0207 * CHOOSE(CONTROL!$C$32, $C$9, 100%, $E$9)</f>
        <v>17.020700000000001</v>
      </c>
      <c r="E998" s="81">
        <f>19.3244 * CHOOSE(CONTROL!$C$32, $C$9, 100%, $E$9)</f>
        <v>19.324400000000001</v>
      </c>
      <c r="F998" s="81">
        <f>19.3244 * CHOOSE(CONTROL!$C$32, $C$9, 100%, $E$9)</f>
        <v>19.324400000000001</v>
      </c>
      <c r="G998" s="81">
        <f>19.176 * CHOOSE(CONTROL!$C$32, $C$9, 100%, $E$9)</f>
        <v>19.175999999999998</v>
      </c>
      <c r="H998" s="81">
        <f>35.4654 * CHOOSE(CONTROL!$C$32, $C$9, 100%, $E$9)</f>
        <v>35.465400000000002</v>
      </c>
      <c r="I998" s="81">
        <f>35.317 * CHOOSE(CONTROL!$C$32, $C$9, 100%, $E$9)</f>
        <v>35.317</v>
      </c>
      <c r="J998" s="81">
        <f>35.4654 * CHOOSE(CONTROL!$C$32, $C$9, 100%, $E$9)</f>
        <v>35.465400000000002</v>
      </c>
      <c r="K998" s="81">
        <f>35.317 * CHOOSE(CONTROL!$C$32, $C$9, 100%, $E$9)</f>
        <v>35.317</v>
      </c>
      <c r="L998" s="81">
        <f>19.3244 * CHOOSE(CONTROL!$C$32, $C$9, 100%, $E$9)</f>
        <v>19.324400000000001</v>
      </c>
      <c r="M998" s="81">
        <f>19.176 * CHOOSE(CONTROL!$C$32, $C$9, 100%, $E$9)</f>
        <v>19.175999999999998</v>
      </c>
      <c r="N998" s="81">
        <f>19.3244 * CHOOSE(CONTROL!$C$32, $C$9, 100%, $E$9)</f>
        <v>19.324400000000001</v>
      </c>
      <c r="O998" s="81">
        <f>19.176 * CHOOSE(CONTROL!$C$32, $C$9, 100%, $E$9)</f>
        <v>19.175999999999998</v>
      </c>
    </row>
    <row r="999" spans="1:15" ht="15">
      <c r="A999" s="16">
        <v>71621</v>
      </c>
      <c r="B999" s="80">
        <f>17.1381 * CHOOSE(CONTROL!$C$32, $C$9, 100%, $E$9)</f>
        <v>17.138100000000001</v>
      </c>
      <c r="C999" s="80">
        <f>17.1381 * CHOOSE(CONTROL!$C$32, $C$9, 100%, $E$9)</f>
        <v>17.138100000000001</v>
      </c>
      <c r="D999" s="80">
        <f>17.0177 * CHOOSE(CONTROL!$C$32, $C$9, 100%, $E$9)</f>
        <v>17.017700000000001</v>
      </c>
      <c r="E999" s="81">
        <f>18.9735 * CHOOSE(CONTROL!$C$32, $C$9, 100%, $E$9)</f>
        <v>18.973500000000001</v>
      </c>
      <c r="F999" s="81">
        <f>18.9735 * CHOOSE(CONTROL!$C$32, $C$9, 100%, $E$9)</f>
        <v>18.973500000000001</v>
      </c>
      <c r="G999" s="81">
        <f>18.8251 * CHOOSE(CONTROL!$C$32, $C$9, 100%, $E$9)</f>
        <v>18.825099999999999</v>
      </c>
      <c r="H999" s="81">
        <f>35.5393 * CHOOSE(CONTROL!$C$32, $C$9, 100%, $E$9)</f>
        <v>35.539299999999997</v>
      </c>
      <c r="I999" s="81">
        <f>35.3909 * CHOOSE(CONTROL!$C$32, $C$9, 100%, $E$9)</f>
        <v>35.390900000000002</v>
      </c>
      <c r="J999" s="81">
        <f>35.5393 * CHOOSE(CONTROL!$C$32, $C$9, 100%, $E$9)</f>
        <v>35.539299999999997</v>
      </c>
      <c r="K999" s="81">
        <f>35.3909 * CHOOSE(CONTROL!$C$32, $C$9, 100%, $E$9)</f>
        <v>35.390900000000002</v>
      </c>
      <c r="L999" s="81">
        <f>18.9735 * CHOOSE(CONTROL!$C$32, $C$9, 100%, $E$9)</f>
        <v>18.973500000000001</v>
      </c>
      <c r="M999" s="81">
        <f>18.8251 * CHOOSE(CONTROL!$C$32, $C$9, 100%, $E$9)</f>
        <v>18.825099999999999</v>
      </c>
      <c r="N999" s="81">
        <f>18.9735 * CHOOSE(CONTROL!$C$32, $C$9, 100%, $E$9)</f>
        <v>18.973500000000001</v>
      </c>
      <c r="O999" s="81">
        <f>18.8251 * CHOOSE(CONTROL!$C$32, $C$9, 100%, $E$9)</f>
        <v>18.825099999999999</v>
      </c>
    </row>
    <row r="1000" spans="1:15" ht="15">
      <c r="A1000" s="16">
        <v>71650</v>
      </c>
      <c r="B1000" s="80">
        <f>17.1351 * CHOOSE(CONTROL!$C$32, $C$9, 100%, $E$9)</f>
        <v>17.135100000000001</v>
      </c>
      <c r="C1000" s="80">
        <f>17.1351 * CHOOSE(CONTROL!$C$32, $C$9, 100%, $E$9)</f>
        <v>17.135100000000001</v>
      </c>
      <c r="D1000" s="80">
        <f>17.0146 * CHOOSE(CONTROL!$C$32, $C$9, 100%, $E$9)</f>
        <v>17.014600000000002</v>
      </c>
      <c r="E1000" s="81">
        <f>19.2463 * CHOOSE(CONTROL!$C$32, $C$9, 100%, $E$9)</f>
        <v>19.246300000000002</v>
      </c>
      <c r="F1000" s="81">
        <f>19.2463 * CHOOSE(CONTROL!$C$32, $C$9, 100%, $E$9)</f>
        <v>19.246300000000002</v>
      </c>
      <c r="G1000" s="81">
        <f>19.0979 * CHOOSE(CONTROL!$C$32, $C$9, 100%, $E$9)</f>
        <v>19.097899999999999</v>
      </c>
      <c r="H1000" s="81">
        <f>35.6133 * CHOOSE(CONTROL!$C$32, $C$9, 100%, $E$9)</f>
        <v>35.613300000000002</v>
      </c>
      <c r="I1000" s="81">
        <f>35.4649 * CHOOSE(CONTROL!$C$32, $C$9, 100%, $E$9)</f>
        <v>35.4649</v>
      </c>
      <c r="J1000" s="81">
        <f>35.6133 * CHOOSE(CONTROL!$C$32, $C$9, 100%, $E$9)</f>
        <v>35.613300000000002</v>
      </c>
      <c r="K1000" s="81">
        <f>35.4649 * CHOOSE(CONTROL!$C$32, $C$9, 100%, $E$9)</f>
        <v>35.4649</v>
      </c>
      <c r="L1000" s="81">
        <f>19.2463 * CHOOSE(CONTROL!$C$32, $C$9, 100%, $E$9)</f>
        <v>19.246300000000002</v>
      </c>
      <c r="M1000" s="81">
        <f>19.0979 * CHOOSE(CONTROL!$C$32, $C$9, 100%, $E$9)</f>
        <v>19.097899999999999</v>
      </c>
      <c r="N1000" s="81">
        <f>19.2463 * CHOOSE(CONTROL!$C$32, $C$9, 100%, $E$9)</f>
        <v>19.246300000000002</v>
      </c>
      <c r="O1000" s="81">
        <f>19.0979 * CHOOSE(CONTROL!$C$32, $C$9, 100%, $E$9)</f>
        <v>19.097899999999999</v>
      </c>
    </row>
    <row r="1001" spans="1:15" ht="15">
      <c r="A1001" s="16">
        <v>71681</v>
      </c>
      <c r="B1001" s="80">
        <f>17.1437 * CHOOSE(CONTROL!$C$32, $C$9, 100%, $E$9)</f>
        <v>17.143699999999999</v>
      </c>
      <c r="C1001" s="80">
        <f>17.1437 * CHOOSE(CONTROL!$C$32, $C$9, 100%, $E$9)</f>
        <v>17.143699999999999</v>
      </c>
      <c r="D1001" s="80">
        <f>17.0233 * CHOOSE(CONTROL!$C$32, $C$9, 100%, $E$9)</f>
        <v>17.023299999999999</v>
      </c>
      <c r="E1001" s="81">
        <f>19.5374 * CHOOSE(CONTROL!$C$32, $C$9, 100%, $E$9)</f>
        <v>19.537400000000002</v>
      </c>
      <c r="F1001" s="81">
        <f>19.5374 * CHOOSE(CONTROL!$C$32, $C$9, 100%, $E$9)</f>
        <v>19.537400000000002</v>
      </c>
      <c r="G1001" s="81">
        <f>19.389 * CHOOSE(CONTROL!$C$32, $C$9, 100%, $E$9)</f>
        <v>19.388999999999999</v>
      </c>
      <c r="H1001" s="81">
        <f>35.6875 * CHOOSE(CONTROL!$C$32, $C$9, 100%, $E$9)</f>
        <v>35.6875</v>
      </c>
      <c r="I1001" s="81">
        <f>35.5391 * CHOOSE(CONTROL!$C$32, $C$9, 100%, $E$9)</f>
        <v>35.539099999999998</v>
      </c>
      <c r="J1001" s="81">
        <f>35.6875 * CHOOSE(CONTROL!$C$32, $C$9, 100%, $E$9)</f>
        <v>35.6875</v>
      </c>
      <c r="K1001" s="81">
        <f>35.5391 * CHOOSE(CONTROL!$C$32, $C$9, 100%, $E$9)</f>
        <v>35.539099999999998</v>
      </c>
      <c r="L1001" s="81">
        <f>19.5374 * CHOOSE(CONTROL!$C$32, $C$9, 100%, $E$9)</f>
        <v>19.537400000000002</v>
      </c>
      <c r="M1001" s="81">
        <f>19.389 * CHOOSE(CONTROL!$C$32, $C$9, 100%, $E$9)</f>
        <v>19.388999999999999</v>
      </c>
      <c r="N1001" s="81">
        <f>19.5374 * CHOOSE(CONTROL!$C$32, $C$9, 100%, $E$9)</f>
        <v>19.537400000000002</v>
      </c>
      <c r="O1001" s="81">
        <f>19.389 * CHOOSE(CONTROL!$C$32, $C$9, 100%, $E$9)</f>
        <v>19.388999999999999</v>
      </c>
    </row>
    <row r="1002" spans="1:15" ht="15">
      <c r="A1002" s="16">
        <v>71711</v>
      </c>
      <c r="B1002" s="80">
        <f>17.1437 * CHOOSE(CONTROL!$C$32, $C$9, 100%, $E$9)</f>
        <v>17.143699999999999</v>
      </c>
      <c r="C1002" s="80">
        <f>17.1437 * CHOOSE(CONTROL!$C$32, $C$9, 100%, $E$9)</f>
        <v>17.143699999999999</v>
      </c>
      <c r="D1002" s="80">
        <f>16.9681 * CHOOSE(CONTROL!$C$32, $C$9, 100%, $E$9)</f>
        <v>16.9681</v>
      </c>
      <c r="E1002" s="81">
        <f>19.6481 * CHOOSE(CONTROL!$C$32, $C$9, 100%, $E$9)</f>
        <v>19.648099999999999</v>
      </c>
      <c r="F1002" s="81">
        <f>19.6481 * CHOOSE(CONTROL!$C$32, $C$9, 100%, $E$9)</f>
        <v>19.648099999999999</v>
      </c>
      <c r="G1002" s="81">
        <f>19.4334 * CHOOSE(CONTROL!$C$32, $C$9, 100%, $E$9)</f>
        <v>19.433399999999999</v>
      </c>
      <c r="H1002" s="81">
        <f>35.7619 * CHOOSE(CONTROL!$C$32, $C$9, 100%, $E$9)</f>
        <v>35.761899999999997</v>
      </c>
      <c r="I1002" s="81">
        <f>35.5471 * CHOOSE(CONTROL!$C$32, $C$9, 100%, $E$9)</f>
        <v>35.5471</v>
      </c>
      <c r="J1002" s="81">
        <f>35.7619 * CHOOSE(CONTROL!$C$32, $C$9, 100%, $E$9)</f>
        <v>35.761899999999997</v>
      </c>
      <c r="K1002" s="81">
        <f>35.5471 * CHOOSE(CONTROL!$C$32, $C$9, 100%, $E$9)</f>
        <v>35.5471</v>
      </c>
      <c r="L1002" s="81">
        <f>19.6481 * CHOOSE(CONTROL!$C$32, $C$9, 100%, $E$9)</f>
        <v>19.648099999999999</v>
      </c>
      <c r="M1002" s="81">
        <f>19.4334 * CHOOSE(CONTROL!$C$32, $C$9, 100%, $E$9)</f>
        <v>19.433399999999999</v>
      </c>
      <c r="N1002" s="81">
        <f>19.6481 * CHOOSE(CONTROL!$C$32, $C$9, 100%, $E$9)</f>
        <v>19.648099999999999</v>
      </c>
      <c r="O1002" s="81">
        <f>19.4334 * CHOOSE(CONTROL!$C$32, $C$9, 100%, $E$9)</f>
        <v>19.433399999999999</v>
      </c>
    </row>
    <row r="1003" spans="1:15" ht="15">
      <c r="A1003" s="16">
        <v>71742</v>
      </c>
      <c r="B1003" s="80">
        <f>17.1498 * CHOOSE(CONTROL!$C$32, $C$9, 100%, $E$9)</f>
        <v>17.149799999999999</v>
      </c>
      <c r="C1003" s="80">
        <f>17.1498 * CHOOSE(CONTROL!$C$32, $C$9, 100%, $E$9)</f>
        <v>17.149799999999999</v>
      </c>
      <c r="D1003" s="80">
        <f>16.9742 * CHOOSE(CONTROL!$C$32, $C$9, 100%, $E$9)</f>
        <v>16.9742</v>
      </c>
      <c r="E1003" s="81">
        <f>19.5416 * CHOOSE(CONTROL!$C$32, $C$9, 100%, $E$9)</f>
        <v>19.541599999999999</v>
      </c>
      <c r="F1003" s="81">
        <f>19.5416 * CHOOSE(CONTROL!$C$32, $C$9, 100%, $E$9)</f>
        <v>19.541599999999999</v>
      </c>
      <c r="G1003" s="81">
        <f>19.3269 * CHOOSE(CONTROL!$C$32, $C$9, 100%, $E$9)</f>
        <v>19.326899999999998</v>
      </c>
      <c r="H1003" s="81">
        <f>35.8364 * CHOOSE(CONTROL!$C$32, $C$9, 100%, $E$9)</f>
        <v>35.836399999999998</v>
      </c>
      <c r="I1003" s="81">
        <f>35.6217 * CHOOSE(CONTROL!$C$32, $C$9, 100%, $E$9)</f>
        <v>35.621699999999997</v>
      </c>
      <c r="J1003" s="81">
        <f>35.8364 * CHOOSE(CONTROL!$C$32, $C$9, 100%, $E$9)</f>
        <v>35.836399999999998</v>
      </c>
      <c r="K1003" s="81">
        <f>35.6217 * CHOOSE(CONTROL!$C$32, $C$9, 100%, $E$9)</f>
        <v>35.621699999999997</v>
      </c>
      <c r="L1003" s="81">
        <f>19.5416 * CHOOSE(CONTROL!$C$32, $C$9, 100%, $E$9)</f>
        <v>19.541599999999999</v>
      </c>
      <c r="M1003" s="81">
        <f>19.3269 * CHOOSE(CONTROL!$C$32, $C$9, 100%, $E$9)</f>
        <v>19.326899999999998</v>
      </c>
      <c r="N1003" s="81">
        <f>19.5416 * CHOOSE(CONTROL!$C$32, $C$9, 100%, $E$9)</f>
        <v>19.541599999999999</v>
      </c>
      <c r="O1003" s="81">
        <f>19.3269 * CHOOSE(CONTROL!$C$32, $C$9, 100%, $E$9)</f>
        <v>19.326899999999998</v>
      </c>
    </row>
    <row r="1004" spans="1:15" ht="15">
      <c r="A1004" s="16">
        <v>71772</v>
      </c>
      <c r="B1004" s="80">
        <f>17.4078 * CHOOSE(CONTROL!$C$32, $C$9, 100%, $E$9)</f>
        <v>17.407800000000002</v>
      </c>
      <c r="C1004" s="80">
        <f>17.4078 * CHOOSE(CONTROL!$C$32, $C$9, 100%, $E$9)</f>
        <v>17.407800000000002</v>
      </c>
      <c r="D1004" s="80">
        <f>17.2322 * CHOOSE(CONTROL!$C$32, $C$9, 100%, $E$9)</f>
        <v>17.232199999999999</v>
      </c>
      <c r="E1004" s="81">
        <f>19.8499 * CHOOSE(CONTROL!$C$32, $C$9, 100%, $E$9)</f>
        <v>19.849900000000002</v>
      </c>
      <c r="F1004" s="81">
        <f>19.8499 * CHOOSE(CONTROL!$C$32, $C$9, 100%, $E$9)</f>
        <v>19.849900000000002</v>
      </c>
      <c r="G1004" s="81">
        <f>19.6352 * CHOOSE(CONTROL!$C$32, $C$9, 100%, $E$9)</f>
        <v>19.635200000000001</v>
      </c>
      <c r="H1004" s="81">
        <f>35.911 * CHOOSE(CONTROL!$C$32, $C$9, 100%, $E$9)</f>
        <v>35.911000000000001</v>
      </c>
      <c r="I1004" s="81">
        <f>35.6963 * CHOOSE(CONTROL!$C$32, $C$9, 100%, $E$9)</f>
        <v>35.696300000000001</v>
      </c>
      <c r="J1004" s="81">
        <f>35.911 * CHOOSE(CONTROL!$C$32, $C$9, 100%, $E$9)</f>
        <v>35.911000000000001</v>
      </c>
      <c r="K1004" s="81">
        <f>35.6963 * CHOOSE(CONTROL!$C$32, $C$9, 100%, $E$9)</f>
        <v>35.696300000000001</v>
      </c>
      <c r="L1004" s="81">
        <f>19.8499 * CHOOSE(CONTROL!$C$32, $C$9, 100%, $E$9)</f>
        <v>19.849900000000002</v>
      </c>
      <c r="M1004" s="81">
        <f>19.6352 * CHOOSE(CONTROL!$C$32, $C$9, 100%, $E$9)</f>
        <v>19.635200000000001</v>
      </c>
      <c r="N1004" s="81">
        <f>19.8499 * CHOOSE(CONTROL!$C$32, $C$9, 100%, $E$9)</f>
        <v>19.849900000000002</v>
      </c>
      <c r="O1004" s="81">
        <f>19.6352 * CHOOSE(CONTROL!$C$32, $C$9, 100%, $E$9)</f>
        <v>19.635200000000001</v>
      </c>
    </row>
    <row r="1005" spans="1:15" ht="15">
      <c r="A1005" s="16">
        <v>71803</v>
      </c>
      <c r="B1005" s="80">
        <f>17.4144 * CHOOSE(CONTROL!$C$32, $C$9, 100%, $E$9)</f>
        <v>17.414400000000001</v>
      </c>
      <c r="C1005" s="80">
        <f>17.4144 * CHOOSE(CONTROL!$C$32, $C$9, 100%, $E$9)</f>
        <v>17.414400000000001</v>
      </c>
      <c r="D1005" s="80">
        <f>17.2389 * CHOOSE(CONTROL!$C$32, $C$9, 100%, $E$9)</f>
        <v>17.238900000000001</v>
      </c>
      <c r="E1005" s="81">
        <f>19.5224 * CHOOSE(CONTROL!$C$32, $C$9, 100%, $E$9)</f>
        <v>19.522400000000001</v>
      </c>
      <c r="F1005" s="81">
        <f>19.5224 * CHOOSE(CONTROL!$C$32, $C$9, 100%, $E$9)</f>
        <v>19.522400000000001</v>
      </c>
      <c r="G1005" s="81">
        <f>19.3077 * CHOOSE(CONTROL!$C$32, $C$9, 100%, $E$9)</f>
        <v>19.307700000000001</v>
      </c>
      <c r="H1005" s="81">
        <f>35.9858 * CHOOSE(CONTROL!$C$32, $C$9, 100%, $E$9)</f>
        <v>35.985799999999998</v>
      </c>
      <c r="I1005" s="81">
        <f>35.7711 * CHOOSE(CONTROL!$C$32, $C$9, 100%, $E$9)</f>
        <v>35.771099999999997</v>
      </c>
      <c r="J1005" s="81">
        <f>35.9858 * CHOOSE(CONTROL!$C$32, $C$9, 100%, $E$9)</f>
        <v>35.985799999999998</v>
      </c>
      <c r="K1005" s="81">
        <f>35.7711 * CHOOSE(CONTROL!$C$32, $C$9, 100%, $E$9)</f>
        <v>35.771099999999997</v>
      </c>
      <c r="L1005" s="81">
        <f>19.5224 * CHOOSE(CONTROL!$C$32, $C$9, 100%, $E$9)</f>
        <v>19.522400000000001</v>
      </c>
      <c r="M1005" s="81">
        <f>19.3077 * CHOOSE(CONTROL!$C$32, $C$9, 100%, $E$9)</f>
        <v>19.307700000000001</v>
      </c>
      <c r="N1005" s="81">
        <f>19.5224 * CHOOSE(CONTROL!$C$32, $C$9, 100%, $E$9)</f>
        <v>19.522400000000001</v>
      </c>
      <c r="O1005" s="81">
        <f>19.3077 * CHOOSE(CONTROL!$C$32, $C$9, 100%, $E$9)</f>
        <v>19.307700000000001</v>
      </c>
    </row>
    <row r="1006" spans="1:15" ht="15">
      <c r="A1006" s="16">
        <v>71834</v>
      </c>
      <c r="B1006" s="80">
        <f>17.4114 * CHOOSE(CONTROL!$C$32, $C$9, 100%, $E$9)</f>
        <v>17.4114</v>
      </c>
      <c r="C1006" s="80">
        <f>17.4114 * CHOOSE(CONTROL!$C$32, $C$9, 100%, $E$9)</f>
        <v>17.4114</v>
      </c>
      <c r="D1006" s="80">
        <f>17.2358 * CHOOSE(CONTROL!$C$32, $C$9, 100%, $E$9)</f>
        <v>17.235800000000001</v>
      </c>
      <c r="E1006" s="81">
        <f>19.4834 * CHOOSE(CONTROL!$C$32, $C$9, 100%, $E$9)</f>
        <v>19.4834</v>
      </c>
      <c r="F1006" s="81">
        <f>19.4834 * CHOOSE(CONTROL!$C$32, $C$9, 100%, $E$9)</f>
        <v>19.4834</v>
      </c>
      <c r="G1006" s="81">
        <f>19.2686 * CHOOSE(CONTROL!$C$32, $C$9, 100%, $E$9)</f>
        <v>19.268599999999999</v>
      </c>
      <c r="H1006" s="81">
        <f>36.0608 * CHOOSE(CONTROL!$C$32, $C$9, 100%, $E$9)</f>
        <v>36.0608</v>
      </c>
      <c r="I1006" s="81">
        <f>35.8461 * CHOOSE(CONTROL!$C$32, $C$9, 100%, $E$9)</f>
        <v>35.8461</v>
      </c>
      <c r="J1006" s="81">
        <f>36.0608 * CHOOSE(CONTROL!$C$32, $C$9, 100%, $E$9)</f>
        <v>36.0608</v>
      </c>
      <c r="K1006" s="81">
        <f>35.8461 * CHOOSE(CONTROL!$C$32, $C$9, 100%, $E$9)</f>
        <v>35.8461</v>
      </c>
      <c r="L1006" s="81">
        <f>19.4834 * CHOOSE(CONTROL!$C$32, $C$9, 100%, $E$9)</f>
        <v>19.4834</v>
      </c>
      <c r="M1006" s="81">
        <f>19.2686 * CHOOSE(CONTROL!$C$32, $C$9, 100%, $E$9)</f>
        <v>19.268599999999999</v>
      </c>
      <c r="N1006" s="81">
        <f>19.4834 * CHOOSE(CONTROL!$C$32, $C$9, 100%, $E$9)</f>
        <v>19.4834</v>
      </c>
      <c r="O1006" s="81">
        <f>19.2686 * CHOOSE(CONTROL!$C$32, $C$9, 100%, $E$9)</f>
        <v>19.268599999999999</v>
      </c>
    </row>
    <row r="1007" spans="1:15" ht="15">
      <c r="A1007" s="16">
        <v>71864</v>
      </c>
      <c r="B1007" s="80">
        <f>17.4495 * CHOOSE(CONTROL!$C$32, $C$9, 100%, $E$9)</f>
        <v>17.4495</v>
      </c>
      <c r="C1007" s="80">
        <f>17.4495 * CHOOSE(CONTROL!$C$32, $C$9, 100%, $E$9)</f>
        <v>17.4495</v>
      </c>
      <c r="D1007" s="80">
        <f>17.3291 * CHOOSE(CONTROL!$C$32, $C$9, 100%, $E$9)</f>
        <v>17.3291</v>
      </c>
      <c r="E1007" s="81">
        <f>19.6176 * CHOOSE(CONTROL!$C$32, $C$9, 100%, $E$9)</f>
        <v>19.617599999999999</v>
      </c>
      <c r="F1007" s="81">
        <f>19.6176 * CHOOSE(CONTROL!$C$32, $C$9, 100%, $E$9)</f>
        <v>19.617599999999999</v>
      </c>
      <c r="G1007" s="81">
        <f>19.4692 * CHOOSE(CONTROL!$C$32, $C$9, 100%, $E$9)</f>
        <v>19.469200000000001</v>
      </c>
      <c r="H1007" s="81">
        <f>36.1359 * CHOOSE(CONTROL!$C$32, $C$9, 100%, $E$9)</f>
        <v>36.135899999999999</v>
      </c>
      <c r="I1007" s="81">
        <f>35.9875 * CHOOSE(CONTROL!$C$32, $C$9, 100%, $E$9)</f>
        <v>35.987499999999997</v>
      </c>
      <c r="J1007" s="81">
        <f>36.1359 * CHOOSE(CONTROL!$C$32, $C$9, 100%, $E$9)</f>
        <v>36.135899999999999</v>
      </c>
      <c r="K1007" s="81">
        <f>35.9875 * CHOOSE(CONTROL!$C$32, $C$9, 100%, $E$9)</f>
        <v>35.987499999999997</v>
      </c>
      <c r="L1007" s="81">
        <f>19.6176 * CHOOSE(CONTROL!$C$32, $C$9, 100%, $E$9)</f>
        <v>19.617599999999999</v>
      </c>
      <c r="M1007" s="81">
        <f>19.4692 * CHOOSE(CONTROL!$C$32, $C$9, 100%, $E$9)</f>
        <v>19.469200000000001</v>
      </c>
      <c r="N1007" s="81">
        <f>19.6176 * CHOOSE(CONTROL!$C$32, $C$9, 100%, $E$9)</f>
        <v>19.617599999999999</v>
      </c>
      <c r="O1007" s="81">
        <f>19.4692 * CHOOSE(CONTROL!$C$32, $C$9, 100%, $E$9)</f>
        <v>19.469200000000001</v>
      </c>
    </row>
    <row r="1008" spans="1:15" ht="15">
      <c r="A1008" s="16">
        <v>71895</v>
      </c>
      <c r="B1008" s="80">
        <f>17.4526 * CHOOSE(CONTROL!$C$32, $C$9, 100%, $E$9)</f>
        <v>17.4526</v>
      </c>
      <c r="C1008" s="80">
        <f>17.4526 * CHOOSE(CONTROL!$C$32, $C$9, 100%, $E$9)</f>
        <v>17.4526</v>
      </c>
      <c r="D1008" s="80">
        <f>17.3321 * CHOOSE(CONTROL!$C$32, $C$9, 100%, $E$9)</f>
        <v>17.332100000000001</v>
      </c>
      <c r="E1008" s="81">
        <f>19.6935 * CHOOSE(CONTROL!$C$32, $C$9, 100%, $E$9)</f>
        <v>19.6935</v>
      </c>
      <c r="F1008" s="81">
        <f>19.6935 * CHOOSE(CONTROL!$C$32, $C$9, 100%, $E$9)</f>
        <v>19.6935</v>
      </c>
      <c r="G1008" s="81">
        <f>19.5451 * CHOOSE(CONTROL!$C$32, $C$9, 100%, $E$9)</f>
        <v>19.545100000000001</v>
      </c>
      <c r="H1008" s="81">
        <f>36.2112 * CHOOSE(CONTROL!$C$32, $C$9, 100%, $E$9)</f>
        <v>36.211199999999998</v>
      </c>
      <c r="I1008" s="81">
        <f>36.0628 * CHOOSE(CONTROL!$C$32, $C$9, 100%, $E$9)</f>
        <v>36.062800000000003</v>
      </c>
      <c r="J1008" s="81">
        <f>36.2112 * CHOOSE(CONTROL!$C$32, $C$9, 100%, $E$9)</f>
        <v>36.211199999999998</v>
      </c>
      <c r="K1008" s="81">
        <f>36.0628 * CHOOSE(CONTROL!$C$32, $C$9, 100%, $E$9)</f>
        <v>36.062800000000003</v>
      </c>
      <c r="L1008" s="81">
        <f>19.6935 * CHOOSE(CONTROL!$C$32, $C$9, 100%, $E$9)</f>
        <v>19.6935</v>
      </c>
      <c r="M1008" s="81">
        <f>19.5451 * CHOOSE(CONTROL!$C$32, $C$9, 100%, $E$9)</f>
        <v>19.545100000000001</v>
      </c>
      <c r="N1008" s="81">
        <f>19.6935 * CHOOSE(CONTROL!$C$32, $C$9, 100%, $E$9)</f>
        <v>19.6935</v>
      </c>
      <c r="O1008" s="81">
        <f>19.5451 * CHOOSE(CONTROL!$C$32, $C$9, 100%, $E$9)</f>
        <v>19.545100000000001</v>
      </c>
    </row>
    <row r="1009" spans="1:15" ht="15">
      <c r="A1009" s="16">
        <v>71925</v>
      </c>
      <c r="B1009" s="80">
        <f>17.4526 * CHOOSE(CONTROL!$C$32, $C$9, 100%, $E$9)</f>
        <v>17.4526</v>
      </c>
      <c r="C1009" s="80">
        <f>17.4526 * CHOOSE(CONTROL!$C$32, $C$9, 100%, $E$9)</f>
        <v>17.4526</v>
      </c>
      <c r="D1009" s="80">
        <f>17.3321 * CHOOSE(CONTROL!$C$32, $C$9, 100%, $E$9)</f>
        <v>17.332100000000001</v>
      </c>
      <c r="E1009" s="81">
        <f>19.509 * CHOOSE(CONTROL!$C$32, $C$9, 100%, $E$9)</f>
        <v>19.509</v>
      </c>
      <c r="F1009" s="81">
        <f>19.509 * CHOOSE(CONTROL!$C$32, $C$9, 100%, $E$9)</f>
        <v>19.509</v>
      </c>
      <c r="G1009" s="81">
        <f>19.3606 * CHOOSE(CONTROL!$C$32, $C$9, 100%, $E$9)</f>
        <v>19.360600000000002</v>
      </c>
      <c r="H1009" s="81">
        <f>36.2867 * CHOOSE(CONTROL!$C$32, $C$9, 100%, $E$9)</f>
        <v>36.286700000000003</v>
      </c>
      <c r="I1009" s="81">
        <f>36.1382 * CHOOSE(CONTROL!$C$32, $C$9, 100%, $E$9)</f>
        <v>36.138199999999998</v>
      </c>
      <c r="J1009" s="81">
        <f>36.2867 * CHOOSE(CONTROL!$C$32, $C$9, 100%, $E$9)</f>
        <v>36.286700000000003</v>
      </c>
      <c r="K1009" s="81">
        <f>36.1382 * CHOOSE(CONTROL!$C$32, $C$9, 100%, $E$9)</f>
        <v>36.138199999999998</v>
      </c>
      <c r="L1009" s="81">
        <f>19.509 * CHOOSE(CONTROL!$C$32, $C$9, 100%, $E$9)</f>
        <v>19.509</v>
      </c>
      <c r="M1009" s="81">
        <f>19.3606 * CHOOSE(CONTROL!$C$32, $C$9, 100%, $E$9)</f>
        <v>19.360600000000002</v>
      </c>
      <c r="N1009" s="81">
        <f>19.509 * CHOOSE(CONTROL!$C$32, $C$9, 100%, $E$9)</f>
        <v>19.509</v>
      </c>
      <c r="O1009" s="81">
        <f>19.3606 * CHOOSE(CONTROL!$C$32, $C$9, 100%, $E$9)</f>
        <v>19.360600000000002</v>
      </c>
    </row>
    <row r="1010" spans="1:15" ht="15">
      <c r="A1010" s="16">
        <v>71956</v>
      </c>
      <c r="B1010" s="80">
        <f>17.3767 * CHOOSE(CONTROL!$C$32, $C$9, 100%, $E$9)</f>
        <v>17.3767</v>
      </c>
      <c r="C1010" s="80">
        <f>17.3767 * CHOOSE(CONTROL!$C$32, $C$9, 100%, $E$9)</f>
        <v>17.3767</v>
      </c>
      <c r="D1010" s="80">
        <f>17.2527 * CHOOSE(CONTROL!$C$32, $C$9, 100%, $E$9)</f>
        <v>17.252700000000001</v>
      </c>
      <c r="E1010" s="81">
        <f>19.5791 * CHOOSE(CONTROL!$C$32, $C$9, 100%, $E$9)</f>
        <v>19.5791</v>
      </c>
      <c r="F1010" s="81">
        <f>19.5791 * CHOOSE(CONTROL!$C$32, $C$9, 100%, $E$9)</f>
        <v>19.5791</v>
      </c>
      <c r="G1010" s="81">
        <f>19.4263 * CHOOSE(CONTROL!$C$32, $C$9, 100%, $E$9)</f>
        <v>19.426300000000001</v>
      </c>
      <c r="H1010" s="81">
        <f>35.9412 * CHOOSE(CONTROL!$C$32, $C$9, 100%, $E$9)</f>
        <v>35.941200000000002</v>
      </c>
      <c r="I1010" s="81">
        <f>35.7884 * CHOOSE(CONTROL!$C$32, $C$9, 100%, $E$9)</f>
        <v>35.788400000000003</v>
      </c>
      <c r="J1010" s="81">
        <f>35.9412 * CHOOSE(CONTROL!$C$32, $C$9, 100%, $E$9)</f>
        <v>35.941200000000002</v>
      </c>
      <c r="K1010" s="81">
        <f>35.7884 * CHOOSE(CONTROL!$C$32, $C$9, 100%, $E$9)</f>
        <v>35.788400000000003</v>
      </c>
      <c r="L1010" s="81">
        <f>19.5791 * CHOOSE(CONTROL!$C$32, $C$9, 100%, $E$9)</f>
        <v>19.5791</v>
      </c>
      <c r="M1010" s="81">
        <f>19.4263 * CHOOSE(CONTROL!$C$32, $C$9, 100%, $E$9)</f>
        <v>19.426300000000001</v>
      </c>
      <c r="N1010" s="81">
        <f>19.5791 * CHOOSE(CONTROL!$C$32, $C$9, 100%, $E$9)</f>
        <v>19.5791</v>
      </c>
      <c r="O1010" s="81">
        <f>19.4263 * CHOOSE(CONTROL!$C$32, $C$9, 100%, $E$9)</f>
        <v>19.426300000000001</v>
      </c>
    </row>
    <row r="1011" spans="1:15" ht="15">
      <c r="A1011" s="16">
        <v>71987</v>
      </c>
      <c r="B1011" s="80">
        <f>17.3737 * CHOOSE(CONTROL!$C$32, $C$9, 100%, $E$9)</f>
        <v>17.373699999999999</v>
      </c>
      <c r="C1011" s="80">
        <f>17.3737 * CHOOSE(CONTROL!$C$32, $C$9, 100%, $E$9)</f>
        <v>17.373699999999999</v>
      </c>
      <c r="D1011" s="80">
        <f>17.2497 * CHOOSE(CONTROL!$C$32, $C$9, 100%, $E$9)</f>
        <v>17.249700000000001</v>
      </c>
      <c r="E1011" s="81">
        <f>19.2233 * CHOOSE(CONTROL!$C$32, $C$9, 100%, $E$9)</f>
        <v>19.223299999999998</v>
      </c>
      <c r="F1011" s="81">
        <f>19.2233 * CHOOSE(CONTROL!$C$32, $C$9, 100%, $E$9)</f>
        <v>19.223299999999998</v>
      </c>
      <c r="G1011" s="81">
        <f>19.0705 * CHOOSE(CONTROL!$C$32, $C$9, 100%, $E$9)</f>
        <v>19.070499999999999</v>
      </c>
      <c r="H1011" s="81">
        <f>36.016 * CHOOSE(CONTROL!$C$32, $C$9, 100%, $E$9)</f>
        <v>36.015999999999998</v>
      </c>
      <c r="I1011" s="81">
        <f>35.8633 * CHOOSE(CONTROL!$C$32, $C$9, 100%, $E$9)</f>
        <v>35.863300000000002</v>
      </c>
      <c r="J1011" s="81">
        <f>36.016 * CHOOSE(CONTROL!$C$32, $C$9, 100%, $E$9)</f>
        <v>36.015999999999998</v>
      </c>
      <c r="K1011" s="81">
        <f>35.8633 * CHOOSE(CONTROL!$C$32, $C$9, 100%, $E$9)</f>
        <v>35.863300000000002</v>
      </c>
      <c r="L1011" s="81">
        <f>19.2233 * CHOOSE(CONTROL!$C$32, $C$9, 100%, $E$9)</f>
        <v>19.223299999999998</v>
      </c>
      <c r="M1011" s="81">
        <f>19.0705 * CHOOSE(CONTROL!$C$32, $C$9, 100%, $E$9)</f>
        <v>19.070499999999999</v>
      </c>
      <c r="N1011" s="81">
        <f>19.2233 * CHOOSE(CONTROL!$C$32, $C$9, 100%, $E$9)</f>
        <v>19.223299999999998</v>
      </c>
      <c r="O1011" s="81">
        <f>19.0705 * CHOOSE(CONTROL!$C$32, $C$9, 100%, $E$9)</f>
        <v>19.070499999999999</v>
      </c>
    </row>
    <row r="1012" spans="1:15" ht="15">
      <c r="A1012" s="16">
        <v>72015</v>
      </c>
      <c r="B1012" s="80">
        <f>17.3706 * CHOOSE(CONTROL!$C$32, $C$9, 100%, $E$9)</f>
        <v>17.3706</v>
      </c>
      <c r="C1012" s="80">
        <f>17.3706 * CHOOSE(CONTROL!$C$32, $C$9, 100%, $E$9)</f>
        <v>17.3706</v>
      </c>
      <c r="D1012" s="80">
        <f>17.2467 * CHOOSE(CONTROL!$C$32, $C$9, 100%, $E$9)</f>
        <v>17.246700000000001</v>
      </c>
      <c r="E1012" s="81">
        <f>19.5 * CHOOSE(CONTROL!$C$32, $C$9, 100%, $E$9)</f>
        <v>19.5</v>
      </c>
      <c r="F1012" s="81">
        <f>19.5 * CHOOSE(CONTROL!$C$32, $C$9, 100%, $E$9)</f>
        <v>19.5</v>
      </c>
      <c r="G1012" s="81">
        <f>19.3472 * CHOOSE(CONTROL!$C$32, $C$9, 100%, $E$9)</f>
        <v>19.347200000000001</v>
      </c>
      <c r="H1012" s="81">
        <f>36.0911 * CHOOSE(CONTROL!$C$32, $C$9, 100%, $E$9)</f>
        <v>36.091099999999997</v>
      </c>
      <c r="I1012" s="81">
        <f>35.9383 * CHOOSE(CONTROL!$C$32, $C$9, 100%, $E$9)</f>
        <v>35.938299999999998</v>
      </c>
      <c r="J1012" s="81">
        <f>36.0911 * CHOOSE(CONTROL!$C$32, $C$9, 100%, $E$9)</f>
        <v>36.091099999999997</v>
      </c>
      <c r="K1012" s="81">
        <f>35.9383 * CHOOSE(CONTROL!$C$32, $C$9, 100%, $E$9)</f>
        <v>35.938299999999998</v>
      </c>
      <c r="L1012" s="81">
        <f>19.5 * CHOOSE(CONTROL!$C$32, $C$9, 100%, $E$9)</f>
        <v>19.5</v>
      </c>
      <c r="M1012" s="81">
        <f>19.3472 * CHOOSE(CONTROL!$C$32, $C$9, 100%, $E$9)</f>
        <v>19.347200000000001</v>
      </c>
      <c r="N1012" s="81">
        <f>19.5 * CHOOSE(CONTROL!$C$32, $C$9, 100%, $E$9)</f>
        <v>19.5</v>
      </c>
      <c r="O1012" s="81">
        <f>19.3472 * CHOOSE(CONTROL!$C$32, $C$9, 100%, $E$9)</f>
        <v>19.347200000000001</v>
      </c>
    </row>
    <row r="1013" spans="1:15" ht="15">
      <c r="A1013" s="16">
        <v>72046</v>
      </c>
      <c r="B1013" s="80">
        <f>17.3795 * CHOOSE(CONTROL!$C$32, $C$9, 100%, $E$9)</f>
        <v>17.3795</v>
      </c>
      <c r="C1013" s="80">
        <f>17.3795 * CHOOSE(CONTROL!$C$32, $C$9, 100%, $E$9)</f>
        <v>17.3795</v>
      </c>
      <c r="D1013" s="80">
        <f>17.2555 * CHOOSE(CONTROL!$C$32, $C$9, 100%, $E$9)</f>
        <v>17.255500000000001</v>
      </c>
      <c r="E1013" s="81">
        <f>19.7952 * CHOOSE(CONTROL!$C$32, $C$9, 100%, $E$9)</f>
        <v>19.795200000000001</v>
      </c>
      <c r="F1013" s="81">
        <f>19.7952 * CHOOSE(CONTROL!$C$32, $C$9, 100%, $E$9)</f>
        <v>19.795200000000001</v>
      </c>
      <c r="G1013" s="81">
        <f>19.6425 * CHOOSE(CONTROL!$C$32, $C$9, 100%, $E$9)</f>
        <v>19.642499999999998</v>
      </c>
      <c r="H1013" s="81">
        <f>36.1663 * CHOOSE(CONTROL!$C$32, $C$9, 100%, $E$9)</f>
        <v>36.1663</v>
      </c>
      <c r="I1013" s="81">
        <f>36.0135 * CHOOSE(CONTROL!$C$32, $C$9, 100%, $E$9)</f>
        <v>36.013500000000001</v>
      </c>
      <c r="J1013" s="81">
        <f>36.1663 * CHOOSE(CONTROL!$C$32, $C$9, 100%, $E$9)</f>
        <v>36.1663</v>
      </c>
      <c r="K1013" s="81">
        <f>36.0135 * CHOOSE(CONTROL!$C$32, $C$9, 100%, $E$9)</f>
        <v>36.013500000000001</v>
      </c>
      <c r="L1013" s="81">
        <f>19.7952 * CHOOSE(CONTROL!$C$32, $C$9, 100%, $E$9)</f>
        <v>19.795200000000001</v>
      </c>
      <c r="M1013" s="81">
        <f>19.6425 * CHOOSE(CONTROL!$C$32, $C$9, 100%, $E$9)</f>
        <v>19.642499999999998</v>
      </c>
      <c r="N1013" s="81">
        <f>19.7952 * CHOOSE(CONTROL!$C$32, $C$9, 100%, $E$9)</f>
        <v>19.795200000000001</v>
      </c>
      <c r="O1013" s="81">
        <f>19.6425 * CHOOSE(CONTROL!$C$32, $C$9, 100%, $E$9)</f>
        <v>19.642499999999998</v>
      </c>
    </row>
    <row r="1014" spans="1:15" ht="15">
      <c r="A1014" s="16">
        <v>72076</v>
      </c>
      <c r="B1014" s="80">
        <f>17.3795 * CHOOSE(CONTROL!$C$32, $C$9, 100%, $E$9)</f>
        <v>17.3795</v>
      </c>
      <c r="C1014" s="80">
        <f>17.3795 * CHOOSE(CONTROL!$C$32, $C$9, 100%, $E$9)</f>
        <v>17.3795</v>
      </c>
      <c r="D1014" s="80">
        <f>17.1987 * CHOOSE(CONTROL!$C$32, $C$9, 100%, $E$9)</f>
        <v>17.198699999999999</v>
      </c>
      <c r="E1014" s="81">
        <f>19.9075 * CHOOSE(CONTROL!$C$32, $C$9, 100%, $E$9)</f>
        <v>19.907499999999999</v>
      </c>
      <c r="F1014" s="81">
        <f>19.9075 * CHOOSE(CONTROL!$C$32, $C$9, 100%, $E$9)</f>
        <v>19.907499999999999</v>
      </c>
      <c r="G1014" s="81">
        <f>19.6865 * CHOOSE(CONTROL!$C$32, $C$9, 100%, $E$9)</f>
        <v>19.686499999999999</v>
      </c>
      <c r="H1014" s="81">
        <f>36.2416 * CHOOSE(CONTROL!$C$32, $C$9, 100%, $E$9)</f>
        <v>36.241599999999998</v>
      </c>
      <c r="I1014" s="81">
        <f>36.0206 * CHOOSE(CONTROL!$C$32, $C$9, 100%, $E$9)</f>
        <v>36.020600000000002</v>
      </c>
      <c r="J1014" s="81">
        <f>36.2416 * CHOOSE(CONTROL!$C$32, $C$9, 100%, $E$9)</f>
        <v>36.241599999999998</v>
      </c>
      <c r="K1014" s="81">
        <f>36.0206 * CHOOSE(CONTROL!$C$32, $C$9, 100%, $E$9)</f>
        <v>36.020600000000002</v>
      </c>
      <c r="L1014" s="81">
        <f>19.9075 * CHOOSE(CONTROL!$C$32, $C$9, 100%, $E$9)</f>
        <v>19.907499999999999</v>
      </c>
      <c r="M1014" s="81">
        <f>19.6865 * CHOOSE(CONTROL!$C$32, $C$9, 100%, $E$9)</f>
        <v>19.686499999999999</v>
      </c>
      <c r="N1014" s="81">
        <f>19.9075 * CHOOSE(CONTROL!$C$32, $C$9, 100%, $E$9)</f>
        <v>19.907499999999999</v>
      </c>
      <c r="O1014" s="81">
        <f>19.6865 * CHOOSE(CONTROL!$C$32, $C$9, 100%, $E$9)</f>
        <v>19.686499999999999</v>
      </c>
    </row>
    <row r="1015" spans="1:15" ht="15">
      <c r="A1015" s="16">
        <v>72107</v>
      </c>
      <c r="B1015" s="80">
        <f>17.3855 * CHOOSE(CONTROL!$C$32, $C$9, 100%, $E$9)</f>
        <v>17.3855</v>
      </c>
      <c r="C1015" s="80">
        <f>17.3855 * CHOOSE(CONTROL!$C$32, $C$9, 100%, $E$9)</f>
        <v>17.3855</v>
      </c>
      <c r="D1015" s="80">
        <f>17.2048 * CHOOSE(CONTROL!$C$32, $C$9, 100%, $E$9)</f>
        <v>17.204799999999999</v>
      </c>
      <c r="E1015" s="81">
        <f>19.7995 * CHOOSE(CONTROL!$C$32, $C$9, 100%, $E$9)</f>
        <v>19.799499999999998</v>
      </c>
      <c r="F1015" s="81">
        <f>19.7995 * CHOOSE(CONTROL!$C$32, $C$9, 100%, $E$9)</f>
        <v>19.799499999999998</v>
      </c>
      <c r="G1015" s="81">
        <f>19.5785 * CHOOSE(CONTROL!$C$32, $C$9, 100%, $E$9)</f>
        <v>19.578499999999998</v>
      </c>
      <c r="H1015" s="81">
        <f>36.3171 * CHOOSE(CONTROL!$C$32, $C$9, 100%, $E$9)</f>
        <v>36.317100000000003</v>
      </c>
      <c r="I1015" s="81">
        <f>36.0961 * CHOOSE(CONTROL!$C$32, $C$9, 100%, $E$9)</f>
        <v>36.0961</v>
      </c>
      <c r="J1015" s="81">
        <f>36.3171 * CHOOSE(CONTROL!$C$32, $C$9, 100%, $E$9)</f>
        <v>36.317100000000003</v>
      </c>
      <c r="K1015" s="81">
        <f>36.0961 * CHOOSE(CONTROL!$C$32, $C$9, 100%, $E$9)</f>
        <v>36.0961</v>
      </c>
      <c r="L1015" s="81">
        <f>19.7995 * CHOOSE(CONTROL!$C$32, $C$9, 100%, $E$9)</f>
        <v>19.799499999999998</v>
      </c>
      <c r="M1015" s="81">
        <f>19.5785 * CHOOSE(CONTROL!$C$32, $C$9, 100%, $E$9)</f>
        <v>19.578499999999998</v>
      </c>
      <c r="N1015" s="81">
        <f>19.7995 * CHOOSE(CONTROL!$C$32, $C$9, 100%, $E$9)</f>
        <v>19.799499999999998</v>
      </c>
      <c r="O1015" s="81">
        <f>19.5785 * CHOOSE(CONTROL!$C$32, $C$9, 100%, $E$9)</f>
        <v>19.578499999999998</v>
      </c>
    </row>
    <row r="1016" spans="1:15" ht="15">
      <c r="A1016" s="16">
        <v>72137</v>
      </c>
      <c r="B1016" s="80">
        <f>17.6469 * CHOOSE(CONTROL!$C$32, $C$9, 100%, $E$9)</f>
        <v>17.646899999999999</v>
      </c>
      <c r="C1016" s="80">
        <f>17.6469 * CHOOSE(CONTROL!$C$32, $C$9, 100%, $E$9)</f>
        <v>17.646899999999999</v>
      </c>
      <c r="D1016" s="80">
        <f>17.4662 * CHOOSE(CONTROL!$C$32, $C$9, 100%, $E$9)</f>
        <v>17.466200000000001</v>
      </c>
      <c r="E1016" s="81">
        <f>20.1117 * CHOOSE(CONTROL!$C$32, $C$9, 100%, $E$9)</f>
        <v>20.111699999999999</v>
      </c>
      <c r="F1016" s="81">
        <f>20.1117 * CHOOSE(CONTROL!$C$32, $C$9, 100%, $E$9)</f>
        <v>20.111699999999999</v>
      </c>
      <c r="G1016" s="81">
        <f>19.8907 * CHOOSE(CONTROL!$C$32, $C$9, 100%, $E$9)</f>
        <v>19.890699999999999</v>
      </c>
      <c r="H1016" s="81">
        <f>36.3928 * CHOOSE(CONTROL!$C$32, $C$9, 100%, $E$9)</f>
        <v>36.392800000000001</v>
      </c>
      <c r="I1016" s="81">
        <f>36.1717 * CHOOSE(CONTROL!$C$32, $C$9, 100%, $E$9)</f>
        <v>36.171700000000001</v>
      </c>
      <c r="J1016" s="81">
        <f>36.3928 * CHOOSE(CONTROL!$C$32, $C$9, 100%, $E$9)</f>
        <v>36.392800000000001</v>
      </c>
      <c r="K1016" s="81">
        <f>36.1717 * CHOOSE(CONTROL!$C$32, $C$9, 100%, $E$9)</f>
        <v>36.171700000000001</v>
      </c>
      <c r="L1016" s="81">
        <f>20.1117 * CHOOSE(CONTROL!$C$32, $C$9, 100%, $E$9)</f>
        <v>20.111699999999999</v>
      </c>
      <c r="M1016" s="81">
        <f>19.8907 * CHOOSE(CONTROL!$C$32, $C$9, 100%, $E$9)</f>
        <v>19.890699999999999</v>
      </c>
      <c r="N1016" s="81">
        <f>20.1117 * CHOOSE(CONTROL!$C$32, $C$9, 100%, $E$9)</f>
        <v>20.111699999999999</v>
      </c>
      <c r="O1016" s="81">
        <f>19.8907 * CHOOSE(CONTROL!$C$32, $C$9, 100%, $E$9)</f>
        <v>19.890699999999999</v>
      </c>
    </row>
    <row r="1017" spans="1:15" ht="15">
      <c r="A1017" s="16">
        <v>72168</v>
      </c>
      <c r="B1017" s="80">
        <f>17.6536 * CHOOSE(CONTROL!$C$32, $C$9, 100%, $E$9)</f>
        <v>17.653600000000001</v>
      </c>
      <c r="C1017" s="80">
        <f>17.6536 * CHOOSE(CONTROL!$C$32, $C$9, 100%, $E$9)</f>
        <v>17.653600000000001</v>
      </c>
      <c r="D1017" s="80">
        <f>17.4729 * CHOOSE(CONTROL!$C$32, $C$9, 100%, $E$9)</f>
        <v>17.472899999999999</v>
      </c>
      <c r="E1017" s="81">
        <f>19.7795 * CHOOSE(CONTROL!$C$32, $C$9, 100%, $E$9)</f>
        <v>19.779499999999999</v>
      </c>
      <c r="F1017" s="81">
        <f>19.7795 * CHOOSE(CONTROL!$C$32, $C$9, 100%, $E$9)</f>
        <v>19.779499999999999</v>
      </c>
      <c r="G1017" s="81">
        <f>19.5584 * CHOOSE(CONTROL!$C$32, $C$9, 100%, $E$9)</f>
        <v>19.558399999999999</v>
      </c>
      <c r="H1017" s="81">
        <f>36.4686 * CHOOSE(CONTROL!$C$32, $C$9, 100%, $E$9)</f>
        <v>36.468600000000002</v>
      </c>
      <c r="I1017" s="81">
        <f>36.2476 * CHOOSE(CONTROL!$C$32, $C$9, 100%, $E$9)</f>
        <v>36.247599999999998</v>
      </c>
      <c r="J1017" s="81">
        <f>36.4686 * CHOOSE(CONTROL!$C$32, $C$9, 100%, $E$9)</f>
        <v>36.468600000000002</v>
      </c>
      <c r="K1017" s="81">
        <f>36.2476 * CHOOSE(CONTROL!$C$32, $C$9, 100%, $E$9)</f>
        <v>36.247599999999998</v>
      </c>
      <c r="L1017" s="81">
        <f>19.7795 * CHOOSE(CONTROL!$C$32, $C$9, 100%, $E$9)</f>
        <v>19.779499999999999</v>
      </c>
      <c r="M1017" s="81">
        <f>19.5584 * CHOOSE(CONTROL!$C$32, $C$9, 100%, $E$9)</f>
        <v>19.558399999999999</v>
      </c>
      <c r="N1017" s="81">
        <f>19.7795 * CHOOSE(CONTROL!$C$32, $C$9, 100%, $E$9)</f>
        <v>19.779499999999999</v>
      </c>
      <c r="O1017" s="81">
        <f>19.5584 * CHOOSE(CONTROL!$C$32, $C$9, 100%, $E$9)</f>
        <v>19.558399999999999</v>
      </c>
    </row>
    <row r="1018" spans="1:15" ht="15">
      <c r="A1018" s="16">
        <v>72199</v>
      </c>
      <c r="B1018" s="80">
        <f>17.6506 * CHOOSE(CONTROL!$C$32, $C$9, 100%, $E$9)</f>
        <v>17.650600000000001</v>
      </c>
      <c r="C1018" s="80">
        <f>17.6506 * CHOOSE(CONTROL!$C$32, $C$9, 100%, $E$9)</f>
        <v>17.650600000000001</v>
      </c>
      <c r="D1018" s="80">
        <f>17.4699 * CHOOSE(CONTROL!$C$32, $C$9, 100%, $E$9)</f>
        <v>17.469899999999999</v>
      </c>
      <c r="E1018" s="81">
        <f>19.7399 * CHOOSE(CONTROL!$C$32, $C$9, 100%, $E$9)</f>
        <v>19.739899999999999</v>
      </c>
      <c r="F1018" s="81">
        <f>19.7399 * CHOOSE(CONTROL!$C$32, $C$9, 100%, $E$9)</f>
        <v>19.739899999999999</v>
      </c>
      <c r="G1018" s="81">
        <f>19.5189 * CHOOSE(CONTROL!$C$32, $C$9, 100%, $E$9)</f>
        <v>19.518899999999999</v>
      </c>
      <c r="H1018" s="81">
        <f>36.5446 * CHOOSE(CONTROL!$C$32, $C$9, 100%, $E$9)</f>
        <v>36.544600000000003</v>
      </c>
      <c r="I1018" s="81">
        <f>36.3235 * CHOOSE(CONTROL!$C$32, $C$9, 100%, $E$9)</f>
        <v>36.323500000000003</v>
      </c>
      <c r="J1018" s="81">
        <f>36.5446 * CHOOSE(CONTROL!$C$32, $C$9, 100%, $E$9)</f>
        <v>36.544600000000003</v>
      </c>
      <c r="K1018" s="81">
        <f>36.3235 * CHOOSE(CONTROL!$C$32, $C$9, 100%, $E$9)</f>
        <v>36.323500000000003</v>
      </c>
      <c r="L1018" s="81">
        <f>19.7399 * CHOOSE(CONTROL!$C$32, $C$9, 100%, $E$9)</f>
        <v>19.739899999999999</v>
      </c>
      <c r="M1018" s="81">
        <f>19.5189 * CHOOSE(CONTROL!$C$32, $C$9, 100%, $E$9)</f>
        <v>19.518899999999999</v>
      </c>
      <c r="N1018" s="81">
        <f>19.7399 * CHOOSE(CONTROL!$C$32, $C$9, 100%, $E$9)</f>
        <v>19.739899999999999</v>
      </c>
      <c r="O1018" s="81">
        <f>19.5189 * CHOOSE(CONTROL!$C$32, $C$9, 100%, $E$9)</f>
        <v>19.518899999999999</v>
      </c>
    </row>
    <row r="1019" spans="1:15" ht="15">
      <c r="A1019" s="16">
        <v>72229</v>
      </c>
      <c r="B1019" s="80">
        <f>17.6895 * CHOOSE(CONTROL!$C$32, $C$9, 100%, $E$9)</f>
        <v>17.689499999999999</v>
      </c>
      <c r="C1019" s="80">
        <f>17.6895 * CHOOSE(CONTROL!$C$32, $C$9, 100%, $E$9)</f>
        <v>17.689499999999999</v>
      </c>
      <c r="D1019" s="80">
        <f>17.5655 * CHOOSE(CONTROL!$C$32, $C$9, 100%, $E$9)</f>
        <v>17.5655</v>
      </c>
      <c r="E1019" s="81">
        <f>19.8762 * CHOOSE(CONTROL!$C$32, $C$9, 100%, $E$9)</f>
        <v>19.876200000000001</v>
      </c>
      <c r="F1019" s="81">
        <f>19.8762 * CHOOSE(CONTROL!$C$32, $C$9, 100%, $E$9)</f>
        <v>19.876200000000001</v>
      </c>
      <c r="G1019" s="81">
        <f>19.7235 * CHOOSE(CONTROL!$C$32, $C$9, 100%, $E$9)</f>
        <v>19.723500000000001</v>
      </c>
      <c r="H1019" s="81">
        <f>36.6207 * CHOOSE(CONTROL!$C$32, $C$9, 100%, $E$9)</f>
        <v>36.620699999999999</v>
      </c>
      <c r="I1019" s="81">
        <f>36.4679 * CHOOSE(CONTROL!$C$32, $C$9, 100%, $E$9)</f>
        <v>36.4679</v>
      </c>
      <c r="J1019" s="81">
        <f>36.6207 * CHOOSE(CONTROL!$C$32, $C$9, 100%, $E$9)</f>
        <v>36.620699999999999</v>
      </c>
      <c r="K1019" s="81">
        <f>36.4679 * CHOOSE(CONTROL!$C$32, $C$9, 100%, $E$9)</f>
        <v>36.4679</v>
      </c>
      <c r="L1019" s="81">
        <f>19.8762 * CHOOSE(CONTROL!$C$32, $C$9, 100%, $E$9)</f>
        <v>19.876200000000001</v>
      </c>
      <c r="M1019" s="81">
        <f>19.7235 * CHOOSE(CONTROL!$C$32, $C$9, 100%, $E$9)</f>
        <v>19.723500000000001</v>
      </c>
      <c r="N1019" s="81">
        <f>19.8762 * CHOOSE(CONTROL!$C$32, $C$9, 100%, $E$9)</f>
        <v>19.876200000000001</v>
      </c>
      <c r="O1019" s="81">
        <f>19.7235 * CHOOSE(CONTROL!$C$32, $C$9, 100%, $E$9)</f>
        <v>19.723500000000001</v>
      </c>
    </row>
    <row r="1020" spans="1:15" ht="15">
      <c r="A1020" s="16">
        <v>72260</v>
      </c>
      <c r="B1020" s="80">
        <f>17.6925 * CHOOSE(CONTROL!$C$32, $C$9, 100%, $E$9)</f>
        <v>17.692499999999999</v>
      </c>
      <c r="C1020" s="80">
        <f>17.6925 * CHOOSE(CONTROL!$C$32, $C$9, 100%, $E$9)</f>
        <v>17.692499999999999</v>
      </c>
      <c r="D1020" s="80">
        <f>17.5685 * CHOOSE(CONTROL!$C$32, $C$9, 100%, $E$9)</f>
        <v>17.5685</v>
      </c>
      <c r="E1020" s="81">
        <f>19.9532 * CHOOSE(CONTROL!$C$32, $C$9, 100%, $E$9)</f>
        <v>19.953199999999999</v>
      </c>
      <c r="F1020" s="81">
        <f>19.9532 * CHOOSE(CONTROL!$C$32, $C$9, 100%, $E$9)</f>
        <v>19.953199999999999</v>
      </c>
      <c r="G1020" s="81">
        <f>19.8004 * CHOOSE(CONTROL!$C$32, $C$9, 100%, $E$9)</f>
        <v>19.8004</v>
      </c>
      <c r="H1020" s="81">
        <f>36.697 * CHOOSE(CONTROL!$C$32, $C$9, 100%, $E$9)</f>
        <v>36.697000000000003</v>
      </c>
      <c r="I1020" s="81">
        <f>36.5442 * CHOOSE(CONTROL!$C$32, $C$9, 100%, $E$9)</f>
        <v>36.544199999999996</v>
      </c>
      <c r="J1020" s="81">
        <f>36.697 * CHOOSE(CONTROL!$C$32, $C$9, 100%, $E$9)</f>
        <v>36.697000000000003</v>
      </c>
      <c r="K1020" s="81">
        <f>36.5442 * CHOOSE(CONTROL!$C$32, $C$9, 100%, $E$9)</f>
        <v>36.544199999999996</v>
      </c>
      <c r="L1020" s="81">
        <f>19.9532 * CHOOSE(CONTROL!$C$32, $C$9, 100%, $E$9)</f>
        <v>19.953199999999999</v>
      </c>
      <c r="M1020" s="81">
        <f>19.8004 * CHOOSE(CONTROL!$C$32, $C$9, 100%, $E$9)</f>
        <v>19.8004</v>
      </c>
      <c r="N1020" s="81">
        <f>19.9532 * CHOOSE(CONTROL!$C$32, $C$9, 100%, $E$9)</f>
        <v>19.953199999999999</v>
      </c>
      <c r="O1020" s="81">
        <f>19.8004 * CHOOSE(CONTROL!$C$32, $C$9, 100%, $E$9)</f>
        <v>19.8004</v>
      </c>
    </row>
    <row r="1021" spans="1:15" ht="15">
      <c r="A1021" s="16">
        <v>72290</v>
      </c>
      <c r="B1021" s="80">
        <f>17.6925 * CHOOSE(CONTROL!$C$32, $C$9, 100%, $E$9)</f>
        <v>17.692499999999999</v>
      </c>
      <c r="C1021" s="80">
        <f>17.6925 * CHOOSE(CONTROL!$C$32, $C$9, 100%, $E$9)</f>
        <v>17.692499999999999</v>
      </c>
      <c r="D1021" s="80">
        <f>17.5685 * CHOOSE(CONTROL!$C$32, $C$9, 100%, $E$9)</f>
        <v>17.5685</v>
      </c>
      <c r="E1021" s="81">
        <f>19.766 * CHOOSE(CONTROL!$C$32, $C$9, 100%, $E$9)</f>
        <v>19.765999999999998</v>
      </c>
      <c r="F1021" s="81">
        <f>19.766 * CHOOSE(CONTROL!$C$32, $C$9, 100%, $E$9)</f>
        <v>19.765999999999998</v>
      </c>
      <c r="G1021" s="81">
        <f>19.6133 * CHOOSE(CONTROL!$C$32, $C$9, 100%, $E$9)</f>
        <v>19.613299999999999</v>
      </c>
      <c r="H1021" s="81">
        <f>36.7734 * CHOOSE(CONTROL!$C$32, $C$9, 100%, $E$9)</f>
        <v>36.773400000000002</v>
      </c>
      <c r="I1021" s="81">
        <f>36.6207 * CHOOSE(CONTROL!$C$32, $C$9, 100%, $E$9)</f>
        <v>36.620699999999999</v>
      </c>
      <c r="J1021" s="81">
        <f>36.7734 * CHOOSE(CONTROL!$C$32, $C$9, 100%, $E$9)</f>
        <v>36.773400000000002</v>
      </c>
      <c r="K1021" s="81">
        <f>36.6207 * CHOOSE(CONTROL!$C$32, $C$9, 100%, $E$9)</f>
        <v>36.620699999999999</v>
      </c>
      <c r="L1021" s="81">
        <f>19.766 * CHOOSE(CONTROL!$C$32, $C$9, 100%, $E$9)</f>
        <v>19.765999999999998</v>
      </c>
      <c r="M1021" s="81">
        <f>19.6133 * CHOOSE(CONTROL!$C$32, $C$9, 100%, $E$9)</f>
        <v>19.613299999999999</v>
      </c>
      <c r="N1021" s="81">
        <f>19.766 * CHOOSE(CONTROL!$C$32, $C$9, 100%, $E$9)</f>
        <v>19.765999999999998</v>
      </c>
      <c r="O1021" s="81">
        <f>19.6133 * CHOOSE(CONTROL!$C$32, $C$9, 100%, $E$9)</f>
        <v>19.613299999999999</v>
      </c>
    </row>
    <row r="1022" spans="1:15" ht="15">
      <c r="A1022" s="16">
        <v>72321</v>
      </c>
      <c r="B1022" s="80">
        <f>17.6123 * CHOOSE(CONTROL!$C$32, $C$9, 100%, $E$9)</f>
        <v>17.612300000000001</v>
      </c>
      <c r="C1022" s="80">
        <f>17.6123 * CHOOSE(CONTROL!$C$32, $C$9, 100%, $E$9)</f>
        <v>17.612300000000001</v>
      </c>
      <c r="D1022" s="80">
        <f>17.4848 * CHOOSE(CONTROL!$C$32, $C$9, 100%, $E$9)</f>
        <v>17.4848</v>
      </c>
      <c r="E1022" s="81">
        <f>19.8338 * CHOOSE(CONTROL!$C$32, $C$9, 100%, $E$9)</f>
        <v>19.8338</v>
      </c>
      <c r="F1022" s="81">
        <f>19.8338 * CHOOSE(CONTROL!$C$32, $C$9, 100%, $E$9)</f>
        <v>19.8338</v>
      </c>
      <c r="G1022" s="81">
        <f>19.6767 * CHOOSE(CONTROL!$C$32, $C$9, 100%, $E$9)</f>
        <v>19.6767</v>
      </c>
      <c r="H1022" s="81">
        <f>36.4169 * CHOOSE(CONTROL!$C$32, $C$9, 100%, $E$9)</f>
        <v>36.416899999999998</v>
      </c>
      <c r="I1022" s="81">
        <f>36.2598 * CHOOSE(CONTROL!$C$32, $C$9, 100%, $E$9)</f>
        <v>36.259799999999998</v>
      </c>
      <c r="J1022" s="81">
        <f>36.4169 * CHOOSE(CONTROL!$C$32, $C$9, 100%, $E$9)</f>
        <v>36.416899999999998</v>
      </c>
      <c r="K1022" s="81">
        <f>36.2598 * CHOOSE(CONTROL!$C$32, $C$9, 100%, $E$9)</f>
        <v>36.259799999999998</v>
      </c>
      <c r="L1022" s="81">
        <f>19.8338 * CHOOSE(CONTROL!$C$32, $C$9, 100%, $E$9)</f>
        <v>19.8338</v>
      </c>
      <c r="M1022" s="81">
        <f>19.6767 * CHOOSE(CONTROL!$C$32, $C$9, 100%, $E$9)</f>
        <v>19.6767</v>
      </c>
      <c r="N1022" s="81">
        <f>19.8338 * CHOOSE(CONTROL!$C$32, $C$9, 100%, $E$9)</f>
        <v>19.8338</v>
      </c>
      <c r="O1022" s="81">
        <f>19.6767 * CHOOSE(CONTROL!$C$32, $C$9, 100%, $E$9)</f>
        <v>19.6767</v>
      </c>
    </row>
    <row r="1023" spans="1:15" ht="15">
      <c r="A1023" s="16">
        <v>72352</v>
      </c>
      <c r="B1023" s="80">
        <f>17.6093 * CHOOSE(CONTROL!$C$32, $C$9, 100%, $E$9)</f>
        <v>17.609300000000001</v>
      </c>
      <c r="C1023" s="80">
        <f>17.6093 * CHOOSE(CONTROL!$C$32, $C$9, 100%, $E$9)</f>
        <v>17.609300000000001</v>
      </c>
      <c r="D1023" s="80">
        <f>17.4817 * CHOOSE(CONTROL!$C$32, $C$9, 100%, $E$9)</f>
        <v>17.4817</v>
      </c>
      <c r="E1023" s="81">
        <f>19.473 * CHOOSE(CONTROL!$C$32, $C$9, 100%, $E$9)</f>
        <v>19.472999999999999</v>
      </c>
      <c r="F1023" s="81">
        <f>19.473 * CHOOSE(CONTROL!$C$32, $C$9, 100%, $E$9)</f>
        <v>19.472999999999999</v>
      </c>
      <c r="G1023" s="81">
        <f>19.3159 * CHOOSE(CONTROL!$C$32, $C$9, 100%, $E$9)</f>
        <v>19.315899999999999</v>
      </c>
      <c r="H1023" s="81">
        <f>36.4928 * CHOOSE(CONTROL!$C$32, $C$9, 100%, $E$9)</f>
        <v>36.492800000000003</v>
      </c>
      <c r="I1023" s="81">
        <f>36.3357 * CHOOSE(CONTROL!$C$32, $C$9, 100%, $E$9)</f>
        <v>36.335700000000003</v>
      </c>
      <c r="J1023" s="81">
        <f>36.4928 * CHOOSE(CONTROL!$C$32, $C$9, 100%, $E$9)</f>
        <v>36.492800000000003</v>
      </c>
      <c r="K1023" s="81">
        <f>36.3357 * CHOOSE(CONTROL!$C$32, $C$9, 100%, $E$9)</f>
        <v>36.335700000000003</v>
      </c>
      <c r="L1023" s="81">
        <f>19.473 * CHOOSE(CONTROL!$C$32, $C$9, 100%, $E$9)</f>
        <v>19.472999999999999</v>
      </c>
      <c r="M1023" s="81">
        <f>19.3159 * CHOOSE(CONTROL!$C$32, $C$9, 100%, $E$9)</f>
        <v>19.315899999999999</v>
      </c>
      <c r="N1023" s="81">
        <f>19.473 * CHOOSE(CONTROL!$C$32, $C$9, 100%, $E$9)</f>
        <v>19.472999999999999</v>
      </c>
      <c r="O1023" s="81">
        <f>19.3159 * CHOOSE(CONTROL!$C$32, $C$9, 100%, $E$9)</f>
        <v>19.315899999999999</v>
      </c>
    </row>
    <row r="1024" spans="1:15" ht="15">
      <c r="A1024" s="16">
        <v>72380</v>
      </c>
      <c r="B1024" s="80">
        <f>17.6062 * CHOOSE(CONTROL!$C$32, $C$9, 100%, $E$9)</f>
        <v>17.606200000000001</v>
      </c>
      <c r="C1024" s="80">
        <f>17.6062 * CHOOSE(CONTROL!$C$32, $C$9, 100%, $E$9)</f>
        <v>17.606200000000001</v>
      </c>
      <c r="D1024" s="80">
        <f>17.4787 * CHOOSE(CONTROL!$C$32, $C$9, 100%, $E$9)</f>
        <v>17.4787</v>
      </c>
      <c r="E1024" s="81">
        <f>19.7537 * CHOOSE(CONTROL!$C$32, $C$9, 100%, $E$9)</f>
        <v>19.753699999999998</v>
      </c>
      <c r="F1024" s="81">
        <f>19.7537 * CHOOSE(CONTROL!$C$32, $C$9, 100%, $E$9)</f>
        <v>19.753699999999998</v>
      </c>
      <c r="G1024" s="81">
        <f>19.5965 * CHOOSE(CONTROL!$C$32, $C$9, 100%, $E$9)</f>
        <v>19.596499999999999</v>
      </c>
      <c r="H1024" s="81">
        <f>36.5688 * CHOOSE(CONTROL!$C$32, $C$9, 100%, $E$9)</f>
        <v>36.568800000000003</v>
      </c>
      <c r="I1024" s="81">
        <f>36.4117 * CHOOSE(CONTROL!$C$32, $C$9, 100%, $E$9)</f>
        <v>36.411700000000003</v>
      </c>
      <c r="J1024" s="81">
        <f>36.5688 * CHOOSE(CONTROL!$C$32, $C$9, 100%, $E$9)</f>
        <v>36.568800000000003</v>
      </c>
      <c r="K1024" s="81">
        <f>36.4117 * CHOOSE(CONTROL!$C$32, $C$9, 100%, $E$9)</f>
        <v>36.411700000000003</v>
      </c>
      <c r="L1024" s="81">
        <f>19.7537 * CHOOSE(CONTROL!$C$32, $C$9, 100%, $E$9)</f>
        <v>19.753699999999998</v>
      </c>
      <c r="M1024" s="81">
        <f>19.5965 * CHOOSE(CONTROL!$C$32, $C$9, 100%, $E$9)</f>
        <v>19.596499999999999</v>
      </c>
      <c r="N1024" s="81">
        <f>19.7537 * CHOOSE(CONTROL!$C$32, $C$9, 100%, $E$9)</f>
        <v>19.753699999999998</v>
      </c>
      <c r="O1024" s="81">
        <f>19.5965 * CHOOSE(CONTROL!$C$32, $C$9, 100%, $E$9)</f>
        <v>19.596499999999999</v>
      </c>
    </row>
    <row r="1025" spans="1:15" ht="15">
      <c r="A1025" s="16">
        <v>72411</v>
      </c>
      <c r="B1025" s="80">
        <f>17.6152 * CHOOSE(CONTROL!$C$32, $C$9, 100%, $E$9)</f>
        <v>17.615200000000002</v>
      </c>
      <c r="C1025" s="80">
        <f>17.6152 * CHOOSE(CONTROL!$C$32, $C$9, 100%, $E$9)</f>
        <v>17.615200000000002</v>
      </c>
      <c r="D1025" s="80">
        <f>17.4877 * CHOOSE(CONTROL!$C$32, $C$9, 100%, $E$9)</f>
        <v>17.4877</v>
      </c>
      <c r="E1025" s="81">
        <f>20.0531 * CHOOSE(CONTROL!$C$32, $C$9, 100%, $E$9)</f>
        <v>20.053100000000001</v>
      </c>
      <c r="F1025" s="81">
        <f>20.0531 * CHOOSE(CONTROL!$C$32, $C$9, 100%, $E$9)</f>
        <v>20.053100000000001</v>
      </c>
      <c r="G1025" s="81">
        <f>19.896 * CHOOSE(CONTROL!$C$32, $C$9, 100%, $E$9)</f>
        <v>19.896000000000001</v>
      </c>
      <c r="H1025" s="81">
        <f>36.645 * CHOOSE(CONTROL!$C$32, $C$9, 100%, $E$9)</f>
        <v>36.645000000000003</v>
      </c>
      <c r="I1025" s="81">
        <f>36.4879 * CHOOSE(CONTROL!$C$32, $C$9, 100%, $E$9)</f>
        <v>36.487900000000003</v>
      </c>
      <c r="J1025" s="81">
        <f>36.645 * CHOOSE(CONTROL!$C$32, $C$9, 100%, $E$9)</f>
        <v>36.645000000000003</v>
      </c>
      <c r="K1025" s="81">
        <f>36.4879 * CHOOSE(CONTROL!$C$32, $C$9, 100%, $E$9)</f>
        <v>36.487900000000003</v>
      </c>
      <c r="L1025" s="81">
        <f>20.0531 * CHOOSE(CONTROL!$C$32, $C$9, 100%, $E$9)</f>
        <v>20.053100000000001</v>
      </c>
      <c r="M1025" s="81">
        <f>19.896 * CHOOSE(CONTROL!$C$32, $C$9, 100%, $E$9)</f>
        <v>19.896000000000001</v>
      </c>
      <c r="N1025" s="81">
        <f>20.0531 * CHOOSE(CONTROL!$C$32, $C$9, 100%, $E$9)</f>
        <v>20.053100000000001</v>
      </c>
      <c r="O1025" s="81">
        <f>19.896 * CHOOSE(CONTROL!$C$32, $C$9, 100%, $E$9)</f>
        <v>19.896000000000001</v>
      </c>
    </row>
    <row r="1026" spans="1:15" ht="15">
      <c r="A1026" s="16">
        <v>72441</v>
      </c>
      <c r="B1026" s="80">
        <f>17.6152 * CHOOSE(CONTROL!$C$32, $C$9, 100%, $E$9)</f>
        <v>17.615200000000002</v>
      </c>
      <c r="C1026" s="80">
        <f>17.6152 * CHOOSE(CONTROL!$C$32, $C$9, 100%, $E$9)</f>
        <v>17.615200000000002</v>
      </c>
      <c r="D1026" s="80">
        <f>17.4294 * CHOOSE(CONTROL!$C$32, $C$9, 100%, $E$9)</f>
        <v>17.429400000000001</v>
      </c>
      <c r="E1026" s="81">
        <f>20.167 * CHOOSE(CONTROL!$C$32, $C$9, 100%, $E$9)</f>
        <v>20.167000000000002</v>
      </c>
      <c r="F1026" s="81">
        <f>20.167 * CHOOSE(CONTROL!$C$32, $C$9, 100%, $E$9)</f>
        <v>20.167000000000002</v>
      </c>
      <c r="G1026" s="81">
        <f>19.9396 * CHOOSE(CONTROL!$C$32, $C$9, 100%, $E$9)</f>
        <v>19.939599999999999</v>
      </c>
      <c r="H1026" s="81">
        <f>36.7213 * CHOOSE(CONTROL!$C$32, $C$9, 100%, $E$9)</f>
        <v>36.721299999999999</v>
      </c>
      <c r="I1026" s="81">
        <f>36.494 * CHOOSE(CONTROL!$C$32, $C$9, 100%, $E$9)</f>
        <v>36.494</v>
      </c>
      <c r="J1026" s="81">
        <f>36.7213 * CHOOSE(CONTROL!$C$32, $C$9, 100%, $E$9)</f>
        <v>36.721299999999999</v>
      </c>
      <c r="K1026" s="81">
        <f>36.494 * CHOOSE(CONTROL!$C$32, $C$9, 100%, $E$9)</f>
        <v>36.494</v>
      </c>
      <c r="L1026" s="81">
        <f>20.167 * CHOOSE(CONTROL!$C$32, $C$9, 100%, $E$9)</f>
        <v>20.167000000000002</v>
      </c>
      <c r="M1026" s="81">
        <f>19.9396 * CHOOSE(CONTROL!$C$32, $C$9, 100%, $E$9)</f>
        <v>19.939599999999999</v>
      </c>
      <c r="N1026" s="81">
        <f>20.167 * CHOOSE(CONTROL!$C$32, $C$9, 100%, $E$9)</f>
        <v>20.167000000000002</v>
      </c>
      <c r="O1026" s="81">
        <f>19.9396 * CHOOSE(CONTROL!$C$32, $C$9, 100%, $E$9)</f>
        <v>19.939599999999999</v>
      </c>
    </row>
    <row r="1027" spans="1:15" ht="15">
      <c r="A1027" s="16">
        <v>72472</v>
      </c>
      <c r="B1027" s="80">
        <f>17.6213 * CHOOSE(CONTROL!$C$32, $C$9, 100%, $E$9)</f>
        <v>17.621300000000002</v>
      </c>
      <c r="C1027" s="80">
        <f>17.6213 * CHOOSE(CONTROL!$C$32, $C$9, 100%, $E$9)</f>
        <v>17.621300000000002</v>
      </c>
      <c r="D1027" s="80">
        <f>17.4354 * CHOOSE(CONTROL!$C$32, $C$9, 100%, $E$9)</f>
        <v>17.435400000000001</v>
      </c>
      <c r="E1027" s="81">
        <f>20.0573 * CHOOSE(CONTROL!$C$32, $C$9, 100%, $E$9)</f>
        <v>20.057300000000001</v>
      </c>
      <c r="F1027" s="81">
        <f>20.0573 * CHOOSE(CONTROL!$C$32, $C$9, 100%, $E$9)</f>
        <v>20.057300000000001</v>
      </c>
      <c r="G1027" s="81">
        <f>19.83 * CHOOSE(CONTROL!$C$32, $C$9, 100%, $E$9)</f>
        <v>19.829999999999998</v>
      </c>
      <c r="H1027" s="81">
        <f>36.7978 * CHOOSE(CONTROL!$C$32, $C$9, 100%, $E$9)</f>
        <v>36.797800000000002</v>
      </c>
      <c r="I1027" s="81">
        <f>36.5705 * CHOOSE(CONTROL!$C$32, $C$9, 100%, $E$9)</f>
        <v>36.570500000000003</v>
      </c>
      <c r="J1027" s="81">
        <f>36.7978 * CHOOSE(CONTROL!$C$32, $C$9, 100%, $E$9)</f>
        <v>36.797800000000002</v>
      </c>
      <c r="K1027" s="81">
        <f>36.5705 * CHOOSE(CONTROL!$C$32, $C$9, 100%, $E$9)</f>
        <v>36.570500000000003</v>
      </c>
      <c r="L1027" s="81">
        <f>20.0573 * CHOOSE(CONTROL!$C$32, $C$9, 100%, $E$9)</f>
        <v>20.057300000000001</v>
      </c>
      <c r="M1027" s="81">
        <f>19.83 * CHOOSE(CONTROL!$C$32, $C$9, 100%, $E$9)</f>
        <v>19.829999999999998</v>
      </c>
      <c r="N1027" s="81">
        <f>20.0573 * CHOOSE(CONTROL!$C$32, $C$9, 100%, $E$9)</f>
        <v>20.057300000000001</v>
      </c>
      <c r="O1027" s="81">
        <f>19.83 * CHOOSE(CONTROL!$C$32, $C$9, 100%, $E$9)</f>
        <v>19.829999999999998</v>
      </c>
    </row>
    <row r="1028" spans="1:15" ht="15">
      <c r="A1028" s="16">
        <v>72502</v>
      </c>
      <c r="B1028" s="80">
        <f>17.8861 * CHOOSE(CONTROL!$C$32, $C$9, 100%, $E$9)</f>
        <v>17.886099999999999</v>
      </c>
      <c r="C1028" s="80">
        <f>17.8861 * CHOOSE(CONTROL!$C$32, $C$9, 100%, $E$9)</f>
        <v>17.886099999999999</v>
      </c>
      <c r="D1028" s="80">
        <f>17.7002 * CHOOSE(CONTROL!$C$32, $C$9, 100%, $E$9)</f>
        <v>17.700199999999999</v>
      </c>
      <c r="E1028" s="81">
        <f>20.3735 * CHOOSE(CONTROL!$C$32, $C$9, 100%, $E$9)</f>
        <v>20.3735</v>
      </c>
      <c r="F1028" s="81">
        <f>20.3735 * CHOOSE(CONTROL!$C$32, $C$9, 100%, $E$9)</f>
        <v>20.3735</v>
      </c>
      <c r="G1028" s="81">
        <f>20.1462 * CHOOSE(CONTROL!$C$32, $C$9, 100%, $E$9)</f>
        <v>20.1462</v>
      </c>
      <c r="H1028" s="81">
        <f>36.8745 * CHOOSE(CONTROL!$C$32, $C$9, 100%, $E$9)</f>
        <v>36.874499999999998</v>
      </c>
      <c r="I1028" s="81">
        <f>36.6472 * CHOOSE(CONTROL!$C$32, $C$9, 100%, $E$9)</f>
        <v>36.647199999999998</v>
      </c>
      <c r="J1028" s="81">
        <f>36.8745 * CHOOSE(CONTROL!$C$32, $C$9, 100%, $E$9)</f>
        <v>36.874499999999998</v>
      </c>
      <c r="K1028" s="81">
        <f>36.6472 * CHOOSE(CONTROL!$C$32, $C$9, 100%, $E$9)</f>
        <v>36.647199999999998</v>
      </c>
      <c r="L1028" s="81">
        <f>20.3735 * CHOOSE(CONTROL!$C$32, $C$9, 100%, $E$9)</f>
        <v>20.3735</v>
      </c>
      <c r="M1028" s="81">
        <f>20.1462 * CHOOSE(CONTROL!$C$32, $C$9, 100%, $E$9)</f>
        <v>20.1462</v>
      </c>
      <c r="N1028" s="81">
        <f>20.3735 * CHOOSE(CONTROL!$C$32, $C$9, 100%, $E$9)</f>
        <v>20.3735</v>
      </c>
      <c r="O1028" s="81">
        <f>20.1462 * CHOOSE(CONTROL!$C$32, $C$9, 100%, $E$9)</f>
        <v>20.1462</v>
      </c>
    </row>
    <row r="1029" spans="1:15" ht="15">
      <c r="A1029" s="16">
        <v>72533</v>
      </c>
      <c r="B1029" s="80">
        <f>17.8928 * CHOOSE(CONTROL!$C$32, $C$9, 100%, $E$9)</f>
        <v>17.892800000000001</v>
      </c>
      <c r="C1029" s="80">
        <f>17.8928 * CHOOSE(CONTROL!$C$32, $C$9, 100%, $E$9)</f>
        <v>17.892800000000001</v>
      </c>
      <c r="D1029" s="80">
        <f>17.7069 * CHOOSE(CONTROL!$C$32, $C$9, 100%, $E$9)</f>
        <v>17.706900000000001</v>
      </c>
      <c r="E1029" s="81">
        <f>20.0365 * CHOOSE(CONTROL!$C$32, $C$9, 100%, $E$9)</f>
        <v>20.0365</v>
      </c>
      <c r="F1029" s="81">
        <f>20.0365 * CHOOSE(CONTROL!$C$32, $C$9, 100%, $E$9)</f>
        <v>20.0365</v>
      </c>
      <c r="G1029" s="81">
        <f>19.8092 * CHOOSE(CONTROL!$C$32, $C$9, 100%, $E$9)</f>
        <v>19.809200000000001</v>
      </c>
      <c r="H1029" s="81">
        <f>36.9513 * CHOOSE(CONTROL!$C$32, $C$9, 100%, $E$9)</f>
        <v>36.951300000000003</v>
      </c>
      <c r="I1029" s="81">
        <f>36.724 * CHOOSE(CONTROL!$C$32, $C$9, 100%, $E$9)</f>
        <v>36.723999999999997</v>
      </c>
      <c r="J1029" s="81">
        <f>36.9513 * CHOOSE(CONTROL!$C$32, $C$9, 100%, $E$9)</f>
        <v>36.951300000000003</v>
      </c>
      <c r="K1029" s="81">
        <f>36.724 * CHOOSE(CONTROL!$C$32, $C$9, 100%, $E$9)</f>
        <v>36.723999999999997</v>
      </c>
      <c r="L1029" s="81">
        <f>20.0365 * CHOOSE(CONTROL!$C$32, $C$9, 100%, $E$9)</f>
        <v>20.0365</v>
      </c>
      <c r="M1029" s="81">
        <f>19.8092 * CHOOSE(CONTROL!$C$32, $C$9, 100%, $E$9)</f>
        <v>19.809200000000001</v>
      </c>
      <c r="N1029" s="81">
        <f>20.0365 * CHOOSE(CONTROL!$C$32, $C$9, 100%, $E$9)</f>
        <v>20.0365</v>
      </c>
      <c r="O1029" s="81">
        <f>19.8092 * CHOOSE(CONTROL!$C$32, $C$9, 100%, $E$9)</f>
        <v>19.809200000000001</v>
      </c>
    </row>
    <row r="1030" spans="1:15" ht="15">
      <c r="A1030" s="16">
        <v>72564</v>
      </c>
      <c r="B1030" s="80">
        <f>17.8898 * CHOOSE(CONTROL!$C$32, $C$9, 100%, $E$9)</f>
        <v>17.889800000000001</v>
      </c>
      <c r="C1030" s="80">
        <f>17.8898 * CHOOSE(CONTROL!$C$32, $C$9, 100%, $E$9)</f>
        <v>17.889800000000001</v>
      </c>
      <c r="D1030" s="80">
        <f>17.7039 * CHOOSE(CONTROL!$C$32, $C$9, 100%, $E$9)</f>
        <v>17.703900000000001</v>
      </c>
      <c r="E1030" s="81">
        <f>19.9965 * CHOOSE(CONTROL!$C$32, $C$9, 100%, $E$9)</f>
        <v>19.996500000000001</v>
      </c>
      <c r="F1030" s="81">
        <f>19.9965 * CHOOSE(CONTROL!$C$32, $C$9, 100%, $E$9)</f>
        <v>19.996500000000001</v>
      </c>
      <c r="G1030" s="81">
        <f>19.7691 * CHOOSE(CONTROL!$C$32, $C$9, 100%, $E$9)</f>
        <v>19.769100000000002</v>
      </c>
      <c r="H1030" s="81">
        <f>37.0283 * CHOOSE(CONTROL!$C$32, $C$9, 100%, $E$9)</f>
        <v>37.028300000000002</v>
      </c>
      <c r="I1030" s="81">
        <f>36.801 * CHOOSE(CONTROL!$C$32, $C$9, 100%, $E$9)</f>
        <v>36.801000000000002</v>
      </c>
      <c r="J1030" s="81">
        <f>37.0283 * CHOOSE(CONTROL!$C$32, $C$9, 100%, $E$9)</f>
        <v>37.028300000000002</v>
      </c>
      <c r="K1030" s="81">
        <f>36.801 * CHOOSE(CONTROL!$C$32, $C$9, 100%, $E$9)</f>
        <v>36.801000000000002</v>
      </c>
      <c r="L1030" s="81">
        <f>19.9965 * CHOOSE(CONTROL!$C$32, $C$9, 100%, $E$9)</f>
        <v>19.996500000000001</v>
      </c>
      <c r="M1030" s="81">
        <f>19.7691 * CHOOSE(CONTROL!$C$32, $C$9, 100%, $E$9)</f>
        <v>19.769100000000002</v>
      </c>
      <c r="N1030" s="81">
        <f>19.9965 * CHOOSE(CONTROL!$C$32, $C$9, 100%, $E$9)</f>
        <v>19.996500000000001</v>
      </c>
      <c r="O1030" s="81">
        <f>19.7691 * CHOOSE(CONTROL!$C$32, $C$9, 100%, $E$9)</f>
        <v>19.769100000000002</v>
      </c>
    </row>
    <row r="1031" spans="1:15" ht="15">
      <c r="A1031" s="16">
        <v>72594</v>
      </c>
      <c r="B1031" s="80">
        <f>17.9294 * CHOOSE(CONTROL!$C$32, $C$9, 100%, $E$9)</f>
        <v>17.929400000000001</v>
      </c>
      <c r="C1031" s="80">
        <f>17.9294 * CHOOSE(CONTROL!$C$32, $C$9, 100%, $E$9)</f>
        <v>17.929400000000001</v>
      </c>
      <c r="D1031" s="80">
        <f>17.8019 * CHOOSE(CONTROL!$C$32, $C$9, 100%, $E$9)</f>
        <v>17.8019</v>
      </c>
      <c r="E1031" s="81">
        <f>20.1349 * CHOOSE(CONTROL!$C$32, $C$9, 100%, $E$9)</f>
        <v>20.134899999999998</v>
      </c>
      <c r="F1031" s="81">
        <f>20.1349 * CHOOSE(CONTROL!$C$32, $C$9, 100%, $E$9)</f>
        <v>20.134899999999998</v>
      </c>
      <c r="G1031" s="81">
        <f>19.9777 * CHOOSE(CONTROL!$C$32, $C$9, 100%, $E$9)</f>
        <v>19.977699999999999</v>
      </c>
      <c r="H1031" s="81">
        <f>37.1055 * CHOOSE(CONTROL!$C$32, $C$9, 100%, $E$9)</f>
        <v>37.105499999999999</v>
      </c>
      <c r="I1031" s="81">
        <f>36.9483 * CHOOSE(CONTROL!$C$32, $C$9, 100%, $E$9)</f>
        <v>36.948300000000003</v>
      </c>
      <c r="J1031" s="81">
        <f>37.1055 * CHOOSE(CONTROL!$C$32, $C$9, 100%, $E$9)</f>
        <v>37.105499999999999</v>
      </c>
      <c r="K1031" s="81">
        <f>36.9483 * CHOOSE(CONTROL!$C$32, $C$9, 100%, $E$9)</f>
        <v>36.948300000000003</v>
      </c>
      <c r="L1031" s="81">
        <f>20.1349 * CHOOSE(CONTROL!$C$32, $C$9, 100%, $E$9)</f>
        <v>20.134899999999998</v>
      </c>
      <c r="M1031" s="81">
        <f>19.9777 * CHOOSE(CONTROL!$C$32, $C$9, 100%, $E$9)</f>
        <v>19.977699999999999</v>
      </c>
      <c r="N1031" s="81">
        <f>20.1349 * CHOOSE(CONTROL!$C$32, $C$9, 100%, $E$9)</f>
        <v>20.134899999999998</v>
      </c>
      <c r="O1031" s="81">
        <f>19.9777 * CHOOSE(CONTROL!$C$32, $C$9, 100%, $E$9)</f>
        <v>19.977699999999999</v>
      </c>
    </row>
    <row r="1032" spans="1:15" ht="15">
      <c r="A1032" s="16">
        <v>72625</v>
      </c>
      <c r="B1032" s="80">
        <f>17.9324 * CHOOSE(CONTROL!$C$32, $C$9, 100%, $E$9)</f>
        <v>17.932400000000001</v>
      </c>
      <c r="C1032" s="80">
        <f>17.9324 * CHOOSE(CONTROL!$C$32, $C$9, 100%, $E$9)</f>
        <v>17.932400000000001</v>
      </c>
      <c r="D1032" s="80">
        <f>17.8049 * CHOOSE(CONTROL!$C$32, $C$9, 100%, $E$9)</f>
        <v>17.8049</v>
      </c>
      <c r="E1032" s="81">
        <f>20.2129 * CHOOSE(CONTROL!$C$32, $C$9, 100%, $E$9)</f>
        <v>20.212900000000001</v>
      </c>
      <c r="F1032" s="81">
        <f>20.2129 * CHOOSE(CONTROL!$C$32, $C$9, 100%, $E$9)</f>
        <v>20.212900000000001</v>
      </c>
      <c r="G1032" s="81">
        <f>20.0558 * CHOOSE(CONTROL!$C$32, $C$9, 100%, $E$9)</f>
        <v>20.055800000000001</v>
      </c>
      <c r="H1032" s="81">
        <f>37.1828 * CHOOSE(CONTROL!$C$32, $C$9, 100%, $E$9)</f>
        <v>37.1828</v>
      </c>
      <c r="I1032" s="81">
        <f>37.0256 * CHOOSE(CONTROL!$C$32, $C$9, 100%, $E$9)</f>
        <v>37.025599999999997</v>
      </c>
      <c r="J1032" s="81">
        <f>37.1828 * CHOOSE(CONTROL!$C$32, $C$9, 100%, $E$9)</f>
        <v>37.1828</v>
      </c>
      <c r="K1032" s="81">
        <f>37.0256 * CHOOSE(CONTROL!$C$32, $C$9, 100%, $E$9)</f>
        <v>37.025599999999997</v>
      </c>
      <c r="L1032" s="81">
        <f>20.2129 * CHOOSE(CONTROL!$C$32, $C$9, 100%, $E$9)</f>
        <v>20.212900000000001</v>
      </c>
      <c r="M1032" s="81">
        <f>20.0558 * CHOOSE(CONTROL!$C$32, $C$9, 100%, $E$9)</f>
        <v>20.055800000000001</v>
      </c>
      <c r="N1032" s="81">
        <f>20.2129 * CHOOSE(CONTROL!$C$32, $C$9, 100%, $E$9)</f>
        <v>20.212900000000001</v>
      </c>
      <c r="O1032" s="81">
        <f>20.0558 * CHOOSE(CONTROL!$C$32, $C$9, 100%, $E$9)</f>
        <v>20.055800000000001</v>
      </c>
    </row>
    <row r="1033" spans="1:15" ht="15">
      <c r="A1033" s="16">
        <v>72655</v>
      </c>
      <c r="B1033" s="80">
        <f>17.9324 * CHOOSE(CONTROL!$C$32, $C$9, 100%, $E$9)</f>
        <v>17.932400000000001</v>
      </c>
      <c r="C1033" s="80">
        <f>17.9324 * CHOOSE(CONTROL!$C$32, $C$9, 100%, $E$9)</f>
        <v>17.932400000000001</v>
      </c>
      <c r="D1033" s="80">
        <f>17.8049 * CHOOSE(CONTROL!$C$32, $C$9, 100%, $E$9)</f>
        <v>17.8049</v>
      </c>
      <c r="E1033" s="81">
        <f>20.0231 * CHOOSE(CONTROL!$C$32, $C$9, 100%, $E$9)</f>
        <v>20.023099999999999</v>
      </c>
      <c r="F1033" s="81">
        <f>20.0231 * CHOOSE(CONTROL!$C$32, $C$9, 100%, $E$9)</f>
        <v>20.023099999999999</v>
      </c>
      <c r="G1033" s="81">
        <f>19.866 * CHOOSE(CONTROL!$C$32, $C$9, 100%, $E$9)</f>
        <v>19.866</v>
      </c>
      <c r="H1033" s="81">
        <f>37.2602 * CHOOSE(CONTROL!$C$32, $C$9, 100%, $E$9)</f>
        <v>37.260199999999998</v>
      </c>
      <c r="I1033" s="81">
        <f>37.1031 * CHOOSE(CONTROL!$C$32, $C$9, 100%, $E$9)</f>
        <v>37.103099999999998</v>
      </c>
      <c r="J1033" s="81">
        <f>37.2602 * CHOOSE(CONTROL!$C$32, $C$9, 100%, $E$9)</f>
        <v>37.260199999999998</v>
      </c>
      <c r="K1033" s="81">
        <f>37.1031 * CHOOSE(CONTROL!$C$32, $C$9, 100%, $E$9)</f>
        <v>37.103099999999998</v>
      </c>
      <c r="L1033" s="81">
        <f>20.0231 * CHOOSE(CONTROL!$C$32, $C$9, 100%, $E$9)</f>
        <v>20.023099999999999</v>
      </c>
      <c r="M1033" s="81">
        <f>19.866 * CHOOSE(CONTROL!$C$32, $C$9, 100%, $E$9)</f>
        <v>19.866</v>
      </c>
      <c r="N1033" s="81">
        <f>20.0231 * CHOOSE(CONTROL!$C$32, $C$9, 100%, $E$9)</f>
        <v>20.023099999999999</v>
      </c>
      <c r="O1033" s="81">
        <f>19.866 * CHOOSE(CONTROL!$C$32, $C$9, 100%, $E$9)</f>
        <v>19.866</v>
      </c>
    </row>
    <row r="1034" spans="1:15" ht="15">
      <c r="A1034" s="16">
        <v>72686</v>
      </c>
      <c r="B1034" s="80">
        <f>17.8479 * CHOOSE(CONTROL!$C$32, $C$9, 100%, $E$9)</f>
        <v>17.847899999999999</v>
      </c>
      <c r="C1034" s="80">
        <f>17.8479 * CHOOSE(CONTROL!$C$32, $C$9, 100%, $E$9)</f>
        <v>17.847899999999999</v>
      </c>
      <c r="D1034" s="80">
        <f>17.7168 * CHOOSE(CONTROL!$C$32, $C$9, 100%, $E$9)</f>
        <v>17.716799999999999</v>
      </c>
      <c r="E1034" s="81">
        <f>20.0886 * CHOOSE(CONTROL!$C$32, $C$9, 100%, $E$9)</f>
        <v>20.0886</v>
      </c>
      <c r="F1034" s="81">
        <f>20.0886 * CHOOSE(CONTROL!$C$32, $C$9, 100%, $E$9)</f>
        <v>20.0886</v>
      </c>
      <c r="G1034" s="81">
        <f>19.927 * CHOOSE(CONTROL!$C$32, $C$9, 100%, $E$9)</f>
        <v>19.927</v>
      </c>
      <c r="H1034" s="81">
        <f>36.8927 * CHOOSE(CONTROL!$C$32, $C$9, 100%, $E$9)</f>
        <v>36.892699999999998</v>
      </c>
      <c r="I1034" s="81">
        <f>36.7312 * CHOOSE(CONTROL!$C$32, $C$9, 100%, $E$9)</f>
        <v>36.731200000000001</v>
      </c>
      <c r="J1034" s="81">
        <f>36.8927 * CHOOSE(CONTROL!$C$32, $C$9, 100%, $E$9)</f>
        <v>36.892699999999998</v>
      </c>
      <c r="K1034" s="81">
        <f>36.7312 * CHOOSE(CONTROL!$C$32, $C$9, 100%, $E$9)</f>
        <v>36.731200000000001</v>
      </c>
      <c r="L1034" s="81">
        <f>20.0886 * CHOOSE(CONTROL!$C$32, $C$9, 100%, $E$9)</f>
        <v>20.0886</v>
      </c>
      <c r="M1034" s="81">
        <f>19.927 * CHOOSE(CONTROL!$C$32, $C$9, 100%, $E$9)</f>
        <v>19.927</v>
      </c>
      <c r="N1034" s="81">
        <f>20.0886 * CHOOSE(CONTROL!$C$32, $C$9, 100%, $E$9)</f>
        <v>20.0886</v>
      </c>
      <c r="O1034" s="81">
        <f>19.927 * CHOOSE(CONTROL!$C$32, $C$9, 100%, $E$9)</f>
        <v>19.927</v>
      </c>
    </row>
    <row r="1035" spans="1:15" ht="15">
      <c r="A1035" s="16">
        <v>72717</v>
      </c>
      <c r="B1035" s="80">
        <f>17.8448 * CHOOSE(CONTROL!$C$32, $C$9, 100%, $E$9)</f>
        <v>17.844799999999999</v>
      </c>
      <c r="C1035" s="80">
        <f>17.8448 * CHOOSE(CONTROL!$C$32, $C$9, 100%, $E$9)</f>
        <v>17.844799999999999</v>
      </c>
      <c r="D1035" s="80">
        <f>17.7138 * CHOOSE(CONTROL!$C$32, $C$9, 100%, $E$9)</f>
        <v>17.713799999999999</v>
      </c>
      <c r="E1035" s="81">
        <f>19.7228 * CHOOSE(CONTROL!$C$32, $C$9, 100%, $E$9)</f>
        <v>19.722799999999999</v>
      </c>
      <c r="F1035" s="81">
        <f>19.7228 * CHOOSE(CONTROL!$C$32, $C$9, 100%, $E$9)</f>
        <v>19.722799999999999</v>
      </c>
      <c r="G1035" s="81">
        <f>19.5613 * CHOOSE(CONTROL!$C$32, $C$9, 100%, $E$9)</f>
        <v>19.561299999999999</v>
      </c>
      <c r="H1035" s="81">
        <f>36.9695 * CHOOSE(CONTROL!$C$32, $C$9, 100%, $E$9)</f>
        <v>36.969499999999996</v>
      </c>
      <c r="I1035" s="81">
        <f>36.808 * CHOOSE(CONTROL!$C$32, $C$9, 100%, $E$9)</f>
        <v>36.808</v>
      </c>
      <c r="J1035" s="81">
        <f>36.9695 * CHOOSE(CONTROL!$C$32, $C$9, 100%, $E$9)</f>
        <v>36.969499999999996</v>
      </c>
      <c r="K1035" s="81">
        <f>36.808 * CHOOSE(CONTROL!$C$32, $C$9, 100%, $E$9)</f>
        <v>36.808</v>
      </c>
      <c r="L1035" s="81">
        <f>19.7228 * CHOOSE(CONTROL!$C$32, $C$9, 100%, $E$9)</f>
        <v>19.722799999999999</v>
      </c>
      <c r="M1035" s="81">
        <f>19.5613 * CHOOSE(CONTROL!$C$32, $C$9, 100%, $E$9)</f>
        <v>19.561299999999999</v>
      </c>
      <c r="N1035" s="81">
        <f>19.7228 * CHOOSE(CONTROL!$C$32, $C$9, 100%, $E$9)</f>
        <v>19.722799999999999</v>
      </c>
      <c r="O1035" s="81">
        <f>19.5613 * CHOOSE(CONTROL!$C$32, $C$9, 100%, $E$9)</f>
        <v>19.561299999999999</v>
      </c>
    </row>
    <row r="1036" spans="1:15" ht="15">
      <c r="A1036" s="16">
        <v>72745</v>
      </c>
      <c r="B1036" s="80">
        <f>17.8418 * CHOOSE(CONTROL!$C$32, $C$9, 100%, $E$9)</f>
        <v>17.841799999999999</v>
      </c>
      <c r="C1036" s="80">
        <f>17.8418 * CHOOSE(CONTROL!$C$32, $C$9, 100%, $E$9)</f>
        <v>17.841799999999999</v>
      </c>
      <c r="D1036" s="80">
        <f>17.7107 * CHOOSE(CONTROL!$C$32, $C$9, 100%, $E$9)</f>
        <v>17.710699999999999</v>
      </c>
      <c r="E1036" s="81">
        <f>20.0074 * CHOOSE(CONTROL!$C$32, $C$9, 100%, $E$9)</f>
        <v>20.007400000000001</v>
      </c>
      <c r="F1036" s="81">
        <f>20.0074 * CHOOSE(CONTROL!$C$32, $C$9, 100%, $E$9)</f>
        <v>20.007400000000001</v>
      </c>
      <c r="G1036" s="81">
        <f>19.8458 * CHOOSE(CONTROL!$C$32, $C$9, 100%, $E$9)</f>
        <v>19.845800000000001</v>
      </c>
      <c r="H1036" s="81">
        <f>37.0466 * CHOOSE(CONTROL!$C$32, $C$9, 100%, $E$9)</f>
        <v>37.046599999999998</v>
      </c>
      <c r="I1036" s="81">
        <f>36.8851 * CHOOSE(CONTROL!$C$32, $C$9, 100%, $E$9)</f>
        <v>36.885100000000001</v>
      </c>
      <c r="J1036" s="81">
        <f>37.0466 * CHOOSE(CONTROL!$C$32, $C$9, 100%, $E$9)</f>
        <v>37.046599999999998</v>
      </c>
      <c r="K1036" s="81">
        <f>36.8851 * CHOOSE(CONTROL!$C$32, $C$9, 100%, $E$9)</f>
        <v>36.885100000000001</v>
      </c>
      <c r="L1036" s="81">
        <f>20.0074 * CHOOSE(CONTROL!$C$32, $C$9, 100%, $E$9)</f>
        <v>20.007400000000001</v>
      </c>
      <c r="M1036" s="81">
        <f>19.8458 * CHOOSE(CONTROL!$C$32, $C$9, 100%, $E$9)</f>
        <v>19.845800000000001</v>
      </c>
      <c r="N1036" s="81">
        <f>20.0074 * CHOOSE(CONTROL!$C$32, $C$9, 100%, $E$9)</f>
        <v>20.007400000000001</v>
      </c>
      <c r="O1036" s="81">
        <f>19.8458 * CHOOSE(CONTROL!$C$32, $C$9, 100%, $E$9)</f>
        <v>19.845800000000001</v>
      </c>
    </row>
    <row r="1037" spans="1:15" ht="15">
      <c r="A1037" s="16">
        <v>72776</v>
      </c>
      <c r="B1037" s="80">
        <f>17.851 * CHOOSE(CONTROL!$C$32, $C$9, 100%, $E$9)</f>
        <v>17.850999999999999</v>
      </c>
      <c r="C1037" s="80">
        <f>17.851 * CHOOSE(CONTROL!$C$32, $C$9, 100%, $E$9)</f>
        <v>17.850999999999999</v>
      </c>
      <c r="D1037" s="80">
        <f>17.7199 * CHOOSE(CONTROL!$C$32, $C$9, 100%, $E$9)</f>
        <v>17.719899999999999</v>
      </c>
      <c r="E1037" s="81">
        <f>20.311 * CHOOSE(CONTROL!$C$32, $C$9, 100%, $E$9)</f>
        <v>20.311</v>
      </c>
      <c r="F1037" s="81">
        <f>20.311 * CHOOSE(CONTROL!$C$32, $C$9, 100%, $E$9)</f>
        <v>20.311</v>
      </c>
      <c r="G1037" s="81">
        <f>20.1495 * CHOOSE(CONTROL!$C$32, $C$9, 100%, $E$9)</f>
        <v>20.1495</v>
      </c>
      <c r="H1037" s="81">
        <f>37.1237 * CHOOSE(CONTROL!$C$32, $C$9, 100%, $E$9)</f>
        <v>37.123699999999999</v>
      </c>
      <c r="I1037" s="81">
        <f>36.9622 * CHOOSE(CONTROL!$C$32, $C$9, 100%, $E$9)</f>
        <v>36.962200000000003</v>
      </c>
      <c r="J1037" s="81">
        <f>37.1237 * CHOOSE(CONTROL!$C$32, $C$9, 100%, $E$9)</f>
        <v>37.123699999999999</v>
      </c>
      <c r="K1037" s="81">
        <f>36.9622 * CHOOSE(CONTROL!$C$32, $C$9, 100%, $E$9)</f>
        <v>36.962200000000003</v>
      </c>
      <c r="L1037" s="81">
        <f>20.311 * CHOOSE(CONTROL!$C$32, $C$9, 100%, $E$9)</f>
        <v>20.311</v>
      </c>
      <c r="M1037" s="81">
        <f>20.1495 * CHOOSE(CONTROL!$C$32, $C$9, 100%, $E$9)</f>
        <v>20.1495</v>
      </c>
      <c r="N1037" s="81">
        <f>20.311 * CHOOSE(CONTROL!$C$32, $C$9, 100%, $E$9)</f>
        <v>20.311</v>
      </c>
      <c r="O1037" s="81">
        <f>20.1495 * CHOOSE(CONTROL!$C$32, $C$9, 100%, $E$9)</f>
        <v>20.1495</v>
      </c>
    </row>
    <row r="1038" spans="1:15" ht="15">
      <c r="A1038" s="16">
        <v>72806</v>
      </c>
      <c r="B1038" s="80">
        <f>17.851 * CHOOSE(CONTROL!$C$32, $C$9, 100%, $E$9)</f>
        <v>17.850999999999999</v>
      </c>
      <c r="C1038" s="80">
        <f>17.851 * CHOOSE(CONTROL!$C$32, $C$9, 100%, $E$9)</f>
        <v>17.850999999999999</v>
      </c>
      <c r="D1038" s="80">
        <f>17.66 * CHOOSE(CONTROL!$C$32, $C$9, 100%, $E$9)</f>
        <v>17.66</v>
      </c>
      <c r="E1038" s="81">
        <f>20.4264 * CHOOSE(CONTROL!$C$32, $C$9, 100%, $E$9)</f>
        <v>20.426400000000001</v>
      </c>
      <c r="F1038" s="81">
        <f>20.4264 * CHOOSE(CONTROL!$C$32, $C$9, 100%, $E$9)</f>
        <v>20.426400000000001</v>
      </c>
      <c r="G1038" s="81">
        <f>20.1928 * CHOOSE(CONTROL!$C$32, $C$9, 100%, $E$9)</f>
        <v>20.192799999999998</v>
      </c>
      <c r="H1038" s="81">
        <f>37.2011 * CHOOSE(CONTROL!$C$32, $C$9, 100%, $E$9)</f>
        <v>37.201099999999997</v>
      </c>
      <c r="I1038" s="81">
        <f>36.9674 * CHOOSE(CONTROL!$C$32, $C$9, 100%, $E$9)</f>
        <v>36.967399999999998</v>
      </c>
      <c r="J1038" s="81">
        <f>37.2011 * CHOOSE(CONTROL!$C$32, $C$9, 100%, $E$9)</f>
        <v>37.201099999999997</v>
      </c>
      <c r="K1038" s="81">
        <f>36.9674 * CHOOSE(CONTROL!$C$32, $C$9, 100%, $E$9)</f>
        <v>36.967399999999998</v>
      </c>
      <c r="L1038" s="81">
        <f>20.4264 * CHOOSE(CONTROL!$C$32, $C$9, 100%, $E$9)</f>
        <v>20.426400000000001</v>
      </c>
      <c r="M1038" s="81">
        <f>20.1928 * CHOOSE(CONTROL!$C$32, $C$9, 100%, $E$9)</f>
        <v>20.192799999999998</v>
      </c>
      <c r="N1038" s="81">
        <f>20.4264 * CHOOSE(CONTROL!$C$32, $C$9, 100%, $E$9)</f>
        <v>20.426400000000001</v>
      </c>
      <c r="O1038" s="81">
        <f>20.1928 * CHOOSE(CONTROL!$C$32, $C$9, 100%, $E$9)</f>
        <v>20.192799999999998</v>
      </c>
    </row>
    <row r="1039" spans="1:15" ht="15">
      <c r="A1039" s="16">
        <v>72837</v>
      </c>
      <c r="B1039" s="80">
        <f>17.8571 * CHOOSE(CONTROL!$C$32, $C$9, 100%, $E$9)</f>
        <v>17.857099999999999</v>
      </c>
      <c r="C1039" s="80">
        <f>17.8571 * CHOOSE(CONTROL!$C$32, $C$9, 100%, $E$9)</f>
        <v>17.857099999999999</v>
      </c>
      <c r="D1039" s="80">
        <f>17.666 * CHOOSE(CONTROL!$C$32, $C$9, 100%, $E$9)</f>
        <v>17.666</v>
      </c>
      <c r="E1039" s="81">
        <f>20.3152 * CHOOSE(CONTROL!$C$32, $C$9, 100%, $E$9)</f>
        <v>20.315200000000001</v>
      </c>
      <c r="F1039" s="81">
        <f>20.3152 * CHOOSE(CONTROL!$C$32, $C$9, 100%, $E$9)</f>
        <v>20.315200000000001</v>
      </c>
      <c r="G1039" s="81">
        <f>20.0815 * CHOOSE(CONTROL!$C$32, $C$9, 100%, $E$9)</f>
        <v>20.081499999999998</v>
      </c>
      <c r="H1039" s="81">
        <f>37.2786 * CHOOSE(CONTROL!$C$32, $C$9, 100%, $E$9)</f>
        <v>37.278599999999997</v>
      </c>
      <c r="I1039" s="81">
        <f>37.0449 * CHOOSE(CONTROL!$C$32, $C$9, 100%, $E$9)</f>
        <v>37.044899999999998</v>
      </c>
      <c r="J1039" s="81">
        <f>37.2786 * CHOOSE(CONTROL!$C$32, $C$9, 100%, $E$9)</f>
        <v>37.278599999999997</v>
      </c>
      <c r="K1039" s="81">
        <f>37.0449 * CHOOSE(CONTROL!$C$32, $C$9, 100%, $E$9)</f>
        <v>37.044899999999998</v>
      </c>
      <c r="L1039" s="81">
        <f>20.3152 * CHOOSE(CONTROL!$C$32, $C$9, 100%, $E$9)</f>
        <v>20.315200000000001</v>
      </c>
      <c r="M1039" s="81">
        <f>20.0815 * CHOOSE(CONTROL!$C$32, $C$9, 100%, $E$9)</f>
        <v>20.081499999999998</v>
      </c>
      <c r="N1039" s="81">
        <f>20.3152 * CHOOSE(CONTROL!$C$32, $C$9, 100%, $E$9)</f>
        <v>20.315200000000001</v>
      </c>
      <c r="O1039" s="81">
        <f>20.0815 * CHOOSE(CONTROL!$C$32, $C$9, 100%, $E$9)</f>
        <v>20.081499999999998</v>
      </c>
    </row>
    <row r="1040" spans="1:15" ht="15">
      <c r="A1040" s="16">
        <v>72867</v>
      </c>
      <c r="B1040" s="80">
        <f>18.1253 * CHOOSE(CONTROL!$C$32, $C$9, 100%, $E$9)</f>
        <v>18.125299999999999</v>
      </c>
      <c r="C1040" s="80">
        <f>18.1253 * CHOOSE(CONTROL!$C$32, $C$9, 100%, $E$9)</f>
        <v>18.125299999999999</v>
      </c>
      <c r="D1040" s="80">
        <f>17.9342 * CHOOSE(CONTROL!$C$32, $C$9, 100%, $E$9)</f>
        <v>17.934200000000001</v>
      </c>
      <c r="E1040" s="81">
        <f>20.6353 * CHOOSE(CONTROL!$C$32, $C$9, 100%, $E$9)</f>
        <v>20.635300000000001</v>
      </c>
      <c r="F1040" s="81">
        <f>20.6353 * CHOOSE(CONTROL!$C$32, $C$9, 100%, $E$9)</f>
        <v>20.635300000000001</v>
      </c>
      <c r="G1040" s="81">
        <f>20.4016 * CHOOSE(CONTROL!$C$32, $C$9, 100%, $E$9)</f>
        <v>20.401599999999998</v>
      </c>
      <c r="H1040" s="81">
        <f>37.3563 * CHOOSE(CONTROL!$C$32, $C$9, 100%, $E$9)</f>
        <v>37.356299999999997</v>
      </c>
      <c r="I1040" s="81">
        <f>37.1226 * CHOOSE(CONTROL!$C$32, $C$9, 100%, $E$9)</f>
        <v>37.122599999999998</v>
      </c>
      <c r="J1040" s="81">
        <f>37.3563 * CHOOSE(CONTROL!$C$32, $C$9, 100%, $E$9)</f>
        <v>37.356299999999997</v>
      </c>
      <c r="K1040" s="81">
        <f>37.1226 * CHOOSE(CONTROL!$C$32, $C$9, 100%, $E$9)</f>
        <v>37.122599999999998</v>
      </c>
      <c r="L1040" s="81">
        <f>20.6353 * CHOOSE(CONTROL!$C$32, $C$9, 100%, $E$9)</f>
        <v>20.635300000000001</v>
      </c>
      <c r="M1040" s="81">
        <f>20.4016 * CHOOSE(CONTROL!$C$32, $C$9, 100%, $E$9)</f>
        <v>20.401599999999998</v>
      </c>
      <c r="N1040" s="81">
        <f>20.6353 * CHOOSE(CONTROL!$C$32, $C$9, 100%, $E$9)</f>
        <v>20.635300000000001</v>
      </c>
      <c r="O1040" s="81">
        <f>20.4016 * CHOOSE(CONTROL!$C$32, $C$9, 100%, $E$9)</f>
        <v>20.401599999999998</v>
      </c>
    </row>
    <row r="1041" spans="1:15" ht="15">
      <c r="A1041" s="16">
        <v>72898</v>
      </c>
      <c r="B1041" s="80">
        <f>18.132 * CHOOSE(CONTROL!$C$32, $C$9, 100%, $E$9)</f>
        <v>18.132000000000001</v>
      </c>
      <c r="C1041" s="80">
        <f>18.132 * CHOOSE(CONTROL!$C$32, $C$9, 100%, $E$9)</f>
        <v>18.132000000000001</v>
      </c>
      <c r="D1041" s="80">
        <f>17.9409 * CHOOSE(CONTROL!$C$32, $C$9, 100%, $E$9)</f>
        <v>17.940899999999999</v>
      </c>
      <c r="E1041" s="81">
        <f>20.2936 * CHOOSE(CONTROL!$C$32, $C$9, 100%, $E$9)</f>
        <v>20.293600000000001</v>
      </c>
      <c r="F1041" s="81">
        <f>20.2936 * CHOOSE(CONTROL!$C$32, $C$9, 100%, $E$9)</f>
        <v>20.293600000000001</v>
      </c>
      <c r="G1041" s="81">
        <f>20.0599 * CHOOSE(CONTROL!$C$32, $C$9, 100%, $E$9)</f>
        <v>20.059899999999999</v>
      </c>
      <c r="H1041" s="81">
        <f>37.4341 * CHOOSE(CONTROL!$C$32, $C$9, 100%, $E$9)</f>
        <v>37.434100000000001</v>
      </c>
      <c r="I1041" s="81">
        <f>37.2004 * CHOOSE(CONTROL!$C$32, $C$9, 100%, $E$9)</f>
        <v>37.200400000000002</v>
      </c>
      <c r="J1041" s="81">
        <f>37.4341 * CHOOSE(CONTROL!$C$32, $C$9, 100%, $E$9)</f>
        <v>37.434100000000001</v>
      </c>
      <c r="K1041" s="81">
        <f>37.2004 * CHOOSE(CONTROL!$C$32, $C$9, 100%, $E$9)</f>
        <v>37.200400000000002</v>
      </c>
      <c r="L1041" s="81">
        <f>20.2936 * CHOOSE(CONTROL!$C$32, $C$9, 100%, $E$9)</f>
        <v>20.293600000000001</v>
      </c>
      <c r="M1041" s="81">
        <f>20.0599 * CHOOSE(CONTROL!$C$32, $C$9, 100%, $E$9)</f>
        <v>20.059899999999999</v>
      </c>
      <c r="N1041" s="81">
        <f>20.2936 * CHOOSE(CONTROL!$C$32, $C$9, 100%, $E$9)</f>
        <v>20.293600000000001</v>
      </c>
      <c r="O1041" s="81">
        <f>20.0599 * CHOOSE(CONTROL!$C$32, $C$9, 100%, $E$9)</f>
        <v>20.059899999999999</v>
      </c>
    </row>
    <row r="1042" spans="1:15" ht="15">
      <c r="A1042" s="16">
        <v>72929</v>
      </c>
      <c r="B1042" s="80">
        <f>18.1289 * CHOOSE(CONTROL!$C$32, $C$9, 100%, $E$9)</f>
        <v>18.128900000000002</v>
      </c>
      <c r="C1042" s="80">
        <f>18.1289 * CHOOSE(CONTROL!$C$32, $C$9, 100%, $E$9)</f>
        <v>18.128900000000002</v>
      </c>
      <c r="D1042" s="80">
        <f>17.9379 * CHOOSE(CONTROL!$C$32, $C$9, 100%, $E$9)</f>
        <v>17.937899999999999</v>
      </c>
      <c r="E1042" s="81">
        <f>20.253 * CHOOSE(CONTROL!$C$32, $C$9, 100%, $E$9)</f>
        <v>20.253</v>
      </c>
      <c r="F1042" s="81">
        <f>20.253 * CHOOSE(CONTROL!$C$32, $C$9, 100%, $E$9)</f>
        <v>20.253</v>
      </c>
      <c r="G1042" s="81">
        <f>20.0193 * CHOOSE(CONTROL!$C$32, $C$9, 100%, $E$9)</f>
        <v>20.019300000000001</v>
      </c>
      <c r="H1042" s="81">
        <f>37.5121 * CHOOSE(CONTROL!$C$32, $C$9, 100%, $E$9)</f>
        <v>37.512099999999997</v>
      </c>
      <c r="I1042" s="81">
        <f>37.2784 * CHOOSE(CONTROL!$C$32, $C$9, 100%, $E$9)</f>
        <v>37.278399999999998</v>
      </c>
      <c r="J1042" s="81">
        <f>37.5121 * CHOOSE(CONTROL!$C$32, $C$9, 100%, $E$9)</f>
        <v>37.512099999999997</v>
      </c>
      <c r="K1042" s="81">
        <f>37.2784 * CHOOSE(CONTROL!$C$32, $C$9, 100%, $E$9)</f>
        <v>37.278399999999998</v>
      </c>
      <c r="L1042" s="81">
        <f>20.253 * CHOOSE(CONTROL!$C$32, $C$9, 100%, $E$9)</f>
        <v>20.253</v>
      </c>
      <c r="M1042" s="81">
        <f>20.0193 * CHOOSE(CONTROL!$C$32, $C$9, 100%, $E$9)</f>
        <v>20.019300000000001</v>
      </c>
      <c r="N1042" s="81">
        <f>20.253 * CHOOSE(CONTROL!$C$32, $C$9, 100%, $E$9)</f>
        <v>20.253</v>
      </c>
      <c r="O1042" s="81">
        <f>20.0193 * CHOOSE(CONTROL!$C$32, $C$9, 100%, $E$9)</f>
        <v>20.019300000000001</v>
      </c>
    </row>
    <row r="1043" spans="1:15" ht="15">
      <c r="A1043" s="16">
        <v>72959</v>
      </c>
      <c r="B1043" s="80">
        <f>18.1693 * CHOOSE(CONTROL!$C$32, $C$9, 100%, $E$9)</f>
        <v>18.1693</v>
      </c>
      <c r="C1043" s="80">
        <f>18.1693 * CHOOSE(CONTROL!$C$32, $C$9, 100%, $E$9)</f>
        <v>18.1693</v>
      </c>
      <c r="D1043" s="80">
        <f>18.0383 * CHOOSE(CONTROL!$C$32, $C$9, 100%, $E$9)</f>
        <v>18.0383</v>
      </c>
      <c r="E1043" s="81">
        <f>20.3935 * CHOOSE(CONTROL!$C$32, $C$9, 100%, $E$9)</f>
        <v>20.3935</v>
      </c>
      <c r="F1043" s="81">
        <f>20.3935 * CHOOSE(CONTROL!$C$32, $C$9, 100%, $E$9)</f>
        <v>20.3935</v>
      </c>
      <c r="G1043" s="81">
        <f>20.232 * CHOOSE(CONTROL!$C$32, $C$9, 100%, $E$9)</f>
        <v>20.231999999999999</v>
      </c>
      <c r="H1043" s="81">
        <f>37.5902 * CHOOSE(CONTROL!$C$32, $C$9, 100%, $E$9)</f>
        <v>37.590200000000003</v>
      </c>
      <c r="I1043" s="81">
        <f>37.4287 * CHOOSE(CONTROL!$C$32, $C$9, 100%, $E$9)</f>
        <v>37.428699999999999</v>
      </c>
      <c r="J1043" s="81">
        <f>37.5902 * CHOOSE(CONTROL!$C$32, $C$9, 100%, $E$9)</f>
        <v>37.590200000000003</v>
      </c>
      <c r="K1043" s="81">
        <f>37.4287 * CHOOSE(CONTROL!$C$32, $C$9, 100%, $E$9)</f>
        <v>37.428699999999999</v>
      </c>
      <c r="L1043" s="81">
        <f>20.3935 * CHOOSE(CONTROL!$C$32, $C$9, 100%, $E$9)</f>
        <v>20.3935</v>
      </c>
      <c r="M1043" s="81">
        <f>20.232 * CHOOSE(CONTROL!$C$32, $C$9, 100%, $E$9)</f>
        <v>20.231999999999999</v>
      </c>
      <c r="N1043" s="81">
        <f>20.3935 * CHOOSE(CONTROL!$C$32, $C$9, 100%, $E$9)</f>
        <v>20.3935</v>
      </c>
      <c r="O1043" s="81">
        <f>20.232 * CHOOSE(CONTROL!$C$32, $C$9, 100%, $E$9)</f>
        <v>20.231999999999999</v>
      </c>
    </row>
    <row r="1044" spans="1:15" ht="15">
      <c r="A1044" s="16">
        <v>72990</v>
      </c>
      <c r="B1044" s="80">
        <f>18.1724 * CHOOSE(CONTROL!$C$32, $C$9, 100%, $E$9)</f>
        <v>18.1724</v>
      </c>
      <c r="C1044" s="80">
        <f>18.1724 * CHOOSE(CONTROL!$C$32, $C$9, 100%, $E$9)</f>
        <v>18.1724</v>
      </c>
      <c r="D1044" s="80">
        <f>18.0413 * CHOOSE(CONTROL!$C$32, $C$9, 100%, $E$9)</f>
        <v>18.0413</v>
      </c>
      <c r="E1044" s="81">
        <f>20.4726 * CHOOSE(CONTROL!$C$32, $C$9, 100%, $E$9)</f>
        <v>20.4726</v>
      </c>
      <c r="F1044" s="81">
        <f>20.4726 * CHOOSE(CONTROL!$C$32, $C$9, 100%, $E$9)</f>
        <v>20.4726</v>
      </c>
      <c r="G1044" s="81">
        <f>20.3111 * CHOOSE(CONTROL!$C$32, $C$9, 100%, $E$9)</f>
        <v>20.3111</v>
      </c>
      <c r="H1044" s="81">
        <f>37.6685 * CHOOSE(CONTROL!$C$32, $C$9, 100%, $E$9)</f>
        <v>37.668500000000002</v>
      </c>
      <c r="I1044" s="81">
        <f>37.507 * CHOOSE(CONTROL!$C$32, $C$9, 100%, $E$9)</f>
        <v>37.506999999999998</v>
      </c>
      <c r="J1044" s="81">
        <f>37.6685 * CHOOSE(CONTROL!$C$32, $C$9, 100%, $E$9)</f>
        <v>37.668500000000002</v>
      </c>
      <c r="K1044" s="81">
        <f>37.507 * CHOOSE(CONTROL!$C$32, $C$9, 100%, $E$9)</f>
        <v>37.506999999999998</v>
      </c>
      <c r="L1044" s="81">
        <f>20.4726 * CHOOSE(CONTROL!$C$32, $C$9, 100%, $E$9)</f>
        <v>20.4726</v>
      </c>
      <c r="M1044" s="81">
        <f>20.3111 * CHOOSE(CONTROL!$C$32, $C$9, 100%, $E$9)</f>
        <v>20.3111</v>
      </c>
      <c r="N1044" s="81">
        <f>20.4726 * CHOOSE(CONTROL!$C$32, $C$9, 100%, $E$9)</f>
        <v>20.4726</v>
      </c>
      <c r="O1044" s="81">
        <f>20.3111 * CHOOSE(CONTROL!$C$32, $C$9, 100%, $E$9)</f>
        <v>20.3111</v>
      </c>
    </row>
    <row r="1045" spans="1:15" ht="15">
      <c r="A1045" s="16">
        <v>73020</v>
      </c>
      <c r="B1045" s="80">
        <f>18.1724 * CHOOSE(CONTROL!$C$32, $C$9, 100%, $E$9)</f>
        <v>18.1724</v>
      </c>
      <c r="C1045" s="80">
        <f>18.1724 * CHOOSE(CONTROL!$C$32, $C$9, 100%, $E$9)</f>
        <v>18.1724</v>
      </c>
      <c r="D1045" s="80">
        <f>18.0413 * CHOOSE(CONTROL!$C$32, $C$9, 100%, $E$9)</f>
        <v>18.0413</v>
      </c>
      <c r="E1045" s="81">
        <f>20.2802 * CHOOSE(CONTROL!$C$32, $C$9, 100%, $E$9)</f>
        <v>20.280200000000001</v>
      </c>
      <c r="F1045" s="81">
        <f>20.2802 * CHOOSE(CONTROL!$C$32, $C$9, 100%, $E$9)</f>
        <v>20.280200000000001</v>
      </c>
      <c r="G1045" s="81">
        <f>20.1187 * CHOOSE(CONTROL!$C$32, $C$9, 100%, $E$9)</f>
        <v>20.1187</v>
      </c>
      <c r="H1045" s="81">
        <f>37.747 * CHOOSE(CONTROL!$C$32, $C$9, 100%, $E$9)</f>
        <v>37.747</v>
      </c>
      <c r="I1045" s="81">
        <f>37.5855 * CHOOSE(CONTROL!$C$32, $C$9, 100%, $E$9)</f>
        <v>37.585500000000003</v>
      </c>
      <c r="J1045" s="81">
        <f>37.747 * CHOOSE(CONTROL!$C$32, $C$9, 100%, $E$9)</f>
        <v>37.747</v>
      </c>
      <c r="K1045" s="81">
        <f>37.5855 * CHOOSE(CONTROL!$C$32, $C$9, 100%, $E$9)</f>
        <v>37.585500000000003</v>
      </c>
      <c r="L1045" s="81">
        <f>20.2802 * CHOOSE(CONTROL!$C$32, $C$9, 100%, $E$9)</f>
        <v>20.280200000000001</v>
      </c>
      <c r="M1045" s="81">
        <f>20.1187 * CHOOSE(CONTROL!$C$32, $C$9, 100%, $E$9)</f>
        <v>20.1187</v>
      </c>
      <c r="N1045" s="81">
        <f>20.2802 * CHOOSE(CONTROL!$C$32, $C$9, 100%, $E$9)</f>
        <v>20.280200000000001</v>
      </c>
      <c r="O1045" s="81">
        <f>20.1187 * CHOOSE(CONTROL!$C$32, $C$9, 100%, $E$9)</f>
        <v>20.1187</v>
      </c>
    </row>
    <row r="1046" spans="1:15" ht="15">
      <c r="A1046" s="16">
        <v>73051</v>
      </c>
      <c r="B1046" s="80">
        <f>18.0834 * CHOOSE(CONTROL!$C$32, $C$9, 100%, $E$9)</f>
        <v>18.083400000000001</v>
      </c>
      <c r="C1046" s="80">
        <f>18.0834 * CHOOSE(CONTROL!$C$32, $C$9, 100%, $E$9)</f>
        <v>18.083400000000001</v>
      </c>
      <c r="D1046" s="80">
        <f>17.9488 * CHOOSE(CONTROL!$C$32, $C$9, 100%, $E$9)</f>
        <v>17.948799999999999</v>
      </c>
      <c r="E1046" s="81">
        <f>20.3433 * CHOOSE(CONTROL!$C$32, $C$9, 100%, $E$9)</f>
        <v>20.343299999999999</v>
      </c>
      <c r="F1046" s="81">
        <f>20.3433 * CHOOSE(CONTROL!$C$32, $C$9, 100%, $E$9)</f>
        <v>20.343299999999999</v>
      </c>
      <c r="G1046" s="81">
        <f>20.1774 * CHOOSE(CONTROL!$C$32, $C$9, 100%, $E$9)</f>
        <v>20.177399999999999</v>
      </c>
      <c r="H1046" s="81">
        <f>37.3685 * CHOOSE(CONTROL!$C$32, $C$9, 100%, $E$9)</f>
        <v>37.368499999999997</v>
      </c>
      <c r="I1046" s="81">
        <f>37.2026 * CHOOSE(CONTROL!$C$32, $C$9, 100%, $E$9)</f>
        <v>37.202599999999997</v>
      </c>
      <c r="J1046" s="81">
        <f>37.3685 * CHOOSE(CONTROL!$C$32, $C$9, 100%, $E$9)</f>
        <v>37.368499999999997</v>
      </c>
      <c r="K1046" s="81">
        <f>37.2026 * CHOOSE(CONTROL!$C$32, $C$9, 100%, $E$9)</f>
        <v>37.202599999999997</v>
      </c>
      <c r="L1046" s="81">
        <f>20.3433 * CHOOSE(CONTROL!$C$32, $C$9, 100%, $E$9)</f>
        <v>20.343299999999999</v>
      </c>
      <c r="M1046" s="81">
        <f>20.1774 * CHOOSE(CONTROL!$C$32, $C$9, 100%, $E$9)</f>
        <v>20.177399999999999</v>
      </c>
      <c r="N1046" s="81">
        <f>20.3433 * CHOOSE(CONTROL!$C$32, $C$9, 100%, $E$9)</f>
        <v>20.343299999999999</v>
      </c>
      <c r="O1046" s="81">
        <f>20.1774 * CHOOSE(CONTROL!$C$32, $C$9, 100%, $E$9)</f>
        <v>20.177399999999999</v>
      </c>
    </row>
    <row r="1047" spans="1:15" ht="15">
      <c r="A1047" s="16">
        <v>73082</v>
      </c>
      <c r="B1047" s="80">
        <f>18.0804 * CHOOSE(CONTROL!$C$32, $C$9, 100%, $E$9)</f>
        <v>18.080400000000001</v>
      </c>
      <c r="C1047" s="80">
        <f>18.0804 * CHOOSE(CONTROL!$C$32, $C$9, 100%, $E$9)</f>
        <v>18.080400000000001</v>
      </c>
      <c r="D1047" s="80">
        <f>17.9458 * CHOOSE(CONTROL!$C$32, $C$9, 100%, $E$9)</f>
        <v>17.945799999999998</v>
      </c>
      <c r="E1047" s="81">
        <f>19.9726 * CHOOSE(CONTROL!$C$32, $C$9, 100%, $E$9)</f>
        <v>19.9726</v>
      </c>
      <c r="F1047" s="81">
        <f>19.9726 * CHOOSE(CONTROL!$C$32, $C$9, 100%, $E$9)</f>
        <v>19.9726</v>
      </c>
      <c r="G1047" s="81">
        <f>19.8067 * CHOOSE(CONTROL!$C$32, $C$9, 100%, $E$9)</f>
        <v>19.806699999999999</v>
      </c>
      <c r="H1047" s="81">
        <f>37.4463 * CHOOSE(CONTROL!$C$32, $C$9, 100%, $E$9)</f>
        <v>37.446300000000001</v>
      </c>
      <c r="I1047" s="81">
        <f>37.2804 * CHOOSE(CONTROL!$C$32, $C$9, 100%, $E$9)</f>
        <v>37.2804</v>
      </c>
      <c r="J1047" s="81">
        <f>37.4463 * CHOOSE(CONTROL!$C$32, $C$9, 100%, $E$9)</f>
        <v>37.446300000000001</v>
      </c>
      <c r="K1047" s="81">
        <f>37.2804 * CHOOSE(CONTROL!$C$32, $C$9, 100%, $E$9)</f>
        <v>37.2804</v>
      </c>
      <c r="L1047" s="81">
        <f>19.9726 * CHOOSE(CONTROL!$C$32, $C$9, 100%, $E$9)</f>
        <v>19.9726</v>
      </c>
      <c r="M1047" s="81">
        <f>19.8067 * CHOOSE(CONTROL!$C$32, $C$9, 100%, $E$9)</f>
        <v>19.806699999999999</v>
      </c>
      <c r="N1047" s="81">
        <f>19.9726 * CHOOSE(CONTROL!$C$32, $C$9, 100%, $E$9)</f>
        <v>19.9726</v>
      </c>
      <c r="O1047" s="81">
        <f>19.8067 * CHOOSE(CONTROL!$C$32, $C$9, 100%, $E$9)</f>
        <v>19.806699999999999</v>
      </c>
    </row>
    <row r="1048" spans="1:15" ht="15">
      <c r="A1048" s="16">
        <v>73110</v>
      </c>
      <c r="B1048" s="80">
        <f>18.0774 * CHOOSE(CONTROL!$C$32, $C$9, 100%, $E$9)</f>
        <v>18.077400000000001</v>
      </c>
      <c r="C1048" s="80">
        <f>18.0774 * CHOOSE(CONTROL!$C$32, $C$9, 100%, $E$9)</f>
        <v>18.077400000000001</v>
      </c>
      <c r="D1048" s="80">
        <f>17.9428 * CHOOSE(CONTROL!$C$32, $C$9, 100%, $E$9)</f>
        <v>17.942799999999998</v>
      </c>
      <c r="E1048" s="81">
        <f>20.261 * CHOOSE(CONTROL!$C$32, $C$9, 100%, $E$9)</f>
        <v>20.260999999999999</v>
      </c>
      <c r="F1048" s="81">
        <f>20.261 * CHOOSE(CONTROL!$C$32, $C$9, 100%, $E$9)</f>
        <v>20.260999999999999</v>
      </c>
      <c r="G1048" s="81">
        <f>20.0952 * CHOOSE(CONTROL!$C$32, $C$9, 100%, $E$9)</f>
        <v>20.095199999999998</v>
      </c>
      <c r="H1048" s="81">
        <f>37.5243 * CHOOSE(CONTROL!$C$32, $C$9, 100%, $E$9)</f>
        <v>37.524299999999997</v>
      </c>
      <c r="I1048" s="81">
        <f>37.3584 * CHOOSE(CONTROL!$C$32, $C$9, 100%, $E$9)</f>
        <v>37.358400000000003</v>
      </c>
      <c r="J1048" s="81">
        <f>37.5243 * CHOOSE(CONTROL!$C$32, $C$9, 100%, $E$9)</f>
        <v>37.524299999999997</v>
      </c>
      <c r="K1048" s="81">
        <f>37.3584 * CHOOSE(CONTROL!$C$32, $C$9, 100%, $E$9)</f>
        <v>37.358400000000003</v>
      </c>
      <c r="L1048" s="81">
        <f>20.261 * CHOOSE(CONTROL!$C$32, $C$9, 100%, $E$9)</f>
        <v>20.260999999999999</v>
      </c>
      <c r="M1048" s="81">
        <f>20.0952 * CHOOSE(CONTROL!$C$32, $C$9, 100%, $E$9)</f>
        <v>20.095199999999998</v>
      </c>
      <c r="N1048" s="81">
        <f>20.261 * CHOOSE(CONTROL!$C$32, $C$9, 100%, $E$9)</f>
        <v>20.260999999999999</v>
      </c>
      <c r="O1048" s="81">
        <f>20.0952 * CHOOSE(CONTROL!$C$32, $C$9, 100%, $E$9)</f>
        <v>20.095199999999998</v>
      </c>
    </row>
    <row r="1049" spans="1:15" ht="15">
      <c r="A1049" s="16">
        <v>73141</v>
      </c>
      <c r="B1049" s="80">
        <f>18.0868 * CHOOSE(CONTROL!$C$32, $C$9, 100%, $E$9)</f>
        <v>18.0868</v>
      </c>
      <c r="C1049" s="80">
        <f>18.0868 * CHOOSE(CONTROL!$C$32, $C$9, 100%, $E$9)</f>
        <v>18.0868</v>
      </c>
      <c r="D1049" s="80">
        <f>17.9522 * CHOOSE(CONTROL!$C$32, $C$9, 100%, $E$9)</f>
        <v>17.952200000000001</v>
      </c>
      <c r="E1049" s="81">
        <f>20.5688 * CHOOSE(CONTROL!$C$32, $C$9, 100%, $E$9)</f>
        <v>20.5688</v>
      </c>
      <c r="F1049" s="81">
        <f>20.5688 * CHOOSE(CONTROL!$C$32, $C$9, 100%, $E$9)</f>
        <v>20.5688</v>
      </c>
      <c r="G1049" s="81">
        <f>20.403 * CHOOSE(CONTROL!$C$32, $C$9, 100%, $E$9)</f>
        <v>20.402999999999999</v>
      </c>
      <c r="H1049" s="81">
        <f>37.6025 * CHOOSE(CONTROL!$C$32, $C$9, 100%, $E$9)</f>
        <v>37.602499999999999</v>
      </c>
      <c r="I1049" s="81">
        <f>37.4366 * CHOOSE(CONTROL!$C$32, $C$9, 100%, $E$9)</f>
        <v>37.436599999999999</v>
      </c>
      <c r="J1049" s="81">
        <f>37.6025 * CHOOSE(CONTROL!$C$32, $C$9, 100%, $E$9)</f>
        <v>37.602499999999999</v>
      </c>
      <c r="K1049" s="81">
        <f>37.4366 * CHOOSE(CONTROL!$C$32, $C$9, 100%, $E$9)</f>
        <v>37.436599999999999</v>
      </c>
      <c r="L1049" s="81">
        <f>20.5688 * CHOOSE(CONTROL!$C$32, $C$9, 100%, $E$9)</f>
        <v>20.5688</v>
      </c>
      <c r="M1049" s="81">
        <f>20.403 * CHOOSE(CONTROL!$C$32, $C$9, 100%, $E$9)</f>
        <v>20.402999999999999</v>
      </c>
      <c r="N1049" s="81">
        <f>20.5688 * CHOOSE(CONTROL!$C$32, $C$9, 100%, $E$9)</f>
        <v>20.5688</v>
      </c>
      <c r="O1049" s="81">
        <f>20.403 * CHOOSE(CONTROL!$C$32, $C$9, 100%, $E$9)</f>
        <v>20.402999999999999</v>
      </c>
    </row>
    <row r="1050" spans="1:15" ht="15">
      <c r="A1050" s="16">
        <v>73171</v>
      </c>
      <c r="B1050" s="80">
        <f>18.0868 * CHOOSE(CONTROL!$C$32, $C$9, 100%, $E$9)</f>
        <v>18.0868</v>
      </c>
      <c r="C1050" s="80">
        <f>18.0868 * CHOOSE(CONTROL!$C$32, $C$9, 100%, $E$9)</f>
        <v>18.0868</v>
      </c>
      <c r="D1050" s="80">
        <f>17.8906 * CHOOSE(CONTROL!$C$32, $C$9, 100%, $E$9)</f>
        <v>17.890599999999999</v>
      </c>
      <c r="E1050" s="81">
        <f>20.6858 * CHOOSE(CONTROL!$C$32, $C$9, 100%, $E$9)</f>
        <v>20.6858</v>
      </c>
      <c r="F1050" s="81">
        <f>20.6858 * CHOOSE(CONTROL!$C$32, $C$9, 100%, $E$9)</f>
        <v>20.6858</v>
      </c>
      <c r="G1050" s="81">
        <f>20.4459 * CHOOSE(CONTROL!$C$32, $C$9, 100%, $E$9)</f>
        <v>20.445900000000002</v>
      </c>
      <c r="H1050" s="81">
        <f>37.6808 * CHOOSE(CONTROL!$C$32, $C$9, 100%, $E$9)</f>
        <v>37.680799999999998</v>
      </c>
      <c r="I1050" s="81">
        <f>37.4409 * CHOOSE(CONTROL!$C$32, $C$9, 100%, $E$9)</f>
        <v>37.440899999999999</v>
      </c>
      <c r="J1050" s="81">
        <f>37.6808 * CHOOSE(CONTROL!$C$32, $C$9, 100%, $E$9)</f>
        <v>37.680799999999998</v>
      </c>
      <c r="K1050" s="81">
        <f>37.4409 * CHOOSE(CONTROL!$C$32, $C$9, 100%, $E$9)</f>
        <v>37.440899999999999</v>
      </c>
      <c r="L1050" s="81">
        <f>20.6858 * CHOOSE(CONTROL!$C$32, $C$9, 100%, $E$9)</f>
        <v>20.6858</v>
      </c>
      <c r="M1050" s="81">
        <f>20.4459 * CHOOSE(CONTROL!$C$32, $C$9, 100%, $E$9)</f>
        <v>20.445900000000002</v>
      </c>
      <c r="N1050" s="81">
        <f>20.6858 * CHOOSE(CONTROL!$C$32, $C$9, 100%, $E$9)</f>
        <v>20.6858</v>
      </c>
      <c r="O1050" s="81">
        <f>20.4459 * CHOOSE(CONTROL!$C$32, $C$9, 100%, $E$9)</f>
        <v>20.445900000000002</v>
      </c>
    </row>
    <row r="1051" spans="1:15" ht="15">
      <c r="A1051" s="16">
        <v>73202</v>
      </c>
      <c r="B1051" s="80">
        <f>18.0928 * CHOOSE(CONTROL!$C$32, $C$9, 100%, $E$9)</f>
        <v>18.0928</v>
      </c>
      <c r="C1051" s="80">
        <f>18.0928 * CHOOSE(CONTROL!$C$32, $C$9, 100%, $E$9)</f>
        <v>18.0928</v>
      </c>
      <c r="D1051" s="80">
        <f>17.8966 * CHOOSE(CONTROL!$C$32, $C$9, 100%, $E$9)</f>
        <v>17.896599999999999</v>
      </c>
      <c r="E1051" s="81">
        <f>20.5731 * CHOOSE(CONTROL!$C$32, $C$9, 100%, $E$9)</f>
        <v>20.5731</v>
      </c>
      <c r="F1051" s="81">
        <f>20.5731 * CHOOSE(CONTROL!$C$32, $C$9, 100%, $E$9)</f>
        <v>20.5731</v>
      </c>
      <c r="G1051" s="81">
        <f>20.3331 * CHOOSE(CONTROL!$C$32, $C$9, 100%, $E$9)</f>
        <v>20.333100000000002</v>
      </c>
      <c r="H1051" s="81">
        <f>37.7593 * CHOOSE(CONTROL!$C$32, $C$9, 100%, $E$9)</f>
        <v>37.759300000000003</v>
      </c>
      <c r="I1051" s="81">
        <f>37.5194 * CHOOSE(CONTROL!$C$32, $C$9, 100%, $E$9)</f>
        <v>37.519399999999997</v>
      </c>
      <c r="J1051" s="81">
        <f>37.7593 * CHOOSE(CONTROL!$C$32, $C$9, 100%, $E$9)</f>
        <v>37.759300000000003</v>
      </c>
      <c r="K1051" s="81">
        <f>37.5194 * CHOOSE(CONTROL!$C$32, $C$9, 100%, $E$9)</f>
        <v>37.519399999999997</v>
      </c>
      <c r="L1051" s="81">
        <f>20.5731 * CHOOSE(CONTROL!$C$32, $C$9, 100%, $E$9)</f>
        <v>20.5731</v>
      </c>
      <c r="M1051" s="81">
        <f>20.3331 * CHOOSE(CONTROL!$C$32, $C$9, 100%, $E$9)</f>
        <v>20.333100000000002</v>
      </c>
      <c r="N1051" s="81">
        <f>20.5731 * CHOOSE(CONTROL!$C$32, $C$9, 100%, $E$9)</f>
        <v>20.5731</v>
      </c>
      <c r="O1051" s="81">
        <f>20.3331 * CHOOSE(CONTROL!$C$32, $C$9, 100%, $E$9)</f>
        <v>20.333100000000002</v>
      </c>
    </row>
    <row r="1052" spans="1:15" ht="15">
      <c r="A1052" s="16">
        <v>73232</v>
      </c>
      <c r="B1052" s="80">
        <f>18.3645 * CHOOSE(CONTROL!$C$32, $C$9, 100%, $E$9)</f>
        <v>18.3645</v>
      </c>
      <c r="C1052" s="80">
        <f>18.3645 * CHOOSE(CONTROL!$C$32, $C$9, 100%, $E$9)</f>
        <v>18.3645</v>
      </c>
      <c r="D1052" s="80">
        <f>18.1683 * CHOOSE(CONTROL!$C$32, $C$9, 100%, $E$9)</f>
        <v>18.168299999999999</v>
      </c>
      <c r="E1052" s="81">
        <f>20.897 * CHOOSE(CONTROL!$C$32, $C$9, 100%, $E$9)</f>
        <v>20.896999999999998</v>
      </c>
      <c r="F1052" s="81">
        <f>20.897 * CHOOSE(CONTROL!$C$32, $C$9, 100%, $E$9)</f>
        <v>20.896999999999998</v>
      </c>
      <c r="G1052" s="81">
        <f>20.6571 * CHOOSE(CONTROL!$C$32, $C$9, 100%, $E$9)</f>
        <v>20.6571</v>
      </c>
      <c r="H1052" s="81">
        <f>37.838 * CHOOSE(CONTROL!$C$32, $C$9, 100%, $E$9)</f>
        <v>37.838000000000001</v>
      </c>
      <c r="I1052" s="81">
        <f>37.598 * CHOOSE(CONTROL!$C$32, $C$9, 100%, $E$9)</f>
        <v>37.597999999999999</v>
      </c>
      <c r="J1052" s="81">
        <f>37.838 * CHOOSE(CONTROL!$C$32, $C$9, 100%, $E$9)</f>
        <v>37.838000000000001</v>
      </c>
      <c r="K1052" s="81">
        <f>37.598 * CHOOSE(CONTROL!$C$32, $C$9, 100%, $E$9)</f>
        <v>37.597999999999999</v>
      </c>
      <c r="L1052" s="81">
        <f>20.897 * CHOOSE(CONTROL!$C$32, $C$9, 100%, $E$9)</f>
        <v>20.896999999999998</v>
      </c>
      <c r="M1052" s="81">
        <f>20.6571 * CHOOSE(CONTROL!$C$32, $C$9, 100%, $E$9)</f>
        <v>20.6571</v>
      </c>
      <c r="N1052" s="81">
        <f>20.897 * CHOOSE(CONTROL!$C$32, $C$9, 100%, $E$9)</f>
        <v>20.896999999999998</v>
      </c>
      <c r="O1052" s="81">
        <f>20.6571 * CHOOSE(CONTROL!$C$32, $C$9, 100%, $E$9)</f>
        <v>20.6571</v>
      </c>
    </row>
    <row r="1053" spans="1:15" ht="15">
      <c r="A1053" s="16">
        <v>73263</v>
      </c>
      <c r="B1053" s="80">
        <f>18.3712 * CHOOSE(CONTROL!$C$32, $C$9, 100%, $E$9)</f>
        <v>18.371200000000002</v>
      </c>
      <c r="C1053" s="80">
        <f>18.3712 * CHOOSE(CONTROL!$C$32, $C$9, 100%, $E$9)</f>
        <v>18.371200000000002</v>
      </c>
      <c r="D1053" s="80">
        <f>18.175 * CHOOSE(CONTROL!$C$32, $C$9, 100%, $E$9)</f>
        <v>18.175000000000001</v>
      </c>
      <c r="E1053" s="81">
        <f>20.5507 * CHOOSE(CONTROL!$C$32, $C$9, 100%, $E$9)</f>
        <v>20.550699999999999</v>
      </c>
      <c r="F1053" s="81">
        <f>20.5507 * CHOOSE(CONTROL!$C$32, $C$9, 100%, $E$9)</f>
        <v>20.550699999999999</v>
      </c>
      <c r="G1053" s="81">
        <f>20.3107 * CHOOSE(CONTROL!$C$32, $C$9, 100%, $E$9)</f>
        <v>20.310700000000001</v>
      </c>
      <c r="H1053" s="81">
        <f>37.9168 * CHOOSE(CONTROL!$C$32, $C$9, 100%, $E$9)</f>
        <v>37.916800000000002</v>
      </c>
      <c r="I1053" s="81">
        <f>37.6769 * CHOOSE(CONTROL!$C$32, $C$9, 100%, $E$9)</f>
        <v>37.676900000000003</v>
      </c>
      <c r="J1053" s="81">
        <f>37.9168 * CHOOSE(CONTROL!$C$32, $C$9, 100%, $E$9)</f>
        <v>37.916800000000002</v>
      </c>
      <c r="K1053" s="81">
        <f>37.6769 * CHOOSE(CONTROL!$C$32, $C$9, 100%, $E$9)</f>
        <v>37.676900000000003</v>
      </c>
      <c r="L1053" s="81">
        <f>20.5507 * CHOOSE(CONTROL!$C$32, $C$9, 100%, $E$9)</f>
        <v>20.550699999999999</v>
      </c>
      <c r="M1053" s="81">
        <f>20.3107 * CHOOSE(CONTROL!$C$32, $C$9, 100%, $E$9)</f>
        <v>20.310700000000001</v>
      </c>
      <c r="N1053" s="81">
        <f>20.5507 * CHOOSE(CONTROL!$C$32, $C$9, 100%, $E$9)</f>
        <v>20.550699999999999</v>
      </c>
      <c r="O1053" s="81">
        <f>20.3107 * CHOOSE(CONTROL!$C$32, $C$9, 100%, $E$9)</f>
        <v>20.310700000000001</v>
      </c>
    </row>
    <row r="1054" spans="1:15" ht="15">
      <c r="A1054" s="16">
        <v>73294</v>
      </c>
      <c r="B1054" s="80">
        <f>18.3681 * CHOOSE(CONTROL!$C$32, $C$9, 100%, $E$9)</f>
        <v>18.368099999999998</v>
      </c>
      <c r="C1054" s="80">
        <f>18.3681 * CHOOSE(CONTROL!$C$32, $C$9, 100%, $E$9)</f>
        <v>18.368099999999998</v>
      </c>
      <c r="D1054" s="80">
        <f>18.1719 * CHOOSE(CONTROL!$C$32, $C$9, 100%, $E$9)</f>
        <v>18.171900000000001</v>
      </c>
      <c r="E1054" s="81">
        <f>20.5095 * CHOOSE(CONTROL!$C$32, $C$9, 100%, $E$9)</f>
        <v>20.509499999999999</v>
      </c>
      <c r="F1054" s="81">
        <f>20.5095 * CHOOSE(CONTROL!$C$32, $C$9, 100%, $E$9)</f>
        <v>20.509499999999999</v>
      </c>
      <c r="G1054" s="81">
        <f>20.2696 * CHOOSE(CONTROL!$C$32, $C$9, 100%, $E$9)</f>
        <v>20.269600000000001</v>
      </c>
      <c r="H1054" s="81">
        <f>37.9958 * CHOOSE(CONTROL!$C$32, $C$9, 100%, $E$9)</f>
        <v>37.995800000000003</v>
      </c>
      <c r="I1054" s="81">
        <f>37.7559 * CHOOSE(CONTROL!$C$32, $C$9, 100%, $E$9)</f>
        <v>37.755899999999997</v>
      </c>
      <c r="J1054" s="81">
        <f>37.9958 * CHOOSE(CONTROL!$C$32, $C$9, 100%, $E$9)</f>
        <v>37.995800000000003</v>
      </c>
      <c r="K1054" s="81">
        <f>37.7559 * CHOOSE(CONTROL!$C$32, $C$9, 100%, $E$9)</f>
        <v>37.755899999999997</v>
      </c>
      <c r="L1054" s="81">
        <f>20.5095 * CHOOSE(CONTROL!$C$32, $C$9, 100%, $E$9)</f>
        <v>20.509499999999999</v>
      </c>
      <c r="M1054" s="81">
        <f>20.2696 * CHOOSE(CONTROL!$C$32, $C$9, 100%, $E$9)</f>
        <v>20.269600000000001</v>
      </c>
      <c r="N1054" s="81">
        <f>20.5095 * CHOOSE(CONTROL!$C$32, $C$9, 100%, $E$9)</f>
        <v>20.509499999999999</v>
      </c>
      <c r="O1054" s="81">
        <f>20.2696 * CHOOSE(CONTROL!$C$32, $C$9, 100%, $E$9)</f>
        <v>20.269600000000001</v>
      </c>
    </row>
    <row r="1055" spans="1:15" ht="15">
      <c r="A1055" s="16">
        <v>73324</v>
      </c>
      <c r="B1055" s="80">
        <f>18.4093 * CHOOSE(CONTROL!$C$32, $C$9, 100%, $E$9)</f>
        <v>18.409300000000002</v>
      </c>
      <c r="C1055" s="80">
        <f>18.4093 * CHOOSE(CONTROL!$C$32, $C$9, 100%, $E$9)</f>
        <v>18.409300000000002</v>
      </c>
      <c r="D1055" s="80">
        <f>18.2747 * CHOOSE(CONTROL!$C$32, $C$9, 100%, $E$9)</f>
        <v>18.274699999999999</v>
      </c>
      <c r="E1055" s="81">
        <f>20.6521 * CHOOSE(CONTROL!$C$32, $C$9, 100%, $E$9)</f>
        <v>20.652100000000001</v>
      </c>
      <c r="F1055" s="81">
        <f>20.6521 * CHOOSE(CONTROL!$C$32, $C$9, 100%, $E$9)</f>
        <v>20.652100000000001</v>
      </c>
      <c r="G1055" s="81">
        <f>20.4863 * CHOOSE(CONTROL!$C$32, $C$9, 100%, $E$9)</f>
        <v>20.4863</v>
      </c>
      <c r="H1055" s="81">
        <f>38.075 * CHOOSE(CONTROL!$C$32, $C$9, 100%, $E$9)</f>
        <v>38.075000000000003</v>
      </c>
      <c r="I1055" s="81">
        <f>37.9091 * CHOOSE(CONTROL!$C$32, $C$9, 100%, $E$9)</f>
        <v>37.909100000000002</v>
      </c>
      <c r="J1055" s="81">
        <f>38.075 * CHOOSE(CONTROL!$C$32, $C$9, 100%, $E$9)</f>
        <v>38.075000000000003</v>
      </c>
      <c r="K1055" s="81">
        <f>37.9091 * CHOOSE(CONTROL!$C$32, $C$9, 100%, $E$9)</f>
        <v>37.909100000000002</v>
      </c>
      <c r="L1055" s="81">
        <f>20.6521 * CHOOSE(CONTROL!$C$32, $C$9, 100%, $E$9)</f>
        <v>20.652100000000001</v>
      </c>
      <c r="M1055" s="81">
        <f>20.4863 * CHOOSE(CONTROL!$C$32, $C$9, 100%, $E$9)</f>
        <v>20.4863</v>
      </c>
      <c r="N1055" s="81">
        <f>20.6521 * CHOOSE(CONTROL!$C$32, $C$9, 100%, $E$9)</f>
        <v>20.652100000000001</v>
      </c>
      <c r="O1055" s="81">
        <f>20.4863 * CHOOSE(CONTROL!$C$32, $C$9, 100%, $E$9)</f>
        <v>20.4863</v>
      </c>
    </row>
    <row r="1056" spans="1:15" ht="15">
      <c r="A1056" s="16">
        <v>73355</v>
      </c>
      <c r="B1056" s="80">
        <f>18.4123 * CHOOSE(CONTROL!$C$32, $C$9, 100%, $E$9)</f>
        <v>18.412299999999998</v>
      </c>
      <c r="C1056" s="80">
        <f>18.4123 * CHOOSE(CONTROL!$C$32, $C$9, 100%, $E$9)</f>
        <v>18.412299999999998</v>
      </c>
      <c r="D1056" s="80">
        <f>18.2777 * CHOOSE(CONTROL!$C$32, $C$9, 100%, $E$9)</f>
        <v>18.277699999999999</v>
      </c>
      <c r="E1056" s="81">
        <f>20.7323 * CHOOSE(CONTROL!$C$32, $C$9, 100%, $E$9)</f>
        <v>20.732299999999999</v>
      </c>
      <c r="F1056" s="81">
        <f>20.7323 * CHOOSE(CONTROL!$C$32, $C$9, 100%, $E$9)</f>
        <v>20.732299999999999</v>
      </c>
      <c r="G1056" s="81">
        <f>20.5664 * CHOOSE(CONTROL!$C$32, $C$9, 100%, $E$9)</f>
        <v>20.566400000000002</v>
      </c>
      <c r="H1056" s="81">
        <f>38.1543 * CHOOSE(CONTROL!$C$32, $C$9, 100%, $E$9)</f>
        <v>38.154299999999999</v>
      </c>
      <c r="I1056" s="81">
        <f>37.9884 * CHOOSE(CONTROL!$C$32, $C$9, 100%, $E$9)</f>
        <v>37.988399999999999</v>
      </c>
      <c r="J1056" s="81">
        <f>38.1543 * CHOOSE(CONTROL!$C$32, $C$9, 100%, $E$9)</f>
        <v>38.154299999999999</v>
      </c>
      <c r="K1056" s="81">
        <f>37.9884 * CHOOSE(CONTROL!$C$32, $C$9, 100%, $E$9)</f>
        <v>37.988399999999999</v>
      </c>
      <c r="L1056" s="81">
        <f>20.7323 * CHOOSE(CONTROL!$C$32, $C$9, 100%, $E$9)</f>
        <v>20.732299999999999</v>
      </c>
      <c r="M1056" s="81">
        <f>20.5664 * CHOOSE(CONTROL!$C$32, $C$9, 100%, $E$9)</f>
        <v>20.566400000000002</v>
      </c>
      <c r="N1056" s="81">
        <f>20.7323 * CHOOSE(CONTROL!$C$32, $C$9, 100%, $E$9)</f>
        <v>20.732299999999999</v>
      </c>
      <c r="O1056" s="81">
        <f>20.5664 * CHOOSE(CONTROL!$C$32, $C$9, 100%, $E$9)</f>
        <v>20.566400000000002</v>
      </c>
    </row>
    <row r="1057" spans="1:15" ht="15">
      <c r="A1057" s="16">
        <v>73385</v>
      </c>
      <c r="B1057" s="80">
        <f>18.4123 * CHOOSE(CONTROL!$C$32, $C$9, 100%, $E$9)</f>
        <v>18.412299999999998</v>
      </c>
      <c r="C1057" s="80">
        <f>18.4123 * CHOOSE(CONTROL!$C$32, $C$9, 100%, $E$9)</f>
        <v>18.412299999999998</v>
      </c>
      <c r="D1057" s="80">
        <f>18.2777 * CHOOSE(CONTROL!$C$32, $C$9, 100%, $E$9)</f>
        <v>18.277699999999999</v>
      </c>
      <c r="E1057" s="81">
        <f>20.5373 * CHOOSE(CONTROL!$C$32, $C$9, 100%, $E$9)</f>
        <v>20.537299999999998</v>
      </c>
      <c r="F1057" s="81">
        <f>20.5373 * CHOOSE(CONTROL!$C$32, $C$9, 100%, $E$9)</f>
        <v>20.537299999999998</v>
      </c>
      <c r="G1057" s="81">
        <f>20.3714 * CHOOSE(CONTROL!$C$32, $C$9, 100%, $E$9)</f>
        <v>20.371400000000001</v>
      </c>
      <c r="H1057" s="81">
        <f>38.2338 * CHOOSE(CONTROL!$C$32, $C$9, 100%, $E$9)</f>
        <v>38.233800000000002</v>
      </c>
      <c r="I1057" s="81">
        <f>38.0679 * CHOOSE(CONTROL!$C$32, $C$9, 100%, $E$9)</f>
        <v>38.067900000000002</v>
      </c>
      <c r="J1057" s="81">
        <f>38.2338 * CHOOSE(CONTROL!$C$32, $C$9, 100%, $E$9)</f>
        <v>38.233800000000002</v>
      </c>
      <c r="K1057" s="81">
        <f>38.0679 * CHOOSE(CONTROL!$C$32, $C$9, 100%, $E$9)</f>
        <v>38.067900000000002</v>
      </c>
      <c r="L1057" s="81">
        <f>20.5373 * CHOOSE(CONTROL!$C$32, $C$9, 100%, $E$9)</f>
        <v>20.537299999999998</v>
      </c>
      <c r="M1057" s="81">
        <f>20.3714 * CHOOSE(CONTROL!$C$32, $C$9, 100%, $E$9)</f>
        <v>20.371400000000001</v>
      </c>
      <c r="N1057" s="81">
        <f>20.5373 * CHOOSE(CONTROL!$C$32, $C$9, 100%, $E$9)</f>
        <v>20.537299999999998</v>
      </c>
      <c r="O1057" s="81">
        <f>20.3714 * CHOOSE(CONTROL!$C$32, $C$9, 100%, $E$9)</f>
        <v>20.371400000000001</v>
      </c>
    </row>
    <row r="1058" spans="1:15" ht="15">
      <c r="A1058" s="12"/>
      <c r="B1058" s="80"/>
      <c r="C1058" s="80"/>
      <c r="D1058" s="80"/>
      <c r="E1058" s="81"/>
      <c r="F1058" s="81"/>
      <c r="G1058" s="81"/>
      <c r="H1058" s="81"/>
      <c r="I1058" s="81"/>
      <c r="J1058" s="81"/>
      <c r="K1058" s="81"/>
      <c r="L1058" s="81"/>
      <c r="M1058" s="81"/>
      <c r="N1058" s="81"/>
      <c r="O1058" s="81"/>
    </row>
    <row r="1059" spans="1:15" ht="15">
      <c r="A1059" s="11">
        <v>2014</v>
      </c>
      <c r="B1059" s="80">
        <f t="shared" ref="B1059:O1059" si="0">AVERAGE(B14:B25)</f>
        <v>2.4152977210634523</v>
      </c>
      <c r="C1059" s="80">
        <f t="shared" si="0"/>
        <v>2.4035660984848484</v>
      </c>
      <c r="D1059" s="80">
        <f t="shared" si="0"/>
        <v>2.410725515151515</v>
      </c>
      <c r="E1059" s="80">
        <f t="shared" si="0"/>
        <v>3.3082487242062748</v>
      </c>
      <c r="F1059" s="80">
        <f t="shared" si="0"/>
        <v>3.4247274011299429</v>
      </c>
      <c r="G1059" s="80">
        <f t="shared" si="0"/>
        <v>3.436489484463277</v>
      </c>
      <c r="H1059" s="80">
        <f t="shared" si="0"/>
        <v>5.8732191966897451</v>
      </c>
      <c r="I1059" s="80">
        <f t="shared" si="0"/>
        <v>5.8849812800230774</v>
      </c>
      <c r="J1059" s="80">
        <f t="shared" si="0"/>
        <v>5.8732191966897451</v>
      </c>
      <c r="K1059" s="80">
        <f t="shared" si="0"/>
        <v>5.8849812800230774</v>
      </c>
      <c r="L1059" s="80">
        <f t="shared" si="0"/>
        <v>3.3082487242062748</v>
      </c>
      <c r="M1059" s="80">
        <f t="shared" si="0"/>
        <v>3.3200108075396084</v>
      </c>
      <c r="N1059" s="80">
        <f t="shared" si="0"/>
        <v>3.3082487242062748</v>
      </c>
      <c r="O1059" s="80">
        <f t="shared" si="0"/>
        <v>3.3200108075396084</v>
      </c>
    </row>
    <row r="1060" spans="1:15" ht="15">
      <c r="A1060" s="11">
        <v>2015</v>
      </c>
      <c r="B1060" s="80">
        <f t="shared" ref="B1060:O1060" si="1">AVERAGE(B26:B37)</f>
        <v>2.5009166666666673</v>
      </c>
      <c r="C1060" s="80">
        <f t="shared" si="1"/>
        <v>2.5282416666666667</v>
      </c>
      <c r="D1060" s="80">
        <f t="shared" si="1"/>
        <v>2.5324666666666666</v>
      </c>
      <c r="E1060" s="80">
        <f t="shared" si="1"/>
        <v>3.2090166666666664</v>
      </c>
      <c r="F1060" s="80">
        <f t="shared" si="1"/>
        <v>3.254</v>
      </c>
      <c r="G1060" s="80">
        <f t="shared" si="1"/>
        <v>3.2591916666666676</v>
      </c>
      <c r="H1060" s="80">
        <f t="shared" si="1"/>
        <v>6.0330166666666676</v>
      </c>
      <c r="I1060" s="80">
        <f t="shared" si="1"/>
        <v>6.0381916666666662</v>
      </c>
      <c r="J1060" s="80">
        <f t="shared" si="1"/>
        <v>6.0330166666666676</v>
      </c>
      <c r="K1060" s="80">
        <f t="shared" si="1"/>
        <v>6.0381916666666662</v>
      </c>
      <c r="L1060" s="80">
        <f t="shared" si="1"/>
        <v>3.2090166666666664</v>
      </c>
      <c r="M1060" s="80">
        <f t="shared" si="1"/>
        <v>3.2141999999999995</v>
      </c>
      <c r="N1060" s="80">
        <f t="shared" si="1"/>
        <v>3.2090166666666664</v>
      </c>
      <c r="O1060" s="80">
        <f t="shared" si="1"/>
        <v>3.2141999999999995</v>
      </c>
    </row>
    <row r="1061" spans="1:15" ht="15">
      <c r="A1061" s="11">
        <v>2016</v>
      </c>
      <c r="B1061" s="80">
        <f t="shared" ref="B1061:O1061" si="2">AVERAGE(B38:B49)</f>
        <v>2.8711249999999997</v>
      </c>
      <c r="C1061" s="80">
        <f t="shared" si="2"/>
        <v>2.8711249999999997</v>
      </c>
      <c r="D1061" s="80">
        <f t="shared" si="2"/>
        <v>2.8753333333333333</v>
      </c>
      <c r="E1061" s="80">
        <f t="shared" si="2"/>
        <v>3.3873333333333338</v>
      </c>
      <c r="F1061" s="80">
        <f t="shared" si="2"/>
        <v>3.4460000000000002</v>
      </c>
      <c r="G1061" s="80">
        <f t="shared" si="2"/>
        <v>3.4511916666666678</v>
      </c>
      <c r="H1061" s="80">
        <f t="shared" si="2"/>
        <v>6.185575</v>
      </c>
      <c r="I1061" s="80">
        <f t="shared" si="2"/>
        <v>6.1907666666666659</v>
      </c>
      <c r="J1061" s="80">
        <f t="shared" si="2"/>
        <v>6.185575</v>
      </c>
      <c r="K1061" s="80">
        <f t="shared" si="2"/>
        <v>6.1907666666666659</v>
      </c>
      <c r="L1061" s="80">
        <f t="shared" si="2"/>
        <v>3.3873333333333338</v>
      </c>
      <c r="M1061" s="80">
        <f t="shared" si="2"/>
        <v>3.3925249999999996</v>
      </c>
      <c r="N1061" s="80">
        <f t="shared" si="2"/>
        <v>3.3873333333333338</v>
      </c>
      <c r="O1061" s="80">
        <f t="shared" si="2"/>
        <v>3.3925249999999996</v>
      </c>
    </row>
    <row r="1062" spans="1:15" ht="15">
      <c r="A1062" s="11">
        <v>2017</v>
      </c>
      <c r="B1062" s="80">
        <f t="shared" ref="B1062:O1062" si="3">AVERAGE(B50:B61)</f>
        <v>3.0028000000000001</v>
      </c>
      <c r="C1062" s="80">
        <f t="shared" si="3"/>
        <v>3.0028000000000001</v>
      </c>
      <c r="D1062" s="80">
        <f t="shared" si="3"/>
        <v>3.007000000000001</v>
      </c>
      <c r="E1062" s="80">
        <f t="shared" si="3"/>
        <v>3.5879916666666669</v>
      </c>
      <c r="F1062" s="80">
        <f t="shared" si="3"/>
        <v>3.5879916666666669</v>
      </c>
      <c r="G1062" s="80">
        <f t="shared" si="3"/>
        <v>3.5931833333333336</v>
      </c>
      <c r="H1062" s="80">
        <f t="shared" si="3"/>
        <v>6.341991666666666</v>
      </c>
      <c r="I1062" s="80">
        <f t="shared" si="3"/>
        <v>6.3471916666666672</v>
      </c>
      <c r="J1062" s="80">
        <f t="shared" si="3"/>
        <v>6.341991666666666</v>
      </c>
      <c r="K1062" s="80">
        <f t="shared" si="3"/>
        <v>6.3471916666666672</v>
      </c>
      <c r="L1062" s="80">
        <f t="shared" si="3"/>
        <v>3.5879916666666669</v>
      </c>
      <c r="M1062" s="80">
        <f t="shared" si="3"/>
        <v>3.5931833333333336</v>
      </c>
      <c r="N1062" s="80">
        <f t="shared" si="3"/>
        <v>3.5879916666666669</v>
      </c>
      <c r="O1062" s="80">
        <f t="shared" si="3"/>
        <v>3.5931833333333336</v>
      </c>
    </row>
    <row r="1063" spans="1:15" ht="15">
      <c r="A1063" s="11">
        <v>2018</v>
      </c>
      <c r="B1063" s="80">
        <f t="shared" ref="B1063:O1063" si="4">AVERAGE(B62:B73)</f>
        <v>3.1109000000000004</v>
      </c>
      <c r="C1063" s="80">
        <f t="shared" si="4"/>
        <v>3.1109000000000004</v>
      </c>
      <c r="D1063" s="80">
        <f t="shared" si="4"/>
        <v>3.1151333333333331</v>
      </c>
      <c r="E1063" s="80">
        <f t="shared" si="4"/>
        <v>3.7429000000000006</v>
      </c>
      <c r="F1063" s="80">
        <f t="shared" si="4"/>
        <v>3.7429000000000006</v>
      </c>
      <c r="G1063" s="80">
        <f t="shared" si="4"/>
        <v>3.7480833333333332</v>
      </c>
      <c r="H1063" s="80">
        <f t="shared" si="4"/>
        <v>6.502391666666667</v>
      </c>
      <c r="I1063" s="80">
        <f t="shared" si="4"/>
        <v>6.5075750000000001</v>
      </c>
      <c r="J1063" s="80">
        <f t="shared" si="4"/>
        <v>6.502391666666667</v>
      </c>
      <c r="K1063" s="80">
        <f t="shared" si="4"/>
        <v>6.5075750000000001</v>
      </c>
      <c r="L1063" s="80">
        <f t="shared" si="4"/>
        <v>3.7429000000000006</v>
      </c>
      <c r="M1063" s="80">
        <f t="shared" si="4"/>
        <v>3.7480833333333332</v>
      </c>
      <c r="N1063" s="80">
        <f t="shared" si="4"/>
        <v>3.7429000000000006</v>
      </c>
      <c r="O1063" s="80">
        <f t="shared" si="4"/>
        <v>3.7480833333333332</v>
      </c>
    </row>
    <row r="1064" spans="1:15" ht="15">
      <c r="A1064" s="11">
        <v>2019</v>
      </c>
      <c r="B1064" s="80">
        <f t="shared" ref="B1064:O1064" si="5">AVERAGE(B74:B85)</f>
        <v>3.1375166666666665</v>
      </c>
      <c r="C1064" s="80">
        <f t="shared" si="5"/>
        <v>3.1375166666666665</v>
      </c>
      <c r="D1064" s="80">
        <f t="shared" si="5"/>
        <v>3.141716666666666</v>
      </c>
      <c r="E1064" s="80">
        <f t="shared" si="5"/>
        <v>3.8573833333333334</v>
      </c>
      <c r="F1064" s="80">
        <f t="shared" si="5"/>
        <v>3.8573833333333334</v>
      </c>
      <c r="G1064" s="80">
        <f t="shared" si="5"/>
        <v>3.8625666666666665</v>
      </c>
      <c r="H1064" s="80">
        <f t="shared" si="5"/>
        <v>6.6668333333333329</v>
      </c>
      <c r="I1064" s="80">
        <f t="shared" si="5"/>
        <v>6.671991666666667</v>
      </c>
      <c r="J1064" s="80">
        <f t="shared" si="5"/>
        <v>6.6668333333333329</v>
      </c>
      <c r="K1064" s="80">
        <f t="shared" si="5"/>
        <v>6.671991666666667</v>
      </c>
      <c r="L1064" s="80">
        <f t="shared" si="5"/>
        <v>3.8573833333333334</v>
      </c>
      <c r="M1064" s="80">
        <f t="shared" si="5"/>
        <v>3.8625666666666665</v>
      </c>
      <c r="N1064" s="80">
        <f t="shared" si="5"/>
        <v>3.8573833333333334</v>
      </c>
      <c r="O1064" s="80">
        <f t="shared" si="5"/>
        <v>3.8625666666666665</v>
      </c>
    </row>
    <row r="1065" spans="1:15" ht="15">
      <c r="A1065" s="11">
        <v>2020</v>
      </c>
      <c r="B1065" s="80">
        <f t="shared" ref="B1065:O1065" si="6">AVERAGE(B86:B97)</f>
        <v>3.1985999999999994</v>
      </c>
      <c r="C1065" s="80">
        <f t="shared" si="6"/>
        <v>3.1985999999999994</v>
      </c>
      <c r="D1065" s="80">
        <f t="shared" si="6"/>
        <v>3.2028250000000007</v>
      </c>
      <c r="E1065" s="80">
        <f t="shared" si="6"/>
        <v>3.7282833333333336</v>
      </c>
      <c r="F1065" s="80">
        <f t="shared" si="6"/>
        <v>3.7282833333333336</v>
      </c>
      <c r="G1065" s="80">
        <f t="shared" si="6"/>
        <v>3.7334666666666667</v>
      </c>
      <c r="H1065" s="80">
        <f t="shared" si="6"/>
        <v>6.8354083333333335</v>
      </c>
      <c r="I1065" s="80">
        <f t="shared" si="6"/>
        <v>6.8405833333333339</v>
      </c>
      <c r="J1065" s="80">
        <f t="shared" si="6"/>
        <v>6.8354083333333335</v>
      </c>
      <c r="K1065" s="80">
        <f t="shared" si="6"/>
        <v>6.8405833333333339</v>
      </c>
      <c r="L1065" s="80">
        <f t="shared" si="6"/>
        <v>3.7282833333333336</v>
      </c>
      <c r="M1065" s="80">
        <f t="shared" si="6"/>
        <v>3.7334666666666667</v>
      </c>
      <c r="N1065" s="80">
        <f t="shared" si="6"/>
        <v>3.7282833333333336</v>
      </c>
      <c r="O1065" s="80">
        <f t="shared" si="6"/>
        <v>3.7334666666666667</v>
      </c>
    </row>
    <row r="1066" spans="1:15" ht="15">
      <c r="A1066" s="11">
        <v>2021</v>
      </c>
      <c r="B1066" s="80">
        <f t="shared" ref="B1066:O1066" si="7">AVERAGE(B98:B109)</f>
        <v>3.2682833333333332</v>
      </c>
      <c r="C1066" s="80">
        <f t="shared" si="7"/>
        <v>3.2682833333333332</v>
      </c>
      <c r="D1066" s="80">
        <f t="shared" si="7"/>
        <v>3.2724916666666668</v>
      </c>
      <c r="E1066" s="80">
        <f t="shared" si="7"/>
        <v>3.7707666666666668</v>
      </c>
      <c r="F1066" s="80">
        <f t="shared" si="7"/>
        <v>3.7707666666666668</v>
      </c>
      <c r="G1066" s="80">
        <f t="shared" si="7"/>
        <v>3.7759416666666668</v>
      </c>
      <c r="H1066" s="80">
        <f t="shared" si="7"/>
        <v>7.008258333333333</v>
      </c>
      <c r="I1066" s="80">
        <f t="shared" si="7"/>
        <v>7.0134500000000015</v>
      </c>
      <c r="J1066" s="80">
        <f t="shared" si="7"/>
        <v>7.008258333333333</v>
      </c>
      <c r="K1066" s="80">
        <f t="shared" si="7"/>
        <v>7.0134500000000015</v>
      </c>
      <c r="L1066" s="80">
        <f t="shared" si="7"/>
        <v>3.7707666666666668</v>
      </c>
      <c r="M1066" s="80">
        <f t="shared" si="7"/>
        <v>3.7759416666666668</v>
      </c>
      <c r="N1066" s="80">
        <f t="shared" si="7"/>
        <v>3.7707666666666668</v>
      </c>
      <c r="O1066" s="80">
        <f t="shared" si="7"/>
        <v>3.7759416666666668</v>
      </c>
    </row>
    <row r="1067" spans="1:15" ht="15">
      <c r="A1067" s="11">
        <v>2022</v>
      </c>
      <c r="B1067" s="80">
        <f t="shared" ref="B1067:O1067" si="8">AVERAGE(B110:B121)</f>
        <v>3.3391416666666669</v>
      </c>
      <c r="C1067" s="80">
        <f t="shared" si="8"/>
        <v>3.3391416666666669</v>
      </c>
      <c r="D1067" s="80">
        <f t="shared" si="8"/>
        <v>3.343375</v>
      </c>
      <c r="E1067" s="80">
        <f t="shared" si="8"/>
        <v>3.944116666666666</v>
      </c>
      <c r="F1067" s="80">
        <f t="shared" si="8"/>
        <v>3.944116666666666</v>
      </c>
      <c r="G1067" s="80">
        <f t="shared" si="8"/>
        <v>3.949325</v>
      </c>
      <c r="H1067" s="80">
        <f t="shared" si="8"/>
        <v>7.1854833333333339</v>
      </c>
      <c r="I1067" s="80">
        <f t="shared" si="8"/>
        <v>7.1906749999999997</v>
      </c>
      <c r="J1067" s="80">
        <f t="shared" si="8"/>
        <v>7.1854833333333339</v>
      </c>
      <c r="K1067" s="80">
        <f t="shared" si="8"/>
        <v>7.1906749999999997</v>
      </c>
      <c r="L1067" s="80">
        <f t="shared" si="8"/>
        <v>3.944116666666666</v>
      </c>
      <c r="M1067" s="80">
        <f t="shared" si="8"/>
        <v>3.949325</v>
      </c>
      <c r="N1067" s="80">
        <f t="shared" si="8"/>
        <v>3.944116666666666</v>
      </c>
      <c r="O1067" s="80">
        <f t="shared" si="8"/>
        <v>3.949325</v>
      </c>
    </row>
    <row r="1068" spans="1:15" ht="15">
      <c r="A1068" s="11">
        <v>2023</v>
      </c>
      <c r="B1068" s="80">
        <f t="shared" ref="B1068:O1068" si="9">AVERAGE(B122:B133)</f>
        <v>3.4119833333333336</v>
      </c>
      <c r="C1068" s="80">
        <f t="shared" si="9"/>
        <v>3.4119833333333336</v>
      </c>
      <c r="D1068" s="80">
        <f t="shared" si="9"/>
        <v>3.4162166666666667</v>
      </c>
      <c r="E1068" s="80">
        <f t="shared" si="9"/>
        <v>4.0709833333333334</v>
      </c>
      <c r="F1068" s="80">
        <f t="shared" si="9"/>
        <v>4.0709833333333334</v>
      </c>
      <c r="G1068" s="80">
        <f t="shared" si="9"/>
        <v>4.0761583333333338</v>
      </c>
      <c r="H1068" s="80">
        <f t="shared" si="9"/>
        <v>7.3672166666666676</v>
      </c>
      <c r="I1068" s="80">
        <f t="shared" si="9"/>
        <v>7.3723916666666653</v>
      </c>
      <c r="J1068" s="80">
        <f t="shared" si="9"/>
        <v>7.3672166666666676</v>
      </c>
      <c r="K1068" s="80">
        <f t="shared" si="9"/>
        <v>7.3723916666666653</v>
      </c>
      <c r="L1068" s="80">
        <f t="shared" si="9"/>
        <v>4.0709833333333334</v>
      </c>
      <c r="M1068" s="80">
        <f t="shared" si="9"/>
        <v>4.0761583333333338</v>
      </c>
      <c r="N1068" s="80">
        <f t="shared" si="9"/>
        <v>4.0709833333333334</v>
      </c>
      <c r="O1068" s="80">
        <f t="shared" si="9"/>
        <v>4.0761583333333338</v>
      </c>
    </row>
    <row r="1069" spans="1:15" ht="15">
      <c r="A1069" s="11">
        <v>2024</v>
      </c>
      <c r="B1069" s="80">
        <f t="shared" ref="B1069:O1069" si="10">AVERAGE(B134:B145)</f>
        <v>3.4898833333333328</v>
      </c>
      <c r="C1069" s="80">
        <f t="shared" si="10"/>
        <v>3.4898833333333328</v>
      </c>
      <c r="D1069" s="80">
        <f t="shared" si="10"/>
        <v>3.4940916666666664</v>
      </c>
      <c r="E1069" s="80">
        <f t="shared" si="10"/>
        <v>4.1558083333333329</v>
      </c>
      <c r="F1069" s="80">
        <f t="shared" si="10"/>
        <v>4.1558083333333329</v>
      </c>
      <c r="G1069" s="80">
        <f t="shared" si="10"/>
        <v>4.1609499999999997</v>
      </c>
      <c r="H1069" s="80">
        <f t="shared" si="10"/>
        <v>7.553516666666666</v>
      </c>
      <c r="I1069" s="80">
        <f t="shared" si="10"/>
        <v>7.5586999999999991</v>
      </c>
      <c r="J1069" s="80">
        <f t="shared" si="10"/>
        <v>7.553516666666666</v>
      </c>
      <c r="K1069" s="80">
        <f t="shared" si="10"/>
        <v>7.5586999999999991</v>
      </c>
      <c r="L1069" s="80">
        <f t="shared" si="10"/>
        <v>4.1558083333333329</v>
      </c>
      <c r="M1069" s="80">
        <f t="shared" si="10"/>
        <v>4.1609499999999997</v>
      </c>
      <c r="N1069" s="80">
        <f t="shared" si="10"/>
        <v>4.1558083333333329</v>
      </c>
      <c r="O1069" s="80">
        <f t="shared" si="10"/>
        <v>4.1609499999999997</v>
      </c>
    </row>
    <row r="1070" spans="1:15" ht="15">
      <c r="A1070" s="11">
        <v>2025</v>
      </c>
      <c r="B1070" s="80">
        <f t="shared" ref="B1070:O1070" si="11">AVERAGE(B146:B157)</f>
        <v>3.5713666666666675</v>
      </c>
      <c r="C1070" s="80">
        <f t="shared" si="11"/>
        <v>3.5713666666666675</v>
      </c>
      <c r="D1070" s="80">
        <f t="shared" si="11"/>
        <v>3.5755833333333329</v>
      </c>
      <c r="E1070" s="80">
        <f t="shared" si="11"/>
        <v>4.2415750000000001</v>
      </c>
      <c r="F1070" s="80">
        <f t="shared" si="11"/>
        <v>4.2415750000000001</v>
      </c>
      <c r="G1070" s="80">
        <f t="shared" si="11"/>
        <v>4.2467583333333332</v>
      </c>
      <c r="H1070" s="80">
        <f t="shared" si="11"/>
        <v>7.7445166666666667</v>
      </c>
      <c r="I1070" s="80">
        <f t="shared" si="11"/>
        <v>7.7497166666666679</v>
      </c>
      <c r="J1070" s="80">
        <f t="shared" si="11"/>
        <v>7.7445166666666667</v>
      </c>
      <c r="K1070" s="80">
        <f t="shared" si="11"/>
        <v>7.7497166666666679</v>
      </c>
      <c r="L1070" s="80">
        <f t="shared" si="11"/>
        <v>4.2415750000000001</v>
      </c>
      <c r="M1070" s="80">
        <f t="shared" si="11"/>
        <v>4.2467583333333332</v>
      </c>
      <c r="N1070" s="80">
        <f t="shared" si="11"/>
        <v>4.2415750000000001</v>
      </c>
      <c r="O1070" s="80">
        <f t="shared" si="11"/>
        <v>4.2467583333333332</v>
      </c>
    </row>
    <row r="1071" spans="1:15" ht="15">
      <c r="A1071" s="11">
        <v>2026</v>
      </c>
      <c r="B1071" s="80">
        <f t="shared" ref="B1071:O1071" si="12">AVERAGE(B158:B169)</f>
        <v>3.6529916666666669</v>
      </c>
      <c r="C1071" s="80">
        <f t="shared" si="12"/>
        <v>3.6529916666666669</v>
      </c>
      <c r="D1071" s="80">
        <f t="shared" si="12"/>
        <v>3.6572</v>
      </c>
      <c r="E1071" s="80">
        <f t="shared" si="12"/>
        <v>4.3426083333333336</v>
      </c>
      <c r="F1071" s="80">
        <f t="shared" si="12"/>
        <v>4.3426083333333336</v>
      </c>
      <c r="G1071" s="80">
        <f t="shared" si="12"/>
        <v>4.3477833333333331</v>
      </c>
      <c r="H1071" s="80">
        <f t="shared" si="12"/>
        <v>7.9403749999999995</v>
      </c>
      <c r="I1071" s="80">
        <f t="shared" si="12"/>
        <v>7.9455416666666663</v>
      </c>
      <c r="J1071" s="80">
        <f t="shared" si="12"/>
        <v>7.9403749999999995</v>
      </c>
      <c r="K1071" s="80">
        <f t="shared" si="12"/>
        <v>7.9455416666666663</v>
      </c>
      <c r="L1071" s="80">
        <f t="shared" si="12"/>
        <v>4.3426083333333336</v>
      </c>
      <c r="M1071" s="80">
        <f t="shared" si="12"/>
        <v>4.3477833333333331</v>
      </c>
      <c r="N1071" s="80">
        <f t="shared" si="12"/>
        <v>4.3426083333333336</v>
      </c>
      <c r="O1071" s="80">
        <f t="shared" si="12"/>
        <v>4.3477833333333331</v>
      </c>
    </row>
    <row r="1072" spans="1:15" ht="15">
      <c r="A1072" s="11">
        <v>2027</v>
      </c>
      <c r="B1072" s="80">
        <f t="shared" ref="B1072:O1072" si="13">AVERAGE(B170:B181)</f>
        <v>3.7325916666666674</v>
      </c>
      <c r="C1072" s="80">
        <f t="shared" si="13"/>
        <v>3.7325916666666674</v>
      </c>
      <c r="D1072" s="80">
        <f t="shared" si="13"/>
        <v>3.7368083333333324</v>
      </c>
      <c r="E1072" s="80">
        <f t="shared" si="13"/>
        <v>4.4449999999999994</v>
      </c>
      <c r="F1072" s="80">
        <f t="shared" si="13"/>
        <v>4.4449999999999994</v>
      </c>
      <c r="G1072" s="80">
        <f t="shared" si="13"/>
        <v>4.4501750000000007</v>
      </c>
      <c r="H1072" s="80">
        <f t="shared" si="13"/>
        <v>8.1411750000000023</v>
      </c>
      <c r="I1072" s="80">
        <f t="shared" si="13"/>
        <v>8.1463500000000035</v>
      </c>
      <c r="J1072" s="80">
        <f t="shared" si="13"/>
        <v>8.1411750000000023</v>
      </c>
      <c r="K1072" s="80">
        <f t="shared" si="13"/>
        <v>8.1463500000000035</v>
      </c>
      <c r="L1072" s="80">
        <f t="shared" si="13"/>
        <v>4.4449999999999994</v>
      </c>
      <c r="M1072" s="80">
        <f t="shared" si="13"/>
        <v>4.4501750000000007</v>
      </c>
      <c r="N1072" s="80">
        <f t="shared" si="13"/>
        <v>4.4449999999999994</v>
      </c>
      <c r="O1072" s="80">
        <f t="shared" si="13"/>
        <v>4.4501750000000007</v>
      </c>
    </row>
    <row r="1073" spans="1:15" ht="15">
      <c r="A1073" s="11">
        <v>2028</v>
      </c>
      <c r="B1073" s="80">
        <f t="shared" ref="B1073:O1073" si="14">AVERAGE(B182:B193)</f>
        <v>3.8206500000000001</v>
      </c>
      <c r="C1073" s="80">
        <f t="shared" si="14"/>
        <v>3.8206500000000001</v>
      </c>
      <c r="D1073" s="80">
        <f t="shared" si="14"/>
        <v>3.8248666666666669</v>
      </c>
      <c r="E1073" s="80">
        <f t="shared" si="14"/>
        <v>4.5496749999999997</v>
      </c>
      <c r="F1073" s="80">
        <f t="shared" si="14"/>
        <v>4.5496749999999997</v>
      </c>
      <c r="G1073" s="80">
        <f t="shared" si="14"/>
        <v>4.5548583333333337</v>
      </c>
      <c r="H1073" s="80">
        <f t="shared" si="14"/>
        <v>8.3470499999999994</v>
      </c>
      <c r="I1073" s="80">
        <f t="shared" si="14"/>
        <v>8.3522249999999989</v>
      </c>
      <c r="J1073" s="80">
        <f t="shared" si="14"/>
        <v>8.3470499999999994</v>
      </c>
      <c r="K1073" s="80">
        <f t="shared" si="14"/>
        <v>8.3522249999999989</v>
      </c>
      <c r="L1073" s="80">
        <f t="shared" si="14"/>
        <v>4.5496749999999997</v>
      </c>
      <c r="M1073" s="80">
        <f t="shared" si="14"/>
        <v>4.5548583333333337</v>
      </c>
      <c r="N1073" s="80">
        <f t="shared" si="14"/>
        <v>4.5496749999999997</v>
      </c>
      <c r="O1073" s="80">
        <f t="shared" si="14"/>
        <v>4.5548583333333337</v>
      </c>
    </row>
    <row r="1074" spans="1:15" ht="15">
      <c r="A1074" s="11">
        <v>2029</v>
      </c>
      <c r="B1074" s="80">
        <f t="shared" ref="B1074:O1074" si="15">AVERAGE(B194:B205)</f>
        <v>3.9070166666666659</v>
      </c>
      <c r="C1074" s="80">
        <f t="shared" si="15"/>
        <v>3.9070166666666659</v>
      </c>
      <c r="D1074" s="80">
        <f t="shared" si="15"/>
        <v>3.9112416666666667</v>
      </c>
      <c r="E1074" s="80">
        <f t="shared" si="15"/>
        <v>4.6572416666666667</v>
      </c>
      <c r="F1074" s="80">
        <f t="shared" si="15"/>
        <v>4.6572416666666667</v>
      </c>
      <c r="G1074" s="80">
        <f t="shared" si="15"/>
        <v>4.6624166666666662</v>
      </c>
      <c r="H1074" s="80">
        <f t="shared" si="15"/>
        <v>8.5581250000000022</v>
      </c>
      <c r="I1074" s="80">
        <f t="shared" si="15"/>
        <v>8.5633166666666654</v>
      </c>
      <c r="J1074" s="80">
        <f t="shared" si="15"/>
        <v>8.5581250000000022</v>
      </c>
      <c r="K1074" s="80">
        <f t="shared" si="15"/>
        <v>8.5633166666666654</v>
      </c>
      <c r="L1074" s="80">
        <f t="shared" si="15"/>
        <v>4.6572416666666667</v>
      </c>
      <c r="M1074" s="80">
        <f t="shared" si="15"/>
        <v>4.6624166666666662</v>
      </c>
      <c r="N1074" s="80">
        <f t="shared" si="15"/>
        <v>4.6572416666666667</v>
      </c>
      <c r="O1074" s="80">
        <f t="shared" si="15"/>
        <v>4.6624166666666662</v>
      </c>
    </row>
    <row r="1075" spans="1:15" ht="15">
      <c r="A1075" s="11">
        <v>2030</v>
      </c>
      <c r="B1075" s="80">
        <f t="shared" ref="B1075:O1075" si="16">AVERAGE(B206:B217)</f>
        <v>3.998324999999999</v>
      </c>
      <c r="C1075" s="80">
        <f t="shared" si="16"/>
        <v>3.998324999999999</v>
      </c>
      <c r="D1075" s="80">
        <f t="shared" si="16"/>
        <v>4.0025416666666667</v>
      </c>
      <c r="E1075" s="80">
        <f t="shared" si="16"/>
        <v>4.7692916666666667</v>
      </c>
      <c r="F1075" s="80">
        <f t="shared" si="16"/>
        <v>4.7692916666666667</v>
      </c>
      <c r="G1075" s="80">
        <f t="shared" si="16"/>
        <v>4.7744749999999998</v>
      </c>
      <c r="H1075" s="80">
        <f t="shared" si="16"/>
        <v>8.7745666666666651</v>
      </c>
      <c r="I1075" s="80">
        <f t="shared" si="16"/>
        <v>8.7797333333333327</v>
      </c>
      <c r="J1075" s="80">
        <f t="shared" si="16"/>
        <v>8.7745666666666651</v>
      </c>
      <c r="K1075" s="80">
        <f t="shared" si="16"/>
        <v>8.7797333333333327</v>
      </c>
      <c r="L1075" s="80">
        <f t="shared" si="16"/>
        <v>4.7692916666666667</v>
      </c>
      <c r="M1075" s="80">
        <f t="shared" si="16"/>
        <v>4.7744749999999998</v>
      </c>
      <c r="N1075" s="80">
        <f t="shared" si="16"/>
        <v>4.7692916666666667</v>
      </c>
      <c r="O1075" s="80">
        <f t="shared" si="16"/>
        <v>4.7744749999999998</v>
      </c>
    </row>
    <row r="1076" spans="1:15" ht="15">
      <c r="A1076" s="11">
        <v>2031</v>
      </c>
      <c r="B1076" s="80">
        <f t="shared" ref="B1076:O1076" si="17">AVERAGE(B218:B229)</f>
        <v>4.0933833333333327</v>
      </c>
      <c r="C1076" s="80">
        <f t="shared" si="17"/>
        <v>4.0933833333333327</v>
      </c>
      <c r="D1076" s="80">
        <f t="shared" si="17"/>
        <v>4.0975916666666672</v>
      </c>
      <c r="E1076" s="80">
        <f t="shared" si="17"/>
        <v>4.915375</v>
      </c>
      <c r="F1076" s="80">
        <f t="shared" si="17"/>
        <v>4.915375</v>
      </c>
      <c r="G1076" s="80">
        <f t="shared" si="17"/>
        <v>4.9205583333333331</v>
      </c>
      <c r="H1076" s="80">
        <f t="shared" si="17"/>
        <v>8.9964666666666648</v>
      </c>
      <c r="I1076" s="80">
        <f t="shared" si="17"/>
        <v>9.0016416666666661</v>
      </c>
      <c r="J1076" s="80">
        <f t="shared" si="17"/>
        <v>8.9964666666666648</v>
      </c>
      <c r="K1076" s="80">
        <f t="shared" si="17"/>
        <v>9.0016416666666661</v>
      </c>
      <c r="L1076" s="80">
        <f t="shared" si="17"/>
        <v>4.915375</v>
      </c>
      <c r="M1076" s="80">
        <f t="shared" si="17"/>
        <v>4.9205583333333331</v>
      </c>
      <c r="N1076" s="80">
        <f t="shared" si="17"/>
        <v>4.915375</v>
      </c>
      <c r="O1076" s="80">
        <f t="shared" si="17"/>
        <v>4.9205583333333331</v>
      </c>
    </row>
    <row r="1077" spans="1:15" ht="15">
      <c r="A1077" s="11">
        <v>2032</v>
      </c>
      <c r="B1077" s="80">
        <f t="shared" ref="B1077:O1077" si="18">AVERAGE(B230:B241)</f>
        <v>4.1982249999999999</v>
      </c>
      <c r="C1077" s="80">
        <f t="shared" si="18"/>
        <v>4.1982249999999999</v>
      </c>
      <c r="D1077" s="80">
        <f t="shared" si="18"/>
        <v>4.2024333333333344</v>
      </c>
      <c r="E1077" s="80">
        <f t="shared" si="18"/>
        <v>5.0666166666666665</v>
      </c>
      <c r="F1077" s="80">
        <f t="shared" si="18"/>
        <v>5.0666166666666665</v>
      </c>
      <c r="G1077" s="80">
        <f t="shared" si="18"/>
        <v>5.0717916666666669</v>
      </c>
      <c r="H1077" s="80">
        <f t="shared" si="18"/>
        <v>9.2239583333333339</v>
      </c>
      <c r="I1077" s="80">
        <f t="shared" si="18"/>
        <v>9.2291333333333316</v>
      </c>
      <c r="J1077" s="80">
        <f t="shared" si="18"/>
        <v>9.2239583333333339</v>
      </c>
      <c r="K1077" s="80">
        <f t="shared" si="18"/>
        <v>9.2291333333333316</v>
      </c>
      <c r="L1077" s="80">
        <f t="shared" si="18"/>
        <v>5.0666166666666665</v>
      </c>
      <c r="M1077" s="80">
        <f t="shared" si="18"/>
        <v>5.0717916666666669</v>
      </c>
      <c r="N1077" s="80">
        <f t="shared" si="18"/>
        <v>5.0666166666666665</v>
      </c>
      <c r="O1077" s="80">
        <f t="shared" si="18"/>
        <v>5.0717916666666669</v>
      </c>
    </row>
    <row r="1078" spans="1:15" ht="15">
      <c r="A1078" s="11">
        <v>2033</v>
      </c>
      <c r="B1078" s="80">
        <f t="shared" ref="B1078:O1078" si="19">AVERAGE(B242:B253)</f>
        <v>4.3121749999999999</v>
      </c>
      <c r="C1078" s="80">
        <f t="shared" si="19"/>
        <v>4.3121749999999999</v>
      </c>
      <c r="D1078" s="80">
        <f t="shared" si="19"/>
        <v>4.3163999999999989</v>
      </c>
      <c r="E1078" s="80">
        <f t="shared" si="19"/>
        <v>5.2221833333333327</v>
      </c>
      <c r="F1078" s="80">
        <f t="shared" si="19"/>
        <v>5.2221833333333327</v>
      </c>
      <c r="G1078" s="80">
        <f t="shared" si="19"/>
        <v>5.2273666666666658</v>
      </c>
      <c r="H1078" s="80">
        <f t="shared" si="19"/>
        <v>9.4572083333333321</v>
      </c>
      <c r="I1078" s="80">
        <f t="shared" si="19"/>
        <v>9.4624000000000006</v>
      </c>
      <c r="J1078" s="80">
        <f t="shared" si="19"/>
        <v>9.4572083333333321</v>
      </c>
      <c r="K1078" s="80">
        <f t="shared" si="19"/>
        <v>9.4624000000000006</v>
      </c>
      <c r="L1078" s="80">
        <f t="shared" si="19"/>
        <v>5.2221833333333327</v>
      </c>
      <c r="M1078" s="80">
        <f t="shared" si="19"/>
        <v>5.2273666666666658</v>
      </c>
      <c r="N1078" s="80">
        <f t="shared" si="19"/>
        <v>5.2221833333333327</v>
      </c>
      <c r="O1078" s="80">
        <f t="shared" si="19"/>
        <v>5.2273666666666658</v>
      </c>
    </row>
    <row r="1079" spans="1:15" ht="15">
      <c r="A1079" s="11">
        <v>2034</v>
      </c>
      <c r="B1079" s="80">
        <f t="shared" ref="B1079:O1079" si="20">AVERAGE(B254:B265)</f>
        <v>4.4314749999999998</v>
      </c>
      <c r="C1079" s="80">
        <f t="shared" si="20"/>
        <v>4.4314749999999998</v>
      </c>
      <c r="D1079" s="80">
        <f t="shared" si="20"/>
        <v>4.4356833333333334</v>
      </c>
      <c r="E1079" s="80">
        <f t="shared" si="20"/>
        <v>5.3829916666666664</v>
      </c>
      <c r="F1079" s="80">
        <f t="shared" si="20"/>
        <v>5.3829916666666664</v>
      </c>
      <c r="G1079" s="80">
        <f t="shared" si="20"/>
        <v>5.3881583333333332</v>
      </c>
      <c r="H1079" s="80">
        <f t="shared" si="20"/>
        <v>9.6963750000000015</v>
      </c>
      <c r="I1079" s="80">
        <f t="shared" si="20"/>
        <v>9.7015499999999992</v>
      </c>
      <c r="J1079" s="80">
        <f t="shared" si="20"/>
        <v>9.6963750000000015</v>
      </c>
      <c r="K1079" s="80">
        <f t="shared" si="20"/>
        <v>9.7015499999999992</v>
      </c>
      <c r="L1079" s="80">
        <f t="shared" si="20"/>
        <v>5.3829916666666664</v>
      </c>
      <c r="M1079" s="80">
        <f t="shared" si="20"/>
        <v>5.3881583333333332</v>
      </c>
      <c r="N1079" s="80">
        <f t="shared" si="20"/>
        <v>5.3829916666666664</v>
      </c>
      <c r="O1079" s="80">
        <f t="shared" si="20"/>
        <v>5.3881583333333332</v>
      </c>
    </row>
    <row r="1080" spans="1:15" ht="15">
      <c r="A1080" s="11">
        <v>2035</v>
      </c>
      <c r="B1080" s="80">
        <f t="shared" ref="B1080:O1080" si="21">AVERAGE(B266:B277)</f>
        <v>4.5522083333333327</v>
      </c>
      <c r="C1080" s="80">
        <f t="shared" si="21"/>
        <v>4.5522083333333327</v>
      </c>
      <c r="D1080" s="80">
        <f t="shared" si="21"/>
        <v>4.5564083333333345</v>
      </c>
      <c r="E1080" s="80">
        <f t="shared" si="21"/>
        <v>5.5499833333333326</v>
      </c>
      <c r="F1080" s="80">
        <f t="shared" si="21"/>
        <v>5.5499833333333326</v>
      </c>
      <c r="G1080" s="80">
        <f t="shared" si="21"/>
        <v>5.5551583333333339</v>
      </c>
      <c r="H1080" s="80">
        <f t="shared" si="21"/>
        <v>9.9415916666666675</v>
      </c>
      <c r="I1080" s="80">
        <f t="shared" si="21"/>
        <v>9.9467583333333334</v>
      </c>
      <c r="J1080" s="80">
        <f t="shared" si="21"/>
        <v>9.9415916666666675</v>
      </c>
      <c r="K1080" s="80">
        <f t="shared" si="21"/>
        <v>9.9467583333333334</v>
      </c>
      <c r="L1080" s="80">
        <f t="shared" si="21"/>
        <v>5.5499833333333326</v>
      </c>
      <c r="M1080" s="80">
        <f t="shared" si="21"/>
        <v>5.5551583333333339</v>
      </c>
      <c r="N1080" s="80">
        <f t="shared" si="21"/>
        <v>5.5499833333333326</v>
      </c>
      <c r="O1080" s="80">
        <f t="shared" si="21"/>
        <v>5.5551583333333339</v>
      </c>
    </row>
    <row r="1081" spans="1:15" ht="15">
      <c r="A1081" s="11">
        <v>2036</v>
      </c>
      <c r="B1081" s="80">
        <f t="shared" ref="B1081:O1081" si="22">AVERAGE(B278:B289)</f>
        <v>4.6735916666666668</v>
      </c>
      <c r="C1081" s="80">
        <f t="shared" si="22"/>
        <v>4.6735916666666668</v>
      </c>
      <c r="D1081" s="80">
        <f t="shared" si="22"/>
        <v>4.6778166666666667</v>
      </c>
      <c r="E1081" s="80">
        <f t="shared" si="22"/>
        <v>5.7116166666666652</v>
      </c>
      <c r="F1081" s="80">
        <f t="shared" si="22"/>
        <v>5.7116166666666652</v>
      </c>
      <c r="G1081" s="80">
        <f t="shared" si="22"/>
        <v>5.7167916666666665</v>
      </c>
      <c r="H1081" s="80">
        <f t="shared" si="22"/>
        <v>10.192983333333334</v>
      </c>
      <c r="I1081" s="80">
        <f t="shared" si="22"/>
        <v>10.198166666666667</v>
      </c>
      <c r="J1081" s="80">
        <f t="shared" si="22"/>
        <v>10.192983333333334</v>
      </c>
      <c r="K1081" s="80">
        <f t="shared" si="22"/>
        <v>10.198166666666667</v>
      </c>
      <c r="L1081" s="80">
        <f t="shared" si="22"/>
        <v>5.7116166666666652</v>
      </c>
      <c r="M1081" s="80">
        <f t="shared" si="22"/>
        <v>5.7167916666666665</v>
      </c>
      <c r="N1081" s="80">
        <f t="shared" si="22"/>
        <v>5.7116166666666652</v>
      </c>
      <c r="O1081" s="80">
        <f t="shared" si="22"/>
        <v>5.7167916666666665</v>
      </c>
    </row>
    <row r="1082" spans="1:15" ht="15">
      <c r="A1082" s="11">
        <v>2037</v>
      </c>
      <c r="B1082" s="80">
        <f t="shared" ref="B1082:O1082" si="23">AVERAGE(B290:B301)</f>
        <v>4.7968249999999992</v>
      </c>
      <c r="C1082" s="80">
        <f t="shared" si="23"/>
        <v>4.7968249999999992</v>
      </c>
      <c r="D1082" s="80">
        <f t="shared" si="23"/>
        <v>4.8010250000000001</v>
      </c>
      <c r="E1082" s="80">
        <f t="shared" si="23"/>
        <v>5.8677333333333328</v>
      </c>
      <c r="F1082" s="80">
        <f t="shared" si="23"/>
        <v>5.8677333333333328</v>
      </c>
      <c r="G1082" s="80">
        <f t="shared" si="23"/>
        <v>5.8729166666666659</v>
      </c>
      <c r="H1082" s="80">
        <f t="shared" si="23"/>
        <v>10.450766666666667</v>
      </c>
      <c r="I1082" s="80">
        <f t="shared" si="23"/>
        <v>10.455933333333332</v>
      </c>
      <c r="J1082" s="80">
        <f t="shared" si="23"/>
        <v>10.450766666666667</v>
      </c>
      <c r="K1082" s="80">
        <f t="shared" si="23"/>
        <v>10.455933333333332</v>
      </c>
      <c r="L1082" s="80">
        <f t="shared" si="23"/>
        <v>5.8677333333333328</v>
      </c>
      <c r="M1082" s="80">
        <f t="shared" si="23"/>
        <v>5.8729166666666659</v>
      </c>
      <c r="N1082" s="80">
        <f t="shared" si="23"/>
        <v>5.8677333333333328</v>
      </c>
      <c r="O1082" s="80">
        <f t="shared" si="23"/>
        <v>5.8729166666666659</v>
      </c>
    </row>
    <row r="1083" spans="1:15" ht="15">
      <c r="A1083" s="11">
        <v>2038</v>
      </c>
      <c r="B1083" s="80">
        <f t="shared" ref="B1083:O1083" si="24">AVERAGE(B302:B313)</f>
        <v>4.9241666666666664</v>
      </c>
      <c r="C1083" s="80">
        <f t="shared" si="24"/>
        <v>4.9241666666666664</v>
      </c>
      <c r="D1083" s="80">
        <f t="shared" si="24"/>
        <v>4.9283916666666672</v>
      </c>
      <c r="E1083" s="80">
        <f t="shared" si="24"/>
        <v>6.0242416666666658</v>
      </c>
      <c r="F1083" s="80">
        <f t="shared" si="24"/>
        <v>6.0242416666666658</v>
      </c>
      <c r="G1083" s="80">
        <f t="shared" si="24"/>
        <v>6.0294249999999998</v>
      </c>
      <c r="H1083" s="80">
        <f t="shared" si="24"/>
        <v>10.71505</v>
      </c>
      <c r="I1083" s="80">
        <f t="shared" si="24"/>
        <v>10.720233333333333</v>
      </c>
      <c r="J1083" s="80">
        <f t="shared" si="24"/>
        <v>10.71505</v>
      </c>
      <c r="K1083" s="80">
        <f t="shared" si="24"/>
        <v>10.720233333333333</v>
      </c>
      <c r="L1083" s="80">
        <f t="shared" si="24"/>
        <v>6.0242416666666658</v>
      </c>
      <c r="M1083" s="80">
        <f t="shared" si="24"/>
        <v>6.0294249999999998</v>
      </c>
      <c r="N1083" s="80">
        <f t="shared" si="24"/>
        <v>6.0242416666666658</v>
      </c>
      <c r="O1083" s="80">
        <f t="shared" si="24"/>
        <v>6.0294249999999998</v>
      </c>
    </row>
    <row r="1084" spans="1:15" ht="15">
      <c r="A1084" s="11">
        <v>2039</v>
      </c>
      <c r="B1084" s="80">
        <f t="shared" ref="B1084:O1084" si="25">AVERAGE(B314:B325)</f>
        <v>5.0543916666666666</v>
      </c>
      <c r="C1084" s="80">
        <f t="shared" si="25"/>
        <v>5.0543916666666666</v>
      </c>
      <c r="D1084" s="80">
        <f t="shared" si="25"/>
        <v>5.0586083333333329</v>
      </c>
      <c r="E1084" s="80">
        <f t="shared" si="25"/>
        <v>6.1721166666666667</v>
      </c>
      <c r="F1084" s="80">
        <f t="shared" si="25"/>
        <v>6.1721166666666667</v>
      </c>
      <c r="G1084" s="80">
        <f t="shared" si="25"/>
        <v>6.1772833333333326</v>
      </c>
      <c r="H1084" s="80">
        <f t="shared" si="25"/>
        <v>10.986008333333332</v>
      </c>
      <c r="I1084" s="80">
        <f t="shared" si="25"/>
        <v>10.991208333333335</v>
      </c>
      <c r="J1084" s="80">
        <f t="shared" si="25"/>
        <v>10.986008333333332</v>
      </c>
      <c r="K1084" s="80">
        <f t="shared" si="25"/>
        <v>10.991208333333335</v>
      </c>
      <c r="L1084" s="80">
        <f t="shared" si="25"/>
        <v>6.1721166666666667</v>
      </c>
      <c r="M1084" s="80">
        <f t="shared" si="25"/>
        <v>6.1772833333333326</v>
      </c>
      <c r="N1084" s="80">
        <f t="shared" si="25"/>
        <v>6.1721166666666667</v>
      </c>
      <c r="O1084" s="80">
        <f t="shared" si="25"/>
        <v>6.1772833333333326</v>
      </c>
    </row>
    <row r="1085" spans="1:15" ht="15">
      <c r="A1085" s="11">
        <v>2040</v>
      </c>
      <c r="B1085" s="80">
        <f t="shared" ref="B1085:O1085" si="26">AVERAGE(B326:B337)</f>
        <v>5.1875999999999998</v>
      </c>
      <c r="C1085" s="80">
        <f t="shared" si="26"/>
        <v>5.1875999999999998</v>
      </c>
      <c r="D1085" s="80">
        <f t="shared" si="26"/>
        <v>5.1918250000000006</v>
      </c>
      <c r="E1085" s="80">
        <f t="shared" si="26"/>
        <v>6.3228333333333326</v>
      </c>
      <c r="F1085" s="80">
        <f t="shared" si="26"/>
        <v>6.3228333333333326</v>
      </c>
      <c r="G1085" s="80">
        <f t="shared" si="26"/>
        <v>6.3280249999999993</v>
      </c>
      <c r="H1085" s="80">
        <f t="shared" si="26"/>
        <v>11.263824999999999</v>
      </c>
      <c r="I1085" s="80">
        <f t="shared" si="26"/>
        <v>11.269016666666666</v>
      </c>
      <c r="J1085" s="80">
        <f t="shared" si="26"/>
        <v>11.263824999999999</v>
      </c>
      <c r="K1085" s="80">
        <f t="shared" si="26"/>
        <v>11.269016666666666</v>
      </c>
      <c r="L1085" s="80">
        <f t="shared" si="26"/>
        <v>6.3228333333333326</v>
      </c>
      <c r="M1085" s="80">
        <f t="shared" si="26"/>
        <v>6.3280249999999993</v>
      </c>
      <c r="N1085" s="80">
        <f t="shared" si="26"/>
        <v>6.3228333333333326</v>
      </c>
      <c r="O1085" s="80">
        <f t="shared" si="26"/>
        <v>6.3280249999999993</v>
      </c>
    </row>
    <row r="1086" spans="1:15" ht="15">
      <c r="A1086" s="11">
        <v>2041</v>
      </c>
      <c r="B1086" s="80">
        <f t="shared" ref="B1086:O1086" si="27">AVERAGE(B338:B349)</f>
        <v>5.324349999999999</v>
      </c>
      <c r="C1086" s="80">
        <f t="shared" si="27"/>
        <v>5.324349999999999</v>
      </c>
      <c r="D1086" s="80">
        <f t="shared" si="27"/>
        <v>5.3285499999999999</v>
      </c>
      <c r="E1086" s="80">
        <f t="shared" si="27"/>
        <v>6.4772500000000006</v>
      </c>
      <c r="F1086" s="80">
        <f t="shared" si="27"/>
        <v>6.4772500000000006</v>
      </c>
      <c r="G1086" s="80">
        <f t="shared" si="27"/>
        <v>6.4824416666666664</v>
      </c>
      <c r="H1086" s="80">
        <f t="shared" si="27"/>
        <v>11.548666666666668</v>
      </c>
      <c r="I1086" s="80">
        <f t="shared" si="27"/>
        <v>11.553850000000002</v>
      </c>
      <c r="J1086" s="80">
        <f t="shared" si="27"/>
        <v>11.548666666666668</v>
      </c>
      <c r="K1086" s="80">
        <f t="shared" si="27"/>
        <v>11.553850000000002</v>
      </c>
      <c r="L1086" s="80">
        <f t="shared" si="27"/>
        <v>6.4772500000000006</v>
      </c>
      <c r="M1086" s="80">
        <f t="shared" si="27"/>
        <v>6.4824416666666664</v>
      </c>
      <c r="N1086" s="80">
        <f t="shared" si="27"/>
        <v>6.4772500000000006</v>
      </c>
      <c r="O1086" s="80">
        <f t="shared" si="27"/>
        <v>6.4824416666666664</v>
      </c>
    </row>
    <row r="1087" spans="1:15" ht="15">
      <c r="A1087" s="11">
        <v>2042</v>
      </c>
      <c r="B1087" s="80">
        <f t="shared" ref="B1087:O1087" si="28">AVERAGE(B350:B361)</f>
        <v>5.4647166666666651</v>
      </c>
      <c r="C1087" s="80">
        <f t="shared" si="28"/>
        <v>5.4647166666666651</v>
      </c>
      <c r="D1087" s="80">
        <f t="shared" si="28"/>
        <v>5.4689416666666668</v>
      </c>
      <c r="E1087" s="80">
        <f t="shared" si="28"/>
        <v>6.6354583333333323</v>
      </c>
      <c r="F1087" s="80">
        <f t="shared" si="28"/>
        <v>6.6354583333333323</v>
      </c>
      <c r="G1087" s="80">
        <f t="shared" si="28"/>
        <v>6.6406333333333336</v>
      </c>
      <c r="H1087" s="80">
        <f t="shared" si="28"/>
        <v>11.840716666666664</v>
      </c>
      <c r="I1087" s="80">
        <f t="shared" si="28"/>
        <v>11.845899999999999</v>
      </c>
      <c r="J1087" s="80">
        <f t="shared" si="28"/>
        <v>11.840716666666664</v>
      </c>
      <c r="K1087" s="80">
        <f t="shared" si="28"/>
        <v>11.845899999999999</v>
      </c>
      <c r="L1087" s="80">
        <f t="shared" si="28"/>
        <v>6.6354583333333323</v>
      </c>
      <c r="M1087" s="80">
        <f t="shared" si="28"/>
        <v>6.6406333333333336</v>
      </c>
      <c r="N1087" s="80">
        <f t="shared" si="28"/>
        <v>6.6354583333333323</v>
      </c>
      <c r="O1087" s="80">
        <f t="shared" si="28"/>
        <v>6.6406333333333336</v>
      </c>
    </row>
    <row r="1088" spans="1:15" ht="15">
      <c r="A1088" s="11">
        <v>2043</v>
      </c>
      <c r="B1088" s="80">
        <f t="shared" ref="B1088:O1088" si="29">AVERAGE(B362:B373)</f>
        <v>5.6088500000000003</v>
      </c>
      <c r="C1088" s="80">
        <f t="shared" si="29"/>
        <v>5.6088500000000003</v>
      </c>
      <c r="D1088" s="80">
        <f t="shared" si="29"/>
        <v>5.6130500000000003</v>
      </c>
      <c r="E1088" s="80">
        <f t="shared" si="29"/>
        <v>6.7975583333333347</v>
      </c>
      <c r="F1088" s="80">
        <f t="shared" si="29"/>
        <v>6.7975583333333347</v>
      </c>
      <c r="G1088" s="80">
        <f t="shared" si="29"/>
        <v>6.8027333333333333</v>
      </c>
      <c r="H1088" s="80">
        <f t="shared" si="29"/>
        <v>12.140158333333332</v>
      </c>
      <c r="I1088" s="80">
        <f t="shared" si="29"/>
        <v>12.145325</v>
      </c>
      <c r="J1088" s="80">
        <f t="shared" si="29"/>
        <v>12.140158333333332</v>
      </c>
      <c r="K1088" s="80">
        <f t="shared" si="29"/>
        <v>12.145325</v>
      </c>
      <c r="L1088" s="80">
        <f t="shared" si="29"/>
        <v>6.7975583333333347</v>
      </c>
      <c r="M1088" s="80">
        <f t="shared" si="29"/>
        <v>6.8027333333333333</v>
      </c>
      <c r="N1088" s="80">
        <f t="shared" si="29"/>
        <v>6.7975583333333347</v>
      </c>
      <c r="O1088" s="80">
        <f t="shared" si="29"/>
        <v>6.8027333333333333</v>
      </c>
    </row>
    <row r="1089" spans="1:15" ht="15">
      <c r="A1089" s="11">
        <v>2044</v>
      </c>
      <c r="B1089" s="80">
        <f t="shared" ref="B1089:O1089" si="30">AVERAGE(B374:B385)</f>
        <v>5.7567750000000011</v>
      </c>
      <c r="C1089" s="80">
        <f t="shared" si="30"/>
        <v>5.7567750000000011</v>
      </c>
      <c r="D1089" s="80">
        <f t="shared" si="30"/>
        <v>5.7609916666666665</v>
      </c>
      <c r="E1089" s="80">
        <f t="shared" si="30"/>
        <v>6.9636083333333332</v>
      </c>
      <c r="F1089" s="80">
        <f t="shared" si="30"/>
        <v>6.9636083333333332</v>
      </c>
      <c r="G1089" s="80">
        <f t="shared" si="30"/>
        <v>6.9687833333333336</v>
      </c>
      <c r="H1089" s="80">
        <f t="shared" si="30"/>
        <v>12.447166666666668</v>
      </c>
      <c r="I1089" s="80">
        <f t="shared" si="30"/>
        <v>12.452341666666669</v>
      </c>
      <c r="J1089" s="80">
        <f t="shared" si="30"/>
        <v>12.447166666666668</v>
      </c>
      <c r="K1089" s="80">
        <f t="shared" si="30"/>
        <v>12.452341666666669</v>
      </c>
      <c r="L1089" s="80">
        <f t="shared" si="30"/>
        <v>6.9636083333333332</v>
      </c>
      <c r="M1089" s="80">
        <f t="shared" si="30"/>
        <v>6.9687833333333336</v>
      </c>
      <c r="N1089" s="80">
        <f t="shared" si="30"/>
        <v>6.9636083333333332</v>
      </c>
      <c r="O1089" s="80">
        <f t="shared" si="30"/>
        <v>6.9687833333333336</v>
      </c>
    </row>
    <row r="1090" spans="1:15" ht="15">
      <c r="A1090" s="11">
        <v>2045</v>
      </c>
      <c r="B1090" s="80">
        <f t="shared" ref="B1090:O1090" si="31">AVERAGE(B386:B397)</f>
        <v>5.9086583333333325</v>
      </c>
      <c r="C1090" s="80">
        <f t="shared" si="31"/>
        <v>5.9086583333333325</v>
      </c>
      <c r="D1090" s="80">
        <f t="shared" si="31"/>
        <v>5.9128750000000005</v>
      </c>
      <c r="E1090" s="80">
        <f t="shared" si="31"/>
        <v>7.13375</v>
      </c>
      <c r="F1090" s="80">
        <f t="shared" si="31"/>
        <v>7.13375</v>
      </c>
      <c r="G1090" s="80">
        <f t="shared" si="31"/>
        <v>7.1389416666666676</v>
      </c>
      <c r="H1090" s="80">
        <f t="shared" si="31"/>
        <v>12.761933333333333</v>
      </c>
      <c r="I1090" s="80">
        <f t="shared" si="31"/>
        <v>12.767100000000001</v>
      </c>
      <c r="J1090" s="80">
        <f t="shared" si="31"/>
        <v>12.761933333333333</v>
      </c>
      <c r="K1090" s="80">
        <f t="shared" si="31"/>
        <v>12.767100000000001</v>
      </c>
      <c r="L1090" s="80">
        <f t="shared" si="31"/>
        <v>7.13375</v>
      </c>
      <c r="M1090" s="80">
        <f t="shared" si="31"/>
        <v>7.1389416666666676</v>
      </c>
      <c r="N1090" s="80">
        <f t="shared" si="31"/>
        <v>7.13375</v>
      </c>
      <c r="O1090" s="80">
        <f t="shared" si="31"/>
        <v>7.1389416666666676</v>
      </c>
    </row>
    <row r="1091" spans="1:15" ht="15">
      <c r="A1091" s="11">
        <v>2046</v>
      </c>
      <c r="B1091" s="80">
        <f t="shared" ref="B1091:O1091" si="32">AVERAGE(B398:B409)</f>
        <v>6.0645833333333341</v>
      </c>
      <c r="C1091" s="80">
        <f t="shared" si="32"/>
        <v>6.0645833333333341</v>
      </c>
      <c r="D1091" s="80">
        <f t="shared" si="32"/>
        <v>6.0688166666666667</v>
      </c>
      <c r="E1091" s="80">
        <f t="shared" si="32"/>
        <v>7.308083333333335</v>
      </c>
      <c r="F1091" s="80">
        <f t="shared" si="32"/>
        <v>7.308083333333335</v>
      </c>
      <c r="G1091" s="80">
        <f t="shared" si="32"/>
        <v>7.3132416666666655</v>
      </c>
      <c r="H1091" s="80">
        <f t="shared" si="32"/>
        <v>13.084658333333332</v>
      </c>
      <c r="I1091" s="80">
        <f t="shared" si="32"/>
        <v>13.089841666666667</v>
      </c>
      <c r="J1091" s="80">
        <f t="shared" si="32"/>
        <v>13.084658333333332</v>
      </c>
      <c r="K1091" s="80">
        <f t="shared" si="32"/>
        <v>13.089841666666667</v>
      </c>
      <c r="L1091" s="80">
        <f t="shared" si="32"/>
        <v>7.308083333333335</v>
      </c>
      <c r="M1091" s="80">
        <f t="shared" si="32"/>
        <v>7.3132416666666655</v>
      </c>
      <c r="N1091" s="80">
        <f t="shared" si="32"/>
        <v>7.308083333333335</v>
      </c>
      <c r="O1091" s="80">
        <f t="shared" si="32"/>
        <v>7.3132416666666655</v>
      </c>
    </row>
    <row r="1092" spans="1:15" ht="15">
      <c r="A1092" s="11">
        <v>2047</v>
      </c>
      <c r="B1092" s="80">
        <f t="shared" ref="B1092:O1092" si="33">AVERAGE(B410:B421)</f>
        <v>6.2246583333333332</v>
      </c>
      <c r="C1092" s="80">
        <f t="shared" si="33"/>
        <v>6.2246583333333332</v>
      </c>
      <c r="D1092" s="80">
        <f t="shared" si="33"/>
        <v>6.2288916666666667</v>
      </c>
      <c r="E1092" s="80">
        <f t="shared" si="33"/>
        <v>7.4866750000000009</v>
      </c>
      <c r="F1092" s="80">
        <f t="shared" si="33"/>
        <v>7.4866750000000009</v>
      </c>
      <c r="G1092" s="80">
        <f t="shared" si="33"/>
        <v>7.4918250000000013</v>
      </c>
      <c r="H1092" s="80">
        <f t="shared" si="33"/>
        <v>13.415558333333335</v>
      </c>
      <c r="I1092" s="80">
        <f t="shared" si="33"/>
        <v>13.420733333333336</v>
      </c>
      <c r="J1092" s="80">
        <f t="shared" si="33"/>
        <v>13.415558333333335</v>
      </c>
      <c r="K1092" s="80">
        <f t="shared" si="33"/>
        <v>13.420733333333336</v>
      </c>
      <c r="L1092" s="80">
        <f t="shared" si="33"/>
        <v>7.4866750000000009</v>
      </c>
      <c r="M1092" s="80">
        <f t="shared" si="33"/>
        <v>7.4918250000000013</v>
      </c>
      <c r="N1092" s="80">
        <f t="shared" si="33"/>
        <v>7.4866750000000009</v>
      </c>
      <c r="O1092" s="80">
        <f t="shared" si="33"/>
        <v>7.4918250000000013</v>
      </c>
    </row>
    <row r="1093" spans="1:15" ht="15">
      <c r="A1093" s="11">
        <v>2048</v>
      </c>
      <c r="B1093" s="80">
        <f t="shared" ref="B1093:O1093" si="34">AVERAGE(B422:B433)</f>
        <v>6.3890083333333338</v>
      </c>
      <c r="C1093" s="80">
        <f t="shared" si="34"/>
        <v>6.3890083333333338</v>
      </c>
      <c r="D1093" s="80">
        <f t="shared" si="34"/>
        <v>6.3932333333333338</v>
      </c>
      <c r="E1093" s="80">
        <f t="shared" si="34"/>
        <v>7.6696083333333327</v>
      </c>
      <c r="F1093" s="80">
        <f t="shared" si="34"/>
        <v>7.6696083333333327</v>
      </c>
      <c r="G1093" s="80">
        <f t="shared" si="34"/>
        <v>7.6748166666666657</v>
      </c>
      <c r="H1093" s="80">
        <f t="shared" si="34"/>
        <v>13.754816666666668</v>
      </c>
      <c r="I1093" s="80">
        <f t="shared" si="34"/>
        <v>13.759991666666666</v>
      </c>
      <c r="J1093" s="80">
        <f t="shared" si="34"/>
        <v>13.754816666666668</v>
      </c>
      <c r="K1093" s="80">
        <f t="shared" si="34"/>
        <v>13.759991666666666</v>
      </c>
      <c r="L1093" s="80">
        <f t="shared" si="34"/>
        <v>7.6696083333333327</v>
      </c>
      <c r="M1093" s="80">
        <f t="shared" si="34"/>
        <v>7.6748166666666657</v>
      </c>
      <c r="N1093" s="80">
        <f t="shared" si="34"/>
        <v>7.6696083333333327</v>
      </c>
      <c r="O1093" s="80">
        <f t="shared" si="34"/>
        <v>7.6748166666666657</v>
      </c>
    </row>
    <row r="1094" spans="1:15" ht="15">
      <c r="A1094" s="11">
        <v>2049</v>
      </c>
      <c r="B1094" s="80">
        <f t="shared" ref="B1094:O1094" si="35">AVERAGE(B434:B445)</f>
        <v>6.5577333333333323</v>
      </c>
      <c r="C1094" s="80">
        <f t="shared" si="35"/>
        <v>6.5577333333333323</v>
      </c>
      <c r="D1094" s="80">
        <f t="shared" si="35"/>
        <v>6.5619416666666686</v>
      </c>
      <c r="E1094" s="80">
        <f t="shared" si="35"/>
        <v>7.8570916666666655</v>
      </c>
      <c r="F1094" s="80">
        <f t="shared" si="35"/>
        <v>7.8570916666666655</v>
      </c>
      <c r="G1094" s="80">
        <f t="shared" si="35"/>
        <v>7.8622750000000003</v>
      </c>
      <c r="H1094" s="80">
        <f t="shared" si="35"/>
        <v>14.102649999999999</v>
      </c>
      <c r="I1094" s="80">
        <f t="shared" si="35"/>
        <v>14.107825</v>
      </c>
      <c r="J1094" s="80">
        <f t="shared" si="35"/>
        <v>14.102649999999999</v>
      </c>
      <c r="K1094" s="80">
        <f t="shared" si="35"/>
        <v>14.107825</v>
      </c>
      <c r="L1094" s="80">
        <f t="shared" si="35"/>
        <v>7.8570916666666655</v>
      </c>
      <c r="M1094" s="80">
        <f t="shared" si="35"/>
        <v>7.8622750000000003</v>
      </c>
      <c r="N1094" s="80">
        <f t="shared" si="35"/>
        <v>7.8570916666666655</v>
      </c>
      <c r="O1094" s="80">
        <f t="shared" si="35"/>
        <v>7.8622750000000003</v>
      </c>
    </row>
    <row r="1095" spans="1:15" ht="15">
      <c r="A1095" s="11">
        <v>2050</v>
      </c>
      <c r="B1095" s="80">
        <f t="shared" ref="B1095:O1095" si="36">AVERAGE(B446:B457)</f>
        <v>6.7309499999999991</v>
      </c>
      <c r="C1095" s="80">
        <f t="shared" si="36"/>
        <v>6.7309499999999991</v>
      </c>
      <c r="D1095" s="80">
        <f t="shared" si="36"/>
        <v>6.7351750000000008</v>
      </c>
      <c r="E1095" s="80">
        <f t="shared" si="36"/>
        <v>8.0491666666666681</v>
      </c>
      <c r="F1095" s="80">
        <f t="shared" si="36"/>
        <v>8.0491666666666681</v>
      </c>
      <c r="G1095" s="80">
        <f t="shared" si="36"/>
        <v>8.0543500000000012</v>
      </c>
      <c r="H1095" s="80">
        <f t="shared" si="36"/>
        <v>14.459291666666667</v>
      </c>
      <c r="I1095" s="80">
        <f t="shared" si="36"/>
        <v>14.464458333333331</v>
      </c>
      <c r="J1095" s="80">
        <f t="shared" si="36"/>
        <v>14.459291666666667</v>
      </c>
      <c r="K1095" s="80">
        <f t="shared" si="36"/>
        <v>14.464458333333331</v>
      </c>
      <c r="L1095" s="80">
        <f t="shared" si="36"/>
        <v>8.0491666666666681</v>
      </c>
      <c r="M1095" s="80">
        <f t="shared" si="36"/>
        <v>8.0543500000000012</v>
      </c>
      <c r="N1095" s="80">
        <f t="shared" si="36"/>
        <v>8.0491666666666681</v>
      </c>
      <c r="O1095" s="80">
        <f t="shared" si="36"/>
        <v>8.0543500000000012</v>
      </c>
    </row>
    <row r="1096" spans="1:15" ht="15">
      <c r="A1096" s="11">
        <v>2051</v>
      </c>
      <c r="B1096" s="80">
        <f t="shared" ref="B1096:O1096" si="37">AVERAGE(B458:B469)</f>
        <v>6.9087916666666667</v>
      </c>
      <c r="C1096" s="80">
        <f t="shared" si="37"/>
        <v>6.9087916666666667</v>
      </c>
      <c r="D1096" s="80">
        <f t="shared" si="37"/>
        <v>6.9130249999999984</v>
      </c>
      <c r="E1096" s="80">
        <f t="shared" si="37"/>
        <v>8.2459583333333324</v>
      </c>
      <c r="F1096" s="80">
        <f t="shared" si="37"/>
        <v>8.2459583333333324</v>
      </c>
      <c r="G1096" s="80">
        <f t="shared" si="37"/>
        <v>8.2511166666666664</v>
      </c>
      <c r="H1096" s="80">
        <f t="shared" si="37"/>
        <v>14.824925</v>
      </c>
      <c r="I1096" s="80">
        <f t="shared" si="37"/>
        <v>14.830116666666667</v>
      </c>
      <c r="J1096" s="80">
        <f t="shared" si="37"/>
        <v>14.824925</v>
      </c>
      <c r="K1096" s="80">
        <f t="shared" si="37"/>
        <v>14.830116666666667</v>
      </c>
      <c r="L1096" s="80">
        <f t="shared" si="37"/>
        <v>8.2459583333333324</v>
      </c>
      <c r="M1096" s="80">
        <f t="shared" si="37"/>
        <v>8.2511166666666664</v>
      </c>
      <c r="N1096" s="80">
        <f t="shared" si="37"/>
        <v>8.2459583333333324</v>
      </c>
      <c r="O1096" s="80">
        <f t="shared" si="37"/>
        <v>8.2511166666666664</v>
      </c>
    </row>
    <row r="1097" spans="1:15" ht="15">
      <c r="A1097" s="11">
        <v>2052</v>
      </c>
      <c r="B1097" s="80">
        <f t="shared" ref="B1097:O1097" si="38">AVERAGE(B470:B481)</f>
        <v>7.0913833333333329</v>
      </c>
      <c r="C1097" s="80">
        <f t="shared" si="38"/>
        <v>7.0913833333333329</v>
      </c>
      <c r="D1097" s="80">
        <f t="shared" si="38"/>
        <v>7.0955750000000002</v>
      </c>
      <c r="E1097" s="80">
        <f t="shared" si="38"/>
        <v>8.4475583333333333</v>
      </c>
      <c r="F1097" s="80">
        <f t="shared" si="38"/>
        <v>8.4475583333333333</v>
      </c>
      <c r="G1097" s="80">
        <f t="shared" si="38"/>
        <v>8.4527416666666664</v>
      </c>
      <c r="H1097" s="80">
        <f t="shared" si="38"/>
        <v>15.19985</v>
      </c>
      <c r="I1097" s="80">
        <f t="shared" si="38"/>
        <v>15.205008333333334</v>
      </c>
      <c r="J1097" s="80">
        <f t="shared" si="38"/>
        <v>15.19985</v>
      </c>
      <c r="K1097" s="80">
        <f t="shared" si="38"/>
        <v>15.205008333333334</v>
      </c>
      <c r="L1097" s="80">
        <f t="shared" si="38"/>
        <v>8.4475583333333333</v>
      </c>
      <c r="M1097" s="80">
        <f t="shared" si="38"/>
        <v>8.4527416666666664</v>
      </c>
      <c r="N1097" s="80">
        <f t="shared" si="38"/>
        <v>8.4475583333333333</v>
      </c>
      <c r="O1097" s="80">
        <f t="shared" si="38"/>
        <v>8.4527416666666664</v>
      </c>
    </row>
    <row r="1098" spans="1:15" ht="15">
      <c r="A1098" s="11">
        <v>2053</v>
      </c>
      <c r="B1098" s="80">
        <f t="shared" ref="B1098:O1098" si="39">AVERAGE(B482:B493)</f>
        <v>7.2788166666666667</v>
      </c>
      <c r="C1098" s="80">
        <f t="shared" si="39"/>
        <v>7.2788166666666667</v>
      </c>
      <c r="D1098" s="80">
        <f t="shared" si="39"/>
        <v>7.2830333333333348</v>
      </c>
      <c r="E1098" s="80">
        <f t="shared" si="39"/>
        <v>8.6541250000000005</v>
      </c>
      <c r="F1098" s="80">
        <f t="shared" si="39"/>
        <v>8.6541250000000005</v>
      </c>
      <c r="G1098" s="80">
        <f t="shared" si="39"/>
        <v>8.6593</v>
      </c>
      <c r="H1098" s="80">
        <f t="shared" si="39"/>
        <v>15.584200000000001</v>
      </c>
      <c r="I1098" s="80">
        <f t="shared" si="39"/>
        <v>15.589399999999999</v>
      </c>
      <c r="J1098" s="80">
        <f t="shared" si="39"/>
        <v>15.584200000000001</v>
      </c>
      <c r="K1098" s="80">
        <f t="shared" si="39"/>
        <v>15.589399999999999</v>
      </c>
      <c r="L1098" s="80">
        <f t="shared" si="39"/>
        <v>8.6541250000000005</v>
      </c>
      <c r="M1098" s="80">
        <f t="shared" si="39"/>
        <v>8.6593</v>
      </c>
      <c r="N1098" s="80">
        <f t="shared" si="39"/>
        <v>8.6541250000000005</v>
      </c>
      <c r="O1098" s="80">
        <f t="shared" si="39"/>
        <v>8.6593</v>
      </c>
    </row>
    <row r="1099" spans="1:15" ht="15">
      <c r="A1099" s="11">
        <v>2054</v>
      </c>
      <c r="B1099" s="80">
        <f t="shared" ref="B1099:O1099" si="40">AVERAGE(B494:B505)</f>
        <v>7.4712500000000004</v>
      </c>
      <c r="C1099" s="80">
        <f t="shared" si="40"/>
        <v>7.4712500000000004</v>
      </c>
      <c r="D1099" s="80">
        <f t="shared" si="40"/>
        <v>7.4754750000000003</v>
      </c>
      <c r="E1099" s="80">
        <f t="shared" si="40"/>
        <v>8.8657833333333329</v>
      </c>
      <c r="F1099" s="80">
        <f t="shared" si="40"/>
        <v>8.8657833333333329</v>
      </c>
      <c r="G1099" s="80">
        <f t="shared" si="40"/>
        <v>8.8709500000000006</v>
      </c>
      <c r="H1099" s="80">
        <f t="shared" si="40"/>
        <v>15.978316666666665</v>
      </c>
      <c r="I1099" s="80">
        <f t="shared" si="40"/>
        <v>15.983499999999999</v>
      </c>
      <c r="J1099" s="80">
        <f t="shared" si="40"/>
        <v>15.978316666666665</v>
      </c>
      <c r="K1099" s="80">
        <f t="shared" si="40"/>
        <v>15.983499999999999</v>
      </c>
      <c r="L1099" s="80">
        <f t="shared" si="40"/>
        <v>8.8657833333333329</v>
      </c>
      <c r="M1099" s="80">
        <f t="shared" si="40"/>
        <v>8.8709500000000006</v>
      </c>
      <c r="N1099" s="80">
        <f t="shared" si="40"/>
        <v>8.8657833333333329</v>
      </c>
      <c r="O1099" s="80">
        <f t="shared" si="40"/>
        <v>8.8709500000000006</v>
      </c>
    </row>
    <row r="1100" spans="1:15" ht="15">
      <c r="A1100" s="11">
        <v>2055</v>
      </c>
      <c r="B1100" s="80">
        <f t="shared" ref="B1100:O1100" si="41">AVERAGE(B14:B517)</f>
        <v>4.7405430012951619</v>
      </c>
      <c r="C1100" s="80">
        <f t="shared" si="41"/>
        <v>4.7409142721861475</v>
      </c>
      <c r="D1100" s="80">
        <f t="shared" si="41"/>
        <v>4.7452008059163076</v>
      </c>
      <c r="E1100" s="80">
        <f t="shared" si="41"/>
        <v>5.7066235807350694</v>
      </c>
      <c r="F1100" s="80">
        <f t="shared" si="41"/>
        <v>5.7118647397094424</v>
      </c>
      <c r="G1100" s="80">
        <f t="shared" si="41"/>
        <v>5.7172011385189689</v>
      </c>
      <c r="H1100" s="80">
        <f t="shared" si="41"/>
        <v>10.274006012619598</v>
      </c>
      <c r="I1100" s="80">
        <f t="shared" si="41"/>
        <v>10.279342014603724</v>
      </c>
      <c r="J1100" s="80">
        <f t="shared" si="41"/>
        <v>10.274006012619598</v>
      </c>
      <c r="K1100" s="80">
        <f t="shared" si="41"/>
        <v>10.279342014603724</v>
      </c>
      <c r="L1100" s="80">
        <f t="shared" si="41"/>
        <v>5.7066235807350694</v>
      </c>
      <c r="M1100" s="80">
        <f t="shared" si="41"/>
        <v>5.7119597811318972</v>
      </c>
      <c r="N1100" s="80">
        <f t="shared" si="41"/>
        <v>5.7066235807350694</v>
      </c>
      <c r="O1100" s="80">
        <f t="shared" si="41"/>
        <v>5.7119597811318972</v>
      </c>
    </row>
    <row r="1101" spans="1:15" ht="15">
      <c r="A1101" s="11">
        <v>2056</v>
      </c>
      <c r="B1101" s="80">
        <f t="shared" ref="B1101:O1101" si="42">AVERAGE(B518:B529)</f>
        <v>7.8716833333333343</v>
      </c>
      <c r="C1101" s="80">
        <f t="shared" si="42"/>
        <v>7.8716833333333343</v>
      </c>
      <c r="D1101" s="80">
        <f t="shared" si="42"/>
        <v>7.8758999999999988</v>
      </c>
      <c r="E1101" s="80">
        <f t="shared" si="42"/>
        <v>9.3047749999999994</v>
      </c>
      <c r="F1101" s="80">
        <f t="shared" si="42"/>
        <v>9.3047749999999994</v>
      </c>
      <c r="G1101" s="80">
        <f t="shared" si="42"/>
        <v>9.3099583333333324</v>
      </c>
      <c r="H1101" s="80">
        <f t="shared" si="42"/>
        <v>16.796683333333334</v>
      </c>
      <c r="I1101" s="80">
        <f t="shared" si="42"/>
        <v>16.801841666666665</v>
      </c>
      <c r="J1101" s="80">
        <f t="shared" si="42"/>
        <v>16.796683333333334</v>
      </c>
      <c r="K1101" s="80">
        <f t="shared" si="42"/>
        <v>16.801841666666665</v>
      </c>
      <c r="L1101" s="80">
        <f t="shared" si="42"/>
        <v>9.3047749999999994</v>
      </c>
      <c r="M1101" s="80">
        <f t="shared" si="42"/>
        <v>9.3099583333333324</v>
      </c>
      <c r="N1101" s="80">
        <f t="shared" si="42"/>
        <v>9.3047749999999994</v>
      </c>
      <c r="O1101" s="80">
        <f t="shared" si="42"/>
        <v>9.3099583333333324</v>
      </c>
    </row>
    <row r="1102" spans="1:15" ht="15">
      <c r="A1102" s="11">
        <v>2057</v>
      </c>
      <c r="B1102" s="80">
        <f t="shared" ref="B1102:O1102" si="43">AVERAGE(B530:B541)</f>
        <v>8.079958333333332</v>
      </c>
      <c r="C1102" s="80">
        <f t="shared" si="43"/>
        <v>8.079958333333332</v>
      </c>
      <c r="D1102" s="80">
        <f t="shared" si="43"/>
        <v>8.0841916666666673</v>
      </c>
      <c r="E1102" s="80">
        <f t="shared" si="43"/>
        <v>9.5323916666666673</v>
      </c>
      <c r="F1102" s="80">
        <f t="shared" si="43"/>
        <v>9.5323916666666673</v>
      </c>
      <c r="G1102" s="80">
        <f t="shared" si="43"/>
        <v>9.537583333333334</v>
      </c>
      <c r="H1102" s="80">
        <f t="shared" si="43"/>
        <v>17.221425</v>
      </c>
      <c r="I1102" s="80">
        <f t="shared" si="43"/>
        <v>17.226608333333335</v>
      </c>
      <c r="J1102" s="80">
        <f t="shared" si="43"/>
        <v>17.221425</v>
      </c>
      <c r="K1102" s="80">
        <f t="shared" si="43"/>
        <v>17.226608333333335</v>
      </c>
      <c r="L1102" s="80">
        <f t="shared" si="43"/>
        <v>9.5323916666666673</v>
      </c>
      <c r="M1102" s="80">
        <f t="shared" si="43"/>
        <v>9.537583333333334</v>
      </c>
      <c r="N1102" s="80">
        <f t="shared" si="43"/>
        <v>9.5323916666666673</v>
      </c>
      <c r="O1102" s="80">
        <f t="shared" si="43"/>
        <v>9.537583333333334</v>
      </c>
    </row>
    <row r="1103" spans="1:15" ht="15">
      <c r="A1103" s="11">
        <v>2058</v>
      </c>
      <c r="B1103" s="80">
        <f t="shared" ref="B1103:O1103" si="44">AVERAGE(B542:B553)</f>
        <v>8.2937916666666691</v>
      </c>
      <c r="C1103" s="80">
        <f t="shared" si="44"/>
        <v>8.2937916666666691</v>
      </c>
      <c r="D1103" s="80">
        <f t="shared" si="44"/>
        <v>8.298</v>
      </c>
      <c r="E1103" s="80">
        <f t="shared" si="44"/>
        <v>9.7656249999999982</v>
      </c>
      <c r="F1103" s="80">
        <f t="shared" si="44"/>
        <v>9.7656249999999982</v>
      </c>
      <c r="G1103" s="80">
        <f t="shared" si="44"/>
        <v>9.7707999999999995</v>
      </c>
      <c r="H1103" s="80">
        <f t="shared" si="44"/>
        <v>17.656933333333335</v>
      </c>
      <c r="I1103" s="80">
        <f t="shared" si="44"/>
        <v>17.662116666666666</v>
      </c>
      <c r="J1103" s="80">
        <f t="shared" si="44"/>
        <v>17.656933333333335</v>
      </c>
      <c r="K1103" s="80">
        <f t="shared" si="44"/>
        <v>17.662116666666666</v>
      </c>
      <c r="L1103" s="80">
        <f t="shared" si="44"/>
        <v>9.7656249999999982</v>
      </c>
      <c r="M1103" s="80">
        <f t="shared" si="44"/>
        <v>9.7707999999999995</v>
      </c>
      <c r="N1103" s="80">
        <f t="shared" si="44"/>
        <v>9.7656249999999982</v>
      </c>
      <c r="O1103" s="80">
        <f t="shared" si="44"/>
        <v>9.7707999999999995</v>
      </c>
    </row>
    <row r="1104" spans="1:15" ht="15">
      <c r="A1104" s="11">
        <v>2059</v>
      </c>
      <c r="B1104" s="80">
        <f t="shared" ref="B1104:O1104" si="45">AVERAGE(B554:B565)</f>
        <v>8.513325</v>
      </c>
      <c r="C1104" s="80">
        <f t="shared" si="45"/>
        <v>8.513325</v>
      </c>
      <c r="D1104" s="80">
        <f t="shared" si="45"/>
        <v>8.5175500000000017</v>
      </c>
      <c r="E1104" s="80">
        <f t="shared" si="45"/>
        <v>10.004574999999999</v>
      </c>
      <c r="F1104" s="80">
        <f t="shared" si="45"/>
        <v>10.004574999999999</v>
      </c>
      <c r="G1104" s="80">
        <f t="shared" si="45"/>
        <v>10.009766666666666</v>
      </c>
      <c r="H1104" s="80">
        <f t="shared" si="45"/>
        <v>18.103449999999999</v>
      </c>
      <c r="I1104" s="80">
        <f t="shared" si="45"/>
        <v>18.108633333333334</v>
      </c>
      <c r="J1104" s="80">
        <f t="shared" si="45"/>
        <v>18.103449999999999</v>
      </c>
      <c r="K1104" s="80">
        <f t="shared" si="45"/>
        <v>18.108633333333334</v>
      </c>
      <c r="L1104" s="80">
        <f t="shared" si="45"/>
        <v>10.004574999999999</v>
      </c>
      <c r="M1104" s="80">
        <f t="shared" si="45"/>
        <v>10.009766666666666</v>
      </c>
      <c r="N1104" s="80">
        <f t="shared" si="45"/>
        <v>10.004574999999999</v>
      </c>
      <c r="O1104" s="80">
        <f t="shared" si="45"/>
        <v>10.009766666666666</v>
      </c>
    </row>
    <row r="1105" spans="1:15" ht="15">
      <c r="A1105" s="11">
        <v>2060</v>
      </c>
      <c r="B1105" s="80">
        <f t="shared" ref="B1105:O1105" si="46">AVERAGE(B566:B577)</f>
        <v>8.738741666666666</v>
      </c>
      <c r="C1105" s="80">
        <f t="shared" si="46"/>
        <v>8.738741666666666</v>
      </c>
      <c r="D1105" s="80">
        <f t="shared" si="46"/>
        <v>8.7429416666666686</v>
      </c>
      <c r="E1105" s="80">
        <f t="shared" si="46"/>
        <v>10.249391666666666</v>
      </c>
      <c r="F1105" s="80">
        <f t="shared" si="46"/>
        <v>10.249391666666666</v>
      </c>
      <c r="G1105" s="80">
        <f t="shared" si="46"/>
        <v>10.254574999999999</v>
      </c>
      <c r="H1105" s="80">
        <f t="shared" si="46"/>
        <v>18.561266666666665</v>
      </c>
      <c r="I1105" s="80">
        <f t="shared" si="46"/>
        <v>18.566416666666665</v>
      </c>
      <c r="J1105" s="80">
        <f t="shared" si="46"/>
        <v>18.561266666666665</v>
      </c>
      <c r="K1105" s="80">
        <f t="shared" si="46"/>
        <v>18.566416666666665</v>
      </c>
      <c r="L1105" s="80">
        <f t="shared" si="46"/>
        <v>10.249391666666666</v>
      </c>
      <c r="M1105" s="80">
        <f t="shared" si="46"/>
        <v>10.254574999999999</v>
      </c>
      <c r="N1105" s="80">
        <f t="shared" si="46"/>
        <v>10.249391666666666</v>
      </c>
      <c r="O1105" s="80">
        <f t="shared" si="46"/>
        <v>10.254574999999999</v>
      </c>
    </row>
    <row r="1106" spans="1:15" ht="15">
      <c r="A1106" s="11">
        <v>2061</v>
      </c>
      <c r="B1106" s="80">
        <f t="shared" ref="B1106:O1106" si="47">AVERAGE(B578:B589)</f>
        <v>8.9701666666666657</v>
      </c>
      <c r="C1106" s="80">
        <f t="shared" si="47"/>
        <v>8.9701666666666657</v>
      </c>
      <c r="D1106" s="80">
        <f t="shared" si="47"/>
        <v>8.9743666666666666</v>
      </c>
      <c r="E1106" s="80">
        <f t="shared" si="47"/>
        <v>10.500225000000002</v>
      </c>
      <c r="F1106" s="80">
        <f t="shared" si="47"/>
        <v>10.500225000000002</v>
      </c>
      <c r="G1106" s="80">
        <f t="shared" si="47"/>
        <v>10.505416666666665</v>
      </c>
      <c r="H1106" s="80">
        <f t="shared" si="47"/>
        <v>19.030649999999998</v>
      </c>
      <c r="I1106" s="80">
        <f t="shared" si="47"/>
        <v>19.035825000000003</v>
      </c>
      <c r="J1106" s="80">
        <f t="shared" si="47"/>
        <v>19.030649999999998</v>
      </c>
      <c r="K1106" s="80">
        <f t="shared" si="47"/>
        <v>19.035825000000003</v>
      </c>
      <c r="L1106" s="80">
        <f t="shared" si="47"/>
        <v>10.500225000000002</v>
      </c>
      <c r="M1106" s="80">
        <f t="shared" si="47"/>
        <v>10.505416666666665</v>
      </c>
      <c r="N1106" s="80">
        <f t="shared" si="47"/>
        <v>10.500225000000002</v>
      </c>
      <c r="O1106" s="80">
        <f t="shared" si="47"/>
        <v>10.505416666666665</v>
      </c>
    </row>
    <row r="1107" spans="1:15" ht="15">
      <c r="A1107" s="11">
        <v>2062</v>
      </c>
      <c r="B1107" s="80">
        <f t="shared" ref="B1107:O1116" ca="1" si="48">AVERAGE(OFFSET(B$590,($A1107-$A$1107)*12,0,12,1))</f>
        <v>9.2077833333333352</v>
      </c>
      <c r="C1107" s="80">
        <f t="shared" ca="1" si="48"/>
        <v>9.2077833333333352</v>
      </c>
      <c r="D1107" s="80">
        <f t="shared" ca="1" si="48"/>
        <v>9.2077833333333352</v>
      </c>
      <c r="E1107" s="80">
        <f t="shared" ca="1" si="48"/>
        <v>10.757233333333332</v>
      </c>
      <c r="F1107" s="80">
        <f t="shared" ca="1" si="48"/>
        <v>10.757233333333332</v>
      </c>
      <c r="G1107" s="80">
        <f t="shared" ca="1" si="48"/>
        <v>10.757233333333332</v>
      </c>
      <c r="H1107" s="80">
        <f t="shared" ca="1" si="48"/>
        <v>19.511891666666664</v>
      </c>
      <c r="I1107" s="80">
        <f t="shared" ca="1" si="48"/>
        <v>19.511891666666664</v>
      </c>
      <c r="J1107" s="80">
        <f t="shared" ca="1" si="48"/>
        <v>19.511891666666664</v>
      </c>
      <c r="K1107" s="80">
        <f t="shared" ca="1" si="48"/>
        <v>19.511891666666664</v>
      </c>
      <c r="L1107" s="80">
        <f t="shared" ca="1" si="48"/>
        <v>10.757233333333332</v>
      </c>
      <c r="M1107" s="80">
        <f t="shared" ca="1" si="48"/>
        <v>10.757233333333332</v>
      </c>
      <c r="N1107" s="80">
        <f t="shared" ca="1" si="48"/>
        <v>10.757233333333332</v>
      </c>
      <c r="O1107" s="80">
        <f t="shared" ca="1" si="48"/>
        <v>10.757233333333332</v>
      </c>
    </row>
    <row r="1108" spans="1:15" ht="15">
      <c r="A1108" s="11">
        <v>2063</v>
      </c>
      <c r="B1108" s="80">
        <f t="shared" ca="1" si="48"/>
        <v>9.4453666666666667</v>
      </c>
      <c r="C1108" s="80">
        <f t="shared" ca="1" si="48"/>
        <v>9.4453666666666667</v>
      </c>
      <c r="D1108" s="80">
        <f t="shared" ca="1" si="48"/>
        <v>9.4411833333333348</v>
      </c>
      <c r="E1108" s="80">
        <f t="shared" ca="1" si="48"/>
        <v>11.014258333333332</v>
      </c>
      <c r="F1108" s="80">
        <f t="shared" ca="1" si="48"/>
        <v>11.014258333333332</v>
      </c>
      <c r="G1108" s="80">
        <f t="shared" ca="1" si="48"/>
        <v>11.009083333333335</v>
      </c>
      <c r="H1108" s="80">
        <f t="shared" ca="1" si="48"/>
        <v>19.993166666666671</v>
      </c>
      <c r="I1108" s="80">
        <f t="shared" ca="1" si="48"/>
        <v>19.987958333333335</v>
      </c>
      <c r="J1108" s="80">
        <f t="shared" ca="1" si="48"/>
        <v>19.993166666666671</v>
      </c>
      <c r="K1108" s="80">
        <f t="shared" ca="1" si="48"/>
        <v>19.987958333333335</v>
      </c>
      <c r="L1108" s="80">
        <f t="shared" ca="1" si="48"/>
        <v>11.014258333333332</v>
      </c>
      <c r="M1108" s="80">
        <f t="shared" ca="1" si="48"/>
        <v>11.009083333333335</v>
      </c>
      <c r="N1108" s="80">
        <f t="shared" ca="1" si="48"/>
        <v>11.014258333333332</v>
      </c>
      <c r="O1108" s="80">
        <f t="shared" ca="1" si="48"/>
        <v>11.009083333333335</v>
      </c>
    </row>
    <row r="1109" spans="1:15" ht="15">
      <c r="A1109" s="11">
        <v>2064</v>
      </c>
      <c r="B1109" s="80">
        <f t="shared" ca="1" si="48"/>
        <v>9.6830083333333334</v>
      </c>
      <c r="C1109" s="80">
        <f t="shared" ca="1" si="48"/>
        <v>9.6830083333333334</v>
      </c>
      <c r="D1109" s="80">
        <f t="shared" ca="1" si="48"/>
        <v>9.674574999999999</v>
      </c>
      <c r="E1109" s="80">
        <f t="shared" ca="1" si="48"/>
        <v>11.271266666666667</v>
      </c>
      <c r="F1109" s="80">
        <f t="shared" ca="1" si="48"/>
        <v>11.271266666666667</v>
      </c>
      <c r="G1109" s="80">
        <f t="shared" ca="1" si="48"/>
        <v>11.260916666666667</v>
      </c>
      <c r="H1109" s="80">
        <f t="shared" ca="1" si="48"/>
        <v>20.474416666666666</v>
      </c>
      <c r="I1109" s="80">
        <f t="shared" ca="1" si="48"/>
        <v>20.464066666666668</v>
      </c>
      <c r="J1109" s="80">
        <f t="shared" ca="1" si="48"/>
        <v>20.474416666666666</v>
      </c>
      <c r="K1109" s="80">
        <f t="shared" ca="1" si="48"/>
        <v>20.464066666666668</v>
      </c>
      <c r="L1109" s="80">
        <f t="shared" ca="1" si="48"/>
        <v>11.271266666666667</v>
      </c>
      <c r="M1109" s="80">
        <f t="shared" ca="1" si="48"/>
        <v>11.260916666666667</v>
      </c>
      <c r="N1109" s="80">
        <f t="shared" ca="1" si="48"/>
        <v>11.271266666666667</v>
      </c>
      <c r="O1109" s="80">
        <f t="shared" ca="1" si="48"/>
        <v>11.260916666666667</v>
      </c>
    </row>
    <row r="1110" spans="1:15" ht="15">
      <c r="A1110" s="11">
        <v>2065</v>
      </c>
      <c r="B1110" s="80">
        <f t="shared" ca="1" si="48"/>
        <v>9.9206166666666658</v>
      </c>
      <c r="C1110" s="80">
        <f t="shared" ca="1" si="48"/>
        <v>9.9206166666666658</v>
      </c>
      <c r="D1110" s="80">
        <f t="shared" ca="1" si="48"/>
        <v>9.9079750000000004</v>
      </c>
      <c r="E1110" s="80">
        <f t="shared" ca="1" si="48"/>
        <v>11.528291666666666</v>
      </c>
      <c r="F1110" s="80">
        <f t="shared" ca="1" si="48"/>
        <v>11.528291666666666</v>
      </c>
      <c r="G1110" s="80">
        <f t="shared" ca="1" si="48"/>
        <v>11.512741666666665</v>
      </c>
      <c r="H1110" s="80">
        <f t="shared" ca="1" si="48"/>
        <v>20.955650000000002</v>
      </c>
      <c r="I1110" s="80">
        <f t="shared" ca="1" si="48"/>
        <v>20.940141666666666</v>
      </c>
      <c r="J1110" s="80">
        <f t="shared" ca="1" si="48"/>
        <v>20.955650000000002</v>
      </c>
      <c r="K1110" s="80">
        <f t="shared" ca="1" si="48"/>
        <v>20.940141666666666</v>
      </c>
      <c r="L1110" s="80">
        <f t="shared" ca="1" si="48"/>
        <v>11.528291666666666</v>
      </c>
      <c r="M1110" s="80">
        <f t="shared" ca="1" si="48"/>
        <v>11.512741666666665</v>
      </c>
      <c r="N1110" s="80">
        <f t="shared" ca="1" si="48"/>
        <v>11.528291666666666</v>
      </c>
      <c r="O1110" s="80">
        <f t="shared" ca="1" si="48"/>
        <v>11.512741666666665</v>
      </c>
    </row>
    <row r="1111" spans="1:15" ht="15">
      <c r="A1111" s="11">
        <v>2066</v>
      </c>
      <c r="B1111" s="80">
        <f t="shared" ca="1" si="48"/>
        <v>10.158233333333335</v>
      </c>
      <c r="C1111" s="80">
        <f t="shared" ca="1" si="48"/>
        <v>10.158233333333335</v>
      </c>
      <c r="D1111" s="80">
        <f t="shared" ca="1" si="48"/>
        <v>10.141375000000002</v>
      </c>
      <c r="E1111" s="80">
        <f t="shared" ca="1" si="48"/>
        <v>11.785283333333332</v>
      </c>
      <c r="F1111" s="80">
        <f t="shared" ca="1" si="48"/>
        <v>11.785283333333332</v>
      </c>
      <c r="G1111" s="80">
        <f t="shared" ca="1" si="48"/>
        <v>11.764583333333334</v>
      </c>
      <c r="H1111" s="80">
        <f t="shared" ca="1" si="48"/>
        <v>21.436941666666666</v>
      </c>
      <c r="I1111" s="80">
        <f t="shared" ca="1" si="48"/>
        <v>21.416200000000003</v>
      </c>
      <c r="J1111" s="80">
        <f t="shared" ca="1" si="48"/>
        <v>21.436941666666666</v>
      </c>
      <c r="K1111" s="80">
        <f t="shared" ca="1" si="48"/>
        <v>21.416200000000003</v>
      </c>
      <c r="L1111" s="80">
        <f t="shared" ca="1" si="48"/>
        <v>11.785283333333332</v>
      </c>
      <c r="M1111" s="80">
        <f t="shared" ca="1" si="48"/>
        <v>11.764583333333334</v>
      </c>
      <c r="N1111" s="80">
        <f t="shared" ca="1" si="48"/>
        <v>11.785283333333332</v>
      </c>
      <c r="O1111" s="80">
        <f t="shared" ca="1" si="48"/>
        <v>11.764583333333334</v>
      </c>
    </row>
    <row r="1112" spans="1:15" ht="15">
      <c r="A1112" s="11">
        <v>2067</v>
      </c>
      <c r="B1112" s="80">
        <f t="shared" ca="1" si="48"/>
        <v>10.395849999999998</v>
      </c>
      <c r="C1112" s="80">
        <f t="shared" ca="1" si="48"/>
        <v>10.395849999999998</v>
      </c>
      <c r="D1112" s="80">
        <f t="shared" ca="1" si="48"/>
        <v>10.374766666666668</v>
      </c>
      <c r="E1112" s="80">
        <f t="shared" ca="1" si="48"/>
        <v>12.042299999999999</v>
      </c>
      <c r="F1112" s="80">
        <f t="shared" ca="1" si="48"/>
        <v>12.042299999999999</v>
      </c>
      <c r="G1112" s="80">
        <f t="shared" ca="1" si="48"/>
        <v>12.016399999999999</v>
      </c>
      <c r="H1112" s="80">
        <f t="shared" ca="1" si="48"/>
        <v>21.918158333333334</v>
      </c>
      <c r="I1112" s="80">
        <f t="shared" ca="1" si="48"/>
        <v>21.892291666666665</v>
      </c>
      <c r="J1112" s="80">
        <f t="shared" ca="1" si="48"/>
        <v>21.918158333333334</v>
      </c>
      <c r="K1112" s="80">
        <f t="shared" ca="1" si="48"/>
        <v>21.892291666666665</v>
      </c>
      <c r="L1112" s="80">
        <f t="shared" ca="1" si="48"/>
        <v>12.042299999999999</v>
      </c>
      <c r="M1112" s="80">
        <f t="shared" ca="1" si="48"/>
        <v>12.016399999999999</v>
      </c>
      <c r="N1112" s="80">
        <f t="shared" ca="1" si="48"/>
        <v>12.042299999999999</v>
      </c>
      <c r="O1112" s="80">
        <f t="shared" ca="1" si="48"/>
        <v>12.016399999999999</v>
      </c>
    </row>
    <row r="1113" spans="1:15" ht="15">
      <c r="A1113" s="11">
        <v>2068</v>
      </c>
      <c r="B1113" s="80">
        <f t="shared" ca="1" si="48"/>
        <v>10.633449999999998</v>
      </c>
      <c r="C1113" s="80">
        <f t="shared" ca="1" si="48"/>
        <v>10.633449999999998</v>
      </c>
      <c r="D1113" s="80">
        <f t="shared" ca="1" si="48"/>
        <v>10.60815</v>
      </c>
      <c r="E1113" s="80">
        <f t="shared" ca="1" si="48"/>
        <v>12.299291666666669</v>
      </c>
      <c r="F1113" s="80">
        <f t="shared" ca="1" si="48"/>
        <v>12.299291666666669</v>
      </c>
      <c r="G1113" s="80">
        <f t="shared" ca="1" si="48"/>
        <v>12.268224999999999</v>
      </c>
      <c r="H1113" s="80">
        <f t="shared" ca="1" si="48"/>
        <v>22.399433333333334</v>
      </c>
      <c r="I1113" s="80">
        <f t="shared" ca="1" si="48"/>
        <v>22.36836666666667</v>
      </c>
      <c r="J1113" s="80">
        <f t="shared" ca="1" si="48"/>
        <v>22.399433333333334</v>
      </c>
      <c r="K1113" s="80">
        <f t="shared" ca="1" si="48"/>
        <v>22.36836666666667</v>
      </c>
      <c r="L1113" s="80">
        <f t="shared" ca="1" si="48"/>
        <v>12.299291666666669</v>
      </c>
      <c r="M1113" s="80">
        <f t="shared" ca="1" si="48"/>
        <v>12.268224999999999</v>
      </c>
      <c r="N1113" s="80">
        <f t="shared" ca="1" si="48"/>
        <v>12.299291666666669</v>
      </c>
      <c r="O1113" s="80">
        <f t="shared" ca="1" si="48"/>
        <v>12.268224999999999</v>
      </c>
    </row>
    <row r="1114" spans="1:15" ht="15">
      <c r="A1114" s="11">
        <v>2069</v>
      </c>
      <c r="B1114" s="80">
        <f t="shared" ca="1" si="48"/>
        <v>10.871066666666664</v>
      </c>
      <c r="C1114" s="80">
        <f t="shared" ca="1" si="48"/>
        <v>10.871066666666664</v>
      </c>
      <c r="D1114" s="80">
        <f t="shared" ca="1" si="48"/>
        <v>10.841558333333333</v>
      </c>
      <c r="E1114" s="80">
        <f t="shared" ca="1" si="48"/>
        <v>12.556333333333333</v>
      </c>
      <c r="F1114" s="80">
        <f t="shared" ca="1" si="48"/>
        <v>12.556333333333333</v>
      </c>
      <c r="G1114" s="80">
        <f t="shared" ca="1" si="48"/>
        <v>12.520083333333332</v>
      </c>
      <c r="H1114" s="80">
        <f t="shared" ca="1" si="48"/>
        <v>22.880691666666667</v>
      </c>
      <c r="I1114" s="80">
        <f t="shared" ca="1" si="48"/>
        <v>22.844441666666665</v>
      </c>
      <c r="J1114" s="80">
        <f t="shared" ca="1" si="48"/>
        <v>22.880691666666667</v>
      </c>
      <c r="K1114" s="80">
        <f t="shared" ca="1" si="48"/>
        <v>22.844441666666665</v>
      </c>
      <c r="L1114" s="80">
        <f t="shared" ca="1" si="48"/>
        <v>12.556333333333333</v>
      </c>
      <c r="M1114" s="80">
        <f t="shared" ca="1" si="48"/>
        <v>12.520083333333332</v>
      </c>
      <c r="N1114" s="80">
        <f t="shared" ca="1" si="48"/>
        <v>12.556333333333333</v>
      </c>
      <c r="O1114" s="80">
        <f t="shared" ca="1" si="48"/>
        <v>12.520083333333332</v>
      </c>
    </row>
    <row r="1115" spans="1:15" ht="15">
      <c r="A1115" s="11">
        <v>2070</v>
      </c>
      <c r="B1115" s="80">
        <f t="shared" ca="1" si="48"/>
        <v>11.108683333333333</v>
      </c>
      <c r="C1115" s="80">
        <f t="shared" ca="1" si="48"/>
        <v>11.108683333333333</v>
      </c>
      <c r="D1115" s="80">
        <f t="shared" ca="1" si="48"/>
        <v>11.074950000000001</v>
      </c>
      <c r="E1115" s="80">
        <f t="shared" ca="1" si="48"/>
        <v>12.813333333333333</v>
      </c>
      <c r="F1115" s="80">
        <f t="shared" ca="1" si="48"/>
        <v>12.813333333333333</v>
      </c>
      <c r="G1115" s="80">
        <f t="shared" ca="1" si="48"/>
        <v>12.7719</v>
      </c>
      <c r="H1115" s="80">
        <f t="shared" ca="1" si="48"/>
        <v>23.361958333333334</v>
      </c>
      <c r="I1115" s="80">
        <f t="shared" ca="1" si="48"/>
        <v>23.320525</v>
      </c>
      <c r="J1115" s="80">
        <f t="shared" ca="1" si="48"/>
        <v>23.361958333333334</v>
      </c>
      <c r="K1115" s="80">
        <f t="shared" ca="1" si="48"/>
        <v>23.320525</v>
      </c>
      <c r="L1115" s="80">
        <f t="shared" ca="1" si="48"/>
        <v>12.813333333333333</v>
      </c>
      <c r="M1115" s="80">
        <f t="shared" ca="1" si="48"/>
        <v>12.7719</v>
      </c>
      <c r="N1115" s="80">
        <f t="shared" ca="1" si="48"/>
        <v>12.813333333333333</v>
      </c>
      <c r="O1115" s="80">
        <f t="shared" ca="1" si="48"/>
        <v>12.7719</v>
      </c>
    </row>
    <row r="1116" spans="1:15" ht="15">
      <c r="A1116" s="11">
        <v>2071</v>
      </c>
      <c r="B1116" s="80">
        <f t="shared" ca="1" si="48"/>
        <v>11.346308333333333</v>
      </c>
      <c r="C1116" s="80">
        <f t="shared" ca="1" si="48"/>
        <v>11.346308333333333</v>
      </c>
      <c r="D1116" s="80">
        <f t="shared" ca="1" si="48"/>
        <v>11.308341666666665</v>
      </c>
      <c r="E1116" s="80">
        <f t="shared" ca="1" si="48"/>
        <v>13.070333333333332</v>
      </c>
      <c r="F1116" s="80">
        <f t="shared" ca="1" si="48"/>
        <v>13.070333333333332</v>
      </c>
      <c r="G1116" s="80">
        <f t="shared" ca="1" si="48"/>
        <v>13.023741666666668</v>
      </c>
      <c r="H1116" s="80">
        <f t="shared" ca="1" si="48"/>
        <v>23.8432</v>
      </c>
      <c r="I1116" s="80">
        <f t="shared" ca="1" si="48"/>
        <v>23.796608333333335</v>
      </c>
      <c r="J1116" s="80">
        <f t="shared" ca="1" si="48"/>
        <v>23.8432</v>
      </c>
      <c r="K1116" s="80">
        <f t="shared" ca="1" si="48"/>
        <v>23.796608333333335</v>
      </c>
      <c r="L1116" s="80">
        <f t="shared" ca="1" si="48"/>
        <v>13.070333333333332</v>
      </c>
      <c r="M1116" s="80">
        <f t="shared" ca="1" si="48"/>
        <v>13.023741666666668</v>
      </c>
      <c r="N1116" s="80">
        <f t="shared" ca="1" si="48"/>
        <v>13.070333333333332</v>
      </c>
      <c r="O1116" s="80">
        <f t="shared" ca="1" si="48"/>
        <v>13.023741666666668</v>
      </c>
    </row>
    <row r="1117" spans="1:15" ht="15">
      <c r="A1117" s="11">
        <v>2072</v>
      </c>
      <c r="B1117" s="80">
        <f t="shared" ref="B1117:O1126" ca="1" si="49">AVERAGE(OFFSET(B$590,($A1117-$A$1107)*12,0,12,1))</f>
        <v>11.583908333333333</v>
      </c>
      <c r="C1117" s="80">
        <f t="shared" ca="1" si="49"/>
        <v>11.583908333333333</v>
      </c>
      <c r="D1117" s="80">
        <f t="shared" ca="1" si="49"/>
        <v>11.541741666666669</v>
      </c>
      <c r="E1117" s="80">
        <f t="shared" ca="1" si="49"/>
        <v>13.327350000000001</v>
      </c>
      <c r="F1117" s="80">
        <f t="shared" ca="1" si="49"/>
        <v>13.327350000000001</v>
      </c>
      <c r="G1117" s="80">
        <f t="shared" ca="1" si="49"/>
        <v>13.275566666666665</v>
      </c>
      <c r="H1117" s="80">
        <f t="shared" ca="1" si="49"/>
        <v>24.32446666666667</v>
      </c>
      <c r="I1117" s="80">
        <f t="shared" ca="1" si="49"/>
        <v>24.2727</v>
      </c>
      <c r="J1117" s="80">
        <f t="shared" ca="1" si="49"/>
        <v>24.32446666666667</v>
      </c>
      <c r="K1117" s="80">
        <f t="shared" ca="1" si="49"/>
        <v>24.2727</v>
      </c>
      <c r="L1117" s="80">
        <f t="shared" ca="1" si="49"/>
        <v>13.327350000000001</v>
      </c>
      <c r="M1117" s="80">
        <f t="shared" ca="1" si="49"/>
        <v>13.275566666666665</v>
      </c>
      <c r="N1117" s="80">
        <f t="shared" ca="1" si="49"/>
        <v>13.327350000000001</v>
      </c>
      <c r="O1117" s="80">
        <f t="shared" ca="1" si="49"/>
        <v>13.275566666666665</v>
      </c>
    </row>
    <row r="1118" spans="1:15" ht="15">
      <c r="A1118" s="11">
        <v>2073</v>
      </c>
      <c r="B1118" s="80">
        <f t="shared" ca="1" si="49"/>
        <v>11.821525000000001</v>
      </c>
      <c r="C1118" s="80">
        <f t="shared" ca="1" si="49"/>
        <v>11.821525000000001</v>
      </c>
      <c r="D1118" s="80">
        <f t="shared" ca="1" si="49"/>
        <v>11.775133333333335</v>
      </c>
      <c r="E1118" s="80">
        <f t="shared" ca="1" si="49"/>
        <v>13.584366666666666</v>
      </c>
      <c r="F1118" s="80">
        <f t="shared" ca="1" si="49"/>
        <v>13.584366666666666</v>
      </c>
      <c r="G1118" s="80">
        <f t="shared" ca="1" si="49"/>
        <v>13.527408333333334</v>
      </c>
      <c r="H1118" s="80">
        <f t="shared" ca="1" si="49"/>
        <v>24.805733333333333</v>
      </c>
      <c r="I1118" s="80">
        <f t="shared" ca="1" si="49"/>
        <v>24.748758333333338</v>
      </c>
      <c r="J1118" s="80">
        <f t="shared" ca="1" si="49"/>
        <v>24.805733333333333</v>
      </c>
      <c r="K1118" s="80">
        <f t="shared" ca="1" si="49"/>
        <v>24.748758333333338</v>
      </c>
      <c r="L1118" s="80">
        <f t="shared" ca="1" si="49"/>
        <v>13.584366666666666</v>
      </c>
      <c r="M1118" s="80">
        <f t="shared" ca="1" si="49"/>
        <v>13.527408333333334</v>
      </c>
      <c r="N1118" s="80">
        <f t="shared" ca="1" si="49"/>
        <v>13.584366666666666</v>
      </c>
      <c r="O1118" s="80">
        <f t="shared" ca="1" si="49"/>
        <v>13.527408333333334</v>
      </c>
    </row>
    <row r="1119" spans="1:15" ht="15">
      <c r="A1119" s="11">
        <v>2074</v>
      </c>
      <c r="B1119" s="80">
        <f t="shared" ca="1" si="49"/>
        <v>12.059150000000001</v>
      </c>
      <c r="C1119" s="80">
        <f t="shared" ca="1" si="49"/>
        <v>12.059150000000001</v>
      </c>
      <c r="D1119" s="80">
        <f t="shared" ca="1" si="49"/>
        <v>12.008525000000001</v>
      </c>
      <c r="E1119" s="80">
        <f t="shared" ca="1" si="49"/>
        <v>13.841366666666666</v>
      </c>
      <c r="F1119" s="80">
        <f t="shared" ca="1" si="49"/>
        <v>13.841366666666666</v>
      </c>
      <c r="G1119" s="80">
        <f t="shared" ca="1" si="49"/>
        <v>13.779241666666669</v>
      </c>
      <c r="H1119" s="80">
        <f t="shared" ca="1" si="49"/>
        <v>25.286958333333335</v>
      </c>
      <c r="I1119" s="80">
        <f t="shared" ca="1" si="49"/>
        <v>25.224833333333333</v>
      </c>
      <c r="J1119" s="80">
        <f t="shared" ca="1" si="49"/>
        <v>25.286958333333335</v>
      </c>
      <c r="K1119" s="80">
        <f t="shared" ca="1" si="49"/>
        <v>25.224833333333333</v>
      </c>
      <c r="L1119" s="80">
        <f t="shared" ca="1" si="49"/>
        <v>13.841366666666666</v>
      </c>
      <c r="M1119" s="80">
        <f t="shared" ca="1" si="49"/>
        <v>13.779241666666669</v>
      </c>
      <c r="N1119" s="80">
        <f t="shared" ca="1" si="49"/>
        <v>13.841366666666666</v>
      </c>
      <c r="O1119" s="80">
        <f t="shared" ca="1" si="49"/>
        <v>13.779241666666669</v>
      </c>
    </row>
    <row r="1120" spans="1:15" ht="15">
      <c r="A1120" s="11">
        <v>2075</v>
      </c>
      <c r="B1120" s="80">
        <f t="shared" ca="1" si="49"/>
        <v>12.296750000000001</v>
      </c>
      <c r="C1120" s="80">
        <f t="shared" ca="1" si="49"/>
        <v>12.296750000000001</v>
      </c>
      <c r="D1120" s="80">
        <f t="shared" ca="1" si="49"/>
        <v>12.24193333333333</v>
      </c>
      <c r="E1120" s="80">
        <f t="shared" ca="1" si="49"/>
        <v>14.098391666666664</v>
      </c>
      <c r="F1120" s="80">
        <f t="shared" ca="1" si="49"/>
        <v>14.098391666666664</v>
      </c>
      <c r="G1120" s="80">
        <f t="shared" ca="1" si="49"/>
        <v>14.031075</v>
      </c>
      <c r="H1120" s="80">
        <f t="shared" ca="1" si="49"/>
        <v>25.768225000000001</v>
      </c>
      <c r="I1120" s="80">
        <f t="shared" ca="1" si="49"/>
        <v>25.700933333333335</v>
      </c>
      <c r="J1120" s="80">
        <f t="shared" ca="1" si="49"/>
        <v>25.768225000000001</v>
      </c>
      <c r="K1120" s="80">
        <f t="shared" ca="1" si="49"/>
        <v>25.700933333333335</v>
      </c>
      <c r="L1120" s="80">
        <f t="shared" ca="1" si="49"/>
        <v>14.098391666666664</v>
      </c>
      <c r="M1120" s="80">
        <f t="shared" ca="1" si="49"/>
        <v>14.031075</v>
      </c>
      <c r="N1120" s="80">
        <f t="shared" ca="1" si="49"/>
        <v>14.098391666666664</v>
      </c>
      <c r="O1120" s="80">
        <f t="shared" ca="1" si="49"/>
        <v>14.031075</v>
      </c>
    </row>
    <row r="1121" spans="1:15" ht="15">
      <c r="A1121" s="11">
        <v>2076</v>
      </c>
      <c r="B1121" s="80">
        <f t="shared" ca="1" si="49"/>
        <v>12.534383333333331</v>
      </c>
      <c r="C1121" s="80">
        <f t="shared" ca="1" si="49"/>
        <v>12.534383333333331</v>
      </c>
      <c r="D1121" s="80">
        <f t="shared" ca="1" si="49"/>
        <v>12.475324999999998</v>
      </c>
      <c r="E1121" s="80">
        <f t="shared" ca="1" si="49"/>
        <v>14.355391666666668</v>
      </c>
      <c r="F1121" s="80">
        <f t="shared" ca="1" si="49"/>
        <v>14.355391666666668</v>
      </c>
      <c r="G1121" s="80">
        <f t="shared" ca="1" si="49"/>
        <v>14.282916666666667</v>
      </c>
      <c r="H1121" s="80">
        <f t="shared" ca="1" si="49"/>
        <v>26.249483333333327</v>
      </c>
      <c r="I1121" s="80">
        <f t="shared" ca="1" si="49"/>
        <v>26.177008333333333</v>
      </c>
      <c r="J1121" s="80">
        <f t="shared" ca="1" si="49"/>
        <v>26.249483333333327</v>
      </c>
      <c r="K1121" s="80">
        <f t="shared" ca="1" si="49"/>
        <v>26.177008333333333</v>
      </c>
      <c r="L1121" s="80">
        <f t="shared" ca="1" si="49"/>
        <v>14.355391666666668</v>
      </c>
      <c r="M1121" s="80">
        <f t="shared" ca="1" si="49"/>
        <v>14.282916666666667</v>
      </c>
      <c r="N1121" s="80">
        <f t="shared" ca="1" si="49"/>
        <v>14.355391666666668</v>
      </c>
      <c r="O1121" s="80">
        <f t="shared" ca="1" si="49"/>
        <v>14.282916666666667</v>
      </c>
    </row>
    <row r="1122" spans="1:15" ht="15">
      <c r="A1122" s="11">
        <v>2077</v>
      </c>
      <c r="B1122" s="80">
        <f t="shared" ca="1" si="49"/>
        <v>12.771983333333333</v>
      </c>
      <c r="C1122" s="80">
        <f t="shared" ca="1" si="49"/>
        <v>12.771983333333333</v>
      </c>
      <c r="D1122" s="80">
        <f t="shared" ca="1" si="49"/>
        <v>12.708716666666668</v>
      </c>
      <c r="E1122" s="80">
        <f t="shared" ca="1" si="49"/>
        <v>14.612399999999999</v>
      </c>
      <c r="F1122" s="80">
        <f t="shared" ca="1" si="49"/>
        <v>14.612399999999999</v>
      </c>
      <c r="G1122" s="80">
        <f t="shared" ca="1" si="49"/>
        <v>14.534741666666667</v>
      </c>
      <c r="H1122" s="80">
        <f t="shared" ca="1" si="49"/>
        <v>26.73074166666667</v>
      </c>
      <c r="I1122" s="80">
        <f t="shared" ca="1" si="49"/>
        <v>26.653091666666665</v>
      </c>
      <c r="J1122" s="80">
        <f t="shared" ca="1" si="49"/>
        <v>26.73074166666667</v>
      </c>
      <c r="K1122" s="80">
        <f t="shared" ca="1" si="49"/>
        <v>26.653091666666665</v>
      </c>
      <c r="L1122" s="80">
        <f t="shared" ca="1" si="49"/>
        <v>14.612399999999999</v>
      </c>
      <c r="M1122" s="80">
        <f t="shared" ca="1" si="49"/>
        <v>14.534741666666667</v>
      </c>
      <c r="N1122" s="80">
        <f t="shared" ca="1" si="49"/>
        <v>14.612399999999999</v>
      </c>
      <c r="O1122" s="80">
        <f t="shared" ca="1" si="49"/>
        <v>14.534741666666667</v>
      </c>
    </row>
    <row r="1123" spans="1:15" ht="15">
      <c r="A1123" s="11">
        <v>2078</v>
      </c>
      <c r="B1123" s="80">
        <f t="shared" ca="1" si="49"/>
        <v>13.009583333333333</v>
      </c>
      <c r="C1123" s="80">
        <f t="shared" ca="1" si="49"/>
        <v>13.009583333333333</v>
      </c>
      <c r="D1123" s="80">
        <f t="shared" ca="1" si="49"/>
        <v>12.942116666666665</v>
      </c>
      <c r="E1123" s="80">
        <f t="shared" ca="1" si="49"/>
        <v>14.869391666666665</v>
      </c>
      <c r="F1123" s="80">
        <f t="shared" ca="1" si="49"/>
        <v>14.869391666666665</v>
      </c>
      <c r="G1123" s="80">
        <f t="shared" ca="1" si="49"/>
        <v>14.786583333333335</v>
      </c>
      <c r="H1123" s="80">
        <f t="shared" ca="1" si="49"/>
        <v>27.211991666666666</v>
      </c>
      <c r="I1123" s="80">
        <f t="shared" ca="1" si="49"/>
        <v>27.129158333333333</v>
      </c>
      <c r="J1123" s="80">
        <f t="shared" ca="1" si="49"/>
        <v>27.211991666666666</v>
      </c>
      <c r="K1123" s="80">
        <f t="shared" ca="1" si="49"/>
        <v>27.129158333333333</v>
      </c>
      <c r="L1123" s="80">
        <f t="shared" ca="1" si="49"/>
        <v>14.869391666666665</v>
      </c>
      <c r="M1123" s="80">
        <f t="shared" ca="1" si="49"/>
        <v>14.786583333333335</v>
      </c>
      <c r="N1123" s="80">
        <f t="shared" ca="1" si="49"/>
        <v>14.869391666666665</v>
      </c>
      <c r="O1123" s="80">
        <f t="shared" ca="1" si="49"/>
        <v>14.786583333333335</v>
      </c>
    </row>
    <row r="1124" spans="1:15" ht="15">
      <c r="A1124" s="11">
        <v>2079</v>
      </c>
      <c r="B1124" s="80">
        <f t="shared" ca="1" si="49"/>
        <v>13.247225000000002</v>
      </c>
      <c r="C1124" s="80">
        <f t="shared" ca="1" si="49"/>
        <v>13.247225000000002</v>
      </c>
      <c r="D1124" s="80">
        <f t="shared" ca="1" si="49"/>
        <v>13.175516666666667</v>
      </c>
      <c r="E1124" s="80">
        <f t="shared" ca="1" si="49"/>
        <v>15.126424999999999</v>
      </c>
      <c r="F1124" s="80">
        <f t="shared" ca="1" si="49"/>
        <v>15.126424999999999</v>
      </c>
      <c r="G1124" s="80">
        <f t="shared" ca="1" si="49"/>
        <v>15.038400000000001</v>
      </c>
      <c r="H1124" s="80">
        <f t="shared" ca="1" si="49"/>
        <v>27.693250000000003</v>
      </c>
      <c r="I1124" s="80">
        <f t="shared" ca="1" si="49"/>
        <v>27.605233333333331</v>
      </c>
      <c r="J1124" s="80">
        <f t="shared" ca="1" si="49"/>
        <v>27.693250000000003</v>
      </c>
      <c r="K1124" s="80">
        <f t="shared" ca="1" si="49"/>
        <v>27.605233333333331</v>
      </c>
      <c r="L1124" s="80">
        <f t="shared" ca="1" si="49"/>
        <v>15.126424999999999</v>
      </c>
      <c r="M1124" s="80">
        <f t="shared" ca="1" si="49"/>
        <v>15.038400000000001</v>
      </c>
      <c r="N1124" s="80">
        <f t="shared" ca="1" si="49"/>
        <v>15.126424999999999</v>
      </c>
      <c r="O1124" s="80">
        <f t="shared" ca="1" si="49"/>
        <v>15.038400000000001</v>
      </c>
    </row>
    <row r="1125" spans="1:15" ht="15">
      <c r="A1125" s="11">
        <v>2080</v>
      </c>
      <c r="B1125" s="80">
        <f t="shared" ca="1" si="49"/>
        <v>13.484824999999995</v>
      </c>
      <c r="C1125" s="80">
        <f t="shared" ca="1" si="49"/>
        <v>13.484824999999995</v>
      </c>
      <c r="D1125" s="80">
        <f t="shared" ca="1" si="49"/>
        <v>13.408908333333335</v>
      </c>
      <c r="E1125" s="80">
        <f t="shared" ca="1" si="49"/>
        <v>15.383441666666668</v>
      </c>
      <c r="F1125" s="80">
        <f t="shared" ca="1" si="49"/>
        <v>15.383441666666668</v>
      </c>
      <c r="G1125" s="80">
        <f t="shared" ca="1" si="49"/>
        <v>15.290233333333333</v>
      </c>
      <c r="H1125" s="80">
        <f t="shared" ca="1" si="49"/>
        <v>28.174508333333332</v>
      </c>
      <c r="I1125" s="80">
        <f t="shared" ca="1" si="49"/>
        <v>28.081316666666666</v>
      </c>
      <c r="J1125" s="80">
        <f t="shared" ca="1" si="49"/>
        <v>28.174508333333332</v>
      </c>
      <c r="K1125" s="80">
        <f t="shared" ca="1" si="49"/>
        <v>28.081316666666666</v>
      </c>
      <c r="L1125" s="80">
        <f t="shared" ca="1" si="49"/>
        <v>15.383441666666668</v>
      </c>
      <c r="M1125" s="80">
        <f t="shared" ca="1" si="49"/>
        <v>15.290233333333333</v>
      </c>
      <c r="N1125" s="80">
        <f t="shared" ca="1" si="49"/>
        <v>15.383441666666668</v>
      </c>
      <c r="O1125" s="80">
        <f t="shared" ca="1" si="49"/>
        <v>15.290233333333333</v>
      </c>
    </row>
    <row r="1126" spans="1:15" ht="15">
      <c r="A1126" s="11">
        <v>2081</v>
      </c>
      <c r="B1126" s="80">
        <f t="shared" ca="1" si="49"/>
        <v>13.72245</v>
      </c>
      <c r="C1126" s="80">
        <f t="shared" ca="1" si="49"/>
        <v>13.72245</v>
      </c>
      <c r="D1126" s="80">
        <f t="shared" ca="1" si="49"/>
        <v>13.642308333333334</v>
      </c>
      <c r="E1126" s="80">
        <f t="shared" ca="1" si="49"/>
        <v>15.640424999999999</v>
      </c>
      <c r="F1126" s="80">
        <f t="shared" ca="1" si="49"/>
        <v>15.640424999999999</v>
      </c>
      <c r="G1126" s="80">
        <f t="shared" ca="1" si="49"/>
        <v>15.542074999999999</v>
      </c>
      <c r="H1126" s="80">
        <f t="shared" ca="1" si="49"/>
        <v>28.655758333333335</v>
      </c>
      <c r="I1126" s="80">
        <f t="shared" ca="1" si="49"/>
        <v>28.557391666666671</v>
      </c>
      <c r="J1126" s="80">
        <f t="shared" ca="1" si="49"/>
        <v>28.655758333333335</v>
      </c>
      <c r="K1126" s="80">
        <f t="shared" ca="1" si="49"/>
        <v>28.557391666666671</v>
      </c>
      <c r="L1126" s="80">
        <f t="shared" ca="1" si="49"/>
        <v>15.640424999999999</v>
      </c>
      <c r="M1126" s="80">
        <f t="shared" ca="1" si="49"/>
        <v>15.542074999999999</v>
      </c>
      <c r="N1126" s="80">
        <f t="shared" ca="1" si="49"/>
        <v>15.640424999999999</v>
      </c>
      <c r="O1126" s="80">
        <f t="shared" ca="1" si="49"/>
        <v>15.542074999999999</v>
      </c>
    </row>
    <row r="1127" spans="1:15" ht="15">
      <c r="A1127" s="11">
        <v>2082</v>
      </c>
      <c r="B1127" s="80">
        <f t="shared" ref="B1127:O1136" ca="1" si="50">AVERAGE(OFFSET(B$590,($A1127-$A$1107)*12,0,12,1))</f>
        <v>13.960058333333334</v>
      </c>
      <c r="C1127" s="80">
        <f t="shared" ca="1" si="50"/>
        <v>13.960058333333334</v>
      </c>
      <c r="D1127" s="80">
        <f t="shared" ca="1" si="50"/>
        <v>13.875700000000002</v>
      </c>
      <c r="E1127" s="80">
        <f t="shared" ca="1" si="50"/>
        <v>15.897450000000001</v>
      </c>
      <c r="F1127" s="80">
        <f t="shared" ca="1" si="50"/>
        <v>15.897450000000001</v>
      </c>
      <c r="G1127" s="80">
        <f t="shared" ca="1" si="50"/>
        <v>15.793900000000001</v>
      </c>
      <c r="H1127" s="80">
        <f t="shared" ca="1" si="50"/>
        <v>29.137041666666661</v>
      </c>
      <c r="I1127" s="80">
        <f t="shared" ca="1" si="50"/>
        <v>29.033491666666674</v>
      </c>
      <c r="J1127" s="80">
        <f t="shared" ca="1" si="50"/>
        <v>29.137041666666661</v>
      </c>
      <c r="K1127" s="80">
        <f t="shared" ca="1" si="50"/>
        <v>29.033491666666674</v>
      </c>
      <c r="L1127" s="80">
        <f t="shared" ca="1" si="50"/>
        <v>15.897450000000001</v>
      </c>
      <c r="M1127" s="80">
        <f t="shared" ca="1" si="50"/>
        <v>15.793900000000001</v>
      </c>
      <c r="N1127" s="80">
        <f t="shared" ca="1" si="50"/>
        <v>15.897450000000001</v>
      </c>
      <c r="O1127" s="80">
        <f t="shared" ca="1" si="50"/>
        <v>15.793900000000001</v>
      </c>
    </row>
    <row r="1128" spans="1:15" ht="15">
      <c r="A1128" s="11">
        <v>2083</v>
      </c>
      <c r="B1128" s="80">
        <f t="shared" ca="1" si="50"/>
        <v>14.197650000000001</v>
      </c>
      <c r="C1128" s="80">
        <f t="shared" ca="1" si="50"/>
        <v>14.197650000000001</v>
      </c>
      <c r="D1128" s="80">
        <f t="shared" ca="1" si="50"/>
        <v>14.109100000000003</v>
      </c>
      <c r="E1128" s="80">
        <f t="shared" ca="1" si="50"/>
        <v>16.154466666666668</v>
      </c>
      <c r="F1128" s="80">
        <f t="shared" ca="1" si="50"/>
        <v>16.154466666666668</v>
      </c>
      <c r="G1128" s="80">
        <f t="shared" ca="1" si="50"/>
        <v>16.045725000000001</v>
      </c>
      <c r="H1128" s="80">
        <f t="shared" ca="1" si="50"/>
        <v>29.618266666666674</v>
      </c>
      <c r="I1128" s="80">
        <f t="shared" ca="1" si="50"/>
        <v>29.509550000000004</v>
      </c>
      <c r="J1128" s="80">
        <f t="shared" ca="1" si="50"/>
        <v>29.618266666666674</v>
      </c>
      <c r="K1128" s="80">
        <f t="shared" ca="1" si="50"/>
        <v>29.509550000000004</v>
      </c>
      <c r="L1128" s="80">
        <f t="shared" ca="1" si="50"/>
        <v>16.154466666666668</v>
      </c>
      <c r="M1128" s="80">
        <f t="shared" ca="1" si="50"/>
        <v>16.045725000000001</v>
      </c>
      <c r="N1128" s="80">
        <f t="shared" ca="1" si="50"/>
        <v>16.154466666666668</v>
      </c>
      <c r="O1128" s="80">
        <f t="shared" ca="1" si="50"/>
        <v>16.045725000000001</v>
      </c>
    </row>
    <row r="1129" spans="1:15" ht="15">
      <c r="A1129" s="11">
        <v>2084</v>
      </c>
      <c r="B1129" s="80">
        <f t="shared" ca="1" si="50"/>
        <v>14.435274999999997</v>
      </c>
      <c r="C1129" s="80">
        <f t="shared" ca="1" si="50"/>
        <v>14.435274999999997</v>
      </c>
      <c r="D1129" s="80">
        <f t="shared" ca="1" si="50"/>
        <v>14.342483333333334</v>
      </c>
      <c r="E1129" s="80">
        <f t="shared" ca="1" si="50"/>
        <v>16.411466666666669</v>
      </c>
      <c r="F1129" s="80">
        <f t="shared" ca="1" si="50"/>
        <v>16.411466666666669</v>
      </c>
      <c r="G1129" s="80">
        <f t="shared" ca="1" si="50"/>
        <v>16.297566666666668</v>
      </c>
      <c r="H1129" s="80">
        <f t="shared" ca="1" si="50"/>
        <v>30.099541666666667</v>
      </c>
      <c r="I1129" s="80">
        <f t="shared" ca="1" si="50"/>
        <v>29.985625000000002</v>
      </c>
      <c r="J1129" s="80">
        <f t="shared" ca="1" si="50"/>
        <v>30.099541666666667</v>
      </c>
      <c r="K1129" s="80">
        <f t="shared" ca="1" si="50"/>
        <v>29.985625000000002</v>
      </c>
      <c r="L1129" s="80">
        <f t="shared" ca="1" si="50"/>
        <v>16.411466666666669</v>
      </c>
      <c r="M1129" s="80">
        <f t="shared" ca="1" si="50"/>
        <v>16.297566666666668</v>
      </c>
      <c r="N1129" s="80">
        <f t="shared" ca="1" si="50"/>
        <v>16.411466666666669</v>
      </c>
      <c r="O1129" s="80">
        <f t="shared" ca="1" si="50"/>
        <v>16.297566666666668</v>
      </c>
    </row>
    <row r="1130" spans="1:15" ht="15">
      <c r="A1130" s="11">
        <v>2085</v>
      </c>
      <c r="B1130" s="80">
        <f t="shared" ca="1" si="50"/>
        <v>14.672899999999998</v>
      </c>
      <c r="C1130" s="80">
        <f t="shared" ca="1" si="50"/>
        <v>14.672899999999998</v>
      </c>
      <c r="D1130" s="80">
        <f t="shared" ca="1" si="50"/>
        <v>14.575874999999998</v>
      </c>
      <c r="E1130" s="80">
        <f t="shared" ca="1" si="50"/>
        <v>16.668466666666667</v>
      </c>
      <c r="F1130" s="80">
        <f t="shared" ca="1" si="50"/>
        <v>16.668466666666667</v>
      </c>
      <c r="G1130" s="80">
        <f t="shared" ca="1" si="50"/>
        <v>16.549391666666668</v>
      </c>
      <c r="H1130" s="80">
        <f t="shared" ca="1" si="50"/>
        <v>30.58078333333334</v>
      </c>
      <c r="I1130" s="80">
        <f t="shared" ca="1" si="50"/>
        <v>30.461699999999993</v>
      </c>
      <c r="J1130" s="80">
        <f t="shared" ca="1" si="50"/>
        <v>30.58078333333334</v>
      </c>
      <c r="K1130" s="80">
        <f t="shared" ca="1" si="50"/>
        <v>30.461699999999993</v>
      </c>
      <c r="L1130" s="80">
        <f t="shared" ca="1" si="50"/>
        <v>16.668466666666667</v>
      </c>
      <c r="M1130" s="80">
        <f t="shared" ca="1" si="50"/>
        <v>16.549391666666668</v>
      </c>
      <c r="N1130" s="80">
        <f t="shared" ca="1" si="50"/>
        <v>16.668466666666667</v>
      </c>
      <c r="O1130" s="80">
        <f t="shared" ca="1" si="50"/>
        <v>16.549391666666668</v>
      </c>
    </row>
    <row r="1131" spans="1:15" ht="15">
      <c r="A1131" s="11">
        <v>2086</v>
      </c>
      <c r="B1131" s="80">
        <f t="shared" ca="1" si="50"/>
        <v>14.910500000000004</v>
      </c>
      <c r="C1131" s="80">
        <f t="shared" ca="1" si="50"/>
        <v>14.910500000000004</v>
      </c>
      <c r="D1131" s="80">
        <f t="shared" ca="1" si="50"/>
        <v>14.809266666666666</v>
      </c>
      <c r="E1131" s="80">
        <f t="shared" ca="1" si="50"/>
        <v>16.925483333333336</v>
      </c>
      <c r="F1131" s="80">
        <f t="shared" ca="1" si="50"/>
        <v>16.925483333333336</v>
      </c>
      <c r="G1131" s="80">
        <f t="shared" ca="1" si="50"/>
        <v>16.801233333333332</v>
      </c>
      <c r="H1131" s="80">
        <f t="shared" ca="1" si="50"/>
        <v>31.062041666666662</v>
      </c>
      <c r="I1131" s="80">
        <f t="shared" ca="1" si="50"/>
        <v>30.937783333333332</v>
      </c>
      <c r="J1131" s="80">
        <f t="shared" ca="1" si="50"/>
        <v>31.062041666666662</v>
      </c>
      <c r="K1131" s="80">
        <f t="shared" ca="1" si="50"/>
        <v>30.937783333333332</v>
      </c>
      <c r="L1131" s="80">
        <f t="shared" ca="1" si="50"/>
        <v>16.925483333333336</v>
      </c>
      <c r="M1131" s="80">
        <f t="shared" ca="1" si="50"/>
        <v>16.801233333333332</v>
      </c>
      <c r="N1131" s="80">
        <f t="shared" ca="1" si="50"/>
        <v>16.925483333333336</v>
      </c>
      <c r="O1131" s="80">
        <f t="shared" ca="1" si="50"/>
        <v>16.801233333333332</v>
      </c>
    </row>
    <row r="1132" spans="1:15" ht="15">
      <c r="A1132" s="11">
        <v>2087</v>
      </c>
      <c r="B1132" s="80">
        <f t="shared" ca="1" si="50"/>
        <v>15.148116666666667</v>
      </c>
      <c r="C1132" s="80">
        <f t="shared" ca="1" si="50"/>
        <v>15.148116666666667</v>
      </c>
      <c r="D1132" s="80">
        <f t="shared" ca="1" si="50"/>
        <v>15.042674999999997</v>
      </c>
      <c r="E1132" s="80">
        <f t="shared" ca="1" si="50"/>
        <v>17.182508333333335</v>
      </c>
      <c r="F1132" s="80">
        <f t="shared" ca="1" si="50"/>
        <v>17.182508333333335</v>
      </c>
      <c r="G1132" s="80">
        <f t="shared" ca="1" si="50"/>
        <v>17.053066666666666</v>
      </c>
      <c r="H1132" s="80">
        <f t="shared" ca="1" si="50"/>
        <v>31.543308333333332</v>
      </c>
      <c r="I1132" s="80">
        <f t="shared" ca="1" si="50"/>
        <v>31.41385</v>
      </c>
      <c r="J1132" s="80">
        <f t="shared" ca="1" si="50"/>
        <v>31.543308333333332</v>
      </c>
      <c r="K1132" s="80">
        <f t="shared" ca="1" si="50"/>
        <v>31.41385</v>
      </c>
      <c r="L1132" s="80">
        <f t="shared" ca="1" si="50"/>
        <v>17.182508333333335</v>
      </c>
      <c r="M1132" s="80">
        <f t="shared" ca="1" si="50"/>
        <v>17.053066666666666</v>
      </c>
      <c r="N1132" s="80">
        <f t="shared" ca="1" si="50"/>
        <v>17.182508333333335</v>
      </c>
      <c r="O1132" s="80">
        <f t="shared" ca="1" si="50"/>
        <v>17.053066666666666</v>
      </c>
    </row>
    <row r="1133" spans="1:15" ht="15">
      <c r="A1133" s="11">
        <v>2088</v>
      </c>
      <c r="B1133" s="80">
        <f t="shared" ca="1" si="50"/>
        <v>15.385741666666663</v>
      </c>
      <c r="C1133" s="80">
        <f t="shared" ca="1" si="50"/>
        <v>15.385741666666663</v>
      </c>
      <c r="D1133" s="80">
        <f t="shared" ca="1" si="50"/>
        <v>15.276066666666667</v>
      </c>
      <c r="E1133" s="80">
        <f t="shared" ca="1" si="50"/>
        <v>17.439516666666666</v>
      </c>
      <c r="F1133" s="80">
        <f t="shared" ca="1" si="50"/>
        <v>17.439516666666666</v>
      </c>
      <c r="G1133" s="80">
        <f t="shared" ca="1" si="50"/>
        <v>17.304891666666666</v>
      </c>
      <c r="H1133" s="80">
        <f t="shared" ca="1" si="50"/>
        <v>32.024549999999998</v>
      </c>
      <c r="I1133" s="80">
        <f t="shared" ca="1" si="50"/>
        <v>31.889949999999999</v>
      </c>
      <c r="J1133" s="80">
        <f t="shared" ca="1" si="50"/>
        <v>32.024549999999998</v>
      </c>
      <c r="K1133" s="80">
        <f t="shared" ca="1" si="50"/>
        <v>31.889949999999999</v>
      </c>
      <c r="L1133" s="80">
        <f t="shared" ca="1" si="50"/>
        <v>17.439516666666666</v>
      </c>
      <c r="M1133" s="80">
        <f t="shared" ca="1" si="50"/>
        <v>17.304891666666666</v>
      </c>
      <c r="N1133" s="80">
        <f t="shared" ca="1" si="50"/>
        <v>17.439516666666666</v>
      </c>
      <c r="O1133" s="80">
        <f t="shared" ca="1" si="50"/>
        <v>17.304891666666666</v>
      </c>
    </row>
    <row r="1134" spans="1:15" ht="15">
      <c r="A1134" s="11">
        <v>2089</v>
      </c>
      <c r="B1134" s="80">
        <f t="shared" ca="1" si="50"/>
        <v>15.623341666666667</v>
      </c>
      <c r="C1134" s="80">
        <f t="shared" ca="1" si="50"/>
        <v>15.623341666666667</v>
      </c>
      <c r="D1134" s="80">
        <f t="shared" ca="1" si="50"/>
        <v>15.509458333333333</v>
      </c>
      <c r="E1134" s="80">
        <f t="shared" ca="1" si="50"/>
        <v>17.696524999999998</v>
      </c>
      <c r="F1134" s="80">
        <f t="shared" ca="1" si="50"/>
        <v>17.696524999999998</v>
      </c>
      <c r="G1134" s="80">
        <f t="shared" ca="1" si="50"/>
        <v>17.556725000000004</v>
      </c>
      <c r="H1134" s="80">
        <f t="shared" ca="1" si="50"/>
        <v>32.505816666666668</v>
      </c>
      <c r="I1134" s="80">
        <f t="shared" ca="1" si="50"/>
        <v>32.366016666666674</v>
      </c>
      <c r="J1134" s="80">
        <f t="shared" ca="1" si="50"/>
        <v>32.505816666666668</v>
      </c>
      <c r="K1134" s="80">
        <f t="shared" ca="1" si="50"/>
        <v>32.366016666666674</v>
      </c>
      <c r="L1134" s="80">
        <f t="shared" ca="1" si="50"/>
        <v>17.696524999999998</v>
      </c>
      <c r="M1134" s="80">
        <f t="shared" ca="1" si="50"/>
        <v>17.556725000000004</v>
      </c>
      <c r="N1134" s="80">
        <f t="shared" ca="1" si="50"/>
        <v>17.696524999999998</v>
      </c>
      <c r="O1134" s="80">
        <f t="shared" ca="1" si="50"/>
        <v>17.556725000000004</v>
      </c>
    </row>
    <row r="1135" spans="1:15" ht="15">
      <c r="A1135" s="11">
        <v>2090</v>
      </c>
      <c r="B1135" s="80">
        <f t="shared" ca="1" si="50"/>
        <v>15.860966666666668</v>
      </c>
      <c r="C1135" s="80">
        <f t="shared" ca="1" si="50"/>
        <v>15.860966666666668</v>
      </c>
      <c r="D1135" s="80">
        <f t="shared" ca="1" si="50"/>
        <v>15.742858333333333</v>
      </c>
      <c r="E1135" s="80">
        <f t="shared" ca="1" si="50"/>
        <v>17.953533333333333</v>
      </c>
      <c r="F1135" s="80">
        <f t="shared" ca="1" si="50"/>
        <v>17.953533333333333</v>
      </c>
      <c r="G1135" s="80">
        <f t="shared" ca="1" si="50"/>
        <v>17.808541666666667</v>
      </c>
      <c r="H1135" s="80">
        <f t="shared" ca="1" si="50"/>
        <v>32.987066666666664</v>
      </c>
      <c r="I1135" s="80">
        <f t="shared" ca="1" si="50"/>
        <v>32.842091666666668</v>
      </c>
      <c r="J1135" s="80">
        <f t="shared" ca="1" si="50"/>
        <v>32.987066666666664</v>
      </c>
      <c r="K1135" s="80">
        <f t="shared" ca="1" si="50"/>
        <v>32.842091666666668</v>
      </c>
      <c r="L1135" s="80">
        <f t="shared" ca="1" si="50"/>
        <v>17.953533333333333</v>
      </c>
      <c r="M1135" s="80">
        <f t="shared" ca="1" si="50"/>
        <v>17.808541666666667</v>
      </c>
      <c r="N1135" s="80">
        <f t="shared" ca="1" si="50"/>
        <v>17.953533333333333</v>
      </c>
      <c r="O1135" s="80">
        <f t="shared" ca="1" si="50"/>
        <v>17.808541666666667</v>
      </c>
    </row>
    <row r="1136" spans="1:15" ht="15">
      <c r="A1136" s="11">
        <v>2091</v>
      </c>
      <c r="B1136" s="80">
        <f t="shared" ca="1" si="50"/>
        <v>16.098591666666668</v>
      </c>
      <c r="C1136" s="80">
        <f t="shared" ca="1" si="50"/>
        <v>16.098591666666668</v>
      </c>
      <c r="D1136" s="80">
        <f t="shared" ca="1" si="50"/>
        <v>15.97625</v>
      </c>
      <c r="E1136" s="80">
        <f t="shared" ca="1" si="50"/>
        <v>18.210533333333338</v>
      </c>
      <c r="F1136" s="80">
        <f t="shared" ca="1" si="50"/>
        <v>18.210533333333338</v>
      </c>
      <c r="G1136" s="80">
        <f t="shared" ca="1" si="50"/>
        <v>18.060374999999997</v>
      </c>
      <c r="H1136" s="80">
        <f t="shared" ca="1" si="50"/>
        <v>33.468316666666674</v>
      </c>
      <c r="I1136" s="80">
        <f t="shared" ca="1" si="50"/>
        <v>33.31818333333333</v>
      </c>
      <c r="J1136" s="80">
        <f t="shared" ca="1" si="50"/>
        <v>33.468316666666674</v>
      </c>
      <c r="K1136" s="80">
        <f t="shared" ca="1" si="50"/>
        <v>33.31818333333333</v>
      </c>
      <c r="L1136" s="80">
        <f t="shared" ca="1" si="50"/>
        <v>18.210533333333338</v>
      </c>
      <c r="M1136" s="80">
        <f t="shared" ca="1" si="50"/>
        <v>18.060374999999997</v>
      </c>
      <c r="N1136" s="80">
        <f t="shared" ca="1" si="50"/>
        <v>18.210533333333338</v>
      </c>
      <c r="O1136" s="80">
        <f t="shared" ca="1" si="50"/>
        <v>18.060374999999997</v>
      </c>
    </row>
    <row r="1137" spans="1:15" ht="15">
      <c r="A1137" s="11">
        <v>2092</v>
      </c>
      <c r="B1137" s="80">
        <f t="shared" ref="B1137:O1145" ca="1" si="51">AVERAGE(OFFSET(B$590,($A1137-$A$1107)*12,0,12,1))</f>
        <v>16.336183333333331</v>
      </c>
      <c r="C1137" s="80">
        <f t="shared" ca="1" si="51"/>
        <v>16.336183333333331</v>
      </c>
      <c r="D1137" s="80">
        <f t="shared" ca="1" si="51"/>
        <v>16.20965</v>
      </c>
      <c r="E1137" s="80">
        <f t="shared" ca="1" si="51"/>
        <v>18.467549999999999</v>
      </c>
      <c r="F1137" s="80">
        <f t="shared" ca="1" si="51"/>
        <v>18.467549999999999</v>
      </c>
      <c r="G1137" s="80">
        <f t="shared" ca="1" si="51"/>
        <v>18.312224999999998</v>
      </c>
      <c r="H1137" s="80">
        <f t="shared" ca="1" si="51"/>
        <v>33.949558333333336</v>
      </c>
      <c r="I1137" s="80">
        <f t="shared" ca="1" si="51"/>
        <v>33.794249999999998</v>
      </c>
      <c r="J1137" s="80">
        <f t="shared" ca="1" si="51"/>
        <v>33.949558333333336</v>
      </c>
      <c r="K1137" s="80">
        <f t="shared" ca="1" si="51"/>
        <v>33.794249999999998</v>
      </c>
      <c r="L1137" s="80">
        <f t="shared" ca="1" si="51"/>
        <v>18.467549999999999</v>
      </c>
      <c r="M1137" s="80">
        <f t="shared" ca="1" si="51"/>
        <v>18.312224999999998</v>
      </c>
      <c r="N1137" s="80">
        <f t="shared" ca="1" si="51"/>
        <v>18.467549999999999</v>
      </c>
      <c r="O1137" s="80">
        <f t="shared" ca="1" si="51"/>
        <v>18.312224999999998</v>
      </c>
    </row>
    <row r="1138" spans="1:15" ht="15">
      <c r="A1138" s="11">
        <v>2093</v>
      </c>
      <c r="B1138" s="80">
        <f t="shared" ca="1" si="51"/>
        <v>16.573799999999999</v>
      </c>
      <c r="C1138" s="80">
        <f t="shared" ca="1" si="51"/>
        <v>16.573799999999999</v>
      </c>
      <c r="D1138" s="80">
        <f t="shared" ca="1" si="51"/>
        <v>16.443049999999999</v>
      </c>
      <c r="E1138" s="80">
        <f t="shared" ca="1" si="51"/>
        <v>18.724558333333331</v>
      </c>
      <c r="F1138" s="80">
        <f t="shared" ca="1" si="51"/>
        <v>18.724558333333331</v>
      </c>
      <c r="G1138" s="80">
        <f t="shared" ca="1" si="51"/>
        <v>18.564074999999999</v>
      </c>
      <c r="H1138" s="80">
        <f t="shared" ca="1" si="51"/>
        <v>34.430824999999999</v>
      </c>
      <c r="I1138" s="80">
        <f t="shared" ca="1" si="51"/>
        <v>34.270333333333333</v>
      </c>
      <c r="J1138" s="80">
        <f t="shared" ca="1" si="51"/>
        <v>34.430824999999999</v>
      </c>
      <c r="K1138" s="80">
        <f t="shared" ca="1" si="51"/>
        <v>34.270333333333333</v>
      </c>
      <c r="L1138" s="80">
        <f t="shared" ca="1" si="51"/>
        <v>18.724558333333331</v>
      </c>
      <c r="M1138" s="80">
        <f t="shared" ca="1" si="51"/>
        <v>18.564074999999999</v>
      </c>
      <c r="N1138" s="80">
        <f t="shared" ca="1" si="51"/>
        <v>18.724558333333331</v>
      </c>
      <c r="O1138" s="80">
        <f t="shared" ca="1" si="51"/>
        <v>18.564074999999999</v>
      </c>
    </row>
    <row r="1139" spans="1:15" ht="15">
      <c r="A1139" s="11">
        <v>2094</v>
      </c>
      <c r="B1139" s="80">
        <f t="shared" ca="1" si="51"/>
        <v>16.81141666666667</v>
      </c>
      <c r="C1139" s="80">
        <f t="shared" ca="1" si="51"/>
        <v>16.81141666666667</v>
      </c>
      <c r="D1139" s="80">
        <f t="shared" ca="1" si="51"/>
        <v>16.676449999999999</v>
      </c>
      <c r="E1139" s="80">
        <f t="shared" ca="1" si="51"/>
        <v>18.981583333333333</v>
      </c>
      <c r="F1139" s="80">
        <f t="shared" ca="1" si="51"/>
        <v>18.981583333333333</v>
      </c>
      <c r="G1139" s="80">
        <f t="shared" ca="1" si="51"/>
        <v>18.815891666666669</v>
      </c>
      <c r="H1139" s="80">
        <f t="shared" ca="1" si="51"/>
        <v>34.912091666666662</v>
      </c>
      <c r="I1139" s="80">
        <f t="shared" ca="1" si="51"/>
        <v>34.746408333333335</v>
      </c>
      <c r="J1139" s="80">
        <f t="shared" ca="1" si="51"/>
        <v>34.912091666666662</v>
      </c>
      <c r="K1139" s="80">
        <f t="shared" ca="1" si="51"/>
        <v>34.746408333333335</v>
      </c>
      <c r="L1139" s="80">
        <f t="shared" ca="1" si="51"/>
        <v>18.981583333333333</v>
      </c>
      <c r="M1139" s="80">
        <f t="shared" ca="1" si="51"/>
        <v>18.815891666666669</v>
      </c>
      <c r="N1139" s="80">
        <f t="shared" ca="1" si="51"/>
        <v>18.981583333333333</v>
      </c>
      <c r="O1139" s="80">
        <f t="shared" ca="1" si="51"/>
        <v>18.815891666666669</v>
      </c>
    </row>
    <row r="1140" spans="1:15" ht="15">
      <c r="A1140" s="11">
        <v>2095</v>
      </c>
      <c r="B1140" s="80">
        <f t="shared" ca="1" si="51"/>
        <v>17.049025</v>
      </c>
      <c r="C1140" s="80">
        <f t="shared" ca="1" si="51"/>
        <v>17.049025</v>
      </c>
      <c r="D1140" s="80">
        <f t="shared" ca="1" si="51"/>
        <v>16.909833333333331</v>
      </c>
      <c r="E1140" s="80">
        <f t="shared" ca="1" si="51"/>
        <v>19.238591666666668</v>
      </c>
      <c r="F1140" s="80">
        <f t="shared" ca="1" si="51"/>
        <v>19.238591666666668</v>
      </c>
      <c r="G1140" s="80">
        <f t="shared" ca="1" si="51"/>
        <v>19.067725000000003</v>
      </c>
      <c r="H1140" s="80">
        <f t="shared" ca="1" si="51"/>
        <v>35.393350000000005</v>
      </c>
      <c r="I1140" s="80">
        <f t="shared" ca="1" si="51"/>
        <v>35.222483333333336</v>
      </c>
      <c r="J1140" s="80">
        <f t="shared" ca="1" si="51"/>
        <v>35.393350000000005</v>
      </c>
      <c r="K1140" s="80">
        <f t="shared" ca="1" si="51"/>
        <v>35.222483333333336</v>
      </c>
      <c r="L1140" s="80">
        <f t="shared" ca="1" si="51"/>
        <v>19.238591666666668</v>
      </c>
      <c r="M1140" s="80">
        <f t="shared" ca="1" si="51"/>
        <v>19.067725000000003</v>
      </c>
      <c r="N1140" s="80">
        <f t="shared" ca="1" si="51"/>
        <v>19.238591666666668</v>
      </c>
      <c r="O1140" s="80">
        <f t="shared" ca="1" si="51"/>
        <v>19.067725000000003</v>
      </c>
    </row>
    <row r="1141" spans="1:15" ht="15">
      <c r="A1141" s="11">
        <v>2096</v>
      </c>
      <c r="B1141" s="80">
        <f t="shared" ca="1" si="51"/>
        <v>17.286658333333332</v>
      </c>
      <c r="C1141" s="80">
        <f t="shared" ca="1" si="51"/>
        <v>17.286658333333332</v>
      </c>
      <c r="D1141" s="80">
        <f t="shared" ca="1" si="51"/>
        <v>17.143233333333335</v>
      </c>
      <c r="E1141" s="80">
        <f t="shared" ca="1" si="51"/>
        <v>19.49559166666667</v>
      </c>
      <c r="F1141" s="80">
        <f t="shared" ca="1" si="51"/>
        <v>19.49559166666667</v>
      </c>
      <c r="G1141" s="80">
        <f t="shared" ca="1" si="51"/>
        <v>19.31955833333333</v>
      </c>
      <c r="H1141" s="80">
        <f t="shared" ca="1" si="51"/>
        <v>35.874600000000001</v>
      </c>
      <c r="I1141" s="80">
        <f t="shared" ca="1" si="51"/>
        <v>35.698558333333331</v>
      </c>
      <c r="J1141" s="80">
        <f t="shared" ca="1" si="51"/>
        <v>35.874600000000001</v>
      </c>
      <c r="K1141" s="80">
        <f t="shared" ca="1" si="51"/>
        <v>35.698558333333331</v>
      </c>
      <c r="L1141" s="80">
        <f t="shared" ca="1" si="51"/>
        <v>19.49559166666667</v>
      </c>
      <c r="M1141" s="80">
        <f t="shared" ca="1" si="51"/>
        <v>19.31955833333333</v>
      </c>
      <c r="N1141" s="80">
        <f t="shared" ca="1" si="51"/>
        <v>19.49559166666667</v>
      </c>
      <c r="O1141" s="80">
        <f t="shared" ca="1" si="51"/>
        <v>19.31955833333333</v>
      </c>
    </row>
    <row r="1142" spans="1:15" ht="15">
      <c r="A1142" s="11">
        <v>2097</v>
      </c>
      <c r="B1142" s="80">
        <f t="shared" ca="1" si="51"/>
        <v>17.524258333333332</v>
      </c>
      <c r="C1142" s="80">
        <f t="shared" ca="1" si="51"/>
        <v>17.524258333333332</v>
      </c>
      <c r="D1142" s="80">
        <f t="shared" ca="1" si="51"/>
        <v>17.376633333333331</v>
      </c>
      <c r="E1142" s="80">
        <f t="shared" ca="1" si="51"/>
        <v>19.752591666666664</v>
      </c>
      <c r="F1142" s="80">
        <f t="shared" ca="1" si="51"/>
        <v>19.752591666666664</v>
      </c>
      <c r="G1142" s="80">
        <f t="shared" ca="1" si="51"/>
        <v>19.571391666666667</v>
      </c>
      <c r="H1142" s="80">
        <f t="shared" ca="1" si="51"/>
        <v>36.355866666666664</v>
      </c>
      <c r="I1142" s="80">
        <f t="shared" ca="1" si="51"/>
        <v>36.17465</v>
      </c>
      <c r="J1142" s="80">
        <f t="shared" ca="1" si="51"/>
        <v>36.355866666666664</v>
      </c>
      <c r="K1142" s="80">
        <f t="shared" ca="1" si="51"/>
        <v>36.17465</v>
      </c>
      <c r="L1142" s="80">
        <f t="shared" ca="1" si="51"/>
        <v>19.752591666666664</v>
      </c>
      <c r="M1142" s="80">
        <f t="shared" ca="1" si="51"/>
        <v>19.571391666666667</v>
      </c>
      <c r="N1142" s="80">
        <f t="shared" ca="1" si="51"/>
        <v>19.752591666666664</v>
      </c>
      <c r="O1142" s="80">
        <f t="shared" ca="1" si="51"/>
        <v>19.571391666666667</v>
      </c>
    </row>
    <row r="1143" spans="1:15" ht="15">
      <c r="A1143" s="11">
        <v>2098</v>
      </c>
      <c r="B1143" s="80">
        <f t="shared" ca="1" si="51"/>
        <v>17.761866666666666</v>
      </c>
      <c r="C1143" s="80">
        <f t="shared" ca="1" si="51"/>
        <v>17.761866666666666</v>
      </c>
      <c r="D1143" s="80">
        <f t="shared" ca="1" si="51"/>
        <v>17.610033333333334</v>
      </c>
      <c r="E1143" s="80">
        <f t="shared" ca="1" si="51"/>
        <v>20.009608333333329</v>
      </c>
      <c r="F1143" s="80">
        <f t="shared" ca="1" si="51"/>
        <v>20.009608333333329</v>
      </c>
      <c r="G1143" s="80">
        <f t="shared" ca="1" si="51"/>
        <v>19.823224999999997</v>
      </c>
      <c r="H1143" s="80">
        <f t="shared" ca="1" si="51"/>
        <v>36.8371</v>
      </c>
      <c r="I1143" s="80">
        <f t="shared" ca="1" si="51"/>
        <v>36.650733333333335</v>
      </c>
      <c r="J1143" s="80">
        <f t="shared" ca="1" si="51"/>
        <v>36.8371</v>
      </c>
      <c r="K1143" s="80">
        <f t="shared" ca="1" si="51"/>
        <v>36.650733333333335</v>
      </c>
      <c r="L1143" s="80">
        <f t="shared" ca="1" si="51"/>
        <v>20.009608333333329</v>
      </c>
      <c r="M1143" s="80">
        <f t="shared" ca="1" si="51"/>
        <v>19.823224999999997</v>
      </c>
      <c r="N1143" s="80">
        <f t="shared" ca="1" si="51"/>
        <v>20.009608333333329</v>
      </c>
      <c r="O1143" s="80">
        <f t="shared" ca="1" si="51"/>
        <v>19.823224999999997</v>
      </c>
    </row>
    <row r="1144" spans="1:15" ht="15">
      <c r="A1144" s="11">
        <v>2099</v>
      </c>
      <c r="B1144" s="80">
        <f t="shared" ca="1" si="51"/>
        <v>17.999491666666668</v>
      </c>
      <c r="C1144" s="80">
        <f t="shared" ca="1" si="51"/>
        <v>17.999491666666668</v>
      </c>
      <c r="D1144" s="80">
        <f t="shared" ca="1" si="51"/>
        <v>17.843425</v>
      </c>
      <c r="E1144" s="80">
        <f t="shared" ca="1" si="51"/>
        <v>20.266633333333331</v>
      </c>
      <c r="F1144" s="80">
        <f t="shared" ca="1" si="51"/>
        <v>20.266633333333331</v>
      </c>
      <c r="G1144" s="80">
        <f t="shared" ca="1" si="51"/>
        <v>20.075041666666667</v>
      </c>
      <c r="H1144" s="80">
        <f t="shared" ca="1" si="51"/>
        <v>37.318366666666662</v>
      </c>
      <c r="I1144" s="80">
        <f t="shared" ca="1" si="51"/>
        <v>37.126783333333329</v>
      </c>
      <c r="J1144" s="80">
        <f t="shared" ca="1" si="51"/>
        <v>37.318366666666662</v>
      </c>
      <c r="K1144" s="80">
        <f t="shared" ca="1" si="51"/>
        <v>37.126783333333329</v>
      </c>
      <c r="L1144" s="80">
        <f t="shared" ca="1" si="51"/>
        <v>20.266633333333331</v>
      </c>
      <c r="M1144" s="80">
        <f t="shared" ca="1" si="51"/>
        <v>20.075041666666667</v>
      </c>
      <c r="N1144" s="80">
        <f t="shared" ca="1" si="51"/>
        <v>20.266633333333331</v>
      </c>
      <c r="O1144" s="80">
        <f t="shared" ca="1" si="51"/>
        <v>20.075041666666667</v>
      </c>
    </row>
    <row r="1145" spans="1:15" ht="15">
      <c r="A1145" s="11">
        <v>2100</v>
      </c>
      <c r="B1145" s="80">
        <f t="shared" ca="1" si="51"/>
        <v>18.237108333333328</v>
      </c>
      <c r="C1145" s="80">
        <f t="shared" ca="1" si="51"/>
        <v>18.237108333333328</v>
      </c>
      <c r="D1145" s="80">
        <f t="shared" ca="1" si="51"/>
        <v>18.076841666666667</v>
      </c>
      <c r="E1145" s="80">
        <f t="shared" ca="1" si="51"/>
        <v>20.523624999999999</v>
      </c>
      <c r="F1145" s="80">
        <f t="shared" ca="1" si="51"/>
        <v>20.523624999999999</v>
      </c>
      <c r="G1145" s="80">
        <f t="shared" ca="1" si="51"/>
        <v>20.326899999999998</v>
      </c>
      <c r="H1145" s="80">
        <f t="shared" ca="1" si="51"/>
        <v>37.799616666666658</v>
      </c>
      <c r="I1145" s="80">
        <f t="shared" ca="1" si="51"/>
        <v>37.602875000000004</v>
      </c>
      <c r="J1145" s="80">
        <f t="shared" ca="1" si="51"/>
        <v>37.799616666666658</v>
      </c>
      <c r="K1145" s="80">
        <f t="shared" ca="1" si="51"/>
        <v>37.602875000000004</v>
      </c>
      <c r="L1145" s="80">
        <f t="shared" ca="1" si="51"/>
        <v>20.523624999999999</v>
      </c>
      <c r="M1145" s="80">
        <f t="shared" ca="1" si="51"/>
        <v>20.326899999999998</v>
      </c>
      <c r="N1145" s="80">
        <f t="shared" ca="1" si="51"/>
        <v>20.523624999999999</v>
      </c>
      <c r="O1145" s="80">
        <f t="shared" ca="1" si="51"/>
        <v>20.326899999999998</v>
      </c>
    </row>
  </sheetData>
  <mergeCells count="7">
    <mergeCell ref="B10:D10"/>
    <mergeCell ref="P10:Q10"/>
    <mergeCell ref="R10:S10"/>
    <mergeCell ref="P9:S9"/>
    <mergeCell ref="E10:G10"/>
    <mergeCell ref="H10:K10"/>
    <mergeCell ref="L10:O10"/>
  </mergeCells>
  <pageMargins left="0.25" right="0.25" top="0.5" bottom="0.5" header="0.25" footer="0.25"/>
  <pageSetup paperSize="3" scale="6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7</xdr:row>
                    <xdr:rowOff>38100</xdr:rowOff>
                  </from>
                  <to>
                    <xdr:col>6</xdr:col>
                    <xdr:colOff>381000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CONTROL</vt:lpstr>
      <vt:lpstr>RAP-LIGHT OIL</vt:lpstr>
      <vt:lpstr>RAP-HEAVY OIL&amp;WTI</vt:lpstr>
      <vt:lpstr>RAP-NATURAL GAS PRICES</vt:lpstr>
      <vt:lpstr>RAP TEMPLATE-GAS AVAILABILITY</vt:lpstr>
      <vt:lpstr>RAP-SOLID FUEL PRICES</vt:lpstr>
      <vt:lpstr>'RAP TEMPLATE-GAS AVAILABILITY'!Print_Area</vt:lpstr>
      <vt:lpstr>'RAP-HEAVY OIL&amp;WTI'!Print_Area</vt:lpstr>
      <vt:lpstr>'RAP-LIGHT OIL'!Print_Area</vt:lpstr>
      <vt:lpstr>'RAP-NATURAL GAS PRICES'!Print_Area</vt:lpstr>
      <vt:lpstr>'RAP-SOLID FUEL PRICES'!Print_Area</vt:lpstr>
      <vt:lpstr>'RAP TEMPLATE-GAS AVAILABILITY'!Print_Titles</vt:lpstr>
      <vt:lpstr>'RAP-HEAVY OIL&amp;WTI'!Print_Titles</vt:lpstr>
      <vt:lpstr>'RAP-LIGHT OIL'!Print_Titles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2016-07-29T14:03:40Z</dcterms:created>
  <dcterms:modified xsi:type="dcterms:W3CDTF">2016-07-29T14:03:46Z</dcterms:modified>
</cp:coreProperties>
</file>